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xyi442\Downloads\PAVE_AI_Review\"/>
    </mc:Choice>
  </mc:AlternateContent>
  <xr:revisionPtr revIDLastSave="0" documentId="8_{9A885996-1E29-4E3A-BACE-B733C87001D6}" xr6:coauthVersionLast="47" xr6:coauthVersionMax="47" xr10:uidLastSave="{00000000-0000-0000-0000-000000000000}"/>
  <bookViews>
    <workbookView xWindow="-38510" yWindow="-10910" windowWidth="38620" windowHeight="21100" xr2:uid="{00000000-000D-0000-FFFF-FFFF00000000}"/>
  </bookViews>
  <sheets>
    <sheet name="Top10_Review" sheetId="1" r:id="rId1"/>
    <sheet name="All_Datasets" sheetId="2" r:id="rId2"/>
    <sheet name="MCDM_Settings" sheetId="3" r:id="rId3"/>
    <sheet name="Manual_Review" sheetId="4" r:id="rId4"/>
    <sheet name="MCDM_Grades" sheetId="5" r:id="rId5"/>
    <sheet name="MCDM_Checks" sheetId="6" r:id="rId6"/>
    <sheet name="Platform_Summary" sheetId="7" r:id="rId7"/>
    <sheet name="AI_Tool_Summary" sheetId="8" r:id="rId8"/>
    <sheet name="Platform_Unique" sheetId="9" r:id="rId9"/>
    <sheet name="MCDM_Rubric" sheetId="10" r:id="rId10"/>
    <sheet name="Merge_Log" sheetId="11" r:id="rId11"/>
    <sheet name="Relationships" sheetId="12" r:id="rId12"/>
    <sheet name="Vehicle_Coverage" sheetId="13" r:id="rId13"/>
    <sheet name="Source_v3" sheetId="14" r:id="rId14"/>
    <sheet name="Source_AV" sheetId="15" r:id="rId15"/>
    <sheet name="MCDM_Method" sheetId="16" r:id="rId1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3" l="1"/>
  <c r="G11" i="13"/>
  <c r="G10" i="13"/>
  <c r="G9" i="13"/>
  <c r="G8" i="13"/>
  <c r="G7" i="13"/>
  <c r="G6" i="13"/>
  <c r="S45" i="10"/>
  <c r="R45" i="10"/>
  <c r="Q45" i="10"/>
  <c r="P45" i="10"/>
  <c r="O45" i="10"/>
  <c r="N45" i="10"/>
  <c r="M45" i="10"/>
  <c r="L45" i="10"/>
  <c r="K45" i="10"/>
  <c r="J45" i="10"/>
  <c r="I45" i="10"/>
  <c r="H45" i="10"/>
  <c r="G45" i="10"/>
  <c r="S44" i="10"/>
  <c r="R44" i="10"/>
  <c r="Q44" i="10"/>
  <c r="P44" i="10"/>
  <c r="O44" i="10"/>
  <c r="N44" i="10"/>
  <c r="M44" i="10"/>
  <c r="L44" i="10"/>
  <c r="K44" i="10"/>
  <c r="J44" i="10"/>
  <c r="I44" i="10"/>
  <c r="H44" i="10"/>
  <c r="G44" i="10"/>
  <c r="S43" i="10"/>
  <c r="R43" i="10"/>
  <c r="Q43" i="10"/>
  <c r="P43" i="10"/>
  <c r="O43" i="10"/>
  <c r="N43" i="10"/>
  <c r="M43" i="10"/>
  <c r="L43" i="10"/>
  <c r="K43" i="10"/>
  <c r="J43" i="10"/>
  <c r="I43" i="10"/>
  <c r="H43" i="10"/>
  <c r="G43" i="10"/>
  <c r="S42" i="10"/>
  <c r="R42" i="10"/>
  <c r="Q42" i="10"/>
  <c r="P42" i="10"/>
  <c r="O42" i="10"/>
  <c r="N42" i="10"/>
  <c r="M42" i="10"/>
  <c r="L42" i="10"/>
  <c r="K42" i="10"/>
  <c r="J42" i="10"/>
  <c r="I42" i="10"/>
  <c r="H42" i="10"/>
  <c r="G42" i="10"/>
  <c r="S41" i="10"/>
  <c r="R41" i="10"/>
  <c r="Q41" i="10"/>
  <c r="P41" i="10"/>
  <c r="O41" i="10"/>
  <c r="N41" i="10"/>
  <c r="M41" i="10"/>
  <c r="L41" i="10"/>
  <c r="K41" i="10"/>
  <c r="J41" i="10"/>
  <c r="I41" i="10"/>
  <c r="H41" i="10"/>
  <c r="G41" i="10"/>
  <c r="S40" i="10"/>
  <c r="R40" i="10"/>
  <c r="Q40" i="10"/>
  <c r="P40" i="10"/>
  <c r="O40" i="10"/>
  <c r="N40" i="10"/>
  <c r="M40" i="10"/>
  <c r="L40" i="10"/>
  <c r="K40" i="10"/>
  <c r="J40" i="10"/>
  <c r="I40" i="10"/>
  <c r="H40" i="10"/>
  <c r="G40" i="10"/>
  <c r="S39" i="10"/>
  <c r="R39" i="10"/>
  <c r="Q39" i="10"/>
  <c r="P39" i="10"/>
  <c r="O39" i="10"/>
  <c r="N39" i="10"/>
  <c r="M39" i="10"/>
  <c r="L39" i="10"/>
  <c r="K39" i="10"/>
  <c r="J39" i="10"/>
  <c r="I39" i="10"/>
  <c r="H39" i="10"/>
  <c r="G39" i="10"/>
  <c r="S38" i="10"/>
  <c r="R38" i="10"/>
  <c r="Q38" i="10"/>
  <c r="P38" i="10"/>
  <c r="O38" i="10"/>
  <c r="N38" i="10"/>
  <c r="M38" i="10"/>
  <c r="L38" i="10"/>
  <c r="K38" i="10"/>
  <c r="J38" i="10"/>
  <c r="I38" i="10"/>
  <c r="H38" i="10"/>
  <c r="G38" i="10"/>
  <c r="S37" i="10"/>
  <c r="R37" i="10"/>
  <c r="Q37" i="10"/>
  <c r="P37" i="10"/>
  <c r="O37" i="10"/>
  <c r="N37" i="10"/>
  <c r="M37" i="10"/>
  <c r="L37" i="10"/>
  <c r="K37" i="10"/>
  <c r="J37" i="10"/>
  <c r="I37" i="10"/>
  <c r="H37" i="10"/>
  <c r="G37" i="10"/>
  <c r="S36" i="10"/>
  <c r="R36" i="10"/>
  <c r="Q36" i="10"/>
  <c r="P36" i="10"/>
  <c r="O36" i="10"/>
  <c r="N36" i="10"/>
  <c r="M36" i="10"/>
  <c r="L36" i="10"/>
  <c r="K36" i="10"/>
  <c r="J36" i="10"/>
  <c r="I36" i="10"/>
  <c r="H36" i="10"/>
  <c r="G36" i="10"/>
  <c r="M35" i="10"/>
  <c r="G35" i="10"/>
  <c r="S34" i="10"/>
  <c r="R34" i="10"/>
  <c r="Q34" i="10"/>
  <c r="P34" i="10"/>
  <c r="O34" i="10"/>
  <c r="N34" i="10"/>
  <c r="M34" i="10"/>
  <c r="L34" i="10"/>
  <c r="K34" i="10"/>
  <c r="J34" i="10"/>
  <c r="I34" i="10"/>
  <c r="H34" i="10"/>
  <c r="G34" i="10"/>
  <c r="S33" i="10"/>
  <c r="R33" i="10"/>
  <c r="Q33" i="10"/>
  <c r="P33" i="10"/>
  <c r="O33" i="10"/>
  <c r="N33" i="10"/>
  <c r="M33" i="10"/>
  <c r="L33" i="10"/>
  <c r="K33" i="10"/>
  <c r="J33" i="10"/>
  <c r="I33" i="10"/>
  <c r="H33" i="10"/>
  <c r="G33" i="10"/>
  <c r="M32" i="10"/>
  <c r="G32" i="10"/>
  <c r="M31" i="10"/>
  <c r="G31" i="10"/>
  <c r="S30" i="10"/>
  <c r="R30" i="10"/>
  <c r="Q30" i="10"/>
  <c r="P30" i="10"/>
  <c r="O30" i="10"/>
  <c r="N30" i="10"/>
  <c r="M30" i="10"/>
  <c r="L30" i="10"/>
  <c r="K30" i="10"/>
  <c r="J30" i="10"/>
  <c r="I30" i="10"/>
  <c r="H30" i="10"/>
  <c r="G30" i="10"/>
  <c r="S29" i="10"/>
  <c r="R29" i="10"/>
  <c r="Q29" i="10"/>
  <c r="P29" i="10"/>
  <c r="O29" i="10"/>
  <c r="N29" i="10"/>
  <c r="M29" i="10"/>
  <c r="L29" i="10"/>
  <c r="K29" i="10"/>
  <c r="J29" i="10"/>
  <c r="I29" i="10"/>
  <c r="H29" i="10"/>
  <c r="G29" i="10"/>
  <c r="S28" i="10"/>
  <c r="R28" i="10"/>
  <c r="Q28" i="10"/>
  <c r="P28" i="10"/>
  <c r="O28" i="10"/>
  <c r="N28" i="10"/>
  <c r="M28" i="10"/>
  <c r="L28" i="10"/>
  <c r="K28" i="10"/>
  <c r="J28" i="10"/>
  <c r="I28" i="10"/>
  <c r="H28" i="10"/>
  <c r="G28" i="10"/>
  <c r="M27" i="10"/>
  <c r="G27" i="10"/>
  <c r="M26" i="10"/>
  <c r="G26" i="10"/>
  <c r="S25" i="10"/>
  <c r="R25" i="10"/>
  <c r="Q25" i="10"/>
  <c r="P25" i="10"/>
  <c r="O25" i="10"/>
  <c r="N25" i="10"/>
  <c r="M25" i="10"/>
  <c r="L25" i="10"/>
  <c r="K25" i="10"/>
  <c r="J25" i="10"/>
  <c r="I25" i="10"/>
  <c r="H25" i="10"/>
  <c r="G25" i="10"/>
  <c r="S24" i="10"/>
  <c r="R24" i="10"/>
  <c r="Q24" i="10"/>
  <c r="P24" i="10"/>
  <c r="O24" i="10"/>
  <c r="N24" i="10"/>
  <c r="M24" i="10"/>
  <c r="L24" i="10"/>
  <c r="K24" i="10"/>
  <c r="J24" i="10"/>
  <c r="I24" i="10"/>
  <c r="H24" i="10"/>
  <c r="G24" i="10"/>
  <c r="S23" i="10"/>
  <c r="R23" i="10"/>
  <c r="Q23" i="10"/>
  <c r="P23" i="10"/>
  <c r="O23" i="10"/>
  <c r="N23" i="10"/>
  <c r="M23" i="10"/>
  <c r="L23" i="10"/>
  <c r="K23" i="10"/>
  <c r="J23" i="10"/>
  <c r="I23" i="10"/>
  <c r="H23" i="10"/>
  <c r="G23" i="10"/>
  <c r="M22" i="10"/>
  <c r="G22" i="10"/>
  <c r="M21" i="10"/>
  <c r="G21" i="10"/>
  <c r="S20" i="10"/>
  <c r="R20" i="10"/>
  <c r="Q20" i="10"/>
  <c r="P20" i="10"/>
  <c r="O20" i="10"/>
  <c r="N20" i="10"/>
  <c r="M20" i="10"/>
  <c r="L20" i="10"/>
  <c r="K20" i="10"/>
  <c r="J20" i="10"/>
  <c r="I20" i="10"/>
  <c r="H20" i="10"/>
  <c r="G20" i="10"/>
  <c r="M19" i="10"/>
  <c r="G19" i="10"/>
  <c r="S18" i="10"/>
  <c r="R18" i="10"/>
  <c r="Q18" i="10"/>
  <c r="P18" i="10"/>
  <c r="O18" i="10"/>
  <c r="N18" i="10"/>
  <c r="M18" i="10"/>
  <c r="L18" i="10"/>
  <c r="K18" i="10"/>
  <c r="J18" i="10"/>
  <c r="I18" i="10"/>
  <c r="H18" i="10"/>
  <c r="G18" i="10"/>
  <c r="M17" i="10"/>
  <c r="G17" i="10"/>
  <c r="M16" i="10"/>
  <c r="G16" i="10"/>
  <c r="S15" i="10"/>
  <c r="R15" i="10"/>
  <c r="Q15" i="10"/>
  <c r="P15" i="10"/>
  <c r="O15" i="10"/>
  <c r="N15" i="10"/>
  <c r="M15" i="10"/>
  <c r="L15" i="10"/>
  <c r="K15" i="10"/>
  <c r="J15" i="10"/>
  <c r="I15" i="10"/>
  <c r="H15" i="10"/>
  <c r="G15" i="10"/>
  <c r="R14" i="10"/>
  <c r="Q14" i="10"/>
  <c r="P14" i="10"/>
  <c r="O14" i="10"/>
  <c r="N14" i="10"/>
  <c r="M14" i="10"/>
  <c r="G14" i="10"/>
  <c r="S13" i="10"/>
  <c r="R13" i="10"/>
  <c r="Q13" i="10"/>
  <c r="P13" i="10"/>
  <c r="O13" i="10"/>
  <c r="N13" i="10"/>
  <c r="M13" i="10"/>
  <c r="L13" i="10"/>
  <c r="K13" i="10"/>
  <c r="J13" i="10"/>
  <c r="I13" i="10"/>
  <c r="H13" i="10"/>
  <c r="G13" i="10"/>
  <c r="R12" i="10"/>
  <c r="Q12" i="10"/>
  <c r="P12" i="10"/>
  <c r="O12" i="10"/>
  <c r="N12" i="10"/>
  <c r="M12" i="10"/>
  <c r="G12" i="10"/>
  <c r="R11" i="10"/>
  <c r="Q11" i="10"/>
  <c r="P11" i="10"/>
  <c r="O11" i="10"/>
  <c r="N11" i="10"/>
  <c r="M11" i="10"/>
  <c r="G11" i="10"/>
  <c r="S10" i="10"/>
  <c r="R10" i="10"/>
  <c r="Q10" i="10"/>
  <c r="P10" i="10"/>
  <c r="O10" i="10"/>
  <c r="N10" i="10"/>
  <c r="M10" i="10"/>
  <c r="L10" i="10"/>
  <c r="K10" i="10"/>
  <c r="J10" i="10"/>
  <c r="I10" i="10"/>
  <c r="H10" i="10"/>
  <c r="G10" i="10"/>
  <c r="S9" i="10"/>
  <c r="R9" i="10"/>
  <c r="Q9" i="10"/>
  <c r="P9" i="10"/>
  <c r="O9" i="10"/>
  <c r="N9" i="10"/>
  <c r="M9" i="10"/>
  <c r="L9" i="10"/>
  <c r="K9" i="10"/>
  <c r="J9" i="10"/>
  <c r="I9" i="10"/>
  <c r="H9" i="10"/>
  <c r="G9" i="10"/>
  <c r="M8" i="10"/>
  <c r="G8" i="10"/>
  <c r="M7" i="10"/>
  <c r="G7" i="10"/>
  <c r="M6" i="10"/>
  <c r="G6" i="10"/>
  <c r="F266" i="9"/>
  <c r="F265" i="9"/>
  <c r="F264" i="9"/>
  <c r="F263" i="9"/>
  <c r="F262" i="9"/>
  <c r="F261" i="9"/>
  <c r="F260" i="9"/>
  <c r="F259" i="9"/>
  <c r="F258" i="9"/>
  <c r="F257" i="9"/>
  <c r="F256" i="9"/>
  <c r="F255" i="9"/>
  <c r="F254" i="9"/>
  <c r="F253" i="9"/>
  <c r="F252" i="9"/>
  <c r="F251" i="9"/>
  <c r="F250" i="9"/>
  <c r="F249" i="9"/>
  <c r="F248" i="9"/>
  <c r="F247" i="9"/>
  <c r="F246" i="9"/>
  <c r="F245" i="9"/>
  <c r="F244" i="9"/>
  <c r="F243" i="9"/>
  <c r="F242" i="9"/>
  <c r="F241" i="9"/>
  <c r="F240" i="9"/>
  <c r="F239" i="9"/>
  <c r="F238" i="9"/>
  <c r="F237" i="9"/>
  <c r="F236" i="9"/>
  <c r="F235" i="9"/>
  <c r="F234" i="9"/>
  <c r="F233" i="9"/>
  <c r="F232" i="9"/>
  <c r="F231" i="9"/>
  <c r="F230" i="9"/>
  <c r="F229" i="9"/>
  <c r="F228" i="9"/>
  <c r="F226" i="9"/>
  <c r="F225" i="9"/>
  <c r="F224" i="9"/>
  <c r="F223" i="9"/>
  <c r="F222" i="9"/>
  <c r="F221" i="9"/>
  <c r="F220" i="9"/>
  <c r="F219" i="9"/>
  <c r="F218" i="9"/>
  <c r="F217" i="9"/>
  <c r="F216" i="9"/>
  <c r="F215" i="9"/>
  <c r="F214" i="9"/>
  <c r="F213" i="9"/>
  <c r="F212" i="9"/>
  <c r="F211" i="9"/>
  <c r="F210" i="9"/>
  <c r="F209" i="9"/>
  <c r="F208" i="9"/>
  <c r="F207" i="9"/>
  <c r="F206" i="9"/>
  <c r="F205" i="9"/>
  <c r="F204" i="9"/>
  <c r="F203" i="9"/>
  <c r="F202" i="9"/>
  <c r="F201" i="9"/>
  <c r="F200" i="9"/>
  <c r="F199" i="9"/>
  <c r="F198" i="9"/>
  <c r="F197" i="9"/>
  <c r="F196" i="9"/>
  <c r="F195" i="9"/>
  <c r="F194" i="9"/>
  <c r="F193" i="9"/>
  <c r="F192" i="9"/>
  <c r="F191" i="9"/>
  <c r="F190" i="9"/>
  <c r="F189" i="9"/>
  <c r="F188" i="9"/>
  <c r="F187" i="9"/>
  <c r="F186" i="9"/>
  <c r="F185" i="9"/>
  <c r="F184" i="9"/>
  <c r="F183" i="9"/>
  <c r="F182" i="9"/>
  <c r="F181" i="9"/>
  <c r="F180" i="9"/>
  <c r="F179" i="9"/>
  <c r="F178" i="9"/>
  <c r="F177" i="9"/>
  <c r="F176" i="9"/>
  <c r="F175" i="9"/>
  <c r="F174" i="9"/>
  <c r="F173" i="9"/>
  <c r="F172" i="9"/>
  <c r="F171" i="9"/>
  <c r="F170" i="9"/>
  <c r="F169" i="9"/>
  <c r="F168" i="9"/>
  <c r="F167" i="9"/>
  <c r="F166" i="9"/>
  <c r="F165" i="9"/>
  <c r="F164" i="9"/>
  <c r="F163" i="9"/>
  <c r="F162" i="9"/>
  <c r="F161" i="9"/>
  <c r="F160" i="9"/>
  <c r="F159" i="9"/>
  <c r="F158" i="9"/>
  <c r="F157" i="9"/>
  <c r="F156" i="9"/>
  <c r="F155" i="9"/>
  <c r="F154" i="9"/>
  <c r="F153" i="9"/>
  <c r="F152" i="9"/>
  <c r="F151" i="9"/>
  <c r="F150" i="9"/>
  <c r="F149" i="9"/>
  <c r="F148" i="9"/>
  <c r="F147" i="9"/>
  <c r="F146" i="9"/>
  <c r="F145" i="9"/>
  <c r="F144" i="9"/>
  <c r="F143" i="9"/>
  <c r="F142" i="9"/>
  <c r="F141" i="9"/>
  <c r="F140" i="9"/>
  <c r="F139" i="9"/>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C12" i="7"/>
  <c r="D12" i="7" s="1"/>
  <c r="B12" i="7"/>
  <c r="C11" i="7"/>
  <c r="B11" i="7"/>
  <c r="D11" i="7" s="1"/>
  <c r="C10" i="7"/>
  <c r="B10" i="7"/>
  <c r="D10" i="7" s="1"/>
  <c r="C9" i="7"/>
  <c r="B9" i="7"/>
  <c r="D9" i="7" s="1"/>
  <c r="C8" i="7"/>
  <c r="B8" i="7"/>
  <c r="C7" i="7"/>
  <c r="B7" i="7"/>
  <c r="D7" i="7" s="1"/>
  <c r="C6" i="7"/>
  <c r="B6" i="7"/>
  <c r="D6" i="7" s="1"/>
  <c r="X3733" i="6"/>
  <c r="W3733" i="6"/>
  <c r="V3733" i="6"/>
  <c r="U3733" i="6"/>
  <c r="I3733" i="6"/>
  <c r="J3733" i="6" s="1"/>
  <c r="U3732" i="6"/>
  <c r="U3731" i="6"/>
  <c r="V3731" i="6" s="1"/>
  <c r="U3730" i="6"/>
  <c r="I3730" i="6"/>
  <c r="X3729" i="6"/>
  <c r="U3729" i="6"/>
  <c r="I3729" i="6"/>
  <c r="U3728" i="6"/>
  <c r="U3727" i="6"/>
  <c r="U3726" i="6"/>
  <c r="U3725" i="6"/>
  <c r="X3725" i="6" s="1"/>
  <c r="I3725" i="6"/>
  <c r="J3725" i="6" s="1"/>
  <c r="U3724" i="6"/>
  <c r="U3723" i="6"/>
  <c r="I3723" i="6"/>
  <c r="U3722" i="6"/>
  <c r="U3721" i="6"/>
  <c r="U3720" i="6"/>
  <c r="U3719" i="6"/>
  <c r="I3719" i="6"/>
  <c r="W3718" i="6"/>
  <c r="V3718" i="6"/>
  <c r="U3718" i="6"/>
  <c r="X3718" i="6" s="1"/>
  <c r="I3718" i="6"/>
  <c r="U3717" i="6"/>
  <c r="V3717" i="6" s="1"/>
  <c r="I3717" i="6"/>
  <c r="X3716" i="6"/>
  <c r="U3716" i="6"/>
  <c r="U3715" i="6"/>
  <c r="I3715" i="6"/>
  <c r="V3714" i="6"/>
  <c r="U3714" i="6"/>
  <c r="I3714" i="6"/>
  <c r="V3713" i="6"/>
  <c r="U3713" i="6"/>
  <c r="I3713" i="6"/>
  <c r="K3713" i="6" s="1"/>
  <c r="X237" i="5" s="1"/>
  <c r="X3712" i="6"/>
  <c r="V3712" i="6"/>
  <c r="U3712" i="6"/>
  <c r="W3712" i="6" s="1"/>
  <c r="I3712" i="6"/>
  <c r="J3712" i="6" s="1"/>
  <c r="U3711" i="6"/>
  <c r="I3711" i="6"/>
  <c r="J3711" i="6" s="1"/>
  <c r="U3710" i="6"/>
  <c r="U3709" i="6"/>
  <c r="U3708" i="6"/>
  <c r="I3708" i="6"/>
  <c r="X3707" i="6"/>
  <c r="U3707" i="6"/>
  <c r="I3707" i="6"/>
  <c r="W3706" i="6"/>
  <c r="U3706" i="6"/>
  <c r="I3706" i="6"/>
  <c r="J3706" i="6" s="1"/>
  <c r="U3705" i="6"/>
  <c r="I3705" i="6"/>
  <c r="X3704" i="6"/>
  <c r="U3704" i="6"/>
  <c r="I3704" i="6" s="1"/>
  <c r="U3703" i="6"/>
  <c r="U3702" i="6"/>
  <c r="X3701" i="6"/>
  <c r="W3701" i="6"/>
  <c r="V3701" i="6"/>
  <c r="U3701" i="6"/>
  <c r="I3701" i="6"/>
  <c r="J3701" i="6" s="1"/>
  <c r="U3700" i="6"/>
  <c r="U3699" i="6"/>
  <c r="W3698" i="6"/>
  <c r="U3698" i="6"/>
  <c r="U3697" i="6"/>
  <c r="U3696" i="6"/>
  <c r="I3696" i="6" s="1"/>
  <c r="V3695" i="6"/>
  <c r="U3695" i="6"/>
  <c r="W3695" i="6" s="1"/>
  <c r="U3694" i="6"/>
  <c r="I3694" i="6"/>
  <c r="W3693" i="6"/>
  <c r="U3693" i="6"/>
  <c r="X3693" i="6" s="1"/>
  <c r="I3693" i="6"/>
  <c r="U3692" i="6"/>
  <c r="U3691" i="6"/>
  <c r="U3690" i="6"/>
  <c r="X3689" i="6"/>
  <c r="U3689" i="6"/>
  <c r="I3689" i="6"/>
  <c r="U3688" i="6"/>
  <c r="X3687" i="6"/>
  <c r="W3687" i="6"/>
  <c r="U3687" i="6"/>
  <c r="V3687" i="6" s="1"/>
  <c r="I3687" i="6"/>
  <c r="J3687" i="6" s="1"/>
  <c r="X3686" i="6"/>
  <c r="W3686" i="6"/>
  <c r="U3686" i="6"/>
  <c r="V3686" i="6" s="1"/>
  <c r="I3686" i="6"/>
  <c r="K3686" i="6" s="1"/>
  <c r="X3685" i="6"/>
  <c r="W3685" i="6"/>
  <c r="V3685" i="6"/>
  <c r="U3685" i="6"/>
  <c r="I3685" i="6"/>
  <c r="K3685" i="6" s="1"/>
  <c r="X3684" i="6"/>
  <c r="U3684" i="6"/>
  <c r="V3684" i="6" s="1"/>
  <c r="I3684" i="6"/>
  <c r="X3683" i="6"/>
  <c r="W3683" i="6"/>
  <c r="V3683" i="6"/>
  <c r="U3683" i="6"/>
  <c r="I3683" i="6"/>
  <c r="X3682" i="6"/>
  <c r="W3682" i="6"/>
  <c r="V3682" i="6"/>
  <c r="U3682" i="6"/>
  <c r="I3682" i="6"/>
  <c r="K3682" i="6" s="1"/>
  <c r="U3681" i="6"/>
  <c r="U3680" i="6"/>
  <c r="I3680" i="6" s="1"/>
  <c r="X3679" i="6"/>
  <c r="U3679" i="6"/>
  <c r="I3679" i="6"/>
  <c r="X3678" i="6"/>
  <c r="W3678" i="6"/>
  <c r="U3678" i="6"/>
  <c r="V3678" i="6" s="1"/>
  <c r="I3678" i="6"/>
  <c r="U3677" i="6"/>
  <c r="I3677" i="6"/>
  <c r="U3676" i="6"/>
  <c r="I3676" i="6" s="1"/>
  <c r="X3675" i="6"/>
  <c r="W3675" i="6"/>
  <c r="U3675" i="6"/>
  <c r="I3675" i="6" s="1"/>
  <c r="X3674" i="6"/>
  <c r="W3674" i="6"/>
  <c r="U3674" i="6"/>
  <c r="I3674" i="6" s="1"/>
  <c r="J3674" i="6" s="1"/>
  <c r="K3674" i="6"/>
  <c r="U3673" i="6"/>
  <c r="U3672" i="6"/>
  <c r="X3671" i="6"/>
  <c r="W3671" i="6"/>
  <c r="U3671" i="6"/>
  <c r="V3671" i="6" s="1"/>
  <c r="I3671" i="6"/>
  <c r="W3670" i="6"/>
  <c r="U3670" i="6"/>
  <c r="V3670" i="6" s="1"/>
  <c r="V3669" i="6"/>
  <c r="U3669" i="6"/>
  <c r="U3668" i="6"/>
  <c r="X3668" i="6" s="1"/>
  <c r="U3667" i="6"/>
  <c r="I3667" i="6" s="1"/>
  <c r="U3666" i="6"/>
  <c r="W3665" i="6"/>
  <c r="V3665" i="6"/>
  <c r="U3665" i="6"/>
  <c r="X3665" i="6" s="1"/>
  <c r="I3665" i="6"/>
  <c r="J3665" i="6" s="1"/>
  <c r="X3664" i="6"/>
  <c r="W3664" i="6"/>
  <c r="U3664" i="6"/>
  <c r="V3664" i="6" s="1"/>
  <c r="I3664" i="6"/>
  <c r="X3663" i="6"/>
  <c r="W3663" i="6"/>
  <c r="U3663" i="6"/>
  <c r="V3663" i="6" s="1"/>
  <c r="I3663" i="6"/>
  <c r="U3662" i="6"/>
  <c r="U3661" i="6"/>
  <c r="W3660" i="6"/>
  <c r="V3660" i="6"/>
  <c r="U3660" i="6"/>
  <c r="U3659" i="6"/>
  <c r="U3658" i="6"/>
  <c r="W3658" i="6" s="1"/>
  <c r="X3657" i="6"/>
  <c r="U3657" i="6"/>
  <c r="I3657" i="6" s="1"/>
  <c r="J3657" i="6" s="1"/>
  <c r="U3656" i="6"/>
  <c r="I3656" i="6" s="1"/>
  <c r="U3655" i="6"/>
  <c r="U3654" i="6"/>
  <c r="X3653" i="6"/>
  <c r="W3653" i="6"/>
  <c r="U3653" i="6"/>
  <c r="V3653" i="6" s="1"/>
  <c r="I3653" i="6"/>
  <c r="X3652" i="6"/>
  <c r="U3652" i="6"/>
  <c r="W3651" i="6"/>
  <c r="V3651" i="6"/>
  <c r="U3651" i="6"/>
  <c r="X3651" i="6" s="1"/>
  <c r="U3650" i="6"/>
  <c r="U3649" i="6"/>
  <c r="I3649" i="6" s="1"/>
  <c r="U3648" i="6"/>
  <c r="I3648" i="6" s="1"/>
  <c r="U3647" i="6"/>
  <c r="I3647" i="6" s="1"/>
  <c r="J3647" i="6" s="1"/>
  <c r="K3647" i="6"/>
  <c r="V3646" i="6"/>
  <c r="U3646" i="6"/>
  <c r="X3645" i="6"/>
  <c r="W3645" i="6"/>
  <c r="U3645" i="6"/>
  <c r="V3645" i="6" s="1"/>
  <c r="I3645" i="6"/>
  <c r="U3644" i="6"/>
  <c r="U3643" i="6"/>
  <c r="I3643" i="6"/>
  <c r="U3642" i="6"/>
  <c r="W3642" i="6" s="1"/>
  <c r="V3641" i="6"/>
  <c r="U3641" i="6"/>
  <c r="U3640" i="6"/>
  <c r="X3639" i="6"/>
  <c r="V3639" i="6"/>
  <c r="U3639" i="6"/>
  <c r="U3638" i="6"/>
  <c r="X3637" i="6"/>
  <c r="W3637" i="6"/>
  <c r="V3637" i="6"/>
  <c r="U3637" i="6"/>
  <c r="I3637" i="6"/>
  <c r="J3637" i="6" s="1"/>
  <c r="U3636" i="6"/>
  <c r="U3635" i="6"/>
  <c r="W3635" i="6" s="1"/>
  <c r="U3634" i="6"/>
  <c r="U3633" i="6"/>
  <c r="I3633" i="6"/>
  <c r="J3633" i="6" s="1"/>
  <c r="U3632" i="6"/>
  <c r="X3632" i="6" s="1"/>
  <c r="I3632" i="6"/>
  <c r="U3631" i="6"/>
  <c r="U3630" i="6"/>
  <c r="U3629" i="6"/>
  <c r="X3629" i="6" s="1"/>
  <c r="U3628" i="6"/>
  <c r="U3627" i="6"/>
  <c r="U3626" i="6"/>
  <c r="I3626" i="6"/>
  <c r="U3625" i="6"/>
  <c r="U3624" i="6"/>
  <c r="U3623" i="6"/>
  <c r="U3622" i="6"/>
  <c r="V3622" i="6" s="1"/>
  <c r="U3621" i="6"/>
  <c r="X3621" i="6" s="1"/>
  <c r="I3621" i="6"/>
  <c r="X3620" i="6"/>
  <c r="W3620" i="6"/>
  <c r="V3620" i="6"/>
  <c r="U3620" i="6"/>
  <c r="I3620" i="6"/>
  <c r="W3619" i="6"/>
  <c r="V3619" i="6"/>
  <c r="U3619" i="6"/>
  <c r="U3618" i="6"/>
  <c r="U3617" i="6"/>
  <c r="I3617" i="6"/>
  <c r="K3617" i="6" s="1"/>
  <c r="X231" i="5" s="1"/>
  <c r="U3616" i="6"/>
  <c r="X3615" i="6"/>
  <c r="W3615" i="6"/>
  <c r="U3615" i="6"/>
  <c r="V3615" i="6" s="1"/>
  <c r="I3615" i="6"/>
  <c r="X3614" i="6"/>
  <c r="W3614" i="6"/>
  <c r="U3614" i="6"/>
  <c r="V3614" i="6" s="1"/>
  <c r="K3614" i="6"/>
  <c r="I3614" i="6"/>
  <c r="J3614" i="6" s="1"/>
  <c r="U3613" i="6"/>
  <c r="I3613" i="6"/>
  <c r="U3612" i="6"/>
  <c r="U3611" i="6"/>
  <c r="X3610" i="6"/>
  <c r="U3610" i="6"/>
  <c r="U3609" i="6"/>
  <c r="U3608" i="6"/>
  <c r="V3607" i="6"/>
  <c r="U3607" i="6"/>
  <c r="I3607" i="6"/>
  <c r="V3606" i="6"/>
  <c r="U3606" i="6"/>
  <c r="X3606" i="6" s="1"/>
  <c r="I3606" i="6"/>
  <c r="U3605" i="6"/>
  <c r="U3604" i="6"/>
  <c r="U3603" i="6"/>
  <c r="U3602" i="6"/>
  <c r="X3601" i="6"/>
  <c r="W3601" i="6"/>
  <c r="V3601" i="6"/>
  <c r="U3601" i="6"/>
  <c r="J3601" i="6"/>
  <c r="I3601" i="6"/>
  <c r="K3601" i="6" s="1"/>
  <c r="U3600" i="6"/>
  <c r="X3599" i="6"/>
  <c r="W3599" i="6"/>
  <c r="U3599" i="6"/>
  <c r="V3599" i="6" s="1"/>
  <c r="I3599" i="6"/>
  <c r="V3598" i="6"/>
  <c r="U3598" i="6"/>
  <c r="I3598" i="6" s="1"/>
  <c r="W3597" i="6"/>
  <c r="V3597" i="6"/>
  <c r="U3597" i="6"/>
  <c r="X3597" i="6" s="1"/>
  <c r="I3597" i="6"/>
  <c r="J3597" i="6" s="1"/>
  <c r="W3596" i="6"/>
  <c r="U3596" i="6"/>
  <c r="I3596" i="6"/>
  <c r="K3596" i="6" s="1"/>
  <c r="S230" i="5" s="1"/>
  <c r="U3595" i="6"/>
  <c r="I3595" i="6" s="1"/>
  <c r="X3594" i="6"/>
  <c r="W3594" i="6"/>
  <c r="V3594" i="6"/>
  <c r="U3594" i="6"/>
  <c r="I3594" i="6"/>
  <c r="U3593" i="6"/>
  <c r="I3593" i="6" s="1"/>
  <c r="X3592" i="6"/>
  <c r="V3592" i="6"/>
  <c r="U3592" i="6"/>
  <c r="U3591" i="6"/>
  <c r="U3590" i="6"/>
  <c r="U3589" i="6"/>
  <c r="J3589" i="6"/>
  <c r="I3589" i="6"/>
  <c r="K3589" i="6" s="1"/>
  <c r="U3588" i="6"/>
  <c r="X3588" i="6" s="1"/>
  <c r="V3587" i="6"/>
  <c r="U3587" i="6"/>
  <c r="W3586" i="6"/>
  <c r="U3586" i="6"/>
  <c r="X3585" i="6"/>
  <c r="W3585" i="6"/>
  <c r="V3585" i="6"/>
  <c r="U3585" i="6"/>
  <c r="J3585" i="6"/>
  <c r="I3585" i="6"/>
  <c r="K3585" i="6" s="1"/>
  <c r="U3584" i="6"/>
  <c r="U3583" i="6"/>
  <c r="V3582" i="6"/>
  <c r="U3582" i="6"/>
  <c r="I3582" i="6"/>
  <c r="K3582" i="6" s="1"/>
  <c r="U3581" i="6"/>
  <c r="W3580" i="6"/>
  <c r="U3580" i="6"/>
  <c r="U3579" i="6"/>
  <c r="X3578" i="6"/>
  <c r="U3578" i="6"/>
  <c r="J3578" i="6"/>
  <c r="I3578" i="6"/>
  <c r="K3578" i="6" s="1"/>
  <c r="U3577" i="6"/>
  <c r="U3576" i="6"/>
  <c r="X3575" i="6"/>
  <c r="W3575" i="6"/>
  <c r="U3575" i="6"/>
  <c r="V3575" i="6" s="1"/>
  <c r="I3575" i="6"/>
  <c r="U3574" i="6"/>
  <c r="I3574" i="6"/>
  <c r="U3573" i="6"/>
  <c r="I3573" i="6"/>
  <c r="U3572" i="6"/>
  <c r="U3571" i="6"/>
  <c r="U3570" i="6"/>
  <c r="U3569" i="6"/>
  <c r="W3569" i="6" s="1"/>
  <c r="U3568" i="6"/>
  <c r="U3567" i="6"/>
  <c r="V3566" i="6"/>
  <c r="U3566" i="6"/>
  <c r="X3565" i="6"/>
  <c r="W3565" i="6"/>
  <c r="V3565" i="6"/>
  <c r="U3565" i="6"/>
  <c r="J3565" i="6"/>
  <c r="I3565" i="6"/>
  <c r="K3565" i="6" s="1"/>
  <c r="U3564" i="6"/>
  <c r="U3563" i="6"/>
  <c r="U3562" i="6"/>
  <c r="U3561" i="6"/>
  <c r="I3561" i="6"/>
  <c r="K3561" i="6" s="1"/>
  <c r="P228" i="5" s="1"/>
  <c r="X3560" i="6"/>
  <c r="U3560" i="6"/>
  <c r="W3559" i="6"/>
  <c r="V3559" i="6"/>
  <c r="U3559" i="6"/>
  <c r="U3558" i="6"/>
  <c r="X3557" i="6"/>
  <c r="U3557" i="6"/>
  <c r="U3556" i="6"/>
  <c r="W3555" i="6"/>
  <c r="V3555" i="6"/>
  <c r="U3555" i="6"/>
  <c r="X3555" i="6" s="1"/>
  <c r="I3555" i="6"/>
  <c r="V3554" i="6"/>
  <c r="U3554" i="6"/>
  <c r="I3554" i="6" s="1"/>
  <c r="U3553" i="6"/>
  <c r="I3553" i="6"/>
  <c r="U3552" i="6"/>
  <c r="X3552" i="6" s="1"/>
  <c r="U3551" i="6"/>
  <c r="I3551" i="6"/>
  <c r="U3550" i="6"/>
  <c r="I3550" i="6"/>
  <c r="U3549" i="6"/>
  <c r="X3548" i="6"/>
  <c r="W3548" i="6"/>
  <c r="V3548" i="6"/>
  <c r="U3548" i="6"/>
  <c r="I3548" i="6"/>
  <c r="U3547" i="6"/>
  <c r="U3546" i="6"/>
  <c r="U3545" i="6"/>
  <c r="I3545" i="6"/>
  <c r="U3544" i="6"/>
  <c r="U3543" i="6"/>
  <c r="I3543" i="6" s="1"/>
  <c r="U3542" i="6"/>
  <c r="U3541" i="6"/>
  <c r="X3540" i="6"/>
  <c r="U3540" i="6"/>
  <c r="X3539" i="6"/>
  <c r="W3539" i="6"/>
  <c r="V3539" i="6"/>
  <c r="U3539" i="6"/>
  <c r="I3539" i="6"/>
  <c r="U3538" i="6"/>
  <c r="U3537" i="6"/>
  <c r="U3536" i="6"/>
  <c r="X3535" i="6"/>
  <c r="W3535" i="6"/>
  <c r="U3535" i="6"/>
  <c r="I3535" i="6" s="1"/>
  <c r="J3535" i="6" s="1"/>
  <c r="K3535" i="6"/>
  <c r="V226" i="5" s="1"/>
  <c r="U3534" i="6"/>
  <c r="W3534" i="6" s="1"/>
  <c r="U3533" i="6"/>
  <c r="I3533" i="6"/>
  <c r="W3532" i="6"/>
  <c r="V3532" i="6"/>
  <c r="U3532" i="6"/>
  <c r="W3531" i="6"/>
  <c r="V3531" i="6"/>
  <c r="U3531" i="6"/>
  <c r="U3530" i="6"/>
  <c r="X3529" i="6"/>
  <c r="W3529" i="6"/>
  <c r="U3529" i="6"/>
  <c r="V3529" i="6" s="1"/>
  <c r="I3529" i="6"/>
  <c r="X3528" i="6"/>
  <c r="W3528" i="6"/>
  <c r="U3528" i="6"/>
  <c r="U3527" i="6"/>
  <c r="I3527" i="6"/>
  <c r="X3526" i="6"/>
  <c r="U3526" i="6"/>
  <c r="X3525" i="6"/>
  <c r="W3525" i="6"/>
  <c r="U3525" i="6"/>
  <c r="V3525" i="6" s="1"/>
  <c r="I3525" i="6"/>
  <c r="K3525" i="6" s="1"/>
  <c r="U3524" i="6"/>
  <c r="I3524" i="6"/>
  <c r="J3524" i="6" s="1"/>
  <c r="V3523" i="6"/>
  <c r="U3523" i="6"/>
  <c r="X3523" i="6" s="1"/>
  <c r="U3522" i="6"/>
  <c r="W3522" i="6" s="1"/>
  <c r="X3521" i="6"/>
  <c r="W3521" i="6"/>
  <c r="V3521" i="6"/>
  <c r="U3521" i="6"/>
  <c r="K3521" i="6"/>
  <c r="I3521" i="6"/>
  <c r="J3521" i="6" s="1"/>
  <c r="V3520" i="6"/>
  <c r="U3520" i="6"/>
  <c r="X3520" i="6" s="1"/>
  <c r="V3519" i="6"/>
  <c r="U3519" i="6"/>
  <c r="I3519" i="6" s="1"/>
  <c r="J3519" i="6" s="1"/>
  <c r="U3518" i="6"/>
  <c r="X3517" i="6"/>
  <c r="W3517" i="6"/>
  <c r="V3517" i="6"/>
  <c r="U3517" i="6"/>
  <c r="I3517" i="6"/>
  <c r="W3516" i="6"/>
  <c r="U3516" i="6"/>
  <c r="I3516" i="6" s="1"/>
  <c r="U3515" i="6"/>
  <c r="U3514" i="6"/>
  <c r="U3513" i="6"/>
  <c r="X3512" i="6"/>
  <c r="W3512" i="6"/>
  <c r="V3512" i="6"/>
  <c r="U3512" i="6"/>
  <c r="I3512" i="6"/>
  <c r="U3511" i="6"/>
  <c r="V3511" i="6" s="1"/>
  <c r="W3510" i="6"/>
  <c r="U3510" i="6"/>
  <c r="X3510" i="6" s="1"/>
  <c r="X3509" i="6"/>
  <c r="W3509" i="6"/>
  <c r="V3509" i="6"/>
  <c r="U3509" i="6"/>
  <c r="I3509" i="6"/>
  <c r="U3508" i="6"/>
  <c r="X3508" i="6" s="1"/>
  <c r="U3507" i="6"/>
  <c r="U3506" i="6"/>
  <c r="X3506" i="6" s="1"/>
  <c r="I3506" i="6"/>
  <c r="X3505" i="6"/>
  <c r="U3505" i="6"/>
  <c r="U3504" i="6"/>
  <c r="U3503" i="6"/>
  <c r="W3503" i="6" s="1"/>
  <c r="U3502" i="6"/>
  <c r="X3501" i="6"/>
  <c r="U3501" i="6"/>
  <c r="U3500" i="6"/>
  <c r="U3499" i="6"/>
  <c r="U3498" i="6"/>
  <c r="U3497" i="6"/>
  <c r="U3496" i="6"/>
  <c r="U3495" i="6"/>
  <c r="W3495" i="6" s="1"/>
  <c r="U3494" i="6"/>
  <c r="X3493" i="6"/>
  <c r="W3493" i="6"/>
  <c r="U3493" i="6"/>
  <c r="V3493" i="6" s="1"/>
  <c r="I3493" i="6"/>
  <c r="X3492" i="6"/>
  <c r="W3492" i="6"/>
  <c r="U3492" i="6"/>
  <c r="V3492" i="6" s="1"/>
  <c r="I3492" i="6"/>
  <c r="U3491" i="6"/>
  <c r="I3491" i="6"/>
  <c r="U3490" i="6"/>
  <c r="U3489" i="6"/>
  <c r="I3489" i="6"/>
  <c r="K3489" i="6" s="1"/>
  <c r="X223" i="5" s="1"/>
  <c r="U3488" i="6"/>
  <c r="X3488" i="6" s="1"/>
  <c r="U3487" i="6"/>
  <c r="U3486" i="6"/>
  <c r="V3485" i="6"/>
  <c r="U3485" i="6"/>
  <c r="U3484" i="6"/>
  <c r="W3483" i="6"/>
  <c r="U3483" i="6"/>
  <c r="U3482" i="6"/>
  <c r="U3481" i="6"/>
  <c r="U3480" i="6"/>
  <c r="U3479" i="6"/>
  <c r="V3479" i="6" s="1"/>
  <c r="I3479" i="6"/>
  <c r="X3478" i="6"/>
  <c r="W3478" i="6"/>
  <c r="U3478" i="6"/>
  <c r="V3478" i="6" s="1"/>
  <c r="I3478" i="6"/>
  <c r="X3477" i="6"/>
  <c r="W3477" i="6"/>
  <c r="V3477" i="6"/>
  <c r="U3477" i="6"/>
  <c r="I3477" i="6"/>
  <c r="V3476" i="6"/>
  <c r="U3476" i="6"/>
  <c r="I3476" i="6"/>
  <c r="X3475" i="6"/>
  <c r="W3475" i="6"/>
  <c r="V3475" i="6"/>
  <c r="U3475" i="6"/>
  <c r="I3475" i="6" s="1"/>
  <c r="U3474" i="6"/>
  <c r="W3474" i="6" s="1"/>
  <c r="X3473" i="6"/>
  <c r="W3473" i="6"/>
  <c r="V3473" i="6"/>
  <c r="U3473" i="6"/>
  <c r="I3473" i="6"/>
  <c r="U3472" i="6"/>
  <c r="U3471" i="6"/>
  <c r="W3471" i="6" s="1"/>
  <c r="U3470" i="6"/>
  <c r="U3469" i="6"/>
  <c r="U3468" i="6"/>
  <c r="W3468" i="6" s="1"/>
  <c r="U3467" i="6"/>
  <c r="K3467" i="6"/>
  <c r="J3467" i="6"/>
  <c r="U3466" i="6"/>
  <c r="K3466" i="6"/>
  <c r="J3466" i="6"/>
  <c r="I3466" i="6"/>
  <c r="U3465" i="6"/>
  <c r="K3465" i="6"/>
  <c r="J3465" i="6"/>
  <c r="U3464" i="6"/>
  <c r="X3463" i="6"/>
  <c r="U3463" i="6"/>
  <c r="W3463" i="6" s="1"/>
  <c r="I3463" i="6"/>
  <c r="U3462" i="6"/>
  <c r="W3462" i="6" s="1"/>
  <c r="I3462" i="6"/>
  <c r="U3461" i="6"/>
  <c r="X3460" i="6"/>
  <c r="W3460" i="6"/>
  <c r="V3460" i="6"/>
  <c r="U3460" i="6"/>
  <c r="K3460" i="6"/>
  <c r="I3460" i="6"/>
  <c r="J3460" i="6" s="1"/>
  <c r="V3459" i="6"/>
  <c r="U3459" i="6"/>
  <c r="I3459" i="6" s="1"/>
  <c r="U3458" i="6"/>
  <c r="X3457" i="6"/>
  <c r="U3457" i="6"/>
  <c r="V3456" i="6"/>
  <c r="U3456" i="6"/>
  <c r="I3456" i="6"/>
  <c r="V3455" i="6"/>
  <c r="U3455" i="6"/>
  <c r="V3454" i="6"/>
  <c r="U3454" i="6"/>
  <c r="X3453" i="6"/>
  <c r="W3453" i="6"/>
  <c r="V3453" i="6"/>
  <c r="U3453" i="6"/>
  <c r="I3453" i="6"/>
  <c r="U3452" i="6"/>
  <c r="V3452" i="6" s="1"/>
  <c r="J3452" i="6"/>
  <c r="I3452" i="6"/>
  <c r="K3452" i="6" s="1"/>
  <c r="S221" i="5" s="1"/>
  <c r="X3451" i="6"/>
  <c r="W3451" i="6"/>
  <c r="V3451" i="6"/>
  <c r="U3451" i="6"/>
  <c r="I3451" i="6"/>
  <c r="U3450" i="6"/>
  <c r="U3449" i="6"/>
  <c r="I3449" i="6"/>
  <c r="K3449" i="6" s="1"/>
  <c r="X3448" i="6"/>
  <c r="W3448" i="6"/>
  <c r="V3448" i="6"/>
  <c r="U3448" i="6"/>
  <c r="I3448" i="6" s="1"/>
  <c r="U3447" i="6"/>
  <c r="I3447" i="6"/>
  <c r="U3446" i="6"/>
  <c r="W3446" i="6" s="1"/>
  <c r="U3445" i="6"/>
  <c r="U3444" i="6"/>
  <c r="U3443" i="6"/>
  <c r="U3442" i="6"/>
  <c r="X3441" i="6"/>
  <c r="U3441" i="6"/>
  <c r="I3441" i="6" s="1"/>
  <c r="U3440" i="6"/>
  <c r="W3440" i="6" s="1"/>
  <c r="U3439" i="6"/>
  <c r="U3438" i="6"/>
  <c r="X3437" i="6"/>
  <c r="W3437" i="6"/>
  <c r="V3437" i="6"/>
  <c r="U3437" i="6"/>
  <c r="I3437" i="6"/>
  <c r="V3436" i="6"/>
  <c r="U3436" i="6"/>
  <c r="X3435" i="6"/>
  <c r="U3435" i="6"/>
  <c r="I3435" i="6"/>
  <c r="J3435" i="6" s="1"/>
  <c r="U3434" i="6"/>
  <c r="X3433" i="6"/>
  <c r="W3433" i="6"/>
  <c r="U3433" i="6"/>
  <c r="V3433" i="6" s="1"/>
  <c r="I3433" i="6"/>
  <c r="U3432" i="6"/>
  <c r="W3432" i="6" s="1"/>
  <c r="J3432" i="6"/>
  <c r="I3432" i="6"/>
  <c r="K3432" i="6" s="1"/>
  <c r="X3431" i="6"/>
  <c r="U3431" i="6"/>
  <c r="V3431" i="6" s="1"/>
  <c r="I3431" i="6"/>
  <c r="X3430" i="6"/>
  <c r="V3430" i="6"/>
  <c r="U3430" i="6"/>
  <c r="W3429" i="6"/>
  <c r="U3429" i="6"/>
  <c r="U3428" i="6"/>
  <c r="I3428" i="6"/>
  <c r="U3427" i="6"/>
  <c r="U3426" i="6"/>
  <c r="W3426" i="6" s="1"/>
  <c r="I3426" i="6"/>
  <c r="U3425" i="6"/>
  <c r="X3424" i="6"/>
  <c r="W3424" i="6"/>
  <c r="U3424" i="6"/>
  <c r="V3424" i="6" s="1"/>
  <c r="I3424" i="6"/>
  <c r="X3423" i="6"/>
  <c r="U3423" i="6"/>
  <c r="U3422" i="6"/>
  <c r="U3421" i="6"/>
  <c r="X3421" i="6" s="1"/>
  <c r="I3421" i="6"/>
  <c r="X3420" i="6"/>
  <c r="V3420" i="6"/>
  <c r="U3420" i="6"/>
  <c r="X3419" i="6"/>
  <c r="U3419" i="6"/>
  <c r="V3419" i="6" s="1"/>
  <c r="I3419" i="6"/>
  <c r="W3418" i="6"/>
  <c r="U3418" i="6"/>
  <c r="X3417" i="6"/>
  <c r="W3417" i="6"/>
  <c r="V3417" i="6"/>
  <c r="U3417" i="6"/>
  <c r="I3417" i="6" s="1"/>
  <c r="U3416" i="6"/>
  <c r="X3415" i="6"/>
  <c r="U3415" i="6"/>
  <c r="U3414" i="6"/>
  <c r="X3413" i="6"/>
  <c r="W3413" i="6"/>
  <c r="U3413" i="6"/>
  <c r="I3413" i="6" s="1"/>
  <c r="U3412" i="6"/>
  <c r="W3412" i="6" s="1"/>
  <c r="I3412" i="6"/>
  <c r="W3411" i="6"/>
  <c r="V3411" i="6"/>
  <c r="U3411" i="6"/>
  <c r="X3411" i="6" s="1"/>
  <c r="I3411" i="6"/>
  <c r="K3411" i="6" s="1"/>
  <c r="X3410" i="6"/>
  <c r="W3410" i="6"/>
  <c r="U3410" i="6"/>
  <c r="V3410" i="6" s="1"/>
  <c r="K3410" i="6"/>
  <c r="I3410" i="6"/>
  <c r="J3410" i="6" s="1"/>
  <c r="X3409" i="6"/>
  <c r="W3409" i="6"/>
  <c r="V3409" i="6"/>
  <c r="U3409" i="6"/>
  <c r="I3409" i="6"/>
  <c r="X3408" i="6"/>
  <c r="U3408" i="6"/>
  <c r="U3407" i="6"/>
  <c r="X3406" i="6"/>
  <c r="V3406" i="6"/>
  <c r="U3406" i="6"/>
  <c r="V3405" i="6"/>
  <c r="U3405" i="6"/>
  <c r="I3405" i="6"/>
  <c r="U3404" i="6"/>
  <c r="U3403" i="6"/>
  <c r="I3403" i="6"/>
  <c r="V3402" i="6"/>
  <c r="U3402" i="6"/>
  <c r="W3401" i="6"/>
  <c r="U3401" i="6"/>
  <c r="U3400" i="6"/>
  <c r="I3400" i="6"/>
  <c r="U3399" i="6"/>
  <c r="I3399" i="6"/>
  <c r="W3398" i="6"/>
  <c r="U3398" i="6"/>
  <c r="X3397" i="6"/>
  <c r="U3397" i="6"/>
  <c r="U3396" i="6"/>
  <c r="X3395" i="6"/>
  <c r="W3395" i="6"/>
  <c r="V3395" i="6"/>
  <c r="U3395" i="6"/>
  <c r="I3395" i="6" s="1"/>
  <c r="K3395" i="6" s="1"/>
  <c r="J3395" i="6"/>
  <c r="X3394" i="6"/>
  <c r="W3394" i="6"/>
  <c r="V3394" i="6"/>
  <c r="U3394" i="6"/>
  <c r="I3394" i="6" s="1"/>
  <c r="U3393" i="6"/>
  <c r="X3392" i="6"/>
  <c r="W3392" i="6"/>
  <c r="V3392" i="6"/>
  <c r="U3392" i="6"/>
  <c r="I3392" i="6"/>
  <c r="U3391" i="6"/>
  <c r="I3391" i="6"/>
  <c r="X3390" i="6"/>
  <c r="W3390" i="6"/>
  <c r="V3390" i="6"/>
  <c r="U3390" i="6"/>
  <c r="I3390" i="6" s="1"/>
  <c r="K3390" i="6" s="1"/>
  <c r="J3390" i="6"/>
  <c r="X3389" i="6"/>
  <c r="V3389" i="6"/>
  <c r="U3389" i="6"/>
  <c r="W3389" i="6" s="1"/>
  <c r="I3389" i="6"/>
  <c r="U3388" i="6"/>
  <c r="U3387" i="6"/>
  <c r="X3387" i="6" s="1"/>
  <c r="K3387" i="6"/>
  <c r="J3387" i="6"/>
  <c r="U3386" i="6"/>
  <c r="I3386" i="6" s="1"/>
  <c r="K3386" i="6"/>
  <c r="Q217" i="5" s="1"/>
  <c r="J3386" i="6"/>
  <c r="X3385" i="6"/>
  <c r="U3385" i="6"/>
  <c r="I3385" i="6" s="1"/>
  <c r="K3385" i="6"/>
  <c r="J3385" i="6"/>
  <c r="W3384" i="6"/>
  <c r="U3384" i="6"/>
  <c r="X3384" i="6" s="1"/>
  <c r="V3383" i="6"/>
  <c r="U3383" i="6"/>
  <c r="U3382" i="6"/>
  <c r="U3381" i="6"/>
  <c r="U3380" i="6"/>
  <c r="J3380" i="6"/>
  <c r="I3380" i="6"/>
  <c r="K3380" i="6" s="1"/>
  <c r="X3379" i="6"/>
  <c r="U3379" i="6"/>
  <c r="W3379" i="6" s="1"/>
  <c r="K3379" i="6"/>
  <c r="I3379" i="6"/>
  <c r="J3379" i="6" s="1"/>
  <c r="W3378" i="6"/>
  <c r="U3378" i="6"/>
  <c r="X3378" i="6" s="1"/>
  <c r="X3377" i="6"/>
  <c r="W3377" i="6"/>
  <c r="U3377" i="6"/>
  <c r="V3377" i="6" s="1"/>
  <c r="I3377" i="6"/>
  <c r="U3376" i="6"/>
  <c r="X3376" i="6" s="1"/>
  <c r="U3375" i="6"/>
  <c r="U3374" i="6"/>
  <c r="J3374" i="6"/>
  <c r="I3374" i="6"/>
  <c r="K3374" i="6" s="1"/>
  <c r="X3373" i="6"/>
  <c r="V3373" i="6"/>
  <c r="U3373" i="6"/>
  <c r="U3372" i="6"/>
  <c r="W3371" i="6"/>
  <c r="V3371" i="6"/>
  <c r="U3371" i="6"/>
  <c r="X3371" i="6" s="1"/>
  <c r="I3371" i="6"/>
  <c r="U3370" i="6"/>
  <c r="X3369" i="6"/>
  <c r="W3369" i="6"/>
  <c r="V3369" i="6"/>
  <c r="U3369" i="6"/>
  <c r="I3369" i="6"/>
  <c r="J3369" i="6" s="1"/>
  <c r="U3368" i="6"/>
  <c r="U3367" i="6"/>
  <c r="I3367" i="6"/>
  <c r="K3367" i="6" s="1"/>
  <c r="U3366" i="6"/>
  <c r="I3366" i="6" s="1"/>
  <c r="U3365" i="6"/>
  <c r="I3365" i="6"/>
  <c r="X3364" i="6"/>
  <c r="W3364" i="6"/>
  <c r="V3364" i="6"/>
  <c r="U3364" i="6"/>
  <c r="I3364" i="6"/>
  <c r="X3363" i="6"/>
  <c r="V3363" i="6"/>
  <c r="U3363" i="6"/>
  <c r="W3363" i="6" s="1"/>
  <c r="I3363" i="6"/>
  <c r="U3362" i="6"/>
  <c r="U3361" i="6"/>
  <c r="I3361" i="6"/>
  <c r="U3360" i="6"/>
  <c r="I3360" i="6" s="1"/>
  <c r="U3359" i="6"/>
  <c r="U3358" i="6"/>
  <c r="V3357" i="6"/>
  <c r="U3357" i="6"/>
  <c r="I3357" i="6"/>
  <c r="X3356" i="6"/>
  <c r="V3356" i="6"/>
  <c r="U3356" i="6"/>
  <c r="W3356" i="6" s="1"/>
  <c r="I3356" i="6"/>
  <c r="W3355" i="6"/>
  <c r="V3355" i="6"/>
  <c r="U3355" i="6"/>
  <c r="X3355" i="6" s="1"/>
  <c r="K3355" i="6"/>
  <c r="J3355" i="6"/>
  <c r="I3355" i="6"/>
  <c r="U3354" i="6"/>
  <c r="K3354" i="6"/>
  <c r="J3354" i="6"/>
  <c r="U3353" i="6"/>
  <c r="K3353" i="6"/>
  <c r="P215" i="5" s="1"/>
  <c r="J3353" i="6"/>
  <c r="U3352" i="6"/>
  <c r="V3352" i="6" s="1"/>
  <c r="U3351" i="6"/>
  <c r="V3351" i="6" s="1"/>
  <c r="I3351" i="6"/>
  <c r="V3350" i="6"/>
  <c r="U3350" i="6"/>
  <c r="X3349" i="6"/>
  <c r="W3349" i="6"/>
  <c r="V3349" i="6"/>
  <c r="U3349" i="6"/>
  <c r="I3349" i="6"/>
  <c r="U3348" i="6"/>
  <c r="W3348" i="6" s="1"/>
  <c r="V3347" i="6"/>
  <c r="U3347" i="6"/>
  <c r="W3347" i="6" s="1"/>
  <c r="I3347" i="6"/>
  <c r="U3346" i="6"/>
  <c r="X3345" i="6"/>
  <c r="W3345" i="6"/>
  <c r="U3345" i="6"/>
  <c r="V3345" i="6" s="1"/>
  <c r="I3345" i="6"/>
  <c r="U3344" i="6"/>
  <c r="I3344" i="6"/>
  <c r="U3343" i="6"/>
  <c r="X3343" i="6" s="1"/>
  <c r="I3343" i="6"/>
  <c r="U3342" i="6"/>
  <c r="I3342" i="6" s="1"/>
  <c r="X3341" i="6"/>
  <c r="W3341" i="6"/>
  <c r="U3341" i="6"/>
  <c r="V3341" i="6" s="1"/>
  <c r="I3341" i="6"/>
  <c r="W3340" i="6"/>
  <c r="U3340" i="6"/>
  <c r="X3339" i="6"/>
  <c r="U3339" i="6"/>
  <c r="U3338" i="6"/>
  <c r="I3338" i="6" s="1"/>
  <c r="X3337" i="6"/>
  <c r="W3337" i="6"/>
  <c r="U3337" i="6"/>
  <c r="V3337" i="6" s="1"/>
  <c r="I3337" i="6"/>
  <c r="U3336" i="6"/>
  <c r="V3336" i="6" s="1"/>
  <c r="U3335" i="6"/>
  <c r="X3335" i="6" s="1"/>
  <c r="U3334" i="6"/>
  <c r="X3333" i="6"/>
  <c r="W3333" i="6"/>
  <c r="V3333" i="6"/>
  <c r="U3333" i="6"/>
  <c r="I3333" i="6" s="1"/>
  <c r="V3332" i="6"/>
  <c r="U3332" i="6"/>
  <c r="I3332" i="6" s="1"/>
  <c r="X3331" i="6"/>
  <c r="W3331" i="6"/>
  <c r="U3331" i="6"/>
  <c r="V3331" i="6" s="1"/>
  <c r="I3331" i="6"/>
  <c r="U3330" i="6"/>
  <c r="X3329" i="6"/>
  <c r="W3329" i="6"/>
  <c r="U3329" i="6"/>
  <c r="I3329" i="6" s="1"/>
  <c r="U3328" i="6"/>
  <c r="V3327" i="6"/>
  <c r="U3327" i="6"/>
  <c r="U3326" i="6"/>
  <c r="W3325" i="6"/>
  <c r="U3325" i="6"/>
  <c r="X3325" i="6" s="1"/>
  <c r="I3325" i="6"/>
  <c r="J3325" i="6" s="1"/>
  <c r="V3324" i="6"/>
  <c r="U3324" i="6"/>
  <c r="X3323" i="6"/>
  <c r="W3323" i="6"/>
  <c r="V3323" i="6"/>
  <c r="U3323" i="6"/>
  <c r="I3323" i="6"/>
  <c r="U3322" i="6"/>
  <c r="W3322" i="6" s="1"/>
  <c r="U3321" i="6"/>
  <c r="I3321" i="6" s="1"/>
  <c r="V3320" i="6"/>
  <c r="U3320" i="6"/>
  <c r="I3320" i="6"/>
  <c r="U3319" i="6"/>
  <c r="V3319" i="6" s="1"/>
  <c r="W3318" i="6"/>
  <c r="U3318" i="6"/>
  <c r="X3318" i="6" s="1"/>
  <c r="X3317" i="6"/>
  <c r="U3317" i="6"/>
  <c r="W3317" i="6" s="1"/>
  <c r="I3317" i="6"/>
  <c r="U3316" i="6"/>
  <c r="W3315" i="6"/>
  <c r="U3315" i="6"/>
  <c r="X3315" i="6" s="1"/>
  <c r="I3315" i="6"/>
  <c r="X3314" i="6"/>
  <c r="W3314" i="6"/>
  <c r="U3314" i="6"/>
  <c r="V3313" i="6"/>
  <c r="U3313" i="6"/>
  <c r="I3313" i="6"/>
  <c r="J3313" i="6" s="1"/>
  <c r="U3312" i="6"/>
  <c r="U3311" i="6"/>
  <c r="I3311" i="6" s="1"/>
  <c r="K3311" i="6" s="1"/>
  <c r="V212" i="5" s="1"/>
  <c r="J3311" i="6"/>
  <c r="W3310" i="6"/>
  <c r="U3310" i="6"/>
  <c r="U3309" i="6"/>
  <c r="U3308" i="6"/>
  <c r="W3308" i="6" s="1"/>
  <c r="I3308" i="6"/>
  <c r="V3307" i="6"/>
  <c r="U3307" i="6"/>
  <c r="X3307" i="6" s="1"/>
  <c r="U3306" i="6"/>
  <c r="W3305" i="6"/>
  <c r="U3305" i="6"/>
  <c r="I3305" i="6"/>
  <c r="U3304" i="6"/>
  <c r="U3303" i="6"/>
  <c r="W3303" i="6" s="1"/>
  <c r="J3303" i="6"/>
  <c r="I3303" i="6"/>
  <c r="K3303" i="6" s="1"/>
  <c r="U3302" i="6"/>
  <c r="X3301" i="6"/>
  <c r="W3301" i="6"/>
  <c r="V3301" i="6"/>
  <c r="U3301" i="6"/>
  <c r="I3301" i="6"/>
  <c r="U3300" i="6"/>
  <c r="I3300" i="6" s="1"/>
  <c r="X3299" i="6"/>
  <c r="U3299" i="6"/>
  <c r="U3298" i="6"/>
  <c r="U3297" i="6"/>
  <c r="I3297" i="6"/>
  <c r="U3296" i="6"/>
  <c r="V3295" i="6"/>
  <c r="U3295" i="6"/>
  <c r="I3295" i="6" s="1"/>
  <c r="V3294" i="6"/>
  <c r="U3294" i="6"/>
  <c r="X3293" i="6"/>
  <c r="W3293" i="6"/>
  <c r="U3293" i="6"/>
  <c r="V3293" i="6" s="1"/>
  <c r="K3293" i="6"/>
  <c r="J3293" i="6"/>
  <c r="I3293" i="6"/>
  <c r="U3292" i="6"/>
  <c r="I3292" i="6" s="1"/>
  <c r="U3291" i="6"/>
  <c r="U3290" i="6"/>
  <c r="W3289" i="6"/>
  <c r="U3289" i="6"/>
  <c r="X3289" i="6" s="1"/>
  <c r="I3289" i="6"/>
  <c r="K3289" i="6" s="1"/>
  <c r="P211" i="5" s="1"/>
  <c r="U3288" i="6"/>
  <c r="I3288" i="6"/>
  <c r="U3287" i="6"/>
  <c r="X3286" i="6"/>
  <c r="U3286" i="6"/>
  <c r="U3285" i="6"/>
  <c r="I3285" i="6"/>
  <c r="X3284" i="6"/>
  <c r="U3284" i="6"/>
  <c r="I3284" i="6" s="1"/>
  <c r="J3284" i="6" s="1"/>
  <c r="K3284" i="6"/>
  <c r="AA210" i="5" s="1"/>
  <c r="U3283" i="6"/>
  <c r="V3282" i="6"/>
  <c r="U3282" i="6"/>
  <c r="I3282" i="6" s="1"/>
  <c r="K3282" i="6" s="1"/>
  <c r="J3282" i="6"/>
  <c r="X3281" i="6"/>
  <c r="W3281" i="6"/>
  <c r="U3281" i="6"/>
  <c r="I3281" i="6" s="1"/>
  <c r="U3280" i="6"/>
  <c r="I3280" i="6"/>
  <c r="U3279" i="6"/>
  <c r="U3278" i="6"/>
  <c r="U3277" i="6"/>
  <c r="W3276" i="6"/>
  <c r="U3276" i="6"/>
  <c r="J3276" i="6"/>
  <c r="I3276" i="6"/>
  <c r="K3276" i="6" s="1"/>
  <c r="X3275" i="6"/>
  <c r="U3275" i="6"/>
  <c r="W3274" i="6"/>
  <c r="U3274" i="6"/>
  <c r="I3274" i="6" s="1"/>
  <c r="J3274" i="6" s="1"/>
  <c r="K3274" i="6"/>
  <c r="V3273" i="6"/>
  <c r="U3273" i="6"/>
  <c r="W3272" i="6"/>
  <c r="U3272" i="6"/>
  <c r="I3272" i="6" s="1"/>
  <c r="X3271" i="6"/>
  <c r="W3271" i="6"/>
  <c r="V3271" i="6"/>
  <c r="U3271" i="6"/>
  <c r="I3271" i="6"/>
  <c r="X3270" i="6"/>
  <c r="W3270" i="6"/>
  <c r="V3270" i="6"/>
  <c r="U3270" i="6"/>
  <c r="I3270" i="6" s="1"/>
  <c r="K3270" i="6" s="1"/>
  <c r="J3270" i="6"/>
  <c r="U3269" i="6"/>
  <c r="I3269" i="6" s="1"/>
  <c r="U3268" i="6"/>
  <c r="X3268" i="6" s="1"/>
  <c r="V3267" i="6"/>
  <c r="U3267" i="6"/>
  <c r="U3266" i="6"/>
  <c r="I3266" i="6"/>
  <c r="X3265" i="6"/>
  <c r="V3265" i="6"/>
  <c r="U3265" i="6"/>
  <c r="W3265" i="6" s="1"/>
  <c r="K3265" i="6"/>
  <c r="X209" i="5" s="1"/>
  <c r="J3265" i="6"/>
  <c r="I3265" i="6"/>
  <c r="X3264" i="6"/>
  <c r="W3264" i="6"/>
  <c r="U3264" i="6"/>
  <c r="V3264" i="6" s="1"/>
  <c r="K3264" i="6"/>
  <c r="W209" i="5" s="1"/>
  <c r="I3264" i="6"/>
  <c r="J3264" i="6" s="1"/>
  <c r="W3263" i="6"/>
  <c r="U3263" i="6"/>
  <c r="U3262" i="6"/>
  <c r="U3261" i="6"/>
  <c r="U3260" i="6"/>
  <c r="I3260" i="6" s="1"/>
  <c r="V3259" i="6"/>
  <c r="U3259" i="6"/>
  <c r="U3258" i="6"/>
  <c r="U3257" i="6"/>
  <c r="U3256" i="6"/>
  <c r="X3256" i="6" s="1"/>
  <c r="W3255" i="6"/>
  <c r="U3255" i="6"/>
  <c r="U3254" i="6"/>
  <c r="K3254" i="6"/>
  <c r="J3254" i="6"/>
  <c r="I3254" i="6"/>
  <c r="U3253" i="6"/>
  <c r="U3252" i="6"/>
  <c r="X3251" i="6"/>
  <c r="W3251" i="6"/>
  <c r="V3251" i="6"/>
  <c r="U3251" i="6"/>
  <c r="I3251" i="6"/>
  <c r="W3250" i="6"/>
  <c r="U3250" i="6"/>
  <c r="U3249" i="6"/>
  <c r="I3249" i="6"/>
  <c r="U3248" i="6"/>
  <c r="I3248" i="6" s="1"/>
  <c r="U3247" i="6"/>
  <c r="U3246" i="6"/>
  <c r="X3246" i="6" s="1"/>
  <c r="X3245" i="6"/>
  <c r="W3245" i="6"/>
  <c r="V3245" i="6"/>
  <c r="U3245" i="6"/>
  <c r="J3245" i="6"/>
  <c r="I3245" i="6"/>
  <c r="K3245" i="6" s="1"/>
  <c r="U3244" i="6"/>
  <c r="U3243" i="6"/>
  <c r="U3242" i="6"/>
  <c r="X3241" i="6"/>
  <c r="U3241" i="6"/>
  <c r="U3240" i="6"/>
  <c r="U3239" i="6"/>
  <c r="U3238" i="6"/>
  <c r="I3238" i="6" s="1"/>
  <c r="U3237" i="6"/>
  <c r="W3236" i="6"/>
  <c r="V3236" i="6"/>
  <c r="U3236" i="6"/>
  <c r="U3235" i="6"/>
  <c r="V3235" i="6" s="1"/>
  <c r="U3234" i="6"/>
  <c r="U3233" i="6"/>
  <c r="X3232" i="6"/>
  <c r="W3232" i="6"/>
  <c r="U3232" i="6"/>
  <c r="V3232" i="6" s="1"/>
  <c r="U3231" i="6"/>
  <c r="I3231" i="6" s="1"/>
  <c r="K3231" i="6" s="1"/>
  <c r="X3230" i="6"/>
  <c r="W3230" i="6"/>
  <c r="V3230" i="6"/>
  <c r="U3230" i="6"/>
  <c r="I3230" i="6" s="1"/>
  <c r="K3230" i="6"/>
  <c r="J3230" i="6"/>
  <c r="W3229" i="6"/>
  <c r="U3229" i="6"/>
  <c r="X3229" i="6" s="1"/>
  <c r="I3229" i="6"/>
  <c r="V3228" i="6"/>
  <c r="U3228" i="6"/>
  <c r="U3227" i="6"/>
  <c r="V3226" i="6"/>
  <c r="U3226" i="6"/>
  <c r="X3225" i="6"/>
  <c r="W3225" i="6"/>
  <c r="U3225" i="6"/>
  <c r="V3225" i="6" s="1"/>
  <c r="I3225" i="6"/>
  <c r="U3224" i="6"/>
  <c r="U3223" i="6"/>
  <c r="U3222" i="6"/>
  <c r="I3222" i="6" s="1"/>
  <c r="X3221" i="6"/>
  <c r="W3221" i="6"/>
  <c r="V3221" i="6"/>
  <c r="U3221" i="6"/>
  <c r="I3221" i="6" s="1"/>
  <c r="J3221" i="6" s="1"/>
  <c r="K3221" i="6"/>
  <c r="U3220" i="6"/>
  <c r="U3219" i="6"/>
  <c r="U3218" i="6"/>
  <c r="V3218" i="6" s="1"/>
  <c r="V3217" i="6"/>
  <c r="U3217" i="6"/>
  <c r="W3216" i="6"/>
  <c r="V3216" i="6"/>
  <c r="U3216" i="6"/>
  <c r="U3215" i="6"/>
  <c r="J3215" i="6"/>
  <c r="I3215" i="6"/>
  <c r="K3215" i="6" s="1"/>
  <c r="X3214" i="6"/>
  <c r="U3214" i="6"/>
  <c r="V3214" i="6" s="1"/>
  <c r="I3214" i="6"/>
  <c r="U3213" i="6"/>
  <c r="V3212" i="6"/>
  <c r="U3212" i="6"/>
  <c r="U3211" i="6"/>
  <c r="U3210" i="6"/>
  <c r="V3210" i="6" s="1"/>
  <c r="X3209" i="6"/>
  <c r="W3209" i="6"/>
  <c r="U3209" i="6"/>
  <c r="V3209" i="6" s="1"/>
  <c r="U3208" i="6"/>
  <c r="I3208" i="6"/>
  <c r="U3207" i="6"/>
  <c r="I3207" i="6" s="1"/>
  <c r="U3206" i="6"/>
  <c r="W3205" i="6"/>
  <c r="U3205" i="6"/>
  <c r="X3204" i="6"/>
  <c r="V3204" i="6"/>
  <c r="U3204" i="6"/>
  <c r="I3204" i="6" s="1"/>
  <c r="U3203" i="6"/>
  <c r="U3202" i="6"/>
  <c r="X3201" i="6"/>
  <c r="W3201" i="6"/>
  <c r="V3201" i="6"/>
  <c r="U3201" i="6"/>
  <c r="J3201" i="6"/>
  <c r="I3201" i="6"/>
  <c r="K3201" i="6" s="1"/>
  <c r="U3200" i="6"/>
  <c r="U3199" i="6"/>
  <c r="U3198" i="6"/>
  <c r="U3197" i="6"/>
  <c r="U3196" i="6"/>
  <c r="X3195" i="6"/>
  <c r="W3195" i="6"/>
  <c r="V3195" i="6"/>
  <c r="U3195" i="6"/>
  <c r="J3195" i="6"/>
  <c r="I3195" i="6"/>
  <c r="K3195" i="6" s="1"/>
  <c r="U3194" i="6"/>
  <c r="K3194" i="6"/>
  <c r="J3194" i="6"/>
  <c r="I3194" i="6"/>
  <c r="W3193" i="6"/>
  <c r="V3193" i="6"/>
  <c r="U3193" i="6"/>
  <c r="U3192" i="6"/>
  <c r="U3191" i="6"/>
  <c r="V3190" i="6"/>
  <c r="U3190" i="6"/>
  <c r="I3190" i="6" s="1"/>
  <c r="U3189" i="6"/>
  <c r="U3188" i="6"/>
  <c r="X3187" i="6"/>
  <c r="V3187" i="6"/>
  <c r="U3187" i="6"/>
  <c r="W3187" i="6" s="1"/>
  <c r="X3186" i="6"/>
  <c r="U3186" i="6"/>
  <c r="V3186" i="6" s="1"/>
  <c r="I3186" i="6"/>
  <c r="U3185" i="6"/>
  <c r="U3184" i="6"/>
  <c r="W3183" i="6"/>
  <c r="U3183" i="6"/>
  <c r="W3182" i="6"/>
  <c r="U3182" i="6"/>
  <c r="X3181" i="6"/>
  <c r="W3181" i="6"/>
  <c r="V3181" i="6"/>
  <c r="U3181" i="6"/>
  <c r="J3181" i="6"/>
  <c r="I3181" i="6"/>
  <c r="K3181" i="6" s="1"/>
  <c r="U3180" i="6"/>
  <c r="I3180" i="6"/>
  <c r="U3179" i="6"/>
  <c r="X3178" i="6"/>
  <c r="W3178" i="6"/>
  <c r="V3178" i="6"/>
  <c r="U3178" i="6"/>
  <c r="I3178" i="6" s="1"/>
  <c r="U3177" i="6"/>
  <c r="U3176" i="6"/>
  <c r="U3175" i="6"/>
  <c r="I3175" i="6"/>
  <c r="U3174" i="6"/>
  <c r="I3174" i="6" s="1"/>
  <c r="J3174" i="6" s="1"/>
  <c r="U3173" i="6"/>
  <c r="U3172" i="6"/>
  <c r="X3172" i="6" s="1"/>
  <c r="U3171" i="6"/>
  <c r="U3170" i="6"/>
  <c r="X3169" i="6"/>
  <c r="W3169" i="6"/>
  <c r="V3169" i="6"/>
  <c r="U3169" i="6"/>
  <c r="I3169" i="6" s="1"/>
  <c r="K3169" i="6" s="1"/>
  <c r="J3169" i="6"/>
  <c r="W3168" i="6"/>
  <c r="U3168" i="6"/>
  <c r="U3167" i="6"/>
  <c r="X3166" i="6"/>
  <c r="W3166" i="6"/>
  <c r="V3166" i="6"/>
  <c r="U3166" i="6"/>
  <c r="I3166" i="6"/>
  <c r="K3166" i="6" s="1"/>
  <c r="U203" i="5" s="1"/>
  <c r="U3165" i="6"/>
  <c r="V3165" i="6" s="1"/>
  <c r="I3165" i="6"/>
  <c r="U3164" i="6"/>
  <c r="I3164" i="6"/>
  <c r="U3163" i="6"/>
  <c r="I3163" i="6"/>
  <c r="X3162" i="6"/>
  <c r="W3162" i="6"/>
  <c r="V3162" i="6"/>
  <c r="U3162" i="6"/>
  <c r="I3162" i="6" s="1"/>
  <c r="K3162" i="6"/>
  <c r="Q203" i="5" s="1"/>
  <c r="J3162" i="6"/>
  <c r="X3161" i="6"/>
  <c r="V3161" i="6"/>
  <c r="U3161" i="6"/>
  <c r="W3161" i="6" s="1"/>
  <c r="I3161" i="6"/>
  <c r="X3160" i="6"/>
  <c r="U3160" i="6"/>
  <c r="I3160" i="6" s="1"/>
  <c r="X3159" i="6"/>
  <c r="W3159" i="6"/>
  <c r="V3159" i="6"/>
  <c r="U3159" i="6"/>
  <c r="I3159" i="6" s="1"/>
  <c r="X3158" i="6"/>
  <c r="W3158" i="6"/>
  <c r="U3158" i="6"/>
  <c r="I3158" i="6" s="1"/>
  <c r="X3157" i="6"/>
  <c r="V3157" i="6"/>
  <c r="U3157" i="6"/>
  <c r="I3157" i="6" s="1"/>
  <c r="U3156" i="6"/>
  <c r="V3156" i="6" s="1"/>
  <c r="U3155" i="6"/>
  <c r="W3155" i="6" s="1"/>
  <c r="U3154" i="6"/>
  <c r="X3153" i="6"/>
  <c r="W3153" i="6"/>
  <c r="V3153" i="6"/>
  <c r="U3153" i="6"/>
  <c r="I3153" i="6"/>
  <c r="W3152" i="6"/>
  <c r="U3152" i="6"/>
  <c r="X3152" i="6" s="1"/>
  <c r="U3151" i="6"/>
  <c r="V3151" i="6" s="1"/>
  <c r="U3150" i="6"/>
  <c r="X3149" i="6"/>
  <c r="W3149" i="6"/>
  <c r="V3149" i="6"/>
  <c r="U3149" i="6"/>
  <c r="I3149" i="6"/>
  <c r="V3148" i="6"/>
  <c r="U3148" i="6"/>
  <c r="I3148" i="6" s="1"/>
  <c r="U3147" i="6"/>
  <c r="X3146" i="6"/>
  <c r="U3146" i="6"/>
  <c r="I3146" i="6"/>
  <c r="X3145" i="6"/>
  <c r="W3145" i="6"/>
  <c r="U3145" i="6"/>
  <c r="V3145" i="6" s="1"/>
  <c r="I3145" i="6"/>
  <c r="U3144" i="6"/>
  <c r="U3143" i="6"/>
  <c r="X3142" i="6"/>
  <c r="W3142" i="6"/>
  <c r="V3142" i="6"/>
  <c r="U3142" i="6"/>
  <c r="I3142" i="6" s="1"/>
  <c r="J3142" i="6" s="1"/>
  <c r="K3142" i="6"/>
  <c r="M202" i="5" s="1"/>
  <c r="U3141" i="6"/>
  <c r="U3140" i="6"/>
  <c r="W3140" i="6" s="1"/>
  <c r="X3139" i="6"/>
  <c r="U3139" i="6"/>
  <c r="V3138" i="6"/>
  <c r="U3138" i="6"/>
  <c r="W3138" i="6" s="1"/>
  <c r="V3137" i="6"/>
  <c r="U3137" i="6"/>
  <c r="U3136" i="6"/>
  <c r="I3136" i="6"/>
  <c r="U3135" i="6"/>
  <c r="I3135" i="6"/>
  <c r="X3134" i="6"/>
  <c r="W3134" i="6"/>
  <c r="V3134" i="6"/>
  <c r="U3134" i="6"/>
  <c r="I3134" i="6" s="1"/>
  <c r="K3134" i="6" s="1"/>
  <c r="J3134" i="6"/>
  <c r="X3133" i="6"/>
  <c r="V3133" i="6"/>
  <c r="U3133" i="6"/>
  <c r="W3133" i="6" s="1"/>
  <c r="I3133" i="6"/>
  <c r="U3132" i="6"/>
  <c r="I3132" i="6" s="1"/>
  <c r="U3131" i="6"/>
  <c r="U3130" i="6"/>
  <c r="X3129" i="6"/>
  <c r="W3129" i="6"/>
  <c r="V3129" i="6"/>
  <c r="U3129" i="6"/>
  <c r="I3129" i="6"/>
  <c r="U3128" i="6"/>
  <c r="U3127" i="6"/>
  <c r="W3126" i="6"/>
  <c r="V3126" i="6"/>
  <c r="U3126" i="6"/>
  <c r="X3126" i="6" s="1"/>
  <c r="I3126" i="6"/>
  <c r="X3125" i="6"/>
  <c r="V3125" i="6"/>
  <c r="U3125" i="6"/>
  <c r="W3125" i="6" s="1"/>
  <c r="I3125" i="6"/>
  <c r="W3124" i="6"/>
  <c r="U3124" i="6"/>
  <c r="X3124" i="6" s="1"/>
  <c r="I3124" i="6"/>
  <c r="J3124" i="6" s="1"/>
  <c r="U3123" i="6"/>
  <c r="I3123" i="6" s="1"/>
  <c r="X3122" i="6"/>
  <c r="W3122" i="6"/>
  <c r="U3122" i="6"/>
  <c r="V3122" i="6" s="1"/>
  <c r="K3122" i="6"/>
  <c r="I3122" i="6"/>
  <c r="J3122" i="6" s="1"/>
  <c r="U3121" i="6"/>
  <c r="J3121" i="6"/>
  <c r="I3121" i="6"/>
  <c r="K3121" i="6" s="1"/>
  <c r="W3120" i="6"/>
  <c r="U3120" i="6"/>
  <c r="X3120" i="6" s="1"/>
  <c r="U3119" i="6"/>
  <c r="W3119" i="6" s="1"/>
  <c r="I3119" i="6"/>
  <c r="U3118" i="6"/>
  <c r="X3117" i="6"/>
  <c r="V3117" i="6"/>
  <c r="U3117" i="6"/>
  <c r="V3116" i="6"/>
  <c r="U3116" i="6"/>
  <c r="U3115" i="6"/>
  <c r="U3114" i="6"/>
  <c r="I3114" i="6" s="1"/>
  <c r="W3113" i="6"/>
  <c r="V3113" i="6"/>
  <c r="U3113" i="6"/>
  <c r="X3113" i="6" s="1"/>
  <c r="I3113" i="6"/>
  <c r="U3112" i="6"/>
  <c r="X3112" i="6" s="1"/>
  <c r="U3111" i="6"/>
  <c r="X3111" i="6" s="1"/>
  <c r="U3110" i="6"/>
  <c r="X3109" i="6"/>
  <c r="W3109" i="6"/>
  <c r="V3109" i="6"/>
  <c r="U3109" i="6"/>
  <c r="J3109" i="6"/>
  <c r="I3109" i="6"/>
  <c r="K3109" i="6" s="1"/>
  <c r="X3108" i="6"/>
  <c r="W3108" i="6"/>
  <c r="V3108" i="6"/>
  <c r="U3108" i="6"/>
  <c r="I3108" i="6"/>
  <c r="U3107" i="6"/>
  <c r="U3106" i="6"/>
  <c r="X3105" i="6"/>
  <c r="W3105" i="6"/>
  <c r="V3105" i="6"/>
  <c r="U3105" i="6"/>
  <c r="I3105" i="6"/>
  <c r="X3104" i="6"/>
  <c r="U3104" i="6"/>
  <c r="U3103" i="6"/>
  <c r="I3103" i="6" s="1"/>
  <c r="K3103" i="6" s="1"/>
  <c r="J3103" i="6"/>
  <c r="W3102" i="6"/>
  <c r="U3102" i="6"/>
  <c r="X3101" i="6"/>
  <c r="W3101" i="6"/>
  <c r="V3101" i="6"/>
  <c r="U3101" i="6"/>
  <c r="I3101" i="6"/>
  <c r="X3100" i="6"/>
  <c r="U3100" i="6"/>
  <c r="W3100" i="6" s="1"/>
  <c r="U3099" i="6"/>
  <c r="U3098" i="6"/>
  <c r="U3097" i="6"/>
  <c r="I3097" i="6"/>
  <c r="J3097" i="6" s="1"/>
  <c r="U3096" i="6"/>
  <c r="V3096" i="6" s="1"/>
  <c r="I3096" i="6"/>
  <c r="X3095" i="6"/>
  <c r="W3095" i="6"/>
  <c r="U3095" i="6"/>
  <c r="V3095" i="6" s="1"/>
  <c r="I3095" i="6"/>
  <c r="K3095" i="6" s="1"/>
  <c r="U3094" i="6"/>
  <c r="X3094" i="6" s="1"/>
  <c r="U3093" i="6"/>
  <c r="X3092" i="6"/>
  <c r="U3092" i="6"/>
  <c r="W3091" i="6"/>
  <c r="V3091" i="6"/>
  <c r="U3091" i="6"/>
  <c r="X3091" i="6" s="1"/>
  <c r="U3090" i="6"/>
  <c r="U3089" i="6"/>
  <c r="U3088" i="6"/>
  <c r="X3088" i="6" s="1"/>
  <c r="I3088" i="6"/>
  <c r="X3087" i="6"/>
  <c r="U3087" i="6"/>
  <c r="W3087" i="6" s="1"/>
  <c r="U3086" i="6"/>
  <c r="U3085" i="6"/>
  <c r="I3085" i="6"/>
  <c r="W3084" i="6"/>
  <c r="U3084" i="6"/>
  <c r="V3084" i="6" s="1"/>
  <c r="W3083" i="6"/>
  <c r="U3083" i="6"/>
  <c r="I3083" i="6" s="1"/>
  <c r="U3082" i="6"/>
  <c r="I3082" i="6" s="1"/>
  <c r="V3081" i="6"/>
  <c r="U3081" i="6"/>
  <c r="U3080" i="6"/>
  <c r="I3080" i="6" s="1"/>
  <c r="K3080" i="6" s="1"/>
  <c r="X3079" i="6"/>
  <c r="W3079" i="6"/>
  <c r="U3079" i="6"/>
  <c r="V3079" i="6" s="1"/>
  <c r="I3079" i="6"/>
  <c r="U3078" i="6"/>
  <c r="X3077" i="6"/>
  <c r="W3077" i="6"/>
  <c r="V3077" i="6"/>
  <c r="U3077" i="6"/>
  <c r="I3077" i="6"/>
  <c r="J3077" i="6" s="1"/>
  <c r="X3076" i="6"/>
  <c r="W3076" i="6"/>
  <c r="V3076" i="6"/>
  <c r="U3076" i="6"/>
  <c r="I3076" i="6" s="1"/>
  <c r="J3076" i="6" s="1"/>
  <c r="K3076" i="6"/>
  <c r="U3075" i="6"/>
  <c r="U3074" i="6"/>
  <c r="X3074" i="6" s="1"/>
  <c r="X3073" i="6"/>
  <c r="W3073" i="6"/>
  <c r="V3073" i="6"/>
  <c r="U3073" i="6"/>
  <c r="I3073" i="6" s="1"/>
  <c r="U3072" i="6"/>
  <c r="U3071" i="6"/>
  <c r="X3070" i="6"/>
  <c r="W3070" i="6"/>
  <c r="V3070" i="6"/>
  <c r="U3070" i="6"/>
  <c r="I3070" i="6" s="1"/>
  <c r="X3069" i="6"/>
  <c r="W3069" i="6"/>
  <c r="V3069" i="6"/>
  <c r="U3069" i="6"/>
  <c r="I3069" i="6"/>
  <c r="U3068" i="6"/>
  <c r="X3067" i="6"/>
  <c r="W3067" i="6"/>
  <c r="U3067" i="6"/>
  <c r="V3067" i="6" s="1"/>
  <c r="I3067" i="6"/>
  <c r="U3066" i="6"/>
  <c r="U3065" i="6"/>
  <c r="I3065" i="6"/>
  <c r="J3065" i="6" s="1"/>
  <c r="W3064" i="6"/>
  <c r="U3064" i="6"/>
  <c r="W3063" i="6"/>
  <c r="U3063" i="6"/>
  <c r="W3062" i="6"/>
  <c r="V3062" i="6"/>
  <c r="U3062" i="6"/>
  <c r="X3062" i="6" s="1"/>
  <c r="I3062" i="6"/>
  <c r="U3061" i="6"/>
  <c r="U3060" i="6"/>
  <c r="I3060" i="6"/>
  <c r="X3059" i="6"/>
  <c r="U3059" i="6"/>
  <c r="V3059" i="6" s="1"/>
  <c r="X3058" i="6"/>
  <c r="U3058" i="6"/>
  <c r="I3058" i="6" s="1"/>
  <c r="J3058" i="6" s="1"/>
  <c r="K3058" i="6"/>
  <c r="X3057" i="6"/>
  <c r="W3057" i="6"/>
  <c r="V3057" i="6"/>
  <c r="U3057" i="6"/>
  <c r="I3057" i="6"/>
  <c r="X3056" i="6"/>
  <c r="V3056" i="6"/>
  <c r="U3056" i="6"/>
  <c r="I3056" i="6" s="1"/>
  <c r="K3056" i="6" s="1"/>
  <c r="J3056" i="6"/>
  <c r="U3055" i="6"/>
  <c r="X3054" i="6"/>
  <c r="U3054" i="6"/>
  <c r="I3054" i="6" s="1"/>
  <c r="J3054" i="6" s="1"/>
  <c r="U3053" i="6"/>
  <c r="X3052" i="6"/>
  <c r="U3052" i="6"/>
  <c r="U3051" i="6"/>
  <c r="I3051" i="6"/>
  <c r="K3051" i="6" s="1"/>
  <c r="V3050" i="6"/>
  <c r="U3050" i="6"/>
  <c r="U3049" i="6"/>
  <c r="I3049" i="6" s="1"/>
  <c r="X3048" i="6"/>
  <c r="W3048" i="6"/>
  <c r="U3048" i="6"/>
  <c r="X3047" i="6"/>
  <c r="W3047" i="6"/>
  <c r="U3047" i="6"/>
  <c r="V3047" i="6" s="1"/>
  <c r="I3047" i="6"/>
  <c r="V3046" i="6"/>
  <c r="U3046" i="6"/>
  <c r="I3046" i="6"/>
  <c r="U3045" i="6"/>
  <c r="U3044" i="6"/>
  <c r="U3043" i="6"/>
  <c r="V3043" i="6" s="1"/>
  <c r="U3042" i="6"/>
  <c r="X3041" i="6"/>
  <c r="U3041" i="6"/>
  <c r="I3041" i="6" s="1"/>
  <c r="K3041" i="6"/>
  <c r="J3041" i="6"/>
  <c r="U3040" i="6"/>
  <c r="X3040" i="6" s="1"/>
  <c r="I3040" i="6"/>
  <c r="U3039" i="6"/>
  <c r="V3039" i="6" s="1"/>
  <c r="U3038" i="6"/>
  <c r="X3037" i="6"/>
  <c r="V3037" i="6"/>
  <c r="U3037" i="6"/>
  <c r="W3037" i="6" s="1"/>
  <c r="I3037" i="6"/>
  <c r="X3036" i="6"/>
  <c r="W3036" i="6"/>
  <c r="U3036" i="6"/>
  <c r="I3036" i="6" s="1"/>
  <c r="J3036" i="6" s="1"/>
  <c r="V3035" i="6"/>
  <c r="U3035" i="6"/>
  <c r="I3035" i="6"/>
  <c r="X3034" i="6"/>
  <c r="V3034" i="6"/>
  <c r="U3034" i="6"/>
  <c r="X3033" i="6"/>
  <c r="W3033" i="6"/>
  <c r="U3033" i="6"/>
  <c r="V3033" i="6" s="1"/>
  <c r="I3033" i="6"/>
  <c r="V3032" i="6"/>
  <c r="U3032" i="6"/>
  <c r="U3031" i="6"/>
  <c r="X3031" i="6" s="1"/>
  <c r="U3030" i="6"/>
  <c r="I3030" i="6"/>
  <c r="W3029" i="6"/>
  <c r="V3029" i="6"/>
  <c r="U3029" i="6"/>
  <c r="I3029" i="6" s="1"/>
  <c r="K3029" i="6"/>
  <c r="J3029" i="6"/>
  <c r="U3028" i="6"/>
  <c r="W3027" i="6"/>
  <c r="U3027" i="6"/>
  <c r="I3027" i="6"/>
  <c r="W3026" i="6"/>
  <c r="U3026" i="6"/>
  <c r="V3026" i="6" s="1"/>
  <c r="X3025" i="6"/>
  <c r="W3025" i="6"/>
  <c r="V3025" i="6"/>
  <c r="U3025" i="6"/>
  <c r="I3025" i="6"/>
  <c r="K3025" i="6" s="1"/>
  <c r="U3024" i="6"/>
  <c r="U3023" i="6"/>
  <c r="U3022" i="6"/>
  <c r="X3022" i="6" s="1"/>
  <c r="I3022" i="6"/>
  <c r="U3021" i="6"/>
  <c r="W3021" i="6" s="1"/>
  <c r="K3021" i="6"/>
  <c r="J3021" i="6"/>
  <c r="I3021" i="6"/>
  <c r="V3020" i="6"/>
  <c r="U3020" i="6"/>
  <c r="X3019" i="6"/>
  <c r="W3019" i="6"/>
  <c r="V3019" i="6"/>
  <c r="U3019" i="6"/>
  <c r="I3019" i="6"/>
  <c r="X3018" i="6"/>
  <c r="W3018" i="6"/>
  <c r="V3018" i="6"/>
  <c r="U3018" i="6"/>
  <c r="I3018" i="6" s="1"/>
  <c r="K3018" i="6" s="1"/>
  <c r="J3018" i="6"/>
  <c r="U3017" i="6"/>
  <c r="U3016" i="6"/>
  <c r="V3015" i="6"/>
  <c r="U3015" i="6"/>
  <c r="W3015" i="6" s="1"/>
  <c r="W3014" i="6"/>
  <c r="V3014" i="6"/>
  <c r="U3014" i="6"/>
  <c r="X3013" i="6"/>
  <c r="W3013" i="6"/>
  <c r="V3013" i="6"/>
  <c r="U3013" i="6"/>
  <c r="I3013" i="6"/>
  <c r="J3013" i="6" s="1"/>
  <c r="U3012" i="6"/>
  <c r="U3011" i="6"/>
  <c r="X3010" i="6"/>
  <c r="W3010" i="6"/>
  <c r="V3010" i="6"/>
  <c r="U3010" i="6"/>
  <c r="I3010" i="6"/>
  <c r="K3010" i="6" s="1"/>
  <c r="U3009" i="6"/>
  <c r="I3009" i="6" s="1"/>
  <c r="W3008" i="6"/>
  <c r="U3008" i="6"/>
  <c r="X3007" i="6"/>
  <c r="W3007" i="6"/>
  <c r="V3007" i="6"/>
  <c r="U3007" i="6"/>
  <c r="I3007" i="6"/>
  <c r="U3006" i="6"/>
  <c r="I3006" i="6"/>
  <c r="J3006" i="6" s="1"/>
  <c r="U3005" i="6"/>
  <c r="K3005" i="6"/>
  <c r="T193" i="5" s="1"/>
  <c r="I3005" i="6"/>
  <c r="J3005" i="6" s="1"/>
  <c r="W3004" i="6"/>
  <c r="V3004" i="6"/>
  <c r="U3004" i="6"/>
  <c r="X3004" i="6" s="1"/>
  <c r="K3004" i="6"/>
  <c r="I3004" i="6"/>
  <c r="J3004" i="6" s="1"/>
  <c r="U3003" i="6"/>
  <c r="U3002" i="6"/>
  <c r="I3002" i="6"/>
  <c r="X3001" i="6"/>
  <c r="V3001" i="6"/>
  <c r="U3001" i="6"/>
  <c r="W3001" i="6" s="1"/>
  <c r="X3000" i="6"/>
  <c r="U3000" i="6"/>
  <c r="W3000" i="6" s="1"/>
  <c r="W2999" i="6"/>
  <c r="U2999" i="6"/>
  <c r="U2998" i="6"/>
  <c r="X2997" i="6"/>
  <c r="U2997" i="6"/>
  <c r="J2997" i="6"/>
  <c r="I2997" i="6"/>
  <c r="K2997" i="6" s="1"/>
  <c r="U2996" i="6"/>
  <c r="V2996" i="6" s="1"/>
  <c r="I2996" i="6"/>
  <c r="U2995" i="6"/>
  <c r="V2995" i="6" s="1"/>
  <c r="W2994" i="6"/>
  <c r="V2994" i="6"/>
  <c r="U2994" i="6"/>
  <c r="U2993" i="6"/>
  <c r="U2992" i="6"/>
  <c r="I2992" i="6"/>
  <c r="J2992" i="6" s="1"/>
  <c r="U2991" i="6"/>
  <c r="W2990" i="6"/>
  <c r="U2990" i="6"/>
  <c r="V2989" i="6"/>
  <c r="U2989" i="6"/>
  <c r="X2989" i="6" s="1"/>
  <c r="I2989" i="6"/>
  <c r="X2988" i="6"/>
  <c r="U2988" i="6"/>
  <c r="U2987" i="6"/>
  <c r="U2986" i="6"/>
  <c r="V2985" i="6"/>
  <c r="U2985" i="6"/>
  <c r="X2984" i="6"/>
  <c r="V2984" i="6"/>
  <c r="U2984" i="6"/>
  <c r="W2984" i="6" s="1"/>
  <c r="I2984" i="6"/>
  <c r="X2983" i="6"/>
  <c r="W2983" i="6"/>
  <c r="V2983" i="6"/>
  <c r="U2983" i="6"/>
  <c r="I2983" i="6" s="1"/>
  <c r="K2983" i="6" s="1"/>
  <c r="J2983" i="6"/>
  <c r="U2982" i="6"/>
  <c r="V2981" i="6"/>
  <c r="U2981" i="6"/>
  <c r="I2981" i="6"/>
  <c r="X2980" i="6"/>
  <c r="U2980" i="6"/>
  <c r="W2979" i="6"/>
  <c r="U2979" i="6"/>
  <c r="X2978" i="6"/>
  <c r="W2978" i="6"/>
  <c r="U2978" i="6"/>
  <c r="I2978" i="6" s="1"/>
  <c r="K2978" i="6" s="1"/>
  <c r="J2978" i="6"/>
  <c r="W2977" i="6"/>
  <c r="V2977" i="6"/>
  <c r="U2977" i="6"/>
  <c r="X2977" i="6" s="1"/>
  <c r="I2977" i="6"/>
  <c r="W2976" i="6"/>
  <c r="U2976" i="6"/>
  <c r="V2976" i="6" s="1"/>
  <c r="X2975" i="6"/>
  <c r="V2975" i="6"/>
  <c r="U2975" i="6"/>
  <c r="U2974" i="6"/>
  <c r="X2973" i="6"/>
  <c r="W2973" i="6"/>
  <c r="V2973" i="6"/>
  <c r="U2973" i="6"/>
  <c r="I2973" i="6"/>
  <c r="J2973" i="6" s="1"/>
  <c r="U2972" i="6"/>
  <c r="X2971" i="6"/>
  <c r="W2971" i="6"/>
  <c r="V2971" i="6"/>
  <c r="U2971" i="6"/>
  <c r="I2971" i="6"/>
  <c r="U2970" i="6"/>
  <c r="W2970" i="6" s="1"/>
  <c r="W2969" i="6"/>
  <c r="U2969" i="6"/>
  <c r="W2968" i="6"/>
  <c r="V2968" i="6"/>
  <c r="U2968" i="6"/>
  <c r="U2967" i="6"/>
  <c r="U2966" i="6"/>
  <c r="V2965" i="6"/>
  <c r="U2965" i="6"/>
  <c r="I2965" i="6" s="1"/>
  <c r="J2965" i="6" s="1"/>
  <c r="X2964" i="6"/>
  <c r="W2964" i="6"/>
  <c r="U2964" i="6"/>
  <c r="U2963" i="6"/>
  <c r="U2962" i="6"/>
  <c r="I2962" i="6" s="1"/>
  <c r="X2961" i="6"/>
  <c r="V2961" i="6"/>
  <c r="U2961" i="6"/>
  <c r="U2960" i="6"/>
  <c r="U2959" i="6"/>
  <c r="U2958" i="6"/>
  <c r="W2958" i="6" s="1"/>
  <c r="X2957" i="6"/>
  <c r="W2957" i="6"/>
  <c r="V2957" i="6"/>
  <c r="U2957" i="6"/>
  <c r="I2957" i="6" s="1"/>
  <c r="U2956" i="6"/>
  <c r="U2955" i="6"/>
  <c r="U2954" i="6"/>
  <c r="X2953" i="6"/>
  <c r="W2953" i="6"/>
  <c r="U2953" i="6"/>
  <c r="V2953" i="6" s="1"/>
  <c r="K2953" i="6"/>
  <c r="J2953" i="6"/>
  <c r="I2953" i="6"/>
  <c r="V2952" i="6"/>
  <c r="U2952" i="6"/>
  <c r="I2952" i="6" s="1"/>
  <c r="U2951" i="6"/>
  <c r="I2951" i="6" s="1"/>
  <c r="U2950" i="6"/>
  <c r="V2950" i="6" s="1"/>
  <c r="X2949" i="6"/>
  <c r="U2949" i="6"/>
  <c r="I2949" i="6" s="1"/>
  <c r="U2948" i="6"/>
  <c r="U2947" i="6"/>
  <c r="W2947" i="6" s="1"/>
  <c r="I2947" i="6"/>
  <c r="W2946" i="6"/>
  <c r="V2946" i="6"/>
  <c r="U2946" i="6"/>
  <c r="X2945" i="6"/>
  <c r="W2945" i="6"/>
  <c r="U2945" i="6"/>
  <c r="V2945" i="6" s="1"/>
  <c r="I2945" i="6"/>
  <c r="K2945" i="6" s="1"/>
  <c r="U2944" i="6"/>
  <c r="X2943" i="6"/>
  <c r="W2943" i="6"/>
  <c r="V2943" i="6"/>
  <c r="U2943" i="6"/>
  <c r="I2943" i="6"/>
  <c r="X2942" i="6"/>
  <c r="V2942" i="6"/>
  <c r="U2942" i="6"/>
  <c r="U2941" i="6"/>
  <c r="U2940" i="6"/>
  <c r="U2939" i="6"/>
  <c r="U2938" i="6"/>
  <c r="V2937" i="6"/>
  <c r="U2937" i="6"/>
  <c r="I2937" i="6"/>
  <c r="K2937" i="6" s="1"/>
  <c r="X2936" i="6"/>
  <c r="U2936" i="6"/>
  <c r="W2935" i="6"/>
  <c r="V2935" i="6"/>
  <c r="U2935" i="6"/>
  <c r="X2935" i="6" s="1"/>
  <c r="I2935" i="6"/>
  <c r="K2935" i="6" s="1"/>
  <c r="U2934" i="6"/>
  <c r="X2933" i="6"/>
  <c r="W2933" i="6"/>
  <c r="V2933" i="6"/>
  <c r="U2933" i="6"/>
  <c r="I2933" i="6"/>
  <c r="V2932" i="6"/>
  <c r="U2932" i="6"/>
  <c r="W2932" i="6" s="1"/>
  <c r="U2931" i="6"/>
  <c r="V2930" i="6"/>
  <c r="U2930" i="6"/>
  <c r="I2930" i="6"/>
  <c r="J2930" i="6" s="1"/>
  <c r="X2929" i="6"/>
  <c r="U2929" i="6"/>
  <c r="W2929" i="6" s="1"/>
  <c r="J2929" i="6"/>
  <c r="I2929" i="6"/>
  <c r="K2929" i="6" s="1"/>
  <c r="U2928" i="6"/>
  <c r="U2927" i="6"/>
  <c r="U2926" i="6"/>
  <c r="I2926" i="6"/>
  <c r="K2926" i="6" s="1"/>
  <c r="W2925" i="6"/>
  <c r="V2925" i="6"/>
  <c r="U2925" i="6"/>
  <c r="X2925" i="6" s="1"/>
  <c r="I2925" i="6"/>
  <c r="U2924" i="6"/>
  <c r="U2923" i="6"/>
  <c r="U2922" i="6"/>
  <c r="U2921" i="6"/>
  <c r="U2920" i="6"/>
  <c r="I2920" i="6"/>
  <c r="J2920" i="6" s="1"/>
  <c r="U2919" i="6"/>
  <c r="I2919" i="6"/>
  <c r="X2918" i="6"/>
  <c r="W2918" i="6"/>
  <c r="V2918" i="6"/>
  <c r="U2918" i="6"/>
  <c r="I2918" i="6" s="1"/>
  <c r="K2918" i="6"/>
  <c r="J2918" i="6"/>
  <c r="U2917" i="6"/>
  <c r="X2916" i="6"/>
  <c r="U2916" i="6"/>
  <c r="U2915" i="6"/>
  <c r="V2914" i="6"/>
  <c r="U2914" i="6"/>
  <c r="V2913" i="6"/>
  <c r="U2913" i="6"/>
  <c r="I2913" i="6"/>
  <c r="K2913" i="6" s="1"/>
  <c r="W2912" i="6"/>
  <c r="U2912" i="6"/>
  <c r="U2911" i="6"/>
  <c r="V2911" i="6" s="1"/>
  <c r="I2911" i="6"/>
  <c r="W2910" i="6"/>
  <c r="U2910" i="6"/>
  <c r="I2910" i="6"/>
  <c r="U2909" i="6"/>
  <c r="I2909" i="6"/>
  <c r="U2908" i="6"/>
  <c r="X2908" i="6" s="1"/>
  <c r="I2908" i="6"/>
  <c r="K2908" i="6" s="1"/>
  <c r="S187" i="5" s="1"/>
  <c r="V2907" i="6"/>
  <c r="U2907" i="6"/>
  <c r="I2907" i="6" s="1"/>
  <c r="X2906" i="6"/>
  <c r="W2906" i="6"/>
  <c r="U2906" i="6"/>
  <c r="V2906" i="6" s="1"/>
  <c r="I2906" i="6"/>
  <c r="K2906" i="6" s="1"/>
  <c r="X2905" i="6"/>
  <c r="W2905" i="6"/>
  <c r="V2905" i="6"/>
  <c r="U2905" i="6"/>
  <c r="I2905" i="6" s="1"/>
  <c r="X2904" i="6"/>
  <c r="U2904" i="6"/>
  <c r="V2904" i="6" s="1"/>
  <c r="J2904" i="6"/>
  <c r="I2904" i="6"/>
  <c r="K2904" i="6" s="1"/>
  <c r="U2903" i="6"/>
  <c r="I2903" i="6"/>
  <c r="K2903" i="6" s="1"/>
  <c r="U2902" i="6"/>
  <c r="U2901" i="6"/>
  <c r="I2901" i="6" s="1"/>
  <c r="U2900" i="6"/>
  <c r="X2900" i="6" s="1"/>
  <c r="U2899" i="6"/>
  <c r="U2898" i="6"/>
  <c r="X2897" i="6"/>
  <c r="W2897" i="6"/>
  <c r="U2897" i="6"/>
  <c r="V2897" i="6" s="1"/>
  <c r="U2896" i="6"/>
  <c r="V2896" i="6" s="1"/>
  <c r="I2896" i="6"/>
  <c r="X2895" i="6"/>
  <c r="V2895" i="6"/>
  <c r="U2895" i="6"/>
  <c r="W2895" i="6" s="1"/>
  <c r="I2895" i="6"/>
  <c r="K2895" i="6" s="1"/>
  <c r="W2894" i="6"/>
  <c r="V2894" i="6"/>
  <c r="U2894" i="6"/>
  <c r="W2893" i="6"/>
  <c r="V2893" i="6"/>
  <c r="U2893" i="6"/>
  <c r="X2893" i="6" s="1"/>
  <c r="I2893" i="6"/>
  <c r="U2892" i="6"/>
  <c r="I2892" i="6"/>
  <c r="X2891" i="6"/>
  <c r="U2891" i="6"/>
  <c r="U2890" i="6"/>
  <c r="U2889" i="6"/>
  <c r="I2889" i="6"/>
  <c r="U2888" i="6"/>
  <c r="U2887" i="6"/>
  <c r="W2887" i="6" s="1"/>
  <c r="I2887" i="6"/>
  <c r="X2886" i="6"/>
  <c r="W2886" i="6"/>
  <c r="U2886" i="6"/>
  <c r="X2885" i="6"/>
  <c r="W2885" i="6"/>
  <c r="V2885" i="6"/>
  <c r="U2885" i="6"/>
  <c r="I2885" i="6" s="1"/>
  <c r="J2885" i="6" s="1"/>
  <c r="K2885" i="6"/>
  <c r="W2884" i="6"/>
  <c r="U2884" i="6"/>
  <c r="U2883" i="6"/>
  <c r="V2883" i="6" s="1"/>
  <c r="U2882" i="6"/>
  <c r="U2881" i="6"/>
  <c r="U2880" i="6"/>
  <c r="W2880" i="6" s="1"/>
  <c r="X2879" i="6"/>
  <c r="U2879" i="6"/>
  <c r="I2879" i="6" s="1"/>
  <c r="U2878" i="6"/>
  <c r="W2878" i="6" s="1"/>
  <c r="I2878" i="6"/>
  <c r="J2878" i="6" s="1"/>
  <c r="U2877" i="6"/>
  <c r="I2877" i="6"/>
  <c r="K2877" i="6" s="1"/>
  <c r="U2876" i="6"/>
  <c r="U2875" i="6"/>
  <c r="U2874" i="6"/>
  <c r="I2874" i="6"/>
  <c r="V2873" i="6"/>
  <c r="U2873" i="6"/>
  <c r="I2873" i="6"/>
  <c r="W2872" i="6"/>
  <c r="V2872" i="6"/>
  <c r="U2872" i="6"/>
  <c r="X2872" i="6" s="1"/>
  <c r="I2872" i="6"/>
  <c r="J2872" i="6" s="1"/>
  <c r="X2871" i="6"/>
  <c r="U2871" i="6"/>
  <c r="X2870" i="6"/>
  <c r="W2870" i="6"/>
  <c r="V2870" i="6"/>
  <c r="U2870" i="6"/>
  <c r="I2870" i="6" s="1"/>
  <c r="V2869" i="6"/>
  <c r="U2869" i="6"/>
  <c r="U2868" i="6"/>
  <c r="U2867" i="6"/>
  <c r="U2866" i="6"/>
  <c r="V2865" i="6"/>
  <c r="U2865" i="6"/>
  <c r="I2865" i="6"/>
  <c r="U2864" i="6"/>
  <c r="U2863" i="6"/>
  <c r="V2862" i="6"/>
  <c r="U2862" i="6"/>
  <c r="U2861" i="6"/>
  <c r="K2861" i="6"/>
  <c r="J2861" i="6"/>
  <c r="I2861" i="6"/>
  <c r="U2860" i="6"/>
  <c r="I2860" i="6" s="1"/>
  <c r="U2859" i="6"/>
  <c r="W2859" i="6" s="1"/>
  <c r="U2858" i="6"/>
  <c r="X2857" i="6"/>
  <c r="W2857" i="6"/>
  <c r="V2857" i="6"/>
  <c r="U2857" i="6"/>
  <c r="I2857" i="6"/>
  <c r="U2856" i="6"/>
  <c r="X2855" i="6"/>
  <c r="W2855" i="6"/>
  <c r="U2855" i="6"/>
  <c r="V2855" i="6" s="1"/>
  <c r="I2855" i="6"/>
  <c r="X2854" i="6"/>
  <c r="V2854" i="6"/>
  <c r="U2854" i="6"/>
  <c r="W2854" i="6" s="1"/>
  <c r="I2854" i="6"/>
  <c r="X2853" i="6"/>
  <c r="W2853" i="6"/>
  <c r="V2853" i="6"/>
  <c r="U2853" i="6"/>
  <c r="I2853" i="6"/>
  <c r="V2852" i="6"/>
  <c r="U2852" i="6"/>
  <c r="I2852" i="6"/>
  <c r="U2851" i="6"/>
  <c r="W2851" i="6" s="1"/>
  <c r="U2850" i="6"/>
  <c r="X2850" i="6" s="1"/>
  <c r="U2849" i="6"/>
  <c r="I2849" i="6" s="1"/>
  <c r="X2848" i="6"/>
  <c r="W2848" i="6"/>
  <c r="U2848" i="6"/>
  <c r="X2847" i="6"/>
  <c r="W2847" i="6"/>
  <c r="V2847" i="6"/>
  <c r="U2847" i="6"/>
  <c r="I2847" i="6" s="1"/>
  <c r="U2846" i="6"/>
  <c r="U2845" i="6"/>
  <c r="X2844" i="6"/>
  <c r="W2844" i="6"/>
  <c r="U2844" i="6"/>
  <c r="V2844" i="6" s="1"/>
  <c r="I2844" i="6"/>
  <c r="J2844" i="6" s="1"/>
  <c r="X2843" i="6"/>
  <c r="V2843" i="6"/>
  <c r="U2843" i="6"/>
  <c r="W2843" i="6" s="1"/>
  <c r="I2843" i="6"/>
  <c r="U2842" i="6"/>
  <c r="X2841" i="6"/>
  <c r="W2841" i="6"/>
  <c r="V2841" i="6"/>
  <c r="U2841" i="6"/>
  <c r="I2841" i="6" s="1"/>
  <c r="K2841" i="6" s="1"/>
  <c r="X2840" i="6"/>
  <c r="U2840" i="6"/>
  <c r="U2839" i="6"/>
  <c r="U2838" i="6"/>
  <c r="W2838" i="6" s="1"/>
  <c r="X2837" i="6"/>
  <c r="W2837" i="6"/>
  <c r="V2837" i="6"/>
  <c r="U2837" i="6"/>
  <c r="I2837" i="6" s="1"/>
  <c r="W2836" i="6"/>
  <c r="V2836" i="6"/>
  <c r="U2836" i="6"/>
  <c r="U2835" i="6"/>
  <c r="U2834" i="6"/>
  <c r="V2834" i="6" s="1"/>
  <c r="J2834" i="6"/>
  <c r="I2834" i="6"/>
  <c r="K2834" i="6" s="1"/>
  <c r="U2833" i="6"/>
  <c r="U2832" i="6"/>
  <c r="U2831" i="6"/>
  <c r="W2831" i="6" s="1"/>
  <c r="W2830" i="6"/>
  <c r="V2830" i="6"/>
  <c r="U2830" i="6"/>
  <c r="X2830" i="6" s="1"/>
  <c r="K2830" i="6"/>
  <c r="J2830" i="6"/>
  <c r="I2830" i="6"/>
  <c r="U2829" i="6"/>
  <c r="U2828" i="6"/>
  <c r="W2827" i="6"/>
  <c r="U2827" i="6"/>
  <c r="V2827" i="6" s="1"/>
  <c r="X2826" i="6"/>
  <c r="U2826" i="6"/>
  <c r="I2826" i="6" s="1"/>
  <c r="X2825" i="6"/>
  <c r="W2825" i="6"/>
  <c r="V2825" i="6"/>
  <c r="U2825" i="6"/>
  <c r="K2825" i="6"/>
  <c r="J2825" i="6"/>
  <c r="I2825" i="6"/>
  <c r="U2824" i="6"/>
  <c r="I2824" i="6"/>
  <c r="U2823" i="6"/>
  <c r="W2822" i="6"/>
  <c r="V2822" i="6"/>
  <c r="U2822" i="6"/>
  <c r="X2822" i="6" s="1"/>
  <c r="I2822" i="6"/>
  <c r="K2822" i="6" s="1"/>
  <c r="M182" i="5" s="1"/>
  <c r="X2821" i="6"/>
  <c r="W2821" i="6"/>
  <c r="V2821" i="6"/>
  <c r="U2821" i="6"/>
  <c r="I2821" i="6"/>
  <c r="U2820" i="6"/>
  <c r="U2819" i="6"/>
  <c r="J2819" i="6"/>
  <c r="I2819" i="6"/>
  <c r="K2819" i="6" s="1"/>
  <c r="U2818" i="6"/>
  <c r="X2817" i="6"/>
  <c r="W2817" i="6"/>
  <c r="V2817" i="6"/>
  <c r="U2817" i="6"/>
  <c r="K2817" i="6"/>
  <c r="X181" i="5" s="1"/>
  <c r="I2817" i="6"/>
  <c r="J2817" i="6" s="1"/>
  <c r="X2816" i="6"/>
  <c r="W2816" i="6"/>
  <c r="U2816" i="6"/>
  <c r="X2815" i="6"/>
  <c r="V2815" i="6"/>
  <c r="U2815" i="6"/>
  <c r="V2814" i="6"/>
  <c r="U2814" i="6"/>
  <c r="X2814" i="6" s="1"/>
  <c r="X2813" i="6"/>
  <c r="U2813" i="6"/>
  <c r="W2813" i="6" s="1"/>
  <c r="I2813" i="6"/>
  <c r="U2812" i="6"/>
  <c r="U2811" i="6"/>
  <c r="X2810" i="6"/>
  <c r="V2810" i="6"/>
  <c r="U2810" i="6"/>
  <c r="W2810" i="6" s="1"/>
  <c r="I2810" i="6"/>
  <c r="V2809" i="6"/>
  <c r="U2809" i="6"/>
  <c r="I2809" i="6" s="1"/>
  <c r="U2808" i="6"/>
  <c r="V2808" i="6" s="1"/>
  <c r="W2807" i="6"/>
  <c r="U2807" i="6"/>
  <c r="X2807" i="6" s="1"/>
  <c r="U2806" i="6"/>
  <c r="I2806" i="6"/>
  <c r="U2805" i="6"/>
  <c r="I2805" i="6"/>
  <c r="X2804" i="6"/>
  <c r="U2804" i="6"/>
  <c r="U2803" i="6"/>
  <c r="W2802" i="6"/>
  <c r="V2802" i="6"/>
  <c r="U2802" i="6"/>
  <c r="X2802" i="6" s="1"/>
  <c r="I2802" i="6"/>
  <c r="U2801" i="6"/>
  <c r="X2801" i="6" s="1"/>
  <c r="I2801" i="6"/>
  <c r="U2800" i="6"/>
  <c r="U2799" i="6"/>
  <c r="X2798" i="6"/>
  <c r="U2798" i="6"/>
  <c r="U2797" i="6"/>
  <c r="X2796" i="6"/>
  <c r="U2796" i="6"/>
  <c r="U2795" i="6"/>
  <c r="U2794" i="6"/>
  <c r="X2793" i="6"/>
  <c r="W2793" i="6"/>
  <c r="V2793" i="6"/>
  <c r="U2793" i="6"/>
  <c r="I2793" i="6"/>
  <c r="J2793" i="6" s="1"/>
  <c r="X2792" i="6"/>
  <c r="W2792" i="6"/>
  <c r="U2792" i="6"/>
  <c r="U2791" i="6"/>
  <c r="U2790" i="6"/>
  <c r="U2789" i="6"/>
  <c r="I2789" i="6" s="1"/>
  <c r="U2788" i="6"/>
  <c r="U2787" i="6"/>
  <c r="I2787" i="6" s="1"/>
  <c r="U2786" i="6"/>
  <c r="U2785" i="6"/>
  <c r="W2784" i="6"/>
  <c r="U2784" i="6"/>
  <c r="V2784" i="6" s="1"/>
  <c r="U2783" i="6"/>
  <c r="X2783" i="6" s="1"/>
  <c r="W2782" i="6"/>
  <c r="V2782" i="6"/>
  <c r="U2782" i="6"/>
  <c r="X2782" i="6" s="1"/>
  <c r="I2782" i="6"/>
  <c r="X2781" i="6"/>
  <c r="W2781" i="6"/>
  <c r="U2781" i="6"/>
  <c r="V2781" i="6" s="1"/>
  <c r="I2781" i="6"/>
  <c r="U2780" i="6"/>
  <c r="V2780" i="6" s="1"/>
  <c r="U2779" i="6"/>
  <c r="I2779" i="6" s="1"/>
  <c r="X2778" i="6"/>
  <c r="W2778" i="6"/>
  <c r="V2778" i="6"/>
  <c r="U2778" i="6"/>
  <c r="I2778" i="6" s="1"/>
  <c r="K2778" i="6"/>
  <c r="J2778" i="6"/>
  <c r="X2777" i="6"/>
  <c r="W2777" i="6"/>
  <c r="V2777" i="6"/>
  <c r="U2777" i="6"/>
  <c r="I2777" i="6"/>
  <c r="U2776" i="6"/>
  <c r="V2775" i="6"/>
  <c r="U2775" i="6"/>
  <c r="I2775" i="6"/>
  <c r="K2775" i="6" s="1"/>
  <c r="W2774" i="6"/>
  <c r="V2774" i="6"/>
  <c r="U2774" i="6"/>
  <c r="U2773" i="6"/>
  <c r="I2773" i="6"/>
  <c r="U2772" i="6"/>
  <c r="U2771" i="6"/>
  <c r="I2771" i="6" s="1"/>
  <c r="U2770" i="6"/>
  <c r="X2770" i="6" s="1"/>
  <c r="U2769" i="6"/>
  <c r="V2769" i="6" s="1"/>
  <c r="I2769" i="6"/>
  <c r="U2768" i="6"/>
  <c r="X2767" i="6"/>
  <c r="W2767" i="6"/>
  <c r="V2767" i="6"/>
  <c r="U2767" i="6"/>
  <c r="I2767" i="6"/>
  <c r="K2767" i="6" s="1"/>
  <c r="U2766" i="6"/>
  <c r="X2765" i="6"/>
  <c r="W2765" i="6"/>
  <c r="V2765" i="6"/>
  <c r="U2765" i="6"/>
  <c r="I2765" i="6"/>
  <c r="U2764" i="6"/>
  <c r="U2763" i="6"/>
  <c r="X2762" i="6"/>
  <c r="U2762" i="6"/>
  <c r="I2762" i="6"/>
  <c r="U2761" i="6"/>
  <c r="V2761" i="6" s="1"/>
  <c r="U2760" i="6"/>
  <c r="W2760" i="6" s="1"/>
  <c r="I2760" i="6"/>
  <c r="K2760" i="6" s="1"/>
  <c r="W2759" i="6"/>
  <c r="U2759" i="6"/>
  <c r="W2758" i="6"/>
  <c r="U2758" i="6"/>
  <c r="V2758" i="6" s="1"/>
  <c r="X2757" i="6"/>
  <c r="W2757" i="6"/>
  <c r="V2757" i="6"/>
  <c r="U2757" i="6"/>
  <c r="I2757" i="6"/>
  <c r="W2756" i="6"/>
  <c r="U2756" i="6"/>
  <c r="U2755" i="6"/>
  <c r="U2754" i="6"/>
  <c r="I2754" i="6"/>
  <c r="X2753" i="6"/>
  <c r="W2753" i="6"/>
  <c r="V2753" i="6"/>
  <c r="U2753" i="6"/>
  <c r="I2753" i="6" s="1"/>
  <c r="X2752" i="6"/>
  <c r="W2752" i="6"/>
  <c r="V2752" i="6"/>
  <c r="U2752" i="6"/>
  <c r="I2752" i="6"/>
  <c r="U2751" i="6"/>
  <c r="X2750" i="6"/>
  <c r="V2750" i="6"/>
  <c r="U2750" i="6"/>
  <c r="W2750" i="6" s="1"/>
  <c r="J2750" i="6"/>
  <c r="I2750" i="6"/>
  <c r="K2750" i="6" s="1"/>
  <c r="U177" i="5" s="1"/>
  <c r="X2749" i="6"/>
  <c r="W2749" i="6"/>
  <c r="V2749" i="6"/>
  <c r="U2749" i="6"/>
  <c r="I2749" i="6"/>
  <c r="V2748" i="6"/>
  <c r="U2748" i="6"/>
  <c r="I2748" i="6" s="1"/>
  <c r="W2747" i="6"/>
  <c r="V2747" i="6"/>
  <c r="U2747" i="6"/>
  <c r="X2746" i="6"/>
  <c r="U2746" i="6"/>
  <c r="I2746" i="6"/>
  <c r="V2745" i="6"/>
  <c r="U2745" i="6"/>
  <c r="I2745" i="6"/>
  <c r="K2745" i="6" s="1"/>
  <c r="U2744" i="6"/>
  <c r="I2744" i="6" s="1"/>
  <c r="U2743" i="6"/>
  <c r="I2743" i="6"/>
  <c r="X2742" i="6"/>
  <c r="W2742" i="6"/>
  <c r="V2742" i="6"/>
  <c r="U2742" i="6"/>
  <c r="I2742" i="6"/>
  <c r="V2741" i="6"/>
  <c r="U2741" i="6"/>
  <c r="K2741" i="6"/>
  <c r="I2741" i="6"/>
  <c r="J2741" i="6" s="1"/>
  <c r="V2740" i="6"/>
  <c r="U2740" i="6"/>
  <c r="W2739" i="6"/>
  <c r="V2739" i="6"/>
  <c r="U2739" i="6"/>
  <c r="X2739" i="6" s="1"/>
  <c r="I2739" i="6"/>
  <c r="X2738" i="6"/>
  <c r="W2738" i="6"/>
  <c r="V2738" i="6"/>
  <c r="U2738" i="6"/>
  <c r="I2738" i="6"/>
  <c r="K2738" i="6" s="1"/>
  <c r="U2737" i="6"/>
  <c r="I2737" i="6"/>
  <c r="K2737" i="6" s="1"/>
  <c r="X176" i="5" s="1"/>
  <c r="X2736" i="6"/>
  <c r="U2736" i="6"/>
  <c r="W2736" i="6" s="1"/>
  <c r="X2735" i="6"/>
  <c r="W2735" i="6"/>
  <c r="U2735" i="6"/>
  <c r="I2735" i="6" s="1"/>
  <c r="K2735" i="6" s="1"/>
  <c r="J2735" i="6"/>
  <c r="W2734" i="6"/>
  <c r="U2734" i="6"/>
  <c r="U2733" i="6"/>
  <c r="V2732" i="6"/>
  <c r="U2732" i="6"/>
  <c r="I2732" i="6"/>
  <c r="X2731" i="6"/>
  <c r="W2731" i="6"/>
  <c r="U2731" i="6"/>
  <c r="U2730" i="6"/>
  <c r="U2729" i="6"/>
  <c r="V2728" i="6"/>
  <c r="U2728" i="6"/>
  <c r="I2728" i="6"/>
  <c r="W2727" i="6"/>
  <c r="U2727" i="6"/>
  <c r="X2727" i="6" s="1"/>
  <c r="X2726" i="6"/>
  <c r="U2726" i="6"/>
  <c r="W2726" i="6" s="1"/>
  <c r="U2725" i="6"/>
  <c r="X2724" i="6"/>
  <c r="W2724" i="6"/>
  <c r="U2724" i="6"/>
  <c r="V2724" i="6" s="1"/>
  <c r="I2724" i="6"/>
  <c r="U2723" i="6"/>
  <c r="U2722" i="6"/>
  <c r="V2721" i="6"/>
  <c r="U2721" i="6"/>
  <c r="I2721" i="6" s="1"/>
  <c r="W2720" i="6"/>
  <c r="U2720" i="6"/>
  <c r="U2719" i="6"/>
  <c r="U2718" i="6"/>
  <c r="I2718" i="6"/>
  <c r="X2717" i="6"/>
  <c r="U2717" i="6"/>
  <c r="U2716" i="6"/>
  <c r="I2716" i="6" s="1"/>
  <c r="U2715" i="6"/>
  <c r="V2715" i="6" s="1"/>
  <c r="I2715" i="6"/>
  <c r="X2714" i="6"/>
  <c r="W2714" i="6"/>
  <c r="V2714" i="6"/>
  <c r="U2714" i="6"/>
  <c r="I2714" i="6" s="1"/>
  <c r="U2713" i="6"/>
  <c r="I2713" i="6" s="1"/>
  <c r="K2713" i="6" s="1"/>
  <c r="P175" i="5" s="1"/>
  <c r="X2712" i="6"/>
  <c r="U2712" i="6"/>
  <c r="W2712" i="6" s="1"/>
  <c r="I2712" i="6"/>
  <c r="V2711" i="6"/>
  <c r="U2711" i="6"/>
  <c r="U2710" i="6"/>
  <c r="U2709" i="6"/>
  <c r="U2708" i="6"/>
  <c r="X2708" i="6" s="1"/>
  <c r="I2708" i="6"/>
  <c r="K2708" i="6" s="1"/>
  <c r="AA174" i="5" s="1"/>
  <c r="U2707" i="6"/>
  <c r="X2707" i="6" s="1"/>
  <c r="U2706" i="6"/>
  <c r="X2705" i="6"/>
  <c r="W2705" i="6"/>
  <c r="V2705" i="6"/>
  <c r="U2705" i="6"/>
  <c r="K2705" i="6"/>
  <c r="I2705" i="6"/>
  <c r="J2705" i="6" s="1"/>
  <c r="X2704" i="6"/>
  <c r="W2704" i="6"/>
  <c r="V2704" i="6"/>
  <c r="U2704" i="6"/>
  <c r="I2704" i="6"/>
  <c r="U2703" i="6"/>
  <c r="I2703" i="6"/>
  <c r="U2702" i="6"/>
  <c r="I2702" i="6" s="1"/>
  <c r="X2701" i="6"/>
  <c r="V2701" i="6"/>
  <c r="U2701" i="6"/>
  <c r="U2700" i="6"/>
  <c r="X2700" i="6" s="1"/>
  <c r="U2699" i="6"/>
  <c r="V2699" i="6" s="1"/>
  <c r="W2698" i="6"/>
  <c r="V2698" i="6"/>
  <c r="U2698" i="6"/>
  <c r="X2698" i="6" s="1"/>
  <c r="I2698" i="6"/>
  <c r="U2697" i="6"/>
  <c r="U2696" i="6"/>
  <c r="U2695" i="6"/>
  <c r="X2694" i="6"/>
  <c r="U2694" i="6"/>
  <c r="V2694" i="6" s="1"/>
  <c r="X2693" i="6"/>
  <c r="W2693" i="6"/>
  <c r="V2693" i="6"/>
  <c r="U2693" i="6"/>
  <c r="K2693" i="6"/>
  <c r="AB173" i="5" s="1"/>
  <c r="I2693" i="6"/>
  <c r="J2693" i="6" s="1"/>
  <c r="U2692" i="6"/>
  <c r="X2692" i="6" s="1"/>
  <c r="I2692" i="6"/>
  <c r="X2691" i="6"/>
  <c r="U2691" i="6"/>
  <c r="I2691" i="6"/>
  <c r="K2691" i="6" s="1"/>
  <c r="Z173" i="5" s="1"/>
  <c r="V2690" i="6"/>
  <c r="U2690" i="6"/>
  <c r="I2690" i="6" s="1"/>
  <c r="X2689" i="6"/>
  <c r="U2689" i="6"/>
  <c r="I2689" i="6" s="1"/>
  <c r="X2688" i="6"/>
  <c r="U2688" i="6"/>
  <c r="V2688" i="6" s="1"/>
  <c r="I2688" i="6"/>
  <c r="U2687" i="6"/>
  <c r="V2687" i="6" s="1"/>
  <c r="I2687" i="6"/>
  <c r="V2686" i="6"/>
  <c r="U2686" i="6"/>
  <c r="I2686" i="6"/>
  <c r="K2686" i="6" s="1"/>
  <c r="W2685" i="6"/>
  <c r="U2685" i="6"/>
  <c r="I2685" i="6"/>
  <c r="X2684" i="6"/>
  <c r="W2684" i="6"/>
  <c r="V2684" i="6"/>
  <c r="U2684" i="6"/>
  <c r="I2684" i="6"/>
  <c r="X2683" i="6"/>
  <c r="W2683" i="6"/>
  <c r="U2683" i="6"/>
  <c r="V2683" i="6" s="1"/>
  <c r="I2683" i="6"/>
  <c r="X2682" i="6"/>
  <c r="W2682" i="6"/>
  <c r="U2682" i="6"/>
  <c r="V2682" i="6" s="1"/>
  <c r="I2682" i="6"/>
  <c r="J2682" i="6" s="1"/>
  <c r="W2681" i="6"/>
  <c r="V2681" i="6"/>
  <c r="U2681" i="6"/>
  <c r="X2681" i="6" s="1"/>
  <c r="I2681" i="6"/>
  <c r="U2680" i="6"/>
  <c r="I2680" i="6" s="1"/>
  <c r="U2679" i="6"/>
  <c r="U2678" i="6"/>
  <c r="I2678" i="6"/>
  <c r="X2677" i="6"/>
  <c r="W2677" i="6"/>
  <c r="V2677" i="6"/>
  <c r="U2677" i="6"/>
  <c r="J2677" i="6"/>
  <c r="I2677" i="6"/>
  <c r="K2677" i="6" s="1"/>
  <c r="U2676" i="6"/>
  <c r="I2676" i="6"/>
  <c r="J2676" i="6" s="1"/>
  <c r="U2675" i="6"/>
  <c r="I2675" i="6" s="1"/>
  <c r="U2674" i="6"/>
  <c r="W2674" i="6" s="1"/>
  <c r="U2673" i="6"/>
  <c r="X2673" i="6" s="1"/>
  <c r="I2673" i="6"/>
  <c r="U2672" i="6"/>
  <c r="X2672" i="6" s="1"/>
  <c r="W2671" i="6"/>
  <c r="V2671" i="6"/>
  <c r="U2671" i="6"/>
  <c r="U2670" i="6"/>
  <c r="U2669" i="6"/>
  <c r="I2669" i="6"/>
  <c r="U2668" i="6"/>
  <c r="U2667" i="6"/>
  <c r="I2667" i="6" s="1"/>
  <c r="U2666" i="6"/>
  <c r="X2666" i="6" s="1"/>
  <c r="X2665" i="6"/>
  <c r="V2665" i="6"/>
  <c r="U2665" i="6"/>
  <c r="U2664" i="6"/>
  <c r="I2664" i="6"/>
  <c r="U2663" i="6"/>
  <c r="V2663" i="6" s="1"/>
  <c r="U2662" i="6"/>
  <c r="W2662" i="6" s="1"/>
  <c r="I2662" i="6"/>
  <c r="X2661" i="6"/>
  <c r="W2661" i="6"/>
  <c r="V2661" i="6"/>
  <c r="U2661" i="6"/>
  <c r="I2661" i="6"/>
  <c r="X2660" i="6"/>
  <c r="W2660" i="6"/>
  <c r="U2660" i="6"/>
  <c r="V2660" i="6" s="1"/>
  <c r="I2660" i="6"/>
  <c r="K2660" i="6" s="1"/>
  <c r="U2659" i="6"/>
  <c r="X2659" i="6" s="1"/>
  <c r="W2658" i="6"/>
  <c r="U2658" i="6"/>
  <c r="X2658" i="6" s="1"/>
  <c r="U2657" i="6"/>
  <c r="I2657" i="6" s="1"/>
  <c r="U2656" i="6"/>
  <c r="U2655" i="6"/>
  <c r="X2655" i="6" s="1"/>
  <c r="J2655" i="6"/>
  <c r="I2655" i="6"/>
  <c r="K2655" i="6" s="1"/>
  <c r="X2654" i="6"/>
  <c r="U2654" i="6"/>
  <c r="I2654" i="6" s="1"/>
  <c r="K2654" i="6" s="1"/>
  <c r="J2654" i="6"/>
  <c r="X2653" i="6"/>
  <c r="W2653" i="6"/>
  <c r="U2653" i="6"/>
  <c r="W2652" i="6"/>
  <c r="V2652" i="6"/>
  <c r="U2652" i="6"/>
  <c r="X2652" i="6" s="1"/>
  <c r="I2652" i="6"/>
  <c r="X2651" i="6"/>
  <c r="W2651" i="6"/>
  <c r="U2651" i="6"/>
  <c r="V2651" i="6" s="1"/>
  <c r="I2651" i="6"/>
  <c r="V2650" i="6"/>
  <c r="U2650" i="6"/>
  <c r="I2650" i="6"/>
  <c r="J2650" i="6" s="1"/>
  <c r="X2649" i="6"/>
  <c r="U2649" i="6"/>
  <c r="W2649" i="6" s="1"/>
  <c r="K2649" i="6"/>
  <c r="I2649" i="6"/>
  <c r="J2649" i="6" s="1"/>
  <c r="U2648" i="6"/>
  <c r="U2647" i="6"/>
  <c r="U2646" i="6"/>
  <c r="U2645" i="6"/>
  <c r="V2645" i="6" s="1"/>
  <c r="I2645" i="6"/>
  <c r="X2644" i="6"/>
  <c r="W2644" i="6"/>
  <c r="U2644" i="6"/>
  <c r="V2644" i="6" s="1"/>
  <c r="I2644" i="6"/>
  <c r="K2644" i="6" s="1"/>
  <c r="W2643" i="6"/>
  <c r="V2643" i="6"/>
  <c r="U2643" i="6"/>
  <c r="X2643" i="6" s="1"/>
  <c r="J2643" i="6"/>
  <c r="I2643" i="6"/>
  <c r="K2643" i="6" s="1"/>
  <c r="U2642" i="6"/>
  <c r="W2641" i="6"/>
  <c r="U2641" i="6"/>
  <c r="U2640" i="6"/>
  <c r="V2640" i="6" s="1"/>
  <c r="X2639" i="6"/>
  <c r="U2639" i="6"/>
  <c r="I2639" i="6" s="1"/>
  <c r="K2639" i="6" s="1"/>
  <c r="J2639" i="6"/>
  <c r="U2638" i="6"/>
  <c r="I2638" i="6" s="1"/>
  <c r="U2637" i="6"/>
  <c r="K2637" i="6"/>
  <c r="T170" i="5" s="1"/>
  <c r="J2637" i="6"/>
  <c r="I2637" i="6"/>
  <c r="U2636" i="6"/>
  <c r="X2636" i="6" s="1"/>
  <c r="X2635" i="6"/>
  <c r="W2635" i="6"/>
  <c r="U2635" i="6"/>
  <c r="U2634" i="6"/>
  <c r="I2634" i="6" s="1"/>
  <c r="U2633" i="6"/>
  <c r="W2633" i="6" s="1"/>
  <c r="U2632" i="6"/>
  <c r="X2631" i="6"/>
  <c r="U2631" i="6"/>
  <c r="X2630" i="6"/>
  <c r="W2630" i="6"/>
  <c r="V2630" i="6"/>
  <c r="U2630" i="6"/>
  <c r="I2630" i="6"/>
  <c r="U2629" i="6"/>
  <c r="U2628" i="6"/>
  <c r="W2627" i="6"/>
  <c r="V2627" i="6"/>
  <c r="U2627" i="6"/>
  <c r="X2627" i="6" s="1"/>
  <c r="I2627" i="6"/>
  <c r="K2627" i="6" s="1"/>
  <c r="Z169" i="5" s="1"/>
  <c r="X2626" i="6"/>
  <c r="U2626" i="6"/>
  <c r="W2626" i="6" s="1"/>
  <c r="I2626" i="6"/>
  <c r="X2625" i="6"/>
  <c r="U2625" i="6"/>
  <c r="W2625" i="6" s="1"/>
  <c r="I2625" i="6"/>
  <c r="U2624" i="6"/>
  <c r="W2624" i="6" s="1"/>
  <c r="U2623" i="6"/>
  <c r="W2623" i="6" s="1"/>
  <c r="U2622" i="6"/>
  <c r="U2621" i="6"/>
  <c r="I2621" i="6"/>
  <c r="W2620" i="6"/>
  <c r="U2620" i="6"/>
  <c r="I2620" i="6"/>
  <c r="J2620" i="6" s="1"/>
  <c r="U2619" i="6"/>
  <c r="I2619" i="6" s="1"/>
  <c r="U2618" i="6"/>
  <c r="X2617" i="6"/>
  <c r="W2617" i="6"/>
  <c r="V2617" i="6"/>
  <c r="U2617" i="6"/>
  <c r="I2617" i="6"/>
  <c r="X2616" i="6"/>
  <c r="W2616" i="6"/>
  <c r="U2616" i="6"/>
  <c r="I2616" i="6" s="1"/>
  <c r="U2615" i="6"/>
  <c r="U2614" i="6"/>
  <c r="I2614" i="6" s="1"/>
  <c r="X2613" i="6"/>
  <c r="W2613" i="6"/>
  <c r="V2613" i="6"/>
  <c r="U2613" i="6"/>
  <c r="I2613" i="6" s="1"/>
  <c r="U2612" i="6"/>
  <c r="V2612" i="6" s="1"/>
  <c r="U2611" i="6"/>
  <c r="W2611" i="6" s="1"/>
  <c r="U2610" i="6"/>
  <c r="V2610" i="6" s="1"/>
  <c r="X2609" i="6"/>
  <c r="W2609" i="6"/>
  <c r="V2609" i="6"/>
  <c r="U2609" i="6"/>
  <c r="I2609" i="6"/>
  <c r="W2608" i="6"/>
  <c r="U2608" i="6"/>
  <c r="U2607" i="6"/>
  <c r="X2606" i="6"/>
  <c r="W2606" i="6"/>
  <c r="V2606" i="6"/>
  <c r="U2606" i="6"/>
  <c r="I2606" i="6" s="1"/>
  <c r="U2605" i="6"/>
  <c r="U2604" i="6"/>
  <c r="I2604" i="6" s="1"/>
  <c r="U2603" i="6"/>
  <c r="U2602" i="6"/>
  <c r="X2601" i="6"/>
  <c r="U2601" i="6"/>
  <c r="U2600" i="6"/>
  <c r="U2599" i="6"/>
  <c r="J2599" i="6"/>
  <c r="I2599" i="6"/>
  <c r="K2599" i="6" s="1"/>
  <c r="U2598" i="6"/>
  <c r="X2597" i="6"/>
  <c r="V2597" i="6"/>
  <c r="U2597" i="6"/>
  <c r="W2597" i="6" s="1"/>
  <c r="I2597" i="6"/>
  <c r="K2597" i="6" s="1"/>
  <c r="AB167" i="5" s="1"/>
  <c r="U2596" i="6"/>
  <c r="U2595" i="6"/>
  <c r="U2594" i="6"/>
  <c r="I2594" i="6" s="1"/>
  <c r="U2593" i="6"/>
  <c r="V2593" i="6" s="1"/>
  <c r="U2592" i="6"/>
  <c r="W2592" i="6" s="1"/>
  <c r="X2591" i="6"/>
  <c r="W2591" i="6"/>
  <c r="V2591" i="6"/>
  <c r="U2591" i="6"/>
  <c r="I2591" i="6"/>
  <c r="K2591" i="6" s="1"/>
  <c r="V167" i="5" s="1"/>
  <c r="U2590" i="6"/>
  <c r="W2589" i="6"/>
  <c r="V2589" i="6"/>
  <c r="U2589" i="6"/>
  <c r="X2589" i="6" s="1"/>
  <c r="I2589" i="6"/>
  <c r="J2589" i="6" s="1"/>
  <c r="U2588" i="6"/>
  <c r="W2588" i="6" s="1"/>
  <c r="U2587" i="6"/>
  <c r="V2587" i="6" s="1"/>
  <c r="I2587" i="6"/>
  <c r="U2586" i="6"/>
  <c r="I2586" i="6" s="1"/>
  <c r="K2586" i="6" s="1"/>
  <c r="U2585" i="6"/>
  <c r="I2585" i="6" s="1"/>
  <c r="U2584" i="6"/>
  <c r="I2584" i="6" s="1"/>
  <c r="X2583" i="6"/>
  <c r="W2583" i="6"/>
  <c r="V2583" i="6"/>
  <c r="U2583" i="6"/>
  <c r="I2583" i="6" s="1"/>
  <c r="K2583" i="6" s="1"/>
  <c r="U2582" i="6"/>
  <c r="I2582" i="6"/>
  <c r="X2581" i="6"/>
  <c r="U2581" i="6"/>
  <c r="V2581" i="6" s="1"/>
  <c r="I2581" i="6"/>
  <c r="K2581" i="6" s="1"/>
  <c r="W2580" i="6"/>
  <c r="U2580" i="6"/>
  <c r="I2580" i="6"/>
  <c r="U2579" i="6"/>
  <c r="V2579" i="6" s="1"/>
  <c r="U2578" i="6"/>
  <c r="V2578" i="6" s="1"/>
  <c r="U2577" i="6"/>
  <c r="U2576" i="6"/>
  <c r="U2575" i="6"/>
  <c r="U2574" i="6"/>
  <c r="W2573" i="6"/>
  <c r="U2573" i="6"/>
  <c r="U2572" i="6"/>
  <c r="W2571" i="6"/>
  <c r="U2571" i="6"/>
  <c r="I2571" i="6"/>
  <c r="U2570" i="6"/>
  <c r="I2570" i="6"/>
  <c r="X2569" i="6"/>
  <c r="W2569" i="6"/>
  <c r="V2569" i="6"/>
  <c r="U2569" i="6"/>
  <c r="I2569" i="6"/>
  <c r="U2568" i="6"/>
  <c r="U2567" i="6"/>
  <c r="X2566" i="6"/>
  <c r="W2566" i="6"/>
  <c r="V2566" i="6"/>
  <c r="U2566" i="6"/>
  <c r="I2566" i="6"/>
  <c r="X2565" i="6"/>
  <c r="W2565" i="6"/>
  <c r="V2565" i="6"/>
  <c r="U2565" i="6"/>
  <c r="I2565" i="6"/>
  <c r="U2564" i="6"/>
  <c r="U2563" i="6"/>
  <c r="W2563" i="6" s="1"/>
  <c r="U2562" i="6"/>
  <c r="X2561" i="6"/>
  <c r="V2561" i="6"/>
  <c r="U2561" i="6"/>
  <c r="I2561" i="6" s="1"/>
  <c r="U2560" i="6"/>
  <c r="I2560" i="6"/>
  <c r="U2559" i="6"/>
  <c r="X2558" i="6"/>
  <c r="U2558" i="6"/>
  <c r="W2557" i="6"/>
  <c r="V2557" i="6"/>
  <c r="U2557" i="6"/>
  <c r="X2556" i="6"/>
  <c r="V2556" i="6"/>
  <c r="U2556" i="6"/>
  <c r="W2556" i="6" s="1"/>
  <c r="I2556" i="6"/>
  <c r="J2556" i="6" s="1"/>
  <c r="W2555" i="6"/>
  <c r="U2555" i="6"/>
  <c r="I2555" i="6" s="1"/>
  <c r="W2554" i="6"/>
  <c r="V2554" i="6"/>
  <c r="U2554" i="6"/>
  <c r="X2553" i="6"/>
  <c r="U2553" i="6"/>
  <c r="U2552" i="6"/>
  <c r="I2552" i="6" s="1"/>
  <c r="U2551" i="6"/>
  <c r="I2551" i="6"/>
  <c r="W2550" i="6"/>
  <c r="U2550" i="6"/>
  <c r="I2550" i="6"/>
  <c r="U2549" i="6"/>
  <c r="V2549" i="6" s="1"/>
  <c r="U2548" i="6"/>
  <c r="U2547" i="6"/>
  <c r="V2547" i="6" s="1"/>
  <c r="X2546" i="6"/>
  <c r="U2546" i="6"/>
  <c r="W2546" i="6" s="1"/>
  <c r="I2546" i="6"/>
  <c r="U2545" i="6"/>
  <c r="X2544" i="6"/>
  <c r="W2544" i="6"/>
  <c r="U2544" i="6"/>
  <c r="V2544" i="6" s="1"/>
  <c r="I2544" i="6"/>
  <c r="U2543" i="6"/>
  <c r="U2542" i="6"/>
  <c r="I2542" i="6"/>
  <c r="X2541" i="6"/>
  <c r="W2541" i="6"/>
  <c r="V2541" i="6"/>
  <c r="U2541" i="6"/>
  <c r="K2541" i="6"/>
  <c r="J2541" i="6"/>
  <c r="I2541" i="6"/>
  <c r="U2540" i="6"/>
  <c r="X2539" i="6"/>
  <c r="V2539" i="6"/>
  <c r="U2539" i="6"/>
  <c r="W2539" i="6" s="1"/>
  <c r="I2539" i="6"/>
  <c r="U2538" i="6"/>
  <c r="W2537" i="6"/>
  <c r="V2537" i="6"/>
  <c r="U2537" i="6"/>
  <c r="X2537" i="6" s="1"/>
  <c r="I2537" i="6"/>
  <c r="K2537" i="6" s="1"/>
  <c r="U2536" i="6"/>
  <c r="W2535" i="6"/>
  <c r="U2535" i="6"/>
  <c r="V2535" i="6" s="1"/>
  <c r="U2534" i="6"/>
  <c r="X2533" i="6"/>
  <c r="W2533" i="6"/>
  <c r="V2533" i="6"/>
  <c r="U2533" i="6"/>
  <c r="I2533" i="6"/>
  <c r="U2532" i="6"/>
  <c r="V2532" i="6" s="1"/>
  <c r="U2531" i="6"/>
  <c r="I2531" i="6" s="1"/>
  <c r="K2531" i="6" s="1"/>
  <c r="Z163" i="5" s="1"/>
  <c r="X2530" i="6"/>
  <c r="W2530" i="6"/>
  <c r="V2530" i="6"/>
  <c r="U2530" i="6"/>
  <c r="I2530" i="6" s="1"/>
  <c r="K2530" i="6"/>
  <c r="Y163" i="5" s="1"/>
  <c r="J2530" i="6"/>
  <c r="X2529" i="6"/>
  <c r="V2529" i="6"/>
  <c r="U2529" i="6"/>
  <c r="W2529" i="6" s="1"/>
  <c r="I2529" i="6"/>
  <c r="J2529" i="6" s="1"/>
  <c r="U2528" i="6"/>
  <c r="W2528" i="6" s="1"/>
  <c r="I2528" i="6"/>
  <c r="U2527" i="6"/>
  <c r="U2526" i="6"/>
  <c r="V2526" i="6" s="1"/>
  <c r="X2525" i="6"/>
  <c r="W2525" i="6"/>
  <c r="V2525" i="6"/>
  <c r="U2525" i="6"/>
  <c r="J2525" i="6"/>
  <c r="I2525" i="6"/>
  <c r="K2525" i="6" s="1"/>
  <c r="U2524" i="6"/>
  <c r="K2524" i="6"/>
  <c r="J2524" i="6"/>
  <c r="I2524" i="6"/>
  <c r="U2523" i="6"/>
  <c r="W2523" i="6" s="1"/>
  <c r="U2522" i="6"/>
  <c r="W2522" i="6" s="1"/>
  <c r="X2521" i="6"/>
  <c r="W2521" i="6"/>
  <c r="V2521" i="6"/>
  <c r="U2521" i="6"/>
  <c r="I2521" i="6"/>
  <c r="U2520" i="6"/>
  <c r="V2520" i="6" s="1"/>
  <c r="U2519" i="6"/>
  <c r="W2519" i="6" s="1"/>
  <c r="I2519" i="6"/>
  <c r="W2518" i="6"/>
  <c r="V2518" i="6"/>
  <c r="U2518" i="6"/>
  <c r="X2518" i="6" s="1"/>
  <c r="I2518" i="6"/>
  <c r="X2517" i="6"/>
  <c r="W2517" i="6"/>
  <c r="U2517" i="6"/>
  <c r="V2517" i="6" s="1"/>
  <c r="I2517" i="6"/>
  <c r="V2516" i="6"/>
  <c r="U2516" i="6"/>
  <c r="K2516" i="6"/>
  <c r="AA162" i="5" s="1"/>
  <c r="I2516" i="6"/>
  <c r="J2516" i="6" s="1"/>
  <c r="U2515" i="6"/>
  <c r="X2514" i="6"/>
  <c r="V2514" i="6"/>
  <c r="U2514" i="6"/>
  <c r="U2513" i="6"/>
  <c r="I2513" i="6" s="1"/>
  <c r="U2512" i="6"/>
  <c r="I2512" i="6"/>
  <c r="X2511" i="6"/>
  <c r="W2511" i="6"/>
  <c r="U2511" i="6"/>
  <c r="V2511" i="6" s="1"/>
  <c r="U2510" i="6"/>
  <c r="X2509" i="6"/>
  <c r="V2509" i="6"/>
  <c r="U2509" i="6"/>
  <c r="W2509" i="6" s="1"/>
  <c r="I2509" i="6"/>
  <c r="U2508" i="6"/>
  <c r="W2508" i="6" s="1"/>
  <c r="U2507" i="6"/>
  <c r="U2506" i="6"/>
  <c r="V2506" i="6" s="1"/>
  <c r="X2505" i="6"/>
  <c r="W2505" i="6"/>
  <c r="U2505" i="6"/>
  <c r="X2504" i="6"/>
  <c r="U2504" i="6"/>
  <c r="I2504" i="6"/>
  <c r="W2503" i="6"/>
  <c r="V2503" i="6"/>
  <c r="U2503" i="6"/>
  <c r="U2502" i="6"/>
  <c r="I2502" i="6"/>
  <c r="X2501" i="6"/>
  <c r="W2501" i="6"/>
  <c r="U2501" i="6"/>
  <c r="I2501" i="6" s="1"/>
  <c r="K2501" i="6" s="1"/>
  <c r="J2501" i="6"/>
  <c r="X2500" i="6"/>
  <c r="U2500" i="6"/>
  <c r="I2500" i="6" s="1"/>
  <c r="K2500" i="6" s="1"/>
  <c r="U2499" i="6"/>
  <c r="V2498" i="6"/>
  <c r="U2498" i="6"/>
  <c r="I2498" i="6" s="1"/>
  <c r="X2497" i="6"/>
  <c r="W2497" i="6"/>
  <c r="V2497" i="6"/>
  <c r="U2497" i="6"/>
  <c r="I2497" i="6"/>
  <c r="X2496" i="6"/>
  <c r="W2496" i="6"/>
  <c r="V2496" i="6"/>
  <c r="U2496" i="6"/>
  <c r="K2496" i="6"/>
  <c r="J2496" i="6"/>
  <c r="I2496" i="6"/>
  <c r="U2495" i="6"/>
  <c r="I2495" i="6"/>
  <c r="U2494" i="6"/>
  <c r="U2493" i="6"/>
  <c r="U2492" i="6"/>
  <c r="X2491" i="6"/>
  <c r="W2491" i="6"/>
  <c r="V2491" i="6"/>
  <c r="U2491" i="6"/>
  <c r="I2491" i="6"/>
  <c r="K2491" i="6" s="1"/>
  <c r="R161" i="5" s="1"/>
  <c r="X2490" i="6"/>
  <c r="W2490" i="6"/>
  <c r="U2490" i="6"/>
  <c r="V2490" i="6" s="1"/>
  <c r="I2490" i="6"/>
  <c r="X2489" i="6"/>
  <c r="W2489" i="6"/>
  <c r="V2489" i="6"/>
  <c r="U2489" i="6"/>
  <c r="I2489" i="6" s="1"/>
  <c r="J2489" i="6" s="1"/>
  <c r="U2488" i="6"/>
  <c r="I2488" i="6"/>
  <c r="X2487" i="6"/>
  <c r="U2487" i="6"/>
  <c r="X2486" i="6"/>
  <c r="V2486" i="6"/>
  <c r="U2486" i="6"/>
  <c r="W2485" i="6"/>
  <c r="U2485" i="6"/>
  <c r="I2485" i="6"/>
  <c r="U2484" i="6"/>
  <c r="U2483" i="6"/>
  <c r="V2483" i="6" s="1"/>
  <c r="X2482" i="6"/>
  <c r="W2482" i="6"/>
  <c r="U2482" i="6"/>
  <c r="V2482" i="6" s="1"/>
  <c r="J2482" i="6"/>
  <c r="I2482" i="6"/>
  <c r="K2482" i="6" s="1"/>
  <c r="U2481" i="6"/>
  <c r="U2480" i="6"/>
  <c r="X2480" i="6" s="1"/>
  <c r="U2479" i="6"/>
  <c r="W2479" i="6" s="1"/>
  <c r="I2479" i="6"/>
  <c r="W2478" i="6"/>
  <c r="U2478" i="6"/>
  <c r="I2478" i="6" s="1"/>
  <c r="J2478" i="6" s="1"/>
  <c r="X2477" i="6"/>
  <c r="W2477" i="6"/>
  <c r="V2477" i="6"/>
  <c r="U2477" i="6"/>
  <c r="K2477" i="6"/>
  <c r="I2477" i="6"/>
  <c r="J2477" i="6" s="1"/>
  <c r="V2476" i="6"/>
  <c r="U2476" i="6"/>
  <c r="I2476" i="6"/>
  <c r="X2475" i="6"/>
  <c r="U2475" i="6"/>
  <c r="V2475" i="6" s="1"/>
  <c r="X2474" i="6"/>
  <c r="W2474" i="6"/>
  <c r="V2474" i="6"/>
  <c r="U2474" i="6"/>
  <c r="I2474" i="6" s="1"/>
  <c r="K2474" i="6" s="1"/>
  <c r="J2474" i="6"/>
  <c r="X2473" i="6"/>
  <c r="W2473" i="6"/>
  <c r="V2473" i="6"/>
  <c r="U2473" i="6"/>
  <c r="I2473" i="6"/>
  <c r="K2473" i="6" s="1"/>
  <c r="U2472" i="6"/>
  <c r="W2472" i="6" s="1"/>
  <c r="U2471" i="6"/>
  <c r="U2470" i="6"/>
  <c r="X2469" i="6"/>
  <c r="W2469" i="6"/>
  <c r="V2469" i="6"/>
  <c r="U2469" i="6"/>
  <c r="I2469" i="6"/>
  <c r="U2468" i="6"/>
  <c r="W2468" i="6" s="1"/>
  <c r="U2467" i="6"/>
  <c r="V2467" i="6" s="1"/>
  <c r="U2466" i="6"/>
  <c r="I2466" i="6"/>
  <c r="V2465" i="6"/>
  <c r="U2465" i="6"/>
  <c r="U2464" i="6"/>
  <c r="I2464" i="6" s="1"/>
  <c r="U2463" i="6"/>
  <c r="U2462" i="6"/>
  <c r="X2461" i="6"/>
  <c r="U2461" i="6"/>
  <c r="U2460" i="6"/>
  <c r="U2459" i="6"/>
  <c r="U2458" i="6"/>
  <c r="I2458" i="6" s="1"/>
  <c r="U2457" i="6"/>
  <c r="I2457" i="6" s="1"/>
  <c r="K2457" i="6" s="1"/>
  <c r="P159" i="5" s="1"/>
  <c r="J2457" i="6"/>
  <c r="V2456" i="6"/>
  <c r="U2456" i="6"/>
  <c r="U2455" i="6"/>
  <c r="I2455" i="6" s="1"/>
  <c r="W2454" i="6"/>
  <c r="U2454" i="6"/>
  <c r="X2453" i="6"/>
  <c r="W2453" i="6"/>
  <c r="V2453" i="6"/>
  <c r="U2453" i="6"/>
  <c r="I2453" i="6"/>
  <c r="W2452" i="6"/>
  <c r="U2452" i="6"/>
  <c r="U2451" i="6"/>
  <c r="U2450" i="6"/>
  <c r="I2450" i="6"/>
  <c r="U2449" i="6"/>
  <c r="U2448" i="6"/>
  <c r="X2447" i="6"/>
  <c r="W2447" i="6"/>
  <c r="V2447" i="6"/>
  <c r="U2447" i="6"/>
  <c r="I2447" i="6"/>
  <c r="X2446" i="6"/>
  <c r="W2446" i="6"/>
  <c r="U2446" i="6"/>
  <c r="V2446" i="6" s="1"/>
  <c r="I2446" i="6"/>
  <c r="K2446" i="6" s="1"/>
  <c r="U158" i="5" s="1"/>
  <c r="U2445" i="6"/>
  <c r="W2444" i="6"/>
  <c r="U2444" i="6"/>
  <c r="I2444" i="6" s="1"/>
  <c r="X2443" i="6"/>
  <c r="W2443" i="6"/>
  <c r="U2443" i="6"/>
  <c r="I2443" i="6" s="1"/>
  <c r="U2442" i="6"/>
  <c r="I2442" i="6"/>
  <c r="U2441" i="6"/>
  <c r="X2441" i="6" s="1"/>
  <c r="U2440" i="6"/>
  <c r="W2440" i="6" s="1"/>
  <c r="I2440" i="6"/>
  <c r="X2439" i="6"/>
  <c r="V2439" i="6"/>
  <c r="U2439" i="6"/>
  <c r="W2439" i="6" s="1"/>
  <c r="U2438" i="6"/>
  <c r="X2437" i="6"/>
  <c r="W2437" i="6"/>
  <c r="V2437" i="6"/>
  <c r="U2437" i="6"/>
  <c r="I2437" i="6"/>
  <c r="U2436" i="6"/>
  <c r="U2435" i="6"/>
  <c r="U2434" i="6"/>
  <c r="X2434" i="6" s="1"/>
  <c r="I2434" i="6"/>
  <c r="X2433" i="6"/>
  <c r="W2433" i="6"/>
  <c r="V2433" i="6"/>
  <c r="U2433" i="6"/>
  <c r="I2433" i="6"/>
  <c r="X2432" i="6"/>
  <c r="V2432" i="6"/>
  <c r="U2432" i="6"/>
  <c r="U2431" i="6"/>
  <c r="X2430" i="6"/>
  <c r="W2430" i="6"/>
  <c r="V2430" i="6"/>
  <c r="U2430" i="6"/>
  <c r="I2430" i="6" s="1"/>
  <c r="U2429" i="6"/>
  <c r="I2429" i="6"/>
  <c r="U2428" i="6"/>
  <c r="U2427" i="6"/>
  <c r="U2426" i="6"/>
  <c r="X2425" i="6"/>
  <c r="W2425" i="6"/>
  <c r="V2425" i="6"/>
  <c r="U2425" i="6"/>
  <c r="I2425" i="6"/>
  <c r="V2424" i="6"/>
  <c r="U2424" i="6"/>
  <c r="W2424" i="6" s="1"/>
  <c r="U2423" i="6"/>
  <c r="X2422" i="6"/>
  <c r="U2422" i="6"/>
  <c r="W2422" i="6" s="1"/>
  <c r="I2422" i="6"/>
  <c r="K2422" i="6" s="1"/>
  <c r="M157" i="5" s="1"/>
  <c r="X2421" i="6"/>
  <c r="U2421" i="6"/>
  <c r="I2421" i="6" s="1"/>
  <c r="V2420" i="6"/>
  <c r="U2420" i="6"/>
  <c r="X2419" i="6"/>
  <c r="W2419" i="6"/>
  <c r="V2419" i="6"/>
  <c r="U2419" i="6"/>
  <c r="I2419" i="6"/>
  <c r="U2418" i="6"/>
  <c r="U2417" i="6"/>
  <c r="W2416" i="6"/>
  <c r="U2416" i="6"/>
  <c r="U2415" i="6"/>
  <c r="V2415" i="6" s="1"/>
  <c r="U2414" i="6"/>
  <c r="W2413" i="6"/>
  <c r="V2413" i="6"/>
  <c r="U2413" i="6"/>
  <c r="X2413" i="6" s="1"/>
  <c r="I2413" i="6"/>
  <c r="K2413" i="6" s="1"/>
  <c r="T156" i="5" s="1"/>
  <c r="V2412" i="6"/>
  <c r="U2412" i="6"/>
  <c r="I2412" i="6" s="1"/>
  <c r="U2411" i="6"/>
  <c r="U2410" i="6"/>
  <c r="I2410" i="6" s="1"/>
  <c r="W2409" i="6"/>
  <c r="U2409" i="6"/>
  <c r="I2409" i="6"/>
  <c r="X2408" i="6"/>
  <c r="W2408" i="6"/>
  <c r="V2408" i="6"/>
  <c r="U2408" i="6"/>
  <c r="I2408" i="6" s="1"/>
  <c r="U2407" i="6"/>
  <c r="I2407" i="6"/>
  <c r="W2406" i="6"/>
  <c r="U2406" i="6"/>
  <c r="I2406" i="6" s="1"/>
  <c r="X2405" i="6"/>
  <c r="W2405" i="6"/>
  <c r="V2405" i="6"/>
  <c r="U2405" i="6"/>
  <c r="I2405" i="6" s="1"/>
  <c r="U2404" i="6"/>
  <c r="I2404" i="6" s="1"/>
  <c r="X2403" i="6"/>
  <c r="U2403" i="6"/>
  <c r="U2402" i="6"/>
  <c r="W2401" i="6"/>
  <c r="U2401" i="6"/>
  <c r="I2401" i="6"/>
  <c r="J2401" i="6" s="1"/>
  <c r="U2400" i="6"/>
  <c r="V2400" i="6" s="1"/>
  <c r="I2400" i="6"/>
  <c r="X2399" i="6"/>
  <c r="W2399" i="6"/>
  <c r="V2399" i="6"/>
  <c r="U2399" i="6"/>
  <c r="J2399" i="6"/>
  <c r="I2399" i="6"/>
  <c r="K2399" i="6" s="1"/>
  <c r="X2398" i="6"/>
  <c r="W2398" i="6"/>
  <c r="U2398" i="6"/>
  <c r="W2397" i="6"/>
  <c r="U2397" i="6"/>
  <c r="X2397" i="6" s="1"/>
  <c r="I2397" i="6"/>
  <c r="J2397" i="6" s="1"/>
  <c r="U2396" i="6"/>
  <c r="V2396" i="6" s="1"/>
  <c r="I2396" i="6"/>
  <c r="K2396" i="6" s="1"/>
  <c r="W2395" i="6"/>
  <c r="U2395" i="6"/>
  <c r="I2395" i="6"/>
  <c r="U2394" i="6"/>
  <c r="I2394" i="6"/>
  <c r="K2394" i="6" s="1"/>
  <c r="Q155" i="5" s="1"/>
  <c r="U2393" i="6"/>
  <c r="W2393" i="6" s="1"/>
  <c r="I2393" i="6"/>
  <c r="K2393" i="6" s="1"/>
  <c r="P155" i="5" s="1"/>
  <c r="U2392" i="6"/>
  <c r="X2391" i="6"/>
  <c r="U2391" i="6"/>
  <c r="X2390" i="6"/>
  <c r="W2390" i="6"/>
  <c r="U2390" i="6"/>
  <c r="V2390" i="6" s="1"/>
  <c r="I2390" i="6"/>
  <c r="U2389" i="6"/>
  <c r="I2389" i="6"/>
  <c r="U2388" i="6"/>
  <c r="U2387" i="6"/>
  <c r="U2386" i="6"/>
  <c r="X2385" i="6"/>
  <c r="W2385" i="6"/>
  <c r="V2385" i="6"/>
  <c r="U2385" i="6"/>
  <c r="I2385" i="6"/>
  <c r="X2384" i="6"/>
  <c r="W2384" i="6"/>
  <c r="U2384" i="6"/>
  <c r="V2384" i="6" s="1"/>
  <c r="I2384" i="6"/>
  <c r="K2384" i="6" s="1"/>
  <c r="X2383" i="6"/>
  <c r="W2383" i="6"/>
  <c r="V2383" i="6"/>
  <c r="U2383" i="6"/>
  <c r="I2383" i="6" s="1"/>
  <c r="U2382" i="6"/>
  <c r="W2381" i="6"/>
  <c r="U2381" i="6"/>
  <c r="U2380" i="6"/>
  <c r="X2380" i="6" s="1"/>
  <c r="X2379" i="6"/>
  <c r="U2379" i="6"/>
  <c r="V2379" i="6" s="1"/>
  <c r="I2379" i="6"/>
  <c r="U2378" i="6"/>
  <c r="U2377" i="6"/>
  <c r="U2376" i="6"/>
  <c r="W2376" i="6" s="1"/>
  <c r="W2375" i="6"/>
  <c r="V2375" i="6"/>
  <c r="U2375" i="6"/>
  <c r="X2375" i="6" s="1"/>
  <c r="U2374" i="6"/>
  <c r="X2373" i="6"/>
  <c r="W2373" i="6"/>
  <c r="V2373" i="6"/>
  <c r="U2373" i="6"/>
  <c r="K2373" i="6"/>
  <c r="AB153" i="5" s="1"/>
  <c r="I2373" i="6"/>
  <c r="J2373" i="6" s="1"/>
  <c r="U2372" i="6"/>
  <c r="U2371" i="6"/>
  <c r="X2370" i="6"/>
  <c r="W2370" i="6"/>
  <c r="U2370" i="6"/>
  <c r="X2369" i="6"/>
  <c r="U2369" i="6"/>
  <c r="V2369" i="6" s="1"/>
  <c r="X2368" i="6"/>
  <c r="U2368" i="6"/>
  <c r="W2367" i="6"/>
  <c r="V2367" i="6"/>
  <c r="U2367" i="6"/>
  <c r="X2367" i="6" s="1"/>
  <c r="I2367" i="6"/>
  <c r="W2366" i="6"/>
  <c r="U2366" i="6"/>
  <c r="X2365" i="6"/>
  <c r="W2365" i="6"/>
  <c r="U2365" i="6"/>
  <c r="V2365" i="6" s="1"/>
  <c r="I2365" i="6"/>
  <c r="X2364" i="6"/>
  <c r="W2364" i="6"/>
  <c r="U2364" i="6"/>
  <c r="I2364" i="6" s="1"/>
  <c r="U2363" i="6"/>
  <c r="V2363" i="6" s="1"/>
  <c r="W2362" i="6"/>
  <c r="U2362" i="6"/>
  <c r="I2362" i="6" s="1"/>
  <c r="X2361" i="6"/>
  <c r="W2361" i="6"/>
  <c r="U2361" i="6"/>
  <c r="I2361" i="6" s="1"/>
  <c r="U2360" i="6"/>
  <c r="U2359" i="6"/>
  <c r="X2359" i="6" s="1"/>
  <c r="U2358" i="6"/>
  <c r="U2357" i="6"/>
  <c r="X2356" i="6"/>
  <c r="W2356" i="6"/>
  <c r="V2356" i="6"/>
  <c r="U2356" i="6"/>
  <c r="I2356" i="6"/>
  <c r="U2355" i="6"/>
  <c r="U2354" i="6"/>
  <c r="V2353" i="6"/>
  <c r="U2353" i="6"/>
  <c r="I2353" i="6"/>
  <c r="U2352" i="6"/>
  <c r="X2351" i="6"/>
  <c r="W2351" i="6"/>
  <c r="U2351" i="6"/>
  <c r="V2351" i="6" s="1"/>
  <c r="I2351" i="6"/>
  <c r="U2350" i="6"/>
  <c r="W2350" i="6" s="1"/>
  <c r="U2349" i="6"/>
  <c r="U2348" i="6"/>
  <c r="X2348" i="6" s="1"/>
  <c r="J2348" i="6"/>
  <c r="I2348" i="6"/>
  <c r="K2348" i="6" s="1"/>
  <c r="X2347" i="6"/>
  <c r="W2347" i="6"/>
  <c r="U2347" i="6"/>
  <c r="I2347" i="6" s="1"/>
  <c r="K2347" i="6" s="1"/>
  <c r="J2347" i="6"/>
  <c r="X2346" i="6"/>
  <c r="V2346" i="6"/>
  <c r="U2346" i="6"/>
  <c r="U2345" i="6"/>
  <c r="I2345" i="6" s="1"/>
  <c r="U2344" i="6"/>
  <c r="X2344" i="6" s="1"/>
  <c r="U2343" i="6"/>
  <c r="V2342" i="6"/>
  <c r="U2342" i="6"/>
  <c r="X2342" i="6" s="1"/>
  <c r="I2342" i="6"/>
  <c r="K2342" i="6" s="1"/>
  <c r="M152" i="5" s="1"/>
  <c r="U2341" i="6"/>
  <c r="U2340" i="6"/>
  <c r="X2339" i="6"/>
  <c r="U2339" i="6"/>
  <c r="V2339" i="6" s="1"/>
  <c r="U2338" i="6"/>
  <c r="X2337" i="6"/>
  <c r="W2337" i="6"/>
  <c r="V2337" i="6"/>
  <c r="U2337" i="6"/>
  <c r="I2337" i="6" s="1"/>
  <c r="W2336" i="6"/>
  <c r="V2336" i="6"/>
  <c r="U2336" i="6"/>
  <c r="U2335" i="6"/>
  <c r="I2335" i="6"/>
  <c r="U2334" i="6"/>
  <c r="U2333" i="6"/>
  <c r="U2332" i="6"/>
  <c r="W2331" i="6"/>
  <c r="V2331" i="6"/>
  <c r="U2331" i="6"/>
  <c r="W2330" i="6"/>
  <c r="V2330" i="6"/>
  <c r="U2330" i="6"/>
  <c r="X2330" i="6" s="1"/>
  <c r="I2330" i="6"/>
  <c r="J2330" i="6" s="1"/>
  <c r="U2329" i="6"/>
  <c r="U2328" i="6"/>
  <c r="U2327" i="6"/>
  <c r="U2326" i="6"/>
  <c r="J2326" i="6"/>
  <c r="I2326" i="6"/>
  <c r="K2326" i="6" s="1"/>
  <c r="U2325" i="6"/>
  <c r="I2325" i="6" s="1"/>
  <c r="U2324" i="6"/>
  <c r="W2324" i="6" s="1"/>
  <c r="U2323" i="6"/>
  <c r="W2323" i="6" s="1"/>
  <c r="I2323" i="6"/>
  <c r="X2322" i="6"/>
  <c r="W2322" i="6"/>
  <c r="U2322" i="6"/>
  <c r="I2322" i="6" s="1"/>
  <c r="X2321" i="6"/>
  <c r="W2321" i="6"/>
  <c r="V2321" i="6"/>
  <c r="U2321" i="6"/>
  <c r="J2321" i="6"/>
  <c r="I2321" i="6"/>
  <c r="K2321" i="6" s="1"/>
  <c r="U2320" i="6"/>
  <c r="W2319" i="6"/>
  <c r="V2319" i="6"/>
  <c r="U2319" i="6"/>
  <c r="U2318" i="6"/>
  <c r="W2318" i="6" s="1"/>
  <c r="X2317" i="6"/>
  <c r="W2317" i="6"/>
  <c r="V2317" i="6"/>
  <c r="U2317" i="6"/>
  <c r="I2317" i="6"/>
  <c r="K2317" i="6" s="1"/>
  <c r="U2316" i="6"/>
  <c r="I2316" i="6" s="1"/>
  <c r="U2315" i="6"/>
  <c r="U2314" i="6"/>
  <c r="V2313" i="6"/>
  <c r="U2313" i="6"/>
  <c r="U2312" i="6"/>
  <c r="U2311" i="6"/>
  <c r="V2311" i="6" s="1"/>
  <c r="U2310" i="6"/>
  <c r="X2309" i="6"/>
  <c r="W2309" i="6"/>
  <c r="V2309" i="6"/>
  <c r="U2309" i="6"/>
  <c r="K2309" i="6"/>
  <c r="J2309" i="6"/>
  <c r="I2309" i="6"/>
  <c r="U2308" i="6"/>
  <c r="U2307" i="6"/>
  <c r="I2307" i="6"/>
  <c r="U2306" i="6"/>
  <c r="X2306" i="6" s="1"/>
  <c r="I2306" i="6"/>
  <c r="X2305" i="6"/>
  <c r="U2305" i="6"/>
  <c r="U2304" i="6"/>
  <c r="I2304" i="6"/>
  <c r="U2303" i="6"/>
  <c r="U2302" i="6"/>
  <c r="W2302" i="6" s="1"/>
  <c r="X2301" i="6"/>
  <c r="V2301" i="6"/>
  <c r="U2301" i="6"/>
  <c r="W2301" i="6" s="1"/>
  <c r="U2300" i="6"/>
  <c r="V2300" i="6" s="1"/>
  <c r="U2299" i="6"/>
  <c r="U2298" i="6"/>
  <c r="I2298" i="6"/>
  <c r="X2297" i="6"/>
  <c r="V2297" i="6"/>
  <c r="U2297" i="6"/>
  <c r="W2297" i="6" s="1"/>
  <c r="I2297" i="6"/>
  <c r="X2296" i="6"/>
  <c r="U2296" i="6"/>
  <c r="V2296" i="6" s="1"/>
  <c r="U2295" i="6"/>
  <c r="J2295" i="6"/>
  <c r="I2295" i="6"/>
  <c r="K2295" i="6" s="1"/>
  <c r="U2294" i="6"/>
  <c r="U2293" i="6"/>
  <c r="V2292" i="6"/>
  <c r="U2292" i="6"/>
  <c r="W2292" i="6" s="1"/>
  <c r="I2292" i="6"/>
  <c r="U2291" i="6"/>
  <c r="U2290" i="6"/>
  <c r="I2290" i="6" s="1"/>
  <c r="X2289" i="6"/>
  <c r="W2289" i="6"/>
  <c r="V2289" i="6"/>
  <c r="U2289" i="6"/>
  <c r="J2289" i="6"/>
  <c r="I2289" i="6"/>
  <c r="K2289" i="6" s="1"/>
  <c r="U2288" i="6"/>
  <c r="X2287" i="6"/>
  <c r="U2287" i="6"/>
  <c r="W2286" i="6"/>
  <c r="U2286" i="6"/>
  <c r="I2286" i="6"/>
  <c r="U2285" i="6"/>
  <c r="V2284" i="6"/>
  <c r="U2284" i="6"/>
  <c r="U2283" i="6"/>
  <c r="I2283" i="6"/>
  <c r="X2282" i="6"/>
  <c r="W2282" i="6"/>
  <c r="V2282" i="6"/>
  <c r="U2282" i="6"/>
  <c r="I2282" i="6"/>
  <c r="W2281" i="6"/>
  <c r="V2281" i="6"/>
  <c r="U2281" i="6"/>
  <c r="X2281" i="6" s="1"/>
  <c r="I2281" i="6"/>
  <c r="U2280" i="6"/>
  <c r="U2279" i="6"/>
  <c r="X2278" i="6"/>
  <c r="W2278" i="6"/>
  <c r="V2278" i="6"/>
  <c r="U2278" i="6"/>
  <c r="I2278" i="6"/>
  <c r="K2278" i="6" s="1"/>
  <c r="X2277" i="6"/>
  <c r="W2277" i="6"/>
  <c r="U2277" i="6"/>
  <c r="V2277" i="6" s="1"/>
  <c r="W2276" i="6"/>
  <c r="U2276" i="6"/>
  <c r="U2275" i="6"/>
  <c r="X2275" i="6" s="1"/>
  <c r="X2274" i="6"/>
  <c r="U2274" i="6"/>
  <c r="X2273" i="6"/>
  <c r="U2273" i="6"/>
  <c r="V2273" i="6" s="1"/>
  <c r="I2273" i="6"/>
  <c r="V2272" i="6"/>
  <c r="U2272" i="6"/>
  <c r="W2271" i="6"/>
  <c r="V2271" i="6"/>
  <c r="U2271" i="6"/>
  <c r="X2271" i="6" s="1"/>
  <c r="I2271" i="6"/>
  <c r="U2270" i="6"/>
  <c r="U2269" i="6"/>
  <c r="U2268" i="6"/>
  <c r="I2268" i="6" s="1"/>
  <c r="U2267" i="6"/>
  <c r="U2266" i="6"/>
  <c r="X2265" i="6"/>
  <c r="W2265" i="6"/>
  <c r="V2265" i="6"/>
  <c r="U2265" i="6"/>
  <c r="K2265" i="6"/>
  <c r="P147" i="5" s="1"/>
  <c r="I2265" i="6"/>
  <c r="J2265" i="6" s="1"/>
  <c r="U2264" i="6"/>
  <c r="V2264" i="6" s="1"/>
  <c r="U2263" i="6"/>
  <c r="I2263" i="6" s="1"/>
  <c r="X2262" i="6"/>
  <c r="W2262" i="6"/>
  <c r="V2262" i="6"/>
  <c r="U2262" i="6"/>
  <c r="I2262" i="6" s="1"/>
  <c r="K2262" i="6" s="1"/>
  <c r="X2261" i="6"/>
  <c r="V2261" i="6"/>
  <c r="U2261" i="6"/>
  <c r="W2261" i="6" s="1"/>
  <c r="I2261" i="6"/>
  <c r="X2260" i="6"/>
  <c r="W2260" i="6"/>
  <c r="U2260" i="6"/>
  <c r="I2260" i="6" s="1"/>
  <c r="U2259" i="6"/>
  <c r="U2258" i="6"/>
  <c r="I2258" i="6" s="1"/>
  <c r="U2257" i="6"/>
  <c r="X2256" i="6"/>
  <c r="V2256" i="6"/>
  <c r="U2256" i="6"/>
  <c r="W2256" i="6" s="1"/>
  <c r="I2256" i="6"/>
  <c r="K2256" i="6" s="1"/>
  <c r="W2255" i="6"/>
  <c r="U2255" i="6"/>
  <c r="U2254" i="6"/>
  <c r="X2253" i="6"/>
  <c r="W2253" i="6"/>
  <c r="V2253" i="6"/>
  <c r="U2253" i="6"/>
  <c r="K2253" i="6"/>
  <c r="J2253" i="6"/>
  <c r="I2253" i="6"/>
  <c r="U2252" i="6"/>
  <c r="V2252" i="6" s="1"/>
  <c r="U2251" i="6"/>
  <c r="X2251" i="6" s="1"/>
  <c r="V2250" i="6"/>
  <c r="U2250" i="6"/>
  <c r="U2249" i="6"/>
  <c r="U2248" i="6"/>
  <c r="W2248" i="6" s="1"/>
  <c r="U2247" i="6"/>
  <c r="U2246" i="6"/>
  <c r="V2246" i="6" s="1"/>
  <c r="I2246" i="6"/>
  <c r="K2246" i="6" s="1"/>
  <c r="M146" i="5" s="1"/>
  <c r="X2245" i="6"/>
  <c r="U2245" i="6"/>
  <c r="I2245" i="6"/>
  <c r="J2245" i="6" s="1"/>
  <c r="U2244" i="6"/>
  <c r="V2244" i="6" s="1"/>
  <c r="X2243" i="6"/>
  <c r="U2243" i="6"/>
  <c r="I2243" i="6"/>
  <c r="V2242" i="6"/>
  <c r="U2242" i="6"/>
  <c r="X2241" i="6"/>
  <c r="W2241" i="6"/>
  <c r="V2241" i="6"/>
  <c r="U2241" i="6"/>
  <c r="I2241" i="6"/>
  <c r="J2241" i="6" s="1"/>
  <c r="W2240" i="6"/>
  <c r="V2240" i="6"/>
  <c r="U2240" i="6"/>
  <c r="X2240" i="6" s="1"/>
  <c r="I2240" i="6"/>
  <c r="W2239" i="6"/>
  <c r="U2239" i="6"/>
  <c r="X2239" i="6" s="1"/>
  <c r="U2238" i="6"/>
  <c r="W2237" i="6"/>
  <c r="V2237" i="6"/>
  <c r="U2237" i="6"/>
  <c r="W2236" i="6"/>
  <c r="U2236" i="6"/>
  <c r="X2235" i="6"/>
  <c r="W2235" i="6"/>
  <c r="V2235" i="6"/>
  <c r="U2235" i="6"/>
  <c r="I2235" i="6" s="1"/>
  <c r="K2235" i="6" s="1"/>
  <c r="J2235" i="6"/>
  <c r="X2234" i="6"/>
  <c r="W2234" i="6"/>
  <c r="U2234" i="6"/>
  <c r="V2234" i="6" s="1"/>
  <c r="I2234" i="6"/>
  <c r="X2233" i="6"/>
  <c r="V2233" i="6"/>
  <c r="U2233" i="6"/>
  <c r="W2233" i="6" s="1"/>
  <c r="I2233" i="6"/>
  <c r="J2233" i="6" s="1"/>
  <c r="U2232" i="6"/>
  <c r="X2232" i="6" s="1"/>
  <c r="U2231" i="6"/>
  <c r="U2230" i="6"/>
  <c r="I2230" i="6" s="1"/>
  <c r="K2230" i="6" s="1"/>
  <c r="X2229" i="6"/>
  <c r="W2229" i="6"/>
  <c r="V2229" i="6"/>
  <c r="U2229" i="6"/>
  <c r="K2229" i="6"/>
  <c r="AB144" i="5" s="1"/>
  <c r="I2229" i="6"/>
  <c r="J2229" i="6" s="1"/>
  <c r="X2228" i="6"/>
  <c r="U2228" i="6"/>
  <c r="V2228" i="6" s="1"/>
  <c r="I2228" i="6"/>
  <c r="K2228" i="6" s="1"/>
  <c r="U2227" i="6"/>
  <c r="I2227" i="6"/>
  <c r="K2227" i="6" s="1"/>
  <c r="Z144" i="5" s="1"/>
  <c r="U2226" i="6"/>
  <c r="X2226" i="6" s="1"/>
  <c r="X2225" i="6"/>
  <c r="V2225" i="6"/>
  <c r="U2225" i="6"/>
  <c r="U2224" i="6"/>
  <c r="J2224" i="6"/>
  <c r="I2224" i="6"/>
  <c r="K2224" i="6" s="1"/>
  <c r="U2223" i="6"/>
  <c r="W2223" i="6" s="1"/>
  <c r="W2222" i="6"/>
  <c r="U2222" i="6"/>
  <c r="I2222" i="6" s="1"/>
  <c r="J2222" i="6" s="1"/>
  <c r="K2222" i="6"/>
  <c r="X2221" i="6"/>
  <c r="U2221" i="6"/>
  <c r="V2221" i="6" s="1"/>
  <c r="U2220" i="6"/>
  <c r="I2220" i="6"/>
  <c r="U2219" i="6"/>
  <c r="I2219" i="6"/>
  <c r="K2219" i="6" s="1"/>
  <c r="W2218" i="6"/>
  <c r="V2218" i="6"/>
  <c r="U2218" i="6"/>
  <c r="X2218" i="6" s="1"/>
  <c r="I2218" i="6"/>
  <c r="K2218" i="6" s="1"/>
  <c r="Q144" i="5" s="1"/>
  <c r="X2217" i="6"/>
  <c r="U2217" i="6"/>
  <c r="U2216" i="6"/>
  <c r="I2216" i="6" s="1"/>
  <c r="W2215" i="6"/>
  <c r="V2215" i="6"/>
  <c r="U2215" i="6"/>
  <c r="U2214" i="6"/>
  <c r="X2214" i="6" s="1"/>
  <c r="W2213" i="6"/>
  <c r="U2213" i="6"/>
  <c r="U2212" i="6"/>
  <c r="U2211" i="6"/>
  <c r="U2210" i="6"/>
  <c r="I2210" i="6"/>
  <c r="X2209" i="6"/>
  <c r="W2209" i="6"/>
  <c r="V2209" i="6"/>
  <c r="U2209" i="6"/>
  <c r="I2209" i="6"/>
  <c r="J2209" i="6" s="1"/>
  <c r="X2208" i="6"/>
  <c r="W2208" i="6"/>
  <c r="U2208" i="6"/>
  <c r="W2207" i="6"/>
  <c r="U2207" i="6"/>
  <c r="U2206" i="6"/>
  <c r="X2205" i="6"/>
  <c r="W2205" i="6"/>
  <c r="V2205" i="6"/>
  <c r="U2205" i="6"/>
  <c r="I2205" i="6" s="1"/>
  <c r="W2204" i="6"/>
  <c r="U2204" i="6"/>
  <c r="U2203" i="6"/>
  <c r="W2203" i="6" s="1"/>
  <c r="U2202" i="6"/>
  <c r="X2201" i="6"/>
  <c r="W2201" i="6"/>
  <c r="U2201" i="6"/>
  <c r="X2200" i="6"/>
  <c r="V2200" i="6"/>
  <c r="U2200" i="6"/>
  <c r="X2199" i="6"/>
  <c r="U2199" i="6"/>
  <c r="I2199" i="6"/>
  <c r="K2199" i="6" s="1"/>
  <c r="U2198" i="6"/>
  <c r="V2198" i="6" s="1"/>
  <c r="U2197" i="6"/>
  <c r="W2197" i="6" s="1"/>
  <c r="U2196" i="6"/>
  <c r="X2195" i="6"/>
  <c r="W2195" i="6"/>
  <c r="V2195" i="6"/>
  <c r="U2195" i="6"/>
  <c r="I2195" i="6"/>
  <c r="K2195" i="6" s="1"/>
  <c r="V2194" i="6"/>
  <c r="U2194" i="6"/>
  <c r="U2193" i="6"/>
  <c r="J2193" i="6"/>
  <c r="I2193" i="6"/>
  <c r="K2193" i="6" s="1"/>
  <c r="X142" i="5" s="1"/>
  <c r="U2192" i="6"/>
  <c r="U2191" i="6"/>
  <c r="W2191" i="6" s="1"/>
  <c r="X2190" i="6"/>
  <c r="W2190" i="6"/>
  <c r="U2190" i="6"/>
  <c r="X2189" i="6"/>
  <c r="W2189" i="6"/>
  <c r="V2189" i="6"/>
  <c r="U2189" i="6"/>
  <c r="J2189" i="6"/>
  <c r="I2189" i="6"/>
  <c r="K2189" i="6" s="1"/>
  <c r="U2188" i="6"/>
  <c r="U2187" i="6"/>
  <c r="V2186" i="6"/>
  <c r="U2186" i="6"/>
  <c r="X2185" i="6"/>
  <c r="W2185" i="6"/>
  <c r="V2185" i="6"/>
  <c r="U2185" i="6"/>
  <c r="I2185" i="6"/>
  <c r="X2184" i="6"/>
  <c r="U2184" i="6"/>
  <c r="U2183" i="6"/>
  <c r="U2182" i="6"/>
  <c r="I2182" i="6"/>
  <c r="X2181" i="6"/>
  <c r="W2181" i="6"/>
  <c r="U2181" i="6"/>
  <c r="V2181" i="6" s="1"/>
  <c r="U2180" i="6"/>
  <c r="I2180" i="6" s="1"/>
  <c r="J2180" i="6" s="1"/>
  <c r="U2179" i="6"/>
  <c r="U2178" i="6"/>
  <c r="X2178" i="6" s="1"/>
  <c r="W2177" i="6"/>
  <c r="V2177" i="6"/>
  <c r="U2177" i="6"/>
  <c r="X2177" i="6" s="1"/>
  <c r="I2177" i="6"/>
  <c r="U2176" i="6"/>
  <c r="W2175" i="6"/>
  <c r="U2175" i="6"/>
  <c r="U2174" i="6"/>
  <c r="X2173" i="6"/>
  <c r="V2173" i="6"/>
  <c r="U2173" i="6"/>
  <c r="W2173" i="6" s="1"/>
  <c r="I2173" i="6"/>
  <c r="X2172" i="6"/>
  <c r="U2172" i="6"/>
  <c r="I2172" i="6"/>
  <c r="K2172" i="6" s="1"/>
  <c r="S141" i="5" s="1"/>
  <c r="U2171" i="6"/>
  <c r="W2170" i="6"/>
  <c r="U2170" i="6"/>
  <c r="X2170" i="6" s="1"/>
  <c r="X2169" i="6"/>
  <c r="U2169" i="6"/>
  <c r="W2169" i="6" s="1"/>
  <c r="I2169" i="6"/>
  <c r="W2168" i="6"/>
  <c r="U2168" i="6"/>
  <c r="X2167" i="6"/>
  <c r="V2167" i="6"/>
  <c r="U2167" i="6"/>
  <c r="W2167" i="6" s="1"/>
  <c r="I2167" i="6"/>
  <c r="U2166" i="6"/>
  <c r="U2165" i="6"/>
  <c r="I2165" i="6"/>
  <c r="J2165" i="6" s="1"/>
  <c r="U2164" i="6"/>
  <c r="I2164" i="6"/>
  <c r="U2163" i="6"/>
  <c r="U2162" i="6"/>
  <c r="I2162" i="6"/>
  <c r="U2161" i="6"/>
  <c r="U2160" i="6"/>
  <c r="V2159" i="6"/>
  <c r="U2159" i="6"/>
  <c r="I2159" i="6" s="1"/>
  <c r="W2158" i="6"/>
  <c r="V2158" i="6"/>
  <c r="U2158" i="6"/>
  <c r="W2157" i="6"/>
  <c r="V2157" i="6"/>
  <c r="U2157" i="6"/>
  <c r="X2157" i="6" s="1"/>
  <c r="I2157" i="6"/>
  <c r="U2156" i="6"/>
  <c r="X2156" i="6" s="1"/>
  <c r="U2155" i="6"/>
  <c r="X2155" i="6" s="1"/>
  <c r="U2154" i="6"/>
  <c r="X2153" i="6"/>
  <c r="W2153" i="6"/>
  <c r="U2153" i="6"/>
  <c r="I2153" i="6" s="1"/>
  <c r="J2153" i="6" s="1"/>
  <c r="K2153" i="6"/>
  <c r="V2152" i="6"/>
  <c r="U2152" i="6"/>
  <c r="U2151" i="6"/>
  <c r="X2150" i="6"/>
  <c r="W2150" i="6"/>
  <c r="V2150" i="6"/>
  <c r="U2150" i="6"/>
  <c r="J2150" i="6"/>
  <c r="I2150" i="6"/>
  <c r="K2150" i="6" s="1"/>
  <c r="X2149" i="6"/>
  <c r="W2149" i="6"/>
  <c r="U2149" i="6"/>
  <c r="X2148" i="6"/>
  <c r="W2148" i="6"/>
  <c r="U2148" i="6"/>
  <c r="V2148" i="6" s="1"/>
  <c r="I2148" i="6"/>
  <c r="W2147" i="6"/>
  <c r="V2147" i="6"/>
  <c r="U2147" i="6"/>
  <c r="X2147" i="6" s="1"/>
  <c r="I2147" i="6"/>
  <c r="U2146" i="6"/>
  <c r="X2146" i="6" s="1"/>
  <c r="U2145" i="6"/>
  <c r="U2144" i="6"/>
  <c r="I2144" i="6" s="1"/>
  <c r="U2143" i="6"/>
  <c r="I2143" i="6"/>
  <c r="U2142" i="6"/>
  <c r="I2142" i="6"/>
  <c r="K2142" i="6" s="1"/>
  <c r="U139" i="5" s="1"/>
  <c r="X2141" i="6"/>
  <c r="W2141" i="6"/>
  <c r="V2141" i="6"/>
  <c r="U2141" i="6"/>
  <c r="K2141" i="6"/>
  <c r="I2141" i="6"/>
  <c r="J2141" i="6" s="1"/>
  <c r="U2140" i="6"/>
  <c r="U2139" i="6"/>
  <c r="U2138" i="6"/>
  <c r="I2138" i="6" s="1"/>
  <c r="J2138" i="6" s="1"/>
  <c r="K2138" i="6"/>
  <c r="Q139" i="5" s="1"/>
  <c r="U2137" i="6"/>
  <c r="U2136" i="6"/>
  <c r="I2136" i="6"/>
  <c r="K2136" i="6" s="1"/>
  <c r="U2135" i="6"/>
  <c r="I2135" i="6" s="1"/>
  <c r="U2134" i="6"/>
  <c r="U2133" i="6"/>
  <c r="I2133" i="6"/>
  <c r="X2132" i="6"/>
  <c r="U2132" i="6"/>
  <c r="U2131" i="6"/>
  <c r="V2131" i="6" s="1"/>
  <c r="I2131" i="6"/>
  <c r="U2130" i="6"/>
  <c r="X2129" i="6"/>
  <c r="W2129" i="6"/>
  <c r="V2129" i="6"/>
  <c r="U2129" i="6"/>
  <c r="K2129" i="6"/>
  <c r="J2129" i="6"/>
  <c r="I2129" i="6"/>
  <c r="U2128" i="6"/>
  <c r="U2127" i="6"/>
  <c r="U2126" i="6"/>
  <c r="X2125" i="6"/>
  <c r="W2125" i="6"/>
  <c r="V2125" i="6"/>
  <c r="U2125" i="6"/>
  <c r="I2125" i="6"/>
  <c r="J2125" i="6" s="1"/>
  <c r="U2124" i="6"/>
  <c r="U2123" i="6"/>
  <c r="X2122" i="6"/>
  <c r="W2122" i="6"/>
  <c r="U2122" i="6"/>
  <c r="V2122" i="6" s="1"/>
  <c r="I2122" i="6"/>
  <c r="K2122" i="6" s="1"/>
  <c r="Q138" i="5" s="1"/>
  <c r="X2121" i="6"/>
  <c r="W2121" i="6"/>
  <c r="U2121" i="6"/>
  <c r="V2121" i="6" s="1"/>
  <c r="V2120" i="6"/>
  <c r="U2120" i="6"/>
  <c r="U2119" i="6"/>
  <c r="U2118" i="6"/>
  <c r="U2117" i="6"/>
  <c r="U2116" i="6"/>
  <c r="U2115" i="6"/>
  <c r="I2115" i="6" s="1"/>
  <c r="X2114" i="6"/>
  <c r="U2114" i="6"/>
  <c r="U2113" i="6"/>
  <c r="W2112" i="6"/>
  <c r="U2112" i="6"/>
  <c r="V2112" i="6" s="1"/>
  <c r="W2111" i="6"/>
  <c r="U2111" i="6"/>
  <c r="X2111" i="6" s="1"/>
  <c r="W2110" i="6"/>
  <c r="V2110" i="6"/>
  <c r="U2110" i="6"/>
  <c r="U2109" i="6"/>
  <c r="I2109" i="6"/>
  <c r="X2108" i="6"/>
  <c r="U2108" i="6"/>
  <c r="U2107" i="6"/>
  <c r="V2107" i="6" s="1"/>
  <c r="W2106" i="6"/>
  <c r="V2106" i="6"/>
  <c r="U2106" i="6"/>
  <c r="U2105" i="6"/>
  <c r="X2105" i="6" s="1"/>
  <c r="V2104" i="6"/>
  <c r="U2104" i="6"/>
  <c r="I2104" i="6"/>
  <c r="K2104" i="6" s="1"/>
  <c r="O137" i="5" s="1"/>
  <c r="V2103" i="6"/>
  <c r="U2103" i="6"/>
  <c r="I2103" i="6"/>
  <c r="U2102" i="6"/>
  <c r="X2102" i="6" s="1"/>
  <c r="X2101" i="6"/>
  <c r="U2101" i="6"/>
  <c r="W2101" i="6" s="1"/>
  <c r="K2101" i="6"/>
  <c r="I2101" i="6"/>
  <c r="J2101" i="6" s="1"/>
  <c r="U2100" i="6"/>
  <c r="U2099" i="6"/>
  <c r="U2098" i="6"/>
  <c r="I2098" i="6"/>
  <c r="X2097" i="6"/>
  <c r="U2097" i="6"/>
  <c r="U2096" i="6"/>
  <c r="I2096" i="6" s="1"/>
  <c r="V2095" i="6"/>
  <c r="U2095" i="6"/>
  <c r="I2095" i="6"/>
  <c r="V2094" i="6"/>
  <c r="U2094" i="6"/>
  <c r="X2093" i="6"/>
  <c r="W2093" i="6"/>
  <c r="V2093" i="6"/>
  <c r="U2093" i="6"/>
  <c r="I2093" i="6" s="1"/>
  <c r="X2092" i="6"/>
  <c r="W2092" i="6"/>
  <c r="U2092" i="6"/>
  <c r="V2092" i="6" s="1"/>
  <c r="J2092" i="6"/>
  <c r="I2092" i="6"/>
  <c r="K2092" i="6" s="1"/>
  <c r="S136" i="5" s="1"/>
  <c r="X2091" i="6"/>
  <c r="W2091" i="6"/>
  <c r="U2091" i="6"/>
  <c r="V2091" i="6" s="1"/>
  <c r="X2090" i="6"/>
  <c r="W2090" i="6"/>
  <c r="U2090" i="6"/>
  <c r="I2090" i="6" s="1"/>
  <c r="J2090" i="6" s="1"/>
  <c r="K2090" i="6"/>
  <c r="U2089" i="6"/>
  <c r="X2089" i="6" s="1"/>
  <c r="U2088" i="6"/>
  <c r="I2088" i="6" s="1"/>
  <c r="U2087" i="6"/>
  <c r="U2086" i="6"/>
  <c r="V2086" i="6" s="1"/>
  <c r="W2085" i="6"/>
  <c r="U2085" i="6"/>
  <c r="W2084" i="6"/>
  <c r="V2084" i="6"/>
  <c r="U2084" i="6"/>
  <c r="U2083" i="6"/>
  <c r="U2082" i="6"/>
  <c r="V2081" i="6"/>
  <c r="U2081" i="6"/>
  <c r="I2081" i="6"/>
  <c r="J2081" i="6" s="1"/>
  <c r="U2080" i="6"/>
  <c r="W2080" i="6" s="1"/>
  <c r="V2079" i="6"/>
  <c r="U2079" i="6"/>
  <c r="I2079" i="6" s="1"/>
  <c r="K2079" i="6" s="1"/>
  <c r="V135" i="5" s="1"/>
  <c r="U2078" i="6"/>
  <c r="I2078" i="6" s="1"/>
  <c r="U2077" i="6"/>
  <c r="X2076" i="6"/>
  <c r="U2076" i="6"/>
  <c r="W2076" i="6" s="1"/>
  <c r="I2076" i="6"/>
  <c r="W2075" i="6"/>
  <c r="U2075" i="6"/>
  <c r="X2074" i="6"/>
  <c r="W2074" i="6"/>
  <c r="U2074" i="6"/>
  <c r="V2074" i="6" s="1"/>
  <c r="I2074" i="6"/>
  <c r="X2073" i="6"/>
  <c r="W2073" i="6"/>
  <c r="V2073" i="6"/>
  <c r="U2073" i="6"/>
  <c r="I2073" i="6"/>
  <c r="U2072" i="6"/>
  <c r="X2071" i="6"/>
  <c r="U2071" i="6"/>
  <c r="I2071" i="6"/>
  <c r="X2070" i="6"/>
  <c r="W2070" i="6"/>
  <c r="V2070" i="6"/>
  <c r="U2070" i="6"/>
  <c r="K2070" i="6"/>
  <c r="M135" i="5" s="1"/>
  <c r="J2070" i="6"/>
  <c r="I2070" i="6"/>
  <c r="X2069" i="6"/>
  <c r="W2069" i="6"/>
  <c r="U2069" i="6"/>
  <c r="I2069" i="6" s="1"/>
  <c r="U2068" i="6"/>
  <c r="U2067" i="6"/>
  <c r="U2066" i="6"/>
  <c r="W2066" i="6" s="1"/>
  <c r="U2065" i="6"/>
  <c r="X2064" i="6"/>
  <c r="W2064" i="6"/>
  <c r="U2064" i="6"/>
  <c r="V2064" i="6" s="1"/>
  <c r="I2064" i="6"/>
  <c r="X2063" i="6"/>
  <c r="V2063" i="6"/>
  <c r="U2063" i="6"/>
  <c r="W2063" i="6" s="1"/>
  <c r="I2063" i="6"/>
  <c r="U2062" i="6"/>
  <c r="X2062" i="6" s="1"/>
  <c r="X2061" i="6"/>
  <c r="W2061" i="6"/>
  <c r="U2061" i="6"/>
  <c r="I2061" i="6" s="1"/>
  <c r="K2061" i="6" s="1"/>
  <c r="U2060" i="6"/>
  <c r="I2060" i="6" s="1"/>
  <c r="W2059" i="6"/>
  <c r="U2059" i="6"/>
  <c r="V2058" i="6"/>
  <c r="U2058" i="6"/>
  <c r="U2057" i="6"/>
  <c r="V2057" i="6" s="1"/>
  <c r="I2057" i="6"/>
  <c r="X2056" i="6"/>
  <c r="U2056" i="6"/>
  <c r="U2055" i="6"/>
  <c r="I2055" i="6"/>
  <c r="K2055" i="6" s="1"/>
  <c r="U2054" i="6"/>
  <c r="I2054" i="6"/>
  <c r="J2054" i="6" s="1"/>
  <c r="W2053" i="6"/>
  <c r="U2053" i="6"/>
  <c r="X2052" i="6"/>
  <c r="W2052" i="6"/>
  <c r="U2052" i="6"/>
  <c r="V2051" i="6"/>
  <c r="U2051" i="6"/>
  <c r="V2050" i="6"/>
  <c r="U2050" i="6"/>
  <c r="U2049" i="6"/>
  <c r="U2048" i="6"/>
  <c r="U2047" i="6"/>
  <c r="U2046" i="6"/>
  <c r="V2046" i="6" s="1"/>
  <c r="X2045" i="6"/>
  <c r="W2045" i="6"/>
  <c r="V2045" i="6"/>
  <c r="U2045" i="6"/>
  <c r="I2045" i="6" s="1"/>
  <c r="K2045" i="6" s="1"/>
  <c r="X2044" i="6"/>
  <c r="W2044" i="6"/>
  <c r="V2044" i="6"/>
  <c r="U2044" i="6"/>
  <c r="I2044" i="6" s="1"/>
  <c r="K2044" i="6"/>
  <c r="S133" i="5" s="1"/>
  <c r="J2044" i="6"/>
  <c r="U2043" i="6"/>
  <c r="W2042" i="6"/>
  <c r="V2042" i="6"/>
  <c r="U2042" i="6"/>
  <c r="X2042" i="6" s="1"/>
  <c r="I2042" i="6"/>
  <c r="X2041" i="6"/>
  <c r="W2041" i="6"/>
  <c r="V2041" i="6"/>
  <c r="U2041" i="6"/>
  <c r="I2041" i="6"/>
  <c r="V2040" i="6"/>
  <c r="U2040" i="6"/>
  <c r="X2039" i="6"/>
  <c r="V2039" i="6"/>
  <c r="U2039" i="6"/>
  <c r="I2039" i="6" s="1"/>
  <c r="K2039" i="6" s="1"/>
  <c r="N133" i="5" s="1"/>
  <c r="V2038" i="6"/>
  <c r="U2038" i="6"/>
  <c r="I2038" i="6"/>
  <c r="X2037" i="6"/>
  <c r="W2037" i="6"/>
  <c r="V2037" i="6"/>
  <c r="U2037" i="6"/>
  <c r="I2037" i="6"/>
  <c r="K2037" i="6" s="1"/>
  <c r="U2036" i="6"/>
  <c r="I2036" i="6"/>
  <c r="U2035" i="6"/>
  <c r="U2034" i="6"/>
  <c r="W2034" i="6" s="1"/>
  <c r="X2033" i="6"/>
  <c r="W2033" i="6"/>
  <c r="U2033" i="6"/>
  <c r="V2033" i="6" s="1"/>
  <c r="I2033" i="6"/>
  <c r="U2032" i="6"/>
  <c r="I2032" i="6" s="1"/>
  <c r="K2032" i="6" s="1"/>
  <c r="U2031" i="6"/>
  <c r="V2031" i="6" s="1"/>
  <c r="U2030" i="6"/>
  <c r="W2030" i="6" s="1"/>
  <c r="I2030" i="6"/>
  <c r="X2029" i="6"/>
  <c r="W2029" i="6"/>
  <c r="V2029" i="6"/>
  <c r="U2029" i="6"/>
  <c r="I2029" i="6" s="1"/>
  <c r="K2029" i="6"/>
  <c r="J2029" i="6"/>
  <c r="U2028" i="6"/>
  <c r="U2027" i="6"/>
  <c r="W2026" i="6"/>
  <c r="U2026" i="6"/>
  <c r="I2026" i="6"/>
  <c r="J2026" i="6" s="1"/>
  <c r="U2025" i="6"/>
  <c r="U2024" i="6"/>
  <c r="V2023" i="6"/>
  <c r="U2023" i="6"/>
  <c r="I2023" i="6"/>
  <c r="X2022" i="6"/>
  <c r="U2022" i="6"/>
  <c r="X2021" i="6"/>
  <c r="W2021" i="6"/>
  <c r="V2021" i="6"/>
  <c r="U2021" i="6"/>
  <c r="I2021" i="6" s="1"/>
  <c r="J2021" i="6" s="1"/>
  <c r="K2021" i="6"/>
  <c r="AB131" i="5" s="1"/>
  <c r="U2020" i="6"/>
  <c r="W2020" i="6" s="1"/>
  <c r="I2020" i="6"/>
  <c r="X2019" i="6"/>
  <c r="V2019" i="6"/>
  <c r="U2019" i="6"/>
  <c r="W2019" i="6" s="1"/>
  <c r="I2019" i="6"/>
  <c r="U2018" i="6"/>
  <c r="I2018" i="6"/>
  <c r="X2017" i="6"/>
  <c r="W2017" i="6"/>
  <c r="U2017" i="6"/>
  <c r="U2016" i="6"/>
  <c r="W2016" i="6" s="1"/>
  <c r="I2016" i="6"/>
  <c r="U2015" i="6"/>
  <c r="V2014" i="6"/>
  <c r="U2014" i="6"/>
  <c r="U2013" i="6"/>
  <c r="I2013" i="6"/>
  <c r="J2013" i="6" s="1"/>
  <c r="U2012" i="6"/>
  <c r="X2011" i="6"/>
  <c r="U2011" i="6"/>
  <c r="V2011" i="6" s="1"/>
  <c r="W2010" i="6"/>
  <c r="V2010" i="6"/>
  <c r="U2010" i="6"/>
  <c r="X2009" i="6"/>
  <c r="W2009" i="6"/>
  <c r="U2009" i="6"/>
  <c r="V2009" i="6" s="1"/>
  <c r="J2009" i="6"/>
  <c r="I2009" i="6"/>
  <c r="K2009" i="6" s="1"/>
  <c r="W2008" i="6"/>
  <c r="U2008" i="6"/>
  <c r="U2007" i="6"/>
  <c r="W2006" i="6"/>
  <c r="U2006" i="6"/>
  <c r="X2005" i="6"/>
  <c r="W2005" i="6"/>
  <c r="V2005" i="6"/>
  <c r="U2005" i="6"/>
  <c r="K2005" i="6"/>
  <c r="I2005" i="6"/>
  <c r="J2005" i="6" s="1"/>
  <c r="U2004" i="6"/>
  <c r="I2004" i="6"/>
  <c r="J2004" i="6" s="1"/>
  <c r="U2003" i="6"/>
  <c r="W2002" i="6"/>
  <c r="V2002" i="6"/>
  <c r="U2002" i="6"/>
  <c r="X2001" i="6"/>
  <c r="W2001" i="6"/>
  <c r="V2001" i="6"/>
  <c r="U2001" i="6"/>
  <c r="I2001" i="6"/>
  <c r="X2000" i="6"/>
  <c r="U2000" i="6"/>
  <c r="U1999" i="6"/>
  <c r="V1999" i="6" s="1"/>
  <c r="U1998" i="6"/>
  <c r="X1997" i="6"/>
  <c r="W1997" i="6"/>
  <c r="V1997" i="6"/>
  <c r="U1997" i="6"/>
  <c r="I1997" i="6" s="1"/>
  <c r="U1996" i="6"/>
  <c r="I1996" i="6" s="1"/>
  <c r="W1995" i="6"/>
  <c r="V1995" i="6"/>
  <c r="U1995" i="6"/>
  <c r="X1995" i="6" s="1"/>
  <c r="I1995" i="6"/>
  <c r="K1995" i="6" s="1"/>
  <c r="U1994" i="6"/>
  <c r="U1993" i="6"/>
  <c r="I1993" i="6" s="1"/>
  <c r="U1992" i="6"/>
  <c r="U1991" i="6"/>
  <c r="I1991" i="6"/>
  <c r="U1990" i="6"/>
  <c r="W1990" i="6" s="1"/>
  <c r="I1990" i="6"/>
  <c r="U1989" i="6"/>
  <c r="X1988" i="6"/>
  <c r="U1988" i="6"/>
  <c r="V1988" i="6" s="1"/>
  <c r="I1988" i="6"/>
  <c r="W1987" i="6"/>
  <c r="V1987" i="6"/>
  <c r="U1987" i="6"/>
  <c r="X1987" i="6" s="1"/>
  <c r="K1987" i="6"/>
  <c r="I1987" i="6"/>
  <c r="J1987" i="6" s="1"/>
  <c r="W1986" i="6"/>
  <c r="U1986" i="6"/>
  <c r="V1985" i="6"/>
  <c r="U1985" i="6"/>
  <c r="J1985" i="6"/>
  <c r="I1985" i="6"/>
  <c r="K1985" i="6" s="1"/>
  <c r="U1984" i="6"/>
  <c r="U1983" i="6"/>
  <c r="X1983" i="6" s="1"/>
  <c r="W1982" i="6"/>
  <c r="U1982" i="6"/>
  <c r="U1981" i="6"/>
  <c r="I1981" i="6"/>
  <c r="K1981" i="6" s="1"/>
  <c r="T129" i="5" s="1"/>
  <c r="U1980" i="6"/>
  <c r="U1979" i="6"/>
  <c r="U1978" i="6"/>
  <c r="V1977" i="6"/>
  <c r="U1977" i="6"/>
  <c r="X1976" i="6"/>
  <c r="U1976" i="6"/>
  <c r="V1976" i="6" s="1"/>
  <c r="I1976" i="6"/>
  <c r="X1975" i="6"/>
  <c r="W1975" i="6"/>
  <c r="U1975" i="6"/>
  <c r="V1975" i="6" s="1"/>
  <c r="I1975" i="6"/>
  <c r="W1974" i="6"/>
  <c r="U1974" i="6"/>
  <c r="I1974" i="6" s="1"/>
  <c r="U1973" i="6"/>
  <c r="I1973" i="6"/>
  <c r="K1973" i="6" s="1"/>
  <c r="U1972" i="6"/>
  <c r="U1971" i="6"/>
  <c r="I1971" i="6" s="1"/>
  <c r="J1971" i="6" s="1"/>
  <c r="K1971" i="6"/>
  <c r="U1970" i="6"/>
  <c r="X1969" i="6"/>
  <c r="W1969" i="6"/>
  <c r="V1969" i="6"/>
  <c r="U1969" i="6"/>
  <c r="K1969" i="6"/>
  <c r="X128" i="5" s="1"/>
  <c r="I1969" i="6"/>
  <c r="J1969" i="6" s="1"/>
  <c r="X1968" i="6"/>
  <c r="U1968" i="6"/>
  <c r="I1968" i="6" s="1"/>
  <c r="X1967" i="6"/>
  <c r="U1967" i="6"/>
  <c r="I1967" i="6" s="1"/>
  <c r="K1967" i="6" s="1"/>
  <c r="U1966" i="6"/>
  <c r="I1966" i="6" s="1"/>
  <c r="X1965" i="6"/>
  <c r="W1965" i="6"/>
  <c r="V1965" i="6"/>
  <c r="U1965" i="6"/>
  <c r="I1965" i="6"/>
  <c r="U1964" i="6"/>
  <c r="I1964" i="6"/>
  <c r="V1963" i="6"/>
  <c r="U1963" i="6"/>
  <c r="X1963" i="6" s="1"/>
  <c r="U1962" i="6"/>
  <c r="W1962" i="6" s="1"/>
  <c r="U1961" i="6"/>
  <c r="I1961" i="6" s="1"/>
  <c r="U1960" i="6"/>
  <c r="U1959" i="6"/>
  <c r="V1959" i="6" s="1"/>
  <c r="U1958" i="6"/>
  <c r="X1958" i="6" s="1"/>
  <c r="X1957" i="6"/>
  <c r="U1957" i="6"/>
  <c r="W1957" i="6" s="1"/>
  <c r="X1956" i="6"/>
  <c r="W1956" i="6"/>
  <c r="U1956" i="6"/>
  <c r="V1956" i="6" s="1"/>
  <c r="I1956" i="6"/>
  <c r="U1955" i="6"/>
  <c r="I1955" i="6" s="1"/>
  <c r="X1954" i="6"/>
  <c r="W1954" i="6"/>
  <c r="U1954" i="6"/>
  <c r="I1954" i="6" s="1"/>
  <c r="K1954" i="6"/>
  <c r="J1954" i="6"/>
  <c r="W1953" i="6"/>
  <c r="U1953" i="6"/>
  <c r="X1953" i="6" s="1"/>
  <c r="I1953" i="6"/>
  <c r="J1953" i="6" s="1"/>
  <c r="U1952" i="6"/>
  <c r="U1951" i="6"/>
  <c r="I1951" i="6" s="1"/>
  <c r="K1951" i="6" s="1"/>
  <c r="V127" i="5" s="1"/>
  <c r="J1951" i="6"/>
  <c r="U1950" i="6"/>
  <c r="U1949" i="6"/>
  <c r="W1948" i="6"/>
  <c r="U1948" i="6"/>
  <c r="X1947" i="6"/>
  <c r="W1947" i="6"/>
  <c r="U1947" i="6"/>
  <c r="V1947" i="6" s="1"/>
  <c r="X1946" i="6"/>
  <c r="W1946" i="6"/>
  <c r="U1946" i="6"/>
  <c r="V1946" i="6" s="1"/>
  <c r="I1946" i="6"/>
  <c r="X1945" i="6"/>
  <c r="W1945" i="6"/>
  <c r="V1945" i="6"/>
  <c r="U1945" i="6"/>
  <c r="I1945" i="6"/>
  <c r="U1944" i="6"/>
  <c r="U1943" i="6"/>
  <c r="X1943" i="6" s="1"/>
  <c r="X1942" i="6"/>
  <c r="U1942" i="6"/>
  <c r="I1942" i="6"/>
  <c r="X1941" i="6"/>
  <c r="W1941" i="6"/>
  <c r="V1941" i="6"/>
  <c r="U1941" i="6"/>
  <c r="I1941" i="6"/>
  <c r="U1940" i="6"/>
  <c r="U1939" i="6"/>
  <c r="X1938" i="6"/>
  <c r="V1938" i="6"/>
  <c r="U1938" i="6"/>
  <c r="W1938" i="6" s="1"/>
  <c r="K1938" i="6"/>
  <c r="I1938" i="6"/>
  <c r="J1938" i="6" s="1"/>
  <c r="W1937" i="6"/>
  <c r="U1937" i="6"/>
  <c r="X1937" i="6" s="1"/>
  <c r="I1937" i="6"/>
  <c r="K1937" i="6" s="1"/>
  <c r="X1936" i="6"/>
  <c r="W1936" i="6"/>
  <c r="U1936" i="6"/>
  <c r="V1936" i="6" s="1"/>
  <c r="K1936" i="6"/>
  <c r="J1936" i="6"/>
  <c r="I1936" i="6"/>
  <c r="U1935" i="6"/>
  <c r="I1935" i="6"/>
  <c r="U1934" i="6"/>
  <c r="X1933" i="6"/>
  <c r="W1933" i="6"/>
  <c r="U1933" i="6"/>
  <c r="I1933" i="6" s="1"/>
  <c r="K1933" i="6" s="1"/>
  <c r="T126" i="5" s="1"/>
  <c r="X1932" i="6"/>
  <c r="U1932" i="6"/>
  <c r="U1931" i="6"/>
  <c r="V1931" i="6" s="1"/>
  <c r="X1930" i="6"/>
  <c r="W1930" i="6"/>
  <c r="U1930" i="6"/>
  <c r="I1930" i="6" s="1"/>
  <c r="U1929" i="6"/>
  <c r="V1929" i="6" s="1"/>
  <c r="I1929" i="6"/>
  <c r="X1928" i="6"/>
  <c r="W1928" i="6"/>
  <c r="U1928" i="6"/>
  <c r="U1927" i="6"/>
  <c r="U1926" i="6"/>
  <c r="I1926" i="6" s="1"/>
  <c r="U1925" i="6"/>
  <c r="I1925" i="6"/>
  <c r="U1924" i="6"/>
  <c r="X1924" i="6" s="1"/>
  <c r="U1923" i="6"/>
  <c r="W1923" i="6" s="1"/>
  <c r="U1922" i="6"/>
  <c r="U1921" i="6"/>
  <c r="U1920" i="6"/>
  <c r="W1919" i="6"/>
  <c r="U1919" i="6"/>
  <c r="U1918" i="6"/>
  <c r="X1917" i="6"/>
  <c r="W1917" i="6"/>
  <c r="V1917" i="6"/>
  <c r="U1917" i="6"/>
  <c r="I1917" i="6"/>
  <c r="J1917" i="6" s="1"/>
  <c r="U1916" i="6"/>
  <c r="U1915" i="6"/>
  <c r="I1915" i="6"/>
  <c r="U1914" i="6"/>
  <c r="I1914" i="6"/>
  <c r="X1913" i="6"/>
  <c r="W1913" i="6"/>
  <c r="U1913" i="6"/>
  <c r="V1913" i="6" s="1"/>
  <c r="I1913" i="6"/>
  <c r="U1912" i="6"/>
  <c r="U1911" i="6"/>
  <c r="V1911" i="6" s="1"/>
  <c r="I1911" i="6"/>
  <c r="J1911" i="6" s="1"/>
  <c r="U1910" i="6"/>
  <c r="W1909" i="6"/>
  <c r="U1909" i="6"/>
  <c r="V1909" i="6" s="1"/>
  <c r="I1909" i="6"/>
  <c r="U1908" i="6"/>
  <c r="X1907" i="6"/>
  <c r="U1907" i="6"/>
  <c r="U1906" i="6"/>
  <c r="X1905" i="6"/>
  <c r="W1905" i="6"/>
  <c r="V1905" i="6"/>
  <c r="U1905" i="6"/>
  <c r="I1905" i="6" s="1"/>
  <c r="U1904" i="6"/>
  <c r="X1904" i="6" s="1"/>
  <c r="I1904" i="6"/>
  <c r="J1904" i="6" s="1"/>
  <c r="U1903" i="6"/>
  <c r="W1902" i="6"/>
  <c r="V1902" i="6"/>
  <c r="U1902" i="6"/>
  <c r="X1902" i="6" s="1"/>
  <c r="J1902" i="6"/>
  <c r="I1902" i="6"/>
  <c r="K1902" i="6" s="1"/>
  <c r="U1901" i="6"/>
  <c r="I1901" i="6"/>
  <c r="K1901" i="6" s="1"/>
  <c r="U1900" i="6"/>
  <c r="X1899" i="6"/>
  <c r="W1899" i="6"/>
  <c r="U1899" i="6"/>
  <c r="X1898" i="6"/>
  <c r="U1898" i="6"/>
  <c r="U1897" i="6"/>
  <c r="W1896" i="6"/>
  <c r="U1896" i="6"/>
  <c r="U1895" i="6"/>
  <c r="W1895" i="6" s="1"/>
  <c r="X1894" i="6"/>
  <c r="V1894" i="6"/>
  <c r="U1894" i="6"/>
  <c r="W1894" i="6" s="1"/>
  <c r="I1894" i="6"/>
  <c r="X1893" i="6"/>
  <c r="W1893" i="6"/>
  <c r="V1893" i="6"/>
  <c r="U1893" i="6"/>
  <c r="I1893" i="6"/>
  <c r="J1893" i="6" s="1"/>
  <c r="W1892" i="6"/>
  <c r="U1892" i="6"/>
  <c r="U1891" i="6"/>
  <c r="I1891" i="6" s="1"/>
  <c r="J1891" i="6" s="1"/>
  <c r="U1890" i="6"/>
  <c r="U1889" i="6"/>
  <c r="I1889" i="6" s="1"/>
  <c r="U1888" i="6"/>
  <c r="I1888" i="6" s="1"/>
  <c r="K1888" i="6" s="1"/>
  <c r="W123" i="5" s="1"/>
  <c r="U1887" i="6"/>
  <c r="X1886" i="6"/>
  <c r="U1886" i="6"/>
  <c r="V1885" i="6"/>
  <c r="U1885" i="6"/>
  <c r="U1884" i="6"/>
  <c r="U1883" i="6"/>
  <c r="V1883" i="6" s="1"/>
  <c r="I1883" i="6"/>
  <c r="U1882" i="6"/>
  <c r="X1881" i="6"/>
  <c r="U1881" i="6"/>
  <c r="J1881" i="6"/>
  <c r="I1881" i="6"/>
  <c r="K1881" i="6" s="1"/>
  <c r="P123" i="5" s="1"/>
  <c r="U1880" i="6"/>
  <c r="U1879" i="6"/>
  <c r="I1879" i="6"/>
  <c r="K1879" i="6" s="1"/>
  <c r="X1878" i="6"/>
  <c r="W1878" i="6"/>
  <c r="V1878" i="6"/>
  <c r="U1878" i="6"/>
  <c r="I1878" i="6" s="1"/>
  <c r="K1878" i="6" s="1"/>
  <c r="J1878" i="6"/>
  <c r="X1877" i="6"/>
  <c r="W1877" i="6"/>
  <c r="V1877" i="6"/>
  <c r="U1877" i="6"/>
  <c r="J1877" i="6"/>
  <c r="I1877" i="6"/>
  <c r="K1877" i="6" s="1"/>
  <c r="AB122" i="5" s="1"/>
  <c r="W1876" i="6"/>
  <c r="U1876" i="6"/>
  <c r="I1876" i="6"/>
  <c r="X1875" i="6"/>
  <c r="W1875" i="6"/>
  <c r="V1875" i="6"/>
  <c r="U1875" i="6"/>
  <c r="I1875" i="6"/>
  <c r="U1874" i="6"/>
  <c r="X1873" i="6"/>
  <c r="W1873" i="6"/>
  <c r="U1873" i="6"/>
  <c r="V1873" i="6" s="1"/>
  <c r="I1873" i="6"/>
  <c r="J1873" i="6" s="1"/>
  <c r="U1872" i="6"/>
  <c r="U1871" i="6"/>
  <c r="I1871" i="6"/>
  <c r="U1870" i="6"/>
  <c r="X1870" i="6" s="1"/>
  <c r="I1870" i="6"/>
  <c r="X1869" i="6"/>
  <c r="W1869" i="6"/>
  <c r="V1869" i="6"/>
  <c r="U1869" i="6"/>
  <c r="I1869" i="6" s="1"/>
  <c r="K1869" i="6"/>
  <c r="J1869" i="6"/>
  <c r="U1868" i="6"/>
  <c r="W1868" i="6" s="1"/>
  <c r="I1868" i="6"/>
  <c r="U1867" i="6"/>
  <c r="U1866" i="6"/>
  <c r="V1866" i="6" s="1"/>
  <c r="X1865" i="6"/>
  <c r="W1865" i="6"/>
  <c r="V1865" i="6"/>
  <c r="U1865" i="6"/>
  <c r="K1865" i="6"/>
  <c r="P122" i="5" s="1"/>
  <c r="J1865" i="6"/>
  <c r="I1865" i="6"/>
  <c r="U1864" i="6"/>
  <c r="W1863" i="6"/>
  <c r="U1863" i="6"/>
  <c r="X1863" i="6" s="1"/>
  <c r="J1863" i="6"/>
  <c r="I1863" i="6"/>
  <c r="K1863" i="6" s="1"/>
  <c r="N122" i="5" s="1"/>
  <c r="X1862" i="6"/>
  <c r="W1862" i="6"/>
  <c r="U1862" i="6"/>
  <c r="V1862" i="6" s="1"/>
  <c r="I1862" i="6"/>
  <c r="K1862" i="6" s="1"/>
  <c r="U1861" i="6"/>
  <c r="U1860" i="6"/>
  <c r="U1859" i="6"/>
  <c r="X1859" i="6" s="1"/>
  <c r="X1858" i="6"/>
  <c r="V1858" i="6"/>
  <c r="U1858" i="6"/>
  <c r="I1858" i="6" s="1"/>
  <c r="J1858" i="6" s="1"/>
  <c r="K1858" i="6"/>
  <c r="U1857" i="6"/>
  <c r="I1857" i="6"/>
  <c r="K1857" i="6" s="1"/>
  <c r="U1856" i="6"/>
  <c r="U1855" i="6"/>
  <c r="X1855" i="6" s="1"/>
  <c r="I1855" i="6"/>
  <c r="K1855" i="6" s="1"/>
  <c r="V121" i="5" s="1"/>
  <c r="U1854" i="6"/>
  <c r="X1853" i="6"/>
  <c r="W1853" i="6"/>
  <c r="V1853" i="6"/>
  <c r="U1853" i="6"/>
  <c r="I1853" i="6" s="1"/>
  <c r="U1852" i="6"/>
  <c r="U1851" i="6"/>
  <c r="U1850" i="6"/>
  <c r="W1849" i="6"/>
  <c r="U1849" i="6"/>
  <c r="I1849" i="6"/>
  <c r="W1848" i="6"/>
  <c r="U1848" i="6"/>
  <c r="W1847" i="6"/>
  <c r="V1847" i="6"/>
  <c r="U1847" i="6"/>
  <c r="X1847" i="6" s="1"/>
  <c r="I1847" i="6"/>
  <c r="U1846" i="6"/>
  <c r="I1846" i="6"/>
  <c r="U1845" i="6"/>
  <c r="X1844" i="6"/>
  <c r="U1844" i="6"/>
  <c r="V1844" i="6" s="1"/>
  <c r="J1844" i="6"/>
  <c r="I1844" i="6"/>
  <c r="K1844" i="6" s="1"/>
  <c r="U1843" i="6"/>
  <c r="V1843" i="6" s="1"/>
  <c r="U1842" i="6"/>
  <c r="X1842" i="6" s="1"/>
  <c r="X1841" i="6"/>
  <c r="U1841" i="6"/>
  <c r="U1840" i="6"/>
  <c r="I1840" i="6"/>
  <c r="X1839" i="6"/>
  <c r="U1839" i="6"/>
  <c r="U1838" i="6"/>
  <c r="X1837" i="6"/>
  <c r="W1837" i="6"/>
  <c r="V1837" i="6"/>
  <c r="U1837" i="6"/>
  <c r="K1837" i="6"/>
  <c r="T120" i="5" s="1"/>
  <c r="I1837" i="6"/>
  <c r="J1837" i="6" s="1"/>
  <c r="U1836" i="6"/>
  <c r="W1836" i="6" s="1"/>
  <c r="V1835" i="6"/>
  <c r="U1835" i="6"/>
  <c r="U1834" i="6"/>
  <c r="X1833" i="6"/>
  <c r="W1833" i="6"/>
  <c r="V1833" i="6"/>
  <c r="U1833" i="6"/>
  <c r="K1833" i="6"/>
  <c r="J1833" i="6"/>
  <c r="I1833" i="6"/>
  <c r="U1832" i="6"/>
  <c r="I1832" i="6" s="1"/>
  <c r="U1831" i="6"/>
  <c r="I1831" i="6" s="1"/>
  <c r="K1831" i="6" s="1"/>
  <c r="W1830" i="6"/>
  <c r="U1830" i="6"/>
  <c r="I1830" i="6"/>
  <c r="V1829" i="6"/>
  <c r="U1829" i="6"/>
  <c r="U1828" i="6"/>
  <c r="U1827" i="6"/>
  <c r="X1827" i="6" s="1"/>
  <c r="I1827" i="6"/>
  <c r="X1826" i="6"/>
  <c r="U1826" i="6"/>
  <c r="U1825" i="6"/>
  <c r="V1825" i="6" s="1"/>
  <c r="I1825" i="6"/>
  <c r="J1825" i="6" s="1"/>
  <c r="U1824" i="6"/>
  <c r="U1823" i="6"/>
  <c r="W1822" i="6"/>
  <c r="U1822" i="6"/>
  <c r="U1821" i="6"/>
  <c r="X1820" i="6"/>
  <c r="W1820" i="6"/>
  <c r="U1820" i="6"/>
  <c r="U1819" i="6"/>
  <c r="W1818" i="6"/>
  <c r="U1818" i="6"/>
  <c r="I1818" i="6" s="1"/>
  <c r="X1817" i="6"/>
  <c r="W1817" i="6"/>
  <c r="V1817" i="6"/>
  <c r="U1817" i="6"/>
  <c r="I1817" i="6" s="1"/>
  <c r="K1817" i="6" s="1"/>
  <c r="J1817" i="6"/>
  <c r="U1816" i="6"/>
  <c r="U1815" i="6"/>
  <c r="V1815" i="6" s="1"/>
  <c r="U1814" i="6"/>
  <c r="I1814" i="6"/>
  <c r="X1813" i="6"/>
  <c r="W1813" i="6"/>
  <c r="U1813" i="6"/>
  <c r="V1813" i="6" s="1"/>
  <c r="J1813" i="6"/>
  <c r="I1813" i="6"/>
  <c r="K1813" i="6" s="1"/>
  <c r="U1812" i="6"/>
  <c r="W1812" i="6" s="1"/>
  <c r="V1811" i="6"/>
  <c r="U1811" i="6"/>
  <c r="U1810" i="6"/>
  <c r="X1810" i="6" s="1"/>
  <c r="X1809" i="6"/>
  <c r="W1809" i="6"/>
  <c r="V1809" i="6"/>
  <c r="U1809" i="6"/>
  <c r="I1809" i="6" s="1"/>
  <c r="K1809" i="6"/>
  <c r="J1809" i="6"/>
  <c r="W1808" i="6"/>
  <c r="U1808" i="6"/>
  <c r="U1807" i="6"/>
  <c r="X1806" i="6"/>
  <c r="V1806" i="6"/>
  <c r="U1806" i="6"/>
  <c r="W1806" i="6" s="1"/>
  <c r="U1805" i="6"/>
  <c r="U1804" i="6"/>
  <c r="I1804" i="6"/>
  <c r="K1804" i="6" s="1"/>
  <c r="U1803" i="6"/>
  <c r="I1803" i="6" s="1"/>
  <c r="U1802" i="6"/>
  <c r="W1801" i="6"/>
  <c r="U1801" i="6"/>
  <c r="I1801" i="6"/>
  <c r="U1800" i="6"/>
  <c r="I1800" i="6"/>
  <c r="X1799" i="6"/>
  <c r="W1799" i="6"/>
  <c r="U1799" i="6"/>
  <c r="V1799" i="6" s="1"/>
  <c r="I1799" i="6"/>
  <c r="U1798" i="6"/>
  <c r="X1797" i="6"/>
  <c r="W1797" i="6"/>
  <c r="V1797" i="6"/>
  <c r="U1797" i="6"/>
  <c r="I1797" i="6" s="1"/>
  <c r="U1796" i="6"/>
  <c r="U1795" i="6"/>
  <c r="U1794" i="6"/>
  <c r="U1793" i="6"/>
  <c r="V1793" i="6" s="1"/>
  <c r="U1792" i="6"/>
  <c r="I1792" i="6" s="1"/>
  <c r="U1791" i="6"/>
  <c r="U1790" i="6"/>
  <c r="I1790" i="6"/>
  <c r="J1790" i="6" s="1"/>
  <c r="V1789" i="6"/>
  <c r="U1789" i="6"/>
  <c r="X1789" i="6" s="1"/>
  <c r="I1789" i="6"/>
  <c r="K1789" i="6" s="1"/>
  <c r="T117" i="5" s="1"/>
  <c r="W1788" i="6"/>
  <c r="U1788" i="6"/>
  <c r="I1788" i="6" s="1"/>
  <c r="J1788" i="6" s="1"/>
  <c r="K1788" i="6"/>
  <c r="S117" i="5" s="1"/>
  <c r="W1787" i="6"/>
  <c r="U1787" i="6"/>
  <c r="K1787" i="6"/>
  <c r="J1787" i="6"/>
  <c r="I1787" i="6"/>
  <c r="X1786" i="6"/>
  <c r="U1786" i="6"/>
  <c r="V1786" i="6" s="1"/>
  <c r="K1786" i="6"/>
  <c r="J1786" i="6"/>
  <c r="I1786" i="6"/>
  <c r="U1785" i="6"/>
  <c r="K1785" i="6"/>
  <c r="J1785" i="6"/>
  <c r="X1784" i="6"/>
  <c r="W1784" i="6"/>
  <c r="U1784" i="6"/>
  <c r="V1784" i="6" s="1"/>
  <c r="J1784" i="6"/>
  <c r="I1784" i="6"/>
  <c r="K1784" i="6" s="1"/>
  <c r="O117" i="5" s="1"/>
  <c r="U1783" i="6"/>
  <c r="I1783" i="6" s="1"/>
  <c r="K1783" i="6"/>
  <c r="N117" i="5" s="1"/>
  <c r="J1783" i="6"/>
  <c r="U1782" i="6"/>
  <c r="X1781" i="6"/>
  <c r="W1781" i="6"/>
  <c r="V1781" i="6"/>
  <c r="U1781" i="6"/>
  <c r="I1781" i="6"/>
  <c r="K1781" i="6" s="1"/>
  <c r="U1780" i="6"/>
  <c r="U1779" i="6"/>
  <c r="I1779" i="6"/>
  <c r="U1778" i="6"/>
  <c r="I1778" i="6"/>
  <c r="K1778" i="6" s="1"/>
  <c r="Y116" i="5" s="1"/>
  <c r="U1777" i="6"/>
  <c r="I1777" i="6"/>
  <c r="J1777" i="6" s="1"/>
  <c r="X1776" i="6"/>
  <c r="W1776" i="6"/>
  <c r="U1776" i="6"/>
  <c r="V1776" i="6" s="1"/>
  <c r="I1776" i="6"/>
  <c r="K1776" i="6" s="1"/>
  <c r="X1775" i="6"/>
  <c r="W1775" i="6"/>
  <c r="V1775" i="6"/>
  <c r="U1775" i="6"/>
  <c r="I1775" i="6"/>
  <c r="V1774" i="6"/>
  <c r="U1774" i="6"/>
  <c r="I1774" i="6"/>
  <c r="U1773" i="6"/>
  <c r="W1772" i="6"/>
  <c r="U1772" i="6"/>
  <c r="U1771" i="6"/>
  <c r="I1771" i="6" s="1"/>
  <c r="K1771" i="6" s="1"/>
  <c r="J1771" i="6"/>
  <c r="U1770" i="6"/>
  <c r="I1770" i="6" s="1"/>
  <c r="U1769" i="6"/>
  <c r="I1769" i="6" s="1"/>
  <c r="K1769" i="6"/>
  <c r="J1769" i="6"/>
  <c r="U1768" i="6"/>
  <c r="I1768" i="6"/>
  <c r="U1767" i="6"/>
  <c r="U1766" i="6"/>
  <c r="I1766" i="6"/>
  <c r="U1765" i="6"/>
  <c r="V1765" i="6" s="1"/>
  <c r="X1764" i="6"/>
  <c r="W1764" i="6"/>
  <c r="U1764" i="6"/>
  <c r="V1764" i="6" s="1"/>
  <c r="I1764" i="6"/>
  <c r="U1763" i="6"/>
  <c r="W1763" i="6" s="1"/>
  <c r="U1762" i="6"/>
  <c r="U1761" i="6"/>
  <c r="I1761" i="6"/>
  <c r="K1761" i="6" s="1"/>
  <c r="X115" i="5" s="1"/>
  <c r="X1760" i="6"/>
  <c r="W1760" i="6"/>
  <c r="U1760" i="6"/>
  <c r="V1760" i="6" s="1"/>
  <c r="I1760" i="6"/>
  <c r="U1759" i="6"/>
  <c r="I1759" i="6"/>
  <c r="X1758" i="6"/>
  <c r="W1758" i="6"/>
  <c r="U1758" i="6"/>
  <c r="V1758" i="6" s="1"/>
  <c r="I1758" i="6"/>
  <c r="X1757" i="6"/>
  <c r="W1757" i="6"/>
  <c r="U1757" i="6"/>
  <c r="V1757" i="6" s="1"/>
  <c r="I1757" i="6"/>
  <c r="U1756" i="6"/>
  <c r="V1756" i="6" s="1"/>
  <c r="I1756" i="6"/>
  <c r="U1755" i="6"/>
  <c r="U1754" i="6"/>
  <c r="V1753" i="6"/>
  <c r="U1753" i="6"/>
  <c r="X1752" i="6"/>
  <c r="U1752" i="6"/>
  <c r="V1751" i="6"/>
  <c r="U1751" i="6"/>
  <c r="I1751" i="6"/>
  <c r="U1750" i="6"/>
  <c r="W1750" i="6" s="1"/>
  <c r="X1749" i="6"/>
  <c r="V1749" i="6"/>
  <c r="U1749" i="6"/>
  <c r="W1749" i="6" s="1"/>
  <c r="I1749" i="6"/>
  <c r="U1748" i="6"/>
  <c r="I1748" i="6"/>
  <c r="K1748" i="6" s="1"/>
  <c r="X1747" i="6"/>
  <c r="U1747" i="6"/>
  <c r="W1747" i="6" s="1"/>
  <c r="U1746" i="6"/>
  <c r="X1745" i="6"/>
  <c r="W1745" i="6"/>
  <c r="V1745" i="6"/>
  <c r="U1745" i="6"/>
  <c r="I1745" i="6"/>
  <c r="U1744" i="6"/>
  <c r="I1744" i="6" s="1"/>
  <c r="U1743" i="6"/>
  <c r="I1743" i="6"/>
  <c r="X1742" i="6"/>
  <c r="W1742" i="6"/>
  <c r="V1742" i="6"/>
  <c r="U1742" i="6"/>
  <c r="I1742" i="6" s="1"/>
  <c r="K1742" i="6" s="1"/>
  <c r="X1741" i="6"/>
  <c r="W1741" i="6"/>
  <c r="V1741" i="6"/>
  <c r="U1741" i="6"/>
  <c r="K1741" i="6"/>
  <c r="T114" i="5" s="1"/>
  <c r="J1741" i="6"/>
  <c r="I1741" i="6"/>
  <c r="X1740" i="6"/>
  <c r="U1740" i="6"/>
  <c r="V1740" i="6" s="1"/>
  <c r="I1740" i="6"/>
  <c r="U1739" i="6"/>
  <c r="I1739" i="6"/>
  <c r="X1738" i="6"/>
  <c r="U1738" i="6"/>
  <c r="I1738" i="6" s="1"/>
  <c r="X1737" i="6"/>
  <c r="U1737" i="6"/>
  <c r="W1737" i="6" s="1"/>
  <c r="I1737" i="6"/>
  <c r="U1736" i="6"/>
  <c r="W1736" i="6" s="1"/>
  <c r="I1736" i="6"/>
  <c r="J1736" i="6" s="1"/>
  <c r="U1735" i="6"/>
  <c r="V1735" i="6" s="1"/>
  <c r="U1734" i="6"/>
  <c r="V1734" i="6" s="1"/>
  <c r="W1733" i="6"/>
  <c r="V1733" i="6"/>
  <c r="U1733" i="6"/>
  <c r="X1733" i="6" s="1"/>
  <c r="I1733" i="6"/>
  <c r="X1732" i="6"/>
  <c r="W1732" i="6"/>
  <c r="U1732" i="6"/>
  <c r="V1732" i="6" s="1"/>
  <c r="K1732" i="6"/>
  <c r="J1732" i="6"/>
  <c r="I1732" i="6"/>
  <c r="W1731" i="6"/>
  <c r="V1731" i="6"/>
  <c r="U1731" i="6"/>
  <c r="X1731" i="6" s="1"/>
  <c r="I1731" i="6"/>
  <c r="U1730" i="6"/>
  <c r="I1730" i="6" s="1"/>
  <c r="W1729" i="6"/>
  <c r="V1729" i="6"/>
  <c r="U1729" i="6"/>
  <c r="U1728" i="6"/>
  <c r="V1728" i="6" s="1"/>
  <c r="I1728" i="6"/>
  <c r="X1727" i="6"/>
  <c r="W1727" i="6"/>
  <c r="V1727" i="6"/>
  <c r="U1727" i="6"/>
  <c r="K1727" i="6"/>
  <c r="V113" i="5" s="1"/>
  <c r="J1727" i="6"/>
  <c r="I1727" i="6"/>
  <c r="W1726" i="6"/>
  <c r="U1726" i="6"/>
  <c r="I1726" i="6"/>
  <c r="J1726" i="6" s="1"/>
  <c r="W1725" i="6"/>
  <c r="V1725" i="6"/>
  <c r="U1725" i="6"/>
  <c r="X1725" i="6" s="1"/>
  <c r="K1725" i="6"/>
  <c r="J1725" i="6"/>
  <c r="I1725" i="6"/>
  <c r="W1724" i="6"/>
  <c r="U1724" i="6"/>
  <c r="V1723" i="6"/>
  <c r="U1723" i="6"/>
  <c r="U1722" i="6"/>
  <c r="W1722" i="6" s="1"/>
  <c r="X1721" i="6"/>
  <c r="U1721" i="6"/>
  <c r="W1721" i="6" s="1"/>
  <c r="I1721" i="6"/>
  <c r="U1720" i="6"/>
  <c r="W1720" i="6" s="1"/>
  <c r="U1719" i="6"/>
  <c r="U1718" i="6"/>
  <c r="U1717" i="6"/>
  <c r="U1716" i="6"/>
  <c r="I1716" i="6"/>
  <c r="X1715" i="6"/>
  <c r="U1715" i="6"/>
  <c r="I1715" i="6" s="1"/>
  <c r="K1715" i="6" s="1"/>
  <c r="X1714" i="6"/>
  <c r="W1714" i="6"/>
  <c r="U1714" i="6"/>
  <c r="V1714" i="6" s="1"/>
  <c r="I1714" i="6"/>
  <c r="X1713" i="6"/>
  <c r="U1713" i="6"/>
  <c r="U1712" i="6"/>
  <c r="U1711" i="6"/>
  <c r="V1711" i="6" s="1"/>
  <c r="U1710" i="6"/>
  <c r="U1709" i="6"/>
  <c r="I1709" i="6"/>
  <c r="U1708" i="6"/>
  <c r="X1707" i="6"/>
  <c r="U1707" i="6"/>
  <c r="I1707" i="6" s="1"/>
  <c r="W1706" i="6"/>
  <c r="U1706" i="6"/>
  <c r="X1706" i="6" s="1"/>
  <c r="I1706" i="6"/>
  <c r="U1705" i="6"/>
  <c r="V1705" i="6" s="1"/>
  <c r="U1704" i="6"/>
  <c r="I1704" i="6" s="1"/>
  <c r="W1703" i="6"/>
  <c r="V1703" i="6"/>
  <c r="U1703" i="6"/>
  <c r="U1702" i="6"/>
  <c r="X1702" i="6" s="1"/>
  <c r="X1701" i="6"/>
  <c r="W1701" i="6"/>
  <c r="V1701" i="6"/>
  <c r="U1701" i="6"/>
  <c r="I1701" i="6"/>
  <c r="U1700" i="6"/>
  <c r="V1699" i="6"/>
  <c r="U1699" i="6"/>
  <c r="X1699" i="6" s="1"/>
  <c r="I1699" i="6"/>
  <c r="W1698" i="6"/>
  <c r="V1698" i="6"/>
  <c r="U1698" i="6"/>
  <c r="X1698" i="6" s="1"/>
  <c r="K1698" i="6"/>
  <c r="Y111" i="5" s="1"/>
  <c r="J1698" i="6"/>
  <c r="I1698" i="6"/>
  <c r="X1697" i="6"/>
  <c r="W1697" i="6"/>
  <c r="V1697" i="6"/>
  <c r="U1697" i="6"/>
  <c r="I1697" i="6"/>
  <c r="J1697" i="6" s="1"/>
  <c r="U1696" i="6"/>
  <c r="V1696" i="6" s="1"/>
  <c r="I1696" i="6"/>
  <c r="U1695" i="6"/>
  <c r="U1694" i="6"/>
  <c r="U1693" i="6"/>
  <c r="W1692" i="6"/>
  <c r="U1692" i="6"/>
  <c r="I1692" i="6"/>
  <c r="U1691" i="6"/>
  <c r="V1691" i="6" s="1"/>
  <c r="I1691" i="6"/>
  <c r="W1690" i="6"/>
  <c r="V1690" i="6"/>
  <c r="U1690" i="6"/>
  <c r="U1689" i="6"/>
  <c r="X1689" i="6" s="1"/>
  <c r="I1689" i="6"/>
  <c r="X1688" i="6"/>
  <c r="U1688" i="6"/>
  <c r="I1688" i="6"/>
  <c r="J1688" i="6" s="1"/>
  <c r="U1687" i="6"/>
  <c r="W1687" i="6" s="1"/>
  <c r="U1686" i="6"/>
  <c r="U1685" i="6"/>
  <c r="X1685" i="6" s="1"/>
  <c r="I1685" i="6"/>
  <c r="U1684" i="6"/>
  <c r="V1683" i="6"/>
  <c r="U1683" i="6"/>
  <c r="I1683" i="6"/>
  <c r="U1682" i="6"/>
  <c r="U1681" i="6"/>
  <c r="V1681" i="6" s="1"/>
  <c r="I1681" i="6"/>
  <c r="X1680" i="6"/>
  <c r="U1680" i="6"/>
  <c r="I1680" i="6"/>
  <c r="K1680" i="6" s="1"/>
  <c r="W110" i="5" s="1"/>
  <c r="U1679" i="6"/>
  <c r="U1678" i="6"/>
  <c r="I1678" i="6" s="1"/>
  <c r="X1677" i="6"/>
  <c r="W1677" i="6"/>
  <c r="V1677" i="6"/>
  <c r="U1677" i="6"/>
  <c r="I1677" i="6"/>
  <c r="U1676" i="6"/>
  <c r="X1675" i="6"/>
  <c r="V1675" i="6"/>
  <c r="U1675" i="6"/>
  <c r="W1675" i="6" s="1"/>
  <c r="I1675" i="6"/>
  <c r="U1674" i="6"/>
  <c r="X1673" i="6"/>
  <c r="W1673" i="6"/>
  <c r="V1673" i="6"/>
  <c r="U1673" i="6"/>
  <c r="I1673" i="6"/>
  <c r="K1673" i="6" s="1"/>
  <c r="P110" i="5" s="1"/>
  <c r="U1672" i="6"/>
  <c r="X1671" i="6"/>
  <c r="W1671" i="6"/>
  <c r="U1671" i="6"/>
  <c r="I1671" i="6" s="1"/>
  <c r="U1670" i="6"/>
  <c r="I1670" i="6"/>
  <c r="U1669" i="6"/>
  <c r="W1668" i="6"/>
  <c r="U1668" i="6"/>
  <c r="U1667" i="6"/>
  <c r="V1666" i="6"/>
  <c r="U1666" i="6"/>
  <c r="X1665" i="6"/>
  <c r="U1665" i="6"/>
  <c r="W1665" i="6" s="1"/>
  <c r="U1664" i="6"/>
  <c r="U1663" i="6"/>
  <c r="U1662" i="6"/>
  <c r="X1662" i="6" s="1"/>
  <c r="W1661" i="6"/>
  <c r="U1661" i="6"/>
  <c r="I1661" i="6"/>
  <c r="X1660" i="6"/>
  <c r="W1660" i="6"/>
  <c r="U1660" i="6"/>
  <c r="U1659" i="6"/>
  <c r="U1658" i="6"/>
  <c r="I1658" i="6"/>
  <c r="J1658" i="6" s="1"/>
  <c r="U1657" i="6"/>
  <c r="W1657" i="6" s="1"/>
  <c r="I1657" i="6"/>
  <c r="J1657" i="6" s="1"/>
  <c r="X1656" i="6"/>
  <c r="U1656" i="6"/>
  <c r="V1656" i="6" s="1"/>
  <c r="U1655" i="6"/>
  <c r="X1654" i="6"/>
  <c r="W1654" i="6"/>
  <c r="V1654" i="6"/>
  <c r="U1654" i="6"/>
  <c r="I1654" i="6"/>
  <c r="U1653" i="6"/>
  <c r="W1653" i="6" s="1"/>
  <c r="U1652" i="6"/>
  <c r="X1652" i="6" s="1"/>
  <c r="V1651" i="6"/>
  <c r="U1651" i="6"/>
  <c r="I1651" i="6"/>
  <c r="U1650" i="6"/>
  <c r="X1649" i="6"/>
  <c r="W1649" i="6"/>
  <c r="V1649" i="6"/>
  <c r="U1649" i="6"/>
  <c r="K1649" i="6"/>
  <c r="X108" i="5" s="1"/>
  <c r="I1649" i="6"/>
  <c r="J1649" i="6" s="1"/>
  <c r="W1648" i="6"/>
  <c r="U1648" i="6"/>
  <c r="U1647" i="6"/>
  <c r="W1647" i="6" s="1"/>
  <c r="I1647" i="6"/>
  <c r="U1646" i="6"/>
  <c r="I1646" i="6"/>
  <c r="X1645" i="6"/>
  <c r="W1645" i="6"/>
  <c r="V1645" i="6"/>
  <c r="U1645" i="6"/>
  <c r="I1645" i="6"/>
  <c r="X1644" i="6"/>
  <c r="W1644" i="6"/>
  <c r="U1644" i="6"/>
  <c r="V1644" i="6" s="1"/>
  <c r="I1644" i="6"/>
  <c r="X1643" i="6"/>
  <c r="W1643" i="6"/>
  <c r="U1643" i="6"/>
  <c r="U1642" i="6"/>
  <c r="W1642" i="6" s="1"/>
  <c r="U1641" i="6"/>
  <c r="U1640" i="6"/>
  <c r="X1639" i="6"/>
  <c r="W1639" i="6"/>
  <c r="V1639" i="6"/>
  <c r="U1639" i="6"/>
  <c r="I1639" i="6"/>
  <c r="X1638" i="6"/>
  <c r="W1638" i="6"/>
  <c r="U1638" i="6"/>
  <c r="W1637" i="6"/>
  <c r="V1637" i="6"/>
  <c r="U1637" i="6"/>
  <c r="U1636" i="6"/>
  <c r="I1636" i="6" s="1"/>
  <c r="K1636" i="6" s="1"/>
  <c r="J1636" i="6"/>
  <c r="U1635" i="6"/>
  <c r="U1634" i="6"/>
  <c r="I1634" i="6"/>
  <c r="X1633" i="6"/>
  <c r="W1633" i="6"/>
  <c r="U1633" i="6"/>
  <c r="V1633" i="6" s="1"/>
  <c r="W1632" i="6"/>
  <c r="U1632" i="6"/>
  <c r="I1632" i="6"/>
  <c r="J1632" i="6" s="1"/>
  <c r="U1631" i="6"/>
  <c r="V1631" i="6" s="1"/>
  <c r="X1630" i="6"/>
  <c r="W1630" i="6"/>
  <c r="V1630" i="6"/>
  <c r="U1630" i="6"/>
  <c r="I1630" i="6"/>
  <c r="K1630" i="6" s="1"/>
  <c r="U1629" i="6"/>
  <c r="V1629" i="6" s="1"/>
  <c r="I1629" i="6"/>
  <c r="U1628" i="6"/>
  <c r="U1627" i="6"/>
  <c r="W1626" i="6"/>
  <c r="U1626" i="6"/>
  <c r="V1626" i="6" s="1"/>
  <c r="X1625" i="6"/>
  <c r="W1625" i="6"/>
  <c r="V1625" i="6"/>
  <c r="U1625" i="6"/>
  <c r="I1625" i="6"/>
  <c r="X1624" i="6"/>
  <c r="U1624" i="6"/>
  <c r="V1624" i="6" s="1"/>
  <c r="I1624" i="6"/>
  <c r="K1624" i="6" s="1"/>
  <c r="U1623" i="6"/>
  <c r="X1623" i="6" s="1"/>
  <c r="U1622" i="6"/>
  <c r="X1621" i="6"/>
  <c r="W1621" i="6"/>
  <c r="V1621" i="6"/>
  <c r="U1621" i="6"/>
  <c r="I1621" i="6" s="1"/>
  <c r="K1621" i="6" s="1"/>
  <c r="AB106" i="5" s="1"/>
  <c r="U1620" i="6"/>
  <c r="W1619" i="6"/>
  <c r="U1619" i="6"/>
  <c r="V1618" i="6"/>
  <c r="U1618" i="6"/>
  <c r="X1618" i="6" s="1"/>
  <c r="U1617" i="6"/>
  <c r="I1617" i="6"/>
  <c r="J1617" i="6" s="1"/>
  <c r="U1616" i="6"/>
  <c r="I1616" i="6" s="1"/>
  <c r="K1616" i="6" s="1"/>
  <c r="W106" i="5" s="1"/>
  <c r="V1615" i="6"/>
  <c r="U1615" i="6"/>
  <c r="U1614" i="6"/>
  <c r="I1614" i="6"/>
  <c r="J1614" i="6" s="1"/>
  <c r="W1613" i="6"/>
  <c r="V1613" i="6"/>
  <c r="U1613" i="6"/>
  <c r="U1612" i="6"/>
  <c r="X1611" i="6"/>
  <c r="W1611" i="6"/>
  <c r="U1611" i="6"/>
  <c r="V1611" i="6" s="1"/>
  <c r="I1611" i="6"/>
  <c r="X1610" i="6"/>
  <c r="V1610" i="6"/>
  <c r="U1610" i="6"/>
  <c r="W1610" i="6" s="1"/>
  <c r="I1610" i="6"/>
  <c r="W1609" i="6"/>
  <c r="V1609" i="6"/>
  <c r="U1609" i="6"/>
  <c r="X1609" i="6" s="1"/>
  <c r="I1609" i="6"/>
  <c r="U1608" i="6"/>
  <c r="I1608" i="6"/>
  <c r="K1608" i="6" s="1"/>
  <c r="X1607" i="6"/>
  <c r="W1607" i="6"/>
  <c r="U1607" i="6"/>
  <c r="V1607" i="6" s="1"/>
  <c r="I1607" i="6"/>
  <c r="K1607" i="6" s="1"/>
  <c r="U1606" i="6"/>
  <c r="W1605" i="6"/>
  <c r="U1605" i="6"/>
  <c r="X1605" i="6" s="1"/>
  <c r="I1605" i="6"/>
  <c r="K1605" i="6" s="1"/>
  <c r="AB105" i="5" s="1"/>
  <c r="U1604" i="6"/>
  <c r="X1604" i="6" s="1"/>
  <c r="U1603" i="6"/>
  <c r="U1602" i="6"/>
  <c r="I1602" i="6"/>
  <c r="J1602" i="6" s="1"/>
  <c r="X1601" i="6"/>
  <c r="W1601" i="6"/>
  <c r="V1601" i="6"/>
  <c r="U1601" i="6"/>
  <c r="I1601" i="6"/>
  <c r="U1600" i="6"/>
  <c r="W1600" i="6" s="1"/>
  <c r="U1599" i="6"/>
  <c r="U1598" i="6"/>
  <c r="X1597" i="6"/>
  <c r="W1597" i="6"/>
  <c r="V1597" i="6"/>
  <c r="U1597" i="6"/>
  <c r="I1597" i="6"/>
  <c r="U1596" i="6"/>
  <c r="V1596" i="6" s="1"/>
  <c r="I1596" i="6"/>
  <c r="U1595" i="6"/>
  <c r="X1594" i="6"/>
  <c r="W1594" i="6"/>
  <c r="V1594" i="6"/>
  <c r="U1594" i="6"/>
  <c r="I1594" i="6" s="1"/>
  <c r="K1594" i="6" s="1"/>
  <c r="X1593" i="6"/>
  <c r="V1593" i="6"/>
  <c r="U1593" i="6"/>
  <c r="W1593" i="6" s="1"/>
  <c r="J1593" i="6"/>
  <c r="I1593" i="6"/>
  <c r="K1593" i="6" s="1"/>
  <c r="P105" i="5" s="1"/>
  <c r="U1592" i="6"/>
  <c r="I1592" i="6"/>
  <c r="X1591" i="6"/>
  <c r="W1591" i="6"/>
  <c r="U1591" i="6"/>
  <c r="I1591" i="6" s="1"/>
  <c r="J1591" i="6" s="1"/>
  <c r="K1591" i="6"/>
  <c r="U1590" i="6"/>
  <c r="X1589" i="6"/>
  <c r="W1589" i="6"/>
  <c r="V1589" i="6"/>
  <c r="U1589" i="6"/>
  <c r="I1589" i="6"/>
  <c r="K1589" i="6" s="1"/>
  <c r="AB104" i="5" s="1"/>
  <c r="W1588" i="6"/>
  <c r="U1588" i="6"/>
  <c r="U1587" i="6"/>
  <c r="U1586" i="6"/>
  <c r="X1585" i="6"/>
  <c r="W1585" i="6"/>
  <c r="V1585" i="6"/>
  <c r="U1585" i="6"/>
  <c r="I1585" i="6"/>
  <c r="U1584" i="6"/>
  <c r="I1584" i="6"/>
  <c r="W1583" i="6"/>
  <c r="V1583" i="6"/>
  <c r="U1583" i="6"/>
  <c r="X1582" i="6"/>
  <c r="W1582" i="6"/>
  <c r="V1582" i="6"/>
  <c r="U1582" i="6"/>
  <c r="I1582" i="6"/>
  <c r="X1581" i="6"/>
  <c r="W1581" i="6"/>
  <c r="V1581" i="6"/>
  <c r="U1581" i="6"/>
  <c r="I1581" i="6" s="1"/>
  <c r="X1580" i="6"/>
  <c r="W1580" i="6"/>
  <c r="U1580" i="6"/>
  <c r="V1580" i="6" s="1"/>
  <c r="I1580" i="6"/>
  <c r="U1579" i="6"/>
  <c r="X1578" i="6"/>
  <c r="W1578" i="6"/>
  <c r="V1578" i="6"/>
  <c r="U1578" i="6"/>
  <c r="I1578" i="6"/>
  <c r="U1577" i="6"/>
  <c r="V1577" i="6" s="1"/>
  <c r="I1577" i="6"/>
  <c r="X1576" i="6"/>
  <c r="U1576" i="6"/>
  <c r="I1576" i="6"/>
  <c r="U1575" i="6"/>
  <c r="U1574" i="6"/>
  <c r="J1574" i="6"/>
  <c r="I1574" i="6"/>
  <c r="K1574" i="6" s="1"/>
  <c r="M104" i="5" s="1"/>
  <c r="U1573" i="6"/>
  <c r="U1572" i="6"/>
  <c r="X1572" i="6" s="1"/>
  <c r="U1571" i="6"/>
  <c r="V1571" i="6" s="1"/>
  <c r="I1571" i="6"/>
  <c r="X1570" i="6"/>
  <c r="V1570" i="6"/>
  <c r="U1570" i="6"/>
  <c r="U1569" i="6"/>
  <c r="I1569" i="6"/>
  <c r="U1568" i="6"/>
  <c r="X1568" i="6" s="1"/>
  <c r="U1567" i="6"/>
  <c r="I1567" i="6"/>
  <c r="U1566" i="6"/>
  <c r="U1565" i="6"/>
  <c r="U1564" i="6"/>
  <c r="X1564" i="6" s="1"/>
  <c r="U1563" i="6"/>
  <c r="W1563" i="6" s="1"/>
  <c r="I1563" i="6"/>
  <c r="U1562" i="6"/>
  <c r="V1562" i="6" s="1"/>
  <c r="I1562" i="6"/>
  <c r="K1562" i="6" s="1"/>
  <c r="Q103" i="5" s="1"/>
  <c r="X1561" i="6"/>
  <c r="V1561" i="6"/>
  <c r="U1561" i="6"/>
  <c r="W1561" i="6" s="1"/>
  <c r="I1561" i="6"/>
  <c r="U1560" i="6"/>
  <c r="I1560" i="6"/>
  <c r="U1559" i="6"/>
  <c r="V1559" i="6" s="1"/>
  <c r="W1558" i="6"/>
  <c r="V1558" i="6"/>
  <c r="U1558" i="6"/>
  <c r="X1558" i="6" s="1"/>
  <c r="I1558" i="6"/>
  <c r="X1557" i="6"/>
  <c r="V1557" i="6"/>
  <c r="U1557" i="6"/>
  <c r="W1557" i="6" s="1"/>
  <c r="J1557" i="6"/>
  <c r="I1557" i="6"/>
  <c r="K1557" i="6" s="1"/>
  <c r="U1556" i="6"/>
  <c r="I1556" i="6"/>
  <c r="X1555" i="6"/>
  <c r="W1555" i="6"/>
  <c r="U1555" i="6"/>
  <c r="U1554" i="6"/>
  <c r="X1553" i="6"/>
  <c r="W1553" i="6"/>
  <c r="V1553" i="6"/>
  <c r="U1553" i="6"/>
  <c r="K1553" i="6"/>
  <c r="I1553" i="6"/>
  <c r="J1553" i="6" s="1"/>
  <c r="U1552" i="6"/>
  <c r="X1551" i="6"/>
  <c r="V1551" i="6"/>
  <c r="U1551" i="6"/>
  <c r="W1551" i="6" s="1"/>
  <c r="K1551" i="6"/>
  <c r="I1551" i="6"/>
  <c r="J1551" i="6" s="1"/>
  <c r="U1550" i="6"/>
  <c r="I1550" i="6" s="1"/>
  <c r="W1549" i="6"/>
  <c r="V1549" i="6"/>
  <c r="U1549" i="6"/>
  <c r="X1549" i="6" s="1"/>
  <c r="J1549" i="6"/>
  <c r="I1549" i="6"/>
  <c r="K1549" i="6" s="1"/>
  <c r="W1548" i="6"/>
  <c r="U1548" i="6"/>
  <c r="U1547" i="6"/>
  <c r="I1547" i="6"/>
  <c r="U1546" i="6"/>
  <c r="U1545" i="6"/>
  <c r="U1544" i="6"/>
  <c r="X1544" i="6" s="1"/>
  <c r="U1543" i="6"/>
  <c r="W1543" i="6" s="1"/>
  <c r="W1542" i="6"/>
  <c r="V1542" i="6"/>
  <c r="U1542" i="6"/>
  <c r="X1542" i="6" s="1"/>
  <c r="I1542" i="6"/>
  <c r="X1541" i="6"/>
  <c r="W1541" i="6"/>
  <c r="V1541" i="6"/>
  <c r="U1541" i="6"/>
  <c r="I1541" i="6"/>
  <c r="X1540" i="6"/>
  <c r="U1540" i="6"/>
  <c r="I1540" i="6"/>
  <c r="U1539" i="6"/>
  <c r="X1538" i="6"/>
  <c r="V1538" i="6"/>
  <c r="U1538" i="6"/>
  <c r="I1538" i="6" s="1"/>
  <c r="X1537" i="6"/>
  <c r="U1537" i="6"/>
  <c r="I1537" i="6" s="1"/>
  <c r="X1536" i="6"/>
  <c r="U1536" i="6"/>
  <c r="X1535" i="6"/>
  <c r="U1535" i="6"/>
  <c r="U1534" i="6"/>
  <c r="U1533" i="6"/>
  <c r="V1533" i="6" s="1"/>
  <c r="U1532" i="6"/>
  <c r="U1531" i="6"/>
  <c r="U1530" i="6"/>
  <c r="X1529" i="6"/>
  <c r="W1529" i="6"/>
  <c r="V1529" i="6"/>
  <c r="U1529" i="6"/>
  <c r="I1529" i="6"/>
  <c r="X1528" i="6"/>
  <c r="U1528" i="6"/>
  <c r="I1528" i="6" s="1"/>
  <c r="K1528" i="6" s="1"/>
  <c r="W1527" i="6"/>
  <c r="U1527" i="6"/>
  <c r="V1527" i="6" s="1"/>
  <c r="U1526" i="6"/>
  <c r="V1526" i="6" s="1"/>
  <c r="I1526" i="6"/>
  <c r="U1525" i="6"/>
  <c r="V1525" i="6" s="1"/>
  <c r="U1524" i="6"/>
  <c r="U1523" i="6"/>
  <c r="X1522" i="6"/>
  <c r="W1522" i="6"/>
  <c r="V1522" i="6"/>
  <c r="U1522" i="6"/>
  <c r="I1522" i="6" s="1"/>
  <c r="X1521" i="6"/>
  <c r="W1521" i="6"/>
  <c r="U1521" i="6"/>
  <c r="I1521" i="6" s="1"/>
  <c r="K1521" i="6"/>
  <c r="X100" i="5" s="1"/>
  <c r="J1521" i="6"/>
  <c r="U1520" i="6"/>
  <c r="X1519" i="6"/>
  <c r="W1519" i="6"/>
  <c r="V1519" i="6"/>
  <c r="U1519" i="6"/>
  <c r="I1519" i="6"/>
  <c r="U1518" i="6"/>
  <c r="U1517" i="6"/>
  <c r="X1517" i="6" s="1"/>
  <c r="I1517" i="6"/>
  <c r="U1516" i="6"/>
  <c r="U1515" i="6"/>
  <c r="W1515" i="6" s="1"/>
  <c r="I1515" i="6"/>
  <c r="U1514" i="6"/>
  <c r="X1513" i="6"/>
  <c r="W1513" i="6"/>
  <c r="U1513" i="6"/>
  <c r="I1513" i="6" s="1"/>
  <c r="J1513" i="6" s="1"/>
  <c r="K1513" i="6"/>
  <c r="U1512" i="6"/>
  <c r="X1512" i="6" s="1"/>
  <c r="X1511" i="6"/>
  <c r="U1511" i="6"/>
  <c r="I1511" i="6"/>
  <c r="J1511" i="6" s="1"/>
  <c r="X1510" i="6"/>
  <c r="W1510" i="6"/>
  <c r="V1510" i="6"/>
  <c r="U1510" i="6"/>
  <c r="I1510" i="6" s="1"/>
  <c r="K1510" i="6" s="1"/>
  <c r="J1510" i="6"/>
  <c r="U1509" i="6"/>
  <c r="W1509" i="6" s="1"/>
  <c r="I1509" i="6"/>
  <c r="U1508" i="6"/>
  <c r="X1507" i="6"/>
  <c r="W1507" i="6"/>
  <c r="V1507" i="6"/>
  <c r="U1507" i="6"/>
  <c r="I1507" i="6" s="1"/>
  <c r="U1506" i="6"/>
  <c r="I1506" i="6"/>
  <c r="K1506" i="6" s="1"/>
  <c r="X1505" i="6"/>
  <c r="W1505" i="6"/>
  <c r="U1505" i="6"/>
  <c r="I1505" i="6" s="1"/>
  <c r="U1504" i="6"/>
  <c r="V1503" i="6"/>
  <c r="U1503" i="6"/>
  <c r="I1503" i="6" s="1"/>
  <c r="U1502" i="6"/>
  <c r="I1502" i="6"/>
  <c r="X1501" i="6"/>
  <c r="W1501" i="6"/>
  <c r="U1501" i="6"/>
  <c r="V1501" i="6" s="1"/>
  <c r="I1501" i="6"/>
  <c r="U1500" i="6"/>
  <c r="U1499" i="6"/>
  <c r="I1499" i="6" s="1"/>
  <c r="X1498" i="6"/>
  <c r="W1498" i="6"/>
  <c r="V1498" i="6"/>
  <c r="U1498" i="6"/>
  <c r="I1498" i="6"/>
  <c r="W1497" i="6"/>
  <c r="V1497" i="6"/>
  <c r="U1497" i="6"/>
  <c r="I1497" i="6" s="1"/>
  <c r="K1497" i="6" s="1"/>
  <c r="J1497" i="6"/>
  <c r="U1496" i="6"/>
  <c r="W1496" i="6" s="1"/>
  <c r="X1495" i="6"/>
  <c r="W1495" i="6"/>
  <c r="U1495" i="6"/>
  <c r="V1495" i="6" s="1"/>
  <c r="W1494" i="6"/>
  <c r="V1494" i="6"/>
  <c r="U1494" i="6"/>
  <c r="I1494" i="6" s="1"/>
  <c r="J1494" i="6" s="1"/>
  <c r="U1493" i="6"/>
  <c r="U1492" i="6"/>
  <c r="W1491" i="6"/>
  <c r="V1491" i="6"/>
  <c r="U1491" i="6"/>
  <c r="V1490" i="6"/>
  <c r="U1490" i="6"/>
  <c r="X1490" i="6" s="1"/>
  <c r="U1489" i="6"/>
  <c r="X1488" i="6"/>
  <c r="W1488" i="6"/>
  <c r="U1488" i="6"/>
  <c r="X1487" i="6"/>
  <c r="V1487" i="6"/>
  <c r="U1487" i="6"/>
  <c r="U1486" i="6"/>
  <c r="U1485" i="6"/>
  <c r="I1485" i="6" s="1"/>
  <c r="U1484" i="6"/>
  <c r="U1483" i="6"/>
  <c r="U1482" i="6"/>
  <c r="V1482" i="6" s="1"/>
  <c r="U1481" i="6"/>
  <c r="U1480" i="6"/>
  <c r="I1480" i="6" s="1"/>
  <c r="X1479" i="6"/>
  <c r="U1479" i="6"/>
  <c r="I1479" i="6"/>
  <c r="U1478" i="6"/>
  <c r="X1477" i="6"/>
  <c r="W1477" i="6"/>
  <c r="V1477" i="6"/>
  <c r="U1477" i="6"/>
  <c r="I1477" i="6"/>
  <c r="U1476" i="6"/>
  <c r="W1476" i="6" s="1"/>
  <c r="U1475" i="6"/>
  <c r="X1474" i="6"/>
  <c r="W1474" i="6"/>
  <c r="U1474" i="6"/>
  <c r="V1474" i="6" s="1"/>
  <c r="I1474" i="6"/>
  <c r="X1473" i="6"/>
  <c r="U1473" i="6"/>
  <c r="W1473" i="6" s="1"/>
  <c r="I1473" i="6"/>
  <c r="J1473" i="6" s="1"/>
  <c r="X1472" i="6"/>
  <c r="U1472" i="6"/>
  <c r="X1471" i="6"/>
  <c r="W1471" i="6"/>
  <c r="U1471" i="6"/>
  <c r="V1471" i="6" s="1"/>
  <c r="I1471" i="6"/>
  <c r="V1470" i="6"/>
  <c r="U1470" i="6"/>
  <c r="I1470" i="6"/>
  <c r="X1469" i="6"/>
  <c r="W1469" i="6"/>
  <c r="V1469" i="6"/>
  <c r="U1469" i="6"/>
  <c r="I1469" i="6"/>
  <c r="X1468" i="6"/>
  <c r="U1468" i="6"/>
  <c r="I1468" i="6"/>
  <c r="K1468" i="6" s="1"/>
  <c r="S97" i="5" s="1"/>
  <c r="U1467" i="6"/>
  <c r="U1466" i="6"/>
  <c r="W1466" i="6" s="1"/>
  <c r="X1465" i="6"/>
  <c r="U1465" i="6"/>
  <c r="I1465" i="6" s="1"/>
  <c r="K1465" i="6"/>
  <c r="J1465" i="6"/>
  <c r="U1464" i="6"/>
  <c r="X1463" i="6"/>
  <c r="W1463" i="6"/>
  <c r="U1463" i="6"/>
  <c r="W1462" i="6"/>
  <c r="U1462" i="6"/>
  <c r="W1461" i="6"/>
  <c r="U1461" i="6"/>
  <c r="X1460" i="6"/>
  <c r="U1460" i="6"/>
  <c r="W1460" i="6" s="1"/>
  <c r="U1459" i="6"/>
  <c r="V1459" i="6" s="1"/>
  <c r="X1458" i="6"/>
  <c r="W1458" i="6"/>
  <c r="V1458" i="6"/>
  <c r="U1458" i="6"/>
  <c r="I1458" i="6" s="1"/>
  <c r="J1458" i="6" s="1"/>
  <c r="K1458" i="6"/>
  <c r="X1457" i="6"/>
  <c r="U1457" i="6"/>
  <c r="V1457" i="6" s="1"/>
  <c r="I1457" i="6"/>
  <c r="X1456" i="6"/>
  <c r="W1456" i="6"/>
  <c r="U1456" i="6"/>
  <c r="U1455" i="6"/>
  <c r="X1454" i="6"/>
  <c r="V1454" i="6"/>
  <c r="U1454" i="6"/>
  <c r="U1453" i="6"/>
  <c r="I1453" i="6"/>
  <c r="U1452" i="6"/>
  <c r="I1452" i="6" s="1"/>
  <c r="W1451" i="6"/>
  <c r="V1451" i="6"/>
  <c r="U1451" i="6"/>
  <c r="X1451" i="6" s="1"/>
  <c r="I1451" i="6"/>
  <c r="U1450" i="6"/>
  <c r="I1450" i="6" s="1"/>
  <c r="K1450" i="6" s="1"/>
  <c r="Q96" i="5" s="1"/>
  <c r="X1449" i="6"/>
  <c r="W1449" i="6"/>
  <c r="V1449" i="6"/>
  <c r="U1449" i="6"/>
  <c r="K1449" i="6"/>
  <c r="P96" i="5" s="1"/>
  <c r="I1449" i="6"/>
  <c r="J1449" i="6" s="1"/>
  <c r="U1448" i="6"/>
  <c r="U1447" i="6"/>
  <c r="I1447" i="6" s="1"/>
  <c r="K1447" i="6" s="1"/>
  <c r="J1447" i="6"/>
  <c r="U1446" i="6"/>
  <c r="I1446" i="6" s="1"/>
  <c r="U1445" i="6"/>
  <c r="I1445" i="6"/>
  <c r="K1445" i="6" s="1"/>
  <c r="AB95" i="5" s="1"/>
  <c r="X1444" i="6"/>
  <c r="U1444" i="6"/>
  <c r="V1444" i="6" s="1"/>
  <c r="I1444" i="6"/>
  <c r="U1443" i="6"/>
  <c r="V1442" i="6"/>
  <c r="U1442" i="6"/>
  <c r="I1442" i="6"/>
  <c r="K1442" i="6" s="1"/>
  <c r="X1441" i="6"/>
  <c r="W1441" i="6"/>
  <c r="V1441" i="6"/>
  <c r="U1441" i="6"/>
  <c r="J1441" i="6"/>
  <c r="I1441" i="6"/>
  <c r="K1441" i="6" s="1"/>
  <c r="X1440" i="6"/>
  <c r="U1440" i="6"/>
  <c r="W1440" i="6" s="1"/>
  <c r="X1439" i="6"/>
  <c r="W1439" i="6"/>
  <c r="V1439" i="6"/>
  <c r="U1439" i="6"/>
  <c r="I1439" i="6" s="1"/>
  <c r="X1438" i="6"/>
  <c r="U1438" i="6"/>
  <c r="V1437" i="6"/>
  <c r="U1437" i="6"/>
  <c r="U1436" i="6"/>
  <c r="X1436" i="6" s="1"/>
  <c r="U1435" i="6"/>
  <c r="X1435" i="6" s="1"/>
  <c r="U1434" i="6"/>
  <c r="X1433" i="6"/>
  <c r="W1433" i="6"/>
  <c r="V1433" i="6"/>
  <c r="U1433" i="6"/>
  <c r="I1433" i="6"/>
  <c r="J1433" i="6" s="1"/>
  <c r="U1432" i="6"/>
  <c r="U1431" i="6"/>
  <c r="U1430" i="6"/>
  <c r="X1429" i="6"/>
  <c r="W1429" i="6"/>
  <c r="U1429" i="6"/>
  <c r="U1428" i="6"/>
  <c r="I1428" i="6"/>
  <c r="K1428" i="6" s="1"/>
  <c r="X1427" i="6"/>
  <c r="W1427" i="6"/>
  <c r="V1427" i="6"/>
  <c r="U1427" i="6"/>
  <c r="I1427" i="6" s="1"/>
  <c r="K1427" i="6"/>
  <c r="Z94" i="5" s="1"/>
  <c r="J1427" i="6"/>
  <c r="X1426" i="6"/>
  <c r="U1426" i="6"/>
  <c r="V1426" i="6" s="1"/>
  <c r="I1426" i="6"/>
  <c r="W1425" i="6"/>
  <c r="V1425" i="6"/>
  <c r="U1425" i="6"/>
  <c r="X1425" i="6" s="1"/>
  <c r="I1425" i="6"/>
  <c r="J1425" i="6" s="1"/>
  <c r="U1424" i="6"/>
  <c r="U1423" i="6"/>
  <c r="X1423" i="6" s="1"/>
  <c r="U1422" i="6"/>
  <c r="U1421" i="6"/>
  <c r="X1420" i="6"/>
  <c r="U1420" i="6"/>
  <c r="W1420" i="6" s="1"/>
  <c r="X1419" i="6"/>
  <c r="U1419" i="6"/>
  <c r="U1418" i="6"/>
  <c r="I1418" i="6" s="1"/>
  <c r="K1418" i="6" s="1"/>
  <c r="Q94" i="5" s="1"/>
  <c r="U1417" i="6"/>
  <c r="I1417" i="6" s="1"/>
  <c r="U1416" i="6"/>
  <c r="U1415" i="6"/>
  <c r="W1415" i="6" s="1"/>
  <c r="I1415" i="6"/>
  <c r="U1414" i="6"/>
  <c r="I1414" i="6"/>
  <c r="X1413" i="6"/>
  <c r="V1413" i="6"/>
  <c r="U1413" i="6"/>
  <c r="W1413" i="6" s="1"/>
  <c r="I1413" i="6"/>
  <c r="K1413" i="6" s="1"/>
  <c r="AB93" i="5" s="1"/>
  <c r="U1412" i="6"/>
  <c r="W1411" i="6"/>
  <c r="U1411" i="6"/>
  <c r="X1411" i="6" s="1"/>
  <c r="X1410" i="6"/>
  <c r="W1410" i="6"/>
  <c r="V1410" i="6"/>
  <c r="U1410" i="6"/>
  <c r="I1410" i="6" s="1"/>
  <c r="W1409" i="6"/>
  <c r="V1409" i="6"/>
  <c r="U1409" i="6"/>
  <c r="X1409" i="6" s="1"/>
  <c r="I1409" i="6"/>
  <c r="K1409" i="6" s="1"/>
  <c r="X93" i="5" s="1"/>
  <c r="U1408" i="6"/>
  <c r="V1408" i="6" s="1"/>
  <c r="I1408" i="6"/>
  <c r="W1407" i="6"/>
  <c r="V1407" i="6"/>
  <c r="U1407" i="6"/>
  <c r="X1407" i="6" s="1"/>
  <c r="I1407" i="6"/>
  <c r="U1406" i="6"/>
  <c r="X1406" i="6" s="1"/>
  <c r="X1405" i="6"/>
  <c r="W1405" i="6"/>
  <c r="V1405" i="6"/>
  <c r="U1405" i="6"/>
  <c r="I1405" i="6"/>
  <c r="U1404" i="6"/>
  <c r="U1403" i="6"/>
  <c r="V1403" i="6" s="1"/>
  <c r="X1402" i="6"/>
  <c r="W1402" i="6"/>
  <c r="U1402" i="6"/>
  <c r="X1401" i="6"/>
  <c r="W1401" i="6"/>
  <c r="V1401" i="6"/>
  <c r="U1401" i="6"/>
  <c r="I1401" i="6"/>
  <c r="K1401" i="6" s="1"/>
  <c r="P93" i="5" s="1"/>
  <c r="U1400" i="6"/>
  <c r="U1399" i="6"/>
  <c r="I1399" i="6"/>
  <c r="U1398" i="6"/>
  <c r="V1397" i="6"/>
  <c r="U1397" i="6"/>
  <c r="X1397" i="6" s="1"/>
  <c r="U1396" i="6"/>
  <c r="X1395" i="6"/>
  <c r="U1395" i="6"/>
  <c r="W1395" i="6" s="1"/>
  <c r="U1394" i="6"/>
  <c r="U1393" i="6"/>
  <c r="I1393" i="6"/>
  <c r="K1393" i="6" s="1"/>
  <c r="X92" i="5" s="1"/>
  <c r="U1392" i="6"/>
  <c r="I1392" i="6" s="1"/>
  <c r="J1392" i="6" s="1"/>
  <c r="X1391" i="6"/>
  <c r="W1391" i="6"/>
  <c r="U1391" i="6"/>
  <c r="U1390" i="6"/>
  <c r="V1390" i="6" s="1"/>
  <c r="U1389" i="6"/>
  <c r="I1389" i="6"/>
  <c r="W1388" i="6"/>
  <c r="U1388" i="6"/>
  <c r="V1387" i="6"/>
  <c r="U1387" i="6"/>
  <c r="X1386" i="6"/>
  <c r="W1386" i="6"/>
  <c r="U1386" i="6"/>
  <c r="V1386" i="6" s="1"/>
  <c r="I1386" i="6"/>
  <c r="X1385" i="6"/>
  <c r="V1385" i="6"/>
  <c r="U1385" i="6"/>
  <c r="W1385" i="6" s="1"/>
  <c r="J1385" i="6"/>
  <c r="I1385" i="6"/>
  <c r="K1385" i="6" s="1"/>
  <c r="W1384" i="6"/>
  <c r="V1384" i="6"/>
  <c r="U1384" i="6"/>
  <c r="X1384" i="6" s="1"/>
  <c r="U1383" i="6"/>
  <c r="X1382" i="6"/>
  <c r="W1382" i="6"/>
  <c r="U1382" i="6"/>
  <c r="V1382" i="6" s="1"/>
  <c r="I1382" i="6"/>
  <c r="W1381" i="6"/>
  <c r="U1381" i="6"/>
  <c r="I1381" i="6"/>
  <c r="W1380" i="6"/>
  <c r="U1380" i="6"/>
  <c r="U1379" i="6"/>
  <c r="X1379" i="6" s="1"/>
  <c r="I1379" i="6"/>
  <c r="W1378" i="6"/>
  <c r="U1378" i="6"/>
  <c r="V1378" i="6" s="1"/>
  <c r="U1377" i="6"/>
  <c r="U1376" i="6"/>
  <c r="I1376" i="6"/>
  <c r="U1375" i="6"/>
  <c r="X1374" i="6"/>
  <c r="W1374" i="6"/>
  <c r="U1374" i="6"/>
  <c r="U1373" i="6"/>
  <c r="V1373" i="6" s="1"/>
  <c r="U1372" i="6"/>
  <c r="W1371" i="6"/>
  <c r="V1371" i="6"/>
  <c r="U1371" i="6"/>
  <c r="X1371" i="6" s="1"/>
  <c r="I1371" i="6"/>
  <c r="K1371" i="6" s="1"/>
  <c r="R91" i="5" s="1"/>
  <c r="U1370" i="6"/>
  <c r="X1369" i="6"/>
  <c r="W1369" i="6"/>
  <c r="V1369" i="6"/>
  <c r="U1369" i="6"/>
  <c r="I1369" i="6"/>
  <c r="X1368" i="6"/>
  <c r="V1368" i="6"/>
  <c r="U1368" i="6"/>
  <c r="U1367" i="6"/>
  <c r="U1366" i="6"/>
  <c r="V1366" i="6" s="1"/>
  <c r="X1365" i="6"/>
  <c r="W1365" i="6"/>
  <c r="U1365" i="6"/>
  <c r="V1365" i="6" s="1"/>
  <c r="I1365" i="6"/>
  <c r="U1364" i="6"/>
  <c r="U1363" i="6"/>
  <c r="I1363" i="6" s="1"/>
  <c r="U1362" i="6"/>
  <c r="V1362" i="6" s="1"/>
  <c r="I1362" i="6"/>
  <c r="U1361" i="6"/>
  <c r="I1361" i="6"/>
  <c r="J1361" i="6" s="1"/>
  <c r="U1360" i="6"/>
  <c r="I1360" i="6" s="1"/>
  <c r="U1359" i="6"/>
  <c r="X1359" i="6" s="1"/>
  <c r="X1358" i="6"/>
  <c r="U1358" i="6"/>
  <c r="V1358" i="6" s="1"/>
  <c r="I1358" i="6"/>
  <c r="K1358" i="6" s="1"/>
  <c r="X1357" i="6"/>
  <c r="W1357" i="6"/>
  <c r="U1357" i="6"/>
  <c r="I1357" i="6" s="1"/>
  <c r="J1357" i="6" s="1"/>
  <c r="U1356" i="6"/>
  <c r="V1356" i="6" s="1"/>
  <c r="I1356" i="6"/>
  <c r="J1356" i="6" s="1"/>
  <c r="X1355" i="6"/>
  <c r="W1355" i="6"/>
  <c r="U1355" i="6"/>
  <c r="U1354" i="6"/>
  <c r="X1353" i="6"/>
  <c r="W1353" i="6"/>
  <c r="U1353" i="6"/>
  <c r="U1352" i="6"/>
  <c r="I1352" i="6" s="1"/>
  <c r="K1352" i="6" s="1"/>
  <c r="U1351" i="6"/>
  <c r="W1350" i="6"/>
  <c r="U1350" i="6"/>
  <c r="I1350" i="6"/>
  <c r="U1349" i="6"/>
  <c r="I1349" i="6"/>
  <c r="K1349" i="6" s="1"/>
  <c r="AB89" i="5" s="1"/>
  <c r="U1348" i="6"/>
  <c r="I1348" i="6"/>
  <c r="X1347" i="6"/>
  <c r="W1347" i="6"/>
  <c r="U1347" i="6"/>
  <c r="I1347" i="6" s="1"/>
  <c r="K1347" i="6" s="1"/>
  <c r="J1347" i="6"/>
  <c r="U1346" i="6"/>
  <c r="V1346" i="6" s="1"/>
  <c r="I1346" i="6"/>
  <c r="K1346" i="6" s="1"/>
  <c r="Y89" i="5" s="1"/>
  <c r="W1345" i="6"/>
  <c r="V1345" i="6"/>
  <c r="U1345" i="6"/>
  <c r="I1345" i="6" s="1"/>
  <c r="K1345" i="6" s="1"/>
  <c r="J1345" i="6"/>
  <c r="U1344" i="6"/>
  <c r="W1343" i="6"/>
  <c r="U1343" i="6"/>
  <c r="U1342" i="6"/>
  <c r="X1341" i="6"/>
  <c r="V1341" i="6"/>
  <c r="U1341" i="6"/>
  <c r="X1340" i="6"/>
  <c r="W1340" i="6"/>
  <c r="V1340" i="6"/>
  <c r="U1340" i="6"/>
  <c r="I1340" i="6"/>
  <c r="K1340" i="6" s="1"/>
  <c r="S89" i="5" s="1"/>
  <c r="U1339" i="6"/>
  <c r="I1339" i="6"/>
  <c r="K1339" i="6" s="1"/>
  <c r="R89" i="5" s="1"/>
  <c r="U1338" i="6"/>
  <c r="W1338" i="6" s="1"/>
  <c r="I1338" i="6"/>
  <c r="X1337" i="6"/>
  <c r="W1337" i="6"/>
  <c r="U1337" i="6"/>
  <c r="V1337" i="6" s="1"/>
  <c r="K1337" i="6"/>
  <c r="J1337" i="6"/>
  <c r="I1337" i="6"/>
  <c r="U1336" i="6"/>
  <c r="V1335" i="6"/>
  <c r="U1335" i="6"/>
  <c r="X1334" i="6"/>
  <c r="W1334" i="6"/>
  <c r="U1334" i="6"/>
  <c r="V1334" i="6" s="1"/>
  <c r="I1334" i="6"/>
  <c r="K1334" i="6" s="1"/>
  <c r="M89" i="5" s="1"/>
  <c r="U1333" i="6"/>
  <c r="I1333" i="6"/>
  <c r="K1333" i="6" s="1"/>
  <c r="V1332" i="6"/>
  <c r="U1332" i="6"/>
  <c r="I1332" i="6" s="1"/>
  <c r="U1331" i="6"/>
  <c r="X1330" i="6"/>
  <c r="W1330" i="6"/>
  <c r="U1330" i="6"/>
  <c r="V1330" i="6" s="1"/>
  <c r="I1330" i="6"/>
  <c r="V1329" i="6"/>
  <c r="U1329" i="6"/>
  <c r="I1329" i="6"/>
  <c r="X1328" i="6"/>
  <c r="W1328" i="6"/>
  <c r="V1328" i="6"/>
  <c r="U1328" i="6"/>
  <c r="I1328" i="6" s="1"/>
  <c r="W1327" i="6"/>
  <c r="U1327" i="6"/>
  <c r="I1327" i="6" s="1"/>
  <c r="U1326" i="6"/>
  <c r="I1326" i="6" s="1"/>
  <c r="X1325" i="6"/>
  <c r="W1325" i="6"/>
  <c r="U1325" i="6"/>
  <c r="V1325" i="6" s="1"/>
  <c r="I1325" i="6"/>
  <c r="U1324" i="6"/>
  <c r="U1323" i="6"/>
  <c r="U1322" i="6"/>
  <c r="W1322" i="6" s="1"/>
  <c r="X1321" i="6"/>
  <c r="U1321" i="6"/>
  <c r="I1321" i="6" s="1"/>
  <c r="K1321" i="6" s="1"/>
  <c r="J1321" i="6"/>
  <c r="U1320" i="6"/>
  <c r="U1319" i="6"/>
  <c r="U1318" i="6"/>
  <c r="I1318" i="6" s="1"/>
  <c r="K1318" i="6" s="1"/>
  <c r="M88" i="5" s="1"/>
  <c r="U1317" i="6"/>
  <c r="U1316" i="6"/>
  <c r="W1315" i="6"/>
  <c r="V1315" i="6"/>
  <c r="U1315" i="6"/>
  <c r="X1315" i="6" s="1"/>
  <c r="I1315" i="6"/>
  <c r="K1315" i="6" s="1"/>
  <c r="Z87" i="5" s="1"/>
  <c r="X1314" i="6"/>
  <c r="W1314" i="6"/>
  <c r="U1314" i="6"/>
  <c r="V1314" i="6" s="1"/>
  <c r="I1314" i="6"/>
  <c r="W1313" i="6"/>
  <c r="U1313" i="6"/>
  <c r="X1313" i="6" s="1"/>
  <c r="I1313" i="6"/>
  <c r="U1312" i="6"/>
  <c r="U1311" i="6"/>
  <c r="X1311" i="6" s="1"/>
  <c r="I1311" i="6"/>
  <c r="K1311" i="6" s="1"/>
  <c r="V87" i="5" s="1"/>
  <c r="U1310" i="6"/>
  <c r="W1310" i="6" s="1"/>
  <c r="U1309" i="6"/>
  <c r="X1308" i="6"/>
  <c r="V1308" i="6"/>
  <c r="U1308" i="6"/>
  <c r="I1308" i="6" s="1"/>
  <c r="K1308" i="6" s="1"/>
  <c r="J1308" i="6"/>
  <c r="U1307" i="6"/>
  <c r="U1306" i="6"/>
  <c r="W1306" i="6" s="1"/>
  <c r="I1306" i="6"/>
  <c r="W1305" i="6"/>
  <c r="V1305" i="6"/>
  <c r="U1305" i="6"/>
  <c r="X1305" i="6" s="1"/>
  <c r="I1305" i="6"/>
  <c r="J1305" i="6" s="1"/>
  <c r="U1304" i="6"/>
  <c r="W1304" i="6" s="1"/>
  <c r="U1303" i="6"/>
  <c r="I1303" i="6"/>
  <c r="K1303" i="6" s="1"/>
  <c r="X1302" i="6"/>
  <c r="W1302" i="6"/>
  <c r="U1302" i="6"/>
  <c r="V1302" i="6" s="1"/>
  <c r="I1302" i="6"/>
  <c r="K1302" i="6" s="1"/>
  <c r="X1301" i="6"/>
  <c r="V1301" i="6"/>
  <c r="U1301" i="6"/>
  <c r="W1301" i="6" s="1"/>
  <c r="J1301" i="6"/>
  <c r="I1301" i="6"/>
  <c r="K1301" i="6" s="1"/>
  <c r="X1300" i="6"/>
  <c r="W1300" i="6"/>
  <c r="V1300" i="6"/>
  <c r="U1300" i="6"/>
  <c r="I1300" i="6" s="1"/>
  <c r="J1300" i="6" s="1"/>
  <c r="K1300" i="6"/>
  <c r="U1299" i="6"/>
  <c r="I1299" i="6"/>
  <c r="X1298" i="6"/>
  <c r="U1298" i="6"/>
  <c r="V1298" i="6" s="1"/>
  <c r="I1298" i="6"/>
  <c r="X1297" i="6"/>
  <c r="W1297" i="6"/>
  <c r="V1297" i="6"/>
  <c r="U1297" i="6"/>
  <c r="J1297" i="6"/>
  <c r="I1297" i="6"/>
  <c r="K1297" i="6" s="1"/>
  <c r="X86" i="5" s="1"/>
  <c r="U1296" i="6"/>
  <c r="U1295" i="6"/>
  <c r="X1295" i="6" s="1"/>
  <c r="W1294" i="6"/>
  <c r="U1294" i="6"/>
  <c r="V1294" i="6" s="1"/>
  <c r="I1294" i="6"/>
  <c r="X1293" i="6"/>
  <c r="W1293" i="6"/>
  <c r="V1293" i="6"/>
  <c r="U1293" i="6"/>
  <c r="I1293" i="6" s="1"/>
  <c r="K1293" i="6"/>
  <c r="J1293" i="6"/>
  <c r="U1292" i="6"/>
  <c r="I1292" i="6" s="1"/>
  <c r="U1291" i="6"/>
  <c r="U1290" i="6"/>
  <c r="I1290" i="6" s="1"/>
  <c r="X1289" i="6"/>
  <c r="U1289" i="6"/>
  <c r="W1289" i="6" s="1"/>
  <c r="I1289" i="6"/>
  <c r="U1288" i="6"/>
  <c r="X1288" i="6" s="1"/>
  <c r="U1287" i="6"/>
  <c r="X1286" i="6"/>
  <c r="W1286" i="6"/>
  <c r="U1286" i="6"/>
  <c r="V1286" i="6" s="1"/>
  <c r="I1286" i="6"/>
  <c r="U1285" i="6"/>
  <c r="X1285" i="6" s="1"/>
  <c r="I1285" i="6"/>
  <c r="J1285" i="6" s="1"/>
  <c r="X1284" i="6"/>
  <c r="V1284" i="6"/>
  <c r="U1284" i="6"/>
  <c r="W1284" i="6" s="1"/>
  <c r="I1284" i="6"/>
  <c r="W1283" i="6"/>
  <c r="V1283" i="6"/>
  <c r="U1283" i="6"/>
  <c r="X1283" i="6" s="1"/>
  <c r="U1282" i="6"/>
  <c r="J1282" i="6"/>
  <c r="I1282" i="6"/>
  <c r="K1282" i="6" s="1"/>
  <c r="W1281" i="6"/>
  <c r="U1281" i="6"/>
  <c r="U1280" i="6"/>
  <c r="X1280" i="6" s="1"/>
  <c r="U1279" i="6"/>
  <c r="X1278" i="6"/>
  <c r="W1278" i="6"/>
  <c r="U1278" i="6"/>
  <c r="V1278" i="6" s="1"/>
  <c r="I1278" i="6"/>
  <c r="V1277" i="6"/>
  <c r="U1277" i="6"/>
  <c r="I1277" i="6" s="1"/>
  <c r="U1276" i="6"/>
  <c r="W1276" i="6" s="1"/>
  <c r="I1276" i="6"/>
  <c r="V1275" i="6"/>
  <c r="U1275" i="6"/>
  <c r="X1274" i="6"/>
  <c r="W1274" i="6"/>
  <c r="U1274" i="6"/>
  <c r="V1274" i="6" s="1"/>
  <c r="X1273" i="6"/>
  <c r="W1273" i="6"/>
  <c r="U1273" i="6"/>
  <c r="V1273" i="6" s="1"/>
  <c r="I1273" i="6"/>
  <c r="U1272" i="6"/>
  <c r="U1271" i="6"/>
  <c r="W1271" i="6" s="1"/>
  <c r="X1270" i="6"/>
  <c r="W1270" i="6"/>
  <c r="U1270" i="6"/>
  <c r="U1269" i="6"/>
  <c r="W1269" i="6" s="1"/>
  <c r="I1269" i="6"/>
  <c r="X1268" i="6"/>
  <c r="W1268" i="6"/>
  <c r="V1268" i="6"/>
  <c r="U1268" i="6"/>
  <c r="I1268" i="6" s="1"/>
  <c r="J1268" i="6" s="1"/>
  <c r="K1268" i="6"/>
  <c r="AA84" i="5" s="1"/>
  <c r="U1267" i="6"/>
  <c r="I1267" i="6" s="1"/>
  <c r="W1266" i="6"/>
  <c r="U1266" i="6"/>
  <c r="I1266" i="6"/>
  <c r="K1266" i="6" s="1"/>
  <c r="U1265" i="6"/>
  <c r="I1265" i="6"/>
  <c r="K1265" i="6" s="1"/>
  <c r="U1264" i="6"/>
  <c r="V1263" i="6"/>
  <c r="U1263" i="6"/>
  <c r="I1263" i="6" s="1"/>
  <c r="J1263" i="6" s="1"/>
  <c r="K1263" i="6"/>
  <c r="V84" i="5" s="1"/>
  <c r="U1262" i="6"/>
  <c r="I1262" i="6"/>
  <c r="K1262" i="6" s="1"/>
  <c r="U84" i="5" s="1"/>
  <c r="U1261" i="6"/>
  <c r="W1260" i="6"/>
  <c r="U1260" i="6"/>
  <c r="U1259" i="6"/>
  <c r="X1258" i="6"/>
  <c r="U1258" i="6"/>
  <c r="X1257" i="6"/>
  <c r="U1257" i="6"/>
  <c r="W1257" i="6" s="1"/>
  <c r="I1257" i="6"/>
  <c r="X1256" i="6"/>
  <c r="V1256" i="6"/>
  <c r="U1256" i="6"/>
  <c r="U1255" i="6"/>
  <c r="U1254" i="6"/>
  <c r="I1254" i="6"/>
  <c r="K1254" i="6" s="1"/>
  <c r="W1253" i="6"/>
  <c r="V1253" i="6"/>
  <c r="U1253" i="6"/>
  <c r="X1253" i="6" s="1"/>
  <c r="I1253" i="6"/>
  <c r="K1253" i="6" s="1"/>
  <c r="AB83" i="5" s="1"/>
  <c r="U1252" i="6"/>
  <c r="V1252" i="6" s="1"/>
  <c r="U1251" i="6"/>
  <c r="X1250" i="6"/>
  <c r="W1250" i="6"/>
  <c r="U1250" i="6"/>
  <c r="U1249" i="6"/>
  <c r="U1248" i="6"/>
  <c r="U1247" i="6"/>
  <c r="I1247" i="6"/>
  <c r="U1246" i="6"/>
  <c r="X1246" i="6" s="1"/>
  <c r="U1245" i="6"/>
  <c r="U1244" i="6"/>
  <c r="V1244" i="6" s="1"/>
  <c r="V1243" i="6"/>
  <c r="U1243" i="6"/>
  <c r="I1243" i="6"/>
  <c r="U1242" i="6"/>
  <c r="W1242" i="6" s="1"/>
  <c r="X1241" i="6"/>
  <c r="W1241" i="6"/>
  <c r="V1241" i="6"/>
  <c r="U1241" i="6"/>
  <c r="K1241" i="6"/>
  <c r="P83" i="5" s="1"/>
  <c r="J1241" i="6"/>
  <c r="I1241" i="6"/>
  <c r="U1240" i="6"/>
  <c r="I1240" i="6" s="1"/>
  <c r="U1239" i="6"/>
  <c r="X1238" i="6"/>
  <c r="W1238" i="6"/>
  <c r="U1238" i="6"/>
  <c r="V1238" i="6" s="1"/>
  <c r="J1238" i="6"/>
  <c r="I1238" i="6"/>
  <c r="K1238" i="6" s="1"/>
  <c r="U1237" i="6"/>
  <c r="U1236" i="6"/>
  <c r="W1235" i="6"/>
  <c r="V1235" i="6"/>
  <c r="U1235" i="6"/>
  <c r="X1235" i="6" s="1"/>
  <c r="I1235" i="6"/>
  <c r="K1235" i="6" s="1"/>
  <c r="U1234" i="6"/>
  <c r="U1233" i="6"/>
  <c r="X1232" i="6"/>
  <c r="U1232" i="6"/>
  <c r="I1232" i="6"/>
  <c r="J1232" i="6" s="1"/>
  <c r="U1231" i="6"/>
  <c r="U1230" i="6"/>
  <c r="I1230" i="6"/>
  <c r="X1229" i="6"/>
  <c r="W1229" i="6"/>
  <c r="V1229" i="6"/>
  <c r="U1229" i="6"/>
  <c r="K1229" i="6"/>
  <c r="J1229" i="6"/>
  <c r="I1229" i="6"/>
  <c r="X1228" i="6"/>
  <c r="V1228" i="6"/>
  <c r="U1228" i="6"/>
  <c r="U1227" i="6"/>
  <c r="U1226" i="6"/>
  <c r="I1226" i="6"/>
  <c r="K1226" i="6" s="1"/>
  <c r="U1225" i="6"/>
  <c r="X1224" i="6"/>
  <c r="V1224" i="6"/>
  <c r="U1224" i="6"/>
  <c r="U1223" i="6"/>
  <c r="W1223" i="6" s="1"/>
  <c r="W1222" i="6"/>
  <c r="U1222" i="6"/>
  <c r="I1222" i="6"/>
  <c r="X1221" i="6"/>
  <c r="V1221" i="6"/>
  <c r="U1221" i="6"/>
  <c r="X1220" i="6"/>
  <c r="W1220" i="6"/>
  <c r="U1220" i="6"/>
  <c r="V1220" i="6" s="1"/>
  <c r="I1220" i="6"/>
  <c r="J1220" i="6" s="1"/>
  <c r="U1219" i="6"/>
  <c r="U1218" i="6"/>
  <c r="W1217" i="6"/>
  <c r="V1217" i="6"/>
  <c r="U1217" i="6"/>
  <c r="X1217" i="6" s="1"/>
  <c r="K1217" i="6"/>
  <c r="I1217" i="6"/>
  <c r="J1217" i="6" s="1"/>
  <c r="U1216" i="6"/>
  <c r="U1215" i="6"/>
  <c r="I1215" i="6" s="1"/>
  <c r="U1214" i="6"/>
  <c r="X1214" i="6" s="1"/>
  <c r="W1213" i="6"/>
  <c r="V1213" i="6"/>
  <c r="U1213" i="6"/>
  <c r="V1212" i="6"/>
  <c r="U1212" i="6"/>
  <c r="I1212" i="6"/>
  <c r="U1211" i="6"/>
  <c r="I1211" i="6" s="1"/>
  <c r="X1210" i="6"/>
  <c r="W1210" i="6"/>
  <c r="U1210" i="6"/>
  <c r="V1210" i="6" s="1"/>
  <c r="I1210" i="6"/>
  <c r="U1209" i="6"/>
  <c r="V1209" i="6" s="1"/>
  <c r="I1209" i="6"/>
  <c r="V1208" i="6"/>
  <c r="U1208" i="6"/>
  <c r="I1208" i="6" s="1"/>
  <c r="V1207" i="6"/>
  <c r="U1207" i="6"/>
  <c r="U1206" i="6"/>
  <c r="V1206" i="6" s="1"/>
  <c r="J1206" i="6"/>
  <c r="I1206" i="6"/>
  <c r="K1206" i="6" s="1"/>
  <c r="X1205" i="6"/>
  <c r="W1205" i="6"/>
  <c r="V1205" i="6"/>
  <c r="U1205" i="6"/>
  <c r="I1205" i="6"/>
  <c r="J1205" i="6" s="1"/>
  <c r="U1204" i="6"/>
  <c r="W1204" i="6" s="1"/>
  <c r="W1203" i="6"/>
  <c r="V1203" i="6"/>
  <c r="U1203" i="6"/>
  <c r="U1202" i="6"/>
  <c r="X1201" i="6"/>
  <c r="V1201" i="6"/>
  <c r="U1201" i="6"/>
  <c r="W1201" i="6" s="1"/>
  <c r="U1200" i="6"/>
  <c r="W1200" i="6" s="1"/>
  <c r="I1200" i="6"/>
  <c r="X1199" i="6"/>
  <c r="W1199" i="6"/>
  <c r="U1199" i="6"/>
  <c r="V1199" i="6" s="1"/>
  <c r="K1199" i="6"/>
  <c r="I1199" i="6"/>
  <c r="J1199" i="6" s="1"/>
  <c r="X1198" i="6"/>
  <c r="W1198" i="6"/>
  <c r="U1198" i="6"/>
  <c r="V1198" i="6" s="1"/>
  <c r="I1198" i="6"/>
  <c r="K1198" i="6" s="1"/>
  <c r="W1197" i="6"/>
  <c r="U1197" i="6"/>
  <c r="I1197" i="6"/>
  <c r="K1197" i="6" s="1"/>
  <c r="T80" i="5" s="1"/>
  <c r="U1196" i="6"/>
  <c r="U1195" i="6"/>
  <c r="W1195" i="6" s="1"/>
  <c r="I1195" i="6"/>
  <c r="J1195" i="6" s="1"/>
  <c r="U1194" i="6"/>
  <c r="X1193" i="6"/>
  <c r="V1193" i="6"/>
  <c r="U1193" i="6"/>
  <c r="W1193" i="6" s="1"/>
  <c r="J1193" i="6"/>
  <c r="I1193" i="6"/>
  <c r="K1193" i="6" s="1"/>
  <c r="X1192" i="6"/>
  <c r="V1192" i="6"/>
  <c r="U1192" i="6"/>
  <c r="W1192" i="6" s="1"/>
  <c r="U1191" i="6"/>
  <c r="X1191" i="6" s="1"/>
  <c r="U1190" i="6"/>
  <c r="U1189" i="6"/>
  <c r="X1188" i="6"/>
  <c r="U1188" i="6"/>
  <c r="U1187" i="6"/>
  <c r="V1187" i="6" s="1"/>
  <c r="I1187" i="6"/>
  <c r="U1186" i="6"/>
  <c r="X1186" i="6" s="1"/>
  <c r="I1186" i="6"/>
  <c r="X1185" i="6"/>
  <c r="W1185" i="6"/>
  <c r="V1185" i="6"/>
  <c r="U1185" i="6"/>
  <c r="I1185" i="6"/>
  <c r="W1184" i="6"/>
  <c r="V1184" i="6"/>
  <c r="U1184" i="6"/>
  <c r="I1184" i="6" s="1"/>
  <c r="J1184" i="6" s="1"/>
  <c r="K1184" i="6"/>
  <c r="X1183" i="6"/>
  <c r="U1183" i="6"/>
  <c r="U1182" i="6"/>
  <c r="I1182" i="6"/>
  <c r="U1181" i="6"/>
  <c r="X1181" i="6" s="1"/>
  <c r="I1181" i="6"/>
  <c r="K1181" i="6" s="1"/>
  <c r="T79" i="5" s="1"/>
  <c r="V1180" i="6"/>
  <c r="U1180" i="6"/>
  <c r="X1180" i="6" s="1"/>
  <c r="I1180" i="6"/>
  <c r="V1179" i="6"/>
  <c r="U1179" i="6"/>
  <c r="W1179" i="6" s="1"/>
  <c r="U1178" i="6"/>
  <c r="X1178" i="6" s="1"/>
  <c r="I1178" i="6"/>
  <c r="X1177" i="6"/>
  <c r="U1177" i="6"/>
  <c r="X1176" i="6"/>
  <c r="U1176" i="6"/>
  <c r="J1176" i="6"/>
  <c r="I1176" i="6"/>
  <c r="K1176" i="6" s="1"/>
  <c r="O79" i="5" s="1"/>
  <c r="U1175" i="6"/>
  <c r="U1174" i="6"/>
  <c r="X1173" i="6"/>
  <c r="W1173" i="6"/>
  <c r="V1173" i="6"/>
  <c r="U1173" i="6"/>
  <c r="I1173" i="6"/>
  <c r="K1173" i="6" s="1"/>
  <c r="U1172" i="6"/>
  <c r="W1172" i="6" s="1"/>
  <c r="I1172" i="6"/>
  <c r="K1172" i="6" s="1"/>
  <c r="U1171" i="6"/>
  <c r="V1171" i="6" s="1"/>
  <c r="W1170" i="6"/>
  <c r="U1170" i="6"/>
  <c r="I1170" i="6"/>
  <c r="X1169" i="6"/>
  <c r="V1169" i="6"/>
  <c r="U1169" i="6"/>
  <c r="W1169" i="6" s="1"/>
  <c r="U1168" i="6"/>
  <c r="U1167" i="6"/>
  <c r="U1166" i="6"/>
  <c r="I1166" i="6"/>
  <c r="U1165" i="6"/>
  <c r="V1165" i="6" s="1"/>
  <c r="U1164" i="6"/>
  <c r="U1163" i="6"/>
  <c r="I1163" i="6" s="1"/>
  <c r="K1163" i="6"/>
  <c r="R78" i="5" s="1"/>
  <c r="J1163" i="6"/>
  <c r="X1162" i="6"/>
  <c r="W1162" i="6"/>
  <c r="U1162" i="6"/>
  <c r="X1161" i="6"/>
  <c r="W1161" i="6"/>
  <c r="V1161" i="6"/>
  <c r="U1161" i="6"/>
  <c r="I1161" i="6" s="1"/>
  <c r="J1161" i="6" s="1"/>
  <c r="K1161" i="6"/>
  <c r="U1160" i="6"/>
  <c r="W1159" i="6"/>
  <c r="U1159" i="6"/>
  <c r="I1159" i="6"/>
  <c r="K1159" i="6" s="1"/>
  <c r="N78" i="5" s="1"/>
  <c r="X1158" i="6"/>
  <c r="U1158" i="6"/>
  <c r="I1158" i="6"/>
  <c r="X1157" i="6"/>
  <c r="W1157" i="6"/>
  <c r="V1157" i="6"/>
  <c r="U1157" i="6"/>
  <c r="I1157" i="6" s="1"/>
  <c r="K1157" i="6" s="1"/>
  <c r="J1157" i="6"/>
  <c r="X1156" i="6"/>
  <c r="U1156" i="6"/>
  <c r="I1156" i="6" s="1"/>
  <c r="K1156" i="6" s="1"/>
  <c r="J1156" i="6"/>
  <c r="U1155" i="6"/>
  <c r="W1155" i="6" s="1"/>
  <c r="X1154" i="6"/>
  <c r="W1154" i="6"/>
  <c r="U1154" i="6"/>
  <c r="U1153" i="6"/>
  <c r="J1153" i="6"/>
  <c r="I1153" i="6"/>
  <c r="K1153" i="6" s="1"/>
  <c r="X77" i="5" s="1"/>
  <c r="U1152" i="6"/>
  <c r="X1151" i="6"/>
  <c r="U1151" i="6"/>
  <c r="W1151" i="6" s="1"/>
  <c r="U1150" i="6"/>
  <c r="X1149" i="6"/>
  <c r="W1149" i="6"/>
  <c r="V1149" i="6"/>
  <c r="U1149" i="6"/>
  <c r="K1149" i="6"/>
  <c r="J1149" i="6"/>
  <c r="I1149" i="6"/>
  <c r="U1148" i="6"/>
  <c r="W1148" i="6" s="1"/>
  <c r="I1148" i="6"/>
  <c r="U1147" i="6"/>
  <c r="I1147" i="6" s="1"/>
  <c r="X1146" i="6"/>
  <c r="W1146" i="6"/>
  <c r="U1146" i="6"/>
  <c r="V1146" i="6" s="1"/>
  <c r="I1146" i="6"/>
  <c r="U1145" i="6"/>
  <c r="X1144" i="6"/>
  <c r="W1144" i="6"/>
  <c r="U1144" i="6"/>
  <c r="V1144" i="6" s="1"/>
  <c r="I1144" i="6"/>
  <c r="U1143" i="6"/>
  <c r="X1143" i="6" s="1"/>
  <c r="U1142" i="6"/>
  <c r="I1142" i="6"/>
  <c r="K1142" i="6" s="1"/>
  <c r="M77" i="5" s="1"/>
  <c r="W1141" i="6"/>
  <c r="V1141" i="6"/>
  <c r="U1141" i="6"/>
  <c r="X1141" i="6" s="1"/>
  <c r="K1141" i="6"/>
  <c r="AB76" i="5" s="1"/>
  <c r="J1141" i="6"/>
  <c r="I1141" i="6"/>
  <c r="U1140" i="6"/>
  <c r="W1139" i="6"/>
  <c r="U1139" i="6"/>
  <c r="X1139" i="6" s="1"/>
  <c r="I1139" i="6"/>
  <c r="X1138" i="6"/>
  <c r="W1138" i="6"/>
  <c r="U1138" i="6"/>
  <c r="V1138" i="6" s="1"/>
  <c r="I1138" i="6"/>
  <c r="K1138" i="6" s="1"/>
  <c r="Y76" i="5" s="1"/>
  <c r="X1137" i="6"/>
  <c r="W1137" i="6"/>
  <c r="U1137" i="6"/>
  <c r="V1137" i="6" s="1"/>
  <c r="K1137" i="6"/>
  <c r="I1137" i="6"/>
  <c r="J1137" i="6" s="1"/>
  <c r="U1136" i="6"/>
  <c r="V1136" i="6" s="1"/>
  <c r="U1135" i="6"/>
  <c r="U1134" i="6"/>
  <c r="W1133" i="6"/>
  <c r="V1133" i="6"/>
  <c r="U1133" i="6"/>
  <c r="X1133" i="6" s="1"/>
  <c r="I1133" i="6"/>
  <c r="K1133" i="6" s="1"/>
  <c r="T76" i="5" s="1"/>
  <c r="U1132" i="6"/>
  <c r="I1132" i="6" s="1"/>
  <c r="J1132" i="6" s="1"/>
  <c r="X1131" i="6"/>
  <c r="U1131" i="6"/>
  <c r="W1131" i="6" s="1"/>
  <c r="I1131" i="6"/>
  <c r="X1130" i="6"/>
  <c r="W1130" i="6"/>
  <c r="U1130" i="6"/>
  <c r="V1130" i="6" s="1"/>
  <c r="I1130" i="6"/>
  <c r="K1130" i="6" s="1"/>
  <c r="X1129" i="6"/>
  <c r="V1129" i="6"/>
  <c r="U1129" i="6"/>
  <c r="W1129" i="6" s="1"/>
  <c r="J1129" i="6"/>
  <c r="I1129" i="6"/>
  <c r="K1129" i="6" s="1"/>
  <c r="U1128" i="6"/>
  <c r="U1127" i="6"/>
  <c r="U1126" i="6"/>
  <c r="U1125" i="6"/>
  <c r="U1124" i="6"/>
  <c r="V1124" i="6" s="1"/>
  <c r="X1123" i="6"/>
  <c r="W1123" i="6"/>
  <c r="V1123" i="6"/>
  <c r="U1123" i="6"/>
  <c r="I1123" i="6"/>
  <c r="J1123" i="6" s="1"/>
  <c r="X1122" i="6"/>
  <c r="W1122" i="6"/>
  <c r="U1122" i="6"/>
  <c r="V1122" i="6" s="1"/>
  <c r="I1122" i="6"/>
  <c r="K1122" i="6" s="1"/>
  <c r="X1121" i="6"/>
  <c r="W1121" i="6"/>
  <c r="V1121" i="6"/>
  <c r="U1121" i="6"/>
  <c r="J1121" i="6"/>
  <c r="I1121" i="6"/>
  <c r="K1121" i="6" s="1"/>
  <c r="U1120" i="6"/>
  <c r="I1120" i="6" s="1"/>
  <c r="X1119" i="6"/>
  <c r="W1119" i="6"/>
  <c r="V1119" i="6"/>
  <c r="U1119" i="6"/>
  <c r="K1119" i="6"/>
  <c r="J1119" i="6"/>
  <c r="I1119" i="6"/>
  <c r="X1118" i="6"/>
  <c r="W1118" i="6"/>
  <c r="U1118" i="6"/>
  <c r="V1118" i="6" s="1"/>
  <c r="U1117" i="6"/>
  <c r="I1117" i="6"/>
  <c r="K1117" i="6" s="1"/>
  <c r="T75" i="5" s="1"/>
  <c r="W1116" i="6"/>
  <c r="V1116" i="6"/>
  <c r="U1116" i="6"/>
  <c r="X1116" i="6" s="1"/>
  <c r="I1116" i="6"/>
  <c r="U1115" i="6"/>
  <c r="X1114" i="6"/>
  <c r="W1114" i="6"/>
  <c r="U1114" i="6"/>
  <c r="V1114" i="6" s="1"/>
  <c r="I1114" i="6"/>
  <c r="U1113" i="6"/>
  <c r="I1113" i="6" s="1"/>
  <c r="J1113" i="6" s="1"/>
  <c r="K1113" i="6"/>
  <c r="P75" i="5" s="1"/>
  <c r="X1112" i="6"/>
  <c r="U1112" i="6"/>
  <c r="I1112" i="6" s="1"/>
  <c r="J1112" i="6" s="1"/>
  <c r="K1112" i="6"/>
  <c r="O75" i="5" s="1"/>
  <c r="U1111" i="6"/>
  <c r="X1110" i="6"/>
  <c r="W1110" i="6"/>
  <c r="U1110" i="6"/>
  <c r="V1110" i="6" s="1"/>
  <c r="J1110" i="6"/>
  <c r="I1110" i="6"/>
  <c r="K1110" i="6" s="1"/>
  <c r="U1109" i="6"/>
  <c r="V1109" i="6" s="1"/>
  <c r="I1109" i="6"/>
  <c r="J1109" i="6" s="1"/>
  <c r="V1108" i="6"/>
  <c r="U1108" i="6"/>
  <c r="X1108" i="6" s="1"/>
  <c r="J1108" i="6"/>
  <c r="I1108" i="6"/>
  <c r="K1108" i="6" s="1"/>
  <c r="U1107" i="6"/>
  <c r="I1107" i="6"/>
  <c r="U1106" i="6"/>
  <c r="U1105" i="6"/>
  <c r="W1104" i="6"/>
  <c r="U1104" i="6"/>
  <c r="U1103" i="6"/>
  <c r="W1103" i="6" s="1"/>
  <c r="X1102" i="6"/>
  <c r="W1102" i="6"/>
  <c r="U1102" i="6"/>
  <c r="V1102" i="6" s="1"/>
  <c r="I1102" i="6"/>
  <c r="U1101" i="6"/>
  <c r="X1100" i="6"/>
  <c r="W1100" i="6"/>
  <c r="V1100" i="6"/>
  <c r="U1100" i="6"/>
  <c r="I1100" i="6" s="1"/>
  <c r="K1100" i="6" s="1"/>
  <c r="S74" i="5" s="1"/>
  <c r="U1099" i="6"/>
  <c r="X1098" i="6"/>
  <c r="W1098" i="6"/>
  <c r="U1098" i="6"/>
  <c r="V1098" i="6" s="1"/>
  <c r="I1098" i="6"/>
  <c r="X1097" i="6"/>
  <c r="W1097" i="6"/>
  <c r="V1097" i="6"/>
  <c r="U1097" i="6"/>
  <c r="I1097" i="6"/>
  <c r="K1097" i="6" s="1"/>
  <c r="V1096" i="6"/>
  <c r="U1096" i="6"/>
  <c r="U1095" i="6"/>
  <c r="U1094" i="6"/>
  <c r="I1094" i="6"/>
  <c r="U1093" i="6"/>
  <c r="U1092" i="6"/>
  <c r="U1091" i="6"/>
  <c r="K1091" i="6"/>
  <c r="I1091" i="6"/>
  <c r="J1091" i="6" s="1"/>
  <c r="X1090" i="6"/>
  <c r="W1090" i="6"/>
  <c r="U1090" i="6"/>
  <c r="U1089" i="6"/>
  <c r="V1089" i="6" s="1"/>
  <c r="U1088" i="6"/>
  <c r="X1088" i="6" s="1"/>
  <c r="I1088" i="6"/>
  <c r="U1087" i="6"/>
  <c r="V1087" i="6" s="1"/>
  <c r="X1086" i="6"/>
  <c r="W1086" i="6"/>
  <c r="U1086" i="6"/>
  <c r="W1085" i="6"/>
  <c r="V1085" i="6"/>
  <c r="U1085" i="6"/>
  <c r="X1085" i="6" s="1"/>
  <c r="I1085" i="6"/>
  <c r="K1085" i="6" s="1"/>
  <c r="T73" i="5" s="1"/>
  <c r="U1084" i="6"/>
  <c r="U1083" i="6"/>
  <c r="U1082" i="6"/>
  <c r="X1081" i="6"/>
  <c r="W1081" i="6"/>
  <c r="V1081" i="6"/>
  <c r="U1081" i="6"/>
  <c r="K1081" i="6"/>
  <c r="J1081" i="6"/>
  <c r="I1081" i="6"/>
  <c r="W1080" i="6"/>
  <c r="U1080" i="6"/>
  <c r="U1079" i="6"/>
  <c r="U1078" i="6"/>
  <c r="W1078" i="6" s="1"/>
  <c r="W1077" i="6"/>
  <c r="V1077" i="6"/>
  <c r="U1077" i="6"/>
  <c r="X1077" i="6" s="1"/>
  <c r="I1077" i="6"/>
  <c r="W1076" i="6"/>
  <c r="V1076" i="6"/>
  <c r="U1076" i="6"/>
  <c r="X1076" i="6" s="1"/>
  <c r="I1076" i="6"/>
  <c r="K1076" i="6" s="1"/>
  <c r="AA72" i="5" s="1"/>
  <c r="U1075" i="6"/>
  <c r="I1075" i="6"/>
  <c r="U1074" i="6"/>
  <c r="V1074" i="6" s="1"/>
  <c r="U1073" i="6"/>
  <c r="W1073" i="6" s="1"/>
  <c r="I1073" i="6"/>
  <c r="K1073" i="6" s="1"/>
  <c r="X72" i="5" s="1"/>
  <c r="U1072" i="6"/>
  <c r="X1071" i="6"/>
  <c r="V1071" i="6"/>
  <c r="U1071" i="6"/>
  <c r="X1070" i="6"/>
  <c r="U1070" i="6"/>
  <c r="V1070" i="6" s="1"/>
  <c r="I1070" i="6"/>
  <c r="X1069" i="6"/>
  <c r="W1069" i="6"/>
  <c r="V1069" i="6"/>
  <c r="U1069" i="6"/>
  <c r="I1069" i="6" s="1"/>
  <c r="V1068" i="6"/>
  <c r="U1068" i="6"/>
  <c r="U1067" i="6"/>
  <c r="U1066" i="6"/>
  <c r="V1066" i="6" s="1"/>
  <c r="X1065" i="6"/>
  <c r="W1065" i="6"/>
  <c r="U1065" i="6"/>
  <c r="V1065" i="6" s="1"/>
  <c r="I1065" i="6"/>
  <c r="J1065" i="6" s="1"/>
  <c r="X1064" i="6"/>
  <c r="U1064" i="6"/>
  <c r="I1064" i="6"/>
  <c r="X1063" i="6"/>
  <c r="U1063" i="6"/>
  <c r="U1062" i="6"/>
  <c r="V1062" i="6" s="1"/>
  <c r="I1062" i="6"/>
  <c r="U1061" i="6"/>
  <c r="X1060" i="6"/>
  <c r="W1060" i="6"/>
  <c r="U1060" i="6"/>
  <c r="V1060" i="6" s="1"/>
  <c r="I1060" i="6"/>
  <c r="K1060" i="6" s="1"/>
  <c r="U1059" i="6"/>
  <c r="X1058" i="6"/>
  <c r="W1058" i="6"/>
  <c r="U1058" i="6"/>
  <c r="V1058" i="6" s="1"/>
  <c r="I1058" i="6"/>
  <c r="K1058" i="6" s="1"/>
  <c r="Y71" i="5" s="1"/>
  <c r="W1057" i="6"/>
  <c r="V1057" i="6"/>
  <c r="U1057" i="6"/>
  <c r="X1057" i="6" s="1"/>
  <c r="J1057" i="6"/>
  <c r="I1057" i="6"/>
  <c r="K1057" i="6" s="1"/>
  <c r="U1056" i="6"/>
  <c r="X1055" i="6"/>
  <c r="U1055" i="6"/>
  <c r="X1054" i="6"/>
  <c r="W1054" i="6"/>
  <c r="U1054" i="6"/>
  <c r="V1054" i="6" s="1"/>
  <c r="I1054" i="6"/>
  <c r="K1054" i="6" s="1"/>
  <c r="U71" i="5" s="1"/>
  <c r="X1053" i="6"/>
  <c r="U1053" i="6"/>
  <c r="V1053" i="6" s="1"/>
  <c r="I1053" i="6"/>
  <c r="J1053" i="6" s="1"/>
  <c r="U1052" i="6"/>
  <c r="U1051" i="6"/>
  <c r="V1051" i="6" s="1"/>
  <c r="U1050" i="6"/>
  <c r="I1050" i="6" s="1"/>
  <c r="K1050" i="6" s="1"/>
  <c r="Q71" i="5" s="1"/>
  <c r="U1049" i="6"/>
  <c r="W1049" i="6" s="1"/>
  <c r="I1049" i="6"/>
  <c r="K1049" i="6" s="1"/>
  <c r="W1048" i="6"/>
  <c r="V1048" i="6"/>
  <c r="U1048" i="6"/>
  <c r="X1047" i="6"/>
  <c r="W1047" i="6"/>
  <c r="U1047" i="6"/>
  <c r="V1047" i="6" s="1"/>
  <c r="I1047" i="6"/>
  <c r="U1046" i="6"/>
  <c r="I1046" i="6"/>
  <c r="X1045" i="6"/>
  <c r="W1045" i="6"/>
  <c r="V1045" i="6"/>
  <c r="U1045" i="6"/>
  <c r="K1045" i="6"/>
  <c r="I1045" i="6"/>
  <c r="J1045" i="6" s="1"/>
  <c r="U1044" i="6"/>
  <c r="X1043" i="6"/>
  <c r="W1043" i="6"/>
  <c r="U1043" i="6"/>
  <c r="V1043" i="6" s="1"/>
  <c r="I1043" i="6"/>
  <c r="X1042" i="6"/>
  <c r="W1042" i="6"/>
  <c r="U1042" i="6"/>
  <c r="X1041" i="6"/>
  <c r="W1041" i="6"/>
  <c r="V1041" i="6"/>
  <c r="U1041" i="6"/>
  <c r="I1041" i="6"/>
  <c r="U1040" i="6"/>
  <c r="I1040" i="6"/>
  <c r="K1040" i="6" s="1"/>
  <c r="W70" i="5" s="1"/>
  <c r="X1039" i="6"/>
  <c r="U1039" i="6"/>
  <c r="U1038" i="6"/>
  <c r="U1037" i="6"/>
  <c r="U1036" i="6"/>
  <c r="I1036" i="6"/>
  <c r="K1036" i="6" s="1"/>
  <c r="S70" i="5" s="1"/>
  <c r="U1035" i="6"/>
  <c r="U1034" i="6"/>
  <c r="X1034" i="6" s="1"/>
  <c r="U1033" i="6"/>
  <c r="U1032" i="6"/>
  <c r="X1032" i="6" s="1"/>
  <c r="X1031" i="6"/>
  <c r="U1031" i="6"/>
  <c r="X1030" i="6"/>
  <c r="U1030" i="6"/>
  <c r="I1030" i="6"/>
  <c r="K1030" i="6" s="1"/>
  <c r="U1029" i="6"/>
  <c r="U1028" i="6"/>
  <c r="W1027" i="6"/>
  <c r="V1027" i="6"/>
  <c r="U1027" i="6"/>
  <c r="X1027" i="6" s="1"/>
  <c r="I1027" i="6"/>
  <c r="K1027" i="6" s="1"/>
  <c r="Z69" i="5" s="1"/>
  <c r="X1026" i="6"/>
  <c r="W1026" i="6"/>
  <c r="U1026" i="6"/>
  <c r="V1026" i="6" s="1"/>
  <c r="U1025" i="6"/>
  <c r="X1024" i="6"/>
  <c r="W1024" i="6"/>
  <c r="V1024" i="6"/>
  <c r="U1024" i="6"/>
  <c r="I1024" i="6" s="1"/>
  <c r="X1023" i="6"/>
  <c r="U1023" i="6"/>
  <c r="I1023" i="6" s="1"/>
  <c r="U1022" i="6"/>
  <c r="V1022" i="6" s="1"/>
  <c r="I1022" i="6"/>
  <c r="X1021" i="6"/>
  <c r="U1021" i="6"/>
  <c r="I1021" i="6" s="1"/>
  <c r="K1021" i="6" s="1"/>
  <c r="U1020" i="6"/>
  <c r="W1020" i="6" s="1"/>
  <c r="X1019" i="6"/>
  <c r="U1019" i="6"/>
  <c r="V1019" i="6" s="1"/>
  <c r="I1019" i="6"/>
  <c r="U1018" i="6"/>
  <c r="V1018" i="6" s="1"/>
  <c r="I1018" i="6"/>
  <c r="K1018" i="6" s="1"/>
  <c r="Q69" i="5" s="1"/>
  <c r="U1017" i="6"/>
  <c r="U1016" i="6"/>
  <c r="U1015" i="6"/>
  <c r="I1015" i="6" s="1"/>
  <c r="J1015" i="6" s="1"/>
  <c r="K1015" i="6"/>
  <c r="N69" i="5" s="1"/>
  <c r="U1014" i="6"/>
  <c r="U1013" i="6"/>
  <c r="W1012" i="6"/>
  <c r="U1012" i="6"/>
  <c r="X1011" i="6"/>
  <c r="U1011" i="6"/>
  <c r="W1011" i="6" s="1"/>
  <c r="U1010" i="6"/>
  <c r="W1010" i="6" s="1"/>
  <c r="X1009" i="6"/>
  <c r="W1009" i="6"/>
  <c r="V1009" i="6"/>
  <c r="U1009" i="6"/>
  <c r="K1009" i="6"/>
  <c r="X68" i="5" s="1"/>
  <c r="I1009" i="6"/>
  <c r="J1009" i="6" s="1"/>
  <c r="U1008" i="6"/>
  <c r="I1008" i="6"/>
  <c r="K1008" i="6" s="1"/>
  <c r="U1007" i="6"/>
  <c r="V1007" i="6" s="1"/>
  <c r="I1007" i="6"/>
  <c r="X1006" i="6"/>
  <c r="W1006" i="6"/>
  <c r="U1006" i="6"/>
  <c r="V1006" i="6" s="1"/>
  <c r="I1006" i="6"/>
  <c r="X1005" i="6"/>
  <c r="W1005" i="6"/>
  <c r="V1005" i="6"/>
  <c r="U1005" i="6"/>
  <c r="I1005" i="6" s="1"/>
  <c r="X1004" i="6"/>
  <c r="U1004" i="6"/>
  <c r="U1003" i="6"/>
  <c r="W1003" i="6" s="1"/>
  <c r="X1002" i="6"/>
  <c r="W1002" i="6"/>
  <c r="U1002" i="6"/>
  <c r="V1002" i="6" s="1"/>
  <c r="I1002" i="6"/>
  <c r="W1001" i="6"/>
  <c r="U1001" i="6"/>
  <c r="U1000" i="6"/>
  <c r="U999" i="6"/>
  <c r="X999" i="6" s="1"/>
  <c r="X998" i="6"/>
  <c r="W998" i="6"/>
  <c r="U998" i="6"/>
  <c r="X997" i="6"/>
  <c r="V997" i="6"/>
  <c r="U997" i="6"/>
  <c r="W997" i="6" s="1"/>
  <c r="K997" i="6"/>
  <c r="I997" i="6"/>
  <c r="J997" i="6" s="1"/>
  <c r="U996" i="6"/>
  <c r="U995" i="6"/>
  <c r="I995" i="6" s="1"/>
  <c r="J995" i="6" s="1"/>
  <c r="K995" i="6"/>
  <c r="U994" i="6"/>
  <c r="V994" i="6" s="1"/>
  <c r="U993" i="6"/>
  <c r="W993" i="6" s="1"/>
  <c r="I993" i="6"/>
  <c r="K993" i="6" s="1"/>
  <c r="X67" i="5" s="1"/>
  <c r="X992" i="6"/>
  <c r="W992" i="6"/>
  <c r="V992" i="6"/>
  <c r="U992" i="6"/>
  <c r="I992" i="6"/>
  <c r="U991" i="6"/>
  <c r="U990" i="6"/>
  <c r="X989" i="6"/>
  <c r="W989" i="6"/>
  <c r="V989" i="6"/>
  <c r="U989" i="6"/>
  <c r="I989" i="6" s="1"/>
  <c r="U988" i="6"/>
  <c r="I988" i="6"/>
  <c r="K988" i="6" s="1"/>
  <c r="S67" i="5" s="1"/>
  <c r="U987" i="6"/>
  <c r="X986" i="6"/>
  <c r="W986" i="6"/>
  <c r="U986" i="6"/>
  <c r="V986" i="6" s="1"/>
  <c r="I986" i="6"/>
  <c r="K986" i="6" s="1"/>
  <c r="U985" i="6"/>
  <c r="I985" i="6" s="1"/>
  <c r="U984" i="6"/>
  <c r="I984" i="6"/>
  <c r="U983" i="6"/>
  <c r="U982" i="6"/>
  <c r="I982" i="6"/>
  <c r="K982" i="6" s="1"/>
  <c r="M67" i="5" s="1"/>
  <c r="X981" i="6"/>
  <c r="V981" i="6"/>
  <c r="U981" i="6"/>
  <c r="W981" i="6" s="1"/>
  <c r="I981" i="6"/>
  <c r="W980" i="6"/>
  <c r="U980" i="6"/>
  <c r="X980" i="6" s="1"/>
  <c r="J980" i="6"/>
  <c r="I980" i="6"/>
  <c r="K980" i="6" s="1"/>
  <c r="AA66" i="5" s="1"/>
  <c r="U979" i="6"/>
  <c r="U978" i="6"/>
  <c r="X977" i="6"/>
  <c r="W977" i="6"/>
  <c r="U977" i="6"/>
  <c r="V977" i="6" s="1"/>
  <c r="K977" i="6"/>
  <c r="X66" i="5" s="1"/>
  <c r="J977" i="6"/>
  <c r="I977" i="6"/>
  <c r="U976" i="6"/>
  <c r="U975" i="6"/>
  <c r="X975" i="6" s="1"/>
  <c r="I975" i="6"/>
  <c r="X974" i="6"/>
  <c r="W974" i="6"/>
  <c r="U974" i="6"/>
  <c r="V974" i="6" s="1"/>
  <c r="I974" i="6"/>
  <c r="K974" i="6" s="1"/>
  <c r="U66" i="5" s="1"/>
  <c r="X973" i="6"/>
  <c r="W973" i="6"/>
  <c r="V973" i="6"/>
  <c r="U973" i="6"/>
  <c r="K973" i="6"/>
  <c r="T66" i="5" s="1"/>
  <c r="J973" i="6"/>
  <c r="I973" i="6"/>
  <c r="U972" i="6"/>
  <c r="U971" i="6"/>
  <c r="K971" i="6"/>
  <c r="R66" i="5" s="1"/>
  <c r="I971" i="6"/>
  <c r="J971" i="6" s="1"/>
  <c r="W970" i="6"/>
  <c r="U970" i="6"/>
  <c r="X969" i="6"/>
  <c r="W969" i="6"/>
  <c r="V969" i="6"/>
  <c r="U969" i="6"/>
  <c r="I969" i="6" s="1"/>
  <c r="K969" i="6"/>
  <c r="P66" i="5" s="1"/>
  <c r="J969" i="6"/>
  <c r="X968" i="6"/>
  <c r="W968" i="6"/>
  <c r="V968" i="6"/>
  <c r="U968" i="6"/>
  <c r="I968" i="6" s="1"/>
  <c r="K968" i="6" s="1"/>
  <c r="J968" i="6"/>
  <c r="U967" i="6"/>
  <c r="U966" i="6"/>
  <c r="X966" i="6" s="1"/>
  <c r="X965" i="6"/>
  <c r="V965" i="6"/>
  <c r="U965" i="6"/>
  <c r="U964" i="6"/>
  <c r="I964" i="6"/>
  <c r="K964" i="6" s="1"/>
  <c r="AA65" i="5" s="1"/>
  <c r="U963" i="6"/>
  <c r="V963" i="6" s="1"/>
  <c r="I963" i="6"/>
  <c r="W962" i="6"/>
  <c r="U962" i="6"/>
  <c r="U961" i="6"/>
  <c r="I961" i="6"/>
  <c r="J961" i="6" s="1"/>
  <c r="X960" i="6"/>
  <c r="W960" i="6"/>
  <c r="V960" i="6"/>
  <c r="U960" i="6"/>
  <c r="I960" i="6"/>
  <c r="U959" i="6"/>
  <c r="W959" i="6" s="1"/>
  <c r="U958" i="6"/>
  <c r="V958" i="6" s="1"/>
  <c r="I958" i="6"/>
  <c r="X957" i="6"/>
  <c r="V957" i="6"/>
  <c r="U957" i="6"/>
  <c r="W957" i="6" s="1"/>
  <c r="I957" i="6"/>
  <c r="W956" i="6"/>
  <c r="U956" i="6"/>
  <c r="V955" i="6"/>
  <c r="U955" i="6"/>
  <c r="W955" i="6" s="1"/>
  <c r="I955" i="6"/>
  <c r="K955" i="6" s="1"/>
  <c r="U954" i="6"/>
  <c r="I954" i="6"/>
  <c r="X953" i="6"/>
  <c r="W953" i="6"/>
  <c r="U953" i="6"/>
  <c r="V953" i="6" s="1"/>
  <c r="U952" i="6"/>
  <c r="I952" i="6"/>
  <c r="J952" i="6" s="1"/>
  <c r="V951" i="6"/>
  <c r="U951" i="6"/>
  <c r="X950" i="6"/>
  <c r="W950" i="6"/>
  <c r="U950" i="6"/>
  <c r="U949" i="6"/>
  <c r="I949" i="6"/>
  <c r="X948" i="6"/>
  <c r="W948" i="6"/>
  <c r="U948" i="6"/>
  <c r="V948" i="6" s="1"/>
  <c r="I948" i="6"/>
  <c r="W947" i="6"/>
  <c r="V947" i="6"/>
  <c r="U947" i="6"/>
  <c r="X947" i="6" s="1"/>
  <c r="I947" i="6"/>
  <c r="U946" i="6"/>
  <c r="X946" i="6" s="1"/>
  <c r="U945" i="6"/>
  <c r="W945" i="6" s="1"/>
  <c r="W944" i="6"/>
  <c r="U944" i="6"/>
  <c r="X943" i="6"/>
  <c r="V943" i="6"/>
  <c r="U943" i="6"/>
  <c r="W942" i="6"/>
  <c r="U942" i="6"/>
  <c r="V942" i="6" s="1"/>
  <c r="I942" i="6"/>
  <c r="X941" i="6"/>
  <c r="U941" i="6"/>
  <c r="W941" i="6" s="1"/>
  <c r="I941" i="6"/>
  <c r="K941" i="6" s="1"/>
  <c r="T64" i="5" s="1"/>
  <c r="U940" i="6"/>
  <c r="U939" i="6"/>
  <c r="I939" i="6" s="1"/>
  <c r="U938" i="6"/>
  <c r="I938" i="6"/>
  <c r="K938" i="6" s="1"/>
  <c r="X937" i="6"/>
  <c r="W937" i="6"/>
  <c r="V937" i="6"/>
  <c r="U937" i="6"/>
  <c r="I937" i="6"/>
  <c r="J937" i="6" s="1"/>
  <c r="U936" i="6"/>
  <c r="X935" i="6"/>
  <c r="U935" i="6"/>
  <c r="X934" i="6"/>
  <c r="W934" i="6"/>
  <c r="U934" i="6"/>
  <c r="V934" i="6" s="1"/>
  <c r="I934" i="6"/>
  <c r="K934" i="6" s="1"/>
  <c r="W933" i="6"/>
  <c r="V933" i="6"/>
  <c r="U933" i="6"/>
  <c r="X933" i="6" s="1"/>
  <c r="I933" i="6"/>
  <c r="K933" i="6" s="1"/>
  <c r="AB63" i="5" s="1"/>
  <c r="U932" i="6"/>
  <c r="V932" i="6" s="1"/>
  <c r="V931" i="6"/>
  <c r="U931" i="6"/>
  <c r="U930" i="6"/>
  <c r="W929" i="6"/>
  <c r="U929" i="6"/>
  <c r="X929" i="6" s="1"/>
  <c r="I929" i="6"/>
  <c r="U928" i="6"/>
  <c r="I928" i="6"/>
  <c r="K928" i="6" s="1"/>
  <c r="W63" i="5" s="1"/>
  <c r="W927" i="6"/>
  <c r="U927" i="6"/>
  <c r="V927" i="6" s="1"/>
  <c r="X926" i="6"/>
  <c r="W926" i="6"/>
  <c r="U926" i="6"/>
  <c r="V926" i="6" s="1"/>
  <c r="J926" i="6"/>
  <c r="I926" i="6"/>
  <c r="K926" i="6" s="1"/>
  <c r="U63" i="5" s="1"/>
  <c r="U925" i="6"/>
  <c r="U924" i="6"/>
  <c r="I924" i="6"/>
  <c r="U923" i="6"/>
  <c r="I923" i="6" s="1"/>
  <c r="X922" i="6"/>
  <c r="W922" i="6"/>
  <c r="U922" i="6"/>
  <c r="V922" i="6" s="1"/>
  <c r="I922" i="6"/>
  <c r="V921" i="6"/>
  <c r="U921" i="6"/>
  <c r="I921" i="6"/>
  <c r="K921" i="6" s="1"/>
  <c r="P63" i="5" s="1"/>
  <c r="U920" i="6"/>
  <c r="V920" i="6" s="1"/>
  <c r="I920" i="6"/>
  <c r="U919" i="6"/>
  <c r="I919" i="6" s="1"/>
  <c r="U918" i="6"/>
  <c r="X918" i="6" s="1"/>
  <c r="X917" i="6"/>
  <c r="W917" i="6"/>
  <c r="V917" i="6"/>
  <c r="U917" i="6"/>
  <c r="K917" i="6"/>
  <c r="J917" i="6"/>
  <c r="I917" i="6"/>
  <c r="U916" i="6"/>
  <c r="I916" i="6" s="1"/>
  <c r="V915" i="6"/>
  <c r="U915" i="6"/>
  <c r="W915" i="6" s="1"/>
  <c r="X914" i="6"/>
  <c r="W914" i="6"/>
  <c r="U914" i="6"/>
  <c r="V914" i="6" s="1"/>
  <c r="I914" i="6"/>
  <c r="X913" i="6"/>
  <c r="W913" i="6"/>
  <c r="V913" i="6"/>
  <c r="U913" i="6"/>
  <c r="K913" i="6"/>
  <c r="J913" i="6"/>
  <c r="I913" i="6"/>
  <c r="X912" i="6"/>
  <c r="W912" i="6"/>
  <c r="V912" i="6"/>
  <c r="U912" i="6"/>
  <c r="I912" i="6"/>
  <c r="U911" i="6"/>
  <c r="X911" i="6" s="1"/>
  <c r="U910" i="6"/>
  <c r="V909" i="6"/>
  <c r="U909" i="6"/>
  <c r="W909" i="6" s="1"/>
  <c r="I909" i="6"/>
  <c r="X908" i="6"/>
  <c r="U908" i="6"/>
  <c r="I908" i="6" s="1"/>
  <c r="X907" i="6"/>
  <c r="W907" i="6"/>
  <c r="V907" i="6"/>
  <c r="U907" i="6"/>
  <c r="I907" i="6"/>
  <c r="K907" i="6" s="1"/>
  <c r="R62" i="5" s="1"/>
  <c r="U906" i="6"/>
  <c r="I906" i="6"/>
  <c r="K906" i="6" s="1"/>
  <c r="Q62" i="5" s="1"/>
  <c r="V905" i="6"/>
  <c r="U905" i="6"/>
  <c r="I905" i="6"/>
  <c r="U904" i="6"/>
  <c r="U903" i="6"/>
  <c r="U902" i="6"/>
  <c r="V902" i="6" s="1"/>
  <c r="I902" i="6"/>
  <c r="X901" i="6"/>
  <c r="V901" i="6"/>
  <c r="U901" i="6"/>
  <c r="W901" i="6" s="1"/>
  <c r="J901" i="6"/>
  <c r="I901" i="6"/>
  <c r="K901" i="6" s="1"/>
  <c r="AB61" i="5" s="1"/>
  <c r="U900" i="6"/>
  <c r="X900" i="6" s="1"/>
  <c r="I900" i="6"/>
  <c r="K900" i="6" s="1"/>
  <c r="AA61" i="5" s="1"/>
  <c r="U899" i="6"/>
  <c r="X898" i="6"/>
  <c r="W898" i="6"/>
  <c r="U898" i="6"/>
  <c r="V898" i="6" s="1"/>
  <c r="I898" i="6"/>
  <c r="U897" i="6"/>
  <c r="U896" i="6"/>
  <c r="V895" i="6"/>
  <c r="U895" i="6"/>
  <c r="U894" i="6"/>
  <c r="W894" i="6" s="1"/>
  <c r="I894" i="6"/>
  <c r="X893" i="6"/>
  <c r="W893" i="6"/>
  <c r="V893" i="6"/>
  <c r="U893" i="6"/>
  <c r="I893" i="6"/>
  <c r="K893" i="6" s="1"/>
  <c r="T61" i="5" s="1"/>
  <c r="X892" i="6"/>
  <c r="U892" i="6"/>
  <c r="W892" i="6" s="1"/>
  <c r="X891" i="6"/>
  <c r="U891" i="6"/>
  <c r="U890" i="6"/>
  <c r="I890" i="6"/>
  <c r="K890" i="6" s="1"/>
  <c r="Q61" i="5" s="1"/>
  <c r="X889" i="6"/>
  <c r="W889" i="6"/>
  <c r="V889" i="6"/>
  <c r="U889" i="6"/>
  <c r="J889" i="6"/>
  <c r="I889" i="6"/>
  <c r="K889" i="6" s="1"/>
  <c r="U888" i="6"/>
  <c r="U887" i="6"/>
  <c r="U886" i="6"/>
  <c r="V886" i="6" s="1"/>
  <c r="I886" i="6"/>
  <c r="K886" i="6" s="1"/>
  <c r="M61" i="5" s="1"/>
  <c r="U885" i="6"/>
  <c r="V885" i="6" s="1"/>
  <c r="I885" i="6"/>
  <c r="K885" i="6" s="1"/>
  <c r="U884" i="6"/>
  <c r="U883" i="6"/>
  <c r="X882" i="6"/>
  <c r="W882" i="6"/>
  <c r="U882" i="6"/>
  <c r="V882" i="6" s="1"/>
  <c r="I882" i="6"/>
  <c r="K882" i="6" s="1"/>
  <c r="U881" i="6"/>
  <c r="U880" i="6"/>
  <c r="X880" i="6" s="1"/>
  <c r="U879" i="6"/>
  <c r="U878" i="6"/>
  <c r="W878" i="6" s="1"/>
  <c r="I878" i="6"/>
  <c r="K878" i="6" s="1"/>
  <c r="U60" i="5" s="1"/>
  <c r="X877" i="6"/>
  <c r="W877" i="6"/>
  <c r="V877" i="6"/>
  <c r="U877" i="6"/>
  <c r="K877" i="6"/>
  <c r="J877" i="6"/>
  <c r="I877" i="6"/>
  <c r="W876" i="6"/>
  <c r="V876" i="6"/>
  <c r="U876" i="6"/>
  <c r="X876" i="6" s="1"/>
  <c r="I876" i="6"/>
  <c r="W875" i="6"/>
  <c r="U875" i="6"/>
  <c r="V875" i="6" s="1"/>
  <c r="U874" i="6"/>
  <c r="W874" i="6" s="1"/>
  <c r="I874" i="6"/>
  <c r="X873" i="6"/>
  <c r="U873" i="6"/>
  <c r="W873" i="6" s="1"/>
  <c r="J873" i="6"/>
  <c r="I873" i="6"/>
  <c r="K873" i="6" s="1"/>
  <c r="V872" i="6"/>
  <c r="U872" i="6"/>
  <c r="I872" i="6"/>
  <c r="U871" i="6"/>
  <c r="W870" i="6"/>
  <c r="U870" i="6"/>
  <c r="I870" i="6"/>
  <c r="U869" i="6"/>
  <c r="V869" i="6" s="1"/>
  <c r="X868" i="6"/>
  <c r="W868" i="6"/>
  <c r="V868" i="6"/>
  <c r="U868" i="6"/>
  <c r="I868" i="6"/>
  <c r="K868" i="6" s="1"/>
  <c r="AA59" i="5" s="1"/>
  <c r="U867" i="6"/>
  <c r="I867" i="6" s="1"/>
  <c r="K867" i="6" s="1"/>
  <c r="J867" i="6"/>
  <c r="X866" i="6"/>
  <c r="W866" i="6"/>
  <c r="U866" i="6"/>
  <c r="V866" i="6" s="1"/>
  <c r="U865" i="6"/>
  <c r="I865" i="6"/>
  <c r="J865" i="6" s="1"/>
  <c r="U864" i="6"/>
  <c r="V864" i="6" s="1"/>
  <c r="U863" i="6"/>
  <c r="X862" i="6"/>
  <c r="W862" i="6"/>
  <c r="U862" i="6"/>
  <c r="V862" i="6" s="1"/>
  <c r="U861" i="6"/>
  <c r="V861" i="6" s="1"/>
  <c r="I861" i="6"/>
  <c r="K861" i="6" s="1"/>
  <c r="T59" i="5" s="1"/>
  <c r="U860" i="6"/>
  <c r="U859" i="6"/>
  <c r="X859" i="6" s="1"/>
  <c r="I859" i="6"/>
  <c r="K859" i="6" s="1"/>
  <c r="X858" i="6"/>
  <c r="W858" i="6"/>
  <c r="U858" i="6"/>
  <c r="V858" i="6" s="1"/>
  <c r="I858" i="6"/>
  <c r="K858" i="6" s="1"/>
  <c r="X857" i="6"/>
  <c r="W857" i="6"/>
  <c r="V857" i="6"/>
  <c r="U857" i="6"/>
  <c r="I857" i="6"/>
  <c r="J857" i="6" s="1"/>
  <c r="X856" i="6"/>
  <c r="W856" i="6"/>
  <c r="V856" i="6"/>
  <c r="U856" i="6"/>
  <c r="I856" i="6"/>
  <c r="U855" i="6"/>
  <c r="X855" i="6" s="1"/>
  <c r="X854" i="6"/>
  <c r="U854" i="6"/>
  <c r="I854" i="6"/>
  <c r="U853" i="6"/>
  <c r="X853" i="6" s="1"/>
  <c r="I853" i="6"/>
  <c r="J853" i="6" s="1"/>
  <c r="W852" i="6"/>
  <c r="U852" i="6"/>
  <c r="U851" i="6"/>
  <c r="I851" i="6" s="1"/>
  <c r="W850" i="6"/>
  <c r="U850" i="6"/>
  <c r="I850" i="6"/>
  <c r="U849" i="6"/>
  <c r="X849" i="6" s="1"/>
  <c r="K849" i="6"/>
  <c r="X58" i="5" s="1"/>
  <c r="J849" i="6"/>
  <c r="I849" i="6"/>
  <c r="U848" i="6"/>
  <c r="X847" i="6"/>
  <c r="W847" i="6"/>
  <c r="U847" i="6"/>
  <c r="I847" i="6" s="1"/>
  <c r="J847" i="6" s="1"/>
  <c r="K847" i="6"/>
  <c r="U846" i="6"/>
  <c r="U845" i="6"/>
  <c r="X845" i="6" s="1"/>
  <c r="I845" i="6"/>
  <c r="K845" i="6" s="1"/>
  <c r="T58" i="5" s="1"/>
  <c r="U844" i="6"/>
  <c r="W843" i="6"/>
  <c r="V843" i="6"/>
  <c r="U843" i="6"/>
  <c r="X843" i="6" s="1"/>
  <c r="U842" i="6"/>
  <c r="I842" i="6"/>
  <c r="K842" i="6" s="1"/>
  <c r="U841" i="6"/>
  <c r="V841" i="6" s="1"/>
  <c r="X840" i="6"/>
  <c r="U840" i="6"/>
  <c r="U839" i="6"/>
  <c r="I839" i="6"/>
  <c r="X838" i="6"/>
  <c r="W838" i="6"/>
  <c r="U838" i="6"/>
  <c r="U837" i="6"/>
  <c r="I837" i="6"/>
  <c r="K837" i="6" s="1"/>
  <c r="U836" i="6"/>
  <c r="I836" i="6"/>
  <c r="U835" i="6"/>
  <c r="I835" i="6" s="1"/>
  <c r="W834" i="6"/>
  <c r="U834" i="6"/>
  <c r="J834" i="6"/>
  <c r="I834" i="6"/>
  <c r="K834" i="6" s="1"/>
  <c r="X833" i="6"/>
  <c r="U833" i="6"/>
  <c r="U832" i="6"/>
  <c r="X832" i="6" s="1"/>
  <c r="U831" i="6"/>
  <c r="X830" i="6"/>
  <c r="U830" i="6"/>
  <c r="I830" i="6"/>
  <c r="X829" i="6"/>
  <c r="W829" i="6"/>
  <c r="U829" i="6"/>
  <c r="V829" i="6" s="1"/>
  <c r="I829" i="6"/>
  <c r="J829" i="6" s="1"/>
  <c r="X828" i="6"/>
  <c r="W828" i="6"/>
  <c r="V828" i="6"/>
  <c r="U828" i="6"/>
  <c r="K828" i="6"/>
  <c r="S57" i="5" s="1"/>
  <c r="J828" i="6"/>
  <c r="I828" i="6"/>
  <c r="U827" i="6"/>
  <c r="V827" i="6" s="1"/>
  <c r="X826" i="6"/>
  <c r="W826" i="6"/>
  <c r="U826" i="6"/>
  <c r="V826" i="6" s="1"/>
  <c r="J826" i="6"/>
  <c r="I826" i="6"/>
  <c r="K826" i="6" s="1"/>
  <c r="W825" i="6"/>
  <c r="V825" i="6"/>
  <c r="U825" i="6"/>
  <c r="X825" i="6" s="1"/>
  <c r="I825" i="6"/>
  <c r="J825" i="6" s="1"/>
  <c r="U824" i="6"/>
  <c r="I824" i="6"/>
  <c r="K824" i="6" s="1"/>
  <c r="O57" i="5" s="1"/>
  <c r="W823" i="6"/>
  <c r="U823" i="6"/>
  <c r="X822" i="6"/>
  <c r="W822" i="6"/>
  <c r="U822" i="6"/>
  <c r="V822" i="6" s="1"/>
  <c r="I822" i="6"/>
  <c r="K822" i="6" s="1"/>
  <c r="M57" i="5" s="1"/>
  <c r="U821" i="6"/>
  <c r="U820" i="6"/>
  <c r="I820" i="6" s="1"/>
  <c r="U819" i="6"/>
  <c r="U818" i="6"/>
  <c r="I818" i="6"/>
  <c r="K818" i="6" s="1"/>
  <c r="Y56" i="5" s="1"/>
  <c r="U817" i="6"/>
  <c r="U816" i="6"/>
  <c r="V816" i="6" s="1"/>
  <c r="V815" i="6"/>
  <c r="U815" i="6"/>
  <c r="W815" i="6" s="1"/>
  <c r="U814" i="6"/>
  <c r="X813" i="6"/>
  <c r="V813" i="6"/>
  <c r="U813" i="6"/>
  <c r="I813" i="6" s="1"/>
  <c r="J813" i="6" s="1"/>
  <c r="X812" i="6"/>
  <c r="W812" i="6"/>
  <c r="V812" i="6"/>
  <c r="U812" i="6"/>
  <c r="I812" i="6"/>
  <c r="K812" i="6" s="1"/>
  <c r="U811" i="6"/>
  <c r="I811" i="6"/>
  <c r="K811" i="6" s="1"/>
  <c r="R56" i="5" s="1"/>
  <c r="U810" i="6"/>
  <c r="U809" i="6"/>
  <c r="V809" i="6" s="1"/>
  <c r="V808" i="6"/>
  <c r="U808" i="6"/>
  <c r="W808" i="6" s="1"/>
  <c r="I808" i="6"/>
  <c r="U807" i="6"/>
  <c r="U806" i="6"/>
  <c r="W806" i="6" s="1"/>
  <c r="I806" i="6"/>
  <c r="K806" i="6" s="1"/>
  <c r="M56" i="5" s="1"/>
  <c r="W805" i="6"/>
  <c r="V805" i="6"/>
  <c r="U805" i="6"/>
  <c r="X805" i="6" s="1"/>
  <c r="I805" i="6"/>
  <c r="U804" i="6"/>
  <c r="U803" i="6"/>
  <c r="U802" i="6"/>
  <c r="U801" i="6"/>
  <c r="V801" i="6" s="1"/>
  <c r="I801" i="6"/>
  <c r="K801" i="6" s="1"/>
  <c r="X800" i="6"/>
  <c r="W800" i="6"/>
  <c r="V800" i="6"/>
  <c r="U800" i="6"/>
  <c r="I800" i="6"/>
  <c r="J800" i="6" s="1"/>
  <c r="X799" i="6"/>
  <c r="U799" i="6"/>
  <c r="I799" i="6" s="1"/>
  <c r="J799" i="6" s="1"/>
  <c r="K799" i="6"/>
  <c r="X798" i="6"/>
  <c r="W798" i="6"/>
  <c r="U798" i="6"/>
  <c r="V798" i="6" s="1"/>
  <c r="J798" i="6"/>
  <c r="I798" i="6"/>
  <c r="K798" i="6" s="1"/>
  <c r="U797" i="6"/>
  <c r="V797" i="6" s="1"/>
  <c r="I797" i="6"/>
  <c r="J797" i="6" s="1"/>
  <c r="U796" i="6"/>
  <c r="X795" i="6"/>
  <c r="W795" i="6"/>
  <c r="V795" i="6"/>
  <c r="U795" i="6"/>
  <c r="I795" i="6"/>
  <c r="K795" i="6" s="1"/>
  <c r="R55" i="5" s="1"/>
  <c r="U794" i="6"/>
  <c r="V794" i="6" s="1"/>
  <c r="I794" i="6"/>
  <c r="K794" i="6" s="1"/>
  <c r="W793" i="6"/>
  <c r="V793" i="6"/>
  <c r="U793" i="6"/>
  <c r="X792" i="6"/>
  <c r="W792" i="6"/>
  <c r="U792" i="6"/>
  <c r="V792" i="6" s="1"/>
  <c r="I792" i="6"/>
  <c r="J792" i="6" s="1"/>
  <c r="X791" i="6"/>
  <c r="W791" i="6"/>
  <c r="V791" i="6"/>
  <c r="U791" i="6"/>
  <c r="I791" i="6" s="1"/>
  <c r="W790" i="6"/>
  <c r="U790" i="6"/>
  <c r="I790" i="6"/>
  <c r="X789" i="6"/>
  <c r="W789" i="6"/>
  <c r="V789" i="6"/>
  <c r="U789" i="6"/>
  <c r="K789" i="6"/>
  <c r="I789" i="6"/>
  <c r="J789" i="6" s="1"/>
  <c r="X788" i="6"/>
  <c r="U788" i="6"/>
  <c r="I788" i="6" s="1"/>
  <c r="U787" i="6"/>
  <c r="X787" i="6" s="1"/>
  <c r="I787" i="6"/>
  <c r="K787" i="6" s="1"/>
  <c r="Z54" i="5" s="1"/>
  <c r="W786" i="6"/>
  <c r="U786" i="6"/>
  <c r="U785" i="6"/>
  <c r="I785" i="6" s="1"/>
  <c r="U784" i="6"/>
  <c r="W784" i="6" s="1"/>
  <c r="U783" i="6"/>
  <c r="I783" i="6"/>
  <c r="K783" i="6" s="1"/>
  <c r="U782" i="6"/>
  <c r="I782" i="6"/>
  <c r="X781" i="6"/>
  <c r="W781" i="6"/>
  <c r="U781" i="6"/>
  <c r="V781" i="6" s="1"/>
  <c r="J781" i="6"/>
  <c r="I781" i="6"/>
  <c r="K781" i="6" s="1"/>
  <c r="W780" i="6"/>
  <c r="U780" i="6"/>
  <c r="K780" i="6"/>
  <c r="I780" i="6"/>
  <c r="J780" i="6" s="1"/>
  <c r="U779" i="6"/>
  <c r="X779" i="6" s="1"/>
  <c r="U778" i="6"/>
  <c r="X777" i="6"/>
  <c r="W777" i="6"/>
  <c r="U777" i="6"/>
  <c r="V777" i="6" s="1"/>
  <c r="K777" i="6"/>
  <c r="I777" i="6"/>
  <c r="J777" i="6" s="1"/>
  <c r="V776" i="6"/>
  <c r="U776" i="6"/>
  <c r="U775" i="6"/>
  <c r="W775" i="6" s="1"/>
  <c r="U774" i="6"/>
  <c r="W773" i="6"/>
  <c r="V773" i="6"/>
  <c r="U773" i="6"/>
  <c r="X773" i="6" s="1"/>
  <c r="I773" i="6"/>
  <c r="J773" i="6" s="1"/>
  <c r="U772" i="6"/>
  <c r="V772" i="6" s="1"/>
  <c r="I772" i="6"/>
  <c r="K772" i="6" s="1"/>
  <c r="AA53" i="5" s="1"/>
  <c r="U771" i="6"/>
  <c r="X771" i="6" s="1"/>
  <c r="X770" i="6"/>
  <c r="U770" i="6"/>
  <c r="J770" i="6"/>
  <c r="I770" i="6"/>
  <c r="K770" i="6" s="1"/>
  <c r="Y53" i="5" s="1"/>
  <c r="U769" i="6"/>
  <c r="I769" i="6"/>
  <c r="J769" i="6" s="1"/>
  <c r="U768" i="6"/>
  <c r="U767" i="6"/>
  <c r="X766" i="6"/>
  <c r="W766" i="6"/>
  <c r="U766" i="6"/>
  <c r="X765" i="6"/>
  <c r="W765" i="6"/>
  <c r="V765" i="6"/>
  <c r="U765" i="6"/>
  <c r="K765" i="6"/>
  <c r="J765" i="6"/>
  <c r="I765" i="6"/>
  <c r="U764" i="6"/>
  <c r="U763" i="6"/>
  <c r="U762" i="6"/>
  <c r="U761" i="6"/>
  <c r="I761" i="6"/>
  <c r="V760" i="6"/>
  <c r="U760" i="6"/>
  <c r="I760" i="6"/>
  <c r="K760" i="6" s="1"/>
  <c r="U759" i="6"/>
  <c r="U758" i="6"/>
  <c r="X758" i="6" s="1"/>
  <c r="X757" i="6"/>
  <c r="W757" i="6"/>
  <c r="U757" i="6"/>
  <c r="I757" i="6" s="1"/>
  <c r="J757" i="6" s="1"/>
  <c r="K757" i="6"/>
  <c r="AB52" i="5" s="1"/>
  <c r="V756" i="6"/>
  <c r="U756" i="6"/>
  <c r="W756" i="6" s="1"/>
  <c r="I756" i="6"/>
  <c r="K756" i="6" s="1"/>
  <c r="AA52" i="5" s="1"/>
  <c r="V755" i="6"/>
  <c r="U755" i="6"/>
  <c r="X755" i="6" s="1"/>
  <c r="I755" i="6"/>
  <c r="W754" i="6"/>
  <c r="U754" i="6"/>
  <c r="I754" i="6"/>
  <c r="X753" i="6"/>
  <c r="W753" i="6"/>
  <c r="V753" i="6"/>
  <c r="U753" i="6"/>
  <c r="I753" i="6"/>
  <c r="X752" i="6"/>
  <c r="W752" i="6"/>
  <c r="V752" i="6"/>
  <c r="U752" i="6"/>
  <c r="I752" i="6" s="1"/>
  <c r="X751" i="6"/>
  <c r="W751" i="6"/>
  <c r="V751" i="6"/>
  <c r="U751" i="6"/>
  <c r="J751" i="6"/>
  <c r="I751" i="6"/>
  <c r="K751" i="6" s="1"/>
  <c r="W750" i="6"/>
  <c r="U750" i="6"/>
  <c r="V750" i="6" s="1"/>
  <c r="I750" i="6"/>
  <c r="W749" i="6"/>
  <c r="V749" i="6"/>
  <c r="U749" i="6"/>
  <c r="X749" i="6" s="1"/>
  <c r="I749" i="6"/>
  <c r="K749" i="6" s="1"/>
  <c r="T52" i="5" s="1"/>
  <c r="U748" i="6"/>
  <c r="V747" i="6"/>
  <c r="U747" i="6"/>
  <c r="U746" i="6"/>
  <c r="U745" i="6"/>
  <c r="W745" i="6" s="1"/>
  <c r="I745" i="6"/>
  <c r="J745" i="6" s="1"/>
  <c r="U744" i="6"/>
  <c r="U743" i="6"/>
  <c r="X742" i="6"/>
  <c r="U742" i="6"/>
  <c r="V742" i="6" s="1"/>
  <c r="I742" i="6"/>
  <c r="W741" i="6"/>
  <c r="V741" i="6"/>
  <c r="U741" i="6"/>
  <c r="U740" i="6"/>
  <c r="U739" i="6"/>
  <c r="I739" i="6" s="1"/>
  <c r="U738" i="6"/>
  <c r="I738" i="6"/>
  <c r="U737" i="6"/>
  <c r="U736" i="6"/>
  <c r="U735" i="6"/>
  <c r="V735" i="6" s="1"/>
  <c r="U734" i="6"/>
  <c r="X734" i="6" s="1"/>
  <c r="X733" i="6"/>
  <c r="W733" i="6"/>
  <c r="V733" i="6"/>
  <c r="U733" i="6"/>
  <c r="I733" i="6"/>
  <c r="W732" i="6"/>
  <c r="V732" i="6"/>
  <c r="U732" i="6"/>
  <c r="X732" i="6" s="1"/>
  <c r="J732" i="6"/>
  <c r="I732" i="6"/>
  <c r="K732" i="6" s="1"/>
  <c r="U731" i="6"/>
  <c r="X731" i="6" s="1"/>
  <c r="W730" i="6"/>
  <c r="U730" i="6"/>
  <c r="I730" i="6"/>
  <c r="U729" i="6"/>
  <c r="X729" i="6" s="1"/>
  <c r="U728" i="6"/>
  <c r="V728" i="6" s="1"/>
  <c r="U727" i="6"/>
  <c r="I727" i="6"/>
  <c r="U726" i="6"/>
  <c r="X725" i="6"/>
  <c r="W725" i="6"/>
  <c r="U725" i="6"/>
  <c r="V725" i="6" s="1"/>
  <c r="I725" i="6"/>
  <c r="K725" i="6" s="1"/>
  <c r="V724" i="6"/>
  <c r="U724" i="6"/>
  <c r="U723" i="6"/>
  <c r="I723" i="6" s="1"/>
  <c r="U722" i="6"/>
  <c r="I722" i="6"/>
  <c r="U721" i="6"/>
  <c r="I721" i="6" s="1"/>
  <c r="J721" i="6" s="1"/>
  <c r="K721" i="6"/>
  <c r="V720" i="6"/>
  <c r="U720" i="6"/>
  <c r="I720" i="6"/>
  <c r="J720" i="6" s="1"/>
  <c r="U719" i="6"/>
  <c r="U718" i="6"/>
  <c r="I718" i="6"/>
  <c r="K718" i="6" s="1"/>
  <c r="U50" i="5" s="1"/>
  <c r="X717" i="6"/>
  <c r="U717" i="6"/>
  <c r="V717" i="6" s="1"/>
  <c r="I717" i="6"/>
  <c r="U716" i="6"/>
  <c r="U715" i="6"/>
  <c r="U714" i="6"/>
  <c r="I714" i="6"/>
  <c r="U713" i="6"/>
  <c r="X712" i="6"/>
  <c r="V712" i="6"/>
  <c r="U712" i="6"/>
  <c r="W712" i="6" s="1"/>
  <c r="J712" i="6"/>
  <c r="I712" i="6"/>
  <c r="K712" i="6" s="1"/>
  <c r="O50" i="5" s="1"/>
  <c r="U711" i="6"/>
  <c r="X710" i="6"/>
  <c r="U710" i="6"/>
  <c r="V710" i="6" s="1"/>
  <c r="I710" i="6"/>
  <c r="K710" i="6" s="1"/>
  <c r="M50" i="5" s="1"/>
  <c r="V709" i="6"/>
  <c r="U709" i="6"/>
  <c r="I709" i="6" s="1"/>
  <c r="U708" i="6"/>
  <c r="U707" i="6"/>
  <c r="W707" i="6" s="1"/>
  <c r="I707" i="6"/>
  <c r="K707" i="6" s="1"/>
  <c r="U706" i="6"/>
  <c r="V706" i="6" s="1"/>
  <c r="U705" i="6"/>
  <c r="I705" i="6"/>
  <c r="K705" i="6" s="1"/>
  <c r="X49" i="5" s="1"/>
  <c r="U704" i="6"/>
  <c r="U703" i="6"/>
  <c r="X702" i="6"/>
  <c r="W702" i="6"/>
  <c r="U702" i="6"/>
  <c r="V702" i="6" s="1"/>
  <c r="X701" i="6"/>
  <c r="W701" i="6"/>
  <c r="V701" i="6"/>
  <c r="U701" i="6"/>
  <c r="K701" i="6"/>
  <c r="T49" i="5" s="1"/>
  <c r="J701" i="6"/>
  <c r="I701" i="6"/>
  <c r="W700" i="6"/>
  <c r="U700" i="6"/>
  <c r="V700" i="6" s="1"/>
  <c r="I700" i="6"/>
  <c r="K700" i="6" s="1"/>
  <c r="U699" i="6"/>
  <c r="V699" i="6" s="1"/>
  <c r="I699" i="6"/>
  <c r="K699" i="6" s="1"/>
  <c r="U698" i="6"/>
  <c r="I698" i="6"/>
  <c r="W697" i="6"/>
  <c r="U697" i="6"/>
  <c r="X697" i="6" s="1"/>
  <c r="I697" i="6"/>
  <c r="K697" i="6" s="1"/>
  <c r="P49" i="5" s="1"/>
  <c r="U696" i="6"/>
  <c r="U695" i="6"/>
  <c r="W694" i="6"/>
  <c r="U694" i="6"/>
  <c r="I694" i="6"/>
  <c r="U693" i="6"/>
  <c r="V693" i="6" s="1"/>
  <c r="U692" i="6"/>
  <c r="U691" i="6"/>
  <c r="U690" i="6"/>
  <c r="I690" i="6"/>
  <c r="K690" i="6" s="1"/>
  <c r="Y48" i="5" s="1"/>
  <c r="U689" i="6"/>
  <c r="I689" i="6"/>
  <c r="U688" i="6"/>
  <c r="U687" i="6"/>
  <c r="X687" i="6" s="1"/>
  <c r="I687" i="6"/>
  <c r="K687" i="6" s="1"/>
  <c r="V48" i="5" s="1"/>
  <c r="X686" i="6"/>
  <c r="W686" i="6"/>
  <c r="U686" i="6"/>
  <c r="X685" i="6"/>
  <c r="W685" i="6"/>
  <c r="V685" i="6"/>
  <c r="U685" i="6"/>
  <c r="K685" i="6"/>
  <c r="J685" i="6"/>
  <c r="I685" i="6"/>
  <c r="U684" i="6"/>
  <c r="I684" i="6" s="1"/>
  <c r="X683" i="6"/>
  <c r="V683" i="6"/>
  <c r="U683" i="6"/>
  <c r="W683" i="6" s="1"/>
  <c r="I683" i="6"/>
  <c r="K683" i="6" s="1"/>
  <c r="X682" i="6"/>
  <c r="U682" i="6"/>
  <c r="V682" i="6" s="1"/>
  <c r="I682" i="6"/>
  <c r="U681" i="6"/>
  <c r="I681" i="6" s="1"/>
  <c r="K681" i="6"/>
  <c r="P48" i="5" s="1"/>
  <c r="J681" i="6"/>
  <c r="U680" i="6"/>
  <c r="X679" i="6"/>
  <c r="V679" i="6"/>
  <c r="U679" i="6"/>
  <c r="W678" i="6"/>
  <c r="U678" i="6"/>
  <c r="V678" i="6" s="1"/>
  <c r="I678" i="6"/>
  <c r="K678" i="6" s="1"/>
  <c r="M48" i="5" s="1"/>
  <c r="U677" i="6"/>
  <c r="W676" i="6"/>
  <c r="U676" i="6"/>
  <c r="U675" i="6"/>
  <c r="I675" i="6"/>
  <c r="K675" i="6" s="1"/>
  <c r="Z47" i="5" s="1"/>
  <c r="X674" i="6"/>
  <c r="U674" i="6"/>
  <c r="V674" i="6" s="1"/>
  <c r="I674" i="6"/>
  <c r="K674" i="6" s="1"/>
  <c r="W673" i="6"/>
  <c r="V673" i="6"/>
  <c r="U673" i="6"/>
  <c r="X673" i="6" s="1"/>
  <c r="K673" i="6"/>
  <c r="J673" i="6"/>
  <c r="I673" i="6"/>
  <c r="X672" i="6"/>
  <c r="U672" i="6"/>
  <c r="X671" i="6"/>
  <c r="W671" i="6"/>
  <c r="V671" i="6"/>
  <c r="U671" i="6"/>
  <c r="I671" i="6"/>
  <c r="K671" i="6" s="1"/>
  <c r="V47" i="5" s="1"/>
  <c r="X670" i="6"/>
  <c r="W670" i="6"/>
  <c r="U670" i="6"/>
  <c r="V669" i="6"/>
  <c r="U669" i="6"/>
  <c r="I669" i="6"/>
  <c r="K669" i="6" s="1"/>
  <c r="T47" i="5" s="1"/>
  <c r="X668" i="6"/>
  <c r="V668" i="6"/>
  <c r="U668" i="6"/>
  <c r="W668" i="6" s="1"/>
  <c r="I668" i="6"/>
  <c r="U667" i="6"/>
  <c r="X666" i="6"/>
  <c r="U666" i="6"/>
  <c r="I666" i="6"/>
  <c r="K666" i="6" s="1"/>
  <c r="Q47" i="5" s="1"/>
  <c r="X665" i="6"/>
  <c r="U665" i="6"/>
  <c r="U664" i="6"/>
  <c r="I664" i="6" s="1"/>
  <c r="X663" i="6"/>
  <c r="W663" i="6"/>
  <c r="V663" i="6"/>
  <c r="U663" i="6"/>
  <c r="I663" i="6" s="1"/>
  <c r="U662" i="6"/>
  <c r="U661" i="6"/>
  <c r="U660" i="6"/>
  <c r="U659" i="6"/>
  <c r="V659" i="6" s="1"/>
  <c r="X658" i="6"/>
  <c r="W658" i="6"/>
  <c r="U658" i="6"/>
  <c r="X657" i="6"/>
  <c r="W657" i="6"/>
  <c r="V657" i="6"/>
  <c r="U657" i="6"/>
  <c r="I657" i="6" s="1"/>
  <c r="K657" i="6"/>
  <c r="J657" i="6"/>
  <c r="U656" i="6"/>
  <c r="I656" i="6" s="1"/>
  <c r="J656" i="6" s="1"/>
  <c r="K656" i="6"/>
  <c r="W46" i="5" s="1"/>
  <c r="X655" i="6"/>
  <c r="W655" i="6"/>
  <c r="U655" i="6"/>
  <c r="U654" i="6"/>
  <c r="U653" i="6"/>
  <c r="U652" i="6"/>
  <c r="X652" i="6" s="1"/>
  <c r="I652" i="6"/>
  <c r="K652" i="6" s="1"/>
  <c r="S46" i="5" s="1"/>
  <c r="U651" i="6"/>
  <c r="V651" i="6" s="1"/>
  <c r="U650" i="6"/>
  <c r="X649" i="6"/>
  <c r="W649" i="6"/>
  <c r="U649" i="6"/>
  <c r="U648" i="6"/>
  <c r="V648" i="6" s="1"/>
  <c r="U647" i="6"/>
  <c r="U646" i="6"/>
  <c r="V646" i="6" s="1"/>
  <c r="I646" i="6"/>
  <c r="K646" i="6" s="1"/>
  <c r="U645" i="6"/>
  <c r="I645" i="6"/>
  <c r="K645" i="6" s="1"/>
  <c r="AB45" i="5" s="1"/>
  <c r="U644" i="6"/>
  <c r="I644" i="6"/>
  <c r="U643" i="6"/>
  <c r="I643" i="6" s="1"/>
  <c r="U642" i="6"/>
  <c r="X642" i="6" s="1"/>
  <c r="U641" i="6"/>
  <c r="V641" i="6" s="1"/>
  <c r="J641" i="6"/>
  <c r="I641" i="6"/>
  <c r="K641" i="6" s="1"/>
  <c r="X45" i="5" s="1"/>
  <c r="U640" i="6"/>
  <c r="X640" i="6" s="1"/>
  <c r="U639" i="6"/>
  <c r="V639" i="6" s="1"/>
  <c r="I639" i="6"/>
  <c r="U638" i="6"/>
  <c r="W638" i="6" s="1"/>
  <c r="I638" i="6"/>
  <c r="U637" i="6"/>
  <c r="X637" i="6" s="1"/>
  <c r="I637" i="6"/>
  <c r="J637" i="6" s="1"/>
  <c r="V636" i="6"/>
  <c r="U636" i="6"/>
  <c r="U635" i="6"/>
  <c r="I635" i="6" s="1"/>
  <c r="K635" i="6" s="1"/>
  <c r="R45" i="5" s="1"/>
  <c r="U634" i="6"/>
  <c r="U633" i="6"/>
  <c r="U632" i="6"/>
  <c r="I632" i="6" s="1"/>
  <c r="X631" i="6"/>
  <c r="U631" i="6"/>
  <c r="W630" i="6"/>
  <c r="U630" i="6"/>
  <c r="V630" i="6" s="1"/>
  <c r="I630" i="6"/>
  <c r="K630" i="6" s="1"/>
  <c r="M45" i="5" s="1"/>
  <c r="U629" i="6"/>
  <c r="U628" i="6"/>
  <c r="U627" i="6"/>
  <c r="X626" i="6"/>
  <c r="W626" i="6"/>
  <c r="U626" i="6"/>
  <c r="V626" i="6" s="1"/>
  <c r="I626" i="6"/>
  <c r="K626" i="6" s="1"/>
  <c r="U625" i="6"/>
  <c r="U624" i="6"/>
  <c r="I624" i="6"/>
  <c r="W623" i="6"/>
  <c r="U623" i="6"/>
  <c r="X622" i="6"/>
  <c r="W622" i="6"/>
  <c r="U622" i="6"/>
  <c r="V622" i="6" s="1"/>
  <c r="I622" i="6"/>
  <c r="K622" i="6" s="1"/>
  <c r="U621" i="6"/>
  <c r="U620" i="6"/>
  <c r="X619" i="6"/>
  <c r="W619" i="6"/>
  <c r="V619" i="6"/>
  <c r="U619" i="6"/>
  <c r="I619" i="6"/>
  <c r="K619" i="6" s="1"/>
  <c r="W618" i="6"/>
  <c r="U618" i="6"/>
  <c r="X617" i="6"/>
  <c r="W617" i="6"/>
  <c r="V617" i="6"/>
  <c r="U617" i="6"/>
  <c r="I617" i="6"/>
  <c r="J617" i="6" s="1"/>
  <c r="U616" i="6"/>
  <c r="W616" i="6" s="1"/>
  <c r="I616" i="6"/>
  <c r="X615" i="6"/>
  <c r="U615" i="6"/>
  <c r="V615" i="6" s="1"/>
  <c r="I615" i="6"/>
  <c r="W614" i="6"/>
  <c r="U614" i="6"/>
  <c r="I614" i="6"/>
  <c r="X613" i="6"/>
  <c r="W613" i="6"/>
  <c r="U613" i="6"/>
  <c r="I613" i="6" s="1"/>
  <c r="J613" i="6" s="1"/>
  <c r="K613" i="6"/>
  <c r="AB43" i="5" s="1"/>
  <c r="U612" i="6"/>
  <c r="I612" i="6"/>
  <c r="K612" i="6" s="1"/>
  <c r="AA43" i="5" s="1"/>
  <c r="U611" i="6"/>
  <c r="I611" i="6" s="1"/>
  <c r="X610" i="6"/>
  <c r="U610" i="6"/>
  <c r="X609" i="6"/>
  <c r="V609" i="6"/>
  <c r="U609" i="6"/>
  <c r="W609" i="6" s="1"/>
  <c r="I609" i="6"/>
  <c r="U608" i="6"/>
  <c r="U607" i="6"/>
  <c r="U606" i="6"/>
  <c r="W606" i="6" s="1"/>
  <c r="X605" i="6"/>
  <c r="V605" i="6"/>
  <c r="U605" i="6"/>
  <c r="U604" i="6"/>
  <c r="W603" i="6"/>
  <c r="U603" i="6"/>
  <c r="X603" i="6" s="1"/>
  <c r="I603" i="6"/>
  <c r="K603" i="6" s="1"/>
  <c r="U602" i="6"/>
  <c r="U601" i="6"/>
  <c r="I601" i="6"/>
  <c r="J601" i="6" s="1"/>
  <c r="X600" i="6"/>
  <c r="V600" i="6"/>
  <c r="U600" i="6"/>
  <c r="I600" i="6" s="1"/>
  <c r="U599" i="6"/>
  <c r="W599" i="6" s="1"/>
  <c r="X598" i="6"/>
  <c r="U598" i="6"/>
  <c r="X597" i="6"/>
  <c r="W597" i="6"/>
  <c r="V597" i="6"/>
  <c r="U597" i="6"/>
  <c r="I597" i="6"/>
  <c r="K597" i="6" s="1"/>
  <c r="U596" i="6"/>
  <c r="V596" i="6" s="1"/>
  <c r="X595" i="6"/>
  <c r="U595" i="6"/>
  <c r="X594" i="6"/>
  <c r="U594" i="6"/>
  <c r="I594" i="6"/>
  <c r="U593" i="6"/>
  <c r="W593" i="6" s="1"/>
  <c r="U592" i="6"/>
  <c r="X592" i="6" s="1"/>
  <c r="I592" i="6"/>
  <c r="K592" i="6" s="1"/>
  <c r="W42" i="5" s="1"/>
  <c r="U591" i="6"/>
  <c r="V591" i="6" s="1"/>
  <c r="X590" i="6"/>
  <c r="W590" i="6"/>
  <c r="U590" i="6"/>
  <c r="V590" i="6" s="1"/>
  <c r="U589" i="6"/>
  <c r="W589" i="6" s="1"/>
  <c r="W588" i="6"/>
  <c r="V588" i="6"/>
  <c r="U588" i="6"/>
  <c r="U587" i="6"/>
  <c r="X587" i="6" s="1"/>
  <c r="I587" i="6"/>
  <c r="X586" i="6"/>
  <c r="U586" i="6"/>
  <c r="V586" i="6" s="1"/>
  <c r="I586" i="6"/>
  <c r="W585" i="6"/>
  <c r="V585" i="6"/>
  <c r="U585" i="6"/>
  <c r="X585" i="6" s="1"/>
  <c r="U584" i="6"/>
  <c r="I584" i="6"/>
  <c r="X583" i="6"/>
  <c r="U583" i="6"/>
  <c r="X582" i="6"/>
  <c r="W582" i="6"/>
  <c r="U582" i="6"/>
  <c r="V582" i="6" s="1"/>
  <c r="I582" i="6"/>
  <c r="U581" i="6"/>
  <c r="V581" i="6" s="1"/>
  <c r="I581" i="6"/>
  <c r="K581" i="6" s="1"/>
  <c r="AB41" i="5" s="1"/>
  <c r="U580" i="6"/>
  <c r="I580" i="6"/>
  <c r="U579" i="6"/>
  <c r="X578" i="6"/>
  <c r="W578" i="6"/>
  <c r="U578" i="6"/>
  <c r="V578" i="6" s="1"/>
  <c r="I578" i="6"/>
  <c r="X577" i="6"/>
  <c r="W577" i="6"/>
  <c r="V577" i="6"/>
  <c r="U577" i="6"/>
  <c r="I577" i="6" s="1"/>
  <c r="U576" i="6"/>
  <c r="I576" i="6" s="1"/>
  <c r="X575" i="6"/>
  <c r="U575" i="6"/>
  <c r="U574" i="6"/>
  <c r="I574" i="6"/>
  <c r="K574" i="6" s="1"/>
  <c r="U41" i="5" s="1"/>
  <c r="W573" i="6"/>
  <c r="V573" i="6"/>
  <c r="U573" i="6"/>
  <c r="X573" i="6" s="1"/>
  <c r="K573" i="6"/>
  <c r="I573" i="6"/>
  <c r="J573" i="6" s="1"/>
  <c r="U572" i="6"/>
  <c r="W572" i="6" s="1"/>
  <c r="I572" i="6"/>
  <c r="K572" i="6" s="1"/>
  <c r="S41" i="5" s="1"/>
  <c r="X571" i="6"/>
  <c r="U571" i="6"/>
  <c r="I571" i="6"/>
  <c r="K571" i="6" s="1"/>
  <c r="R41" i="5" s="1"/>
  <c r="U570" i="6"/>
  <c r="X570" i="6" s="1"/>
  <c r="X569" i="6"/>
  <c r="W569" i="6"/>
  <c r="V569" i="6"/>
  <c r="U569" i="6"/>
  <c r="I569" i="6" s="1"/>
  <c r="K569" i="6"/>
  <c r="J569" i="6"/>
  <c r="X568" i="6"/>
  <c r="U568" i="6"/>
  <c r="I568" i="6" s="1"/>
  <c r="U567" i="6"/>
  <c r="U566" i="6"/>
  <c r="I566" i="6" s="1"/>
  <c r="U565" i="6"/>
  <c r="U564" i="6"/>
  <c r="X564" i="6" s="1"/>
  <c r="I564" i="6"/>
  <c r="U563" i="6"/>
  <c r="I563" i="6"/>
  <c r="K563" i="6" s="1"/>
  <c r="Z40" i="5" s="1"/>
  <c r="U562" i="6"/>
  <c r="X561" i="6"/>
  <c r="W561" i="6"/>
  <c r="V561" i="6"/>
  <c r="U561" i="6"/>
  <c r="I561" i="6"/>
  <c r="J561" i="6" s="1"/>
  <c r="U560" i="6"/>
  <c r="I560" i="6" s="1"/>
  <c r="U559" i="6"/>
  <c r="V559" i="6" s="1"/>
  <c r="U558" i="6"/>
  <c r="I558" i="6"/>
  <c r="U557" i="6"/>
  <c r="X557" i="6" s="1"/>
  <c r="U556" i="6"/>
  <c r="X556" i="6" s="1"/>
  <c r="I556" i="6"/>
  <c r="J556" i="6" s="1"/>
  <c r="V555" i="6"/>
  <c r="U555" i="6"/>
  <c r="U554" i="6"/>
  <c r="I554" i="6"/>
  <c r="W553" i="6"/>
  <c r="U553" i="6"/>
  <c r="U552" i="6"/>
  <c r="X552" i="6" s="1"/>
  <c r="U551" i="6"/>
  <c r="X550" i="6"/>
  <c r="U550" i="6"/>
  <c r="U549" i="6"/>
  <c r="I549" i="6"/>
  <c r="J549" i="6" s="1"/>
  <c r="U548" i="6"/>
  <c r="U547" i="6"/>
  <c r="I547" i="6" s="1"/>
  <c r="X546" i="6"/>
  <c r="W546" i="6"/>
  <c r="U546" i="6"/>
  <c r="V546" i="6" s="1"/>
  <c r="X545" i="6"/>
  <c r="W545" i="6"/>
  <c r="V545" i="6"/>
  <c r="U545" i="6"/>
  <c r="J545" i="6"/>
  <c r="I545" i="6"/>
  <c r="K545" i="6" s="1"/>
  <c r="U544" i="6"/>
  <c r="I544" i="6" s="1"/>
  <c r="U543" i="6"/>
  <c r="V543" i="6" s="1"/>
  <c r="I543" i="6"/>
  <c r="J543" i="6" s="1"/>
  <c r="U542" i="6"/>
  <c r="I542" i="6"/>
  <c r="K542" i="6" s="1"/>
  <c r="U39" i="5" s="1"/>
  <c r="X541" i="6"/>
  <c r="U541" i="6"/>
  <c r="W541" i="6" s="1"/>
  <c r="I541" i="6"/>
  <c r="U540" i="6"/>
  <c r="V540" i="6" s="1"/>
  <c r="U539" i="6"/>
  <c r="V539" i="6" s="1"/>
  <c r="U538" i="6"/>
  <c r="I538" i="6" s="1"/>
  <c r="U537" i="6"/>
  <c r="V537" i="6" s="1"/>
  <c r="X536" i="6"/>
  <c r="V536" i="6"/>
  <c r="U536" i="6"/>
  <c r="W536" i="6" s="1"/>
  <c r="U535" i="6"/>
  <c r="X534" i="6"/>
  <c r="W534" i="6"/>
  <c r="U534" i="6"/>
  <c r="V534" i="6" s="1"/>
  <c r="I534" i="6"/>
  <c r="K534" i="6" s="1"/>
  <c r="M39" i="5" s="1"/>
  <c r="X533" i="6"/>
  <c r="W533" i="6"/>
  <c r="V533" i="6"/>
  <c r="U533" i="6"/>
  <c r="K533" i="6"/>
  <c r="AB38" i="5" s="1"/>
  <c r="J533" i="6"/>
  <c r="I533" i="6"/>
  <c r="W532" i="6"/>
  <c r="U532" i="6"/>
  <c r="I532" i="6"/>
  <c r="J532" i="6" s="1"/>
  <c r="U531" i="6"/>
  <c r="I531" i="6" s="1"/>
  <c r="K531" i="6"/>
  <c r="J531" i="6"/>
  <c r="X530" i="6"/>
  <c r="W530" i="6"/>
  <c r="U530" i="6"/>
  <c r="V530" i="6" s="1"/>
  <c r="I530" i="6"/>
  <c r="U529" i="6"/>
  <c r="I529" i="6"/>
  <c r="U528" i="6"/>
  <c r="W528" i="6" s="1"/>
  <c r="U527" i="6"/>
  <c r="U526" i="6"/>
  <c r="X525" i="6"/>
  <c r="V525" i="6"/>
  <c r="U525" i="6"/>
  <c r="W525" i="6" s="1"/>
  <c r="U524" i="6"/>
  <c r="I524" i="6" s="1"/>
  <c r="U523" i="6"/>
  <c r="X522" i="6"/>
  <c r="W522" i="6"/>
  <c r="U522" i="6"/>
  <c r="V522" i="6" s="1"/>
  <c r="I522" i="6"/>
  <c r="U521" i="6"/>
  <c r="W521" i="6" s="1"/>
  <c r="I521" i="6"/>
  <c r="U520" i="6"/>
  <c r="I520" i="6" s="1"/>
  <c r="J520" i="6" s="1"/>
  <c r="U519" i="6"/>
  <c r="X518" i="6"/>
  <c r="W518" i="6"/>
  <c r="U518" i="6"/>
  <c r="V518" i="6" s="1"/>
  <c r="U517" i="6"/>
  <c r="J517" i="6"/>
  <c r="I517" i="6"/>
  <c r="K517" i="6" s="1"/>
  <c r="AB37" i="5" s="1"/>
  <c r="U516" i="6"/>
  <c r="X515" i="6"/>
  <c r="W515" i="6"/>
  <c r="V515" i="6"/>
  <c r="U515" i="6"/>
  <c r="I515" i="6" s="1"/>
  <c r="U514" i="6"/>
  <c r="I514" i="6"/>
  <c r="K514" i="6" s="1"/>
  <c r="Y37" i="5" s="1"/>
  <c r="U513" i="6"/>
  <c r="U512" i="6"/>
  <c r="I512" i="6"/>
  <c r="K512" i="6" s="1"/>
  <c r="W37" i="5" s="1"/>
  <c r="X511" i="6"/>
  <c r="W511" i="6"/>
  <c r="V511" i="6"/>
  <c r="U511" i="6"/>
  <c r="I511" i="6" s="1"/>
  <c r="K511" i="6" s="1"/>
  <c r="J511" i="6"/>
  <c r="W510" i="6"/>
  <c r="U510" i="6"/>
  <c r="V510" i="6" s="1"/>
  <c r="I510" i="6"/>
  <c r="U509" i="6"/>
  <c r="I509" i="6" s="1"/>
  <c r="U508" i="6"/>
  <c r="U507" i="6"/>
  <c r="U506" i="6"/>
  <c r="V506" i="6" s="1"/>
  <c r="I506" i="6"/>
  <c r="X505" i="6"/>
  <c r="W505" i="6"/>
  <c r="V505" i="6"/>
  <c r="U505" i="6"/>
  <c r="I505" i="6"/>
  <c r="X504" i="6"/>
  <c r="V504" i="6"/>
  <c r="U504" i="6"/>
  <c r="W504" i="6" s="1"/>
  <c r="J504" i="6"/>
  <c r="I504" i="6"/>
  <c r="K504" i="6" s="1"/>
  <c r="O37" i="5" s="1"/>
  <c r="U503" i="6"/>
  <c r="X503" i="6" s="1"/>
  <c r="X502" i="6"/>
  <c r="W502" i="6"/>
  <c r="U502" i="6"/>
  <c r="V502" i="6" s="1"/>
  <c r="I502" i="6"/>
  <c r="U501" i="6"/>
  <c r="V501" i="6" s="1"/>
  <c r="I501" i="6"/>
  <c r="J501" i="6" s="1"/>
  <c r="U500" i="6"/>
  <c r="X500" i="6" s="1"/>
  <c r="U499" i="6"/>
  <c r="X499" i="6" s="1"/>
  <c r="I499" i="6"/>
  <c r="U498" i="6"/>
  <c r="V498" i="6" s="1"/>
  <c r="I498" i="6"/>
  <c r="K498" i="6" s="1"/>
  <c r="Y36" i="5" s="1"/>
  <c r="X497" i="6"/>
  <c r="V497" i="6"/>
  <c r="U497" i="6"/>
  <c r="I497" i="6" s="1"/>
  <c r="J497" i="6" s="1"/>
  <c r="K497" i="6"/>
  <c r="X36" i="5" s="1"/>
  <c r="V496" i="6"/>
  <c r="U496" i="6"/>
  <c r="W496" i="6" s="1"/>
  <c r="U495" i="6"/>
  <c r="V495" i="6" s="1"/>
  <c r="U494" i="6"/>
  <c r="V494" i="6" s="1"/>
  <c r="I494" i="6"/>
  <c r="X493" i="6"/>
  <c r="W493" i="6"/>
  <c r="U493" i="6"/>
  <c r="V493" i="6" s="1"/>
  <c r="I493" i="6"/>
  <c r="J493" i="6" s="1"/>
  <c r="U492" i="6"/>
  <c r="W492" i="6" s="1"/>
  <c r="U491" i="6"/>
  <c r="I491" i="6" s="1"/>
  <c r="K491" i="6" s="1"/>
  <c r="X490" i="6"/>
  <c r="W490" i="6"/>
  <c r="U490" i="6"/>
  <c r="U489" i="6"/>
  <c r="U488" i="6"/>
  <c r="W488" i="6" s="1"/>
  <c r="I488" i="6"/>
  <c r="U487" i="6"/>
  <c r="X486" i="6"/>
  <c r="W486" i="6"/>
  <c r="U486" i="6"/>
  <c r="V486" i="6" s="1"/>
  <c r="I486" i="6"/>
  <c r="U485" i="6"/>
  <c r="X485" i="6" s="1"/>
  <c r="I485" i="6"/>
  <c r="J485" i="6" s="1"/>
  <c r="U484" i="6"/>
  <c r="U483" i="6"/>
  <c r="V483" i="6" s="1"/>
  <c r="W482" i="6"/>
  <c r="U482" i="6"/>
  <c r="U481" i="6"/>
  <c r="I481" i="6"/>
  <c r="K481" i="6" s="1"/>
  <c r="X35" i="5" s="1"/>
  <c r="U480" i="6"/>
  <c r="I480" i="6"/>
  <c r="K480" i="6" s="1"/>
  <c r="W35" i="5" s="1"/>
  <c r="U479" i="6"/>
  <c r="U478" i="6"/>
  <c r="I478" i="6"/>
  <c r="K478" i="6" s="1"/>
  <c r="U35" i="5" s="1"/>
  <c r="W477" i="6"/>
  <c r="V477" i="6"/>
  <c r="U477" i="6"/>
  <c r="X477" i="6" s="1"/>
  <c r="I477" i="6"/>
  <c r="K477" i="6" s="1"/>
  <c r="T35" i="5" s="1"/>
  <c r="X476" i="6"/>
  <c r="W476" i="6"/>
  <c r="V476" i="6"/>
  <c r="U476" i="6"/>
  <c r="I476" i="6" s="1"/>
  <c r="U475" i="6"/>
  <c r="W474" i="6"/>
  <c r="U474" i="6"/>
  <c r="V474" i="6" s="1"/>
  <c r="I474" i="6"/>
  <c r="U473" i="6"/>
  <c r="V473" i="6" s="1"/>
  <c r="I473" i="6"/>
  <c r="U472" i="6"/>
  <c r="X472" i="6" s="1"/>
  <c r="U471" i="6"/>
  <c r="U470" i="6"/>
  <c r="I470" i="6"/>
  <c r="U469" i="6"/>
  <c r="I469" i="6" s="1"/>
  <c r="J469" i="6" s="1"/>
  <c r="K469" i="6"/>
  <c r="AB34" i="5" s="1"/>
  <c r="U468" i="6"/>
  <c r="X468" i="6" s="1"/>
  <c r="I468" i="6"/>
  <c r="J468" i="6" s="1"/>
  <c r="W467" i="6"/>
  <c r="U467" i="6"/>
  <c r="X467" i="6" s="1"/>
  <c r="J467" i="6"/>
  <c r="I467" i="6"/>
  <c r="K467" i="6" s="1"/>
  <c r="X466" i="6"/>
  <c r="W466" i="6"/>
  <c r="U466" i="6"/>
  <c r="V466" i="6" s="1"/>
  <c r="I466" i="6"/>
  <c r="K466" i="6" s="1"/>
  <c r="V465" i="6"/>
  <c r="U465" i="6"/>
  <c r="I465" i="6"/>
  <c r="X464" i="6"/>
  <c r="W464" i="6"/>
  <c r="V464" i="6"/>
  <c r="U464" i="6"/>
  <c r="I464" i="6"/>
  <c r="W463" i="6"/>
  <c r="U463" i="6"/>
  <c r="X462" i="6"/>
  <c r="W462" i="6"/>
  <c r="U462" i="6"/>
  <c r="V462" i="6" s="1"/>
  <c r="I462" i="6"/>
  <c r="K462" i="6" s="1"/>
  <c r="U34" i="5" s="1"/>
  <c r="X461" i="6"/>
  <c r="V461" i="6"/>
  <c r="U461" i="6"/>
  <c r="W461" i="6" s="1"/>
  <c r="I461" i="6"/>
  <c r="V460" i="6"/>
  <c r="U460" i="6"/>
  <c r="I460" i="6"/>
  <c r="U459" i="6"/>
  <c r="W459" i="6" s="1"/>
  <c r="W458" i="6"/>
  <c r="U458" i="6"/>
  <c r="I458" i="6"/>
  <c r="X457" i="6"/>
  <c r="W457" i="6"/>
  <c r="V457" i="6"/>
  <c r="U457" i="6"/>
  <c r="I457" i="6" s="1"/>
  <c r="J457" i="6" s="1"/>
  <c r="K457" i="6"/>
  <c r="W456" i="6"/>
  <c r="V456" i="6"/>
  <c r="U456" i="6"/>
  <c r="X456" i="6" s="1"/>
  <c r="U455" i="6"/>
  <c r="U454" i="6"/>
  <c r="X453" i="6"/>
  <c r="W453" i="6"/>
  <c r="V453" i="6"/>
  <c r="U453" i="6"/>
  <c r="I453" i="6"/>
  <c r="J453" i="6" s="1"/>
  <c r="X452" i="6"/>
  <c r="U452" i="6"/>
  <c r="W452" i="6" s="1"/>
  <c r="U451" i="6"/>
  <c r="I451" i="6"/>
  <c r="U450" i="6"/>
  <c r="W450" i="6" s="1"/>
  <c r="U449" i="6"/>
  <c r="I449" i="6"/>
  <c r="J449" i="6" s="1"/>
  <c r="X448" i="6"/>
  <c r="U448" i="6"/>
  <c r="V448" i="6" s="1"/>
  <c r="X447" i="6"/>
  <c r="W447" i="6"/>
  <c r="V447" i="6"/>
  <c r="U447" i="6"/>
  <c r="I447" i="6" s="1"/>
  <c r="U446" i="6"/>
  <c r="I446" i="6"/>
  <c r="X445" i="6"/>
  <c r="W445" i="6"/>
  <c r="U445" i="6"/>
  <c r="I445" i="6" s="1"/>
  <c r="J445" i="6" s="1"/>
  <c r="K445" i="6"/>
  <c r="U444" i="6"/>
  <c r="U443" i="6"/>
  <c r="W442" i="6"/>
  <c r="U442" i="6"/>
  <c r="I442" i="6"/>
  <c r="U441" i="6"/>
  <c r="I441" i="6"/>
  <c r="K441" i="6" s="1"/>
  <c r="V440" i="6"/>
  <c r="U440" i="6"/>
  <c r="I440" i="6"/>
  <c r="U439" i="6"/>
  <c r="V439" i="6" s="1"/>
  <c r="X438" i="6"/>
  <c r="W438" i="6"/>
  <c r="U438" i="6"/>
  <c r="V438" i="6" s="1"/>
  <c r="I438" i="6"/>
  <c r="K438" i="6" s="1"/>
  <c r="M33" i="5" s="1"/>
  <c r="X437" i="6"/>
  <c r="U437" i="6"/>
  <c r="V437" i="6" s="1"/>
  <c r="I437" i="6"/>
  <c r="K437" i="6" s="1"/>
  <c r="AB32" i="5" s="1"/>
  <c r="W436" i="6"/>
  <c r="V436" i="6"/>
  <c r="U436" i="6"/>
  <c r="U435" i="6"/>
  <c r="X435" i="6" s="1"/>
  <c r="I435" i="6"/>
  <c r="K435" i="6" s="1"/>
  <c r="Z32" i="5" s="1"/>
  <c r="U434" i="6"/>
  <c r="I434" i="6"/>
  <c r="X433" i="6"/>
  <c r="U433" i="6"/>
  <c r="W433" i="6" s="1"/>
  <c r="I433" i="6"/>
  <c r="U432" i="6"/>
  <c r="U431" i="6"/>
  <c r="U430" i="6"/>
  <c r="V430" i="6" s="1"/>
  <c r="I430" i="6"/>
  <c r="K430" i="6" s="1"/>
  <c r="U32" i="5" s="1"/>
  <c r="U429" i="6"/>
  <c r="U428" i="6"/>
  <c r="U427" i="6"/>
  <c r="U426" i="6"/>
  <c r="V426" i="6" s="1"/>
  <c r="I426" i="6"/>
  <c r="K426" i="6" s="1"/>
  <c r="Q32" i="5" s="1"/>
  <c r="W425" i="6"/>
  <c r="V425" i="6"/>
  <c r="U425" i="6"/>
  <c r="X425" i="6" s="1"/>
  <c r="U424" i="6"/>
  <c r="V424" i="6" s="1"/>
  <c r="U423" i="6"/>
  <c r="U422" i="6"/>
  <c r="U421" i="6"/>
  <c r="I421" i="6"/>
  <c r="U420" i="6"/>
  <c r="X420" i="6" s="1"/>
  <c r="U419" i="6"/>
  <c r="I419" i="6"/>
  <c r="X418" i="6"/>
  <c r="W418" i="6"/>
  <c r="U418" i="6"/>
  <c r="V418" i="6" s="1"/>
  <c r="X417" i="6"/>
  <c r="W417" i="6"/>
  <c r="V417" i="6"/>
  <c r="U417" i="6"/>
  <c r="I417" i="6"/>
  <c r="K417" i="6" s="1"/>
  <c r="U416" i="6"/>
  <c r="U415" i="6"/>
  <c r="X415" i="6" s="1"/>
  <c r="I415" i="6"/>
  <c r="X414" i="6"/>
  <c r="W414" i="6"/>
  <c r="U414" i="6"/>
  <c r="V414" i="6" s="1"/>
  <c r="I414" i="6"/>
  <c r="U413" i="6"/>
  <c r="W413" i="6" s="1"/>
  <c r="I413" i="6"/>
  <c r="K413" i="6" s="1"/>
  <c r="T31" i="5" s="1"/>
  <c r="X412" i="6"/>
  <c r="W412" i="6"/>
  <c r="V412" i="6"/>
  <c r="U412" i="6"/>
  <c r="I412" i="6" s="1"/>
  <c r="K412" i="6"/>
  <c r="J412" i="6"/>
  <c r="U411" i="6"/>
  <c r="X410" i="6"/>
  <c r="W410" i="6"/>
  <c r="U410" i="6"/>
  <c r="V410" i="6" s="1"/>
  <c r="W409" i="6"/>
  <c r="U409" i="6"/>
  <c r="K409" i="6"/>
  <c r="P31" i="5" s="1"/>
  <c r="I409" i="6"/>
  <c r="J409" i="6" s="1"/>
  <c r="U408" i="6"/>
  <c r="U407" i="6"/>
  <c r="V407" i="6" s="1"/>
  <c r="I407" i="6"/>
  <c r="U406" i="6"/>
  <c r="I406" i="6"/>
  <c r="K406" i="6" s="1"/>
  <c r="M31" i="5" s="1"/>
  <c r="U405" i="6"/>
  <c r="W405" i="6" s="1"/>
  <c r="U404" i="6"/>
  <c r="I404" i="6" s="1"/>
  <c r="U403" i="6"/>
  <c r="X403" i="6" s="1"/>
  <c r="X402" i="6"/>
  <c r="W402" i="6"/>
  <c r="U402" i="6"/>
  <c r="V402" i="6" s="1"/>
  <c r="I402" i="6"/>
  <c r="U401" i="6"/>
  <c r="W400" i="6"/>
  <c r="U400" i="6"/>
  <c r="X400" i="6" s="1"/>
  <c r="U399" i="6"/>
  <c r="X398" i="6"/>
  <c r="W398" i="6"/>
  <c r="U398" i="6"/>
  <c r="V398" i="6" s="1"/>
  <c r="I398" i="6"/>
  <c r="U397" i="6"/>
  <c r="I397" i="6"/>
  <c r="J397" i="6" s="1"/>
  <c r="U396" i="6"/>
  <c r="X396" i="6" s="1"/>
  <c r="X395" i="6"/>
  <c r="U395" i="6"/>
  <c r="I395" i="6" s="1"/>
  <c r="K395" i="6"/>
  <c r="R30" i="5" s="1"/>
  <c r="J395" i="6"/>
  <c r="U394" i="6"/>
  <c r="W393" i="6"/>
  <c r="V393" i="6"/>
  <c r="U393" i="6"/>
  <c r="X393" i="6" s="1"/>
  <c r="K393" i="6"/>
  <c r="J393" i="6"/>
  <c r="I393" i="6"/>
  <c r="V392" i="6"/>
  <c r="U392" i="6"/>
  <c r="W392" i="6" s="1"/>
  <c r="I392" i="6"/>
  <c r="U391" i="6"/>
  <c r="V391" i="6" s="1"/>
  <c r="X390" i="6"/>
  <c r="W390" i="6"/>
  <c r="U390" i="6"/>
  <c r="V390" i="6" s="1"/>
  <c r="I390" i="6"/>
  <c r="U389" i="6"/>
  <c r="U388" i="6"/>
  <c r="U387" i="6"/>
  <c r="W386" i="6"/>
  <c r="U386" i="6"/>
  <c r="V386" i="6" s="1"/>
  <c r="I386" i="6"/>
  <c r="X385" i="6"/>
  <c r="W385" i="6"/>
  <c r="U385" i="6"/>
  <c r="V385" i="6" s="1"/>
  <c r="I385" i="6"/>
  <c r="U384" i="6"/>
  <c r="U383" i="6"/>
  <c r="I383" i="6"/>
  <c r="X382" i="6"/>
  <c r="W382" i="6"/>
  <c r="U382" i="6"/>
  <c r="X381" i="6"/>
  <c r="W381" i="6"/>
  <c r="U381" i="6"/>
  <c r="V381" i="6" s="1"/>
  <c r="I381" i="6"/>
  <c r="K381" i="6" s="1"/>
  <c r="U380" i="6"/>
  <c r="U379" i="6"/>
  <c r="X379" i="6" s="1"/>
  <c r="I379" i="6"/>
  <c r="U378" i="6"/>
  <c r="U377" i="6"/>
  <c r="U376" i="6"/>
  <c r="U375" i="6"/>
  <c r="X374" i="6"/>
  <c r="W374" i="6"/>
  <c r="U374" i="6"/>
  <c r="V374" i="6" s="1"/>
  <c r="I374" i="6"/>
  <c r="K374" i="6" s="1"/>
  <c r="X373" i="6"/>
  <c r="W373" i="6"/>
  <c r="V373" i="6"/>
  <c r="U373" i="6"/>
  <c r="K373" i="6"/>
  <c r="J373" i="6"/>
  <c r="I373" i="6"/>
  <c r="U372" i="6"/>
  <c r="U371" i="6"/>
  <c r="I371" i="6"/>
  <c r="K371" i="6" s="1"/>
  <c r="Z28" i="5" s="1"/>
  <c r="U370" i="6"/>
  <c r="V370" i="6" s="1"/>
  <c r="I370" i="6"/>
  <c r="K370" i="6" s="1"/>
  <c r="Y28" i="5" s="1"/>
  <c r="X369" i="6"/>
  <c r="W369" i="6"/>
  <c r="V369" i="6"/>
  <c r="U369" i="6"/>
  <c r="I369" i="6"/>
  <c r="K369" i="6" s="1"/>
  <c r="X28" i="5" s="1"/>
  <c r="AP28" i="5" s="1"/>
  <c r="X368" i="6"/>
  <c r="U368" i="6"/>
  <c r="W368" i="6" s="1"/>
  <c r="U367" i="6"/>
  <c r="X366" i="6"/>
  <c r="W366" i="6"/>
  <c r="U366" i="6"/>
  <c r="V366" i="6" s="1"/>
  <c r="I366" i="6"/>
  <c r="K366" i="6" s="1"/>
  <c r="X365" i="6"/>
  <c r="W365" i="6"/>
  <c r="V365" i="6"/>
  <c r="U365" i="6"/>
  <c r="K365" i="6"/>
  <c r="T28" i="5" s="1"/>
  <c r="J365" i="6"/>
  <c r="I365" i="6"/>
  <c r="X364" i="6"/>
  <c r="U364" i="6"/>
  <c r="W364" i="6" s="1"/>
  <c r="I364" i="6"/>
  <c r="J364" i="6" s="1"/>
  <c r="U363" i="6"/>
  <c r="V363" i="6" s="1"/>
  <c r="I363" i="6"/>
  <c r="K363" i="6" s="1"/>
  <c r="R28" i="5" s="1"/>
  <c r="U362" i="6"/>
  <c r="I362" i="6"/>
  <c r="K362" i="6" s="1"/>
  <c r="Q28" i="5" s="1"/>
  <c r="X361" i="6"/>
  <c r="W361" i="6"/>
  <c r="U361" i="6"/>
  <c r="V361" i="6" s="1"/>
  <c r="W360" i="6"/>
  <c r="U360" i="6"/>
  <c r="U359" i="6"/>
  <c r="I359" i="6"/>
  <c r="K359" i="6" s="1"/>
  <c r="U358" i="6"/>
  <c r="X358" i="6" s="1"/>
  <c r="I358" i="6"/>
  <c r="U357" i="6"/>
  <c r="I357" i="6"/>
  <c r="K357" i="6" s="1"/>
  <c r="AB27" i="5" s="1"/>
  <c r="U356" i="6"/>
  <c r="U355" i="6"/>
  <c r="U354" i="6"/>
  <c r="I354" i="6"/>
  <c r="X353" i="6"/>
  <c r="U353" i="6"/>
  <c r="W353" i="6" s="1"/>
  <c r="I353" i="6"/>
  <c r="X352" i="6"/>
  <c r="W352" i="6"/>
  <c r="U352" i="6"/>
  <c r="V352" i="6" s="1"/>
  <c r="I352" i="6"/>
  <c r="U351" i="6"/>
  <c r="I351" i="6"/>
  <c r="W350" i="6"/>
  <c r="U350" i="6"/>
  <c r="I350" i="6"/>
  <c r="K350" i="6" s="1"/>
  <c r="X349" i="6"/>
  <c r="V349" i="6"/>
  <c r="U349" i="6"/>
  <c r="W349" i="6" s="1"/>
  <c r="I349" i="6"/>
  <c r="K349" i="6" s="1"/>
  <c r="T27" i="5" s="1"/>
  <c r="U348" i="6"/>
  <c r="U347" i="6"/>
  <c r="U346" i="6"/>
  <c r="W346" i="6" s="1"/>
  <c r="I346" i="6"/>
  <c r="K346" i="6" s="1"/>
  <c r="Q27" i="5" s="1"/>
  <c r="X345" i="6"/>
  <c r="W345" i="6"/>
  <c r="U345" i="6"/>
  <c r="W344" i="6"/>
  <c r="V344" i="6"/>
  <c r="U344" i="6"/>
  <c r="X344" i="6" s="1"/>
  <c r="I344" i="6"/>
  <c r="K344" i="6" s="1"/>
  <c r="U343" i="6"/>
  <c r="X342" i="6"/>
  <c r="W342" i="6"/>
  <c r="U342" i="6"/>
  <c r="X341" i="6"/>
  <c r="W341" i="6"/>
  <c r="V341" i="6"/>
  <c r="U341" i="6"/>
  <c r="I341" i="6"/>
  <c r="K341" i="6" s="1"/>
  <c r="AB26" i="5" s="1"/>
  <c r="X340" i="6"/>
  <c r="U340" i="6"/>
  <c r="W340" i="6" s="1"/>
  <c r="I340" i="6"/>
  <c r="K340" i="6" s="1"/>
  <c r="AA26" i="5" s="1"/>
  <c r="U339" i="6"/>
  <c r="U338" i="6"/>
  <c r="W338" i="6" s="1"/>
  <c r="X337" i="6"/>
  <c r="W337" i="6"/>
  <c r="V337" i="6"/>
  <c r="U337" i="6"/>
  <c r="I337" i="6" s="1"/>
  <c r="J337" i="6" s="1"/>
  <c r="K337" i="6"/>
  <c r="X26" i="5" s="1"/>
  <c r="V336" i="6"/>
  <c r="U336" i="6"/>
  <c r="U335" i="6"/>
  <c r="I335" i="6"/>
  <c r="J335" i="6" s="1"/>
  <c r="W334" i="6"/>
  <c r="U334" i="6"/>
  <c r="X333" i="6"/>
  <c r="W333" i="6"/>
  <c r="U333" i="6"/>
  <c r="V333" i="6" s="1"/>
  <c r="I333" i="6"/>
  <c r="K333" i="6" s="1"/>
  <c r="T26" i="5" s="1"/>
  <c r="X332" i="6"/>
  <c r="W332" i="6"/>
  <c r="V332" i="6"/>
  <c r="U332" i="6"/>
  <c r="I332" i="6"/>
  <c r="J332" i="6" s="1"/>
  <c r="U331" i="6"/>
  <c r="U330" i="6"/>
  <c r="U329" i="6"/>
  <c r="U328" i="6"/>
  <c r="U327" i="6"/>
  <c r="V327" i="6" s="1"/>
  <c r="I327" i="6"/>
  <c r="U326" i="6"/>
  <c r="W325" i="6"/>
  <c r="V325" i="6"/>
  <c r="U325" i="6"/>
  <c r="X325" i="6" s="1"/>
  <c r="I325" i="6"/>
  <c r="K325" i="6" s="1"/>
  <c r="U324" i="6"/>
  <c r="U323" i="6"/>
  <c r="I323" i="6" s="1"/>
  <c r="X322" i="6"/>
  <c r="W322" i="6"/>
  <c r="U322" i="6"/>
  <c r="V322" i="6" s="1"/>
  <c r="U321" i="6"/>
  <c r="X320" i="6"/>
  <c r="W320" i="6"/>
  <c r="U320" i="6"/>
  <c r="V320" i="6" s="1"/>
  <c r="I320" i="6"/>
  <c r="U319" i="6"/>
  <c r="U318" i="6"/>
  <c r="I318" i="6"/>
  <c r="K318" i="6" s="1"/>
  <c r="U25" i="5" s="1"/>
  <c r="U317" i="6"/>
  <c r="W317" i="6" s="1"/>
  <c r="U316" i="6"/>
  <c r="I316" i="6" s="1"/>
  <c r="K316" i="6" s="1"/>
  <c r="S25" i="5" s="1"/>
  <c r="U315" i="6"/>
  <c r="U314" i="6"/>
  <c r="V313" i="6"/>
  <c r="U313" i="6"/>
  <c r="W313" i="6" s="1"/>
  <c r="I313" i="6"/>
  <c r="U312" i="6"/>
  <c r="V312" i="6" s="1"/>
  <c r="U311" i="6"/>
  <c r="U310" i="6"/>
  <c r="I310" i="6" s="1"/>
  <c r="K310" i="6" s="1"/>
  <c r="M25" i="5" s="1"/>
  <c r="X309" i="6"/>
  <c r="W309" i="6"/>
  <c r="U309" i="6"/>
  <c r="U308" i="6"/>
  <c r="X308" i="6" s="1"/>
  <c r="I308" i="6"/>
  <c r="K308" i="6" s="1"/>
  <c r="AA24" i="5" s="1"/>
  <c r="U307" i="6"/>
  <c r="X306" i="6"/>
  <c r="W306" i="6"/>
  <c r="U306" i="6"/>
  <c r="V306" i="6" s="1"/>
  <c r="I306" i="6"/>
  <c r="X305" i="6"/>
  <c r="V305" i="6"/>
  <c r="U305" i="6"/>
  <c r="W305" i="6" s="1"/>
  <c r="I305" i="6"/>
  <c r="K305" i="6" s="1"/>
  <c r="X24" i="5" s="1"/>
  <c r="U304" i="6"/>
  <c r="I304" i="6" s="1"/>
  <c r="U303" i="6"/>
  <c r="X302" i="6"/>
  <c r="U302" i="6"/>
  <c r="V302" i="6" s="1"/>
  <c r="I302" i="6"/>
  <c r="U301" i="6"/>
  <c r="V301" i="6" s="1"/>
  <c r="I301" i="6"/>
  <c r="K301" i="6" s="1"/>
  <c r="T24" i="5" s="1"/>
  <c r="W300" i="6"/>
  <c r="U300" i="6"/>
  <c r="I300" i="6"/>
  <c r="U299" i="6"/>
  <c r="X299" i="6" s="1"/>
  <c r="I299" i="6"/>
  <c r="K299" i="6" s="1"/>
  <c r="X298" i="6"/>
  <c r="U298" i="6"/>
  <c r="V298" i="6" s="1"/>
  <c r="I298" i="6"/>
  <c r="K298" i="6" s="1"/>
  <c r="X297" i="6"/>
  <c r="W297" i="6"/>
  <c r="V297" i="6"/>
  <c r="U297" i="6"/>
  <c r="I297" i="6"/>
  <c r="U296" i="6"/>
  <c r="V296" i="6" s="1"/>
  <c r="I296" i="6"/>
  <c r="U295" i="6"/>
  <c r="W295" i="6" s="1"/>
  <c r="I295" i="6"/>
  <c r="U294" i="6"/>
  <c r="W294" i="6" s="1"/>
  <c r="U293" i="6"/>
  <c r="X293" i="6" s="1"/>
  <c r="I293" i="6"/>
  <c r="K293" i="6" s="1"/>
  <c r="AB23" i="5" s="1"/>
  <c r="U292" i="6"/>
  <c r="X291" i="6"/>
  <c r="W291" i="6"/>
  <c r="U291" i="6"/>
  <c r="I291" i="6" s="1"/>
  <c r="K291" i="6" s="1"/>
  <c r="X290" i="6"/>
  <c r="W290" i="6"/>
  <c r="U290" i="6"/>
  <c r="V290" i="6" s="1"/>
  <c r="I290" i="6"/>
  <c r="U289" i="6"/>
  <c r="I289" i="6"/>
  <c r="K289" i="6" s="1"/>
  <c r="U288" i="6"/>
  <c r="X287" i="6"/>
  <c r="U287" i="6"/>
  <c r="I287" i="6" s="1"/>
  <c r="J287" i="6" s="1"/>
  <c r="K287" i="6"/>
  <c r="V23" i="5" s="1"/>
  <c r="X286" i="6"/>
  <c r="W286" i="6"/>
  <c r="U286" i="6"/>
  <c r="V286" i="6" s="1"/>
  <c r="I286" i="6"/>
  <c r="K286" i="6" s="1"/>
  <c r="U23" i="5" s="1"/>
  <c r="U285" i="6"/>
  <c r="X285" i="6" s="1"/>
  <c r="I285" i="6"/>
  <c r="J285" i="6" s="1"/>
  <c r="U284" i="6"/>
  <c r="V284" i="6" s="1"/>
  <c r="U283" i="6"/>
  <c r="I283" i="6" s="1"/>
  <c r="J283" i="6" s="1"/>
  <c r="X282" i="6"/>
  <c r="U282" i="6"/>
  <c r="V282" i="6" s="1"/>
  <c r="I282" i="6"/>
  <c r="X281" i="6"/>
  <c r="V281" i="6"/>
  <c r="U281" i="6"/>
  <c r="W281" i="6" s="1"/>
  <c r="I281" i="6"/>
  <c r="U280" i="6"/>
  <c r="X280" i="6" s="1"/>
  <c r="U279" i="6"/>
  <c r="U278" i="6"/>
  <c r="U277" i="6"/>
  <c r="X277" i="6" s="1"/>
  <c r="I277" i="6"/>
  <c r="U276" i="6"/>
  <c r="I276" i="6" s="1"/>
  <c r="U275" i="6"/>
  <c r="I275" i="6"/>
  <c r="X274" i="6"/>
  <c r="W274" i="6"/>
  <c r="U274" i="6"/>
  <c r="X273" i="6"/>
  <c r="U273" i="6"/>
  <c r="I273" i="6"/>
  <c r="U272" i="6"/>
  <c r="I272" i="6" s="1"/>
  <c r="U271" i="6"/>
  <c r="U270" i="6"/>
  <c r="I270" i="6"/>
  <c r="X269" i="6"/>
  <c r="W269" i="6"/>
  <c r="U269" i="6"/>
  <c r="V269" i="6" s="1"/>
  <c r="U268" i="6"/>
  <c r="X268" i="6" s="1"/>
  <c r="U267" i="6"/>
  <c r="I267" i="6"/>
  <c r="K267" i="6" s="1"/>
  <c r="R22" i="5" s="1"/>
  <c r="X266" i="6"/>
  <c r="W266" i="6"/>
  <c r="U266" i="6"/>
  <c r="V266" i="6" s="1"/>
  <c r="I266" i="6"/>
  <c r="W265" i="6"/>
  <c r="U265" i="6"/>
  <c r="X265" i="6" s="1"/>
  <c r="U264" i="6"/>
  <c r="U263" i="6"/>
  <c r="X262" i="6"/>
  <c r="W262" i="6"/>
  <c r="U262" i="6"/>
  <c r="V262" i="6" s="1"/>
  <c r="J262" i="6"/>
  <c r="I262" i="6"/>
  <c r="K262" i="6" s="1"/>
  <c r="U261" i="6"/>
  <c r="I261" i="6"/>
  <c r="K261" i="6" s="1"/>
  <c r="U260" i="6"/>
  <c r="V259" i="6"/>
  <c r="U259" i="6"/>
  <c r="X258" i="6"/>
  <c r="W258" i="6"/>
  <c r="U258" i="6"/>
  <c r="V258" i="6" s="1"/>
  <c r="I258" i="6"/>
  <c r="X257" i="6"/>
  <c r="W257" i="6"/>
  <c r="V257" i="6"/>
  <c r="U257" i="6"/>
  <c r="I257" i="6"/>
  <c r="J257" i="6" s="1"/>
  <c r="U256" i="6"/>
  <c r="X256" i="6" s="1"/>
  <c r="I256" i="6"/>
  <c r="X255" i="6"/>
  <c r="W255" i="6"/>
  <c r="V255" i="6"/>
  <c r="U255" i="6"/>
  <c r="I255" i="6" s="1"/>
  <c r="K255" i="6" s="1"/>
  <c r="J255" i="6"/>
  <c r="X254" i="6"/>
  <c r="W254" i="6"/>
  <c r="U254" i="6"/>
  <c r="V254" i="6" s="1"/>
  <c r="J254" i="6"/>
  <c r="I254" i="6"/>
  <c r="K254" i="6" s="1"/>
  <c r="U253" i="6"/>
  <c r="I253" i="6" s="1"/>
  <c r="J253" i="6" s="1"/>
  <c r="U252" i="6"/>
  <c r="U251" i="6"/>
  <c r="I251" i="6"/>
  <c r="K251" i="6" s="1"/>
  <c r="U250" i="6"/>
  <c r="I250" i="6"/>
  <c r="K250" i="6" s="1"/>
  <c r="Q21" i="5" s="1"/>
  <c r="X249" i="6"/>
  <c r="V249" i="6"/>
  <c r="U249" i="6"/>
  <c r="W249" i="6" s="1"/>
  <c r="I249" i="6"/>
  <c r="U248" i="6"/>
  <c r="X248" i="6" s="1"/>
  <c r="U247" i="6"/>
  <c r="I247" i="6"/>
  <c r="X246" i="6"/>
  <c r="U246" i="6"/>
  <c r="V246" i="6" s="1"/>
  <c r="U245" i="6"/>
  <c r="W244" i="6"/>
  <c r="U244" i="6"/>
  <c r="U243" i="6"/>
  <c r="I243" i="6" s="1"/>
  <c r="U242" i="6"/>
  <c r="I242" i="6"/>
  <c r="U241" i="6"/>
  <c r="V241" i="6" s="1"/>
  <c r="U240" i="6"/>
  <c r="X239" i="6"/>
  <c r="V239" i="6"/>
  <c r="U239" i="6"/>
  <c r="U238" i="6"/>
  <c r="X237" i="6"/>
  <c r="W237" i="6"/>
  <c r="V237" i="6"/>
  <c r="U237" i="6"/>
  <c r="K237" i="6"/>
  <c r="T20" i="5" s="1"/>
  <c r="I237" i="6"/>
  <c r="J237" i="6" s="1"/>
  <c r="U236" i="6"/>
  <c r="X236" i="6" s="1"/>
  <c r="I236" i="6"/>
  <c r="V235" i="6"/>
  <c r="U235" i="6"/>
  <c r="U234" i="6"/>
  <c r="I234" i="6" s="1"/>
  <c r="U233" i="6"/>
  <c r="V233" i="6" s="1"/>
  <c r="I233" i="6"/>
  <c r="K233" i="6" s="1"/>
  <c r="P20" i="5" s="1"/>
  <c r="U232" i="6"/>
  <c r="V231" i="6"/>
  <c r="U231" i="6"/>
  <c r="I231" i="6" s="1"/>
  <c r="X230" i="6"/>
  <c r="W230" i="6"/>
  <c r="U230" i="6"/>
  <c r="V230" i="6" s="1"/>
  <c r="I230" i="6"/>
  <c r="K230" i="6" s="1"/>
  <c r="X229" i="6"/>
  <c r="W229" i="6"/>
  <c r="V229" i="6"/>
  <c r="U229" i="6"/>
  <c r="K229" i="6"/>
  <c r="AB19" i="5" s="1"/>
  <c r="J229" i="6"/>
  <c r="I229" i="6"/>
  <c r="U228" i="6"/>
  <c r="U227" i="6"/>
  <c r="W227" i="6" s="1"/>
  <c r="I227" i="6"/>
  <c r="K227" i="6" s="1"/>
  <c r="Z19" i="5" s="1"/>
  <c r="U226" i="6"/>
  <c r="X225" i="6"/>
  <c r="V225" i="6"/>
  <c r="U225" i="6"/>
  <c r="W225" i="6" s="1"/>
  <c r="I225" i="6"/>
  <c r="K225" i="6" s="1"/>
  <c r="X19" i="5" s="1"/>
  <c r="U224" i="6"/>
  <c r="U223" i="6"/>
  <c r="W223" i="6" s="1"/>
  <c r="X222" i="6"/>
  <c r="W222" i="6"/>
  <c r="U222" i="6"/>
  <c r="V222" i="6" s="1"/>
  <c r="I222" i="6"/>
  <c r="K222" i="6" s="1"/>
  <c r="X221" i="6"/>
  <c r="W221" i="6"/>
  <c r="V221" i="6"/>
  <c r="U221" i="6"/>
  <c r="I221" i="6" s="1"/>
  <c r="J221" i="6" s="1"/>
  <c r="U220" i="6"/>
  <c r="I220" i="6"/>
  <c r="J220" i="6" s="1"/>
  <c r="U219" i="6"/>
  <c r="W218" i="6"/>
  <c r="U218" i="6"/>
  <c r="U217" i="6"/>
  <c r="V217" i="6" s="1"/>
  <c r="I217" i="6"/>
  <c r="K217" i="6" s="1"/>
  <c r="P19" i="5" s="1"/>
  <c r="U216" i="6"/>
  <c r="X216" i="6" s="1"/>
  <c r="U215" i="6"/>
  <c r="I215" i="6"/>
  <c r="J215" i="6" s="1"/>
  <c r="X214" i="6"/>
  <c r="W214" i="6"/>
  <c r="U214" i="6"/>
  <c r="X213" i="6"/>
  <c r="V213" i="6"/>
  <c r="U213" i="6"/>
  <c r="W213" i="6" s="1"/>
  <c r="I213" i="6"/>
  <c r="U212" i="6"/>
  <c r="I212" i="6" s="1"/>
  <c r="J212" i="6" s="1"/>
  <c r="W211" i="6"/>
  <c r="U211" i="6"/>
  <c r="U210" i="6"/>
  <c r="J210" i="6"/>
  <c r="I210" i="6"/>
  <c r="K210" i="6" s="1"/>
  <c r="Y18" i="5" s="1"/>
  <c r="X209" i="6"/>
  <c r="V209" i="6"/>
  <c r="U209" i="6"/>
  <c r="I209" i="6" s="1"/>
  <c r="K209" i="6"/>
  <c r="X18" i="5" s="1"/>
  <c r="J209" i="6"/>
  <c r="U208" i="6"/>
  <c r="U207" i="6"/>
  <c r="U206" i="6"/>
  <c r="U205" i="6"/>
  <c r="I205" i="6"/>
  <c r="K205" i="6" s="1"/>
  <c r="U204" i="6"/>
  <c r="I204" i="6"/>
  <c r="U203" i="6"/>
  <c r="X202" i="6"/>
  <c r="U202" i="6"/>
  <c r="I202" i="6"/>
  <c r="X201" i="6"/>
  <c r="W201" i="6"/>
  <c r="U201" i="6"/>
  <c r="V201" i="6" s="1"/>
  <c r="I201" i="6"/>
  <c r="U200" i="6"/>
  <c r="I200" i="6" s="1"/>
  <c r="J200" i="6" s="1"/>
  <c r="K200" i="6"/>
  <c r="O18" i="5" s="1"/>
  <c r="U199" i="6"/>
  <c r="U198" i="6"/>
  <c r="X197" i="6"/>
  <c r="W197" i="6"/>
  <c r="V197" i="6"/>
  <c r="U197" i="6"/>
  <c r="I197" i="6"/>
  <c r="U196" i="6"/>
  <c r="X196" i="6" s="1"/>
  <c r="I196" i="6"/>
  <c r="K196" i="6" s="1"/>
  <c r="AA17" i="5" s="1"/>
  <c r="U195" i="6"/>
  <c r="U194" i="6"/>
  <c r="V194" i="6" s="1"/>
  <c r="I194" i="6"/>
  <c r="K194" i="6" s="1"/>
  <c r="Y17" i="5" s="1"/>
  <c r="X193" i="6"/>
  <c r="U193" i="6"/>
  <c r="I193" i="6"/>
  <c r="U192" i="6"/>
  <c r="U191" i="6"/>
  <c r="X190" i="6"/>
  <c r="W190" i="6"/>
  <c r="U190" i="6"/>
  <c r="V190" i="6" s="1"/>
  <c r="X189" i="6"/>
  <c r="W189" i="6"/>
  <c r="U189" i="6"/>
  <c r="V189" i="6" s="1"/>
  <c r="I189" i="6"/>
  <c r="X188" i="6"/>
  <c r="U188" i="6"/>
  <c r="I188" i="6" s="1"/>
  <c r="U187" i="6"/>
  <c r="U186" i="6"/>
  <c r="V186" i="6" s="1"/>
  <c r="I186" i="6"/>
  <c r="K186" i="6" s="1"/>
  <c r="U185" i="6"/>
  <c r="I185" i="6"/>
  <c r="K185" i="6" s="1"/>
  <c r="X184" i="6"/>
  <c r="W184" i="6"/>
  <c r="U184" i="6"/>
  <c r="V184" i="6" s="1"/>
  <c r="U183" i="6"/>
  <c r="W183" i="6" s="1"/>
  <c r="U182" i="6"/>
  <c r="I182" i="6" s="1"/>
  <c r="U181" i="6"/>
  <c r="X181" i="6" s="1"/>
  <c r="I181" i="6"/>
  <c r="K181" i="6" s="1"/>
  <c r="AB16" i="5" s="1"/>
  <c r="U180" i="6"/>
  <c r="U179" i="6"/>
  <c r="V179" i="6" s="1"/>
  <c r="I179" i="6"/>
  <c r="J179" i="6" s="1"/>
  <c r="U178" i="6"/>
  <c r="I178" i="6" s="1"/>
  <c r="X177" i="6"/>
  <c r="W177" i="6"/>
  <c r="V177" i="6"/>
  <c r="U177" i="6"/>
  <c r="I177" i="6"/>
  <c r="V176" i="6"/>
  <c r="U176" i="6"/>
  <c r="U175" i="6"/>
  <c r="U174" i="6"/>
  <c r="I174" i="6"/>
  <c r="K174" i="6" s="1"/>
  <c r="U16" i="5" s="1"/>
  <c r="U173" i="6"/>
  <c r="I173" i="6" s="1"/>
  <c r="K173" i="6" s="1"/>
  <c r="T16" i="5" s="1"/>
  <c r="W172" i="6"/>
  <c r="V172" i="6"/>
  <c r="U172" i="6"/>
  <c r="X172" i="6" s="1"/>
  <c r="I172" i="6"/>
  <c r="U171" i="6"/>
  <c r="I171" i="6" s="1"/>
  <c r="U170" i="6"/>
  <c r="I170" i="6"/>
  <c r="X169" i="6"/>
  <c r="W169" i="6"/>
  <c r="V169" i="6"/>
  <c r="U169" i="6"/>
  <c r="I169" i="6" s="1"/>
  <c r="U168" i="6"/>
  <c r="U167" i="6"/>
  <c r="X166" i="6"/>
  <c r="U166" i="6"/>
  <c r="V166" i="6" s="1"/>
  <c r="I166" i="6"/>
  <c r="K166" i="6" s="1"/>
  <c r="U165" i="6"/>
  <c r="V165" i="6" s="1"/>
  <c r="I165" i="6"/>
  <c r="K165" i="6" s="1"/>
  <c r="AB15" i="5" s="1"/>
  <c r="U164" i="6"/>
  <c r="V164" i="6" s="1"/>
  <c r="X163" i="6"/>
  <c r="W163" i="6"/>
  <c r="V163" i="6"/>
  <c r="U163" i="6"/>
  <c r="I163" i="6"/>
  <c r="K163" i="6" s="1"/>
  <c r="U162" i="6"/>
  <c r="V162" i="6" s="1"/>
  <c r="I162" i="6"/>
  <c r="K162" i="6" s="1"/>
  <c r="Y15" i="5" s="1"/>
  <c r="W161" i="6"/>
  <c r="U161" i="6"/>
  <c r="X161" i="6" s="1"/>
  <c r="I161" i="6"/>
  <c r="U160" i="6"/>
  <c r="I160" i="6" s="1"/>
  <c r="X159" i="6"/>
  <c r="V159" i="6"/>
  <c r="U159" i="6"/>
  <c r="I159" i="6" s="1"/>
  <c r="W158" i="6"/>
  <c r="U158" i="6"/>
  <c r="I158" i="6"/>
  <c r="X157" i="6"/>
  <c r="W157" i="6"/>
  <c r="V157" i="6"/>
  <c r="U157" i="6"/>
  <c r="I157" i="6"/>
  <c r="J157" i="6" s="1"/>
  <c r="U156" i="6"/>
  <c r="X156" i="6" s="1"/>
  <c r="U155" i="6"/>
  <c r="X154" i="6"/>
  <c r="W154" i="6"/>
  <c r="U154" i="6"/>
  <c r="V154" i="6" s="1"/>
  <c r="J154" i="6"/>
  <c r="I154" i="6"/>
  <c r="K154" i="6" s="1"/>
  <c r="X153" i="6"/>
  <c r="W153" i="6"/>
  <c r="V153" i="6"/>
  <c r="U153" i="6"/>
  <c r="I153" i="6"/>
  <c r="U152" i="6"/>
  <c r="X152" i="6" s="1"/>
  <c r="X151" i="6"/>
  <c r="W151" i="6"/>
  <c r="V151" i="6"/>
  <c r="U151" i="6"/>
  <c r="I151" i="6"/>
  <c r="K151" i="6" s="1"/>
  <c r="N15" i="5" s="1"/>
  <c r="X150" i="6"/>
  <c r="W150" i="6"/>
  <c r="U150" i="6"/>
  <c r="V150" i="6" s="1"/>
  <c r="I150" i="6"/>
  <c r="K150" i="6" s="1"/>
  <c r="W149" i="6"/>
  <c r="V149" i="6"/>
  <c r="U149" i="6"/>
  <c r="X149" i="6" s="1"/>
  <c r="U148" i="6"/>
  <c r="X147" i="6"/>
  <c r="U147" i="6"/>
  <c r="X146" i="6"/>
  <c r="W146" i="6"/>
  <c r="U146" i="6"/>
  <c r="U145" i="6"/>
  <c r="X145" i="6" s="1"/>
  <c r="I145" i="6"/>
  <c r="K145" i="6" s="1"/>
  <c r="X14" i="5" s="1"/>
  <c r="U144" i="6"/>
  <c r="I144" i="6"/>
  <c r="X143" i="6"/>
  <c r="W143" i="6"/>
  <c r="V143" i="6"/>
  <c r="U143" i="6"/>
  <c r="K143" i="6"/>
  <c r="V14" i="5" s="1"/>
  <c r="J143" i="6"/>
  <c r="I143" i="6"/>
  <c r="W142" i="6"/>
  <c r="U142" i="6"/>
  <c r="V142" i="6" s="1"/>
  <c r="I142" i="6"/>
  <c r="K142" i="6" s="1"/>
  <c r="U14" i="5" s="1"/>
  <c r="U141" i="6"/>
  <c r="U140" i="6"/>
  <c r="U139" i="6"/>
  <c r="U138" i="6"/>
  <c r="I138" i="6"/>
  <c r="U137" i="6"/>
  <c r="U136" i="6"/>
  <c r="U135" i="6"/>
  <c r="X135" i="6" s="1"/>
  <c r="W134" i="6"/>
  <c r="U134" i="6"/>
  <c r="I134" i="6"/>
  <c r="K134" i="6" s="1"/>
  <c r="U133" i="6"/>
  <c r="I133" i="6" s="1"/>
  <c r="X132" i="6"/>
  <c r="W132" i="6"/>
  <c r="V132" i="6"/>
  <c r="U132" i="6"/>
  <c r="I132" i="6"/>
  <c r="K132" i="6" s="1"/>
  <c r="U131" i="6"/>
  <c r="X131" i="6" s="1"/>
  <c r="I131" i="6"/>
  <c r="K131" i="6" s="1"/>
  <c r="X130" i="6"/>
  <c r="W130" i="6"/>
  <c r="U130" i="6"/>
  <c r="V130" i="6" s="1"/>
  <c r="I130" i="6"/>
  <c r="X129" i="6"/>
  <c r="W129" i="6"/>
  <c r="V129" i="6"/>
  <c r="U129" i="6"/>
  <c r="I129" i="6"/>
  <c r="U128" i="6"/>
  <c r="W128" i="6" s="1"/>
  <c r="V127" i="6"/>
  <c r="U127" i="6"/>
  <c r="X127" i="6" s="1"/>
  <c r="K127" i="6"/>
  <c r="J127" i="6"/>
  <c r="I127" i="6"/>
  <c r="U126" i="6"/>
  <c r="I126" i="6"/>
  <c r="U125" i="6"/>
  <c r="I125" i="6" s="1"/>
  <c r="J125" i="6" s="1"/>
  <c r="K125" i="6"/>
  <c r="U124" i="6"/>
  <c r="X124" i="6" s="1"/>
  <c r="U123" i="6"/>
  <c r="V123" i="6" s="1"/>
  <c r="W122" i="6"/>
  <c r="U122" i="6"/>
  <c r="V122" i="6" s="1"/>
  <c r="I122" i="6"/>
  <c r="K122" i="6" s="1"/>
  <c r="U121" i="6"/>
  <c r="V121" i="6" s="1"/>
  <c r="I121" i="6"/>
  <c r="U120" i="6"/>
  <c r="V120" i="6" s="1"/>
  <c r="W119" i="6"/>
  <c r="U119" i="6"/>
  <c r="I119" i="6"/>
  <c r="U118" i="6"/>
  <c r="W118" i="6" s="1"/>
  <c r="I118" i="6"/>
  <c r="X117" i="6"/>
  <c r="W117" i="6"/>
  <c r="V117" i="6"/>
  <c r="U117" i="6"/>
  <c r="I117" i="6"/>
  <c r="K117" i="6" s="1"/>
  <c r="AB12" i="5" s="1"/>
  <c r="U116" i="6"/>
  <c r="I116" i="6" s="1"/>
  <c r="U115" i="6"/>
  <c r="I115" i="6"/>
  <c r="U114" i="6"/>
  <c r="V114" i="6" s="1"/>
  <c r="U113" i="6"/>
  <c r="W113" i="6" s="1"/>
  <c r="I113" i="6"/>
  <c r="U112" i="6"/>
  <c r="X112" i="6" s="1"/>
  <c r="U111" i="6"/>
  <c r="U110" i="6"/>
  <c r="X109" i="6"/>
  <c r="U109" i="6"/>
  <c r="I109" i="6" s="1"/>
  <c r="K109" i="6" s="1"/>
  <c r="T12" i="5" s="1"/>
  <c r="U108" i="6"/>
  <c r="I108" i="6"/>
  <c r="K108" i="6" s="1"/>
  <c r="X107" i="6"/>
  <c r="U107" i="6"/>
  <c r="W107" i="6" s="1"/>
  <c r="U106" i="6"/>
  <c r="X106" i="6" s="1"/>
  <c r="I106" i="6"/>
  <c r="K106" i="6" s="1"/>
  <c r="Q12" i="5" s="1"/>
  <c r="U105" i="6"/>
  <c r="I105" i="6" s="1"/>
  <c r="J105" i="6" s="1"/>
  <c r="U104" i="6"/>
  <c r="U103" i="6"/>
  <c r="U102" i="6"/>
  <c r="V102" i="6" s="1"/>
  <c r="I102" i="6"/>
  <c r="X101" i="6"/>
  <c r="V101" i="6"/>
  <c r="U101" i="6"/>
  <c r="W101" i="6" s="1"/>
  <c r="I101" i="6"/>
  <c r="U100" i="6"/>
  <c r="X100" i="6" s="1"/>
  <c r="I100" i="6"/>
  <c r="K100" i="6" s="1"/>
  <c r="AA11" i="5" s="1"/>
  <c r="X99" i="6"/>
  <c r="U99" i="6"/>
  <c r="W99" i="6" s="1"/>
  <c r="I99" i="6"/>
  <c r="U98" i="6"/>
  <c r="V98" i="6" s="1"/>
  <c r="X97" i="6"/>
  <c r="W97" i="6"/>
  <c r="V97" i="6"/>
  <c r="U97" i="6"/>
  <c r="I97" i="6"/>
  <c r="K97" i="6" s="1"/>
  <c r="X11" i="5" s="1"/>
  <c r="U96" i="6"/>
  <c r="W96" i="6" s="1"/>
  <c r="X95" i="6"/>
  <c r="W95" i="6"/>
  <c r="V95" i="6"/>
  <c r="U95" i="6"/>
  <c r="I95" i="6" s="1"/>
  <c r="U94" i="6"/>
  <c r="I94" i="6"/>
  <c r="K94" i="6" s="1"/>
  <c r="U11" i="5" s="1"/>
  <c r="X93" i="6"/>
  <c r="W93" i="6"/>
  <c r="V93" i="6"/>
  <c r="U93" i="6"/>
  <c r="I93" i="6" s="1"/>
  <c r="K93" i="6"/>
  <c r="J93" i="6"/>
  <c r="U92" i="6"/>
  <c r="X92" i="6" s="1"/>
  <c r="U91" i="6"/>
  <c r="W91" i="6" s="1"/>
  <c r="I91" i="6"/>
  <c r="X90" i="6"/>
  <c r="W90" i="6"/>
  <c r="U90" i="6"/>
  <c r="V90" i="6" s="1"/>
  <c r="I90" i="6"/>
  <c r="K90" i="6" s="1"/>
  <c r="X89" i="6"/>
  <c r="W89" i="6"/>
  <c r="U89" i="6"/>
  <c r="I89" i="6" s="1"/>
  <c r="U88" i="6"/>
  <c r="U87" i="6"/>
  <c r="I87" i="6" s="1"/>
  <c r="J87" i="6" s="1"/>
  <c r="K87" i="6"/>
  <c r="N11" i="5" s="1"/>
  <c r="X86" i="6"/>
  <c r="U86" i="6"/>
  <c r="V86" i="6" s="1"/>
  <c r="I86" i="6"/>
  <c r="K86" i="6" s="1"/>
  <c r="W85" i="6"/>
  <c r="V85" i="6"/>
  <c r="U85" i="6"/>
  <c r="X85" i="6" s="1"/>
  <c r="I85" i="6"/>
  <c r="U84" i="6"/>
  <c r="V84" i="6" s="1"/>
  <c r="I84" i="6"/>
  <c r="K84" i="6" s="1"/>
  <c r="AA10" i="5" s="1"/>
  <c r="X83" i="6"/>
  <c r="W83" i="6"/>
  <c r="V83" i="6"/>
  <c r="U83" i="6"/>
  <c r="I83" i="6" s="1"/>
  <c r="K83" i="6" s="1"/>
  <c r="Z10" i="5" s="1"/>
  <c r="W82" i="6"/>
  <c r="U82" i="6"/>
  <c r="V82" i="6" s="1"/>
  <c r="I82" i="6"/>
  <c r="W81" i="6"/>
  <c r="V81" i="6"/>
  <c r="U81" i="6"/>
  <c r="X81" i="6" s="1"/>
  <c r="I81" i="6"/>
  <c r="U80" i="6"/>
  <c r="U79" i="6"/>
  <c r="W79" i="6" s="1"/>
  <c r="I79" i="6"/>
  <c r="X78" i="6"/>
  <c r="W78" i="6"/>
  <c r="U78" i="6"/>
  <c r="U77" i="6"/>
  <c r="X77" i="6" s="1"/>
  <c r="J77" i="6"/>
  <c r="I77" i="6"/>
  <c r="K77" i="6" s="1"/>
  <c r="T10" i="5" s="1"/>
  <c r="X76" i="6"/>
  <c r="W76" i="6"/>
  <c r="V76" i="6"/>
  <c r="U76" i="6"/>
  <c r="J76" i="6"/>
  <c r="I76" i="6"/>
  <c r="K76" i="6" s="1"/>
  <c r="X75" i="6"/>
  <c r="W75" i="6"/>
  <c r="U75" i="6"/>
  <c r="V75" i="6" s="1"/>
  <c r="I75" i="6"/>
  <c r="U74" i="6"/>
  <c r="W74" i="6" s="1"/>
  <c r="U73" i="6"/>
  <c r="W73" i="6" s="1"/>
  <c r="I73" i="6"/>
  <c r="K73" i="6" s="1"/>
  <c r="P10" i="5" s="1"/>
  <c r="X72" i="6"/>
  <c r="U72" i="6"/>
  <c r="W72" i="6" s="1"/>
  <c r="I72" i="6"/>
  <c r="U71" i="6"/>
  <c r="V71" i="6" s="1"/>
  <c r="I71" i="6"/>
  <c r="J71" i="6" s="1"/>
  <c r="U70" i="6"/>
  <c r="X70" i="6" s="1"/>
  <c r="U69" i="6"/>
  <c r="I69" i="6"/>
  <c r="K69" i="6" s="1"/>
  <c r="AB9" i="5" s="1"/>
  <c r="V68" i="6"/>
  <c r="U68" i="6"/>
  <c r="I68" i="6" s="1"/>
  <c r="U67" i="6"/>
  <c r="I67" i="6" s="1"/>
  <c r="X66" i="6"/>
  <c r="W66" i="6"/>
  <c r="U66" i="6"/>
  <c r="V66" i="6" s="1"/>
  <c r="I66" i="6"/>
  <c r="K66" i="6" s="1"/>
  <c r="U65" i="6"/>
  <c r="I65" i="6" s="1"/>
  <c r="U64" i="6"/>
  <c r="V64" i="6" s="1"/>
  <c r="U63" i="6"/>
  <c r="W63" i="6" s="1"/>
  <c r="I63" i="6"/>
  <c r="K63" i="6" s="1"/>
  <c r="V9" i="5" s="1"/>
  <c r="X62" i="6"/>
  <c r="U62" i="6"/>
  <c r="V62" i="6" s="1"/>
  <c r="I62" i="6"/>
  <c r="K62" i="6" s="1"/>
  <c r="U61" i="6"/>
  <c r="V61" i="6" s="1"/>
  <c r="U60" i="6"/>
  <c r="V59" i="6"/>
  <c r="U59" i="6"/>
  <c r="I59" i="6"/>
  <c r="K59" i="6" s="1"/>
  <c r="U58" i="6"/>
  <c r="I58" i="6"/>
  <c r="K58" i="6" s="1"/>
  <c r="Q9" i="5" s="1"/>
  <c r="X57" i="6"/>
  <c r="W57" i="6"/>
  <c r="V57" i="6"/>
  <c r="U57" i="6"/>
  <c r="K57" i="6"/>
  <c r="P9" i="5" s="1"/>
  <c r="I57" i="6"/>
  <c r="J57" i="6" s="1"/>
  <c r="U56" i="6"/>
  <c r="I56" i="6" s="1"/>
  <c r="U55" i="6"/>
  <c r="I55" i="6" s="1"/>
  <c r="J55" i="6" s="1"/>
  <c r="K55" i="6"/>
  <c r="U54" i="6"/>
  <c r="I54" i="6"/>
  <c r="K54" i="6" s="1"/>
  <c r="M9" i="5" s="1"/>
  <c r="X53" i="6"/>
  <c r="W53" i="6"/>
  <c r="U53" i="6"/>
  <c r="V53" i="6" s="1"/>
  <c r="K53" i="6"/>
  <c r="AB8" i="5" s="1"/>
  <c r="J53" i="6"/>
  <c r="I53" i="6"/>
  <c r="V52" i="6"/>
  <c r="U52" i="6"/>
  <c r="I52" i="6"/>
  <c r="X51" i="6"/>
  <c r="W51" i="6"/>
  <c r="V51" i="6"/>
  <c r="U51" i="6"/>
  <c r="J51" i="6"/>
  <c r="I51" i="6"/>
  <c r="K51" i="6" s="1"/>
  <c r="U50" i="6"/>
  <c r="V50" i="6" s="1"/>
  <c r="I50" i="6"/>
  <c r="K50" i="6" s="1"/>
  <c r="Y8" i="5" s="1"/>
  <c r="U49" i="6"/>
  <c r="I49" i="6" s="1"/>
  <c r="K49" i="6" s="1"/>
  <c r="X8" i="5" s="1"/>
  <c r="U48" i="6"/>
  <c r="W48" i="6" s="1"/>
  <c r="U47" i="6"/>
  <c r="V47" i="6" s="1"/>
  <c r="X46" i="6"/>
  <c r="U46" i="6"/>
  <c r="V46" i="6" s="1"/>
  <c r="I46" i="6"/>
  <c r="U45" i="6"/>
  <c r="J45" i="6"/>
  <c r="I45" i="6"/>
  <c r="K45" i="6" s="1"/>
  <c r="T8" i="5" s="1"/>
  <c r="W44" i="6"/>
  <c r="U44" i="6"/>
  <c r="X44" i="6" s="1"/>
  <c r="U43" i="6"/>
  <c r="V43" i="6" s="1"/>
  <c r="X42" i="6"/>
  <c r="W42" i="6"/>
  <c r="U42" i="6"/>
  <c r="V42" i="6" s="1"/>
  <c r="I42" i="6"/>
  <c r="K42" i="6" s="1"/>
  <c r="Q8" i="5" s="1"/>
  <c r="U41" i="6"/>
  <c r="X41" i="6" s="1"/>
  <c r="I41" i="6"/>
  <c r="X40" i="6"/>
  <c r="U40" i="6"/>
  <c r="V40" i="6" s="1"/>
  <c r="U39" i="6"/>
  <c r="V39" i="6" s="1"/>
  <c r="U38" i="6"/>
  <c r="V38" i="6" s="1"/>
  <c r="I38" i="6"/>
  <c r="K38" i="6" s="1"/>
  <c r="M8" i="5" s="1"/>
  <c r="X37" i="6"/>
  <c r="V37" i="6"/>
  <c r="U37" i="6"/>
  <c r="W37" i="6" s="1"/>
  <c r="J37" i="6"/>
  <c r="I37" i="6"/>
  <c r="K37" i="6" s="1"/>
  <c r="W36" i="6"/>
  <c r="U36" i="6"/>
  <c r="X36" i="6" s="1"/>
  <c r="U35" i="6"/>
  <c r="U34" i="6"/>
  <c r="X34" i="6" s="1"/>
  <c r="U33" i="6"/>
  <c r="X33" i="6" s="1"/>
  <c r="I33" i="6"/>
  <c r="K33" i="6" s="1"/>
  <c r="U32" i="6"/>
  <c r="W31" i="6"/>
  <c r="V31" i="6"/>
  <c r="U31" i="6"/>
  <c r="X31" i="6" s="1"/>
  <c r="X30" i="6"/>
  <c r="W30" i="6"/>
  <c r="U30" i="6"/>
  <c r="V30" i="6" s="1"/>
  <c r="U29" i="6"/>
  <c r="U28" i="6"/>
  <c r="W27" i="6"/>
  <c r="U27" i="6"/>
  <c r="U26" i="6"/>
  <c r="I26" i="6"/>
  <c r="X25" i="6"/>
  <c r="W25" i="6"/>
  <c r="V25" i="6"/>
  <c r="U25" i="6"/>
  <c r="I25" i="6" s="1"/>
  <c r="U24" i="6"/>
  <c r="I24" i="6" s="1"/>
  <c r="K24" i="6" s="1"/>
  <c r="O7" i="5" s="1"/>
  <c r="J24" i="6"/>
  <c r="U23" i="6"/>
  <c r="I23" i="6"/>
  <c r="J23" i="6" s="1"/>
  <c r="X22" i="6"/>
  <c r="U22" i="6"/>
  <c r="V22" i="6" s="1"/>
  <c r="I22" i="6"/>
  <c r="X21" i="6"/>
  <c r="W21" i="6"/>
  <c r="U21" i="6"/>
  <c r="V21" i="6" s="1"/>
  <c r="I21" i="6"/>
  <c r="X20" i="6"/>
  <c r="W20" i="6"/>
  <c r="U20" i="6"/>
  <c r="V20" i="6" s="1"/>
  <c r="I20" i="6"/>
  <c r="K20" i="6" s="1"/>
  <c r="U19" i="6"/>
  <c r="X19" i="6" s="1"/>
  <c r="I19" i="6"/>
  <c r="U18" i="6"/>
  <c r="V18" i="6" s="1"/>
  <c r="I18" i="6"/>
  <c r="X17" i="6"/>
  <c r="W17" i="6"/>
  <c r="V17" i="6"/>
  <c r="U17" i="6"/>
  <c r="I17" i="6" s="1"/>
  <c r="X16" i="6"/>
  <c r="W16" i="6"/>
  <c r="U16" i="6"/>
  <c r="V16" i="6" s="1"/>
  <c r="U15" i="6"/>
  <c r="X15" i="6" s="1"/>
  <c r="I15" i="6"/>
  <c r="U14" i="6"/>
  <c r="V14" i="6" s="1"/>
  <c r="U13" i="6"/>
  <c r="U12" i="6"/>
  <c r="U11" i="6"/>
  <c r="X11" i="6" s="1"/>
  <c r="I11" i="6"/>
  <c r="U10" i="6"/>
  <c r="V10" i="6" s="1"/>
  <c r="I10" i="6"/>
  <c r="K10" i="6" s="1"/>
  <c r="X9" i="6"/>
  <c r="V9" i="6"/>
  <c r="U9" i="6"/>
  <c r="W9" i="6" s="1"/>
  <c r="I9" i="6"/>
  <c r="K9" i="6" s="1"/>
  <c r="U8" i="6"/>
  <c r="I8" i="6" s="1"/>
  <c r="U7" i="6"/>
  <c r="X7" i="6" s="1"/>
  <c r="U6" i="6"/>
  <c r="AZ238" i="5"/>
  <c r="AX238" i="5"/>
  <c r="AW238" i="5"/>
  <c r="AV238" i="5"/>
  <c r="AU238" i="5"/>
  <c r="L238" i="5"/>
  <c r="K238" i="5"/>
  <c r="AZ237" i="5"/>
  <c r="AX237" i="5"/>
  <c r="AW237" i="5"/>
  <c r="AV237" i="5"/>
  <c r="AU237" i="5"/>
  <c r="L237" i="5"/>
  <c r="K237" i="5"/>
  <c r="AZ236" i="5"/>
  <c r="AX236" i="5"/>
  <c r="AW236" i="5"/>
  <c r="AV236" i="5"/>
  <c r="AU236" i="5"/>
  <c r="M236" i="5"/>
  <c r="L236" i="5"/>
  <c r="K236" i="5"/>
  <c r="H236" i="5"/>
  <c r="AZ235" i="5"/>
  <c r="AX235" i="5"/>
  <c r="AW235" i="5"/>
  <c r="AV235" i="5"/>
  <c r="AU235" i="5"/>
  <c r="AB235" i="5"/>
  <c r="Y235" i="5"/>
  <c r="Q235" i="5"/>
  <c r="L235" i="5"/>
  <c r="K235" i="5"/>
  <c r="AZ234" i="5"/>
  <c r="AX234" i="5"/>
  <c r="AW234" i="5"/>
  <c r="AV234" i="5"/>
  <c r="AU234" i="5"/>
  <c r="L234" i="5"/>
  <c r="K234" i="5"/>
  <c r="AZ233" i="5"/>
  <c r="AX233" i="5"/>
  <c r="AW233" i="5"/>
  <c r="AV233" i="5"/>
  <c r="AU233" i="5"/>
  <c r="V233" i="5"/>
  <c r="L233" i="5"/>
  <c r="K233" i="5"/>
  <c r="AZ232" i="5"/>
  <c r="AX232" i="5"/>
  <c r="AW232" i="5"/>
  <c r="AV232" i="5"/>
  <c r="AU232" i="5"/>
  <c r="L232" i="5"/>
  <c r="K232" i="5"/>
  <c r="AZ231" i="5"/>
  <c r="AX231" i="5"/>
  <c r="AW231" i="5"/>
  <c r="AV231" i="5"/>
  <c r="AU231" i="5"/>
  <c r="U231" i="5"/>
  <c r="L231" i="5"/>
  <c r="K231" i="5"/>
  <c r="AZ230" i="5"/>
  <c r="AX230" i="5"/>
  <c r="AW230" i="5"/>
  <c r="AV230" i="5"/>
  <c r="AU230" i="5"/>
  <c r="X230" i="5"/>
  <c r="L230" i="5"/>
  <c r="K230" i="5"/>
  <c r="AZ229" i="5"/>
  <c r="AX229" i="5"/>
  <c r="AW229" i="5"/>
  <c r="AV229" i="5"/>
  <c r="AU229" i="5"/>
  <c r="AB229" i="5"/>
  <c r="X229" i="5"/>
  <c r="U229" i="5"/>
  <c r="Q229" i="5"/>
  <c r="L229" i="5"/>
  <c r="K229" i="5"/>
  <c r="AZ228" i="5"/>
  <c r="AX228" i="5"/>
  <c r="AW228" i="5"/>
  <c r="AV228" i="5"/>
  <c r="AU228" i="5"/>
  <c r="T228" i="5"/>
  <c r="L228" i="5"/>
  <c r="K228" i="5"/>
  <c r="H228" i="5"/>
  <c r="AZ227" i="5"/>
  <c r="AX227" i="5"/>
  <c r="AW227" i="5"/>
  <c r="AV227" i="5"/>
  <c r="AU227" i="5"/>
  <c r="L227" i="5"/>
  <c r="K227" i="5"/>
  <c r="H227" i="5"/>
  <c r="AZ226" i="5"/>
  <c r="AX226" i="5"/>
  <c r="AW226" i="5"/>
  <c r="AV226" i="5"/>
  <c r="AU226" i="5"/>
  <c r="L226" i="5"/>
  <c r="K226" i="5"/>
  <c r="AZ225" i="5"/>
  <c r="AX225" i="5"/>
  <c r="AW225" i="5"/>
  <c r="AV225" i="5"/>
  <c r="AU225" i="5"/>
  <c r="AB225" i="5"/>
  <c r="X225" i="5"/>
  <c r="L225" i="5"/>
  <c r="K225" i="5"/>
  <c r="AZ224" i="5"/>
  <c r="AX224" i="5"/>
  <c r="AW224" i="5"/>
  <c r="AV224" i="5"/>
  <c r="AU224" i="5"/>
  <c r="L224" i="5"/>
  <c r="K224" i="5"/>
  <c r="AZ223" i="5"/>
  <c r="AX223" i="5"/>
  <c r="AW223" i="5"/>
  <c r="AV223" i="5"/>
  <c r="AU223" i="5"/>
  <c r="L223" i="5"/>
  <c r="K223" i="5"/>
  <c r="AZ222" i="5"/>
  <c r="AX222" i="5"/>
  <c r="AW222" i="5"/>
  <c r="AV222" i="5"/>
  <c r="AU222" i="5"/>
  <c r="AH222" i="5"/>
  <c r="AG222" i="5"/>
  <c r="AF222" i="5"/>
  <c r="R222" i="5"/>
  <c r="Q222" i="5"/>
  <c r="P222" i="5"/>
  <c r="L222" i="5"/>
  <c r="K222" i="5"/>
  <c r="AZ221" i="5"/>
  <c r="AY221" i="5"/>
  <c r="AX221" i="5"/>
  <c r="AW221" i="5"/>
  <c r="AV221" i="5"/>
  <c r="AU221" i="5"/>
  <c r="AA221" i="5"/>
  <c r="P221" i="5"/>
  <c r="L221" i="5"/>
  <c r="K221" i="5"/>
  <c r="AZ220" i="5"/>
  <c r="AX220" i="5"/>
  <c r="AW220" i="5"/>
  <c r="AV220" i="5"/>
  <c r="AU220" i="5"/>
  <c r="O220" i="5"/>
  <c r="L220" i="5"/>
  <c r="K220" i="5"/>
  <c r="AZ219" i="5"/>
  <c r="AX219" i="5"/>
  <c r="AW219" i="5"/>
  <c r="AV219" i="5"/>
  <c r="AU219" i="5"/>
  <c r="L219" i="5"/>
  <c r="K219" i="5"/>
  <c r="AZ218" i="5"/>
  <c r="AY218" i="5"/>
  <c r="AX218" i="5"/>
  <c r="AW218" i="5"/>
  <c r="AV218" i="5"/>
  <c r="AU218" i="5"/>
  <c r="Z218" i="5"/>
  <c r="Y218" i="5"/>
  <c r="L218" i="5"/>
  <c r="K218" i="5"/>
  <c r="AZ217" i="5"/>
  <c r="AX217" i="5"/>
  <c r="AW217" i="5"/>
  <c r="AV217" i="5"/>
  <c r="AU217" i="5"/>
  <c r="AH217" i="5"/>
  <c r="AG217" i="5"/>
  <c r="AF217" i="5"/>
  <c r="Z217" i="5"/>
  <c r="U217" i="5"/>
  <c r="R217" i="5"/>
  <c r="P217" i="5"/>
  <c r="L217" i="5"/>
  <c r="K217" i="5"/>
  <c r="AZ216" i="5"/>
  <c r="AX216" i="5"/>
  <c r="AW216" i="5"/>
  <c r="AV216" i="5"/>
  <c r="AU216" i="5"/>
  <c r="AA216" i="5"/>
  <c r="Z216" i="5"/>
  <c r="U216" i="5"/>
  <c r="N216" i="5"/>
  <c r="L216" i="5"/>
  <c r="K216" i="5"/>
  <c r="AZ215" i="5"/>
  <c r="AX215" i="5"/>
  <c r="AW215" i="5"/>
  <c r="AV215" i="5"/>
  <c r="AU215" i="5"/>
  <c r="AH215" i="5"/>
  <c r="AG215" i="5"/>
  <c r="AF215" i="5"/>
  <c r="R215" i="5"/>
  <c r="Q215" i="5"/>
  <c r="L215" i="5"/>
  <c r="K215" i="5"/>
  <c r="AZ214" i="5"/>
  <c r="AX214" i="5"/>
  <c r="AW214" i="5"/>
  <c r="AV214" i="5"/>
  <c r="AU214" i="5"/>
  <c r="L214" i="5"/>
  <c r="K214" i="5"/>
  <c r="AZ213" i="5"/>
  <c r="AX213" i="5"/>
  <c r="AW213" i="5"/>
  <c r="AV213" i="5"/>
  <c r="AU213" i="5"/>
  <c r="L213" i="5"/>
  <c r="K213" i="5"/>
  <c r="AZ212" i="5"/>
  <c r="AX212" i="5"/>
  <c r="AW212" i="5"/>
  <c r="AV212" i="5"/>
  <c r="AU212" i="5"/>
  <c r="N212" i="5"/>
  <c r="L212" i="5"/>
  <c r="K212" i="5"/>
  <c r="AZ211" i="5"/>
  <c r="AX211" i="5"/>
  <c r="AW211" i="5"/>
  <c r="AV211" i="5"/>
  <c r="AU211" i="5"/>
  <c r="T211" i="5"/>
  <c r="L211" i="5"/>
  <c r="K211" i="5"/>
  <c r="AZ210" i="5"/>
  <c r="AX210" i="5"/>
  <c r="AW210" i="5"/>
  <c r="AV210" i="5"/>
  <c r="AU210" i="5"/>
  <c r="Y210" i="5"/>
  <c r="S210" i="5"/>
  <c r="Q210" i="5"/>
  <c r="M210" i="5"/>
  <c r="L210" i="5"/>
  <c r="K210" i="5"/>
  <c r="AZ209" i="5"/>
  <c r="AX209" i="5"/>
  <c r="AW209" i="5"/>
  <c r="AV209" i="5"/>
  <c r="AU209" i="5"/>
  <c r="M209" i="5"/>
  <c r="L209" i="5"/>
  <c r="K209" i="5"/>
  <c r="AZ208" i="5"/>
  <c r="AX208" i="5"/>
  <c r="AW208" i="5"/>
  <c r="AV208" i="5"/>
  <c r="AU208" i="5"/>
  <c r="T208" i="5"/>
  <c r="L208" i="5"/>
  <c r="K208" i="5"/>
  <c r="AZ207" i="5"/>
  <c r="AX207" i="5"/>
  <c r="AW207" i="5"/>
  <c r="AV207" i="5"/>
  <c r="AU207" i="5"/>
  <c r="V207" i="5"/>
  <c r="U207" i="5"/>
  <c r="L207" i="5"/>
  <c r="K207" i="5"/>
  <c r="AZ206" i="5"/>
  <c r="AX206" i="5"/>
  <c r="AW206" i="5"/>
  <c r="AV206" i="5"/>
  <c r="AU206" i="5"/>
  <c r="AB206" i="5"/>
  <c r="V206" i="5"/>
  <c r="L206" i="5"/>
  <c r="K206" i="5"/>
  <c r="AZ205" i="5"/>
  <c r="AX205" i="5"/>
  <c r="AW205" i="5"/>
  <c r="AV205" i="5"/>
  <c r="AU205" i="5"/>
  <c r="X205" i="5"/>
  <c r="R205" i="5"/>
  <c r="Q205" i="5"/>
  <c r="L205" i="5"/>
  <c r="K205" i="5"/>
  <c r="AZ204" i="5"/>
  <c r="AX204" i="5"/>
  <c r="AW204" i="5"/>
  <c r="AV204" i="5"/>
  <c r="AU204" i="5"/>
  <c r="T204" i="5"/>
  <c r="L204" i="5"/>
  <c r="K204" i="5"/>
  <c r="H204" i="5"/>
  <c r="AZ203" i="5"/>
  <c r="AX203" i="5"/>
  <c r="AW203" i="5"/>
  <c r="AV203" i="5"/>
  <c r="AU203" i="5"/>
  <c r="X203" i="5"/>
  <c r="L203" i="5"/>
  <c r="K203" i="5"/>
  <c r="H203" i="5"/>
  <c r="AZ202" i="5"/>
  <c r="AX202" i="5"/>
  <c r="AW202" i="5"/>
  <c r="AV202" i="5"/>
  <c r="AU202" i="5"/>
  <c r="L202" i="5"/>
  <c r="K202" i="5"/>
  <c r="AZ201" i="5"/>
  <c r="AX201" i="5"/>
  <c r="AW201" i="5"/>
  <c r="AV201" i="5"/>
  <c r="AU201" i="5"/>
  <c r="U201" i="5"/>
  <c r="L201" i="5"/>
  <c r="K201" i="5"/>
  <c r="AZ200" i="5"/>
  <c r="AY200" i="5"/>
  <c r="AX200" i="5"/>
  <c r="AW200" i="5"/>
  <c r="AV200" i="5"/>
  <c r="AU200" i="5"/>
  <c r="Y200" i="5"/>
  <c r="AO200" i="5" s="1"/>
  <c r="X200" i="5"/>
  <c r="L200" i="5"/>
  <c r="K200" i="5"/>
  <c r="AZ199" i="5"/>
  <c r="AX199" i="5"/>
  <c r="AW199" i="5"/>
  <c r="AV199" i="5"/>
  <c r="AU199" i="5"/>
  <c r="AB199" i="5"/>
  <c r="V199" i="5"/>
  <c r="N199" i="5"/>
  <c r="L199" i="5"/>
  <c r="AZ198" i="5"/>
  <c r="AX198" i="5"/>
  <c r="AW198" i="5"/>
  <c r="AV198" i="5"/>
  <c r="AU198" i="5"/>
  <c r="O198" i="5"/>
  <c r="L198" i="5"/>
  <c r="K198" i="5"/>
  <c r="AZ197" i="5"/>
  <c r="AX197" i="5"/>
  <c r="AW197" i="5"/>
  <c r="AV197" i="5"/>
  <c r="AU197" i="5"/>
  <c r="AA197" i="5"/>
  <c r="L197" i="5"/>
  <c r="K197" i="5"/>
  <c r="AZ196" i="5"/>
  <c r="AX196" i="5"/>
  <c r="AW196" i="5"/>
  <c r="AV196" i="5"/>
  <c r="AU196" i="5"/>
  <c r="Y196" i="5"/>
  <c r="W196" i="5"/>
  <c r="R196" i="5"/>
  <c r="L196" i="5"/>
  <c r="K196" i="5"/>
  <c r="AZ195" i="5"/>
  <c r="AX195" i="5"/>
  <c r="AW195" i="5"/>
  <c r="AV195" i="5"/>
  <c r="AU195" i="5"/>
  <c r="X195" i="5"/>
  <c r="L195" i="5"/>
  <c r="K195" i="5"/>
  <c r="AZ194" i="5"/>
  <c r="AX194" i="5"/>
  <c r="AW194" i="5"/>
  <c r="AV194" i="5"/>
  <c r="AU194" i="5"/>
  <c r="AB194" i="5"/>
  <c r="X194" i="5"/>
  <c r="T194" i="5"/>
  <c r="Q194" i="5"/>
  <c r="L194" i="5"/>
  <c r="K194" i="5"/>
  <c r="AZ193" i="5"/>
  <c r="AX193" i="5"/>
  <c r="AW193" i="5"/>
  <c r="AV193" i="5"/>
  <c r="AU193" i="5"/>
  <c r="Y193" i="5"/>
  <c r="S193" i="5"/>
  <c r="L193" i="5"/>
  <c r="K193" i="5"/>
  <c r="AZ192" i="5"/>
  <c r="AX192" i="5"/>
  <c r="AW192" i="5"/>
  <c r="AV192" i="5"/>
  <c r="AU192" i="5"/>
  <c r="AB192" i="5"/>
  <c r="N192" i="5"/>
  <c r="L192" i="5"/>
  <c r="K192" i="5"/>
  <c r="AZ191" i="5"/>
  <c r="AX191" i="5"/>
  <c r="AW191" i="5"/>
  <c r="AV191" i="5"/>
  <c r="AU191" i="5"/>
  <c r="Y191" i="5"/>
  <c r="L191" i="5"/>
  <c r="K191" i="5"/>
  <c r="AZ190" i="5"/>
  <c r="AX190" i="5"/>
  <c r="AW190" i="5"/>
  <c r="AV190" i="5"/>
  <c r="AU190" i="5"/>
  <c r="P190" i="5"/>
  <c r="L190" i="5"/>
  <c r="K190" i="5"/>
  <c r="AZ189" i="5"/>
  <c r="AY189" i="5"/>
  <c r="AX189" i="5"/>
  <c r="AW189" i="5"/>
  <c r="AV189" i="5"/>
  <c r="AU189" i="5"/>
  <c r="X189" i="5"/>
  <c r="P189" i="5"/>
  <c r="N189" i="5"/>
  <c r="L189" i="5"/>
  <c r="K189" i="5"/>
  <c r="AZ188" i="5"/>
  <c r="AX188" i="5"/>
  <c r="AW188" i="5"/>
  <c r="AV188" i="5"/>
  <c r="AU188" i="5"/>
  <c r="X188" i="5"/>
  <c r="U188" i="5"/>
  <c r="M188" i="5"/>
  <c r="L188" i="5"/>
  <c r="K188" i="5"/>
  <c r="AZ187" i="5"/>
  <c r="AX187" i="5"/>
  <c r="AW187" i="5"/>
  <c r="AV187" i="5"/>
  <c r="AU187" i="5"/>
  <c r="X187" i="5"/>
  <c r="Q187" i="5"/>
  <c r="O187" i="5"/>
  <c r="N187" i="5"/>
  <c r="L187" i="5"/>
  <c r="K187" i="5"/>
  <c r="AZ186" i="5"/>
  <c r="AX186" i="5"/>
  <c r="AW186" i="5"/>
  <c r="AV186" i="5"/>
  <c r="AU186" i="5"/>
  <c r="V186" i="5"/>
  <c r="L186" i="5"/>
  <c r="K186" i="5"/>
  <c r="AZ185" i="5"/>
  <c r="AX185" i="5"/>
  <c r="AW185" i="5"/>
  <c r="AV185" i="5"/>
  <c r="AU185" i="5"/>
  <c r="AB185" i="5"/>
  <c r="T185" i="5"/>
  <c r="L185" i="5"/>
  <c r="K185" i="5"/>
  <c r="AZ184" i="5"/>
  <c r="AX184" i="5"/>
  <c r="AW184" i="5"/>
  <c r="AV184" i="5"/>
  <c r="AU184" i="5"/>
  <c r="T184" i="5"/>
  <c r="L184" i="5"/>
  <c r="K184" i="5"/>
  <c r="AZ183" i="5"/>
  <c r="AX183" i="5"/>
  <c r="AW183" i="5"/>
  <c r="AV183" i="5"/>
  <c r="AU183" i="5"/>
  <c r="P183" i="5"/>
  <c r="L183" i="5"/>
  <c r="K183" i="5"/>
  <c r="AZ182" i="5"/>
  <c r="AX182" i="5"/>
  <c r="AW182" i="5"/>
  <c r="AV182" i="5"/>
  <c r="AU182" i="5"/>
  <c r="Y182" i="5"/>
  <c r="U182" i="5"/>
  <c r="P182" i="5"/>
  <c r="L182" i="5"/>
  <c r="K182" i="5"/>
  <c r="AZ181" i="5"/>
  <c r="AX181" i="5"/>
  <c r="AW181" i="5"/>
  <c r="AV181" i="5"/>
  <c r="AU181" i="5"/>
  <c r="Z181" i="5"/>
  <c r="L181" i="5"/>
  <c r="K181" i="5"/>
  <c r="AZ180" i="5"/>
  <c r="AX180" i="5"/>
  <c r="AW180" i="5"/>
  <c r="AV180" i="5"/>
  <c r="AU180" i="5"/>
  <c r="L180" i="5"/>
  <c r="K180" i="5"/>
  <c r="AZ179" i="5"/>
  <c r="AX179" i="5"/>
  <c r="AW179" i="5"/>
  <c r="AV179" i="5"/>
  <c r="AU179" i="5"/>
  <c r="Q179" i="5"/>
  <c r="N179" i="5"/>
  <c r="L179" i="5"/>
  <c r="K179" i="5"/>
  <c r="AZ178" i="5"/>
  <c r="AX178" i="5"/>
  <c r="AW178" i="5"/>
  <c r="AV178" i="5"/>
  <c r="AU178" i="5"/>
  <c r="V178" i="5"/>
  <c r="O178" i="5"/>
  <c r="L178" i="5"/>
  <c r="K178" i="5"/>
  <c r="AZ177" i="5"/>
  <c r="AY177" i="5"/>
  <c r="AX177" i="5"/>
  <c r="AW177" i="5"/>
  <c r="AV177" i="5"/>
  <c r="AU177" i="5"/>
  <c r="P177" i="5"/>
  <c r="L177" i="5"/>
  <c r="K177" i="5"/>
  <c r="AZ176" i="5"/>
  <c r="AX176" i="5"/>
  <c r="AW176" i="5"/>
  <c r="AV176" i="5"/>
  <c r="AU176" i="5"/>
  <c r="AB176" i="5"/>
  <c r="Y176" i="5"/>
  <c r="V176" i="5"/>
  <c r="L176" i="5"/>
  <c r="K176" i="5"/>
  <c r="H176" i="5"/>
  <c r="AZ175" i="5"/>
  <c r="AX175" i="5"/>
  <c r="AW175" i="5"/>
  <c r="AV175" i="5"/>
  <c r="AU175" i="5"/>
  <c r="L175" i="5"/>
  <c r="K175" i="5"/>
  <c r="AZ174" i="5"/>
  <c r="AX174" i="5"/>
  <c r="AW174" i="5"/>
  <c r="AV174" i="5"/>
  <c r="AU174" i="5"/>
  <c r="X174" i="5"/>
  <c r="L174" i="5"/>
  <c r="K174" i="5"/>
  <c r="AZ173" i="5"/>
  <c r="AX173" i="5"/>
  <c r="AW173" i="5"/>
  <c r="AV173" i="5"/>
  <c r="AU173" i="5"/>
  <c r="U173" i="5"/>
  <c r="L173" i="5"/>
  <c r="K173" i="5"/>
  <c r="H173" i="5"/>
  <c r="AZ172" i="5"/>
  <c r="AX172" i="5"/>
  <c r="AW172" i="5"/>
  <c r="AV172" i="5"/>
  <c r="AU172" i="5"/>
  <c r="AB172" i="5"/>
  <c r="L172" i="5"/>
  <c r="K172" i="5"/>
  <c r="AZ171" i="5"/>
  <c r="AX171" i="5"/>
  <c r="AW171" i="5"/>
  <c r="AV171" i="5"/>
  <c r="AU171" i="5"/>
  <c r="AA171" i="5"/>
  <c r="V171" i="5"/>
  <c r="U171" i="5"/>
  <c r="P171" i="5"/>
  <c r="L171" i="5"/>
  <c r="K171" i="5"/>
  <c r="AZ170" i="5"/>
  <c r="AX170" i="5"/>
  <c r="AW170" i="5"/>
  <c r="AV170" i="5"/>
  <c r="AU170" i="5"/>
  <c r="AA170" i="5"/>
  <c r="Z170" i="5"/>
  <c r="V170" i="5"/>
  <c r="L170" i="5"/>
  <c r="K170" i="5"/>
  <c r="AZ169" i="5"/>
  <c r="AX169" i="5"/>
  <c r="AW169" i="5"/>
  <c r="AV169" i="5"/>
  <c r="AU169" i="5"/>
  <c r="L169" i="5"/>
  <c r="K169" i="5"/>
  <c r="AZ168" i="5"/>
  <c r="AY168" i="5"/>
  <c r="AX168" i="5"/>
  <c r="AW168" i="5"/>
  <c r="AV168" i="5"/>
  <c r="AU168" i="5"/>
  <c r="N168" i="5"/>
  <c r="L168" i="5"/>
  <c r="K168" i="5"/>
  <c r="H168" i="5"/>
  <c r="AZ167" i="5"/>
  <c r="AX167" i="5"/>
  <c r="AW167" i="5"/>
  <c r="AV167" i="5"/>
  <c r="AU167" i="5"/>
  <c r="Q167" i="5"/>
  <c r="N167" i="5"/>
  <c r="L167" i="5"/>
  <c r="K167" i="5"/>
  <c r="AZ166" i="5"/>
  <c r="AX166" i="5"/>
  <c r="AW166" i="5"/>
  <c r="AV166" i="5"/>
  <c r="AU166" i="5"/>
  <c r="AB166" i="5"/>
  <c r="L166" i="5"/>
  <c r="K166" i="5"/>
  <c r="AZ165" i="5"/>
  <c r="AX165" i="5"/>
  <c r="AW165" i="5"/>
  <c r="AV165" i="5"/>
  <c r="AU165" i="5"/>
  <c r="L165" i="5"/>
  <c r="K165" i="5"/>
  <c r="AZ164" i="5"/>
  <c r="AX164" i="5"/>
  <c r="AW164" i="5"/>
  <c r="AV164" i="5"/>
  <c r="AU164" i="5"/>
  <c r="T164" i="5"/>
  <c r="P164" i="5"/>
  <c r="L164" i="5"/>
  <c r="K164" i="5"/>
  <c r="AZ163" i="5"/>
  <c r="AX163" i="5"/>
  <c r="AW163" i="5"/>
  <c r="AV163" i="5"/>
  <c r="AU163" i="5"/>
  <c r="T163" i="5"/>
  <c r="S163" i="5"/>
  <c r="L163" i="5"/>
  <c r="K163" i="5"/>
  <c r="AZ162" i="5"/>
  <c r="AX162" i="5"/>
  <c r="AW162" i="5"/>
  <c r="AV162" i="5"/>
  <c r="AU162" i="5"/>
  <c r="L162" i="5"/>
  <c r="K162" i="5"/>
  <c r="AZ161" i="5"/>
  <c r="AX161" i="5"/>
  <c r="AW161" i="5"/>
  <c r="AV161" i="5"/>
  <c r="AU161" i="5"/>
  <c r="AB161" i="5"/>
  <c r="AA161" i="5"/>
  <c r="W161" i="5"/>
  <c r="L161" i="5"/>
  <c r="K161" i="5"/>
  <c r="AZ160" i="5"/>
  <c r="AX160" i="5"/>
  <c r="AW160" i="5"/>
  <c r="AV160" i="5"/>
  <c r="AU160" i="5"/>
  <c r="Y160" i="5"/>
  <c r="T160" i="5"/>
  <c r="Q160" i="5"/>
  <c r="P160" i="5"/>
  <c r="L160" i="5"/>
  <c r="K160" i="5"/>
  <c r="AZ159" i="5"/>
  <c r="AX159" i="5"/>
  <c r="AW159" i="5"/>
  <c r="AV159" i="5"/>
  <c r="AU159" i="5"/>
  <c r="L159" i="5"/>
  <c r="K159" i="5"/>
  <c r="AZ158" i="5"/>
  <c r="AX158" i="5"/>
  <c r="AW158" i="5"/>
  <c r="AV158" i="5"/>
  <c r="AU158" i="5"/>
  <c r="L158" i="5"/>
  <c r="K158" i="5"/>
  <c r="H158" i="5"/>
  <c r="AZ157" i="5"/>
  <c r="AX157" i="5"/>
  <c r="AW157" i="5"/>
  <c r="AV157" i="5"/>
  <c r="AU157" i="5"/>
  <c r="L157" i="5"/>
  <c r="K157" i="5"/>
  <c r="AZ156" i="5"/>
  <c r="AX156" i="5"/>
  <c r="AW156" i="5"/>
  <c r="AV156" i="5"/>
  <c r="AU156" i="5"/>
  <c r="L156" i="5"/>
  <c r="K156" i="5"/>
  <c r="AZ155" i="5"/>
  <c r="AX155" i="5"/>
  <c r="AW155" i="5"/>
  <c r="AV155" i="5"/>
  <c r="AU155" i="5"/>
  <c r="V155" i="5"/>
  <c r="S155" i="5"/>
  <c r="L155" i="5"/>
  <c r="K155" i="5"/>
  <c r="AZ154" i="5"/>
  <c r="AX154" i="5"/>
  <c r="AW154" i="5"/>
  <c r="AV154" i="5"/>
  <c r="AU154" i="5"/>
  <c r="W154" i="5"/>
  <c r="L154" i="5"/>
  <c r="K154" i="5"/>
  <c r="AZ153" i="5"/>
  <c r="AX153" i="5"/>
  <c r="AW153" i="5"/>
  <c r="AV153" i="5"/>
  <c r="AU153" i="5"/>
  <c r="L153" i="5"/>
  <c r="K153" i="5"/>
  <c r="AZ152" i="5"/>
  <c r="AX152" i="5"/>
  <c r="AW152" i="5"/>
  <c r="AV152" i="5"/>
  <c r="AU152" i="5"/>
  <c r="S152" i="5"/>
  <c r="R152" i="5"/>
  <c r="L152" i="5"/>
  <c r="K152" i="5"/>
  <c r="AZ151" i="5"/>
  <c r="AX151" i="5"/>
  <c r="AW151" i="5"/>
  <c r="AV151" i="5"/>
  <c r="AU151" i="5"/>
  <c r="M151" i="5"/>
  <c r="L151" i="5"/>
  <c r="K151" i="5"/>
  <c r="AZ150" i="5"/>
  <c r="AX150" i="5"/>
  <c r="AW150" i="5"/>
  <c r="AV150" i="5"/>
  <c r="AU150" i="5"/>
  <c r="X150" i="5"/>
  <c r="T150" i="5"/>
  <c r="L150" i="5"/>
  <c r="K150" i="5"/>
  <c r="AZ149" i="5"/>
  <c r="AX149" i="5"/>
  <c r="AW149" i="5"/>
  <c r="AV149" i="5"/>
  <c r="AU149" i="5"/>
  <c r="AB149" i="5"/>
  <c r="N149" i="5"/>
  <c r="L149" i="5"/>
  <c r="K149" i="5"/>
  <c r="AZ148" i="5"/>
  <c r="AY148" i="5"/>
  <c r="AX148" i="5"/>
  <c r="AW148" i="5"/>
  <c r="AV148" i="5"/>
  <c r="AU148" i="5"/>
  <c r="X148" i="5"/>
  <c r="M148" i="5"/>
  <c r="L148" i="5"/>
  <c r="K148" i="5"/>
  <c r="AZ147" i="5"/>
  <c r="AX147" i="5"/>
  <c r="AW147" i="5"/>
  <c r="AV147" i="5"/>
  <c r="AU147" i="5"/>
  <c r="M147" i="5"/>
  <c r="L147" i="5"/>
  <c r="K147" i="5"/>
  <c r="AZ146" i="5"/>
  <c r="AX146" i="5"/>
  <c r="AW146" i="5"/>
  <c r="AV146" i="5"/>
  <c r="AU146" i="5"/>
  <c r="W146" i="5"/>
  <c r="T146" i="5"/>
  <c r="L146" i="5"/>
  <c r="K146" i="5"/>
  <c r="AZ145" i="5"/>
  <c r="AX145" i="5"/>
  <c r="AW145" i="5"/>
  <c r="AV145" i="5"/>
  <c r="AU145" i="5"/>
  <c r="R145" i="5"/>
  <c r="M145" i="5"/>
  <c r="L145" i="5"/>
  <c r="K145" i="5"/>
  <c r="AZ144" i="5"/>
  <c r="AY144" i="5"/>
  <c r="AX144" i="5"/>
  <c r="AW144" i="5"/>
  <c r="AV144" i="5"/>
  <c r="AU144" i="5"/>
  <c r="AA144" i="5"/>
  <c r="W144" i="5"/>
  <c r="U144" i="5"/>
  <c r="R144" i="5"/>
  <c r="L144" i="5"/>
  <c r="K144" i="5"/>
  <c r="AZ143" i="5"/>
  <c r="AX143" i="5"/>
  <c r="AW143" i="5"/>
  <c r="AV143" i="5"/>
  <c r="AU143" i="5"/>
  <c r="N143" i="5"/>
  <c r="L143" i="5"/>
  <c r="K143" i="5"/>
  <c r="AZ142" i="5"/>
  <c r="AX142" i="5"/>
  <c r="AW142" i="5"/>
  <c r="AV142" i="5"/>
  <c r="AU142" i="5"/>
  <c r="Z142" i="5"/>
  <c r="T142" i="5"/>
  <c r="L142" i="5"/>
  <c r="K142" i="5"/>
  <c r="AZ141" i="5"/>
  <c r="AX141" i="5"/>
  <c r="AW141" i="5"/>
  <c r="AV141" i="5"/>
  <c r="AU141" i="5"/>
  <c r="L141" i="5"/>
  <c r="K141" i="5"/>
  <c r="AZ140" i="5"/>
  <c r="AX140" i="5"/>
  <c r="AW140" i="5"/>
  <c r="AV140" i="5"/>
  <c r="AU140" i="5"/>
  <c r="P140" i="5"/>
  <c r="M140" i="5"/>
  <c r="L140" i="5"/>
  <c r="K140" i="5"/>
  <c r="H140" i="5"/>
  <c r="AZ139" i="5"/>
  <c r="AX139" i="5"/>
  <c r="AW139" i="5"/>
  <c r="AV139" i="5"/>
  <c r="AU139" i="5"/>
  <c r="T139" i="5"/>
  <c r="O139" i="5"/>
  <c r="L139" i="5"/>
  <c r="K139" i="5"/>
  <c r="AZ138" i="5"/>
  <c r="AX138" i="5"/>
  <c r="AW138" i="5"/>
  <c r="AV138" i="5"/>
  <c r="AU138" i="5"/>
  <c r="X138" i="5"/>
  <c r="L138" i="5"/>
  <c r="K138" i="5"/>
  <c r="AZ137" i="5"/>
  <c r="AX137" i="5"/>
  <c r="AW137" i="5"/>
  <c r="AV137" i="5"/>
  <c r="AU137" i="5"/>
  <c r="L137" i="5"/>
  <c r="K137" i="5"/>
  <c r="AZ136" i="5"/>
  <c r="AX136" i="5"/>
  <c r="AW136" i="5"/>
  <c r="AV136" i="5"/>
  <c r="AU136" i="5"/>
  <c r="AB136" i="5"/>
  <c r="Q136" i="5"/>
  <c r="L136" i="5"/>
  <c r="K136" i="5"/>
  <c r="AZ135" i="5"/>
  <c r="AX135" i="5"/>
  <c r="AW135" i="5"/>
  <c r="AV135" i="5"/>
  <c r="AU135" i="5"/>
  <c r="L135" i="5"/>
  <c r="K135" i="5"/>
  <c r="AZ134" i="5"/>
  <c r="AX134" i="5"/>
  <c r="AW134" i="5"/>
  <c r="AV134" i="5"/>
  <c r="AU134" i="5"/>
  <c r="T134" i="5"/>
  <c r="N134" i="5"/>
  <c r="L134" i="5"/>
  <c r="K134" i="5"/>
  <c r="AZ133" i="5"/>
  <c r="AX133" i="5"/>
  <c r="AW133" i="5"/>
  <c r="AV133" i="5"/>
  <c r="AU133" i="5"/>
  <c r="T133" i="5"/>
  <c r="L133" i="5"/>
  <c r="K133" i="5"/>
  <c r="AZ132" i="5"/>
  <c r="AY132" i="5"/>
  <c r="AX132" i="5"/>
  <c r="AW132" i="5"/>
  <c r="AV132" i="5"/>
  <c r="AU132" i="5"/>
  <c r="AB132" i="5"/>
  <c r="W132" i="5"/>
  <c r="T132" i="5"/>
  <c r="L132" i="5"/>
  <c r="K132" i="5"/>
  <c r="AZ131" i="5"/>
  <c r="AY131" i="5"/>
  <c r="AX131" i="5"/>
  <c r="AW131" i="5"/>
  <c r="AV131" i="5"/>
  <c r="AU131" i="5"/>
  <c r="P131" i="5"/>
  <c r="L131" i="5"/>
  <c r="K131" i="5"/>
  <c r="AZ130" i="5"/>
  <c r="AY130" i="5"/>
  <c r="AX130" i="5"/>
  <c r="AW130" i="5"/>
  <c r="AV130" i="5"/>
  <c r="AU130" i="5"/>
  <c r="AB130" i="5"/>
  <c r="R130" i="5"/>
  <c r="L130" i="5"/>
  <c r="K130" i="5"/>
  <c r="AZ129" i="5"/>
  <c r="AX129" i="5"/>
  <c r="AW129" i="5"/>
  <c r="AV129" i="5"/>
  <c r="AU129" i="5"/>
  <c r="Z129" i="5"/>
  <c r="X129" i="5"/>
  <c r="L129" i="5"/>
  <c r="K129" i="5"/>
  <c r="AZ128" i="5"/>
  <c r="AX128" i="5"/>
  <c r="AW128" i="5"/>
  <c r="AV128" i="5"/>
  <c r="AU128" i="5"/>
  <c r="AB128" i="5"/>
  <c r="Z128" i="5"/>
  <c r="V128" i="5"/>
  <c r="L128" i="5"/>
  <c r="K128" i="5"/>
  <c r="AZ127" i="5"/>
  <c r="AX127" i="5"/>
  <c r="AW127" i="5"/>
  <c r="AV127" i="5"/>
  <c r="AU127" i="5"/>
  <c r="Y127" i="5"/>
  <c r="L127" i="5"/>
  <c r="K127" i="5"/>
  <c r="AZ126" i="5"/>
  <c r="AX126" i="5"/>
  <c r="AW126" i="5"/>
  <c r="AV126" i="5"/>
  <c r="AU126" i="5"/>
  <c r="Y126" i="5"/>
  <c r="AQ126" i="5" s="1"/>
  <c r="X126" i="5"/>
  <c r="W126" i="5"/>
  <c r="L126" i="5"/>
  <c r="K126" i="5"/>
  <c r="AZ125" i="5"/>
  <c r="AY125" i="5"/>
  <c r="AX125" i="5"/>
  <c r="AW125" i="5"/>
  <c r="AV125" i="5"/>
  <c r="AU125" i="5"/>
  <c r="L125" i="5"/>
  <c r="K125" i="5"/>
  <c r="AZ124" i="5"/>
  <c r="AX124" i="5"/>
  <c r="AW124" i="5"/>
  <c r="AV124" i="5"/>
  <c r="AU124" i="5"/>
  <c r="U124" i="5"/>
  <c r="T124" i="5"/>
  <c r="L124" i="5"/>
  <c r="K124" i="5"/>
  <c r="H124" i="5"/>
  <c r="AZ123" i="5"/>
  <c r="AY123" i="5"/>
  <c r="AX123" i="5"/>
  <c r="AW123" i="5"/>
  <c r="AV123" i="5"/>
  <c r="AU123" i="5"/>
  <c r="N123" i="5"/>
  <c r="M123" i="5"/>
  <c r="L123" i="5"/>
  <c r="K123" i="5"/>
  <c r="AZ122" i="5"/>
  <c r="AX122" i="5"/>
  <c r="AW122" i="5"/>
  <c r="AV122" i="5"/>
  <c r="AU122" i="5"/>
  <c r="T122" i="5"/>
  <c r="M122" i="5"/>
  <c r="L122" i="5"/>
  <c r="K122" i="5"/>
  <c r="H122" i="5"/>
  <c r="AZ121" i="5"/>
  <c r="AY121" i="5"/>
  <c r="AX121" i="5"/>
  <c r="AW121" i="5"/>
  <c r="AV121" i="5"/>
  <c r="AU121" i="5"/>
  <c r="Y121" i="5"/>
  <c r="X121" i="5"/>
  <c r="L121" i="5"/>
  <c r="K121" i="5"/>
  <c r="AZ120" i="5"/>
  <c r="AX120" i="5"/>
  <c r="AW120" i="5"/>
  <c r="AV120" i="5"/>
  <c r="AU120" i="5"/>
  <c r="AA120" i="5"/>
  <c r="P120" i="5"/>
  <c r="N120" i="5"/>
  <c r="L120" i="5"/>
  <c r="K120" i="5"/>
  <c r="AZ119" i="5"/>
  <c r="AX119" i="5"/>
  <c r="AW119" i="5"/>
  <c r="AV119" i="5"/>
  <c r="AU119" i="5"/>
  <c r="P119" i="5"/>
  <c r="L119" i="5"/>
  <c r="K119" i="5"/>
  <c r="AZ118" i="5"/>
  <c r="AX118" i="5"/>
  <c r="AW118" i="5"/>
  <c r="AV118" i="5"/>
  <c r="AU118" i="5"/>
  <c r="AB118" i="5"/>
  <c r="X118" i="5"/>
  <c r="S118" i="5"/>
  <c r="L118" i="5"/>
  <c r="K118" i="5"/>
  <c r="AZ117" i="5"/>
  <c r="AX117" i="5"/>
  <c r="AW117" i="5"/>
  <c r="AV117" i="5"/>
  <c r="AU117" i="5"/>
  <c r="AH117" i="5"/>
  <c r="AG117" i="5"/>
  <c r="AF117" i="5"/>
  <c r="R117" i="5"/>
  <c r="Q117" i="5"/>
  <c r="P117" i="5"/>
  <c r="L117" i="5"/>
  <c r="K117" i="5"/>
  <c r="AZ116" i="5"/>
  <c r="AY116" i="5"/>
  <c r="AX116" i="5"/>
  <c r="AW116" i="5"/>
  <c r="AV116" i="5"/>
  <c r="AU116" i="5"/>
  <c r="AB116" i="5"/>
  <c r="W116" i="5"/>
  <c r="R116" i="5"/>
  <c r="P116" i="5"/>
  <c r="L116" i="5"/>
  <c r="K116" i="5"/>
  <c r="AZ115" i="5"/>
  <c r="AX115" i="5"/>
  <c r="AW115" i="5"/>
  <c r="AV115" i="5"/>
  <c r="AU115" i="5"/>
  <c r="L115" i="5"/>
  <c r="K115" i="5"/>
  <c r="AZ114" i="5"/>
  <c r="AX114" i="5"/>
  <c r="AW114" i="5"/>
  <c r="AV114" i="5"/>
  <c r="AU114" i="5"/>
  <c r="AA114" i="5"/>
  <c r="U114" i="5"/>
  <c r="L114" i="5"/>
  <c r="K114" i="5"/>
  <c r="AZ113" i="5"/>
  <c r="AX113" i="5"/>
  <c r="AW113" i="5"/>
  <c r="AV113" i="5"/>
  <c r="AU113" i="5"/>
  <c r="AA113" i="5"/>
  <c r="T113" i="5"/>
  <c r="L113" i="5"/>
  <c r="K113" i="5"/>
  <c r="AZ112" i="5"/>
  <c r="AY112" i="5"/>
  <c r="AX112" i="5"/>
  <c r="AW112" i="5"/>
  <c r="AV112" i="5"/>
  <c r="AU112" i="5"/>
  <c r="Z112" i="5"/>
  <c r="L112" i="5"/>
  <c r="K112" i="5"/>
  <c r="AZ111" i="5"/>
  <c r="AX111" i="5"/>
  <c r="AW111" i="5"/>
  <c r="AV111" i="5"/>
  <c r="AU111" i="5"/>
  <c r="L111" i="5"/>
  <c r="K111" i="5"/>
  <c r="AZ110" i="5"/>
  <c r="AY110" i="5"/>
  <c r="AX110" i="5"/>
  <c r="AW110" i="5"/>
  <c r="AV110" i="5"/>
  <c r="AU110" i="5"/>
  <c r="L110" i="5"/>
  <c r="K110" i="5"/>
  <c r="AZ109" i="5"/>
  <c r="AX109" i="5"/>
  <c r="AW109" i="5"/>
  <c r="AV109" i="5"/>
  <c r="AU109" i="5"/>
  <c r="L109" i="5"/>
  <c r="K109" i="5"/>
  <c r="AZ108" i="5"/>
  <c r="AX108" i="5"/>
  <c r="AW108" i="5"/>
  <c r="AV108" i="5"/>
  <c r="AU108" i="5"/>
  <c r="L108" i="5"/>
  <c r="K108" i="5"/>
  <c r="AZ107" i="5"/>
  <c r="AX107" i="5"/>
  <c r="AW107" i="5"/>
  <c r="AV107" i="5"/>
  <c r="AU107" i="5"/>
  <c r="AA107" i="5"/>
  <c r="U107" i="5"/>
  <c r="O107" i="5"/>
  <c r="L107" i="5"/>
  <c r="K107" i="5"/>
  <c r="AZ106" i="5"/>
  <c r="AX106" i="5"/>
  <c r="AW106" i="5"/>
  <c r="AV106" i="5"/>
  <c r="AU106" i="5"/>
  <c r="O106" i="5"/>
  <c r="N106" i="5"/>
  <c r="L106" i="5"/>
  <c r="K106" i="5"/>
  <c r="AZ105" i="5"/>
  <c r="AX105" i="5"/>
  <c r="AW105" i="5"/>
  <c r="AV105" i="5"/>
  <c r="AU105" i="5"/>
  <c r="Q105" i="5"/>
  <c r="N105" i="5"/>
  <c r="L105" i="5"/>
  <c r="K105" i="5"/>
  <c r="AZ104" i="5"/>
  <c r="AX104" i="5"/>
  <c r="AW104" i="5"/>
  <c r="AV104" i="5"/>
  <c r="AU104" i="5"/>
  <c r="L104" i="5"/>
  <c r="K104" i="5"/>
  <c r="AZ103" i="5"/>
  <c r="AX103" i="5"/>
  <c r="AW103" i="5"/>
  <c r="AV103" i="5"/>
  <c r="AU103" i="5"/>
  <c r="L103" i="5"/>
  <c r="K103" i="5"/>
  <c r="AZ102" i="5"/>
  <c r="AY102" i="5"/>
  <c r="AX102" i="5"/>
  <c r="AW102" i="5"/>
  <c r="AV102" i="5"/>
  <c r="AU102" i="5"/>
  <c r="AB102" i="5"/>
  <c r="X102" i="5"/>
  <c r="V102" i="5"/>
  <c r="T102" i="5"/>
  <c r="L102" i="5"/>
  <c r="K102" i="5"/>
  <c r="AZ101" i="5"/>
  <c r="AX101" i="5"/>
  <c r="AW101" i="5"/>
  <c r="AV101" i="5"/>
  <c r="AU101" i="5"/>
  <c r="O101" i="5"/>
  <c r="L101" i="5"/>
  <c r="K101" i="5"/>
  <c r="AZ100" i="5"/>
  <c r="AX100" i="5"/>
  <c r="AW100" i="5"/>
  <c r="AV100" i="5"/>
  <c r="AU100" i="5"/>
  <c r="P100" i="5"/>
  <c r="M100" i="5"/>
  <c r="L100" i="5"/>
  <c r="K100" i="5"/>
  <c r="AZ99" i="5"/>
  <c r="AX99" i="5"/>
  <c r="AW99" i="5"/>
  <c r="AV99" i="5"/>
  <c r="AU99" i="5"/>
  <c r="Y99" i="5"/>
  <c r="P99" i="5"/>
  <c r="L99" i="5"/>
  <c r="K99" i="5"/>
  <c r="AZ98" i="5"/>
  <c r="AX98" i="5"/>
  <c r="AW98" i="5"/>
  <c r="AV98" i="5"/>
  <c r="AU98" i="5"/>
  <c r="L98" i="5"/>
  <c r="K98" i="5"/>
  <c r="AZ97" i="5"/>
  <c r="AX97" i="5"/>
  <c r="AW97" i="5"/>
  <c r="AV97" i="5"/>
  <c r="AU97" i="5"/>
  <c r="P97" i="5"/>
  <c r="L97" i="5"/>
  <c r="K97" i="5"/>
  <c r="H97" i="5"/>
  <c r="AZ96" i="5"/>
  <c r="AX96" i="5"/>
  <c r="AW96" i="5"/>
  <c r="AV96" i="5"/>
  <c r="AU96" i="5"/>
  <c r="Y96" i="5"/>
  <c r="N96" i="5"/>
  <c r="L96" i="5"/>
  <c r="K96" i="5"/>
  <c r="AZ95" i="5"/>
  <c r="AX95" i="5"/>
  <c r="AW95" i="5"/>
  <c r="AV95" i="5"/>
  <c r="AU95" i="5"/>
  <c r="Y95" i="5"/>
  <c r="AO95" i="5" s="1"/>
  <c r="X95" i="5"/>
  <c r="L95" i="5"/>
  <c r="K95" i="5"/>
  <c r="AZ94" i="5"/>
  <c r="AX94" i="5"/>
  <c r="AW94" i="5"/>
  <c r="AV94" i="5"/>
  <c r="AU94" i="5"/>
  <c r="AA94" i="5"/>
  <c r="L94" i="5"/>
  <c r="K94" i="5"/>
  <c r="H94" i="5"/>
  <c r="AZ93" i="5"/>
  <c r="AX93" i="5"/>
  <c r="AW93" i="5"/>
  <c r="AV93" i="5"/>
  <c r="AU93" i="5"/>
  <c r="L93" i="5"/>
  <c r="K93" i="5"/>
  <c r="AZ92" i="5"/>
  <c r="AY92" i="5"/>
  <c r="AX92" i="5"/>
  <c r="AW92" i="5"/>
  <c r="AV92" i="5"/>
  <c r="AU92" i="5"/>
  <c r="P92" i="5"/>
  <c r="L92" i="5"/>
  <c r="K92" i="5"/>
  <c r="AZ91" i="5"/>
  <c r="AX91" i="5"/>
  <c r="AW91" i="5"/>
  <c r="AV91" i="5"/>
  <c r="AU91" i="5"/>
  <c r="L91" i="5"/>
  <c r="K91" i="5"/>
  <c r="H91" i="5"/>
  <c r="AZ90" i="5"/>
  <c r="AX90" i="5"/>
  <c r="AW90" i="5"/>
  <c r="AV90" i="5"/>
  <c r="AU90" i="5"/>
  <c r="U90" i="5"/>
  <c r="O90" i="5"/>
  <c r="L90" i="5"/>
  <c r="K90" i="5"/>
  <c r="AZ89" i="5"/>
  <c r="AX89" i="5"/>
  <c r="AW89" i="5"/>
  <c r="AV89" i="5"/>
  <c r="AU89" i="5"/>
  <c r="Z89" i="5"/>
  <c r="X89" i="5"/>
  <c r="P89" i="5"/>
  <c r="L89" i="5"/>
  <c r="K89" i="5"/>
  <c r="AZ88" i="5"/>
  <c r="AX88" i="5"/>
  <c r="AW88" i="5"/>
  <c r="AV88" i="5"/>
  <c r="AU88" i="5"/>
  <c r="AB88" i="5"/>
  <c r="P88" i="5"/>
  <c r="L88" i="5"/>
  <c r="K88" i="5"/>
  <c r="AZ87" i="5"/>
  <c r="AX87" i="5"/>
  <c r="AW87" i="5"/>
  <c r="AV87" i="5"/>
  <c r="AU87" i="5"/>
  <c r="S87" i="5"/>
  <c r="N87" i="5"/>
  <c r="M87" i="5"/>
  <c r="L87" i="5"/>
  <c r="K87" i="5"/>
  <c r="AZ86" i="5"/>
  <c r="AX86" i="5"/>
  <c r="AW86" i="5"/>
  <c r="AV86" i="5"/>
  <c r="AU86" i="5"/>
  <c r="AB86" i="5"/>
  <c r="AA86" i="5"/>
  <c r="T86" i="5"/>
  <c r="L86" i="5"/>
  <c r="K86" i="5"/>
  <c r="AZ85" i="5"/>
  <c r="AX85" i="5"/>
  <c r="AW85" i="5"/>
  <c r="AV85" i="5"/>
  <c r="AU85" i="5"/>
  <c r="Y85" i="5"/>
  <c r="L85" i="5"/>
  <c r="K85" i="5"/>
  <c r="AZ84" i="5"/>
  <c r="AX84" i="5"/>
  <c r="AW84" i="5"/>
  <c r="AV84" i="5"/>
  <c r="AU84" i="5"/>
  <c r="Y84" i="5"/>
  <c r="X84" i="5"/>
  <c r="M84" i="5"/>
  <c r="L84" i="5"/>
  <c r="K84" i="5"/>
  <c r="H84" i="5"/>
  <c r="AZ83" i="5"/>
  <c r="AX83" i="5"/>
  <c r="AW83" i="5"/>
  <c r="AV83" i="5"/>
  <c r="AU83" i="5"/>
  <c r="M83" i="5"/>
  <c r="L83" i="5"/>
  <c r="K83" i="5"/>
  <c r="AZ82" i="5"/>
  <c r="AY82" i="5"/>
  <c r="AX82" i="5"/>
  <c r="AW82" i="5"/>
  <c r="AV82" i="5"/>
  <c r="AU82" i="5"/>
  <c r="Z82" i="5"/>
  <c r="T82" i="5"/>
  <c r="Q82" i="5"/>
  <c r="L82" i="5"/>
  <c r="K82" i="5"/>
  <c r="AZ81" i="5"/>
  <c r="AY81" i="5"/>
  <c r="AX81" i="5"/>
  <c r="AW81" i="5"/>
  <c r="AV81" i="5"/>
  <c r="AU81" i="5"/>
  <c r="X81" i="5"/>
  <c r="M81" i="5"/>
  <c r="L81" i="5"/>
  <c r="K81" i="5"/>
  <c r="AZ80" i="5"/>
  <c r="AX80" i="5"/>
  <c r="AW80" i="5"/>
  <c r="AV80" i="5"/>
  <c r="AU80" i="5"/>
  <c r="V80" i="5"/>
  <c r="U80" i="5"/>
  <c r="P80" i="5"/>
  <c r="L80" i="5"/>
  <c r="K80" i="5"/>
  <c r="AZ79" i="5"/>
  <c r="AX79" i="5"/>
  <c r="AW79" i="5"/>
  <c r="AV79" i="5"/>
  <c r="AU79" i="5"/>
  <c r="W79" i="5"/>
  <c r="L79" i="5"/>
  <c r="K79" i="5"/>
  <c r="H79" i="5"/>
  <c r="AZ78" i="5"/>
  <c r="AY78" i="5"/>
  <c r="AX78" i="5"/>
  <c r="AW78" i="5"/>
  <c r="AV78" i="5"/>
  <c r="AU78" i="5"/>
  <c r="AB78" i="5"/>
  <c r="AA78" i="5"/>
  <c r="P78" i="5"/>
  <c r="L78" i="5"/>
  <c r="K78" i="5"/>
  <c r="AZ77" i="5"/>
  <c r="AX77" i="5"/>
  <c r="AW77" i="5"/>
  <c r="AV77" i="5"/>
  <c r="AU77" i="5"/>
  <c r="AB77" i="5"/>
  <c r="AA77" i="5"/>
  <c r="T77" i="5"/>
  <c r="L77" i="5"/>
  <c r="K77" i="5"/>
  <c r="AZ76" i="5"/>
  <c r="AY76" i="5"/>
  <c r="AX76" i="5"/>
  <c r="AW76" i="5"/>
  <c r="AV76" i="5"/>
  <c r="AU76" i="5"/>
  <c r="X76" i="5"/>
  <c r="Q76" i="5"/>
  <c r="P76" i="5"/>
  <c r="L76" i="5"/>
  <c r="K76" i="5"/>
  <c r="AZ75" i="5"/>
  <c r="AX75" i="5"/>
  <c r="AW75" i="5"/>
  <c r="AV75" i="5"/>
  <c r="AU75" i="5"/>
  <c r="Y75" i="5"/>
  <c r="X75" i="5"/>
  <c r="V75" i="5"/>
  <c r="M75" i="5"/>
  <c r="L75" i="5"/>
  <c r="K75" i="5"/>
  <c r="H75" i="5"/>
  <c r="AZ74" i="5"/>
  <c r="AX74" i="5"/>
  <c r="AW74" i="5"/>
  <c r="AV74" i="5"/>
  <c r="AU74" i="5"/>
  <c r="AA74" i="5"/>
  <c r="P74" i="5"/>
  <c r="L74" i="5"/>
  <c r="K74" i="5"/>
  <c r="AZ73" i="5"/>
  <c r="AX73" i="5"/>
  <c r="AW73" i="5"/>
  <c r="AV73" i="5"/>
  <c r="AU73" i="5"/>
  <c r="Z73" i="5"/>
  <c r="P73" i="5"/>
  <c r="L73" i="5"/>
  <c r="K73" i="5"/>
  <c r="AZ72" i="5"/>
  <c r="AY72" i="5"/>
  <c r="AX72" i="5"/>
  <c r="AW72" i="5"/>
  <c r="AV72" i="5"/>
  <c r="AU72" i="5"/>
  <c r="L72" i="5"/>
  <c r="K72" i="5"/>
  <c r="AZ71" i="5"/>
  <c r="AX71" i="5"/>
  <c r="AW71" i="5"/>
  <c r="AV71" i="5"/>
  <c r="AU71" i="5"/>
  <c r="AA71" i="5"/>
  <c r="X71" i="5"/>
  <c r="P71" i="5"/>
  <c r="L71" i="5"/>
  <c r="K71" i="5"/>
  <c r="AZ70" i="5"/>
  <c r="AX70" i="5"/>
  <c r="AW70" i="5"/>
  <c r="AV70" i="5"/>
  <c r="AU70" i="5"/>
  <c r="AB70" i="5"/>
  <c r="M70" i="5"/>
  <c r="L70" i="5"/>
  <c r="K70" i="5"/>
  <c r="AZ69" i="5"/>
  <c r="AX69" i="5"/>
  <c r="AW69" i="5"/>
  <c r="AV69" i="5"/>
  <c r="AU69" i="5"/>
  <c r="T69" i="5"/>
  <c r="L69" i="5"/>
  <c r="K69" i="5"/>
  <c r="H69" i="5"/>
  <c r="AZ68" i="5"/>
  <c r="AX68" i="5"/>
  <c r="AW68" i="5"/>
  <c r="AV68" i="5"/>
  <c r="AU68" i="5"/>
  <c r="W68" i="5"/>
  <c r="L68" i="5"/>
  <c r="K68" i="5"/>
  <c r="H68" i="5"/>
  <c r="AZ67" i="5"/>
  <c r="AX67" i="5"/>
  <c r="AW67" i="5"/>
  <c r="AV67" i="5"/>
  <c r="AU67" i="5"/>
  <c r="AB67" i="5"/>
  <c r="Z67" i="5"/>
  <c r="Q67" i="5"/>
  <c r="L67" i="5"/>
  <c r="K67" i="5"/>
  <c r="AZ66" i="5"/>
  <c r="AX66" i="5"/>
  <c r="AW66" i="5"/>
  <c r="AV66" i="5"/>
  <c r="AU66" i="5"/>
  <c r="O66" i="5"/>
  <c r="L66" i="5"/>
  <c r="K66" i="5"/>
  <c r="AZ65" i="5"/>
  <c r="AY65" i="5"/>
  <c r="AX65" i="5"/>
  <c r="AW65" i="5"/>
  <c r="AV65" i="5"/>
  <c r="AU65" i="5"/>
  <c r="R65" i="5"/>
  <c r="L65" i="5"/>
  <c r="K65" i="5"/>
  <c r="AZ64" i="5"/>
  <c r="AX64" i="5"/>
  <c r="AW64" i="5"/>
  <c r="AV64" i="5"/>
  <c r="AU64" i="5"/>
  <c r="Q64" i="5"/>
  <c r="M64" i="5"/>
  <c r="L64" i="5"/>
  <c r="K64" i="5"/>
  <c r="AZ63" i="5"/>
  <c r="AX63" i="5"/>
  <c r="AW63" i="5"/>
  <c r="AV63" i="5"/>
  <c r="AU63" i="5"/>
  <c r="L63" i="5"/>
  <c r="K63" i="5"/>
  <c r="AZ62" i="5"/>
  <c r="AY62" i="5"/>
  <c r="AX62" i="5"/>
  <c r="AW62" i="5"/>
  <c r="AV62" i="5"/>
  <c r="AU62" i="5"/>
  <c r="AB62" i="5"/>
  <c r="X62" i="5"/>
  <c r="L62" i="5"/>
  <c r="K62" i="5"/>
  <c r="AZ61" i="5"/>
  <c r="AY61" i="5"/>
  <c r="AX61" i="5"/>
  <c r="AW61" i="5"/>
  <c r="AV61" i="5"/>
  <c r="AU61" i="5"/>
  <c r="P61" i="5"/>
  <c r="L61" i="5"/>
  <c r="K61" i="5"/>
  <c r="AZ60" i="5"/>
  <c r="AX60" i="5"/>
  <c r="AW60" i="5"/>
  <c r="AV60" i="5"/>
  <c r="AU60" i="5"/>
  <c r="AB60" i="5"/>
  <c r="Y60" i="5"/>
  <c r="T60" i="5"/>
  <c r="P60" i="5"/>
  <c r="L60" i="5"/>
  <c r="K60" i="5"/>
  <c r="H60" i="5"/>
  <c r="AZ59" i="5"/>
  <c r="AX59" i="5"/>
  <c r="AW59" i="5"/>
  <c r="AV59" i="5"/>
  <c r="AU59" i="5"/>
  <c r="Z59" i="5"/>
  <c r="R59" i="5"/>
  <c r="Q59" i="5"/>
  <c r="L59" i="5"/>
  <c r="K59" i="5"/>
  <c r="H59" i="5"/>
  <c r="AZ58" i="5"/>
  <c r="AY58" i="5"/>
  <c r="AX58" i="5"/>
  <c r="AW58" i="5"/>
  <c r="AV58" i="5"/>
  <c r="AU58" i="5"/>
  <c r="V58" i="5"/>
  <c r="Q58" i="5"/>
  <c r="L58" i="5"/>
  <c r="K58" i="5"/>
  <c r="AZ57" i="5"/>
  <c r="AX57" i="5"/>
  <c r="AW57" i="5"/>
  <c r="AV57" i="5"/>
  <c r="AU57" i="5"/>
  <c r="AB57" i="5"/>
  <c r="Y57" i="5"/>
  <c r="Q57" i="5"/>
  <c r="L57" i="5"/>
  <c r="K57" i="5"/>
  <c r="AZ56" i="5"/>
  <c r="AX56" i="5"/>
  <c r="AW56" i="5"/>
  <c r="AV56" i="5"/>
  <c r="AU56" i="5"/>
  <c r="S56" i="5"/>
  <c r="L56" i="5"/>
  <c r="K56" i="5"/>
  <c r="AZ55" i="5"/>
  <c r="AX55" i="5"/>
  <c r="AW55" i="5"/>
  <c r="AV55" i="5"/>
  <c r="AU55" i="5"/>
  <c r="X55" i="5"/>
  <c r="V55" i="5"/>
  <c r="U55" i="5"/>
  <c r="Q55" i="5"/>
  <c r="L55" i="5"/>
  <c r="K55" i="5"/>
  <c r="AZ54" i="5"/>
  <c r="AX54" i="5"/>
  <c r="AW54" i="5"/>
  <c r="AV54" i="5"/>
  <c r="AU54" i="5"/>
  <c r="AB54" i="5"/>
  <c r="V54" i="5"/>
  <c r="T54" i="5"/>
  <c r="S54" i="5"/>
  <c r="P54" i="5"/>
  <c r="L54" i="5"/>
  <c r="K54" i="5"/>
  <c r="AZ53" i="5"/>
  <c r="AX53" i="5"/>
  <c r="AW53" i="5"/>
  <c r="AV53" i="5"/>
  <c r="AU53" i="5"/>
  <c r="T53" i="5"/>
  <c r="O53" i="5"/>
  <c r="L53" i="5"/>
  <c r="K53" i="5"/>
  <c r="AZ52" i="5"/>
  <c r="AY52" i="5"/>
  <c r="AX52" i="5"/>
  <c r="AW52" i="5"/>
  <c r="AV52" i="5"/>
  <c r="AU52" i="5"/>
  <c r="V52" i="5"/>
  <c r="L52" i="5"/>
  <c r="K52" i="5"/>
  <c r="AZ51" i="5"/>
  <c r="AX51" i="5"/>
  <c r="AW51" i="5"/>
  <c r="AV51" i="5"/>
  <c r="AU51" i="5"/>
  <c r="S51" i="5"/>
  <c r="L51" i="5"/>
  <c r="K51" i="5"/>
  <c r="AZ50" i="5"/>
  <c r="AX50" i="5"/>
  <c r="AW50" i="5"/>
  <c r="AV50" i="5"/>
  <c r="AU50" i="5"/>
  <c r="AB50" i="5"/>
  <c r="X50" i="5"/>
  <c r="L50" i="5"/>
  <c r="K50" i="5"/>
  <c r="AZ49" i="5"/>
  <c r="AX49" i="5"/>
  <c r="AW49" i="5"/>
  <c r="AV49" i="5"/>
  <c r="AU49" i="5"/>
  <c r="Z49" i="5"/>
  <c r="S49" i="5"/>
  <c r="R49" i="5"/>
  <c r="L49" i="5"/>
  <c r="K49" i="5"/>
  <c r="AZ48" i="5"/>
  <c r="AX48" i="5"/>
  <c r="AW48" i="5"/>
  <c r="AV48" i="5"/>
  <c r="AU48" i="5"/>
  <c r="T48" i="5"/>
  <c r="R48" i="5"/>
  <c r="L48" i="5"/>
  <c r="K48" i="5"/>
  <c r="AZ47" i="5"/>
  <c r="AX47" i="5"/>
  <c r="AW47" i="5"/>
  <c r="AV47" i="5"/>
  <c r="AU47" i="5"/>
  <c r="AP47" i="5"/>
  <c r="Y47" i="5"/>
  <c r="X47" i="5"/>
  <c r="L47" i="5"/>
  <c r="K47" i="5"/>
  <c r="AZ46" i="5"/>
  <c r="AX46" i="5"/>
  <c r="AW46" i="5"/>
  <c r="AV46" i="5"/>
  <c r="AU46" i="5"/>
  <c r="X46" i="5"/>
  <c r="M46" i="5"/>
  <c r="L46" i="5"/>
  <c r="K46" i="5"/>
  <c r="H46" i="5"/>
  <c r="AZ45" i="5"/>
  <c r="AX45" i="5"/>
  <c r="AW45" i="5"/>
  <c r="AV45" i="5"/>
  <c r="AU45" i="5"/>
  <c r="L45" i="5"/>
  <c r="K45" i="5"/>
  <c r="AZ44" i="5"/>
  <c r="AX44" i="5"/>
  <c r="AW44" i="5"/>
  <c r="AV44" i="5"/>
  <c r="AU44" i="5"/>
  <c r="Y44" i="5"/>
  <c r="U44" i="5"/>
  <c r="R44" i="5"/>
  <c r="L44" i="5"/>
  <c r="K44" i="5"/>
  <c r="AZ43" i="5"/>
  <c r="AX43" i="5"/>
  <c r="AW43" i="5"/>
  <c r="AV43" i="5"/>
  <c r="AU43" i="5"/>
  <c r="R43" i="5"/>
  <c r="L43" i="5"/>
  <c r="K43" i="5"/>
  <c r="AZ42" i="5"/>
  <c r="AX42" i="5"/>
  <c r="AW42" i="5"/>
  <c r="AV42" i="5"/>
  <c r="AU42" i="5"/>
  <c r="AB42" i="5"/>
  <c r="L42" i="5"/>
  <c r="K42" i="5"/>
  <c r="AZ41" i="5"/>
  <c r="AX41" i="5"/>
  <c r="AW41" i="5"/>
  <c r="AV41" i="5"/>
  <c r="AU41" i="5"/>
  <c r="T41" i="5"/>
  <c r="P41" i="5"/>
  <c r="L41" i="5"/>
  <c r="K41" i="5"/>
  <c r="H41" i="5"/>
  <c r="AZ40" i="5"/>
  <c r="AX40" i="5"/>
  <c r="AW40" i="5"/>
  <c r="AV40" i="5"/>
  <c r="AU40" i="5"/>
  <c r="L40" i="5"/>
  <c r="K40" i="5"/>
  <c r="AZ39" i="5"/>
  <c r="AX39" i="5"/>
  <c r="AW39" i="5"/>
  <c r="AV39" i="5"/>
  <c r="AU39" i="5"/>
  <c r="X39" i="5"/>
  <c r="L39" i="5"/>
  <c r="K39" i="5"/>
  <c r="AZ38" i="5"/>
  <c r="AX38" i="5"/>
  <c r="AW38" i="5"/>
  <c r="AV38" i="5"/>
  <c r="AU38" i="5"/>
  <c r="Z38" i="5"/>
  <c r="L38" i="5"/>
  <c r="K38" i="5"/>
  <c r="AZ37" i="5"/>
  <c r="AX37" i="5"/>
  <c r="AW37" i="5"/>
  <c r="AV37" i="5"/>
  <c r="AU37" i="5"/>
  <c r="V37" i="5"/>
  <c r="AL37" i="5" s="1"/>
  <c r="L37" i="5"/>
  <c r="K37" i="5"/>
  <c r="AZ36" i="5"/>
  <c r="AX36" i="5"/>
  <c r="AW36" i="5"/>
  <c r="AV36" i="5"/>
  <c r="AU36" i="5"/>
  <c r="R36" i="5"/>
  <c r="L36" i="5"/>
  <c r="K36" i="5"/>
  <c r="H36" i="5"/>
  <c r="AZ35" i="5"/>
  <c r="AX35" i="5"/>
  <c r="AW35" i="5"/>
  <c r="AV35" i="5"/>
  <c r="AU35" i="5"/>
  <c r="L35" i="5"/>
  <c r="K35" i="5"/>
  <c r="AZ34" i="5"/>
  <c r="AY34" i="5"/>
  <c r="AX34" i="5"/>
  <c r="AW34" i="5"/>
  <c r="AV34" i="5"/>
  <c r="AU34" i="5"/>
  <c r="Z34" i="5"/>
  <c r="Y34" i="5"/>
  <c r="P34" i="5"/>
  <c r="L34" i="5"/>
  <c r="K34" i="5"/>
  <c r="AZ33" i="5"/>
  <c r="AX33" i="5"/>
  <c r="AW33" i="5"/>
  <c r="AV33" i="5"/>
  <c r="AU33" i="5"/>
  <c r="T33" i="5"/>
  <c r="P33" i="5"/>
  <c r="L33" i="5"/>
  <c r="K33" i="5"/>
  <c r="AZ32" i="5"/>
  <c r="AX32" i="5"/>
  <c r="AW32" i="5"/>
  <c r="AV32" i="5"/>
  <c r="AU32" i="5"/>
  <c r="L32" i="5"/>
  <c r="K32" i="5"/>
  <c r="H32" i="5"/>
  <c r="AZ31" i="5"/>
  <c r="AX31" i="5"/>
  <c r="AW31" i="5"/>
  <c r="AV31" i="5"/>
  <c r="AU31" i="5"/>
  <c r="X31" i="5"/>
  <c r="S31" i="5"/>
  <c r="L31" i="5"/>
  <c r="K31" i="5"/>
  <c r="AZ30" i="5"/>
  <c r="AY30" i="5"/>
  <c r="AX30" i="5"/>
  <c r="AW30" i="5"/>
  <c r="AV30" i="5"/>
  <c r="AU30" i="5"/>
  <c r="P30" i="5"/>
  <c r="L30" i="5"/>
  <c r="K30" i="5"/>
  <c r="AZ29" i="5"/>
  <c r="AX29" i="5"/>
  <c r="AW29" i="5"/>
  <c r="AV29" i="5"/>
  <c r="AU29" i="5"/>
  <c r="T29" i="5"/>
  <c r="M29" i="5"/>
  <c r="L29" i="5"/>
  <c r="K29" i="5"/>
  <c r="AZ28" i="5"/>
  <c r="AX28" i="5"/>
  <c r="AW28" i="5"/>
  <c r="AV28" i="5"/>
  <c r="AU28" i="5"/>
  <c r="AB28" i="5"/>
  <c r="U28" i="5"/>
  <c r="N28" i="5"/>
  <c r="L28" i="5"/>
  <c r="K28" i="5"/>
  <c r="AZ27" i="5"/>
  <c r="AX27" i="5"/>
  <c r="AW27" i="5"/>
  <c r="AV27" i="5"/>
  <c r="AU27" i="5"/>
  <c r="U27" i="5"/>
  <c r="O27" i="5"/>
  <c r="L27" i="5"/>
  <c r="K27" i="5"/>
  <c r="AZ26" i="5"/>
  <c r="AX26" i="5"/>
  <c r="AW26" i="5"/>
  <c r="AV26" i="5"/>
  <c r="AU26" i="5"/>
  <c r="L26" i="5"/>
  <c r="K26" i="5"/>
  <c r="AZ25" i="5"/>
  <c r="AX25" i="5"/>
  <c r="AW25" i="5"/>
  <c r="AV25" i="5"/>
  <c r="AU25" i="5"/>
  <c r="AB25" i="5"/>
  <c r="L25" i="5"/>
  <c r="K25" i="5"/>
  <c r="AZ24" i="5"/>
  <c r="AY24" i="5"/>
  <c r="AX24" i="5"/>
  <c r="AW24" i="5"/>
  <c r="AV24" i="5"/>
  <c r="AU24" i="5"/>
  <c r="R24" i="5"/>
  <c r="Q24" i="5"/>
  <c r="L24" i="5"/>
  <c r="K24" i="5"/>
  <c r="AZ23" i="5"/>
  <c r="AY23" i="5"/>
  <c r="AX23" i="5"/>
  <c r="AW23" i="5"/>
  <c r="AV23" i="5"/>
  <c r="AU23" i="5"/>
  <c r="Z23" i="5"/>
  <c r="X23" i="5"/>
  <c r="L23" i="5"/>
  <c r="K23" i="5"/>
  <c r="AZ22" i="5"/>
  <c r="AX22" i="5"/>
  <c r="AW22" i="5"/>
  <c r="AV22" i="5"/>
  <c r="AU22" i="5"/>
  <c r="M22" i="5"/>
  <c r="L22" i="5"/>
  <c r="K22" i="5"/>
  <c r="AZ21" i="5"/>
  <c r="AX21" i="5"/>
  <c r="AW21" i="5"/>
  <c r="AV21" i="5"/>
  <c r="AU21" i="5"/>
  <c r="AB21" i="5"/>
  <c r="V21" i="5"/>
  <c r="U21" i="5"/>
  <c r="R21" i="5"/>
  <c r="L21" i="5"/>
  <c r="K21" i="5"/>
  <c r="AZ20" i="5"/>
  <c r="AX20" i="5"/>
  <c r="AW20" i="5"/>
  <c r="AV20" i="5"/>
  <c r="AU20" i="5"/>
  <c r="M20" i="5"/>
  <c r="L20" i="5"/>
  <c r="K20" i="5"/>
  <c r="AZ19" i="5"/>
  <c r="AY19" i="5"/>
  <c r="AX19" i="5"/>
  <c r="AW19" i="5"/>
  <c r="AV19" i="5"/>
  <c r="AU19" i="5"/>
  <c r="U19" i="5"/>
  <c r="L19" i="5"/>
  <c r="K19" i="5"/>
  <c r="H19" i="5"/>
  <c r="AZ18" i="5"/>
  <c r="AX18" i="5"/>
  <c r="AW18" i="5"/>
  <c r="AV18" i="5"/>
  <c r="AU18" i="5"/>
  <c r="T18" i="5"/>
  <c r="L18" i="5"/>
  <c r="K18" i="5"/>
  <c r="AZ17" i="5"/>
  <c r="AX17" i="5"/>
  <c r="AW17" i="5"/>
  <c r="AV17" i="5"/>
  <c r="AU17" i="5"/>
  <c r="Q17" i="5"/>
  <c r="P17" i="5"/>
  <c r="L17" i="5"/>
  <c r="K17" i="5"/>
  <c r="AZ16" i="5"/>
  <c r="AX16" i="5"/>
  <c r="AW16" i="5"/>
  <c r="AV16" i="5"/>
  <c r="AU16" i="5"/>
  <c r="M16" i="5"/>
  <c r="L16" i="5"/>
  <c r="K16" i="5"/>
  <c r="AZ15" i="5"/>
  <c r="AX15" i="5"/>
  <c r="AW15" i="5"/>
  <c r="AV15" i="5"/>
  <c r="AU15" i="5"/>
  <c r="Z15" i="5"/>
  <c r="Q15" i="5"/>
  <c r="M15" i="5"/>
  <c r="L15" i="5"/>
  <c r="K15" i="5"/>
  <c r="AZ14" i="5"/>
  <c r="AX14" i="5"/>
  <c r="AW14" i="5"/>
  <c r="AV14" i="5"/>
  <c r="AU14" i="5"/>
  <c r="M14" i="5"/>
  <c r="L14" i="5"/>
  <c r="K14" i="5"/>
  <c r="AZ13" i="5"/>
  <c r="AY13" i="5"/>
  <c r="AX13" i="5"/>
  <c r="AW13" i="5"/>
  <c r="AV13" i="5"/>
  <c r="AU13" i="5"/>
  <c r="AA13" i="5"/>
  <c r="Z13" i="5"/>
  <c r="V13" i="5"/>
  <c r="T13" i="5"/>
  <c r="Q13" i="5"/>
  <c r="L13" i="5"/>
  <c r="K13" i="5"/>
  <c r="H13" i="5"/>
  <c r="AZ12" i="5"/>
  <c r="AY12" i="5"/>
  <c r="AX12" i="5"/>
  <c r="AW12" i="5"/>
  <c r="AV12" i="5"/>
  <c r="AU12" i="5"/>
  <c r="S12" i="5"/>
  <c r="L12" i="5"/>
  <c r="K12" i="5"/>
  <c r="AZ11" i="5"/>
  <c r="AY11" i="5"/>
  <c r="AX11" i="5"/>
  <c r="AW11" i="5"/>
  <c r="AV11" i="5"/>
  <c r="AU11" i="5"/>
  <c r="T11" i="5"/>
  <c r="Q11" i="5"/>
  <c r="M11" i="5"/>
  <c r="L11" i="5"/>
  <c r="K11" i="5"/>
  <c r="AZ10" i="5"/>
  <c r="AX10" i="5"/>
  <c r="AW10" i="5"/>
  <c r="AV10" i="5"/>
  <c r="AU10" i="5"/>
  <c r="S10" i="5"/>
  <c r="L10" i="5"/>
  <c r="K10" i="5"/>
  <c r="H10" i="5"/>
  <c r="AZ9" i="5"/>
  <c r="AX9" i="5"/>
  <c r="AW9" i="5"/>
  <c r="AV9" i="5"/>
  <c r="AU9" i="5"/>
  <c r="Y9" i="5"/>
  <c r="U9" i="5"/>
  <c r="R9" i="5"/>
  <c r="N9" i="5"/>
  <c r="L9" i="5"/>
  <c r="K9" i="5"/>
  <c r="AZ8" i="5"/>
  <c r="AX8" i="5"/>
  <c r="AW8" i="5"/>
  <c r="AV8" i="5"/>
  <c r="AU8" i="5"/>
  <c r="Z8" i="5"/>
  <c r="L8" i="5"/>
  <c r="K8" i="5"/>
  <c r="AZ7" i="5"/>
  <c r="AX7" i="5"/>
  <c r="AW7" i="5"/>
  <c r="AV7" i="5"/>
  <c r="AU7" i="5"/>
  <c r="AB7" i="5"/>
  <c r="X7" i="5"/>
  <c r="L7" i="5"/>
  <c r="K7" i="5"/>
  <c r="AZ6" i="5"/>
  <c r="AX6" i="5"/>
  <c r="AW6" i="5"/>
  <c r="AV6" i="5"/>
  <c r="AU6" i="5"/>
  <c r="Q6" i="5"/>
  <c r="P6" i="5"/>
  <c r="L6" i="5"/>
  <c r="K6" i="5"/>
  <c r="AI238" i="4"/>
  <c r="AH238" i="4"/>
  <c r="H238" i="5" s="1"/>
  <c r="F238" i="4"/>
  <c r="AI237" i="4"/>
  <c r="AH237" i="4"/>
  <c r="H237" i="5" s="1"/>
  <c r="F237" i="4"/>
  <c r="AI236" i="4"/>
  <c r="AH236" i="4"/>
  <c r="F236" i="4"/>
  <c r="AI235" i="4"/>
  <c r="AH235" i="4"/>
  <c r="H235" i="5" s="1"/>
  <c r="F235" i="4"/>
  <c r="AI234" i="4"/>
  <c r="AH234" i="4"/>
  <c r="H234" i="5" s="1"/>
  <c r="F234" i="4"/>
  <c r="AI233" i="4"/>
  <c r="AH233" i="4"/>
  <c r="H233" i="5" s="1"/>
  <c r="F233" i="4"/>
  <c r="AI232" i="4"/>
  <c r="AH232" i="4"/>
  <c r="H232" i="5" s="1"/>
  <c r="F232" i="4"/>
  <c r="AI231" i="4"/>
  <c r="AH231" i="4"/>
  <c r="H231" i="5" s="1"/>
  <c r="F231" i="4"/>
  <c r="AI230" i="4"/>
  <c r="AH230" i="4"/>
  <c r="H230" i="5" s="1"/>
  <c r="F230" i="4"/>
  <c r="AI229" i="4"/>
  <c r="AH229" i="4"/>
  <c r="H229" i="5" s="1"/>
  <c r="F229" i="4"/>
  <c r="AI228" i="4"/>
  <c r="AH228" i="4"/>
  <c r="F228" i="4"/>
  <c r="AI227" i="4"/>
  <c r="AH227" i="4"/>
  <c r="F227" i="4"/>
  <c r="AI226" i="4"/>
  <c r="AH226" i="4"/>
  <c r="H226" i="5" s="1"/>
  <c r="F226" i="4"/>
  <c r="AI225" i="4"/>
  <c r="AH225" i="4"/>
  <c r="H225" i="5" s="1"/>
  <c r="F225" i="4"/>
  <c r="AI224" i="4"/>
  <c r="AH224" i="4"/>
  <c r="H224" i="5" s="1"/>
  <c r="F224" i="4"/>
  <c r="AI223" i="4"/>
  <c r="AH223" i="4"/>
  <c r="H223" i="5" s="1"/>
  <c r="F223" i="4"/>
  <c r="AI222" i="4"/>
  <c r="AH222" i="4"/>
  <c r="H222" i="5" s="1"/>
  <c r="F222" i="4"/>
  <c r="AI221" i="4"/>
  <c r="AH221" i="4"/>
  <c r="H221" i="5" s="1"/>
  <c r="F221" i="4"/>
  <c r="AI220" i="4"/>
  <c r="AH220" i="4"/>
  <c r="H220" i="5" s="1"/>
  <c r="F220" i="4"/>
  <c r="AI219" i="4"/>
  <c r="AH219" i="4"/>
  <c r="H219" i="5" s="1"/>
  <c r="F219" i="4"/>
  <c r="AI218" i="4"/>
  <c r="AH218" i="4"/>
  <c r="H218" i="5" s="1"/>
  <c r="F218" i="4"/>
  <c r="AI217" i="4"/>
  <c r="AH217" i="4"/>
  <c r="H217" i="5" s="1"/>
  <c r="F217" i="4"/>
  <c r="AI216" i="4"/>
  <c r="AH216" i="4"/>
  <c r="H216" i="5" s="1"/>
  <c r="F216" i="4"/>
  <c r="AI215" i="4"/>
  <c r="AH215" i="4"/>
  <c r="H215" i="5" s="1"/>
  <c r="F215" i="4"/>
  <c r="AI214" i="4"/>
  <c r="AH214" i="4"/>
  <c r="H214" i="5" s="1"/>
  <c r="F214" i="4"/>
  <c r="AI213" i="4"/>
  <c r="AH213" i="4"/>
  <c r="H213" i="5" s="1"/>
  <c r="F213" i="4"/>
  <c r="AI212" i="4"/>
  <c r="AH212" i="4"/>
  <c r="H212" i="5" s="1"/>
  <c r="F212" i="4"/>
  <c r="AI211" i="4"/>
  <c r="AH211" i="4"/>
  <c r="H211" i="5" s="1"/>
  <c r="F211" i="4"/>
  <c r="AI210" i="4"/>
  <c r="AH210" i="4"/>
  <c r="H210" i="5" s="1"/>
  <c r="F210" i="4"/>
  <c r="AI209" i="4"/>
  <c r="AH209" i="4"/>
  <c r="H209" i="5" s="1"/>
  <c r="F209" i="4"/>
  <c r="AI208" i="4"/>
  <c r="AH208" i="4"/>
  <c r="H208" i="5" s="1"/>
  <c r="F208" i="4"/>
  <c r="AI207" i="4"/>
  <c r="AH207" i="4"/>
  <c r="H207" i="5" s="1"/>
  <c r="F207" i="4"/>
  <c r="AI206" i="4"/>
  <c r="AH206" i="4"/>
  <c r="H206" i="5" s="1"/>
  <c r="F206" i="4"/>
  <c r="AI205" i="4"/>
  <c r="AH205" i="4"/>
  <c r="H205" i="5" s="1"/>
  <c r="F205" i="4"/>
  <c r="AI204" i="4"/>
  <c r="AH204" i="4"/>
  <c r="F204" i="4"/>
  <c r="AI203" i="4"/>
  <c r="AH203" i="4"/>
  <c r="F203" i="4"/>
  <c r="AI202" i="4"/>
  <c r="AH202" i="4"/>
  <c r="H202" i="5" s="1"/>
  <c r="F202" i="4"/>
  <c r="AI201" i="4"/>
  <c r="AH201" i="4"/>
  <c r="H201" i="5" s="1"/>
  <c r="F201" i="4"/>
  <c r="AI200" i="4"/>
  <c r="AH200" i="4"/>
  <c r="H200" i="5" s="1"/>
  <c r="F200" i="4"/>
  <c r="AI199" i="4"/>
  <c r="AH199" i="4"/>
  <c r="H199" i="5" s="1"/>
  <c r="AI198" i="4"/>
  <c r="AH198" i="4"/>
  <c r="H198" i="5" s="1"/>
  <c r="F198" i="4"/>
  <c r="AI197" i="4"/>
  <c r="AH197" i="4"/>
  <c r="H197" i="5" s="1"/>
  <c r="F197" i="4"/>
  <c r="AI196" i="4"/>
  <c r="AH196" i="4"/>
  <c r="H196" i="5" s="1"/>
  <c r="F196" i="4"/>
  <c r="AI195" i="4"/>
  <c r="AH195" i="4"/>
  <c r="H195" i="5" s="1"/>
  <c r="F195" i="4"/>
  <c r="AI194" i="4"/>
  <c r="AH194" i="4"/>
  <c r="H194" i="5" s="1"/>
  <c r="F194" i="4"/>
  <c r="AI193" i="4"/>
  <c r="AH193" i="4"/>
  <c r="H193" i="5" s="1"/>
  <c r="F193" i="4"/>
  <c r="AI192" i="4"/>
  <c r="AH192" i="4"/>
  <c r="H192" i="5" s="1"/>
  <c r="F192" i="4"/>
  <c r="AI191" i="4"/>
  <c r="AH191" i="4"/>
  <c r="H191" i="5" s="1"/>
  <c r="F191" i="4"/>
  <c r="AI190" i="4"/>
  <c r="AH190" i="4"/>
  <c r="H190" i="5" s="1"/>
  <c r="F190" i="4"/>
  <c r="AI189" i="4"/>
  <c r="AH189" i="4"/>
  <c r="H189" i="5" s="1"/>
  <c r="F189" i="4"/>
  <c r="AI188" i="4"/>
  <c r="AH188" i="4"/>
  <c r="F188" i="4"/>
  <c r="AI187" i="4"/>
  <c r="AH187" i="4"/>
  <c r="H187" i="5" s="1"/>
  <c r="F187" i="4"/>
  <c r="AI186" i="4"/>
  <c r="AH186" i="4"/>
  <c r="H186" i="5" s="1"/>
  <c r="F186" i="4"/>
  <c r="AI185" i="4"/>
  <c r="AH185" i="4"/>
  <c r="H185" i="5" s="1"/>
  <c r="F185" i="4"/>
  <c r="AI184" i="4"/>
  <c r="AH184" i="4"/>
  <c r="H184" i="5" s="1"/>
  <c r="F184" i="4"/>
  <c r="AI183" i="4"/>
  <c r="AH183" i="4"/>
  <c r="H183" i="5" s="1"/>
  <c r="F183" i="4"/>
  <c r="AI182" i="4"/>
  <c r="AH182" i="4"/>
  <c r="H182" i="5" s="1"/>
  <c r="F182" i="4"/>
  <c r="AI181" i="4"/>
  <c r="AH181" i="4"/>
  <c r="H181" i="5" s="1"/>
  <c r="F181" i="4"/>
  <c r="AI180" i="4"/>
  <c r="AH180" i="4"/>
  <c r="H180" i="5" s="1"/>
  <c r="F180" i="4"/>
  <c r="AI179" i="4"/>
  <c r="AH179" i="4"/>
  <c r="H179" i="5" s="1"/>
  <c r="F179" i="4"/>
  <c r="AI178" i="4"/>
  <c r="AH178" i="4"/>
  <c r="H178" i="5" s="1"/>
  <c r="F178" i="4"/>
  <c r="AI177" i="4"/>
  <c r="AH177" i="4"/>
  <c r="H177" i="5" s="1"/>
  <c r="F177" i="4"/>
  <c r="AI176" i="4"/>
  <c r="AH176" i="4"/>
  <c r="F176" i="4"/>
  <c r="AI175" i="4"/>
  <c r="AH175" i="4"/>
  <c r="H175" i="5" s="1"/>
  <c r="F175" i="4"/>
  <c r="AI174" i="4"/>
  <c r="AH174" i="4"/>
  <c r="H174" i="5" s="1"/>
  <c r="F174" i="4"/>
  <c r="AI173" i="4"/>
  <c r="AH173" i="4"/>
  <c r="F173" i="4"/>
  <c r="AI172" i="4"/>
  <c r="AH172" i="4"/>
  <c r="H172" i="5" s="1"/>
  <c r="F172" i="4"/>
  <c r="AI171" i="4"/>
  <c r="AH171" i="4"/>
  <c r="H171" i="5" s="1"/>
  <c r="F171" i="4"/>
  <c r="AI170" i="4"/>
  <c r="AH170" i="4"/>
  <c r="H170" i="5" s="1"/>
  <c r="F170" i="4"/>
  <c r="AI169" i="4"/>
  <c r="AH169" i="4"/>
  <c r="H169" i="5" s="1"/>
  <c r="F169" i="4"/>
  <c r="AI168" i="4"/>
  <c r="AH168" i="4"/>
  <c r="F168" i="4"/>
  <c r="AI167" i="4"/>
  <c r="AH167" i="4"/>
  <c r="H167" i="5" s="1"/>
  <c r="F167" i="4"/>
  <c r="AI166" i="4"/>
  <c r="AH166" i="4"/>
  <c r="H166" i="5" s="1"/>
  <c r="F166" i="4"/>
  <c r="AI165" i="4"/>
  <c r="AH165" i="4"/>
  <c r="F165" i="4"/>
  <c r="AI164" i="4"/>
  <c r="AH164" i="4"/>
  <c r="H164" i="5" s="1"/>
  <c r="F164" i="4"/>
  <c r="AI163" i="4"/>
  <c r="AH163" i="4"/>
  <c r="H163" i="5" s="1"/>
  <c r="F163" i="4"/>
  <c r="AI162" i="4"/>
  <c r="AH162" i="4"/>
  <c r="H162" i="5" s="1"/>
  <c r="F162" i="4"/>
  <c r="AI161" i="4"/>
  <c r="AH161" i="4"/>
  <c r="H161" i="5" s="1"/>
  <c r="F161" i="4"/>
  <c r="AI160" i="4"/>
  <c r="AH160" i="4"/>
  <c r="H160" i="5" s="1"/>
  <c r="F160" i="4"/>
  <c r="AI159" i="4"/>
  <c r="AH159" i="4"/>
  <c r="H159" i="5" s="1"/>
  <c r="F159" i="4"/>
  <c r="AI158" i="4"/>
  <c r="AH158" i="4"/>
  <c r="F158" i="4"/>
  <c r="AI157" i="4"/>
  <c r="AH157" i="4"/>
  <c r="H157" i="5" s="1"/>
  <c r="F157" i="4"/>
  <c r="AI156" i="4"/>
  <c r="AH156" i="4"/>
  <c r="H156" i="5" s="1"/>
  <c r="F156" i="4"/>
  <c r="AI155" i="4"/>
  <c r="AH155" i="4"/>
  <c r="H155" i="5" s="1"/>
  <c r="F155" i="4"/>
  <c r="AI154" i="4"/>
  <c r="AH154" i="4"/>
  <c r="H154" i="5" s="1"/>
  <c r="F154" i="4"/>
  <c r="AI153" i="4"/>
  <c r="AH153" i="4"/>
  <c r="H153" i="5" s="1"/>
  <c r="F153" i="4"/>
  <c r="AI152" i="4"/>
  <c r="AH152" i="4"/>
  <c r="H152" i="5" s="1"/>
  <c r="F152" i="4"/>
  <c r="AI151" i="4"/>
  <c r="AH151" i="4"/>
  <c r="H151" i="5" s="1"/>
  <c r="F151" i="4"/>
  <c r="AI150" i="4"/>
  <c r="AH150" i="4"/>
  <c r="H150" i="5" s="1"/>
  <c r="F150" i="4"/>
  <c r="AI149" i="4"/>
  <c r="AH149" i="4"/>
  <c r="H149" i="5" s="1"/>
  <c r="F149" i="4"/>
  <c r="AI148" i="4"/>
  <c r="AH148" i="4"/>
  <c r="H148" i="5" s="1"/>
  <c r="F148" i="4"/>
  <c r="AI147" i="4"/>
  <c r="AH147" i="4"/>
  <c r="H147" i="5" s="1"/>
  <c r="F147" i="4"/>
  <c r="AI146" i="4"/>
  <c r="AH146" i="4"/>
  <c r="H146" i="5" s="1"/>
  <c r="F146" i="4"/>
  <c r="AI145" i="4"/>
  <c r="AH145" i="4"/>
  <c r="H145" i="5" s="1"/>
  <c r="F145" i="4"/>
  <c r="AI144" i="4"/>
  <c r="AH144" i="4"/>
  <c r="H144" i="5" s="1"/>
  <c r="F144" i="4"/>
  <c r="AI143" i="4"/>
  <c r="AH143" i="4"/>
  <c r="H143" i="5" s="1"/>
  <c r="F143" i="4"/>
  <c r="AI142" i="4"/>
  <c r="AH142" i="4"/>
  <c r="H142" i="5" s="1"/>
  <c r="F142" i="4"/>
  <c r="AI141" i="4"/>
  <c r="AH141" i="4"/>
  <c r="H141" i="5" s="1"/>
  <c r="F141" i="4"/>
  <c r="AI140" i="4"/>
  <c r="AH140" i="4"/>
  <c r="F140" i="4"/>
  <c r="AI139" i="4"/>
  <c r="AH139" i="4"/>
  <c r="H139" i="5" s="1"/>
  <c r="F139" i="4"/>
  <c r="AI138" i="4"/>
  <c r="AH138" i="4"/>
  <c r="H138" i="5" s="1"/>
  <c r="F138" i="4"/>
  <c r="AI137" i="4"/>
  <c r="AH137" i="4"/>
  <c r="H137" i="5" s="1"/>
  <c r="F137" i="4"/>
  <c r="AI136" i="4"/>
  <c r="AH136" i="4"/>
  <c r="H136" i="5" s="1"/>
  <c r="F136" i="4"/>
  <c r="AI135" i="4"/>
  <c r="AH135" i="4"/>
  <c r="H135" i="5" s="1"/>
  <c r="F135" i="4"/>
  <c r="AI134" i="4"/>
  <c r="AH134" i="4"/>
  <c r="H134" i="5" s="1"/>
  <c r="F134" i="4"/>
  <c r="AI133" i="4"/>
  <c r="AH133" i="4"/>
  <c r="H133" i="5" s="1"/>
  <c r="F133" i="4"/>
  <c r="AI132" i="4"/>
  <c r="AH132" i="4"/>
  <c r="H132" i="5" s="1"/>
  <c r="F132" i="4"/>
  <c r="AI131" i="4"/>
  <c r="AH131" i="4"/>
  <c r="H131" i="5" s="1"/>
  <c r="F131" i="4"/>
  <c r="AI130" i="4"/>
  <c r="AH130" i="4"/>
  <c r="H130" i="5" s="1"/>
  <c r="F130" i="4"/>
  <c r="AI129" i="4"/>
  <c r="AH129" i="4"/>
  <c r="H129" i="5" s="1"/>
  <c r="F129" i="4"/>
  <c r="AI128" i="4"/>
  <c r="AH128" i="4"/>
  <c r="H128" i="5" s="1"/>
  <c r="F128" i="4"/>
  <c r="AI127" i="4"/>
  <c r="AH127" i="4"/>
  <c r="H127" i="5" s="1"/>
  <c r="F127" i="4"/>
  <c r="AI126" i="4"/>
  <c r="AH126" i="4"/>
  <c r="H126" i="5" s="1"/>
  <c r="F126" i="4"/>
  <c r="AI125" i="4"/>
  <c r="AH125" i="4"/>
  <c r="H125" i="5" s="1"/>
  <c r="F125" i="4"/>
  <c r="AI124" i="4"/>
  <c r="AH124" i="4"/>
  <c r="F124" i="4"/>
  <c r="AI123" i="4"/>
  <c r="AH123" i="4"/>
  <c r="H123" i="5" s="1"/>
  <c r="F123" i="4"/>
  <c r="AI122" i="4"/>
  <c r="AH122" i="4"/>
  <c r="F122" i="4"/>
  <c r="AI121" i="4"/>
  <c r="AH121" i="4"/>
  <c r="H121" i="5" s="1"/>
  <c r="F121" i="4"/>
  <c r="AI120" i="4"/>
  <c r="AH120" i="4"/>
  <c r="H120" i="5" s="1"/>
  <c r="F120" i="4"/>
  <c r="AI119" i="4"/>
  <c r="AH119" i="4"/>
  <c r="H119" i="5" s="1"/>
  <c r="F119" i="4"/>
  <c r="AI118" i="4"/>
  <c r="AH118" i="4"/>
  <c r="H118" i="5" s="1"/>
  <c r="F118" i="4"/>
  <c r="AI117" i="4"/>
  <c r="AH117" i="4"/>
  <c r="H117" i="5" s="1"/>
  <c r="F117" i="4"/>
  <c r="AI116" i="4"/>
  <c r="AH116" i="4"/>
  <c r="H116" i="5" s="1"/>
  <c r="F116" i="4"/>
  <c r="AI115" i="4"/>
  <c r="AH115" i="4"/>
  <c r="H115" i="5" s="1"/>
  <c r="F115" i="4"/>
  <c r="AI114" i="4"/>
  <c r="AH114" i="4"/>
  <c r="H114" i="5" s="1"/>
  <c r="F114" i="4"/>
  <c r="AI113" i="4"/>
  <c r="AH113" i="4"/>
  <c r="H113" i="5" s="1"/>
  <c r="F113" i="4"/>
  <c r="AI112" i="4"/>
  <c r="AH112" i="4"/>
  <c r="H112" i="5" s="1"/>
  <c r="F112" i="4"/>
  <c r="AI111" i="4"/>
  <c r="AH111" i="4"/>
  <c r="H111" i="5" s="1"/>
  <c r="F111" i="4"/>
  <c r="AI110" i="4"/>
  <c r="AH110" i="4"/>
  <c r="H110" i="5" s="1"/>
  <c r="F110" i="4"/>
  <c r="AI109" i="4"/>
  <c r="AH109" i="4"/>
  <c r="H109" i="5" s="1"/>
  <c r="F109" i="4"/>
  <c r="AI108" i="4"/>
  <c r="AH108" i="4"/>
  <c r="H108" i="5" s="1"/>
  <c r="F108" i="4"/>
  <c r="AI107" i="4"/>
  <c r="AH107" i="4"/>
  <c r="H107" i="5" s="1"/>
  <c r="F107" i="4"/>
  <c r="AI106" i="4"/>
  <c r="AH106" i="4"/>
  <c r="H106" i="5" s="1"/>
  <c r="F106" i="4"/>
  <c r="AI105" i="4"/>
  <c r="AH105" i="4"/>
  <c r="H105" i="5" s="1"/>
  <c r="F105" i="4"/>
  <c r="AI104" i="4"/>
  <c r="AH104" i="4"/>
  <c r="H104" i="5" s="1"/>
  <c r="F104" i="4"/>
  <c r="AI103" i="4"/>
  <c r="AH103" i="4"/>
  <c r="H103" i="5" s="1"/>
  <c r="F103" i="4"/>
  <c r="AI102" i="4"/>
  <c r="AH102" i="4"/>
  <c r="H102" i="5" s="1"/>
  <c r="F102" i="4"/>
  <c r="AI101" i="4"/>
  <c r="AH101" i="4"/>
  <c r="F101" i="4"/>
  <c r="AI100" i="4"/>
  <c r="AH100" i="4"/>
  <c r="H100" i="5" s="1"/>
  <c r="F100" i="4"/>
  <c r="AI99" i="4"/>
  <c r="AH99" i="4"/>
  <c r="H99" i="5" s="1"/>
  <c r="F99" i="4"/>
  <c r="AI98" i="4"/>
  <c r="AH98" i="4"/>
  <c r="H98" i="5" s="1"/>
  <c r="F98" i="4"/>
  <c r="AI97" i="4"/>
  <c r="AH97" i="4"/>
  <c r="F97" i="4"/>
  <c r="AI96" i="4"/>
  <c r="AH96" i="4"/>
  <c r="H96" i="5" s="1"/>
  <c r="F96" i="4"/>
  <c r="AI95" i="4"/>
  <c r="AH95" i="4"/>
  <c r="H95" i="5" s="1"/>
  <c r="F95" i="4"/>
  <c r="AI94" i="4"/>
  <c r="AH94" i="4"/>
  <c r="F94" i="4"/>
  <c r="AI93" i="4"/>
  <c r="AH93" i="4"/>
  <c r="H93" i="5" s="1"/>
  <c r="F93" i="4"/>
  <c r="AI92" i="4"/>
  <c r="AH92" i="4"/>
  <c r="H92" i="5" s="1"/>
  <c r="F92" i="4"/>
  <c r="AI91" i="4"/>
  <c r="AH91" i="4"/>
  <c r="F91" i="4"/>
  <c r="AI90" i="4"/>
  <c r="AH90" i="4"/>
  <c r="H90" i="5" s="1"/>
  <c r="F90" i="4"/>
  <c r="AI89" i="4"/>
  <c r="AH89" i="4"/>
  <c r="F89" i="4"/>
  <c r="AI88" i="4"/>
  <c r="AH88" i="4"/>
  <c r="H88" i="5" s="1"/>
  <c r="F88" i="4"/>
  <c r="AI87" i="4"/>
  <c r="AH87" i="4"/>
  <c r="H87" i="5" s="1"/>
  <c r="F87" i="4"/>
  <c r="AI86" i="4"/>
  <c r="AH86" i="4"/>
  <c r="H86" i="5" s="1"/>
  <c r="F86" i="4"/>
  <c r="AI85" i="4"/>
  <c r="AH85" i="4"/>
  <c r="H85" i="5" s="1"/>
  <c r="F85" i="4"/>
  <c r="AI84" i="4"/>
  <c r="AH84" i="4"/>
  <c r="F84" i="4"/>
  <c r="AI83" i="4"/>
  <c r="AH83" i="4"/>
  <c r="H83" i="5" s="1"/>
  <c r="F83" i="4"/>
  <c r="AI82" i="4"/>
  <c r="AH82" i="4"/>
  <c r="H82" i="5" s="1"/>
  <c r="F82" i="4"/>
  <c r="AI81" i="4"/>
  <c r="AH81" i="4"/>
  <c r="H81" i="5" s="1"/>
  <c r="F81" i="4"/>
  <c r="AI80" i="4"/>
  <c r="AH80" i="4"/>
  <c r="H80" i="5" s="1"/>
  <c r="F80" i="4"/>
  <c r="AI79" i="4"/>
  <c r="AH79" i="4"/>
  <c r="F79" i="4"/>
  <c r="AI78" i="4"/>
  <c r="AH78" i="4"/>
  <c r="H78" i="5" s="1"/>
  <c r="F78" i="4"/>
  <c r="AI77" i="4"/>
  <c r="AH77" i="4"/>
  <c r="H77" i="5" s="1"/>
  <c r="F77" i="4"/>
  <c r="AI76" i="4"/>
  <c r="AH76" i="4"/>
  <c r="H76" i="5" s="1"/>
  <c r="F76" i="4"/>
  <c r="AI75" i="4"/>
  <c r="AH75" i="4"/>
  <c r="F75" i="4"/>
  <c r="AI74" i="4"/>
  <c r="AH74" i="4"/>
  <c r="H74" i="5" s="1"/>
  <c r="F74" i="4"/>
  <c r="AI73" i="4"/>
  <c r="AH73" i="4"/>
  <c r="H73" i="5" s="1"/>
  <c r="F73" i="4"/>
  <c r="AI72" i="4"/>
  <c r="AH72" i="4"/>
  <c r="H72" i="5" s="1"/>
  <c r="F72" i="4"/>
  <c r="AI71" i="4"/>
  <c r="AH71" i="4"/>
  <c r="H71" i="5" s="1"/>
  <c r="F71" i="4"/>
  <c r="AI70" i="4"/>
  <c r="AH70" i="4"/>
  <c r="H70" i="5" s="1"/>
  <c r="F70" i="4"/>
  <c r="AI69" i="4"/>
  <c r="AH69" i="4"/>
  <c r="F69" i="4"/>
  <c r="AI68" i="4"/>
  <c r="AH68" i="4"/>
  <c r="F68" i="4"/>
  <c r="AI67" i="4"/>
  <c r="AH67" i="4"/>
  <c r="H67" i="5" s="1"/>
  <c r="F67" i="4"/>
  <c r="AI66" i="4"/>
  <c r="AH66" i="4"/>
  <c r="H66" i="5" s="1"/>
  <c r="F66" i="4"/>
  <c r="AI65" i="4"/>
  <c r="AH65" i="4"/>
  <c r="H65" i="5" s="1"/>
  <c r="F65" i="4"/>
  <c r="AI64" i="4"/>
  <c r="AH64" i="4"/>
  <c r="H64" i="5" s="1"/>
  <c r="F64" i="4"/>
  <c r="AI63" i="4"/>
  <c r="AH63" i="4"/>
  <c r="H63" i="5" s="1"/>
  <c r="F63" i="4"/>
  <c r="AI62" i="4"/>
  <c r="AH62" i="4"/>
  <c r="H62" i="5" s="1"/>
  <c r="F62" i="4"/>
  <c r="AI61" i="4"/>
  <c r="AH61" i="4"/>
  <c r="H61" i="5" s="1"/>
  <c r="F61" i="4"/>
  <c r="AI60" i="4"/>
  <c r="AH60" i="4"/>
  <c r="F60" i="4"/>
  <c r="AI59" i="4"/>
  <c r="AH59" i="4"/>
  <c r="F59" i="4"/>
  <c r="AI58" i="4"/>
  <c r="AH58" i="4"/>
  <c r="H58" i="5" s="1"/>
  <c r="F58" i="4"/>
  <c r="AI57" i="4"/>
  <c r="AH57" i="4"/>
  <c r="H57" i="5" s="1"/>
  <c r="F57" i="4"/>
  <c r="AI56" i="4"/>
  <c r="AH56" i="4"/>
  <c r="H56" i="5" s="1"/>
  <c r="F56" i="4"/>
  <c r="AI55" i="4"/>
  <c r="AH55" i="4"/>
  <c r="H55" i="5" s="1"/>
  <c r="F55" i="4"/>
  <c r="AI54" i="4"/>
  <c r="AH54" i="4"/>
  <c r="H54" i="5" s="1"/>
  <c r="F54" i="4"/>
  <c r="AI53" i="4"/>
  <c r="AH53" i="4"/>
  <c r="H53" i="5" s="1"/>
  <c r="F53" i="4"/>
  <c r="AI52" i="4"/>
  <c r="AH52" i="4"/>
  <c r="F52" i="4"/>
  <c r="AI51" i="4"/>
  <c r="AH51" i="4"/>
  <c r="H51" i="5" s="1"/>
  <c r="F51" i="4"/>
  <c r="AI50" i="4"/>
  <c r="AH50" i="4"/>
  <c r="H50" i="5" s="1"/>
  <c r="F50" i="4"/>
  <c r="AI49" i="4"/>
  <c r="AH49" i="4"/>
  <c r="H49" i="5" s="1"/>
  <c r="F49" i="4"/>
  <c r="AI48" i="4"/>
  <c r="AH48" i="4"/>
  <c r="H48" i="5" s="1"/>
  <c r="F48" i="4"/>
  <c r="AI47" i="4"/>
  <c r="AH47" i="4"/>
  <c r="H47" i="5" s="1"/>
  <c r="F47" i="4"/>
  <c r="AI46" i="4"/>
  <c r="AH46" i="4"/>
  <c r="F46" i="4"/>
  <c r="AI45" i="4"/>
  <c r="AH45" i="4"/>
  <c r="H45" i="5" s="1"/>
  <c r="F45" i="4"/>
  <c r="AI44" i="4"/>
  <c r="AH44" i="4"/>
  <c r="H44" i="5" s="1"/>
  <c r="F44" i="4"/>
  <c r="AI43" i="4"/>
  <c r="AH43" i="4"/>
  <c r="H43" i="5" s="1"/>
  <c r="F43" i="4"/>
  <c r="AI42" i="4"/>
  <c r="AH42" i="4"/>
  <c r="H42" i="5" s="1"/>
  <c r="F42" i="4"/>
  <c r="AI41" i="4"/>
  <c r="AH41" i="4"/>
  <c r="F41" i="4"/>
  <c r="AI40" i="4"/>
  <c r="AH40" i="4"/>
  <c r="F40" i="4"/>
  <c r="AI39" i="4"/>
  <c r="AH39" i="4"/>
  <c r="H39" i="5" s="1"/>
  <c r="F39" i="4"/>
  <c r="AI38" i="4"/>
  <c r="AH38" i="4"/>
  <c r="H38" i="5" s="1"/>
  <c r="F38" i="4"/>
  <c r="AI37" i="4"/>
  <c r="AH37" i="4"/>
  <c r="H37" i="5" s="1"/>
  <c r="F37" i="4"/>
  <c r="AI36" i="4"/>
  <c r="AH36" i="4"/>
  <c r="F36" i="4"/>
  <c r="AI35" i="4"/>
  <c r="AH35" i="4"/>
  <c r="H35" i="5" s="1"/>
  <c r="F35" i="4"/>
  <c r="AI34" i="4"/>
  <c r="AH34" i="4"/>
  <c r="H34" i="5" s="1"/>
  <c r="F34" i="4"/>
  <c r="AI33" i="4"/>
  <c r="AH33" i="4"/>
  <c r="H33" i="5" s="1"/>
  <c r="F33" i="4"/>
  <c r="AI32" i="4"/>
  <c r="AH32" i="4"/>
  <c r="F32" i="4"/>
  <c r="AI31" i="4"/>
  <c r="AH31" i="4"/>
  <c r="H31" i="5" s="1"/>
  <c r="F31" i="4"/>
  <c r="AI30" i="4"/>
  <c r="AH30" i="4"/>
  <c r="H30" i="5" s="1"/>
  <c r="F30" i="4"/>
  <c r="AI29" i="4"/>
  <c r="AH29" i="4"/>
  <c r="H29" i="5" s="1"/>
  <c r="F29" i="4"/>
  <c r="AI28" i="4"/>
  <c r="AH28" i="4"/>
  <c r="H28" i="5" s="1"/>
  <c r="F28" i="4"/>
  <c r="AI27" i="4"/>
  <c r="AH27" i="4"/>
  <c r="H27" i="5" s="1"/>
  <c r="F27" i="4"/>
  <c r="AI26" i="4"/>
  <c r="AH26" i="4"/>
  <c r="H26" i="5" s="1"/>
  <c r="F26" i="4"/>
  <c r="AI25" i="4"/>
  <c r="AH25" i="4"/>
  <c r="H25" i="5" s="1"/>
  <c r="F25" i="4"/>
  <c r="AI24" i="4"/>
  <c r="AH24" i="4"/>
  <c r="H24" i="5" s="1"/>
  <c r="F24" i="4"/>
  <c r="AI23" i="4"/>
  <c r="AH23" i="4"/>
  <c r="H23" i="5" s="1"/>
  <c r="F23" i="4"/>
  <c r="AI22" i="4"/>
  <c r="AH22" i="4"/>
  <c r="H22" i="5" s="1"/>
  <c r="F22" i="4"/>
  <c r="AI21" i="4"/>
  <c r="AH21" i="4"/>
  <c r="H21" i="5" s="1"/>
  <c r="F21" i="4"/>
  <c r="AI20" i="4"/>
  <c r="AH20" i="4"/>
  <c r="H20" i="5" s="1"/>
  <c r="F20" i="4"/>
  <c r="AI19" i="4"/>
  <c r="AH19" i="4"/>
  <c r="F19" i="4"/>
  <c r="AI18" i="4"/>
  <c r="AH18" i="4"/>
  <c r="H18" i="5" s="1"/>
  <c r="F18" i="4"/>
  <c r="AI17" i="4"/>
  <c r="AH17" i="4"/>
  <c r="H17" i="5" s="1"/>
  <c r="F17" i="4"/>
  <c r="AI16" i="4"/>
  <c r="AH16" i="4"/>
  <c r="F16" i="4"/>
  <c r="AI15" i="4"/>
  <c r="AH15" i="4"/>
  <c r="H15" i="5" s="1"/>
  <c r="F15" i="4"/>
  <c r="AI14" i="4"/>
  <c r="AH14" i="4"/>
  <c r="H14" i="5" s="1"/>
  <c r="F14" i="4"/>
  <c r="AI13" i="4"/>
  <c r="AH13" i="4"/>
  <c r="F13" i="4"/>
  <c r="AI12" i="4"/>
  <c r="AH12" i="4"/>
  <c r="N7" i="1" s="1"/>
  <c r="F12" i="4"/>
  <c r="AI11" i="4"/>
  <c r="AH11" i="4"/>
  <c r="H11" i="5" s="1"/>
  <c r="F11" i="4"/>
  <c r="AI10" i="4"/>
  <c r="AH10" i="4"/>
  <c r="F10" i="4"/>
  <c r="AI9" i="4"/>
  <c r="AH9" i="4"/>
  <c r="H9" i="5" s="1"/>
  <c r="F9" i="4"/>
  <c r="AI8" i="4"/>
  <c r="AH8" i="4"/>
  <c r="H8" i="5" s="1"/>
  <c r="F8" i="4"/>
  <c r="AI7" i="4"/>
  <c r="AH7" i="4"/>
  <c r="H7" i="5" s="1"/>
  <c r="F7" i="4"/>
  <c r="AI6" i="4"/>
  <c r="AH6" i="4"/>
  <c r="H6" i="5" s="1"/>
  <c r="F6" i="4"/>
  <c r="D14" i="3"/>
  <c r="AY117" i="5" s="1"/>
  <c r="B14" i="3"/>
  <c r="AY101" i="5" s="1"/>
  <c r="AB238" i="2"/>
  <c r="AA238" i="2"/>
  <c r="I238" i="2"/>
  <c r="H238" i="2"/>
  <c r="AB237" i="2"/>
  <c r="AA237" i="2"/>
  <c r="I237" i="2"/>
  <c r="H237" i="2"/>
  <c r="AB236" i="2"/>
  <c r="AA236" i="2"/>
  <c r="I236" i="2"/>
  <c r="H236" i="2"/>
  <c r="AB235" i="2"/>
  <c r="AA235" i="2"/>
  <c r="I235" i="2"/>
  <c r="H235" i="2"/>
  <c r="AB234" i="2"/>
  <c r="AA234" i="2"/>
  <c r="I234" i="2"/>
  <c r="H234" i="2"/>
  <c r="AB233" i="2"/>
  <c r="AA233" i="2"/>
  <c r="I233" i="2"/>
  <c r="H233" i="2"/>
  <c r="AB232" i="2"/>
  <c r="AA232" i="2"/>
  <c r="I232" i="2"/>
  <c r="H232" i="2"/>
  <c r="AB231" i="2"/>
  <c r="AA231" i="2"/>
  <c r="I231" i="2"/>
  <c r="H231" i="2"/>
  <c r="AB230" i="2"/>
  <c r="AA230" i="2"/>
  <c r="I230" i="2"/>
  <c r="H230" i="2"/>
  <c r="AB229" i="2"/>
  <c r="AA229" i="2"/>
  <c r="I229" i="2"/>
  <c r="H229" i="2"/>
  <c r="AB228" i="2"/>
  <c r="AA228" i="2"/>
  <c r="I228" i="2"/>
  <c r="H228" i="2"/>
  <c r="AB227" i="2"/>
  <c r="AA227" i="2"/>
  <c r="I227" i="2"/>
  <c r="H227" i="2"/>
  <c r="AB226" i="2"/>
  <c r="AA226" i="2"/>
  <c r="I226" i="2"/>
  <c r="H226" i="2"/>
  <c r="AB225" i="2"/>
  <c r="AA225" i="2"/>
  <c r="I225" i="2"/>
  <c r="H225" i="2"/>
  <c r="AB224" i="2"/>
  <c r="AA224" i="2"/>
  <c r="I224" i="2"/>
  <c r="H224" i="2"/>
  <c r="AB223" i="2"/>
  <c r="AA223" i="2"/>
  <c r="I223" i="2"/>
  <c r="H223" i="2"/>
  <c r="AB222" i="2"/>
  <c r="AA222" i="2"/>
  <c r="I222" i="2"/>
  <c r="H222" i="2"/>
  <c r="AB221" i="2"/>
  <c r="AA221" i="2"/>
  <c r="I221" i="2"/>
  <c r="H221" i="2"/>
  <c r="AB220" i="2"/>
  <c r="AA220" i="2"/>
  <c r="I220" i="2"/>
  <c r="H220" i="2"/>
  <c r="AB219" i="2"/>
  <c r="AA219" i="2"/>
  <c r="I219" i="2"/>
  <c r="H219" i="2"/>
  <c r="AB218" i="2"/>
  <c r="AA218" i="2"/>
  <c r="I218" i="2"/>
  <c r="H218" i="2"/>
  <c r="AB217" i="2"/>
  <c r="AA217" i="2"/>
  <c r="I217" i="2"/>
  <c r="H217" i="2"/>
  <c r="AB216" i="2"/>
  <c r="AA216" i="2"/>
  <c r="I216" i="2"/>
  <c r="H216" i="2"/>
  <c r="AB215" i="2"/>
  <c r="AA215" i="2"/>
  <c r="I215" i="2"/>
  <c r="H215" i="2"/>
  <c r="AB214" i="2"/>
  <c r="AA214" i="2"/>
  <c r="I214" i="2"/>
  <c r="H214" i="2"/>
  <c r="AB213" i="2"/>
  <c r="AA213" i="2"/>
  <c r="I213" i="2"/>
  <c r="H213" i="2"/>
  <c r="AB212" i="2"/>
  <c r="AA212" i="2"/>
  <c r="I212" i="2"/>
  <c r="H212" i="2"/>
  <c r="AB211" i="2"/>
  <c r="AA211" i="2"/>
  <c r="I211" i="2"/>
  <c r="H211" i="2"/>
  <c r="AB210" i="2"/>
  <c r="AA210" i="2"/>
  <c r="I210" i="2"/>
  <c r="H210" i="2"/>
  <c r="AB209" i="2"/>
  <c r="AA209" i="2"/>
  <c r="I209" i="2"/>
  <c r="H209" i="2"/>
  <c r="AB208" i="2"/>
  <c r="AA208" i="2"/>
  <c r="I208" i="2"/>
  <c r="H208" i="2"/>
  <c r="AB207" i="2"/>
  <c r="AA207" i="2"/>
  <c r="I207" i="2"/>
  <c r="H207" i="2"/>
  <c r="AB206" i="2"/>
  <c r="AA206" i="2"/>
  <c r="I206" i="2"/>
  <c r="H206" i="2"/>
  <c r="AB205" i="2"/>
  <c r="AA205" i="2"/>
  <c r="I205" i="2"/>
  <c r="H205" i="2"/>
  <c r="AB204" i="2"/>
  <c r="AA204" i="2"/>
  <c r="I204" i="2"/>
  <c r="H204" i="2"/>
  <c r="AB203" i="2"/>
  <c r="AA203" i="2"/>
  <c r="I203" i="2"/>
  <c r="H203" i="2"/>
  <c r="AB202" i="2"/>
  <c r="AA202" i="2"/>
  <c r="I202" i="2"/>
  <c r="H202" i="2"/>
  <c r="AB201" i="2"/>
  <c r="AA201" i="2"/>
  <c r="I201" i="2"/>
  <c r="H201" i="2"/>
  <c r="AB200" i="2"/>
  <c r="AA200" i="2"/>
  <c r="I200" i="2"/>
  <c r="H200" i="2"/>
  <c r="AB199" i="2"/>
  <c r="AA199" i="2"/>
  <c r="I199" i="2"/>
  <c r="AB198" i="2"/>
  <c r="AA198" i="2"/>
  <c r="H198" i="2"/>
  <c r="AB197" i="2"/>
  <c r="AA197" i="2"/>
  <c r="I197" i="2"/>
  <c r="H197" i="2"/>
  <c r="AB196" i="2"/>
  <c r="AA196" i="2"/>
  <c r="I196" i="2"/>
  <c r="H196" i="2"/>
  <c r="AB195" i="2"/>
  <c r="AA195" i="2"/>
  <c r="I195" i="2"/>
  <c r="H195" i="2"/>
  <c r="AB194" i="2"/>
  <c r="AA194" i="2"/>
  <c r="I194" i="2"/>
  <c r="H194" i="2"/>
  <c r="AB193" i="2"/>
  <c r="AA193" i="2"/>
  <c r="I193" i="2"/>
  <c r="H193" i="2"/>
  <c r="AB192" i="2"/>
  <c r="AA192" i="2"/>
  <c r="I192" i="2"/>
  <c r="H192" i="2"/>
  <c r="AB191" i="2"/>
  <c r="AA191" i="2"/>
  <c r="I191" i="2"/>
  <c r="H191" i="2"/>
  <c r="AB190" i="2"/>
  <c r="AA190" i="2"/>
  <c r="I190" i="2"/>
  <c r="H190" i="2"/>
  <c r="AB189" i="2"/>
  <c r="AA189" i="2"/>
  <c r="I189" i="2"/>
  <c r="H189" i="2"/>
  <c r="AB188" i="2"/>
  <c r="AA188" i="2"/>
  <c r="I188" i="2"/>
  <c r="H188" i="2"/>
  <c r="AB187" i="2"/>
  <c r="AA187" i="2"/>
  <c r="I187" i="2"/>
  <c r="H187" i="2"/>
  <c r="AB186" i="2"/>
  <c r="AA186" i="2"/>
  <c r="I186" i="2"/>
  <c r="H186" i="2"/>
  <c r="AB185" i="2"/>
  <c r="AA185" i="2"/>
  <c r="I185" i="2"/>
  <c r="H185" i="2"/>
  <c r="AB184" i="2"/>
  <c r="AA184" i="2"/>
  <c r="I184" i="2"/>
  <c r="H184" i="2"/>
  <c r="AB183" i="2"/>
  <c r="AA183" i="2"/>
  <c r="I183" i="2"/>
  <c r="H183" i="2"/>
  <c r="AB182" i="2"/>
  <c r="AA182" i="2"/>
  <c r="I182" i="2"/>
  <c r="H182" i="2"/>
  <c r="AB181" i="2"/>
  <c r="AA181" i="2"/>
  <c r="I181" i="2"/>
  <c r="H181" i="2"/>
  <c r="AB180" i="2"/>
  <c r="AA180" i="2"/>
  <c r="I180" i="2"/>
  <c r="H180" i="2"/>
  <c r="AB179" i="2"/>
  <c r="AA179" i="2"/>
  <c r="I179" i="2"/>
  <c r="H179" i="2"/>
  <c r="AB178" i="2"/>
  <c r="AA178" i="2"/>
  <c r="I178" i="2"/>
  <c r="H178" i="2"/>
  <c r="AB177" i="2"/>
  <c r="AA177" i="2"/>
  <c r="I177" i="2"/>
  <c r="H177" i="2"/>
  <c r="AB176" i="2"/>
  <c r="AA176" i="2"/>
  <c r="I176" i="2"/>
  <c r="H176" i="2"/>
  <c r="AB175" i="2"/>
  <c r="AA175" i="2"/>
  <c r="I175" i="2"/>
  <c r="H175" i="2"/>
  <c r="AB174" i="2"/>
  <c r="AA174" i="2"/>
  <c r="I174" i="2"/>
  <c r="H174" i="2"/>
  <c r="AB173" i="2"/>
  <c r="AA173" i="2"/>
  <c r="I173" i="2"/>
  <c r="H173" i="2"/>
  <c r="AB172" i="2"/>
  <c r="AA172" i="2"/>
  <c r="I172" i="2"/>
  <c r="H172" i="2"/>
  <c r="AB171" i="2"/>
  <c r="AA171" i="2"/>
  <c r="I171" i="2"/>
  <c r="H171" i="2"/>
  <c r="AB170" i="2"/>
  <c r="AA170" i="2"/>
  <c r="I170" i="2"/>
  <c r="H170" i="2"/>
  <c r="AB169" i="2"/>
  <c r="AA169" i="2"/>
  <c r="I169" i="2"/>
  <c r="H169" i="2"/>
  <c r="AB168" i="2"/>
  <c r="AA168" i="2"/>
  <c r="I168" i="2"/>
  <c r="H168" i="2"/>
  <c r="AB167" i="2"/>
  <c r="AA167" i="2"/>
  <c r="I167" i="2"/>
  <c r="H167" i="2"/>
  <c r="AB166" i="2"/>
  <c r="AA166" i="2"/>
  <c r="I166" i="2"/>
  <c r="H166" i="2"/>
  <c r="AB165" i="2"/>
  <c r="AA165" i="2"/>
  <c r="I165" i="2"/>
  <c r="H165" i="2"/>
  <c r="AB164" i="2"/>
  <c r="AA164" i="2"/>
  <c r="I164" i="2"/>
  <c r="H164" i="2"/>
  <c r="AB163" i="2"/>
  <c r="AA163" i="2"/>
  <c r="I163" i="2"/>
  <c r="H163" i="2"/>
  <c r="AB162" i="2"/>
  <c r="AA162" i="2"/>
  <c r="I162" i="2"/>
  <c r="H162" i="2"/>
  <c r="AB161" i="2"/>
  <c r="AA161" i="2"/>
  <c r="I161" i="2"/>
  <c r="H161" i="2"/>
  <c r="AB160" i="2"/>
  <c r="AA160" i="2"/>
  <c r="I160" i="2"/>
  <c r="H160" i="2"/>
  <c r="AB159" i="2"/>
  <c r="AA159" i="2"/>
  <c r="I159" i="2"/>
  <c r="H159" i="2"/>
  <c r="AB158" i="2"/>
  <c r="AA158" i="2"/>
  <c r="I158" i="2"/>
  <c r="H158" i="2"/>
  <c r="AB157" i="2"/>
  <c r="AA157" i="2"/>
  <c r="I157" i="2"/>
  <c r="H157" i="2"/>
  <c r="AB156" i="2"/>
  <c r="AA156" i="2"/>
  <c r="I156" i="2"/>
  <c r="H156" i="2"/>
  <c r="AB155" i="2"/>
  <c r="AA155" i="2"/>
  <c r="I155" i="2"/>
  <c r="H155" i="2"/>
  <c r="AB154" i="2"/>
  <c r="AA154" i="2"/>
  <c r="I154" i="2"/>
  <c r="H154" i="2"/>
  <c r="AB153" i="2"/>
  <c r="AA153" i="2"/>
  <c r="I153" i="2"/>
  <c r="H153" i="2"/>
  <c r="AB152" i="2"/>
  <c r="AA152" i="2"/>
  <c r="I152" i="2"/>
  <c r="H152" i="2"/>
  <c r="AB151" i="2"/>
  <c r="AA151" i="2"/>
  <c r="I151" i="2"/>
  <c r="H151" i="2"/>
  <c r="AB150" i="2"/>
  <c r="AA150" i="2"/>
  <c r="I150" i="2"/>
  <c r="H150" i="2"/>
  <c r="AB149" i="2"/>
  <c r="AA149" i="2"/>
  <c r="I149" i="2"/>
  <c r="H149" i="2"/>
  <c r="AB148" i="2"/>
  <c r="AA148" i="2"/>
  <c r="I148" i="2"/>
  <c r="H148" i="2"/>
  <c r="AB147" i="2"/>
  <c r="AA147" i="2"/>
  <c r="I147" i="2"/>
  <c r="H147" i="2"/>
  <c r="AB146" i="2"/>
  <c r="AA146" i="2"/>
  <c r="I146" i="2"/>
  <c r="H146" i="2"/>
  <c r="AB145" i="2"/>
  <c r="AA145" i="2"/>
  <c r="I145" i="2"/>
  <c r="H145" i="2"/>
  <c r="AB144" i="2"/>
  <c r="AA144" i="2"/>
  <c r="I144" i="2"/>
  <c r="H144" i="2"/>
  <c r="AB143" i="2"/>
  <c r="AA143" i="2"/>
  <c r="I143" i="2"/>
  <c r="H143" i="2"/>
  <c r="AB142" i="2"/>
  <c r="AA142" i="2"/>
  <c r="I142" i="2"/>
  <c r="H142" i="2"/>
  <c r="AB141" i="2"/>
  <c r="AA141" i="2"/>
  <c r="I141" i="2"/>
  <c r="H141" i="2"/>
  <c r="AB140" i="2"/>
  <c r="AA140" i="2"/>
  <c r="I140" i="2"/>
  <c r="H140" i="2"/>
  <c r="AB139" i="2"/>
  <c r="AA139" i="2"/>
  <c r="I139" i="2"/>
  <c r="H139" i="2"/>
  <c r="AB138" i="2"/>
  <c r="AA138" i="2"/>
  <c r="I138" i="2"/>
  <c r="H138" i="2"/>
  <c r="AB137" i="2"/>
  <c r="AA137" i="2"/>
  <c r="I137" i="2"/>
  <c r="H137" i="2"/>
  <c r="AB136" i="2"/>
  <c r="AA136" i="2"/>
  <c r="I136" i="2"/>
  <c r="H136" i="2"/>
  <c r="AB135" i="2"/>
  <c r="AA135" i="2"/>
  <c r="I135" i="2"/>
  <c r="H135" i="2"/>
  <c r="AB134" i="2"/>
  <c r="AA134" i="2"/>
  <c r="I134" i="2"/>
  <c r="H134" i="2"/>
  <c r="AB133" i="2"/>
  <c r="AA133" i="2"/>
  <c r="I133" i="2"/>
  <c r="H133" i="2"/>
  <c r="AB132" i="2"/>
  <c r="AA132" i="2"/>
  <c r="I132" i="2"/>
  <c r="H132" i="2"/>
  <c r="AB131" i="2"/>
  <c r="AA131" i="2"/>
  <c r="I131" i="2"/>
  <c r="H131" i="2"/>
  <c r="AB130" i="2"/>
  <c r="AA130" i="2"/>
  <c r="I130" i="2"/>
  <c r="H130" i="2"/>
  <c r="AB129" i="2"/>
  <c r="AA129" i="2"/>
  <c r="I129" i="2"/>
  <c r="H129" i="2"/>
  <c r="AB128" i="2"/>
  <c r="AA128" i="2"/>
  <c r="I128" i="2"/>
  <c r="H128" i="2"/>
  <c r="AB127" i="2"/>
  <c r="AA127" i="2"/>
  <c r="I127" i="2"/>
  <c r="H127" i="2"/>
  <c r="AB126" i="2"/>
  <c r="AA126" i="2"/>
  <c r="I126" i="2"/>
  <c r="H126" i="2"/>
  <c r="AB125" i="2"/>
  <c r="AA125" i="2"/>
  <c r="I125" i="2"/>
  <c r="H125" i="2"/>
  <c r="AB124" i="2"/>
  <c r="AA124" i="2"/>
  <c r="I124" i="2"/>
  <c r="H124" i="2"/>
  <c r="AB123" i="2"/>
  <c r="AA123" i="2"/>
  <c r="I123" i="2"/>
  <c r="H123" i="2"/>
  <c r="AB122" i="2"/>
  <c r="AA122" i="2"/>
  <c r="I122" i="2"/>
  <c r="H122" i="2"/>
  <c r="AB121" i="2"/>
  <c r="AA121" i="2"/>
  <c r="I121" i="2"/>
  <c r="H121" i="2"/>
  <c r="AB120" i="2"/>
  <c r="AA120" i="2"/>
  <c r="I120" i="2"/>
  <c r="H120" i="2"/>
  <c r="AB119" i="2"/>
  <c r="AA119" i="2"/>
  <c r="I119" i="2"/>
  <c r="H119" i="2"/>
  <c r="AB118" i="2"/>
  <c r="AA118" i="2"/>
  <c r="I118" i="2"/>
  <c r="H118" i="2"/>
  <c r="AB117" i="2"/>
  <c r="AA117" i="2"/>
  <c r="I117" i="2"/>
  <c r="H117" i="2"/>
  <c r="AB116" i="2"/>
  <c r="AA116" i="2"/>
  <c r="I116" i="2"/>
  <c r="H116" i="2"/>
  <c r="AB115" i="2"/>
  <c r="AA115" i="2"/>
  <c r="I115" i="2"/>
  <c r="H115" i="2"/>
  <c r="AB114" i="2"/>
  <c r="AA114" i="2"/>
  <c r="I114" i="2"/>
  <c r="H114" i="2"/>
  <c r="AB113" i="2"/>
  <c r="AA113" i="2"/>
  <c r="I113" i="2"/>
  <c r="H113" i="2"/>
  <c r="AB112" i="2"/>
  <c r="AA112" i="2"/>
  <c r="I112" i="2"/>
  <c r="H112" i="2"/>
  <c r="AB111" i="2"/>
  <c r="AA111" i="2"/>
  <c r="I111" i="2"/>
  <c r="H111" i="2"/>
  <c r="AB110" i="2"/>
  <c r="AA110" i="2"/>
  <c r="I110" i="2"/>
  <c r="H110" i="2"/>
  <c r="AB109" i="2"/>
  <c r="AA109" i="2"/>
  <c r="I109" i="2"/>
  <c r="H109" i="2"/>
  <c r="AB108" i="2"/>
  <c r="AA108" i="2"/>
  <c r="I108" i="2"/>
  <c r="H108" i="2"/>
  <c r="AB107" i="2"/>
  <c r="AA107" i="2"/>
  <c r="I107" i="2"/>
  <c r="H107" i="2"/>
  <c r="AB106" i="2"/>
  <c r="AA106" i="2"/>
  <c r="I106" i="2"/>
  <c r="H106" i="2"/>
  <c r="AB105" i="2"/>
  <c r="AA105" i="2"/>
  <c r="I105" i="2"/>
  <c r="H105" i="2"/>
  <c r="AB104" i="2"/>
  <c r="AA104" i="2"/>
  <c r="I104" i="2"/>
  <c r="H104" i="2"/>
  <c r="AB103" i="2"/>
  <c r="AA103" i="2"/>
  <c r="I103" i="2"/>
  <c r="H103" i="2"/>
  <c r="AB102" i="2"/>
  <c r="AA102" i="2"/>
  <c r="I102" i="2"/>
  <c r="H102" i="2"/>
  <c r="AB101" i="2"/>
  <c r="AA101" i="2"/>
  <c r="I101" i="2"/>
  <c r="H101" i="2"/>
  <c r="AB100" i="2"/>
  <c r="AA100" i="2"/>
  <c r="I100" i="2"/>
  <c r="H100" i="2"/>
  <c r="AB99" i="2"/>
  <c r="AA99" i="2"/>
  <c r="I99" i="2"/>
  <c r="H99" i="2"/>
  <c r="AB98" i="2"/>
  <c r="AA98" i="2"/>
  <c r="I98" i="2"/>
  <c r="H98" i="2"/>
  <c r="AB97" i="2"/>
  <c r="AA97" i="2"/>
  <c r="I97" i="2"/>
  <c r="H97" i="2"/>
  <c r="AB96" i="2"/>
  <c r="AA96" i="2"/>
  <c r="I96" i="2"/>
  <c r="H96" i="2"/>
  <c r="AB95" i="2"/>
  <c r="AA95" i="2"/>
  <c r="I95" i="2"/>
  <c r="H95" i="2"/>
  <c r="AB94" i="2"/>
  <c r="AA94" i="2"/>
  <c r="I94" i="2"/>
  <c r="H94" i="2"/>
  <c r="AB93" i="2"/>
  <c r="AA93" i="2"/>
  <c r="I93" i="2"/>
  <c r="H93" i="2"/>
  <c r="AB92" i="2"/>
  <c r="AA92" i="2"/>
  <c r="I92" i="2"/>
  <c r="H92" i="2"/>
  <c r="AB91" i="2"/>
  <c r="AA91" i="2"/>
  <c r="I91" i="2"/>
  <c r="H91" i="2"/>
  <c r="AB90" i="2"/>
  <c r="AA90" i="2"/>
  <c r="I90" i="2"/>
  <c r="H90" i="2"/>
  <c r="AB89" i="2"/>
  <c r="AA89" i="2"/>
  <c r="I89" i="2"/>
  <c r="H89" i="2"/>
  <c r="AB88" i="2"/>
  <c r="AA88" i="2"/>
  <c r="I88" i="2"/>
  <c r="H88" i="2"/>
  <c r="AB87" i="2"/>
  <c r="AA87" i="2"/>
  <c r="I87" i="2"/>
  <c r="H87" i="2"/>
  <c r="AB86" i="2"/>
  <c r="AA86" i="2"/>
  <c r="I86" i="2"/>
  <c r="H86" i="2"/>
  <c r="AB85" i="2"/>
  <c r="AA85" i="2"/>
  <c r="I85" i="2"/>
  <c r="H85" i="2"/>
  <c r="AB84" i="2"/>
  <c r="AA84" i="2"/>
  <c r="I84" i="2"/>
  <c r="H84" i="2"/>
  <c r="AB83" i="2"/>
  <c r="AA83" i="2"/>
  <c r="I83" i="2"/>
  <c r="H83" i="2"/>
  <c r="AB82" i="2"/>
  <c r="AA82" i="2"/>
  <c r="I82" i="2"/>
  <c r="H82" i="2"/>
  <c r="AB81" i="2"/>
  <c r="AA81" i="2"/>
  <c r="I81" i="2"/>
  <c r="H81" i="2"/>
  <c r="AB80" i="2"/>
  <c r="AA80" i="2"/>
  <c r="I80" i="2"/>
  <c r="H80" i="2"/>
  <c r="AB79" i="2"/>
  <c r="AA79" i="2"/>
  <c r="I79" i="2"/>
  <c r="H79" i="2"/>
  <c r="AB78" i="2"/>
  <c r="AA78" i="2"/>
  <c r="I78" i="2"/>
  <c r="H78" i="2"/>
  <c r="AB77" i="2"/>
  <c r="AA77" i="2"/>
  <c r="I77" i="2"/>
  <c r="H77" i="2"/>
  <c r="AB76" i="2"/>
  <c r="AA76" i="2"/>
  <c r="I76" i="2"/>
  <c r="H76" i="2"/>
  <c r="AB75" i="2"/>
  <c r="AA75" i="2"/>
  <c r="I75" i="2"/>
  <c r="H75" i="2"/>
  <c r="AB74" i="2"/>
  <c r="AA74" i="2"/>
  <c r="I74" i="2"/>
  <c r="H74" i="2"/>
  <c r="AB73" i="2"/>
  <c r="AA73" i="2"/>
  <c r="I73" i="2"/>
  <c r="H73" i="2"/>
  <c r="AB72" i="2"/>
  <c r="AA72" i="2"/>
  <c r="I72" i="2"/>
  <c r="H72" i="2"/>
  <c r="AB71" i="2"/>
  <c r="AA71" i="2"/>
  <c r="I71" i="2"/>
  <c r="H71" i="2"/>
  <c r="AB70" i="2"/>
  <c r="AA70" i="2"/>
  <c r="I70" i="2"/>
  <c r="H70" i="2"/>
  <c r="AB69" i="2"/>
  <c r="AA69" i="2"/>
  <c r="I69" i="2"/>
  <c r="H69" i="2"/>
  <c r="AB68" i="2"/>
  <c r="AA68" i="2"/>
  <c r="I68" i="2"/>
  <c r="H68" i="2"/>
  <c r="AB67" i="2"/>
  <c r="AA67" i="2"/>
  <c r="I67" i="2"/>
  <c r="H67" i="2"/>
  <c r="AB66" i="2"/>
  <c r="AA66" i="2"/>
  <c r="I66" i="2"/>
  <c r="H66" i="2"/>
  <c r="AB65" i="2"/>
  <c r="AA65" i="2"/>
  <c r="I65" i="2"/>
  <c r="H65" i="2"/>
  <c r="AB64" i="2"/>
  <c r="AA64" i="2"/>
  <c r="I64" i="2"/>
  <c r="H64" i="2"/>
  <c r="AB63" i="2"/>
  <c r="AA63" i="2"/>
  <c r="I63" i="2"/>
  <c r="H63" i="2"/>
  <c r="AB62" i="2"/>
  <c r="AA62" i="2"/>
  <c r="I62" i="2"/>
  <c r="H62" i="2"/>
  <c r="AB61" i="2"/>
  <c r="AA61" i="2"/>
  <c r="I61" i="2"/>
  <c r="H61" i="2"/>
  <c r="AB60" i="2"/>
  <c r="AA60" i="2"/>
  <c r="I60" i="2"/>
  <c r="H60" i="2"/>
  <c r="AB59" i="2"/>
  <c r="AA59" i="2"/>
  <c r="I59" i="2"/>
  <c r="H59" i="2"/>
  <c r="AB58" i="2"/>
  <c r="AA58" i="2"/>
  <c r="I58" i="2"/>
  <c r="H58" i="2"/>
  <c r="AB57" i="2"/>
  <c r="AA57" i="2"/>
  <c r="I57" i="2"/>
  <c r="H57" i="2"/>
  <c r="AB56" i="2"/>
  <c r="AA56" i="2"/>
  <c r="I56" i="2"/>
  <c r="H56" i="2"/>
  <c r="AB55" i="2"/>
  <c r="AA55" i="2"/>
  <c r="I55" i="2"/>
  <c r="H55" i="2"/>
  <c r="AB54" i="2"/>
  <c r="AA54" i="2"/>
  <c r="I54" i="2"/>
  <c r="H54" i="2"/>
  <c r="AB53" i="2"/>
  <c r="AA53" i="2"/>
  <c r="I53" i="2"/>
  <c r="H53" i="2"/>
  <c r="AB52" i="2"/>
  <c r="AA52" i="2"/>
  <c r="I52" i="2"/>
  <c r="H52" i="2"/>
  <c r="AB51" i="2"/>
  <c r="AA51" i="2"/>
  <c r="I51" i="2"/>
  <c r="H51" i="2"/>
  <c r="AB50" i="2"/>
  <c r="AA50" i="2"/>
  <c r="I50" i="2"/>
  <c r="H50" i="2"/>
  <c r="AB49" i="2"/>
  <c r="AA49" i="2"/>
  <c r="I49" i="2"/>
  <c r="H49" i="2"/>
  <c r="AB48" i="2"/>
  <c r="AA48" i="2"/>
  <c r="I48" i="2"/>
  <c r="H48" i="2"/>
  <c r="AB47" i="2"/>
  <c r="AA47" i="2"/>
  <c r="I47" i="2"/>
  <c r="H47" i="2"/>
  <c r="AB46" i="2"/>
  <c r="AA46" i="2"/>
  <c r="I46" i="2"/>
  <c r="H46" i="2"/>
  <c r="AB45" i="2"/>
  <c r="AA45" i="2"/>
  <c r="I45" i="2"/>
  <c r="H45" i="2"/>
  <c r="AB44" i="2"/>
  <c r="AA44" i="2"/>
  <c r="I44" i="2"/>
  <c r="H44" i="2"/>
  <c r="AB43" i="2"/>
  <c r="AA43" i="2"/>
  <c r="I43" i="2"/>
  <c r="H43" i="2"/>
  <c r="AB42" i="2"/>
  <c r="AA42" i="2"/>
  <c r="I42" i="2"/>
  <c r="H42" i="2"/>
  <c r="AB41" i="2"/>
  <c r="AA41" i="2"/>
  <c r="I41" i="2"/>
  <c r="H41" i="2"/>
  <c r="AB40" i="2"/>
  <c r="AA40" i="2"/>
  <c r="I40" i="2"/>
  <c r="H40" i="2"/>
  <c r="AB39" i="2"/>
  <c r="AA39" i="2"/>
  <c r="I39" i="2"/>
  <c r="H39" i="2"/>
  <c r="AB38" i="2"/>
  <c r="AA38" i="2"/>
  <c r="I38" i="2"/>
  <c r="H38" i="2"/>
  <c r="AB37" i="2"/>
  <c r="AA37" i="2"/>
  <c r="I37" i="2"/>
  <c r="H37" i="2"/>
  <c r="AB36" i="2"/>
  <c r="AA36" i="2"/>
  <c r="I36" i="2"/>
  <c r="H36" i="2"/>
  <c r="AB35" i="2"/>
  <c r="AA35" i="2"/>
  <c r="I35" i="2"/>
  <c r="H35" i="2"/>
  <c r="AB34" i="2"/>
  <c r="AA34" i="2"/>
  <c r="I34" i="2"/>
  <c r="H34" i="2"/>
  <c r="AB33" i="2"/>
  <c r="AA33" i="2"/>
  <c r="I33" i="2"/>
  <c r="H33" i="2"/>
  <c r="AB32" i="2"/>
  <c r="AA32" i="2"/>
  <c r="I32" i="2"/>
  <c r="H32" i="2"/>
  <c r="AB31" i="2"/>
  <c r="AA31" i="2"/>
  <c r="I31" i="2"/>
  <c r="H31" i="2"/>
  <c r="AB30" i="2"/>
  <c r="AA30" i="2"/>
  <c r="I30" i="2"/>
  <c r="H30" i="2"/>
  <c r="AB29" i="2"/>
  <c r="AA29" i="2"/>
  <c r="I29" i="2"/>
  <c r="H29" i="2"/>
  <c r="AB28" i="2"/>
  <c r="AA28" i="2"/>
  <c r="I28" i="2"/>
  <c r="H28" i="2"/>
  <c r="AB27" i="2"/>
  <c r="AA27" i="2"/>
  <c r="I27" i="2"/>
  <c r="H27" i="2"/>
  <c r="AB26" i="2"/>
  <c r="AA26" i="2"/>
  <c r="I26" i="2"/>
  <c r="H26" i="2"/>
  <c r="AB25" i="2"/>
  <c r="AA25" i="2"/>
  <c r="I25" i="2"/>
  <c r="H25" i="2"/>
  <c r="AB24" i="2"/>
  <c r="AA24" i="2"/>
  <c r="I24" i="2"/>
  <c r="H24" i="2"/>
  <c r="AB23" i="2"/>
  <c r="AA23" i="2"/>
  <c r="I23" i="2"/>
  <c r="H23" i="2"/>
  <c r="AB22" i="2"/>
  <c r="AA22" i="2"/>
  <c r="I22" i="2"/>
  <c r="H22" i="2"/>
  <c r="AB21" i="2"/>
  <c r="AA21" i="2"/>
  <c r="I21" i="2"/>
  <c r="H21" i="2"/>
  <c r="AB20" i="2"/>
  <c r="AA20" i="2"/>
  <c r="I20" i="2"/>
  <c r="H20" i="2"/>
  <c r="AB19" i="2"/>
  <c r="AA19" i="2"/>
  <c r="I19" i="2"/>
  <c r="H19" i="2"/>
  <c r="AB18" i="2"/>
  <c r="AA18" i="2"/>
  <c r="I18" i="2"/>
  <c r="H18" i="2"/>
  <c r="AB17" i="2"/>
  <c r="AA17" i="2"/>
  <c r="I17" i="2"/>
  <c r="H17" i="2"/>
  <c r="AB16" i="2"/>
  <c r="AA16" i="2"/>
  <c r="I16" i="2"/>
  <c r="H16" i="2"/>
  <c r="AB15" i="2"/>
  <c r="AA15" i="2"/>
  <c r="I15" i="2"/>
  <c r="H15" i="2"/>
  <c r="AB14" i="2"/>
  <c r="AA14" i="2"/>
  <c r="I14" i="2"/>
  <c r="H14" i="2"/>
  <c r="AB13" i="2"/>
  <c r="AA13" i="2"/>
  <c r="I13" i="2"/>
  <c r="H13" i="2"/>
  <c r="AB12" i="2"/>
  <c r="AA12" i="2"/>
  <c r="I12" i="2"/>
  <c r="H12" i="2"/>
  <c r="AB11" i="2"/>
  <c r="AA11" i="2"/>
  <c r="I11" i="2"/>
  <c r="H11" i="2"/>
  <c r="AB10" i="2"/>
  <c r="AA10" i="2"/>
  <c r="I10" i="2"/>
  <c r="H10" i="2"/>
  <c r="AB9" i="2"/>
  <c r="AA9" i="2"/>
  <c r="I9" i="2"/>
  <c r="H9" i="2"/>
  <c r="AB8" i="2"/>
  <c r="AA8" i="2"/>
  <c r="I8" i="2"/>
  <c r="H8" i="2"/>
  <c r="AB7" i="2"/>
  <c r="AA7" i="2"/>
  <c r="I7" i="2"/>
  <c r="H7" i="2"/>
  <c r="AB6" i="2"/>
  <c r="AA6" i="2"/>
  <c r="I6" i="2"/>
  <c r="H6" i="2"/>
  <c r="P15" i="1"/>
  <c r="O15" i="1"/>
  <c r="I15" i="1"/>
  <c r="H15" i="1"/>
  <c r="P14" i="1"/>
  <c r="O14" i="1"/>
  <c r="I14" i="1"/>
  <c r="H14" i="1"/>
  <c r="P13" i="1"/>
  <c r="O13" i="1"/>
  <c r="I13" i="1"/>
  <c r="H13" i="1"/>
  <c r="P12" i="1"/>
  <c r="O12" i="1"/>
  <c r="I12" i="1"/>
  <c r="H12" i="1"/>
  <c r="P11" i="1"/>
  <c r="O11" i="1"/>
  <c r="N11" i="1"/>
  <c r="I11" i="1"/>
  <c r="H11" i="1"/>
  <c r="P10" i="1"/>
  <c r="O10" i="1"/>
  <c r="I10" i="1"/>
  <c r="H10" i="1"/>
  <c r="P9" i="1"/>
  <c r="O9" i="1"/>
  <c r="I9" i="1"/>
  <c r="H9" i="1"/>
  <c r="P8" i="1"/>
  <c r="O8" i="1"/>
  <c r="I8" i="1"/>
  <c r="H8" i="1"/>
  <c r="P7" i="1"/>
  <c r="O7" i="1"/>
  <c r="I7" i="1"/>
  <c r="H7" i="1"/>
  <c r="P6" i="1"/>
  <c r="O6" i="1"/>
  <c r="I6" i="1"/>
  <c r="H6" i="1"/>
  <c r="V198" i="6" l="1"/>
  <c r="I198" i="6"/>
  <c r="K1452" i="6"/>
  <c r="S96" i="5" s="1"/>
  <c r="J1452" i="6"/>
  <c r="X3137" i="6"/>
  <c r="I3137" i="6"/>
  <c r="K761" i="6"/>
  <c r="P53" i="5" s="1"/>
  <c r="J761" i="6"/>
  <c r="K1955" i="6"/>
  <c r="Z127" i="5" s="1"/>
  <c r="J1955" i="6"/>
  <c r="X2183" i="6"/>
  <c r="V2183" i="6"/>
  <c r="W2183" i="6"/>
  <c r="V378" i="6"/>
  <c r="I378" i="6"/>
  <c r="K378" i="6" s="1"/>
  <c r="Q29" i="5" s="1"/>
  <c r="I2065" i="6"/>
  <c r="X2065" i="6"/>
  <c r="W2065" i="6"/>
  <c r="V2065" i="6"/>
  <c r="W378" i="6"/>
  <c r="J68" i="6"/>
  <c r="K68" i="6"/>
  <c r="AA9" i="5" s="1"/>
  <c r="AR9" i="5" s="1"/>
  <c r="V245" i="6"/>
  <c r="X245" i="6"/>
  <c r="W245" i="6"/>
  <c r="I245" i="6"/>
  <c r="I1921" i="6"/>
  <c r="J1921" i="6" s="1"/>
  <c r="X1921" i="6"/>
  <c r="X2020" i="6"/>
  <c r="K2042" i="6"/>
  <c r="Q133" i="5" s="1"/>
  <c r="J2042" i="6"/>
  <c r="V1218" i="6"/>
  <c r="I1218" i="6"/>
  <c r="V1921" i="6"/>
  <c r="J69" i="6"/>
  <c r="J247" i="6"/>
  <c r="K247" i="6"/>
  <c r="N21" i="5" s="1"/>
  <c r="J323" i="6"/>
  <c r="K323" i="6"/>
  <c r="Z25" i="5" s="1"/>
  <c r="W1218" i="6"/>
  <c r="W1921" i="6"/>
  <c r="V324" i="6"/>
  <c r="X324" i="6"/>
  <c r="I324" i="6"/>
  <c r="K324" i="6" s="1"/>
  <c r="AA25" i="5" s="1"/>
  <c r="X1218" i="6"/>
  <c r="W324" i="6"/>
  <c r="V444" i="6"/>
  <c r="W444" i="6"/>
  <c r="X444" i="6"/>
  <c r="I444" i="6"/>
  <c r="K444" i="6" s="1"/>
  <c r="S33" i="5" s="1"/>
  <c r="AI33" i="5" s="1"/>
  <c r="V714" i="6"/>
  <c r="W714" i="6"/>
  <c r="X714" i="6"/>
  <c r="V846" i="6"/>
  <c r="X846" i="6"/>
  <c r="I846" i="6"/>
  <c r="K846" i="6" s="1"/>
  <c r="U58" i="5" s="1"/>
  <c r="I3213" i="6"/>
  <c r="V3213" i="6"/>
  <c r="X3213" i="6"/>
  <c r="W846" i="6"/>
  <c r="K1002" i="6"/>
  <c r="Q68" i="5" s="1"/>
  <c r="J1002" i="6"/>
  <c r="W3213" i="6"/>
  <c r="W2400" i="6"/>
  <c r="W198" i="6"/>
  <c r="K434" i="6"/>
  <c r="Y32" i="5" s="1"/>
  <c r="J434" i="6"/>
  <c r="I1874" i="6"/>
  <c r="V1874" i="6"/>
  <c r="X1874" i="6"/>
  <c r="V1882" i="6"/>
  <c r="I1882" i="6"/>
  <c r="K1882" i="6" s="1"/>
  <c r="Q123" i="5" s="1"/>
  <c r="W1882" i="6"/>
  <c r="X2400" i="6"/>
  <c r="V3115" i="6"/>
  <c r="X3115" i="6"/>
  <c r="I3115" i="6"/>
  <c r="W3115" i="6"/>
  <c r="J3126" i="6"/>
  <c r="K3126" i="6"/>
  <c r="M201" i="5" s="1"/>
  <c r="J58" i="6"/>
  <c r="X198" i="6"/>
  <c r="V434" i="6"/>
  <c r="X434" i="6"/>
  <c r="W434" i="6"/>
  <c r="W1874" i="6"/>
  <c r="K2353" i="6"/>
  <c r="X152" i="5" s="1"/>
  <c r="J2353" i="6"/>
  <c r="W3137" i="6"/>
  <c r="I187" i="6"/>
  <c r="V187" i="6"/>
  <c r="X187" i="6"/>
  <c r="W187" i="6"/>
  <c r="V310" i="6"/>
  <c r="X310" i="6"/>
  <c r="W310" i="6"/>
  <c r="I1013" i="6"/>
  <c r="W1013" i="6"/>
  <c r="X1013" i="6"/>
  <c r="V1013" i="6"/>
  <c r="K161" i="6"/>
  <c r="X15" i="5" s="1"/>
  <c r="AQ15" i="5" s="1"/>
  <c r="J161" i="6"/>
  <c r="J435" i="6"/>
  <c r="K17" i="6"/>
  <c r="X6" i="5" s="1"/>
  <c r="J17" i="6"/>
  <c r="V26" i="6"/>
  <c r="X26" i="6"/>
  <c r="W26" i="6"/>
  <c r="X144" i="6"/>
  <c r="W144" i="6"/>
  <c r="W506" i="6"/>
  <c r="V650" i="6"/>
  <c r="I650" i="6"/>
  <c r="J928" i="6"/>
  <c r="V2030" i="6"/>
  <c r="AP15" i="5"/>
  <c r="V144" i="6"/>
  <c r="X506" i="6"/>
  <c r="W650" i="6"/>
  <c r="J909" i="6"/>
  <c r="K909" i="6"/>
  <c r="T62" i="5" s="1"/>
  <c r="I1288" i="6"/>
  <c r="X378" i="6"/>
  <c r="V542" i="6"/>
  <c r="X542" i="6"/>
  <c r="W542" i="6"/>
  <c r="X836" i="6"/>
  <c r="W836" i="6"/>
  <c r="V836" i="6"/>
  <c r="K1369" i="6"/>
  <c r="P91" i="5" s="1"/>
  <c r="J1369" i="6"/>
  <c r="W1765" i="6"/>
  <c r="I660" i="6"/>
  <c r="W660" i="6"/>
  <c r="X660" i="6"/>
  <c r="K1766" i="6"/>
  <c r="M116" i="5" s="1"/>
  <c r="J1766" i="6"/>
  <c r="K1733" i="6"/>
  <c r="AB113" i="5" s="1"/>
  <c r="J1733" i="6"/>
  <c r="I507" i="6"/>
  <c r="X507" i="6"/>
  <c r="W507" i="6"/>
  <c r="V507" i="6"/>
  <c r="X650" i="6"/>
  <c r="I771" i="6"/>
  <c r="K771" i="6" s="1"/>
  <c r="Z53" i="5" s="1"/>
  <c r="K1714" i="6"/>
  <c r="Y112" i="5" s="1"/>
  <c r="J1714" i="6"/>
  <c r="K189" i="6"/>
  <c r="T17" i="5" s="1"/>
  <c r="J189" i="6"/>
  <c r="W659" i="6"/>
  <c r="W2703" i="6"/>
  <c r="V2703" i="6"/>
  <c r="X2703" i="6"/>
  <c r="J109" i="6"/>
  <c r="K929" i="6"/>
  <c r="X63" i="5" s="1"/>
  <c r="J929" i="6"/>
  <c r="I1093" i="6"/>
  <c r="W1093" i="6"/>
  <c r="X1093" i="6"/>
  <c r="W152" i="6"/>
  <c r="I152" i="6"/>
  <c r="V1142" i="6"/>
  <c r="X1142" i="6"/>
  <c r="W1142" i="6"/>
  <c r="K153" i="6"/>
  <c r="P15" i="5" s="1"/>
  <c r="J153" i="6"/>
  <c r="X1356" i="6"/>
  <c r="W1356" i="6"/>
  <c r="X388" i="6"/>
  <c r="V388" i="6"/>
  <c r="W388" i="6"/>
  <c r="I388" i="6"/>
  <c r="V1093" i="6"/>
  <c r="I2171" i="6"/>
  <c r="X2171" i="6"/>
  <c r="W2171" i="6"/>
  <c r="V2171" i="6"/>
  <c r="V109" i="6"/>
  <c r="K133" i="6"/>
  <c r="AB13" i="5" s="1"/>
  <c r="AR13" i="5" s="1"/>
  <c r="J133" i="6"/>
  <c r="J612" i="6"/>
  <c r="V910" i="6"/>
  <c r="W910" i="6"/>
  <c r="X910" i="6"/>
  <c r="I910" i="6"/>
  <c r="J1289" i="6"/>
  <c r="K1289" i="6"/>
  <c r="P86" i="5" s="1"/>
  <c r="X1765" i="6"/>
  <c r="I1765" i="6"/>
  <c r="K1765" i="6" s="1"/>
  <c r="AB115" i="5" s="1"/>
  <c r="V152" i="6"/>
  <c r="W1777" i="6"/>
  <c r="X1777" i="6"/>
  <c r="V1777" i="6"/>
  <c r="J1133" i="6"/>
  <c r="I2729" i="6"/>
  <c r="X2729" i="6"/>
  <c r="W2729" i="6"/>
  <c r="K506" i="6"/>
  <c r="Q37" i="5" s="1"/>
  <c r="J506" i="6"/>
  <c r="V660" i="6"/>
  <c r="K1756" i="6"/>
  <c r="S115" i="5" s="1"/>
  <c r="AI115" i="5" s="1"/>
  <c r="J1756" i="6"/>
  <c r="V2729" i="6"/>
  <c r="W109" i="6"/>
  <c r="V598" i="6"/>
  <c r="W598" i="6"/>
  <c r="I598" i="6"/>
  <c r="I2183" i="6"/>
  <c r="J2183" i="6" s="1"/>
  <c r="V762" i="6"/>
  <c r="I762" i="6"/>
  <c r="K762" i="6" s="1"/>
  <c r="Q53" i="5" s="1"/>
  <c r="X762" i="6"/>
  <c r="K981" i="6"/>
  <c r="AB66" i="5" s="1"/>
  <c r="J981" i="6"/>
  <c r="V1280" i="6"/>
  <c r="J2393" i="6"/>
  <c r="V58" i="6"/>
  <c r="X58" i="6"/>
  <c r="V782" i="6"/>
  <c r="X782" i="6"/>
  <c r="W782" i="6"/>
  <c r="K1209" i="6"/>
  <c r="P81" i="5" s="1"/>
  <c r="J1209" i="6"/>
  <c r="I1767" i="6"/>
  <c r="X1767" i="6"/>
  <c r="V1767" i="6"/>
  <c r="W1767" i="6"/>
  <c r="V761" i="6"/>
  <c r="X761" i="6"/>
  <c r="W761" i="6"/>
  <c r="J1629" i="6"/>
  <c r="K1629" i="6"/>
  <c r="T107" i="5" s="1"/>
  <c r="K1005" i="6"/>
  <c r="T68" i="5" s="1"/>
  <c r="J1005" i="6"/>
  <c r="I2341" i="6"/>
  <c r="X2341" i="6"/>
  <c r="W2341" i="6"/>
  <c r="V2341" i="6"/>
  <c r="W18" i="6"/>
  <c r="K773" i="6"/>
  <c r="AB53" i="5" s="1"/>
  <c r="V1134" i="6"/>
  <c r="I1134" i="6"/>
  <c r="K1134" i="6" s="1"/>
  <c r="U76" i="5" s="1"/>
  <c r="X1134" i="6"/>
  <c r="W1134" i="6"/>
  <c r="W1346" i="6"/>
  <c r="X1617" i="6"/>
  <c r="W1617" i="6"/>
  <c r="W136" i="6"/>
  <c r="I136" i="6"/>
  <c r="V362" i="6"/>
  <c r="W362" i="6"/>
  <c r="X362" i="6"/>
  <c r="V500" i="6"/>
  <c r="X763" i="6"/>
  <c r="I763" i="6"/>
  <c r="X1269" i="6"/>
  <c r="K2159" i="6"/>
  <c r="V140" i="5" s="1"/>
  <c r="J2159" i="6"/>
  <c r="W301" i="6"/>
  <c r="I692" i="6"/>
  <c r="V692" i="6"/>
  <c r="X692" i="6"/>
  <c r="W692" i="6"/>
  <c r="V763" i="6"/>
  <c r="W1189" i="6"/>
  <c r="I1189" i="6"/>
  <c r="J1562" i="6"/>
  <c r="AP126" i="5"/>
  <c r="AO126" i="5"/>
  <c r="X52" i="6"/>
  <c r="W52" i="6"/>
  <c r="I92" i="6"/>
  <c r="V226" i="6"/>
  <c r="W226" i="6"/>
  <c r="X226" i="6"/>
  <c r="I226" i="6"/>
  <c r="K226" i="6" s="1"/>
  <c r="Y19" i="5" s="1"/>
  <c r="X284" i="6"/>
  <c r="V293" i="6"/>
  <c r="J341" i="6"/>
  <c r="V351" i="6"/>
  <c r="X351" i="6"/>
  <c r="W351" i="6"/>
  <c r="I405" i="6"/>
  <c r="V413" i="6"/>
  <c r="J581" i="6"/>
  <c r="K745" i="6"/>
  <c r="P52" i="5" s="1"/>
  <c r="X817" i="6"/>
  <c r="I817" i="6"/>
  <c r="V817" i="6"/>
  <c r="W817" i="6"/>
  <c r="J878" i="6"/>
  <c r="J982" i="6"/>
  <c r="J1117" i="6"/>
  <c r="X1189" i="6"/>
  <c r="I1246" i="6"/>
  <c r="V1260" i="6"/>
  <c r="I1260" i="6"/>
  <c r="K1260" i="6" s="1"/>
  <c r="S84" i="5" s="1"/>
  <c r="X1260" i="6"/>
  <c r="W1562" i="6"/>
  <c r="V1842" i="6"/>
  <c r="J1855" i="6"/>
  <c r="K1988" i="6"/>
  <c r="AA129" i="5" s="1"/>
  <c r="J1988" i="6"/>
  <c r="K2330" i="6"/>
  <c r="Q151" i="5" s="1"/>
  <c r="I2938" i="6"/>
  <c r="X2938" i="6"/>
  <c r="W2938" i="6"/>
  <c r="V2938" i="6"/>
  <c r="K3548" i="6"/>
  <c r="S227" i="5" s="1"/>
  <c r="AJ227" i="5" s="1"/>
  <c r="J3548" i="6"/>
  <c r="J2133" i="6"/>
  <c r="K2133" i="6"/>
  <c r="AB138" i="5" s="1"/>
  <c r="V394" i="6"/>
  <c r="I394" i="6"/>
  <c r="K394" i="6" s="1"/>
  <c r="Q30" i="5" s="1"/>
  <c r="J572" i="6"/>
  <c r="W10" i="6"/>
  <c r="V562" i="6"/>
  <c r="I562" i="6"/>
  <c r="K562" i="6" s="1"/>
  <c r="Y40" i="5" s="1"/>
  <c r="V627" i="6"/>
  <c r="W627" i="6"/>
  <c r="X627" i="6"/>
  <c r="I627" i="6"/>
  <c r="K797" i="6"/>
  <c r="T55" i="5" s="1"/>
  <c r="V2269" i="6"/>
  <c r="I2269" i="6"/>
  <c r="W2269" i="6"/>
  <c r="V1172" i="6"/>
  <c r="V11" i="6"/>
  <c r="V158" i="6"/>
  <c r="X158" i="6"/>
  <c r="W275" i="6"/>
  <c r="X275" i="6"/>
  <c r="V275" i="6"/>
  <c r="K453" i="6"/>
  <c r="AB33" i="5" s="1"/>
  <c r="J462" i="6"/>
  <c r="X469" i="6"/>
  <c r="V514" i="6"/>
  <c r="W514" i="6"/>
  <c r="X514" i="6"/>
  <c r="V526" i="6"/>
  <c r="I526" i="6"/>
  <c r="X526" i="6"/>
  <c r="W526" i="6"/>
  <c r="J563" i="6"/>
  <c r="V618" i="6"/>
  <c r="I618" i="6"/>
  <c r="I676" i="6"/>
  <c r="J676" i="6" s="1"/>
  <c r="V676" i="6"/>
  <c r="X676" i="6"/>
  <c r="X724" i="6"/>
  <c r="I724" i="6"/>
  <c r="W734" i="6"/>
  <c r="X844" i="6"/>
  <c r="W844" i="6"/>
  <c r="V844" i="6"/>
  <c r="I844" i="6"/>
  <c r="V853" i="6"/>
  <c r="V936" i="6"/>
  <c r="I936" i="6"/>
  <c r="K936" i="6" s="1"/>
  <c r="O64" i="5" s="1"/>
  <c r="W1022" i="6"/>
  <c r="W1160" i="6"/>
  <c r="X1160" i="6"/>
  <c r="V1160" i="6"/>
  <c r="I1160" i="6"/>
  <c r="X1172" i="6"/>
  <c r="K2063" i="6"/>
  <c r="V134" i="5" s="1"/>
  <c r="J2063" i="6"/>
  <c r="X2202" i="6"/>
  <c r="W2202" i="6"/>
  <c r="V2226" i="6"/>
  <c r="K2245" i="6"/>
  <c r="AB145" i="5" s="1"/>
  <c r="J2446" i="6"/>
  <c r="V2457" i="6"/>
  <c r="I2493" i="6"/>
  <c r="W2493" i="6"/>
  <c r="X2493" i="6"/>
  <c r="V2493" i="6"/>
  <c r="J2865" i="6"/>
  <c r="K2865" i="6"/>
  <c r="X184" i="5" s="1"/>
  <c r="K201" i="6"/>
  <c r="P18" i="5" s="1"/>
  <c r="J201" i="6"/>
  <c r="I479" i="6"/>
  <c r="X479" i="6"/>
  <c r="V479" i="6"/>
  <c r="J1681" i="6"/>
  <c r="K1681" i="6"/>
  <c r="X110" i="5" s="1"/>
  <c r="W2513" i="6"/>
  <c r="W217" i="6"/>
  <c r="W285" i="6"/>
  <c r="I881" i="6"/>
  <c r="X881" i="6"/>
  <c r="W881" i="6"/>
  <c r="W1237" i="6"/>
  <c r="X1237" i="6"/>
  <c r="V1237" i="6"/>
  <c r="I1237" i="6"/>
  <c r="J276" i="6"/>
  <c r="K276" i="6"/>
  <c r="AA22" i="5" s="1"/>
  <c r="X321" i="6"/>
  <c r="V321" i="6"/>
  <c r="W321" i="6"/>
  <c r="I321" i="6"/>
  <c r="K321" i="6" s="1"/>
  <c r="X25" i="5" s="1"/>
  <c r="V527" i="6"/>
  <c r="W527" i="6"/>
  <c r="X563" i="6"/>
  <c r="W563" i="6"/>
  <c r="K790" i="6"/>
  <c r="M55" i="5" s="1"/>
  <c r="J790" i="6"/>
  <c r="W853" i="6"/>
  <c r="I1035" i="6"/>
  <c r="K1035" i="6" s="1"/>
  <c r="R70" i="5" s="1"/>
  <c r="X1035" i="6"/>
  <c r="W1035" i="6"/>
  <c r="I1377" i="6"/>
  <c r="X1377" i="6"/>
  <c r="V1794" i="6"/>
  <c r="I1794" i="6"/>
  <c r="X1794" i="6"/>
  <c r="I2259" i="6"/>
  <c r="K2259" i="6" s="1"/>
  <c r="Z146" i="5" s="1"/>
  <c r="X2259" i="6"/>
  <c r="W2457" i="6"/>
  <c r="AP176" i="5"/>
  <c r="AQ176" i="5"/>
  <c r="AO176" i="5"/>
  <c r="V2633" i="6"/>
  <c r="I2633" i="6"/>
  <c r="V247" i="6"/>
  <c r="X247" i="6"/>
  <c r="W247" i="6"/>
  <c r="J652" i="6"/>
  <c r="AP58" i="5"/>
  <c r="AO58" i="5"/>
  <c r="J993" i="6"/>
  <c r="I1061" i="6"/>
  <c r="W1061" i="6"/>
  <c r="X1061" i="6"/>
  <c r="V1061" i="6"/>
  <c r="X1346" i="6"/>
  <c r="V1617" i="6"/>
  <c r="X1883" i="6"/>
  <c r="V136" i="6"/>
  <c r="X2621" i="6"/>
  <c r="W2621" i="6"/>
  <c r="V2621" i="6"/>
  <c r="X136" i="6"/>
  <c r="X869" i="6"/>
  <c r="W869" i="6"/>
  <c r="I869" i="6"/>
  <c r="J890" i="6"/>
  <c r="K1053" i="6"/>
  <c r="T71" i="5" s="1"/>
  <c r="K2901" i="6"/>
  <c r="AB186" i="5" s="1"/>
  <c r="J2901" i="6"/>
  <c r="J592" i="6"/>
  <c r="V642" i="6"/>
  <c r="W642" i="6"/>
  <c r="I642" i="6"/>
  <c r="K642" i="6" s="1"/>
  <c r="Y45" i="5" s="1"/>
  <c r="AP45" i="5" s="1"/>
  <c r="V879" i="6"/>
  <c r="X879" i="6"/>
  <c r="W879" i="6"/>
  <c r="I879" i="6"/>
  <c r="K879" i="6" s="1"/>
  <c r="V60" i="5" s="1"/>
  <c r="W2109" i="6"/>
  <c r="X2109" i="6"/>
  <c r="V945" i="6"/>
  <c r="I945" i="6"/>
  <c r="J1704" i="6"/>
  <c r="K1704" i="6"/>
  <c r="O112" i="5" s="1"/>
  <c r="X1790" i="6"/>
  <c r="W1790" i="6"/>
  <c r="V1790" i="6"/>
  <c r="V2109" i="6"/>
  <c r="V2522" i="6"/>
  <c r="V285" i="6"/>
  <c r="W684" i="6"/>
  <c r="I1545" i="6"/>
  <c r="W1545" i="6"/>
  <c r="V1545" i="6"/>
  <c r="V2523" i="6"/>
  <c r="X2805" i="6"/>
  <c r="W2805" i="6"/>
  <c r="V2805" i="6"/>
  <c r="X675" i="6"/>
  <c r="W675" i="6"/>
  <c r="X1545" i="6"/>
  <c r="K1683" i="6"/>
  <c r="Z110" i="5" s="1"/>
  <c r="J1683" i="6"/>
  <c r="V2892" i="6"/>
  <c r="X2892" i="6"/>
  <c r="W2892" i="6"/>
  <c r="K85" i="6"/>
  <c r="AB10" i="5" s="1"/>
  <c r="J85" i="6"/>
  <c r="V675" i="6"/>
  <c r="J1215" i="6"/>
  <c r="K1215" i="6"/>
  <c r="V81" i="5" s="1"/>
  <c r="V219" i="6"/>
  <c r="I219" i="6"/>
  <c r="X219" i="6"/>
  <c r="V170" i="6"/>
  <c r="X170" i="6"/>
  <c r="W170" i="6"/>
  <c r="W219" i="6"/>
  <c r="V276" i="6"/>
  <c r="X386" i="6"/>
  <c r="V470" i="6"/>
  <c r="X470" i="6"/>
  <c r="W470" i="6"/>
  <c r="V563" i="6"/>
  <c r="X618" i="6"/>
  <c r="X630" i="6"/>
  <c r="J669" i="6"/>
  <c r="W724" i="6"/>
  <c r="V790" i="6"/>
  <c r="X790" i="6"/>
  <c r="J845" i="6"/>
  <c r="K937" i="6"/>
  <c r="P64" i="5" s="1"/>
  <c r="V1035" i="6"/>
  <c r="J1173" i="6"/>
  <c r="I1366" i="6"/>
  <c r="K1366" i="6" s="1"/>
  <c r="M91" i="5" s="1"/>
  <c r="V1377" i="6"/>
  <c r="J1673" i="6"/>
  <c r="J2422" i="6"/>
  <c r="X2457" i="6"/>
  <c r="J2737" i="6"/>
  <c r="I1897" i="6"/>
  <c r="X1897" i="6"/>
  <c r="W1897" i="6"/>
  <c r="V1897" i="6"/>
  <c r="V422" i="6"/>
  <c r="W422" i="6"/>
  <c r="I422" i="6"/>
  <c r="W651" i="6"/>
  <c r="J301" i="6"/>
  <c r="J362" i="6"/>
  <c r="I743" i="6"/>
  <c r="X743" i="6"/>
  <c r="K1123" i="6"/>
  <c r="Z75" i="5" s="1"/>
  <c r="V2133" i="6"/>
  <c r="X2133" i="6"/>
  <c r="W2133" i="6"/>
  <c r="X2633" i="6"/>
  <c r="X18" i="6"/>
  <c r="W601" i="6"/>
  <c r="V601" i="6"/>
  <c r="X601" i="6"/>
  <c r="J1073" i="6"/>
  <c r="K1736" i="6"/>
  <c r="O114" i="5" s="1"/>
  <c r="W3045" i="6"/>
  <c r="X3045" i="6"/>
  <c r="I3045" i="6"/>
  <c r="V3045" i="6"/>
  <c r="J413" i="6"/>
  <c r="W424" i="6"/>
  <c r="I424" i="6"/>
  <c r="X488" i="6"/>
  <c r="I693" i="6"/>
  <c r="X693" i="6"/>
  <c r="W763" i="6"/>
  <c r="V1189" i="6"/>
  <c r="X1577" i="6"/>
  <c r="W1577" i="6"/>
  <c r="W1702" i="6"/>
  <c r="V1702" i="6"/>
  <c r="I1702" i="6"/>
  <c r="K1702" i="6" s="1"/>
  <c r="M112" i="5" s="1"/>
  <c r="K1876" i="6"/>
  <c r="AA122" i="5" s="1"/>
  <c r="J1876" i="6"/>
  <c r="N9" i="1"/>
  <c r="H101" i="5"/>
  <c r="W693" i="6"/>
  <c r="K870" i="6"/>
  <c r="M60" i="5" s="1"/>
  <c r="J870" i="6"/>
  <c r="AQ93" i="5"/>
  <c r="I3697" i="6"/>
  <c r="X3697" i="6"/>
  <c r="W3697" i="6"/>
  <c r="K954" i="6"/>
  <c r="Q65" i="5" s="1"/>
  <c r="J954" i="6"/>
  <c r="X1694" i="6"/>
  <c r="I1694" i="6"/>
  <c r="V1694" i="6"/>
  <c r="K2513" i="6"/>
  <c r="X162" i="5" s="1"/>
  <c r="J2513" i="6"/>
  <c r="J10" i="6"/>
  <c r="K684" i="6"/>
  <c r="S48" i="5" s="1"/>
  <c r="J684" i="6"/>
  <c r="W1694" i="6"/>
  <c r="I2470" i="6"/>
  <c r="V2470" i="6"/>
  <c r="W2470" i="6"/>
  <c r="V2513" i="6"/>
  <c r="X3407" i="6"/>
  <c r="V3407" i="6"/>
  <c r="W479" i="6"/>
  <c r="W1109" i="6"/>
  <c r="X1109" i="6"/>
  <c r="X10" i="6"/>
  <c r="X394" i="6"/>
  <c r="J861" i="6"/>
  <c r="V2214" i="6"/>
  <c r="I2214" i="6"/>
  <c r="X2269" i="6"/>
  <c r="X3328" i="6"/>
  <c r="V3328" i="6"/>
  <c r="W3328" i="6"/>
  <c r="I3328" i="6"/>
  <c r="K1330" i="6"/>
  <c r="Y88" i="5" s="1"/>
  <c r="J1330" i="6"/>
  <c r="J1401" i="6"/>
  <c r="X35" i="6"/>
  <c r="I35" i="6"/>
  <c r="J67" i="6"/>
  <c r="K67" i="6"/>
  <c r="Z9" i="5" s="1"/>
  <c r="V263" i="6"/>
  <c r="W263" i="6"/>
  <c r="X263" i="6"/>
  <c r="I263" i="6"/>
  <c r="W276" i="6"/>
  <c r="W377" i="6"/>
  <c r="I377" i="6"/>
  <c r="K377" i="6" s="1"/>
  <c r="P29" i="5" s="1"/>
  <c r="V471" i="6"/>
  <c r="X471" i="6"/>
  <c r="I471" i="6"/>
  <c r="J471" i="6" s="1"/>
  <c r="W677" i="6"/>
  <c r="X677" i="6"/>
  <c r="I677" i="6"/>
  <c r="I1101" i="6"/>
  <c r="X1101" i="6"/>
  <c r="V1150" i="6"/>
  <c r="I1150" i="6"/>
  <c r="K1150" i="6" s="1"/>
  <c r="U77" i="5" s="1"/>
  <c r="W1150" i="6"/>
  <c r="X1150" i="6"/>
  <c r="I1239" i="6"/>
  <c r="W1239" i="6"/>
  <c r="X1239" i="6"/>
  <c r="V1318" i="6"/>
  <c r="W1318" i="6"/>
  <c r="X1318" i="6"/>
  <c r="W1377" i="6"/>
  <c r="X1785" i="6"/>
  <c r="I1785" i="6"/>
  <c r="W2192" i="6"/>
  <c r="I2192" i="6"/>
  <c r="X2737" i="6"/>
  <c r="W2737" i="6"/>
  <c r="V2737" i="6"/>
  <c r="J2809" i="6"/>
  <c r="K2809" i="6"/>
  <c r="P181" i="5" s="1"/>
  <c r="V3147" i="6"/>
  <c r="I3147" i="6"/>
  <c r="V110" i="6"/>
  <c r="I110" i="6"/>
  <c r="J110" i="6" s="1"/>
  <c r="W110" i="6"/>
  <c r="X110" i="6"/>
  <c r="V918" i="6"/>
  <c r="I918" i="6"/>
  <c r="K918" i="6" s="1"/>
  <c r="M63" i="5" s="1"/>
  <c r="W918" i="6"/>
  <c r="W58" i="6"/>
  <c r="V1115" i="6"/>
  <c r="X1115" i="6"/>
  <c r="W1115" i="6"/>
  <c r="I1115" i="6"/>
  <c r="W1209" i="6"/>
  <c r="X1209" i="6"/>
  <c r="K1269" i="6"/>
  <c r="AB84" i="5" s="1"/>
  <c r="J1269" i="6"/>
  <c r="K1116" i="6"/>
  <c r="S75" i="5" s="1"/>
  <c r="J1116" i="6"/>
  <c r="X422" i="6"/>
  <c r="W500" i="6"/>
  <c r="I500" i="6"/>
  <c r="V1269" i="6"/>
  <c r="W1883" i="6"/>
  <c r="J100" i="6"/>
  <c r="V640" i="6"/>
  <c r="I640" i="6"/>
  <c r="J640" i="6" s="1"/>
  <c r="W100" i="6"/>
  <c r="V100" i="6"/>
  <c r="X301" i="6"/>
  <c r="W293" i="6"/>
  <c r="X424" i="6"/>
  <c r="X1117" i="6"/>
  <c r="W1117" i="6"/>
  <c r="V1117" i="6"/>
  <c r="X1562" i="6"/>
  <c r="X2137" i="6"/>
  <c r="W2137" i="6"/>
  <c r="V2137" i="6"/>
  <c r="I2137" i="6"/>
  <c r="I137" i="6"/>
  <c r="W137" i="6"/>
  <c r="V137" i="6"/>
  <c r="X137" i="6"/>
  <c r="J227" i="6"/>
  <c r="V478" i="6"/>
  <c r="X478" i="6"/>
  <c r="W478" i="6"/>
  <c r="K1832" i="6"/>
  <c r="O120" i="5" s="1"/>
  <c r="J1832" i="6"/>
  <c r="X745" i="6"/>
  <c r="X227" i="6"/>
  <c r="X405" i="6"/>
  <c r="W524" i="6"/>
  <c r="V684" i="6"/>
  <c r="V1044" i="6"/>
  <c r="I1044" i="6"/>
  <c r="K1044" i="6" s="1"/>
  <c r="AA70" i="5" s="1"/>
  <c r="X1044" i="6"/>
  <c r="W1044" i="6"/>
  <c r="K1109" i="6"/>
  <c r="AB74" i="5" s="1"/>
  <c r="AR74" i="5" s="1"/>
  <c r="J1181" i="6"/>
  <c r="I1532" i="6"/>
  <c r="W1532" i="6"/>
  <c r="X1989" i="6"/>
  <c r="W1989" i="6"/>
  <c r="I1989" i="6"/>
  <c r="V1989" i="6"/>
  <c r="I43" i="6"/>
  <c r="X43" i="6"/>
  <c r="W43" i="6"/>
  <c r="W394" i="6"/>
  <c r="V1181" i="6"/>
  <c r="W1181" i="6"/>
  <c r="W1533" i="6"/>
  <c r="I1533" i="6"/>
  <c r="I2481" i="6"/>
  <c r="X2481" i="6"/>
  <c r="W2481" i="6"/>
  <c r="V2481" i="6"/>
  <c r="X2513" i="6"/>
  <c r="K2502" i="6"/>
  <c r="M162" i="5" s="1"/>
  <c r="J2502" i="6"/>
  <c r="X84" i="6"/>
  <c r="X217" i="6"/>
  <c r="V881" i="6"/>
  <c r="I3375" i="6"/>
  <c r="X3375" i="6"/>
  <c r="W3375" i="6"/>
  <c r="X1022" i="6"/>
  <c r="AQ75" i="5"/>
  <c r="AP75" i="5"/>
  <c r="AO75" i="5"/>
  <c r="W159" i="6"/>
  <c r="W209" i="6"/>
  <c r="X276" i="6"/>
  <c r="V377" i="6"/>
  <c r="W471" i="6"/>
  <c r="I551" i="6"/>
  <c r="K551" i="6" s="1"/>
  <c r="N40" i="5" s="1"/>
  <c r="X551" i="6"/>
  <c r="V610" i="6"/>
  <c r="W610" i="6"/>
  <c r="I610" i="6"/>
  <c r="K610" i="6" s="1"/>
  <c r="Y43" i="5" s="1"/>
  <c r="V658" i="6"/>
  <c r="I658" i="6"/>
  <c r="V677" i="6"/>
  <c r="V845" i="6"/>
  <c r="V1101" i="6"/>
  <c r="V1239" i="6"/>
  <c r="W1366" i="6"/>
  <c r="V1462" i="6"/>
  <c r="X1462" i="6"/>
  <c r="I1462" i="6"/>
  <c r="I1637" i="6"/>
  <c r="X1637" i="6"/>
  <c r="V1785" i="6"/>
  <c r="X2051" i="6"/>
  <c r="W2051" i="6"/>
  <c r="I2051" i="6"/>
  <c r="V2192" i="6"/>
  <c r="J2246" i="6"/>
  <c r="W3147" i="6"/>
  <c r="J1757" i="6"/>
  <c r="K1757" i="6"/>
  <c r="T115" i="5" s="1"/>
  <c r="X2340" i="6"/>
  <c r="W2340" i="6"/>
  <c r="K2704" i="6"/>
  <c r="W174" i="5" s="1"/>
  <c r="J2704" i="6"/>
  <c r="I3093" i="6"/>
  <c r="X3093" i="6"/>
  <c r="W3093" i="6"/>
  <c r="V3093" i="6"/>
  <c r="X1072" i="6"/>
  <c r="I1072" i="6"/>
  <c r="K1617" i="6"/>
  <c r="X106" i="5" s="1"/>
  <c r="X1910" i="6"/>
  <c r="I1910" i="6"/>
  <c r="W1910" i="6"/>
  <c r="V1910" i="6"/>
  <c r="V3068" i="6"/>
  <c r="I3068" i="6"/>
  <c r="K3068" i="6" s="1"/>
  <c r="S197" i="5" s="1"/>
  <c r="AK197" i="5" s="1"/>
  <c r="X589" i="6"/>
  <c r="V589" i="6"/>
  <c r="I589" i="6"/>
  <c r="K601" i="6"/>
  <c r="P43" i="5" s="1"/>
  <c r="W762" i="6"/>
  <c r="V488" i="6"/>
  <c r="V570" i="6"/>
  <c r="I570" i="6"/>
  <c r="J753" i="6"/>
  <c r="K753" i="6"/>
  <c r="X52" i="5" s="1"/>
  <c r="K1326" i="6"/>
  <c r="U88" i="5" s="1"/>
  <c r="J1326" i="6"/>
  <c r="K2580" i="6"/>
  <c r="AA166" i="5" s="1"/>
  <c r="J2580" i="6"/>
  <c r="V3628" i="6"/>
  <c r="I3628" i="6"/>
  <c r="X3628" i="6"/>
  <c r="W3628" i="6"/>
  <c r="X3709" i="6"/>
  <c r="W3709" i="6"/>
  <c r="I3709" i="6"/>
  <c r="V178" i="6"/>
  <c r="X178" i="6"/>
  <c r="X413" i="6"/>
  <c r="X2123" i="6"/>
  <c r="W2123" i="6"/>
  <c r="I2123" i="6"/>
  <c r="J2123" i="6" s="1"/>
  <c r="V2123" i="6"/>
  <c r="K2479" i="6"/>
  <c r="V160" i="5" s="1"/>
  <c r="J2479" i="6"/>
  <c r="I128" i="6"/>
  <c r="K128" i="6" s="1"/>
  <c r="W13" i="5" s="1"/>
  <c r="AN13" i="5" s="1"/>
  <c r="X128" i="6"/>
  <c r="V405" i="6"/>
  <c r="W581" i="6"/>
  <c r="X581" i="6"/>
  <c r="V745" i="6"/>
  <c r="V1338" i="6"/>
  <c r="X1338" i="6"/>
  <c r="J1409" i="6"/>
  <c r="K285" i="6"/>
  <c r="T23" i="5" s="1"/>
  <c r="V806" i="6"/>
  <c r="X806" i="6"/>
  <c r="J2597" i="6"/>
  <c r="J84" i="6"/>
  <c r="J534" i="6"/>
  <c r="W84" i="6"/>
  <c r="W562" i="6"/>
  <c r="X945" i="6"/>
  <c r="X1249" i="6"/>
  <c r="W1249" i="6"/>
  <c r="V1249" i="6"/>
  <c r="I1249" i="6"/>
  <c r="K1792" i="6"/>
  <c r="W117" i="5" s="1"/>
  <c r="J1792" i="6"/>
  <c r="W2306" i="6"/>
  <c r="I2543" i="6"/>
  <c r="X2543" i="6"/>
  <c r="V2543" i="6"/>
  <c r="J480" i="6"/>
  <c r="X562" i="6"/>
  <c r="K853" i="6"/>
  <c r="AB58" i="5" s="1"/>
  <c r="V946" i="6"/>
  <c r="I946" i="6"/>
  <c r="X1509" i="6"/>
  <c r="V1509" i="6"/>
  <c r="X1533" i="6"/>
  <c r="X1792" i="6"/>
  <c r="I2445" i="6"/>
  <c r="X2445" i="6"/>
  <c r="W2445" i="6"/>
  <c r="V2445" i="6"/>
  <c r="W2543" i="6"/>
  <c r="V118" i="6"/>
  <c r="X118" i="6"/>
  <c r="V1034" i="6"/>
  <c r="W1034" i="6"/>
  <c r="I1034" i="6"/>
  <c r="I2257" i="6"/>
  <c r="K2257" i="6" s="1"/>
  <c r="X146" i="5" s="1"/>
  <c r="AQ146" i="5" s="1"/>
  <c r="X2257" i="6"/>
  <c r="W2257" i="6"/>
  <c r="V2257" i="6"/>
  <c r="V3375" i="6"/>
  <c r="J277" i="6"/>
  <c r="K277" i="6"/>
  <c r="AB22" i="5" s="1"/>
  <c r="X377" i="6"/>
  <c r="W845" i="6"/>
  <c r="W1101" i="6"/>
  <c r="V1354" i="6"/>
  <c r="W1354" i="6"/>
  <c r="X1354" i="6"/>
  <c r="I1354" i="6"/>
  <c r="X1366" i="6"/>
  <c r="W1785" i="6"/>
  <c r="X2192" i="6"/>
  <c r="X3147" i="6"/>
  <c r="V3182" i="6"/>
  <c r="X3182" i="6"/>
  <c r="I3182" i="6"/>
  <c r="W570" i="6"/>
  <c r="W963" i="6"/>
  <c r="X963" i="6"/>
  <c r="X91" i="6"/>
  <c r="V236" i="6"/>
  <c r="V3709" i="6"/>
  <c r="V878" i="6"/>
  <c r="X878" i="6"/>
  <c r="V1246" i="6"/>
  <c r="W1246" i="6"/>
  <c r="K1338" i="6"/>
  <c r="Q89" i="5" s="1"/>
  <c r="AG89" i="5" s="1"/>
  <c r="J1338" i="6"/>
  <c r="V1421" i="6"/>
  <c r="I1421" i="6"/>
  <c r="W1421" i="6"/>
  <c r="X1421" i="6"/>
  <c r="J2345" i="6"/>
  <c r="K2345" i="6"/>
  <c r="P152" i="5" s="1"/>
  <c r="W178" i="6"/>
  <c r="V3697" i="6"/>
  <c r="V524" i="6"/>
  <c r="V954" i="6"/>
  <c r="X954" i="6"/>
  <c r="W954" i="6"/>
  <c r="I1669" i="6"/>
  <c r="V1669" i="6"/>
  <c r="X1669" i="6"/>
  <c r="W1669" i="6"/>
  <c r="V1805" i="6"/>
  <c r="X1805" i="6"/>
  <c r="W1805" i="6"/>
  <c r="I1805" i="6"/>
  <c r="V294" i="6"/>
  <c r="I294" i="6"/>
  <c r="X294" i="6"/>
  <c r="I1261" i="6"/>
  <c r="V1261" i="6"/>
  <c r="W1261" i="6"/>
  <c r="X1261" i="6"/>
  <c r="J2789" i="6"/>
  <c r="K2789" i="6"/>
  <c r="AB179" i="5" s="1"/>
  <c r="X524" i="6"/>
  <c r="I1565" i="6"/>
  <c r="W1565" i="6"/>
  <c r="X1565" i="6"/>
  <c r="V1565" i="6"/>
  <c r="K1990" i="6"/>
  <c r="M130" i="5" s="1"/>
  <c r="J1990" i="6"/>
  <c r="V2306" i="6"/>
  <c r="K2805" i="6"/>
  <c r="AB180" i="5" s="1"/>
  <c r="J2805" i="6"/>
  <c r="J295" i="6"/>
  <c r="K295" i="6"/>
  <c r="N24" i="5" s="1"/>
  <c r="J406" i="6"/>
  <c r="X684" i="6"/>
  <c r="X797" i="6"/>
  <c r="W797" i="6"/>
  <c r="V469" i="6"/>
  <c r="K1022" i="6"/>
  <c r="U69" i="5" s="1"/>
  <c r="J1022" i="6"/>
  <c r="W2214" i="6"/>
  <c r="I3353" i="6"/>
  <c r="X3353" i="6"/>
  <c r="W3353" i="6"/>
  <c r="V3353" i="6"/>
  <c r="V34" i="6"/>
  <c r="W34" i="6"/>
  <c r="I34" i="6"/>
  <c r="K182" i="6"/>
  <c r="M17" i="5" s="1"/>
  <c r="J182" i="6"/>
  <c r="K407" i="6"/>
  <c r="N31" i="5" s="1"/>
  <c r="J407" i="6"/>
  <c r="W469" i="6"/>
  <c r="V734" i="6"/>
  <c r="I734" i="6"/>
  <c r="W861" i="6"/>
  <c r="X861" i="6"/>
  <c r="W946" i="6"/>
  <c r="K2282" i="6"/>
  <c r="Q148" i="5" s="1"/>
  <c r="J2282" i="6"/>
  <c r="K25" i="6"/>
  <c r="P7" i="5" s="1"/>
  <c r="J25" i="6"/>
  <c r="K160" i="6"/>
  <c r="W15" i="5" s="1"/>
  <c r="J160" i="6"/>
  <c r="V454" i="6"/>
  <c r="W454" i="6"/>
  <c r="I454" i="6"/>
  <c r="X454" i="6"/>
  <c r="K566" i="6"/>
  <c r="M41" i="5" s="1"/>
  <c r="J566" i="6"/>
  <c r="K1277" i="6"/>
  <c r="T85" i="5" s="1"/>
  <c r="J1277" i="6"/>
  <c r="V1355" i="6"/>
  <c r="I1355" i="6"/>
  <c r="V1955" i="6"/>
  <c r="X1955" i="6"/>
  <c r="V2052" i="6"/>
  <c r="I2052" i="6"/>
  <c r="J3136" i="6"/>
  <c r="K3136" i="6"/>
  <c r="W201" i="5" s="1"/>
  <c r="X69" i="6"/>
  <c r="W69" i="6"/>
  <c r="V69" i="6"/>
  <c r="I661" i="6"/>
  <c r="V661" i="6"/>
  <c r="W661" i="6"/>
  <c r="V726" i="6"/>
  <c r="I726" i="6"/>
  <c r="K957" i="6"/>
  <c r="T65" i="5" s="1"/>
  <c r="J957" i="6"/>
  <c r="V1980" i="6"/>
  <c r="I1980" i="6"/>
  <c r="K1980" i="6" s="1"/>
  <c r="S129" i="5" s="1"/>
  <c r="AJ129" i="5" s="1"/>
  <c r="K2673" i="6"/>
  <c r="X172" i="5" s="1"/>
  <c r="J2673" i="6"/>
  <c r="I12" i="6"/>
  <c r="X12" i="6"/>
  <c r="V77" i="6"/>
  <c r="V145" i="6"/>
  <c r="J370" i="6"/>
  <c r="W472" i="6"/>
  <c r="V517" i="6"/>
  <c r="X517" i="6"/>
  <c r="W517" i="6"/>
  <c r="V774" i="6"/>
  <c r="W774" i="6"/>
  <c r="I774" i="6"/>
  <c r="X774" i="6"/>
  <c r="W966" i="6"/>
  <c r="K1102" i="6"/>
  <c r="U74" i="5" s="1"/>
  <c r="J1102" i="6"/>
  <c r="J1348" i="6"/>
  <c r="K1348" i="6"/>
  <c r="AA89" i="5" s="1"/>
  <c r="V1717" i="6"/>
  <c r="I1717" i="6"/>
  <c r="X1717" i="6"/>
  <c r="X1980" i="6"/>
  <c r="X2332" i="6"/>
  <c r="W2332" i="6"/>
  <c r="V2332" i="6"/>
  <c r="I2332" i="6"/>
  <c r="AQ95" i="5"/>
  <c r="V12" i="6"/>
  <c r="X61" i="6"/>
  <c r="W70" i="6"/>
  <c r="W77" i="6"/>
  <c r="W121" i="6"/>
  <c r="W145" i="6"/>
  <c r="V181" i="6"/>
  <c r="X220" i="6"/>
  <c r="W220" i="6"/>
  <c r="V277" i="6"/>
  <c r="V314" i="6"/>
  <c r="I314" i="6"/>
  <c r="X314" i="6"/>
  <c r="J363" i="6"/>
  <c r="I389" i="6"/>
  <c r="X389" i="6"/>
  <c r="K397" i="6"/>
  <c r="T30" i="5" s="1"/>
  <c r="W407" i="6"/>
  <c r="V492" i="6"/>
  <c r="K501" i="6"/>
  <c r="AB36" i="5" s="1"/>
  <c r="J509" i="6"/>
  <c r="K509" i="6"/>
  <c r="T37" i="5" s="1"/>
  <c r="V593" i="6"/>
  <c r="W621" i="6"/>
  <c r="V621" i="6"/>
  <c r="X621" i="6"/>
  <c r="I621" i="6"/>
  <c r="X633" i="6"/>
  <c r="I633" i="6"/>
  <c r="W643" i="6"/>
  <c r="V653" i="6"/>
  <c r="X653" i="6"/>
  <c r="I653" i="6"/>
  <c r="J671" i="6"/>
  <c r="X726" i="6"/>
  <c r="X735" i="6"/>
  <c r="K785" i="6"/>
  <c r="X54" i="5" s="1"/>
  <c r="J785" i="6"/>
  <c r="I940" i="6"/>
  <c r="K940" i="6" s="1"/>
  <c r="S64" i="5" s="1"/>
  <c r="AK64" i="5" s="1"/>
  <c r="V940" i="6"/>
  <c r="X1037" i="6"/>
  <c r="I1037" i="6"/>
  <c r="V1046" i="6"/>
  <c r="X1046" i="6"/>
  <c r="W1075" i="6"/>
  <c r="X1075" i="6"/>
  <c r="X1125" i="6"/>
  <c r="I1125" i="6"/>
  <c r="W1125" i="6"/>
  <c r="K1290" i="6"/>
  <c r="Q86" i="5" s="1"/>
  <c r="J1290" i="6"/>
  <c r="J1339" i="6"/>
  <c r="V1435" i="6"/>
  <c r="J1445" i="6"/>
  <c r="K1457" i="6"/>
  <c r="X96" i="5" s="1"/>
  <c r="J1457" i="6"/>
  <c r="V1466" i="6"/>
  <c r="K1511" i="6"/>
  <c r="N100" i="5" s="1"/>
  <c r="V1685" i="6"/>
  <c r="W1705" i="6"/>
  <c r="W1717" i="6"/>
  <c r="W1845" i="6"/>
  <c r="I1845" i="6"/>
  <c r="K1845" i="6" s="1"/>
  <c r="AB120" i="5" s="1"/>
  <c r="K1926" i="6"/>
  <c r="M126" i="5" s="1"/>
  <c r="J1926" i="6"/>
  <c r="V1990" i="6"/>
  <c r="J2172" i="6"/>
  <c r="V2393" i="6"/>
  <c r="J2413" i="6"/>
  <c r="J2684" i="6"/>
  <c r="K2684" i="6"/>
  <c r="S173" i="5" s="1"/>
  <c r="I2954" i="6"/>
  <c r="V2954" i="6"/>
  <c r="X2954" i="6"/>
  <c r="K3725" i="6"/>
  <c r="T238" i="5" s="1"/>
  <c r="W12" i="6"/>
  <c r="X29" i="6"/>
  <c r="I29" i="6"/>
  <c r="X121" i="6"/>
  <c r="J162" i="6"/>
  <c r="W181" i="6"/>
  <c r="V212" i="6"/>
  <c r="V220" i="6"/>
  <c r="W277" i="6"/>
  <c r="W296" i="6"/>
  <c r="W314" i="6"/>
  <c r="K335" i="6"/>
  <c r="V26" i="5" s="1"/>
  <c r="W370" i="6"/>
  <c r="V389" i="6"/>
  <c r="X397" i="6"/>
  <c r="V397" i="6"/>
  <c r="X407" i="6"/>
  <c r="J473" i="6"/>
  <c r="K473" i="6"/>
  <c r="P35" i="5" s="1"/>
  <c r="V509" i="6"/>
  <c r="K529" i="6"/>
  <c r="X38" i="5" s="1"/>
  <c r="J529" i="6"/>
  <c r="V556" i="6"/>
  <c r="I565" i="6"/>
  <c r="V565" i="6"/>
  <c r="X565" i="6"/>
  <c r="V633" i="6"/>
  <c r="X643" i="6"/>
  <c r="W653" i="6"/>
  <c r="V662" i="6"/>
  <c r="I662" i="6"/>
  <c r="X662" i="6"/>
  <c r="J697" i="6"/>
  <c r="J705" i="6"/>
  <c r="I736" i="6"/>
  <c r="K736" i="6" s="1"/>
  <c r="W51" i="5" s="1"/>
  <c r="W736" i="6"/>
  <c r="V736" i="6"/>
  <c r="V785" i="6"/>
  <c r="V818" i="6"/>
  <c r="W818" i="6"/>
  <c r="X818" i="6"/>
  <c r="J837" i="6"/>
  <c r="W940" i="6"/>
  <c r="I996" i="6"/>
  <c r="X996" i="6"/>
  <c r="V1014" i="6"/>
  <c r="I1014" i="6"/>
  <c r="X1014" i="6"/>
  <c r="V1037" i="6"/>
  <c r="W1046" i="6"/>
  <c r="V1075" i="6"/>
  <c r="V1094" i="6"/>
  <c r="W1094" i="6"/>
  <c r="V1125" i="6"/>
  <c r="X1136" i="6"/>
  <c r="V1174" i="6"/>
  <c r="W1174" i="6"/>
  <c r="I1174" i="6"/>
  <c r="K1174" i="6" s="1"/>
  <c r="M79" i="5" s="1"/>
  <c r="V1202" i="6"/>
  <c r="I1202" i="6"/>
  <c r="V1230" i="6"/>
  <c r="X1230" i="6"/>
  <c r="W1230" i="6"/>
  <c r="W1252" i="6"/>
  <c r="K1381" i="6"/>
  <c r="AB91" i="5" s="1"/>
  <c r="J1381" i="6"/>
  <c r="V1566" i="6"/>
  <c r="X1566" i="6"/>
  <c r="W1685" i="6"/>
  <c r="V1845" i="6"/>
  <c r="J1937" i="6"/>
  <c r="J1981" i="6"/>
  <c r="X1990" i="6"/>
  <c r="V2043" i="6"/>
  <c r="I2043" i="6"/>
  <c r="X2043" i="6"/>
  <c r="J2055" i="6"/>
  <c r="I2126" i="6"/>
  <c r="X2126" i="6"/>
  <c r="V2161" i="6"/>
  <c r="I2161" i="6"/>
  <c r="K2185" i="6"/>
  <c r="P142" i="5" s="1"/>
  <c r="J2185" i="6"/>
  <c r="I2333" i="6"/>
  <c r="V2333" i="6"/>
  <c r="X2393" i="6"/>
  <c r="W2954" i="6"/>
  <c r="X3497" i="6"/>
  <c r="W3497" i="6"/>
  <c r="I3497" i="6"/>
  <c r="W3650" i="6"/>
  <c r="X3650" i="6"/>
  <c r="I3650" i="6"/>
  <c r="J3650" i="6" s="1"/>
  <c r="V3650" i="6"/>
  <c r="X13" i="6"/>
  <c r="V13" i="6"/>
  <c r="I13" i="6"/>
  <c r="K13" i="6" s="1"/>
  <c r="V29" i="6"/>
  <c r="V54" i="6"/>
  <c r="W54" i="6"/>
  <c r="J62" i="6"/>
  <c r="V94" i="6"/>
  <c r="X94" i="6"/>
  <c r="W94" i="6"/>
  <c r="V113" i="6"/>
  <c r="V138" i="6"/>
  <c r="X138" i="6"/>
  <c r="W212" i="6"/>
  <c r="J250" i="6"/>
  <c r="V268" i="6"/>
  <c r="V278" i="6"/>
  <c r="I278" i="6"/>
  <c r="X296" i="6"/>
  <c r="X335" i="6"/>
  <c r="W335" i="6"/>
  <c r="X363" i="6"/>
  <c r="X370" i="6"/>
  <c r="J381" i="6"/>
  <c r="W389" i="6"/>
  <c r="W397" i="6"/>
  <c r="W426" i="6"/>
  <c r="W501" i="6"/>
  <c r="W509" i="6"/>
  <c r="W529" i="6"/>
  <c r="V529" i="6"/>
  <c r="X529" i="6"/>
  <c r="W556" i="6"/>
  <c r="W565" i="6"/>
  <c r="W633" i="6"/>
  <c r="W662" i="6"/>
  <c r="W705" i="6"/>
  <c r="X705" i="6"/>
  <c r="K717" i="6"/>
  <c r="T50" i="5" s="1"/>
  <c r="J717" i="6"/>
  <c r="X736" i="6"/>
  <c r="W785" i="6"/>
  <c r="V810" i="6"/>
  <c r="I810" i="6"/>
  <c r="W837" i="6"/>
  <c r="V837" i="6"/>
  <c r="X837" i="6"/>
  <c r="K865" i="6"/>
  <c r="X59" i="5" s="1"/>
  <c r="W902" i="6"/>
  <c r="J921" i="6"/>
  <c r="V930" i="6"/>
  <c r="W930" i="6"/>
  <c r="I930" i="6"/>
  <c r="X940" i="6"/>
  <c r="K958" i="6"/>
  <c r="U65" i="5" s="1"/>
  <c r="J958" i="6"/>
  <c r="K985" i="6"/>
  <c r="P67" i="5" s="1"/>
  <c r="J985" i="6"/>
  <c r="W1014" i="6"/>
  <c r="V1025" i="6"/>
  <c r="X1025" i="6"/>
  <c r="I1025" i="6"/>
  <c r="W1025" i="6"/>
  <c r="W1037" i="6"/>
  <c r="X1094" i="6"/>
  <c r="I1145" i="6"/>
  <c r="W1145" i="6"/>
  <c r="X1145" i="6"/>
  <c r="X1174" i="6"/>
  <c r="K1185" i="6"/>
  <c r="X79" i="5" s="1"/>
  <c r="J1185" i="6"/>
  <c r="V1194" i="6"/>
  <c r="I1194" i="6"/>
  <c r="J1194" i="6" s="1"/>
  <c r="W1202" i="6"/>
  <c r="I1231" i="6"/>
  <c r="V1231" i="6"/>
  <c r="X1231" i="6"/>
  <c r="W1231" i="6"/>
  <c r="V1309" i="6"/>
  <c r="I1309" i="6"/>
  <c r="J1349" i="6"/>
  <c r="V1370" i="6"/>
  <c r="I1370" i="6"/>
  <c r="K1370" i="6" s="1"/>
  <c r="Q91" i="5" s="1"/>
  <c r="W1370" i="6"/>
  <c r="X1370" i="6"/>
  <c r="V1445" i="6"/>
  <c r="X1445" i="6"/>
  <c r="W1445" i="6"/>
  <c r="X1467" i="6"/>
  <c r="V1467" i="6"/>
  <c r="V1641" i="6"/>
  <c r="I1641" i="6"/>
  <c r="V1824" i="6"/>
  <c r="I1824" i="6"/>
  <c r="X1845" i="6"/>
  <c r="X1981" i="6"/>
  <c r="W1981" i="6"/>
  <c r="K1991" i="6"/>
  <c r="N130" i="5" s="1"/>
  <c r="J1991" i="6"/>
  <c r="K2013" i="6"/>
  <c r="T131" i="5" s="1"/>
  <c r="W2043" i="6"/>
  <c r="X2113" i="6"/>
  <c r="W2113" i="6"/>
  <c r="I2113" i="6"/>
  <c r="I2127" i="6"/>
  <c r="X2127" i="6"/>
  <c r="V2127" i="6"/>
  <c r="W2161" i="6"/>
  <c r="W2333" i="6"/>
  <c r="W2371" i="6"/>
  <c r="V2371" i="6"/>
  <c r="I2371" i="6"/>
  <c r="J2384" i="6"/>
  <c r="W2402" i="6"/>
  <c r="I2402" i="6"/>
  <c r="J2402" i="6" s="1"/>
  <c r="V2402" i="6"/>
  <c r="I2545" i="6"/>
  <c r="X2545" i="6"/>
  <c r="W2545" i="6"/>
  <c r="V2545" i="6"/>
  <c r="I2797" i="6"/>
  <c r="X2797" i="6"/>
  <c r="W2797" i="6"/>
  <c r="J3025" i="6"/>
  <c r="V3175" i="6"/>
  <c r="X3175" i="6"/>
  <c r="W3175" i="6"/>
  <c r="V3497" i="6"/>
  <c r="V3725" i="6"/>
  <c r="W13" i="6"/>
  <c r="W29" i="6"/>
  <c r="J38" i="6"/>
  <c r="W47" i="6"/>
  <c r="X54" i="6"/>
  <c r="K71" i="6"/>
  <c r="N10" i="5" s="1"/>
  <c r="X113" i="6"/>
  <c r="W138" i="6"/>
  <c r="J193" i="6"/>
  <c r="K193" i="6"/>
  <c r="X17" i="5" s="1"/>
  <c r="X212" i="6"/>
  <c r="V250" i="6"/>
  <c r="W250" i="6"/>
  <c r="W278" i="6"/>
  <c r="K297" i="6"/>
  <c r="P24" i="5" s="1"/>
  <c r="J297" i="6"/>
  <c r="V326" i="6"/>
  <c r="I326" i="6"/>
  <c r="W326" i="6"/>
  <c r="V335" i="6"/>
  <c r="V353" i="6"/>
  <c r="X426" i="6"/>
  <c r="J438" i="6"/>
  <c r="J465" i="6"/>
  <c r="K465" i="6"/>
  <c r="X34" i="5" s="1"/>
  <c r="W483" i="6"/>
  <c r="K493" i="6"/>
  <c r="T36" i="5" s="1"/>
  <c r="X501" i="6"/>
  <c r="X509" i="6"/>
  <c r="I557" i="6"/>
  <c r="V634" i="6"/>
  <c r="W634" i="6"/>
  <c r="I634" i="6"/>
  <c r="X644" i="6"/>
  <c r="W644" i="6"/>
  <c r="V654" i="6"/>
  <c r="W654" i="6"/>
  <c r="I654" i="6"/>
  <c r="V705" i="6"/>
  <c r="J749" i="6"/>
  <c r="X785" i="6"/>
  <c r="W810" i="6"/>
  <c r="W865" i="6"/>
  <c r="X865" i="6"/>
  <c r="V865" i="6"/>
  <c r="J893" i="6"/>
  <c r="X902" i="6"/>
  <c r="X930" i="6"/>
  <c r="V1038" i="6"/>
  <c r="I1038" i="6"/>
  <c r="K1038" i="6" s="1"/>
  <c r="U70" i="5" s="1"/>
  <c r="X1038" i="6"/>
  <c r="W1038" i="6"/>
  <c r="I1066" i="6"/>
  <c r="I1103" i="6"/>
  <c r="V1126" i="6"/>
  <c r="X1126" i="6"/>
  <c r="I1126" i="6"/>
  <c r="V1145" i="6"/>
  <c r="W1194" i="6"/>
  <c r="X1202" i="6"/>
  <c r="J1253" i="6"/>
  <c r="W1309" i="6"/>
  <c r="I1331" i="6"/>
  <c r="V1331" i="6"/>
  <c r="J1340" i="6"/>
  <c r="J1413" i="6"/>
  <c r="K1502" i="6"/>
  <c r="U99" i="5" s="1"/>
  <c r="J1502" i="6"/>
  <c r="W1631" i="6"/>
  <c r="W1641" i="6"/>
  <c r="V1738" i="6"/>
  <c r="W1824" i="6"/>
  <c r="V1981" i="6"/>
  <c r="V2036" i="6"/>
  <c r="X2036" i="6"/>
  <c r="V2113" i="6"/>
  <c r="W2127" i="6"/>
  <c r="X2161" i="6"/>
  <c r="W2310" i="6"/>
  <c r="V2310" i="6"/>
  <c r="X2310" i="6"/>
  <c r="X2333" i="6"/>
  <c r="K2361" i="6"/>
  <c r="P153" i="5" s="1"/>
  <c r="J2361" i="6"/>
  <c r="X2371" i="6"/>
  <c r="J2394" i="6"/>
  <c r="X2402" i="6"/>
  <c r="J2627" i="6"/>
  <c r="V2797" i="6"/>
  <c r="I2812" i="6"/>
  <c r="W2812" i="6"/>
  <c r="X2812" i="6"/>
  <c r="I3322" i="6"/>
  <c r="V3399" i="6"/>
  <c r="X3399" i="6"/>
  <c r="I3472" i="6"/>
  <c r="X3472" i="6"/>
  <c r="W3472" i="6"/>
  <c r="V3472" i="6"/>
  <c r="W3725" i="6"/>
  <c r="AY164" i="5"/>
  <c r="I14" i="6"/>
  <c r="I48" i="6"/>
  <c r="W62" i="6"/>
  <c r="W86" i="6"/>
  <c r="K105" i="6"/>
  <c r="P12" i="5" s="1"/>
  <c r="I114" i="6"/>
  <c r="J173" i="6"/>
  <c r="W193" i="6"/>
  <c r="V193" i="6"/>
  <c r="V202" i="6"/>
  <c r="W202" i="6"/>
  <c r="I241" i="6"/>
  <c r="X250" i="6"/>
  <c r="X278" i="6"/>
  <c r="W287" i="6"/>
  <c r="X326" i="6"/>
  <c r="V345" i="6"/>
  <c r="I345" i="6"/>
  <c r="K345" i="6" s="1"/>
  <c r="P27" i="5" s="1"/>
  <c r="K364" i="6"/>
  <c r="S28" i="5" s="1"/>
  <c r="AI28" i="5" s="1"/>
  <c r="I427" i="6"/>
  <c r="W427" i="6"/>
  <c r="V427" i="6"/>
  <c r="X427" i="6"/>
  <c r="X465" i="6"/>
  <c r="W465" i="6"/>
  <c r="K510" i="6"/>
  <c r="U37" i="5" s="1"/>
  <c r="J510" i="6"/>
  <c r="K520" i="6"/>
  <c r="O38" i="5" s="1"/>
  <c r="I537" i="6"/>
  <c r="W605" i="6"/>
  <c r="I605" i="6"/>
  <c r="X634" i="6"/>
  <c r="V644" i="6"/>
  <c r="X654" i="6"/>
  <c r="V686" i="6"/>
  <c r="I686" i="6"/>
  <c r="V697" i="6"/>
  <c r="I706" i="6"/>
  <c r="K706" i="6" s="1"/>
  <c r="Y49" i="5" s="1"/>
  <c r="AP49" i="5" s="1"/>
  <c r="I729" i="6"/>
  <c r="J756" i="6"/>
  <c r="X810" i="6"/>
  <c r="X921" i="6"/>
  <c r="W921" i="6"/>
  <c r="I931" i="6"/>
  <c r="W931" i="6"/>
  <c r="X931" i="6"/>
  <c r="J941" i="6"/>
  <c r="W1126" i="6"/>
  <c r="X1194" i="6"/>
  <c r="X1212" i="6"/>
  <c r="W1212" i="6"/>
  <c r="X1309" i="6"/>
  <c r="I1322" i="6"/>
  <c r="X1349" i="6"/>
  <c r="W1349" i="6"/>
  <c r="V1349" i="6"/>
  <c r="W1360" i="6"/>
  <c r="J1371" i="6"/>
  <c r="W1426" i="6"/>
  <c r="I1437" i="6"/>
  <c r="K1437" i="6" s="1"/>
  <c r="T95" i="5" s="1"/>
  <c r="X1437" i="6"/>
  <c r="W1437" i="6"/>
  <c r="V1468" i="6"/>
  <c r="W1468" i="6"/>
  <c r="V1502" i="6"/>
  <c r="X1502" i="6"/>
  <c r="W1502" i="6"/>
  <c r="X1631" i="6"/>
  <c r="X1641" i="6"/>
  <c r="X1661" i="6"/>
  <c r="V1661" i="6"/>
  <c r="W1738" i="6"/>
  <c r="X1824" i="6"/>
  <c r="I1836" i="6"/>
  <c r="K1836" i="6" s="1"/>
  <c r="S120" i="5" s="1"/>
  <c r="X1887" i="6"/>
  <c r="V1887" i="6"/>
  <c r="I1887" i="6"/>
  <c r="W2036" i="6"/>
  <c r="I2114" i="6"/>
  <c r="J2114" i="6" s="1"/>
  <c r="W2114" i="6"/>
  <c r="V2114" i="6"/>
  <c r="I2311" i="6"/>
  <c r="V2361" i="6"/>
  <c r="V2394" i="6"/>
  <c r="X2394" i="6"/>
  <c r="W2394" i="6"/>
  <c r="K2614" i="6"/>
  <c r="M169" i="5" s="1"/>
  <c r="J2614" i="6"/>
  <c r="K2676" i="6"/>
  <c r="AA172" i="5" s="1"/>
  <c r="W2798" i="6"/>
  <c r="I2798" i="6"/>
  <c r="V2798" i="6"/>
  <c r="V2812" i="6"/>
  <c r="X2993" i="6"/>
  <c r="W2993" i="6"/>
  <c r="V2993" i="6"/>
  <c r="I2993" i="6"/>
  <c r="W3399" i="6"/>
  <c r="X3499" i="6"/>
  <c r="I3499" i="6"/>
  <c r="W3499" i="6"/>
  <c r="V3499" i="6"/>
  <c r="V45" i="6"/>
  <c r="W45" i="6"/>
  <c r="X45" i="6"/>
  <c r="V446" i="6"/>
  <c r="X446" i="6"/>
  <c r="X2730" i="6"/>
  <c r="W2730" i="6"/>
  <c r="K2821" i="6"/>
  <c r="AB181" i="5" s="1"/>
  <c r="J2821" i="6"/>
  <c r="AT38" i="5"/>
  <c r="AS38" i="5"/>
  <c r="W429" i="6"/>
  <c r="X429" i="6"/>
  <c r="I429" i="6"/>
  <c r="V520" i="6"/>
  <c r="W50" i="6"/>
  <c r="V65" i="6"/>
  <c r="X73" i="6"/>
  <c r="K157" i="6"/>
  <c r="T15" i="5" s="1"/>
  <c r="W165" i="6"/>
  <c r="V206" i="6"/>
  <c r="W206" i="6"/>
  <c r="I206" i="6"/>
  <c r="AP19" i="5"/>
  <c r="X233" i="6"/>
  <c r="X272" i="6"/>
  <c r="V330" i="6"/>
  <c r="I330" i="6"/>
  <c r="W347" i="6"/>
  <c r="I347" i="6"/>
  <c r="W357" i="6"/>
  <c r="X357" i="6"/>
  <c r="V420" i="6"/>
  <c r="X430" i="6"/>
  <c r="J441" i="6"/>
  <c r="J477" i="6"/>
  <c r="K486" i="6"/>
  <c r="M36" i="5" s="1"/>
  <c r="AE36" i="5" s="1"/>
  <c r="J486" i="6"/>
  <c r="K532" i="6"/>
  <c r="AA38" i="5" s="1"/>
  <c r="AR38" i="5" s="1"/>
  <c r="W549" i="6"/>
  <c r="V549" i="6"/>
  <c r="K578" i="6"/>
  <c r="Y41" i="5" s="1"/>
  <c r="J578" i="6"/>
  <c r="V587" i="6"/>
  <c r="W608" i="6"/>
  <c r="V608" i="6"/>
  <c r="V689" i="6"/>
  <c r="X689" i="6"/>
  <c r="J709" i="6"/>
  <c r="K709" i="6"/>
  <c r="AB49" i="5" s="1"/>
  <c r="K769" i="6"/>
  <c r="X53" i="5" s="1"/>
  <c r="V779" i="6"/>
  <c r="V802" i="6"/>
  <c r="I802" i="6"/>
  <c r="X802" i="6"/>
  <c r="W802" i="6"/>
  <c r="V851" i="6"/>
  <c r="K961" i="6"/>
  <c r="X65" i="5" s="1"/>
  <c r="V978" i="6"/>
  <c r="I978" i="6"/>
  <c r="K978" i="6" s="1"/>
  <c r="Y66" i="5" s="1"/>
  <c r="I1000" i="6"/>
  <c r="W1000" i="6"/>
  <c r="V1000" i="6"/>
  <c r="V1049" i="6"/>
  <c r="V1106" i="6"/>
  <c r="I1106" i="6"/>
  <c r="X1113" i="6"/>
  <c r="W1244" i="6"/>
  <c r="X1352" i="6"/>
  <c r="I1481" i="6"/>
  <c r="X1481" i="6"/>
  <c r="W1634" i="6"/>
  <c r="V1634" i="6"/>
  <c r="X1761" i="6"/>
  <c r="W1761" i="6"/>
  <c r="V1761" i="6"/>
  <c r="J1789" i="6"/>
  <c r="V1814" i="6"/>
  <c r="W1814" i="6"/>
  <c r="X1814" i="6"/>
  <c r="V1872" i="6"/>
  <c r="I1872" i="6"/>
  <c r="W1872" i="6"/>
  <c r="X1872" i="6"/>
  <c r="K1893" i="6"/>
  <c r="AB123" i="5" s="1"/>
  <c r="V1973" i="6"/>
  <c r="W1973" i="6"/>
  <c r="X1973" i="6"/>
  <c r="K2081" i="6"/>
  <c r="X135" i="5" s="1"/>
  <c r="W2576" i="6"/>
  <c r="X2576" i="6"/>
  <c r="K3705" i="6"/>
  <c r="P237" i="5" s="1"/>
  <c r="J3705" i="6"/>
  <c r="K464" i="6"/>
  <c r="W34" i="5" s="1"/>
  <c r="J464" i="6"/>
  <c r="I863" i="6"/>
  <c r="X863" i="6"/>
  <c r="W863" i="6"/>
  <c r="J912" i="6"/>
  <c r="K912" i="6"/>
  <c r="W62" i="5" s="1"/>
  <c r="V982" i="6"/>
  <c r="X982" i="6"/>
  <c r="W982" i="6"/>
  <c r="K1210" i="6"/>
  <c r="Q81" i="5" s="1"/>
  <c r="J1210" i="6"/>
  <c r="W1821" i="6"/>
  <c r="V1821" i="6"/>
  <c r="X1821" i="6"/>
  <c r="I1821" i="6"/>
  <c r="W2769" i="6"/>
  <c r="X2769" i="6"/>
  <c r="V3711" i="6"/>
  <c r="X3711" i="6"/>
  <c r="W3711" i="6"/>
  <c r="K556" i="6"/>
  <c r="S40" i="5" s="1"/>
  <c r="X809" i="6"/>
  <c r="W809" i="6"/>
  <c r="I809" i="6"/>
  <c r="V863" i="6"/>
  <c r="K1697" i="6"/>
  <c r="X111" i="5" s="1"/>
  <c r="AO111" i="5" s="1"/>
  <c r="I279" i="6"/>
  <c r="J279" i="6" s="1"/>
  <c r="V279" i="6"/>
  <c r="V566" i="6"/>
  <c r="X566" i="6"/>
  <c r="K1007" i="6"/>
  <c r="V68" i="5" s="1"/>
  <c r="AN68" i="5" s="1"/>
  <c r="J1007" i="6"/>
  <c r="V2025" i="6"/>
  <c r="I2025" i="6"/>
  <c r="X2025" i="6"/>
  <c r="W14" i="6"/>
  <c r="V105" i="6"/>
  <c r="X821" i="6"/>
  <c r="I821" i="6"/>
  <c r="K1361" i="6"/>
  <c r="X90" i="5" s="1"/>
  <c r="X2015" i="6"/>
  <c r="I2015" i="6"/>
  <c r="W2015" i="6"/>
  <c r="W2311" i="6"/>
  <c r="K3347" i="6"/>
  <c r="Z214" i="5" s="1"/>
  <c r="J3347" i="6"/>
  <c r="J63" i="6"/>
  <c r="W105" i="6"/>
  <c r="I148" i="6"/>
  <c r="X148" i="6"/>
  <c r="W148" i="6"/>
  <c r="V148" i="6"/>
  <c r="W173" i="6"/>
  <c r="J194" i="6"/>
  <c r="W241" i="6"/>
  <c r="V280" i="6"/>
  <c r="X317" i="6"/>
  <c r="W327" i="6"/>
  <c r="K485" i="6"/>
  <c r="AB35" i="5" s="1"/>
  <c r="V698" i="6"/>
  <c r="X698" i="6"/>
  <c r="J1097" i="6"/>
  <c r="J1333" i="6"/>
  <c r="X105" i="6"/>
  <c r="X241" i="6"/>
  <c r="W537" i="6"/>
  <c r="V1166" i="6"/>
  <c r="X1166" i="6"/>
  <c r="V1414" i="6"/>
  <c r="W1414" i="6"/>
  <c r="W1623" i="6"/>
  <c r="X1993" i="6"/>
  <c r="W2349" i="6"/>
  <c r="I2349" i="6"/>
  <c r="X2603" i="6"/>
  <c r="W2603" i="6"/>
  <c r="V2603" i="6"/>
  <c r="I2603" i="6"/>
  <c r="X2733" i="6"/>
  <c r="W2733" i="6"/>
  <c r="V2733" i="6"/>
  <c r="I2733" i="6"/>
  <c r="W391" i="6"/>
  <c r="J419" i="6"/>
  <c r="K419" i="6"/>
  <c r="Z31" i="5" s="1"/>
  <c r="J430" i="6"/>
  <c r="V485" i="6"/>
  <c r="W494" i="6"/>
  <c r="V778" i="6"/>
  <c r="I778" i="6"/>
  <c r="X778" i="6"/>
  <c r="W885" i="6"/>
  <c r="X1147" i="6"/>
  <c r="K1294" i="6"/>
  <c r="U86" i="5" s="1"/>
  <c r="J1294" i="6"/>
  <c r="K1325" i="6"/>
  <c r="T88" i="5" s="1"/>
  <c r="J1325" i="6"/>
  <c r="X1414" i="6"/>
  <c r="V2349" i="6"/>
  <c r="J2604" i="6"/>
  <c r="K2604" i="6"/>
  <c r="S168" i="5" s="1"/>
  <c r="I2723" i="6"/>
  <c r="K2723" i="6" s="1"/>
  <c r="Z175" i="5" s="1"/>
  <c r="X2723" i="6"/>
  <c r="W2723" i="6"/>
  <c r="X3297" i="6"/>
  <c r="V3297" i="6"/>
  <c r="W3297" i="6"/>
  <c r="V41" i="6"/>
  <c r="J106" i="6"/>
  <c r="X261" i="6"/>
  <c r="W261" i="6"/>
  <c r="V261" i="6"/>
  <c r="I329" i="6"/>
  <c r="X329" i="6"/>
  <c r="W329" i="6"/>
  <c r="W401" i="6"/>
  <c r="X401" i="6"/>
  <c r="I401" i="6"/>
  <c r="J401" i="6" s="1"/>
  <c r="V401" i="6"/>
  <c r="X606" i="6"/>
  <c r="I1105" i="6"/>
  <c r="X1105" i="6"/>
  <c r="W1105" i="6"/>
  <c r="V1214" i="6"/>
  <c r="I1214" i="6"/>
  <c r="K1214" i="6" s="1"/>
  <c r="U81" i="5" s="1"/>
  <c r="X1255" i="6"/>
  <c r="I1255" i="6"/>
  <c r="V1352" i="6"/>
  <c r="W1406" i="6"/>
  <c r="J1415" i="6"/>
  <c r="K1415" i="6"/>
  <c r="N94" i="5" s="1"/>
  <c r="W1459" i="6"/>
  <c r="W1689" i="6"/>
  <c r="K1827" i="6"/>
  <c r="Z119" i="5" s="1"/>
  <c r="J1827" i="6"/>
  <c r="I2188" i="6"/>
  <c r="V2188" i="6"/>
  <c r="X2188" i="6"/>
  <c r="W2188" i="6"/>
  <c r="X2349" i="6"/>
  <c r="J2630" i="6"/>
  <c r="K2630" i="6"/>
  <c r="M170" i="5" s="1"/>
  <c r="V2723" i="6"/>
  <c r="X3312" i="6"/>
  <c r="W3312" i="6"/>
  <c r="K3689" i="6"/>
  <c r="P236" i="5" s="1"/>
  <c r="J3689" i="6"/>
  <c r="V174" i="6"/>
  <c r="X174" i="6"/>
  <c r="W174" i="6"/>
  <c r="W233" i="6"/>
  <c r="V338" i="6"/>
  <c r="I338" i="6"/>
  <c r="X338" i="6"/>
  <c r="V450" i="6"/>
  <c r="I450" i="6"/>
  <c r="X539" i="6"/>
  <c r="I539" i="6"/>
  <c r="K539" i="6" s="1"/>
  <c r="R39" i="5" s="1"/>
  <c r="K549" i="6"/>
  <c r="AB39" i="5" s="1"/>
  <c r="K637" i="6"/>
  <c r="T45" i="5" s="1"/>
  <c r="X681" i="6"/>
  <c r="I708" i="6"/>
  <c r="J708" i="6" s="1"/>
  <c r="X708" i="6"/>
  <c r="J858" i="6"/>
  <c r="J924" i="6"/>
  <c r="K924" i="6"/>
  <c r="S63" i="5" s="1"/>
  <c r="W1089" i="6"/>
  <c r="I1089" i="6"/>
  <c r="W1113" i="6"/>
  <c r="V1415" i="6"/>
  <c r="X1415" i="6"/>
  <c r="I1653" i="6"/>
  <c r="V1653" i="6"/>
  <c r="X2302" i="6"/>
  <c r="V3654" i="6"/>
  <c r="I3654" i="6"/>
  <c r="AY54" i="5"/>
  <c r="AY151" i="5"/>
  <c r="V33" i="6"/>
  <c r="J42" i="6"/>
  <c r="X50" i="6"/>
  <c r="W65" i="6"/>
  <c r="J90" i="6"/>
  <c r="I98" i="6"/>
  <c r="J98" i="6" s="1"/>
  <c r="I107" i="6"/>
  <c r="K107" i="6" s="1"/>
  <c r="R12" i="5" s="1"/>
  <c r="J117" i="6"/>
  <c r="V125" i="6"/>
  <c r="X165" i="6"/>
  <c r="J186" i="6"/>
  <c r="X206" i="6"/>
  <c r="I216" i="6"/>
  <c r="J273" i="6"/>
  <c r="K273" i="6"/>
  <c r="X22" i="5" s="1"/>
  <c r="V299" i="6"/>
  <c r="V308" i="6"/>
  <c r="W330" i="6"/>
  <c r="V347" i="6"/>
  <c r="V357" i="6"/>
  <c r="X450" i="6"/>
  <c r="W539" i="6"/>
  <c r="X549" i="6"/>
  <c r="K560" i="6"/>
  <c r="W40" i="5" s="1"/>
  <c r="J560" i="6"/>
  <c r="X588" i="6"/>
  <c r="I588" i="6"/>
  <c r="J588" i="6" s="1"/>
  <c r="X608" i="6"/>
  <c r="V637" i="6"/>
  <c r="W689" i="6"/>
  <c r="J700" i="6"/>
  <c r="V721" i="6"/>
  <c r="X769" i="6"/>
  <c r="W769" i="6"/>
  <c r="V769" i="6"/>
  <c r="K813" i="6"/>
  <c r="T56" i="5" s="1"/>
  <c r="V823" i="6"/>
  <c r="I823" i="6"/>
  <c r="J823" i="6" s="1"/>
  <c r="X823" i="6"/>
  <c r="W851" i="6"/>
  <c r="W886" i="6"/>
  <c r="I953" i="6"/>
  <c r="V970" i="6"/>
  <c r="X970" i="6"/>
  <c r="I970" i="6"/>
  <c r="W978" i="6"/>
  <c r="X1000" i="6"/>
  <c r="V1030" i="6"/>
  <c r="W1030" i="6"/>
  <c r="V1042" i="6"/>
  <c r="I1042" i="6"/>
  <c r="K1042" i="6" s="1"/>
  <c r="Y70" i="5" s="1"/>
  <c r="X1049" i="6"/>
  <c r="X1089" i="6"/>
  <c r="W1106" i="6"/>
  <c r="K1114" i="6"/>
  <c r="Q75" i="5" s="1"/>
  <c r="J1114" i="6"/>
  <c r="V1158" i="6"/>
  <c r="W1158" i="6"/>
  <c r="V1285" i="6"/>
  <c r="J1303" i="6"/>
  <c r="K1365" i="6"/>
  <c r="AB90" i="5" s="1"/>
  <c r="J1365" i="6"/>
  <c r="V1374" i="6"/>
  <c r="I1374" i="6"/>
  <c r="I1397" i="6"/>
  <c r="K1397" i="6" s="1"/>
  <c r="AB92" i="5" s="1"/>
  <c r="V1481" i="6"/>
  <c r="V1592" i="6"/>
  <c r="X1592" i="6"/>
  <c r="W1592" i="6"/>
  <c r="X1613" i="6"/>
  <c r="I1613" i="6"/>
  <c r="X1634" i="6"/>
  <c r="X1653" i="6"/>
  <c r="V1783" i="6"/>
  <c r="V1951" i="6"/>
  <c r="J2039" i="6"/>
  <c r="V2144" i="6"/>
  <c r="V2551" i="6"/>
  <c r="X2551" i="6"/>
  <c r="W2551" i="6"/>
  <c r="I3642" i="6"/>
  <c r="X3705" i="6"/>
  <c r="W3705" i="6"/>
  <c r="V3705" i="6"/>
  <c r="J3717" i="6"/>
  <c r="K3717" i="6"/>
  <c r="AB237" i="5" s="1"/>
  <c r="I472" i="6"/>
  <c r="V472" i="6"/>
  <c r="V966" i="6"/>
  <c r="I966" i="6"/>
  <c r="X1867" i="6"/>
  <c r="I1867" i="6"/>
  <c r="K1867" i="6" s="1"/>
  <c r="R122" i="5" s="1"/>
  <c r="I593" i="6"/>
  <c r="X593" i="6"/>
  <c r="J678" i="6"/>
  <c r="W726" i="6"/>
  <c r="K1075" i="6"/>
  <c r="Z72" i="5" s="1"/>
  <c r="J1075" i="6"/>
  <c r="J1501" i="6"/>
  <c r="K1501" i="6"/>
  <c r="T99" i="5" s="1"/>
  <c r="I2160" i="6"/>
  <c r="X2160" i="6"/>
  <c r="W2160" i="6"/>
  <c r="V2160" i="6"/>
  <c r="I737" i="6"/>
  <c r="V737" i="6"/>
  <c r="W737" i="6"/>
  <c r="V1322" i="6"/>
  <c r="X1322" i="6"/>
  <c r="K698" i="6"/>
  <c r="Q49" i="5" s="1"/>
  <c r="AH49" i="5" s="1"/>
  <c r="J698" i="6"/>
  <c r="J839" i="6"/>
  <c r="K839" i="6"/>
  <c r="N58" i="5" s="1"/>
  <c r="W1066" i="6"/>
  <c r="W1525" i="6"/>
  <c r="I1525" i="6"/>
  <c r="V1642" i="6"/>
  <c r="V1708" i="6"/>
  <c r="I1708" i="6"/>
  <c r="K1708" i="6" s="1"/>
  <c r="S112" i="5" s="1"/>
  <c r="V2004" i="6"/>
  <c r="X2004" i="6"/>
  <c r="W2004" i="6"/>
  <c r="V3569" i="6"/>
  <c r="I3569" i="6"/>
  <c r="J3569" i="6" s="1"/>
  <c r="X3569" i="6"/>
  <c r="X14" i="6"/>
  <c r="V49" i="6"/>
  <c r="K1222" i="6"/>
  <c r="M82" i="5" s="1"/>
  <c r="J1222" i="6"/>
  <c r="X1361" i="6"/>
  <c r="V1361" i="6"/>
  <c r="J1393" i="6"/>
  <c r="K1611" i="6"/>
  <c r="R106" i="5" s="1"/>
  <c r="J1611" i="6"/>
  <c r="W1708" i="6"/>
  <c r="V1983" i="6"/>
  <c r="V2015" i="6"/>
  <c r="X2311" i="6"/>
  <c r="J2909" i="6"/>
  <c r="K2909" i="6"/>
  <c r="T187" i="5" s="1"/>
  <c r="I141" i="6"/>
  <c r="X141" i="6"/>
  <c r="X173" i="6"/>
  <c r="J346" i="6"/>
  <c r="K449" i="6"/>
  <c r="X33" i="5" s="1"/>
  <c r="V548" i="6"/>
  <c r="I548" i="6"/>
  <c r="X645" i="6"/>
  <c r="W645" i="6"/>
  <c r="V645" i="6"/>
  <c r="J687" i="6"/>
  <c r="I1067" i="6"/>
  <c r="J1067" i="6" s="1"/>
  <c r="V1067" i="6"/>
  <c r="V1186" i="6"/>
  <c r="W1186" i="6"/>
  <c r="V1504" i="6"/>
  <c r="I1504" i="6"/>
  <c r="X1504" i="6"/>
  <c r="W1504" i="6"/>
  <c r="W2142" i="6"/>
  <c r="V2142" i="6"/>
  <c r="N8" i="1"/>
  <c r="H40" i="5"/>
  <c r="X49" i="6"/>
  <c r="X64" i="6"/>
  <c r="I64" i="6"/>
  <c r="K64" i="6" s="1"/>
  <c r="W9" i="5" s="1"/>
  <c r="W124" i="6"/>
  <c r="I124" i="6"/>
  <c r="V253" i="6"/>
  <c r="V318" i="6"/>
  <c r="W318" i="6"/>
  <c r="V558" i="6"/>
  <c r="W558" i="6"/>
  <c r="X558" i="6"/>
  <c r="V681" i="6"/>
  <c r="K739" i="6"/>
  <c r="Z51" i="5" s="1"/>
  <c r="J739" i="6"/>
  <c r="V787" i="6"/>
  <c r="J988" i="6"/>
  <c r="W1088" i="6"/>
  <c r="V1383" i="6"/>
  <c r="W1383" i="6"/>
  <c r="I1383" i="6"/>
  <c r="V1689" i="6"/>
  <c r="W2117" i="6"/>
  <c r="I2117" i="6"/>
  <c r="X2117" i="6"/>
  <c r="V2117" i="6"/>
  <c r="X2142" i="6"/>
  <c r="H12" i="5"/>
  <c r="AM37" i="5"/>
  <c r="AY122" i="5"/>
  <c r="W33" i="6"/>
  <c r="X65" i="6"/>
  <c r="W125" i="6"/>
  <c r="J197" i="6"/>
  <c r="K197" i="6"/>
  <c r="AB17" i="5" s="1"/>
  <c r="V234" i="6"/>
  <c r="W234" i="6"/>
  <c r="W299" i="6"/>
  <c r="W308" i="6"/>
  <c r="X330" i="6"/>
  <c r="X347" i="6"/>
  <c r="W441" i="6"/>
  <c r="X441" i="6"/>
  <c r="V441" i="6"/>
  <c r="AO36" i="5"/>
  <c r="J505" i="6"/>
  <c r="K505" i="6"/>
  <c r="P37" i="5" s="1"/>
  <c r="X513" i="6"/>
  <c r="I513" i="6"/>
  <c r="X523" i="6"/>
  <c r="I523" i="6"/>
  <c r="J609" i="6"/>
  <c r="K609" i="6"/>
  <c r="X43" i="5" s="1"/>
  <c r="AQ43" i="5" s="1"/>
  <c r="W637" i="6"/>
  <c r="AQ48" i="5"/>
  <c r="W721" i="6"/>
  <c r="V831" i="6"/>
  <c r="X831" i="6"/>
  <c r="I831" i="6"/>
  <c r="W831" i="6"/>
  <c r="X851" i="6"/>
  <c r="X886" i="6"/>
  <c r="V962" i="6"/>
  <c r="I962" i="6"/>
  <c r="X978" i="6"/>
  <c r="X1106" i="6"/>
  <c r="I1225" i="6"/>
  <c r="V1225" i="6"/>
  <c r="W1225" i="6"/>
  <c r="X1225" i="6"/>
  <c r="W1285" i="6"/>
  <c r="X1335" i="6"/>
  <c r="I1335" i="6"/>
  <c r="X1461" i="6"/>
  <c r="I1461" i="6"/>
  <c r="V1461" i="6"/>
  <c r="W1481" i="6"/>
  <c r="I1573" i="6"/>
  <c r="X1573" i="6"/>
  <c r="W1573" i="6"/>
  <c r="V1573" i="6"/>
  <c r="V1668" i="6"/>
  <c r="I1668" i="6"/>
  <c r="V1678" i="6"/>
  <c r="X1678" i="6"/>
  <c r="W1678" i="6"/>
  <c r="W1783" i="6"/>
  <c r="W2144" i="6"/>
  <c r="X2540" i="6"/>
  <c r="V2540" i="6"/>
  <c r="J2889" i="6"/>
  <c r="K2889" i="6"/>
  <c r="P186" i="5" s="1"/>
  <c r="W2901" i="6"/>
  <c r="V2901" i="6"/>
  <c r="J2949" i="6"/>
  <c r="K2949" i="6"/>
  <c r="AB189" i="5" s="1"/>
  <c r="K3207" i="6"/>
  <c r="N206" i="5" s="1"/>
  <c r="J3207" i="6"/>
  <c r="X3414" i="6"/>
  <c r="W3414" i="6"/>
  <c r="I3414" i="6"/>
  <c r="V3414" i="6"/>
  <c r="W61" i="6"/>
  <c r="I61" i="6"/>
  <c r="I1489" i="6"/>
  <c r="W1489" i="6"/>
  <c r="X1489" i="6"/>
  <c r="X1705" i="6"/>
  <c r="I1705" i="6"/>
  <c r="K2749" i="6"/>
  <c r="T177" i="5" s="1"/>
  <c r="J2749" i="6"/>
  <c r="V238" i="6"/>
  <c r="I238" i="6"/>
  <c r="K238" i="6" s="1"/>
  <c r="U20" i="5" s="1"/>
  <c r="W238" i="6"/>
  <c r="X238" i="6"/>
  <c r="V643" i="6"/>
  <c r="W1435" i="6"/>
  <c r="I1435" i="6"/>
  <c r="X2193" i="6"/>
  <c r="W2193" i="6"/>
  <c r="V2193" i="6"/>
  <c r="K2401" i="6"/>
  <c r="X155" i="5" s="1"/>
  <c r="V2673" i="6"/>
  <c r="W2673" i="6"/>
  <c r="K3214" i="6"/>
  <c r="U206" i="5" s="1"/>
  <c r="J3214" i="6"/>
  <c r="W1165" i="6"/>
  <c r="I1165" i="6"/>
  <c r="X1165" i="6"/>
  <c r="V1310" i="6"/>
  <c r="X1310" i="6"/>
  <c r="I1310" i="6"/>
  <c r="K1310" i="6" s="1"/>
  <c r="U87" i="5" s="1"/>
  <c r="J1993" i="6"/>
  <c r="K1993" i="6"/>
  <c r="P130" i="5" s="1"/>
  <c r="W2463" i="6"/>
  <c r="I2463" i="6"/>
  <c r="X2463" i="6"/>
  <c r="V2463" i="6"/>
  <c r="K3163" i="6"/>
  <c r="R203" i="5" s="1"/>
  <c r="J3163" i="6"/>
  <c r="W557" i="6"/>
  <c r="V557" i="6"/>
  <c r="W566" i="6"/>
  <c r="W635" i="6"/>
  <c r="W706" i="6"/>
  <c r="V729" i="6"/>
  <c r="X737" i="6"/>
  <c r="K905" i="6"/>
  <c r="P62" i="5" s="1"/>
  <c r="AG62" i="5" s="1"/>
  <c r="J905" i="6"/>
  <c r="K1077" i="6"/>
  <c r="AB72" i="5" s="1"/>
  <c r="AS72" i="5" s="1"/>
  <c r="J1077" i="6"/>
  <c r="K1195" i="6"/>
  <c r="R80" i="5" s="1"/>
  <c r="K1825" i="6"/>
  <c r="X119" i="5" s="1"/>
  <c r="W2025" i="6"/>
  <c r="I2640" i="6"/>
  <c r="W2640" i="6"/>
  <c r="I2761" i="6"/>
  <c r="K2761" i="6" s="1"/>
  <c r="P178" i="5" s="1"/>
  <c r="X2761" i="6"/>
  <c r="W2761" i="6"/>
  <c r="W3016" i="6"/>
  <c r="I3016" i="6"/>
  <c r="J3016" i="6" s="1"/>
  <c r="V270" i="6"/>
  <c r="X270" i="6"/>
  <c r="W270" i="6"/>
  <c r="K494" i="6"/>
  <c r="U36" i="5" s="1"/>
  <c r="J494" i="6"/>
  <c r="J521" i="6"/>
  <c r="K521" i="6"/>
  <c r="P38" i="5" s="1"/>
  <c r="W729" i="6"/>
  <c r="V821" i="6"/>
  <c r="X1066" i="6"/>
  <c r="W1959" i="6"/>
  <c r="W1993" i="6"/>
  <c r="X2920" i="6"/>
  <c r="W2920" i="6"/>
  <c r="V2920" i="6"/>
  <c r="W49" i="6"/>
  <c r="I80" i="6"/>
  <c r="K80" i="6" s="1"/>
  <c r="W10" i="5" s="1"/>
  <c r="X80" i="6"/>
  <c r="X114" i="6"/>
  <c r="X307" i="6"/>
  <c r="I307" i="6"/>
  <c r="V624" i="6"/>
  <c r="X624" i="6"/>
  <c r="W624" i="6"/>
  <c r="W698" i="6"/>
  <c r="K1041" i="6"/>
  <c r="X70" i="5" s="1"/>
  <c r="J1041" i="6"/>
  <c r="J1058" i="6"/>
  <c r="V1088" i="6"/>
  <c r="X1120" i="6"/>
  <c r="V1233" i="6"/>
  <c r="I1233" i="6"/>
  <c r="W1233" i="6"/>
  <c r="X1233" i="6"/>
  <c r="J1265" i="6"/>
  <c r="J1302" i="6"/>
  <c r="W1361" i="6"/>
  <c r="K1479" i="6"/>
  <c r="N98" i="5" s="1"/>
  <c r="J1479" i="6"/>
  <c r="X1525" i="6"/>
  <c r="V2323" i="6"/>
  <c r="X2323" i="6"/>
  <c r="X2640" i="6"/>
  <c r="J2708" i="6"/>
  <c r="W194" i="6"/>
  <c r="K242" i="6"/>
  <c r="Y20" i="5" s="1"/>
  <c r="J242" i="6"/>
  <c r="J261" i="6"/>
  <c r="W1166" i="6"/>
  <c r="V2105" i="6"/>
  <c r="I2105" i="6"/>
  <c r="J2105" i="6" s="1"/>
  <c r="V2629" i="6"/>
  <c r="X2629" i="6"/>
  <c r="I2629" i="6"/>
  <c r="W2629" i="6"/>
  <c r="W3311" i="6"/>
  <c r="J3621" i="6"/>
  <c r="K3621" i="6"/>
  <c r="AB231" i="5" s="1"/>
  <c r="V242" i="6"/>
  <c r="X242" i="6"/>
  <c r="X383" i="6"/>
  <c r="W383" i="6"/>
  <c r="X625" i="6"/>
  <c r="I625" i="6"/>
  <c r="W625" i="6"/>
  <c r="X688" i="6"/>
  <c r="I688" i="6"/>
  <c r="K688" i="6" s="1"/>
  <c r="W48" i="5" s="1"/>
  <c r="W801" i="6"/>
  <c r="V894" i="6"/>
  <c r="X894" i="6"/>
  <c r="X1383" i="6"/>
  <c r="X1709" i="6"/>
  <c r="W1709" i="6"/>
  <c r="I1962" i="6"/>
  <c r="X1962" i="6"/>
  <c r="I2417" i="6"/>
  <c r="X2417" i="6"/>
  <c r="W2417" i="6"/>
  <c r="V2708" i="6"/>
  <c r="V2922" i="6"/>
  <c r="X2922" i="6"/>
  <c r="I2922" i="6"/>
  <c r="V3488" i="6"/>
  <c r="I3488" i="6"/>
  <c r="J65" i="6"/>
  <c r="K65" i="6"/>
  <c r="X9" i="5" s="1"/>
  <c r="V106" i="6"/>
  <c r="W106" i="6"/>
  <c r="W242" i="6"/>
  <c r="J357" i="6"/>
  <c r="W430" i="6"/>
  <c r="J689" i="6"/>
  <c r="K689" i="6"/>
  <c r="X48" i="5" s="1"/>
  <c r="K989" i="6"/>
  <c r="T67" i="5" s="1"/>
  <c r="J989" i="6"/>
  <c r="V1078" i="6"/>
  <c r="I1078" i="6"/>
  <c r="X1078" i="6"/>
  <c r="V1105" i="6"/>
  <c r="K1139" i="6"/>
  <c r="Z76" i="5" s="1"/>
  <c r="J1139" i="6"/>
  <c r="W1187" i="6"/>
  <c r="X1187" i="6"/>
  <c r="W1255" i="6"/>
  <c r="K1285" i="6"/>
  <c r="AB85" i="5" s="1"/>
  <c r="I1373" i="6"/>
  <c r="X1373" i="6"/>
  <c r="W1373" i="6"/>
  <c r="V1709" i="6"/>
  <c r="J1761" i="6"/>
  <c r="W1827" i="6"/>
  <c r="V1827" i="6"/>
  <c r="K1941" i="6"/>
  <c r="AB126" i="5" s="1"/>
  <c r="J1941" i="6"/>
  <c r="X2165" i="6"/>
  <c r="W2165" i="6"/>
  <c r="V2165" i="6"/>
  <c r="K2325" i="6"/>
  <c r="AB150" i="5" s="1"/>
  <c r="J2325" i="6"/>
  <c r="V2417" i="6"/>
  <c r="W2708" i="6"/>
  <c r="W2922" i="6"/>
  <c r="K3180" i="6"/>
  <c r="S204" i="5" s="1"/>
  <c r="J3180" i="6"/>
  <c r="K3249" i="6"/>
  <c r="X208" i="5" s="1"/>
  <c r="J3249" i="6"/>
  <c r="W3488" i="6"/>
  <c r="AN37" i="5"/>
  <c r="W98" i="6"/>
  <c r="V107" i="6"/>
  <c r="X125" i="6"/>
  <c r="V133" i="6"/>
  <c r="X133" i="6"/>
  <c r="W133" i="6"/>
  <c r="J177" i="6"/>
  <c r="K177" i="6"/>
  <c r="X16" i="5" s="1"/>
  <c r="W186" i="6"/>
  <c r="V216" i="6"/>
  <c r="X234" i="6"/>
  <c r="K300" i="6"/>
  <c r="S24" i="5" s="1"/>
  <c r="J300" i="6"/>
  <c r="I331" i="6"/>
  <c r="W331" i="6"/>
  <c r="V331" i="6"/>
  <c r="J340" i="6"/>
  <c r="W421" i="6"/>
  <c r="V421" i="6"/>
  <c r="K433" i="6"/>
  <c r="X32" i="5" s="1"/>
  <c r="AP32" i="5" s="1"/>
  <c r="J433" i="6"/>
  <c r="K442" i="6"/>
  <c r="Q33" i="5" s="1"/>
  <c r="J442" i="6"/>
  <c r="X451" i="6"/>
  <c r="V451" i="6"/>
  <c r="W451" i="6"/>
  <c r="K461" i="6"/>
  <c r="T34" i="5" s="1"/>
  <c r="J461" i="6"/>
  <c r="K468" i="6"/>
  <c r="AA34" i="5" s="1"/>
  <c r="AR34" i="5" s="1"/>
  <c r="V513" i="6"/>
  <c r="V523" i="6"/>
  <c r="V550" i="6"/>
  <c r="I550" i="6"/>
  <c r="K668" i="6"/>
  <c r="S47" i="5" s="1"/>
  <c r="J668" i="6"/>
  <c r="J690" i="6"/>
  <c r="X721" i="6"/>
  <c r="J760" i="6"/>
  <c r="V935" i="6"/>
  <c r="I935" i="6"/>
  <c r="K935" i="6" s="1"/>
  <c r="N64" i="5" s="1"/>
  <c r="V990" i="6"/>
  <c r="X990" i="6"/>
  <c r="W990" i="6"/>
  <c r="I990" i="6"/>
  <c r="W1031" i="6"/>
  <c r="I1031" i="6"/>
  <c r="K1031" i="6" s="1"/>
  <c r="N70" i="5" s="1"/>
  <c r="V1050" i="6"/>
  <c r="W1050" i="6"/>
  <c r="X1050" i="6"/>
  <c r="I1140" i="6"/>
  <c r="V1140" i="6"/>
  <c r="W1140" i="6"/>
  <c r="X1140" i="6"/>
  <c r="K1170" i="6"/>
  <c r="Y78" i="5" s="1"/>
  <c r="J1170" i="6"/>
  <c r="V1215" i="6"/>
  <c r="X1215" i="6"/>
  <c r="W1215" i="6"/>
  <c r="W1245" i="6"/>
  <c r="V1245" i="6"/>
  <c r="I1245" i="6"/>
  <c r="J1257" i="6"/>
  <c r="K1257" i="6"/>
  <c r="P84" i="5" s="1"/>
  <c r="V1326" i="6"/>
  <c r="W1326" i="6"/>
  <c r="X1326" i="6"/>
  <c r="X1417" i="6"/>
  <c r="W1417" i="6"/>
  <c r="V1417" i="6"/>
  <c r="V1518" i="6"/>
  <c r="X1518" i="6"/>
  <c r="W1518" i="6"/>
  <c r="I1518" i="6"/>
  <c r="I1713" i="6"/>
  <c r="V1713" i="6"/>
  <c r="X1783" i="6"/>
  <c r="X1851" i="6"/>
  <c r="W1851" i="6"/>
  <c r="I1851" i="6"/>
  <c r="X2144" i="6"/>
  <c r="X2280" i="6"/>
  <c r="V2280" i="6"/>
  <c r="W2291" i="6"/>
  <c r="V2291" i="6"/>
  <c r="X2552" i="6"/>
  <c r="W2552" i="6"/>
  <c r="V2552" i="6"/>
  <c r="W2789" i="6"/>
  <c r="V2789" i="6"/>
  <c r="X2789" i="6"/>
  <c r="X2889" i="6"/>
  <c r="W2889" i="6"/>
  <c r="V2889" i="6"/>
  <c r="X2901" i="6"/>
  <c r="V2949" i="6"/>
  <c r="X3233" i="6"/>
  <c r="I3233" i="6"/>
  <c r="W3233" i="6"/>
  <c r="V3233" i="6"/>
  <c r="J3338" i="6"/>
  <c r="K3338" i="6"/>
  <c r="Q214" i="5" s="1"/>
  <c r="J3545" i="6"/>
  <c r="K3545" i="6"/>
  <c r="P227" i="5" s="1"/>
  <c r="X3642" i="6"/>
  <c r="V70" i="6"/>
  <c r="I70" i="6"/>
  <c r="K70" i="6" s="1"/>
  <c r="M10" i="5" s="1"/>
  <c r="W446" i="6"/>
  <c r="I508" i="6"/>
  <c r="X508" i="6"/>
  <c r="X661" i="6"/>
  <c r="W1036" i="6"/>
  <c r="X1036" i="6"/>
  <c r="V1036" i="6"/>
  <c r="W1251" i="6"/>
  <c r="V1251" i="6"/>
  <c r="V1489" i="6"/>
  <c r="V1867" i="6"/>
  <c r="V2054" i="6"/>
  <c r="X2054" i="6"/>
  <c r="W2054" i="6"/>
  <c r="V182" i="6"/>
  <c r="X182" i="6"/>
  <c r="W182" i="6"/>
  <c r="V317" i="6"/>
  <c r="I317" i="6"/>
  <c r="V1103" i="6"/>
  <c r="X1103" i="6"/>
  <c r="X123" i="6"/>
  <c r="I123" i="6"/>
  <c r="V173" i="6"/>
  <c r="J645" i="6"/>
  <c r="V718" i="6"/>
  <c r="X718" i="6"/>
  <c r="W718" i="6"/>
  <c r="J811" i="6"/>
  <c r="J885" i="6"/>
  <c r="K1284" i="6"/>
  <c r="AA85" i="5" s="1"/>
  <c r="J1284" i="6"/>
  <c r="V1569" i="6"/>
  <c r="X1569" i="6"/>
  <c r="W1569" i="6"/>
  <c r="X1929" i="6"/>
  <c r="W1929" i="6"/>
  <c r="V1993" i="6"/>
  <c r="V3322" i="6"/>
  <c r="X3322" i="6"/>
  <c r="V6" i="6"/>
  <c r="I6" i="6"/>
  <c r="V55" i="6"/>
  <c r="V79" i="6"/>
  <c r="W114" i="6"/>
  <c r="V354" i="6"/>
  <c r="W354" i="6"/>
  <c r="X354" i="6"/>
  <c r="X391" i="6"/>
  <c r="I391" i="6"/>
  <c r="V429" i="6"/>
  <c r="X706" i="6"/>
  <c r="J787" i="6"/>
  <c r="J801" i="6"/>
  <c r="K829" i="6"/>
  <c r="T57" i="5" s="1"/>
  <c r="AI57" i="5" s="1"/>
  <c r="W1007" i="6"/>
  <c r="X1195" i="6"/>
  <c r="V1195" i="6"/>
  <c r="X1323" i="6"/>
  <c r="W1323" i="6"/>
  <c r="I1323" i="6"/>
  <c r="X1970" i="6"/>
  <c r="I1970" i="6"/>
  <c r="W1970" i="6"/>
  <c r="V1970" i="6"/>
  <c r="W3017" i="6"/>
  <c r="X3017" i="6"/>
  <c r="V3017" i="6"/>
  <c r="I3017" i="6"/>
  <c r="W6" i="6"/>
  <c r="W123" i="6"/>
  <c r="X327" i="6"/>
  <c r="V606" i="6"/>
  <c r="I606" i="6"/>
  <c r="W821" i="6"/>
  <c r="X1007" i="6"/>
  <c r="I1204" i="6"/>
  <c r="V1204" i="6"/>
  <c r="W1559" i="6"/>
  <c r="I1559" i="6"/>
  <c r="X1708" i="6"/>
  <c r="X1949" i="6"/>
  <c r="I1949" i="6"/>
  <c r="W1949" i="6"/>
  <c r="X2451" i="6"/>
  <c r="W2451" i="6"/>
  <c r="V2451" i="6"/>
  <c r="V2909" i="6"/>
  <c r="X2909" i="6"/>
  <c r="I2958" i="6"/>
  <c r="V2958" i="6"/>
  <c r="X2958" i="6"/>
  <c r="X6" i="6"/>
  <c r="V56" i="6"/>
  <c r="V141" i="6"/>
  <c r="V307" i="6"/>
  <c r="V346" i="6"/>
  <c r="X346" i="6"/>
  <c r="X537" i="6"/>
  <c r="W794" i="6"/>
  <c r="V1949" i="6"/>
  <c r="V2080" i="6"/>
  <c r="W2909" i="6"/>
  <c r="W56" i="6"/>
  <c r="V73" i="6"/>
  <c r="X115" i="6"/>
  <c r="W115" i="6"/>
  <c r="V115" i="6"/>
  <c r="W141" i="6"/>
  <c r="J174" i="6"/>
  <c r="X194" i="6"/>
  <c r="W253" i="6"/>
  <c r="V272" i="6"/>
  <c r="W307" i="6"/>
  <c r="X318" i="6"/>
  <c r="K392" i="6"/>
  <c r="O30" i="5" s="1"/>
  <c r="J392" i="6"/>
  <c r="W485" i="6"/>
  <c r="X494" i="6"/>
  <c r="K538" i="6"/>
  <c r="Q39" i="5" s="1"/>
  <c r="J538" i="6"/>
  <c r="J597" i="6"/>
  <c r="K617" i="6"/>
  <c r="P44" i="5" s="1"/>
  <c r="J646" i="6"/>
  <c r="W681" i="6"/>
  <c r="J699" i="6"/>
  <c r="X707" i="6"/>
  <c r="W778" i="6"/>
  <c r="W787" i="6"/>
  <c r="X794" i="6"/>
  <c r="J868" i="6"/>
  <c r="X885" i="6"/>
  <c r="J906" i="6"/>
  <c r="W988" i="6"/>
  <c r="X988" i="6"/>
  <c r="V988" i="6"/>
  <c r="W1018" i="6"/>
  <c r="J1049" i="6"/>
  <c r="V1113" i="6"/>
  <c r="X1204" i="6"/>
  <c r="W1265" i="6"/>
  <c r="V1265" i="6"/>
  <c r="X1265" i="6"/>
  <c r="V1515" i="6"/>
  <c r="X1515" i="6"/>
  <c r="X1559" i="6"/>
  <c r="W1652" i="6"/>
  <c r="K1699" i="6"/>
  <c r="Z111" i="5" s="1"/>
  <c r="J1699" i="6"/>
  <c r="K1801" i="6"/>
  <c r="P118" i="5" s="1"/>
  <c r="J1801" i="6"/>
  <c r="W2105" i="6"/>
  <c r="K2165" i="6"/>
  <c r="AB140" i="5" s="1"/>
  <c r="I2899" i="6"/>
  <c r="V2899" i="6"/>
  <c r="X2899" i="6"/>
  <c r="W2899" i="6"/>
  <c r="V7" i="6"/>
  <c r="W7" i="6"/>
  <c r="I7" i="6"/>
  <c r="W41" i="6"/>
  <c r="X185" i="6"/>
  <c r="W185" i="6"/>
  <c r="V185" i="6"/>
  <c r="X253" i="6"/>
  <c r="W272" i="6"/>
  <c r="V329" i="6"/>
  <c r="V383" i="6"/>
  <c r="W420" i="6"/>
  <c r="I420" i="6"/>
  <c r="I559" i="6"/>
  <c r="W559" i="6"/>
  <c r="X559" i="6"/>
  <c r="V625" i="6"/>
  <c r="J666" i="6"/>
  <c r="V758" i="6"/>
  <c r="W758" i="6"/>
  <c r="I758" i="6"/>
  <c r="K758" i="6" s="1"/>
  <c r="M53" i="5" s="1"/>
  <c r="I779" i="6"/>
  <c r="K779" i="6" s="1"/>
  <c r="R54" i="5" s="1"/>
  <c r="W779" i="6"/>
  <c r="X801" i="6"/>
  <c r="K830" i="6"/>
  <c r="U57" i="5" s="1"/>
  <c r="J830" i="6"/>
  <c r="X1018" i="6"/>
  <c r="X1148" i="6"/>
  <c r="V1148" i="6"/>
  <c r="V1178" i="6"/>
  <c r="W1178" i="6"/>
  <c r="J1197" i="6"/>
  <c r="W1214" i="6"/>
  <c r="V1342" i="6"/>
  <c r="X1342" i="6"/>
  <c r="W1342" i="6"/>
  <c r="I1342" i="6"/>
  <c r="W1352" i="6"/>
  <c r="X1571" i="6"/>
  <c r="W1571" i="6"/>
  <c r="X1750" i="6"/>
  <c r="V1750" i="6"/>
  <c r="I1750" i="6"/>
  <c r="K1750" i="6" s="1"/>
  <c r="M115" i="5" s="1"/>
  <c r="I1931" i="6"/>
  <c r="W1931" i="6"/>
  <c r="X1931" i="6"/>
  <c r="V1962" i="6"/>
  <c r="V2441" i="6"/>
  <c r="I2441" i="6"/>
  <c r="W2441" i="6"/>
  <c r="W2900" i="6"/>
  <c r="V2900" i="6"/>
  <c r="I2900" i="6"/>
  <c r="K3573" i="6"/>
  <c r="AB228" i="5" s="1"/>
  <c r="J3573" i="6"/>
  <c r="AY237" i="5"/>
  <c r="AY180" i="5"/>
  <c r="AY152" i="5"/>
  <c r="AY74" i="5"/>
  <c r="AY48" i="5"/>
  <c r="AY134" i="5"/>
  <c r="AY220" i="5"/>
  <c r="AY29" i="5"/>
  <c r="AY192" i="5"/>
  <c r="AY108" i="5"/>
  <c r="AY20" i="5"/>
  <c r="AY197" i="5"/>
  <c r="AY190" i="5"/>
  <c r="AY95" i="5"/>
  <c r="AY89" i="5"/>
  <c r="AY69" i="5"/>
  <c r="AY64" i="5"/>
  <c r="AY106" i="5"/>
  <c r="AY39" i="5"/>
  <c r="AY211" i="5"/>
  <c r="AY173" i="5"/>
  <c r="AY165" i="5"/>
  <c r="AY86" i="5"/>
  <c r="AY51" i="5"/>
  <c r="AY46" i="5"/>
  <c r="AY43" i="5"/>
  <c r="AY8" i="5"/>
  <c r="AY207" i="5"/>
  <c r="AY97" i="5"/>
  <c r="AY219" i="5"/>
  <c r="AY25" i="5"/>
  <c r="AY16" i="5"/>
  <c r="AY223" i="5"/>
  <c r="AY44" i="5"/>
  <c r="AY9" i="5"/>
  <c r="AY66" i="5"/>
  <c r="AY137" i="5"/>
  <c r="AQ191" i="5"/>
  <c r="AY225" i="5"/>
  <c r="X98" i="6"/>
  <c r="W166" i="6"/>
  <c r="X186" i="6"/>
  <c r="W216" i="6"/>
  <c r="V274" i="6"/>
  <c r="I274" i="6"/>
  <c r="X283" i="6"/>
  <c r="I309" i="6"/>
  <c r="K309" i="6" s="1"/>
  <c r="AB24" i="5" s="1"/>
  <c r="V309" i="6"/>
  <c r="X331" i="6"/>
  <c r="X421" i="6"/>
  <c r="V487" i="6"/>
  <c r="I487" i="6"/>
  <c r="W513" i="6"/>
  <c r="W523" i="6"/>
  <c r="K541" i="6"/>
  <c r="T39" i="5" s="1"/>
  <c r="J541" i="6"/>
  <c r="W550" i="6"/>
  <c r="W674" i="6"/>
  <c r="J683" i="6"/>
  <c r="V690" i="6"/>
  <c r="X690" i="6"/>
  <c r="W690" i="6"/>
  <c r="K722" i="6"/>
  <c r="Y50" i="5" s="1"/>
  <c r="AO50" i="5" s="1"/>
  <c r="J722" i="6"/>
  <c r="W742" i="6"/>
  <c r="V780" i="6"/>
  <c r="X780" i="6"/>
  <c r="W813" i="6"/>
  <c r="W935" i="6"/>
  <c r="X962" i="6"/>
  <c r="I1001" i="6"/>
  <c r="X1001" i="6"/>
  <c r="V1001" i="6"/>
  <c r="V1031" i="6"/>
  <c r="K1131" i="6"/>
  <c r="R76" i="5" s="1"/>
  <c r="AF76" i="5" s="1"/>
  <c r="J1131" i="6"/>
  <c r="J1159" i="6"/>
  <c r="V1170" i="6"/>
  <c r="X1170" i="6"/>
  <c r="X1245" i="6"/>
  <c r="W1277" i="6"/>
  <c r="X1277" i="6"/>
  <c r="V1304" i="6"/>
  <c r="J1327" i="6"/>
  <c r="K1327" i="6"/>
  <c r="V88" i="5" s="1"/>
  <c r="W1397" i="6"/>
  <c r="I1583" i="6"/>
  <c r="X1583" i="6"/>
  <c r="X1668" i="6"/>
  <c r="W1713" i="6"/>
  <c r="W1789" i="6"/>
  <c r="V1851" i="6"/>
  <c r="V1933" i="6"/>
  <c r="W2039" i="6"/>
  <c r="W2049" i="6"/>
  <c r="I2049" i="6"/>
  <c r="X2049" i="6"/>
  <c r="V2049" i="6"/>
  <c r="V2062" i="6"/>
  <c r="V2132" i="6"/>
  <c r="W2132" i="6"/>
  <c r="I2132" i="6"/>
  <c r="X2145" i="6"/>
  <c r="W2145" i="6"/>
  <c r="I2145" i="6"/>
  <c r="V2145" i="6"/>
  <c r="I2201" i="6"/>
  <c r="K2201" i="6" s="1"/>
  <c r="P143" i="5" s="1"/>
  <c r="V2201" i="6"/>
  <c r="K2268" i="6"/>
  <c r="S147" i="5" s="1"/>
  <c r="J2268" i="6"/>
  <c r="V2553" i="6"/>
  <c r="I2553" i="6"/>
  <c r="W2553" i="6"/>
  <c r="X2790" i="6"/>
  <c r="W2790" i="6"/>
  <c r="V2790" i="6"/>
  <c r="I2790" i="6"/>
  <c r="W2949" i="6"/>
  <c r="W3167" i="6"/>
  <c r="X3167" i="6"/>
  <c r="V3167" i="6"/>
  <c r="W2462" i="6"/>
  <c r="I2462" i="6"/>
  <c r="I2494" i="6"/>
  <c r="X2494" i="6"/>
  <c r="W2676" i="6"/>
  <c r="X2676" i="6"/>
  <c r="V2676" i="6"/>
  <c r="V2794" i="6"/>
  <c r="X2794" i="6"/>
  <c r="W2794" i="6"/>
  <c r="I2794" i="6"/>
  <c r="V2829" i="6"/>
  <c r="I2829" i="6"/>
  <c r="X2829" i="6"/>
  <c r="I2902" i="6"/>
  <c r="V2902" i="6"/>
  <c r="X3141" i="6"/>
  <c r="V3141" i="6"/>
  <c r="I3141" i="6"/>
  <c r="W3141" i="6"/>
  <c r="X168" i="6"/>
  <c r="W168" i="6"/>
  <c r="V210" i="6"/>
  <c r="W210" i="6"/>
  <c r="W449" i="6"/>
  <c r="X449" i="6"/>
  <c r="V449" i="6"/>
  <c r="K754" i="6"/>
  <c r="Y52" i="5" s="1"/>
  <c r="J754" i="6"/>
  <c r="X897" i="6"/>
  <c r="V897" i="6"/>
  <c r="I897" i="6"/>
  <c r="K947" i="6"/>
  <c r="Z64" i="5" s="1"/>
  <c r="J947" i="6"/>
  <c r="X956" i="6"/>
  <c r="I956" i="6"/>
  <c r="V1017" i="6"/>
  <c r="I1017" i="6"/>
  <c r="W1017" i="6"/>
  <c r="K1240" i="6"/>
  <c r="O83" i="5" s="1"/>
  <c r="J1240" i="6"/>
  <c r="W1333" i="6"/>
  <c r="X1333" i="6"/>
  <c r="V1399" i="6"/>
  <c r="X1399" i="6"/>
  <c r="I1493" i="6"/>
  <c r="X1493" i="6"/>
  <c r="W1493" i="6"/>
  <c r="V1493" i="6"/>
  <c r="V1535" i="6"/>
  <c r="I1535" i="6"/>
  <c r="J1535" i="6" s="1"/>
  <c r="X1546" i="6"/>
  <c r="W1546" i="6"/>
  <c r="K1654" i="6"/>
  <c r="M109" i="5" s="1"/>
  <c r="J1654" i="6"/>
  <c r="V1766" i="6"/>
  <c r="X1766" i="6"/>
  <c r="X1919" i="6"/>
  <c r="I1919" i="6"/>
  <c r="K1961" i="6"/>
  <c r="P128" i="5" s="1"/>
  <c r="J1961" i="6"/>
  <c r="V1991" i="6"/>
  <c r="W1991" i="6"/>
  <c r="X1991" i="6"/>
  <c r="X2013" i="6"/>
  <c r="W2013" i="6"/>
  <c r="X2053" i="6"/>
  <c r="I2053" i="6"/>
  <c r="J2053" i="6" s="1"/>
  <c r="W2217" i="6"/>
  <c r="I2217" i="6"/>
  <c r="V2227" i="6"/>
  <c r="W2227" i="6"/>
  <c r="X2227" i="6"/>
  <c r="X2304" i="6"/>
  <c r="W2304" i="6"/>
  <c r="V2304" i="6"/>
  <c r="K2364" i="6"/>
  <c r="S153" i="5" s="1"/>
  <c r="J2364" i="6"/>
  <c r="W2449" i="6"/>
  <c r="X2449" i="6"/>
  <c r="V2449" i="6"/>
  <c r="I2449" i="6"/>
  <c r="V2462" i="6"/>
  <c r="W2494" i="6"/>
  <c r="V2595" i="6"/>
  <c r="I2595" i="6"/>
  <c r="W2595" i="6"/>
  <c r="K2609" i="6"/>
  <c r="X168" i="5" s="1"/>
  <c r="J2609" i="6"/>
  <c r="K2620" i="6"/>
  <c r="S169" i="5" s="1"/>
  <c r="W2829" i="6"/>
  <c r="V2864" i="6"/>
  <c r="I2864" i="6"/>
  <c r="K2864" i="6" s="1"/>
  <c r="W184" i="5" s="1"/>
  <c r="X2864" i="6"/>
  <c r="X2877" i="6"/>
  <c r="V2877" i="6"/>
  <c r="W2902" i="6"/>
  <c r="I3237" i="6"/>
  <c r="W3237" i="6"/>
  <c r="X3237" i="6"/>
  <c r="V3237" i="6"/>
  <c r="W3253" i="6"/>
  <c r="V3253" i="6"/>
  <c r="I3253" i="6"/>
  <c r="V3302" i="6"/>
  <c r="I3302" i="6"/>
  <c r="K3302" i="6" s="1"/>
  <c r="M212" i="5" s="1"/>
  <c r="X3302" i="6"/>
  <c r="X3438" i="6"/>
  <c r="I3438" i="6"/>
  <c r="K3438" i="6" s="1"/>
  <c r="U220" i="5" s="1"/>
  <c r="K3453" i="6"/>
  <c r="T221" i="5" s="1"/>
  <c r="J3453" i="6"/>
  <c r="V72" i="6"/>
  <c r="V78" i="6"/>
  <c r="I78" i="6"/>
  <c r="X108" i="6"/>
  <c r="W108" i="6"/>
  <c r="V108" i="6"/>
  <c r="V146" i="6"/>
  <c r="I146" i="6"/>
  <c r="K146" i="6" s="1"/>
  <c r="Y14" i="5" s="1"/>
  <c r="AO14" i="5" s="1"/>
  <c r="J169" i="6"/>
  <c r="K169" i="6"/>
  <c r="P16" i="5" s="1"/>
  <c r="X210" i="6"/>
  <c r="W302" i="6"/>
  <c r="V364" i="6"/>
  <c r="V541" i="6"/>
  <c r="V670" i="6"/>
  <c r="I670" i="6"/>
  <c r="J710" i="6"/>
  <c r="V746" i="6"/>
  <c r="X746" i="6"/>
  <c r="W746" i="6"/>
  <c r="I746" i="6"/>
  <c r="V754" i="6"/>
  <c r="X754" i="6"/>
  <c r="K805" i="6"/>
  <c r="AB55" i="5" s="1"/>
  <c r="J805" i="6"/>
  <c r="V838" i="6"/>
  <c r="I838" i="6"/>
  <c r="K838" i="6" s="1"/>
  <c r="M58" i="5" s="1"/>
  <c r="W897" i="6"/>
  <c r="V929" i="6"/>
  <c r="V938" i="6"/>
  <c r="X938" i="6"/>
  <c r="W938" i="6"/>
  <c r="V956" i="6"/>
  <c r="W965" i="6"/>
  <c r="I965" i="6"/>
  <c r="X1017" i="6"/>
  <c r="W1053" i="6"/>
  <c r="I1188" i="6"/>
  <c r="K1188" i="6" s="1"/>
  <c r="AA79" i="5" s="1"/>
  <c r="V1188" i="6"/>
  <c r="W1188" i="6"/>
  <c r="X1197" i="6"/>
  <c r="V1197" i="6"/>
  <c r="K1205" i="6"/>
  <c r="AB80" i="5" s="1"/>
  <c r="V1222" i="6"/>
  <c r="X1222" i="6"/>
  <c r="V1333" i="6"/>
  <c r="W1399" i="6"/>
  <c r="X1408" i="6"/>
  <c r="W1470" i="6"/>
  <c r="X1470" i="6"/>
  <c r="W1535" i="6"/>
  <c r="J1556" i="6"/>
  <c r="K1556" i="6"/>
  <c r="AA102" i="5" s="1"/>
  <c r="V1605" i="6"/>
  <c r="J1645" i="6"/>
  <c r="K1645" i="6"/>
  <c r="T108" i="5" s="1"/>
  <c r="X1666" i="6"/>
  <c r="I1666" i="6"/>
  <c r="W1666" i="6"/>
  <c r="W1766" i="6"/>
  <c r="K1909" i="6"/>
  <c r="AB124" i="5" s="1"/>
  <c r="J1909" i="6"/>
  <c r="V1919" i="6"/>
  <c r="V1932" i="6"/>
  <c r="I1932" i="6"/>
  <c r="J1932" i="6" s="1"/>
  <c r="W1932" i="6"/>
  <c r="X1982" i="6"/>
  <c r="I1982" i="6"/>
  <c r="K1982" i="6" s="1"/>
  <c r="U129" i="5" s="1"/>
  <c r="AK129" i="5" s="1"/>
  <c r="V1982" i="6"/>
  <c r="V2013" i="6"/>
  <c r="V2053" i="6"/>
  <c r="I2152" i="6"/>
  <c r="X2152" i="6"/>
  <c r="W2152" i="6"/>
  <c r="V2217" i="6"/>
  <c r="X2327" i="6"/>
  <c r="W2327" i="6"/>
  <c r="V2327" i="6"/>
  <c r="I2327" i="6"/>
  <c r="V2364" i="6"/>
  <c r="J2396" i="6"/>
  <c r="X2462" i="6"/>
  <c r="V2485" i="6"/>
  <c r="X2485" i="6"/>
  <c r="X2595" i="6"/>
  <c r="V2620" i="6"/>
  <c r="X2620" i="6"/>
  <c r="I2653" i="6"/>
  <c r="V2653" i="6"/>
  <c r="J2721" i="6"/>
  <c r="K2721" i="6"/>
  <c r="X175" i="5" s="1"/>
  <c r="W2864" i="6"/>
  <c r="W2877" i="6"/>
  <c r="X2902" i="6"/>
  <c r="J3186" i="6"/>
  <c r="K3186" i="6"/>
  <c r="Y204" i="5" s="1"/>
  <c r="X3253" i="6"/>
  <c r="V3289" i="6"/>
  <c r="W3302" i="6"/>
  <c r="X3476" i="6"/>
  <c r="W3476" i="6"/>
  <c r="X3641" i="6"/>
  <c r="W3641" i="6"/>
  <c r="I3641" i="6"/>
  <c r="V738" i="6"/>
  <c r="W738" i="6"/>
  <c r="V924" i="6"/>
  <c r="W924" i="6"/>
  <c r="J1558" i="6"/>
  <c r="K1558" i="6"/>
  <c r="M103" i="5" s="1"/>
  <c r="V2068" i="6"/>
  <c r="I2068" i="6"/>
  <c r="I2154" i="6"/>
  <c r="X2154" i="6"/>
  <c r="K2209" i="6"/>
  <c r="X143" i="5" s="1"/>
  <c r="V2585" i="6"/>
  <c r="I2881" i="6"/>
  <c r="V2881" i="6"/>
  <c r="X2881" i="6"/>
  <c r="W2881" i="6"/>
  <c r="I3576" i="6"/>
  <c r="V3576" i="6"/>
  <c r="X3576" i="6"/>
  <c r="W3576" i="6"/>
  <c r="V3629" i="6"/>
  <c r="W8" i="6"/>
  <c r="W38" i="6"/>
  <c r="W102" i="6"/>
  <c r="V204" i="6"/>
  <c r="X204" i="6"/>
  <c r="J289" i="6"/>
  <c r="J325" i="6"/>
  <c r="J333" i="6"/>
  <c r="X419" i="6"/>
  <c r="V419" i="6"/>
  <c r="W498" i="6"/>
  <c r="V512" i="6"/>
  <c r="W512" i="6"/>
  <c r="I535" i="6"/>
  <c r="V535" i="6"/>
  <c r="V602" i="6"/>
  <c r="I602" i="6"/>
  <c r="J933" i="6"/>
  <c r="X949" i="6"/>
  <c r="W949" i="6"/>
  <c r="V949" i="6"/>
  <c r="V1182" i="6"/>
  <c r="W1182" i="6"/>
  <c r="W1206" i="6"/>
  <c r="V1262" i="6"/>
  <c r="X1262" i="6"/>
  <c r="W1262" i="6"/>
  <c r="V1299" i="6"/>
  <c r="W1299" i="6"/>
  <c r="W1453" i="6"/>
  <c r="X1453" i="6"/>
  <c r="V1453" i="6"/>
  <c r="V1485" i="6"/>
  <c r="I1587" i="6"/>
  <c r="V1587" i="6"/>
  <c r="J1597" i="6"/>
  <c r="K1597" i="6"/>
  <c r="T105" i="5" s="1"/>
  <c r="W1679" i="6"/>
  <c r="I1679" i="6"/>
  <c r="J1679" i="6" s="1"/>
  <c r="X1679" i="6"/>
  <c r="K1731" i="6"/>
  <c r="Z113" i="5" s="1"/>
  <c r="J1731" i="6"/>
  <c r="V1850" i="6"/>
  <c r="I1850" i="6"/>
  <c r="J1850" i="6" s="1"/>
  <c r="V1943" i="6"/>
  <c r="K2026" i="6"/>
  <c r="Q132" i="5" s="1"/>
  <c r="W2068" i="6"/>
  <c r="V2154" i="6"/>
  <c r="V2197" i="6"/>
  <c r="X2560" i="6"/>
  <c r="W2560" i="6"/>
  <c r="W2585" i="6"/>
  <c r="X2624" i="6"/>
  <c r="V2646" i="6"/>
  <c r="I2646" i="6"/>
  <c r="X2646" i="6"/>
  <c r="W3189" i="6"/>
  <c r="I3189" i="6"/>
  <c r="X3445" i="6"/>
  <c r="I3445" i="6"/>
  <c r="W3445" i="6"/>
  <c r="V3445" i="6"/>
  <c r="J3533" i="6"/>
  <c r="K3533" i="6"/>
  <c r="T226" i="5" s="1"/>
  <c r="X3717" i="6"/>
  <c r="X8" i="6"/>
  <c r="W15" i="6"/>
  <c r="X38" i="6"/>
  <c r="X59" i="6"/>
  <c r="W59" i="6"/>
  <c r="X102" i="6"/>
  <c r="V119" i="6"/>
  <c r="X119" i="6"/>
  <c r="J142" i="6"/>
  <c r="W155" i="6"/>
  <c r="I155" i="6"/>
  <c r="K155" i="6" s="1"/>
  <c r="R15" i="5" s="1"/>
  <c r="AG15" i="5" s="1"/>
  <c r="X162" i="6"/>
  <c r="W171" i="6"/>
  <c r="K179" i="6"/>
  <c r="Z16" i="5" s="1"/>
  <c r="J196" i="6"/>
  <c r="W204" i="6"/>
  <c r="W248" i="6"/>
  <c r="I265" i="6"/>
  <c r="W273" i="6"/>
  <c r="V273" i="6"/>
  <c r="X289" i="6"/>
  <c r="W289" i="6"/>
  <c r="V289" i="6"/>
  <c r="K385" i="6"/>
  <c r="X29" i="5" s="1"/>
  <c r="J385" i="6"/>
  <c r="W419" i="6"/>
  <c r="J437" i="6"/>
  <c r="I452" i="6"/>
  <c r="I459" i="6"/>
  <c r="K459" i="6" s="1"/>
  <c r="R34" i="5" s="1"/>
  <c r="J466" i="6"/>
  <c r="W473" i="6"/>
  <c r="J481" i="6"/>
  <c r="V490" i="6"/>
  <c r="I490" i="6"/>
  <c r="X498" i="6"/>
  <c r="X512" i="6"/>
  <c r="V521" i="6"/>
  <c r="W535" i="6"/>
  <c r="V544" i="6"/>
  <c r="V594" i="6"/>
  <c r="W594" i="6"/>
  <c r="W602" i="6"/>
  <c r="X646" i="6"/>
  <c r="V694" i="6"/>
  <c r="X694" i="6"/>
  <c r="V783" i="6"/>
  <c r="X783" i="6"/>
  <c r="W783" i="6"/>
  <c r="V832" i="6"/>
  <c r="W849" i="6"/>
  <c r="I892" i="6"/>
  <c r="X916" i="6"/>
  <c r="V950" i="6"/>
  <c r="I950" i="6"/>
  <c r="X958" i="6"/>
  <c r="I994" i="6"/>
  <c r="K994" i="6" s="1"/>
  <c r="Y67" i="5" s="1"/>
  <c r="AQ67" i="5" s="1"/>
  <c r="J1021" i="6"/>
  <c r="K1065" i="6"/>
  <c r="P72" i="5" s="1"/>
  <c r="I1074" i="6"/>
  <c r="K1074" i="6" s="1"/>
  <c r="Y72" i="5" s="1"/>
  <c r="AQ72" i="5" s="1"/>
  <c r="J1138" i="6"/>
  <c r="V1155" i="6"/>
  <c r="X1182" i="6"/>
  <c r="X1206" i="6"/>
  <c r="V1234" i="6"/>
  <c r="I1234" i="6"/>
  <c r="X1234" i="6"/>
  <c r="W1234" i="6"/>
  <c r="X1299" i="6"/>
  <c r="X1316" i="6"/>
  <c r="W1316" i="6"/>
  <c r="V1316" i="6"/>
  <c r="I1316" i="6"/>
  <c r="K1316" i="6" s="1"/>
  <c r="AA87" i="5" s="1"/>
  <c r="V1353" i="6"/>
  <c r="I1353" i="6"/>
  <c r="W1362" i="6"/>
  <c r="X1381" i="6"/>
  <c r="V1381" i="6"/>
  <c r="I1402" i="6"/>
  <c r="V1402" i="6"/>
  <c r="X1442" i="6"/>
  <c r="W1442" i="6"/>
  <c r="W1485" i="6"/>
  <c r="X1496" i="6"/>
  <c r="V1517" i="6"/>
  <c r="W1526" i="6"/>
  <c r="J1609" i="6"/>
  <c r="K1609" i="6"/>
  <c r="P106" i="5" s="1"/>
  <c r="K1657" i="6"/>
  <c r="P109" i="5" s="1"/>
  <c r="V1679" i="6"/>
  <c r="V1769" i="6"/>
  <c r="K1797" i="6"/>
  <c r="AB117" i="5" s="1"/>
  <c r="J1797" i="6"/>
  <c r="J1831" i="6"/>
  <c r="W1850" i="6"/>
  <c r="V1870" i="6"/>
  <c r="J1901" i="6"/>
  <c r="K1911" i="6"/>
  <c r="N125" i="5" s="1"/>
  <c r="X1923" i="6"/>
  <c r="V2017" i="6"/>
  <c r="I2017" i="6"/>
  <c r="X2068" i="6"/>
  <c r="K2125" i="6"/>
  <c r="T138" i="5" s="1"/>
  <c r="W2154" i="6"/>
  <c r="K2367" i="6"/>
  <c r="V153" i="5" s="1"/>
  <c r="J2367" i="6"/>
  <c r="V2560" i="6"/>
  <c r="X2585" i="6"/>
  <c r="K2625" i="6"/>
  <c r="X169" i="5" s="1"/>
  <c r="J2625" i="6"/>
  <c r="W2646" i="6"/>
  <c r="K2681" i="6"/>
  <c r="P173" i="5" s="1"/>
  <c r="J2681" i="6"/>
  <c r="J2870" i="6"/>
  <c r="K2870" i="6"/>
  <c r="M185" i="5" s="1"/>
  <c r="W2988" i="6"/>
  <c r="V2988" i="6"/>
  <c r="I2988" i="6"/>
  <c r="K3065" i="6"/>
  <c r="P197" i="5" s="1"/>
  <c r="V3088" i="6"/>
  <c r="V3189" i="6"/>
  <c r="W3533" i="6"/>
  <c r="X3533" i="6"/>
  <c r="V3533" i="6"/>
  <c r="I3564" i="6"/>
  <c r="J3564" i="6" s="1"/>
  <c r="V3564" i="6"/>
  <c r="K2307" i="6"/>
  <c r="Z149" i="5" s="1"/>
  <c r="J2307" i="6"/>
  <c r="I2666" i="6"/>
  <c r="J2666" i="6" s="1"/>
  <c r="W2666" i="6"/>
  <c r="K22" i="6"/>
  <c r="M7" i="5" s="1"/>
  <c r="J22" i="6"/>
  <c r="V126" i="6"/>
  <c r="W126" i="6"/>
  <c r="I195" i="6"/>
  <c r="X195" i="6"/>
  <c r="W731" i="6"/>
  <c r="I731" i="6"/>
  <c r="J731" i="6" s="1"/>
  <c r="V814" i="6"/>
  <c r="X814" i="6"/>
  <c r="I814" i="6"/>
  <c r="K949" i="6"/>
  <c r="AB64" i="5" s="1"/>
  <c r="J949" i="6"/>
  <c r="I1336" i="6"/>
  <c r="W1336" i="6"/>
  <c r="X1336" i="6"/>
  <c r="V1336" i="6"/>
  <c r="J1739" i="6"/>
  <c r="K1739" i="6"/>
  <c r="R114" i="5" s="1"/>
  <c r="J1759" i="6"/>
  <c r="K1759" i="6"/>
  <c r="V115" i="5" s="1"/>
  <c r="I3731" i="6"/>
  <c r="W3731" i="6"/>
  <c r="X3731" i="6"/>
  <c r="V74" i="6"/>
  <c r="I74" i="6"/>
  <c r="X126" i="6"/>
  <c r="W162" i="6"/>
  <c r="J230" i="6"/>
  <c r="K544" i="6"/>
  <c r="W39" i="5" s="1"/>
  <c r="J544" i="6"/>
  <c r="X612" i="6"/>
  <c r="W612" i="6"/>
  <c r="V612" i="6"/>
  <c r="V638" i="6"/>
  <c r="X638" i="6"/>
  <c r="W646" i="6"/>
  <c r="V722" i="6"/>
  <c r="W722" i="6"/>
  <c r="X722" i="6"/>
  <c r="X738" i="6"/>
  <c r="W814" i="6"/>
  <c r="K825" i="6"/>
  <c r="P57" i="5" s="1"/>
  <c r="X841" i="6"/>
  <c r="I841" i="6"/>
  <c r="V849" i="6"/>
  <c r="K857" i="6"/>
  <c r="P59" i="5" s="1"/>
  <c r="AG59" i="5" s="1"/>
  <c r="W900" i="6"/>
  <c r="X924" i="6"/>
  <c r="W958" i="6"/>
  <c r="V1010" i="6"/>
  <c r="I1010" i="6"/>
  <c r="X1010" i="6"/>
  <c r="J1047" i="6"/>
  <c r="K1047" i="6"/>
  <c r="N71" i="5" s="1"/>
  <c r="V1242" i="6"/>
  <c r="I1242" i="6"/>
  <c r="V1271" i="6"/>
  <c r="X1271" i="6"/>
  <c r="I1271" i="6"/>
  <c r="K1271" i="6" s="1"/>
  <c r="N85" i="5" s="1"/>
  <c r="V1306" i="6"/>
  <c r="X1306" i="6"/>
  <c r="V1608" i="6"/>
  <c r="X1608" i="6"/>
  <c r="V1722" i="6"/>
  <c r="X1722" i="6"/>
  <c r="I1722" i="6"/>
  <c r="X1739" i="6"/>
  <c r="W1739" i="6"/>
  <c r="K1749" i="6"/>
  <c r="AB114" i="5" s="1"/>
  <c r="J1749" i="6"/>
  <c r="X1778" i="6"/>
  <c r="W1778" i="6"/>
  <c r="V1778" i="6"/>
  <c r="V1923" i="6"/>
  <c r="K2147" i="6"/>
  <c r="Z139" i="5" s="1"/>
  <c r="J2147" i="6"/>
  <c r="V2219" i="6"/>
  <c r="X2219" i="6"/>
  <c r="W2219" i="6"/>
  <c r="I2467" i="6"/>
  <c r="W2467" i="6"/>
  <c r="W2549" i="6"/>
  <c r="I2549" i="6"/>
  <c r="W2612" i="6"/>
  <c r="X2612" i="6"/>
  <c r="I2612" i="6"/>
  <c r="X74" i="6"/>
  <c r="I88" i="6"/>
  <c r="X88" i="6"/>
  <c r="W88" i="6"/>
  <c r="V88" i="6"/>
  <c r="X171" i="6"/>
  <c r="X316" i="6"/>
  <c r="V316" i="6"/>
  <c r="W428" i="6"/>
  <c r="V428" i="6"/>
  <c r="X473" i="6"/>
  <c r="X521" i="6"/>
  <c r="K530" i="6"/>
  <c r="Y38" i="5" s="1"/>
  <c r="J530" i="6"/>
  <c r="X535" i="6"/>
  <c r="W544" i="6"/>
  <c r="X602" i="6"/>
  <c r="I629" i="6"/>
  <c r="V629" i="6"/>
  <c r="X723" i="6"/>
  <c r="W723" i="6"/>
  <c r="W739" i="6"/>
  <c r="X739" i="6"/>
  <c r="V739" i="6"/>
  <c r="W841" i="6"/>
  <c r="I925" i="6"/>
  <c r="X925" i="6"/>
  <c r="K942" i="6"/>
  <c r="U64" i="5" s="1"/>
  <c r="J942" i="6"/>
  <c r="I1029" i="6"/>
  <c r="X1029" i="6"/>
  <c r="V1082" i="6"/>
  <c r="I1082" i="6"/>
  <c r="I1164" i="6"/>
  <c r="K1164" i="6" s="1"/>
  <c r="S78" i="5" s="1"/>
  <c r="X1164" i="6"/>
  <c r="X1242" i="6"/>
  <c r="V1290" i="6"/>
  <c r="W1290" i="6"/>
  <c r="X1307" i="6"/>
  <c r="I1307" i="6"/>
  <c r="K1307" i="6" s="1"/>
  <c r="R87" i="5" s="1"/>
  <c r="V1317" i="6"/>
  <c r="I1317" i="6"/>
  <c r="X1362" i="6"/>
  <c r="X1485" i="6"/>
  <c r="W1517" i="6"/>
  <c r="X1526" i="6"/>
  <c r="V1712" i="6"/>
  <c r="I1712" i="6"/>
  <c r="W1769" i="6"/>
  <c r="X1850" i="6"/>
  <c r="W1870" i="6"/>
  <c r="X1890" i="6"/>
  <c r="V1890" i="6"/>
  <c r="I1890" i="6"/>
  <c r="X1901" i="6"/>
  <c r="W1901" i="6"/>
  <c r="V2077" i="6"/>
  <c r="I2077" i="6"/>
  <c r="W2077" i="6"/>
  <c r="I2355" i="6"/>
  <c r="V2355" i="6"/>
  <c r="W2355" i="6"/>
  <c r="X2355" i="6"/>
  <c r="X2467" i="6"/>
  <c r="X2549" i="6"/>
  <c r="K2561" i="6"/>
  <c r="X165" i="5" s="1"/>
  <c r="J2561" i="6"/>
  <c r="X2667" i="6"/>
  <c r="W2667" i="6"/>
  <c r="V2667" i="6"/>
  <c r="W2787" i="6"/>
  <c r="X2787" i="6"/>
  <c r="I2845" i="6"/>
  <c r="V2845" i="6"/>
  <c r="X2845" i="6"/>
  <c r="I3055" i="6"/>
  <c r="K3055" i="6" s="1"/>
  <c r="V196" i="5" s="1"/>
  <c r="X3055" i="6"/>
  <c r="W3055" i="6"/>
  <c r="V3055" i="6"/>
  <c r="W3088" i="6"/>
  <c r="V3123" i="6"/>
  <c r="X3123" i="6"/>
  <c r="W3123" i="6"/>
  <c r="X3189" i="6"/>
  <c r="W3511" i="6"/>
  <c r="V2098" i="6"/>
  <c r="W2098" i="6"/>
  <c r="I2249" i="6"/>
  <c r="K2249" i="6" s="1"/>
  <c r="P146" i="5" s="1"/>
  <c r="X2249" i="6"/>
  <c r="W2249" i="6"/>
  <c r="X2678" i="6"/>
  <c r="W2678" i="6"/>
  <c r="V2678" i="6"/>
  <c r="I2709" i="6"/>
  <c r="K2709" i="6" s="1"/>
  <c r="AB174" i="5" s="1"/>
  <c r="X2709" i="6"/>
  <c r="V2709" i="6"/>
  <c r="W2709" i="6"/>
  <c r="W3188" i="6"/>
  <c r="X3188" i="6"/>
  <c r="V3188" i="6"/>
  <c r="I3188" i="6"/>
  <c r="V358" i="6"/>
  <c r="W358" i="6"/>
  <c r="V874" i="6"/>
  <c r="X874" i="6"/>
  <c r="X993" i="6"/>
  <c r="V993" i="6"/>
  <c r="V1861" i="6"/>
  <c r="X1861" i="6"/>
  <c r="W1861" i="6"/>
  <c r="I1861" i="6"/>
  <c r="I2197" i="6"/>
  <c r="X2197" i="6"/>
  <c r="V2249" i="6"/>
  <c r="V2666" i="6"/>
  <c r="K2813" i="6"/>
  <c r="T181" i="5" s="1"/>
  <c r="J2813" i="6"/>
  <c r="J2822" i="6"/>
  <c r="X3319" i="6"/>
  <c r="W3319" i="6"/>
  <c r="I3319" i="6"/>
  <c r="J3319" i="6" s="1"/>
  <c r="V3658" i="6"/>
  <c r="I3658" i="6"/>
  <c r="X3658" i="6"/>
  <c r="W3717" i="6"/>
  <c r="J9" i="6"/>
  <c r="X67" i="6"/>
  <c r="V67" i="6"/>
  <c r="W112" i="6"/>
  <c r="J134" i="6"/>
  <c r="V156" i="6"/>
  <c r="J163" i="6"/>
  <c r="V188" i="6"/>
  <c r="V196" i="6"/>
  <c r="J205" i="6"/>
  <c r="K257" i="6"/>
  <c r="X21" i="5" s="1"/>
  <c r="J350" i="6"/>
  <c r="I360" i="6"/>
  <c r="J360" i="6" s="1"/>
  <c r="X360" i="6"/>
  <c r="X459" i="6"/>
  <c r="K522" i="6"/>
  <c r="Q38" i="5" s="1"/>
  <c r="J522" i="6"/>
  <c r="X544" i="6"/>
  <c r="I553" i="6"/>
  <c r="X553" i="6"/>
  <c r="K577" i="6"/>
  <c r="X41" i="5" s="1"/>
  <c r="AO41" i="5" s="1"/>
  <c r="J577" i="6"/>
  <c r="V595" i="6"/>
  <c r="I595" i="6"/>
  <c r="K595" i="6" s="1"/>
  <c r="Z42" i="5" s="1"/>
  <c r="W629" i="6"/>
  <c r="W665" i="6"/>
  <c r="I665" i="6"/>
  <c r="I713" i="6"/>
  <c r="W713" i="6"/>
  <c r="X713" i="6"/>
  <c r="V723" i="6"/>
  <c r="X808" i="6"/>
  <c r="V833" i="6"/>
  <c r="I833" i="6"/>
  <c r="X875" i="6"/>
  <c r="V892" i="6"/>
  <c r="X909" i="6"/>
  <c r="V925" i="6"/>
  <c r="W985" i="6"/>
  <c r="X985" i="6"/>
  <c r="W994" i="6"/>
  <c r="V1021" i="6"/>
  <c r="V1029" i="6"/>
  <c r="W1074" i="6"/>
  <c r="W1082" i="6"/>
  <c r="W1091" i="6"/>
  <c r="X1091" i="6"/>
  <c r="V1091" i="6"/>
  <c r="V1164" i="6"/>
  <c r="J1226" i="6"/>
  <c r="K1243" i="6"/>
  <c r="R83" i="5" s="1"/>
  <c r="J1243" i="6"/>
  <c r="V1254" i="6"/>
  <c r="X1254" i="6"/>
  <c r="W1254" i="6"/>
  <c r="X1290" i="6"/>
  <c r="W1317" i="6"/>
  <c r="X1372" i="6"/>
  <c r="I1372" i="6"/>
  <c r="V1372" i="6"/>
  <c r="V1423" i="6"/>
  <c r="K1474" i="6"/>
  <c r="Y97" i="5" s="1"/>
  <c r="J1474" i="6"/>
  <c r="W1568" i="6"/>
  <c r="J1580" i="6"/>
  <c r="K1580" i="6"/>
  <c r="S104" i="5" s="1"/>
  <c r="AI104" i="5" s="1"/>
  <c r="V1657" i="6"/>
  <c r="K1671" i="6"/>
  <c r="N110" i="5" s="1"/>
  <c r="J1671" i="6"/>
  <c r="J1680" i="6"/>
  <c r="W1712" i="6"/>
  <c r="X1769" i="6"/>
  <c r="W1890" i="6"/>
  <c r="V1901" i="6"/>
  <c r="V2027" i="6"/>
  <c r="X2027" i="6"/>
  <c r="I2027" i="6"/>
  <c r="W2027" i="6"/>
  <c r="X2077" i="6"/>
  <c r="X2136" i="6"/>
  <c r="V2136" i="6"/>
  <c r="W2275" i="6"/>
  <c r="K2297" i="6"/>
  <c r="P149" i="5" s="1"/>
  <c r="AG149" i="5" s="1"/>
  <c r="J2297" i="6"/>
  <c r="W2343" i="6"/>
  <c r="V2343" i="6"/>
  <c r="X2600" i="6"/>
  <c r="W2600" i="6"/>
  <c r="I2600" i="6"/>
  <c r="K2600" i="6" s="1"/>
  <c r="O168" i="5" s="1"/>
  <c r="V2600" i="6"/>
  <c r="X2657" i="6"/>
  <c r="V2657" i="6"/>
  <c r="W2657" i="6"/>
  <c r="J2690" i="6"/>
  <c r="K2690" i="6"/>
  <c r="Y173" i="5" s="1"/>
  <c r="W2725" i="6"/>
  <c r="V2725" i="6"/>
  <c r="I2725" i="6"/>
  <c r="J2744" i="6"/>
  <c r="K2744" i="6"/>
  <c r="O177" i="5" s="1"/>
  <c r="V2787" i="6"/>
  <c r="K2802" i="6"/>
  <c r="Y180" i="5" s="1"/>
  <c r="J2802" i="6"/>
  <c r="W2845" i="6"/>
  <c r="W3012" i="6"/>
  <c r="V3012" i="6"/>
  <c r="I3012" i="6"/>
  <c r="X3102" i="6"/>
  <c r="I3102" i="6"/>
  <c r="X2067" i="6"/>
  <c r="I2067" i="6"/>
  <c r="W2067" i="6"/>
  <c r="V2067" i="6"/>
  <c r="X2506" i="6"/>
  <c r="W2506" i="6"/>
  <c r="I2506" i="6"/>
  <c r="K2506" i="6" s="1"/>
  <c r="Q162" i="5" s="1"/>
  <c r="W3243" i="6"/>
  <c r="X3243" i="6"/>
  <c r="V3243" i="6"/>
  <c r="I3629" i="6"/>
  <c r="W3629" i="6"/>
  <c r="X3691" i="6"/>
  <c r="V3691" i="6"/>
  <c r="X1073" i="6"/>
  <c r="V1073" i="6"/>
  <c r="K1107" i="6"/>
  <c r="Z74" i="5" s="1"/>
  <c r="AS74" i="5" s="1"/>
  <c r="J1107" i="6"/>
  <c r="V1190" i="6"/>
  <c r="X1190" i="6"/>
  <c r="I1190" i="6"/>
  <c r="K1190" i="6" s="1"/>
  <c r="M80" i="5" s="1"/>
  <c r="W1190" i="6"/>
  <c r="V1496" i="6"/>
  <c r="I1496" i="6"/>
  <c r="V2089" i="6"/>
  <c r="W2089" i="6"/>
  <c r="I2089" i="6"/>
  <c r="J2219" i="6"/>
  <c r="V2915" i="6"/>
  <c r="I2915" i="6"/>
  <c r="X2915" i="6"/>
  <c r="W2915" i="6"/>
  <c r="J3088" i="6"/>
  <c r="K3088" i="6"/>
  <c r="W198" i="5" s="1"/>
  <c r="V3163" i="6"/>
  <c r="X3163" i="6"/>
  <c r="W3163" i="6"/>
  <c r="J3269" i="6"/>
  <c r="K3269" i="6"/>
  <c r="AB209" i="5" s="1"/>
  <c r="I3330" i="6"/>
  <c r="K3330" i="6" s="1"/>
  <c r="Y213" i="5" s="1"/>
  <c r="V3330" i="6"/>
  <c r="W40" i="6"/>
  <c r="W46" i="6"/>
  <c r="W67" i="6"/>
  <c r="V89" i="6"/>
  <c r="X120" i="6"/>
  <c r="V134" i="6"/>
  <c r="X134" i="6"/>
  <c r="W188" i="6"/>
  <c r="W196" i="6"/>
  <c r="X205" i="6"/>
  <c r="W205" i="6"/>
  <c r="V205" i="6"/>
  <c r="V214" i="6"/>
  <c r="I214" i="6"/>
  <c r="V265" i="6"/>
  <c r="K282" i="6"/>
  <c r="Q23" i="5" s="1"/>
  <c r="J282" i="6"/>
  <c r="W298" i="6"/>
  <c r="V334" i="6"/>
  <c r="I334" i="6"/>
  <c r="K334" i="6" s="1"/>
  <c r="U26" i="5" s="1"/>
  <c r="X334" i="6"/>
  <c r="V342" i="6"/>
  <c r="I342" i="6"/>
  <c r="V350" i="6"/>
  <c r="X350" i="6"/>
  <c r="V360" i="6"/>
  <c r="W437" i="6"/>
  <c r="V445" i="6"/>
  <c r="V452" i="6"/>
  <c r="V482" i="6"/>
  <c r="X482" i="6"/>
  <c r="I482" i="6"/>
  <c r="V553" i="6"/>
  <c r="W586" i="6"/>
  <c r="W595" i="6"/>
  <c r="V613" i="6"/>
  <c r="X629" i="6"/>
  <c r="V665" i="6"/>
  <c r="V713" i="6"/>
  <c r="V757" i="6"/>
  <c r="V766" i="6"/>
  <c r="I766" i="6"/>
  <c r="K766" i="6" s="1"/>
  <c r="U53" i="5" s="1"/>
  <c r="W833" i="6"/>
  <c r="V842" i="6"/>
  <c r="X842" i="6"/>
  <c r="W842" i="6"/>
  <c r="K876" i="6"/>
  <c r="S60" i="5" s="1"/>
  <c r="AI60" i="5" s="1"/>
  <c r="J876" i="6"/>
  <c r="W925" i="6"/>
  <c r="V985" i="6"/>
  <c r="X994" i="6"/>
  <c r="V1003" i="6"/>
  <c r="W1021" i="6"/>
  <c r="W1029" i="6"/>
  <c r="I1048" i="6"/>
  <c r="K1048" i="6" s="1"/>
  <c r="O71" i="5" s="1"/>
  <c r="X1048" i="6"/>
  <c r="X1074" i="6"/>
  <c r="X1082" i="6"/>
  <c r="J1122" i="6"/>
  <c r="J1130" i="6"/>
  <c r="W1164" i="6"/>
  <c r="J1208" i="6"/>
  <c r="K1208" i="6"/>
  <c r="O81" i="5" s="1"/>
  <c r="AE81" i="5" s="1"/>
  <c r="V1226" i="6"/>
  <c r="X1226" i="6"/>
  <c r="W1226" i="6"/>
  <c r="X1317" i="6"/>
  <c r="K1329" i="6"/>
  <c r="X88" i="5" s="1"/>
  <c r="J1329" i="6"/>
  <c r="X1345" i="6"/>
  <c r="V1363" i="6"/>
  <c r="W1372" i="6"/>
  <c r="W1423" i="6"/>
  <c r="X1640" i="6"/>
  <c r="W1640" i="6"/>
  <c r="X1657" i="6"/>
  <c r="V1671" i="6"/>
  <c r="V1692" i="6"/>
  <c r="X1692" i="6"/>
  <c r="X1712" i="6"/>
  <c r="V1841" i="6"/>
  <c r="W1841" i="6"/>
  <c r="I1841" i="6"/>
  <c r="X1871" i="6"/>
  <c r="W1871" i="6"/>
  <c r="V1871" i="6"/>
  <c r="J1913" i="6"/>
  <c r="K1913" i="6"/>
  <c r="P125" i="5" s="1"/>
  <c r="W2136" i="6"/>
  <c r="K2148" i="6"/>
  <c r="AA139" i="5" s="1"/>
  <c r="J2148" i="6"/>
  <c r="V2285" i="6"/>
  <c r="I2285" i="6"/>
  <c r="X2285" i="6"/>
  <c r="W2285" i="6"/>
  <c r="X2444" i="6"/>
  <c r="W2561" i="6"/>
  <c r="X2725" i="6"/>
  <c r="V2744" i="6"/>
  <c r="J2753" i="6"/>
  <c r="K2753" i="6"/>
  <c r="X177" i="5" s="1"/>
  <c r="AO177" i="5" s="1"/>
  <c r="X3012" i="6"/>
  <c r="K3077" i="6"/>
  <c r="AB197" i="5" s="1"/>
  <c r="V3102" i="6"/>
  <c r="K3113" i="6"/>
  <c r="P200" i="5" s="1"/>
  <c r="J3113" i="6"/>
  <c r="W3157" i="6"/>
  <c r="K3448" i="6"/>
  <c r="O221" i="5" s="1"/>
  <c r="J3448" i="6"/>
  <c r="V830" i="6"/>
  <c r="W830" i="6"/>
  <c r="I1033" i="6"/>
  <c r="X1033" i="6"/>
  <c r="W1033" i="6"/>
  <c r="V1033" i="6"/>
  <c r="K1069" i="6"/>
  <c r="T72" i="5" s="1"/>
  <c r="J1069" i="6"/>
  <c r="V1175" i="6"/>
  <c r="I1175" i="6"/>
  <c r="J1175" i="6" s="1"/>
  <c r="X1243" i="6"/>
  <c r="W1243" i="6"/>
  <c r="K1273" i="6"/>
  <c r="P85" i="5" s="1"/>
  <c r="J1273" i="6"/>
  <c r="V1282" i="6"/>
  <c r="X1282" i="6"/>
  <c r="W1282" i="6"/>
  <c r="I1429" i="6"/>
  <c r="V1429" i="6"/>
  <c r="W1602" i="6"/>
  <c r="X1602" i="6"/>
  <c r="V1602" i="6"/>
  <c r="V1643" i="6"/>
  <c r="I1643" i="6"/>
  <c r="J1925" i="6"/>
  <c r="K1925" i="6"/>
  <c r="AB125" i="5" s="1"/>
  <c r="K2018" i="6"/>
  <c r="Y131" i="5" s="1"/>
  <c r="J2018" i="6"/>
  <c r="V2208" i="6"/>
  <c r="I2208" i="6"/>
  <c r="K2208" i="6" s="1"/>
  <c r="W143" i="5" s="1"/>
  <c r="I2237" i="6"/>
  <c r="X2237" i="6"/>
  <c r="I2272" i="6"/>
  <c r="X2272" i="6"/>
  <c r="W2272" i="6"/>
  <c r="K2565" i="6"/>
  <c r="AB165" i="5" s="1"/>
  <c r="J2565" i="6"/>
  <c r="V2668" i="6"/>
  <c r="X2668" i="6"/>
  <c r="I2668" i="6"/>
  <c r="W2668" i="6"/>
  <c r="I2923" i="6"/>
  <c r="J2923" i="6" s="1"/>
  <c r="V2923" i="6"/>
  <c r="X2923" i="6"/>
  <c r="W2923" i="6"/>
  <c r="X3005" i="6"/>
  <c r="W3005" i="6"/>
  <c r="V3005" i="6"/>
  <c r="X3035" i="6"/>
  <c r="W3035" i="6"/>
  <c r="V3180" i="6"/>
  <c r="X3180" i="6"/>
  <c r="W3180" i="6"/>
  <c r="W2071" i="6"/>
  <c r="V2071" i="6"/>
  <c r="K2169" i="6"/>
  <c r="P141" i="5" s="1"/>
  <c r="J2169" i="6"/>
  <c r="I2354" i="6"/>
  <c r="V2354" i="6"/>
  <c r="X2354" i="6"/>
  <c r="W2354" i="6"/>
  <c r="K2594" i="6"/>
  <c r="Y167" i="5" s="1"/>
  <c r="J2594" i="6"/>
  <c r="J2746" i="6"/>
  <c r="K2746" i="6"/>
  <c r="Q177" i="5" s="1"/>
  <c r="I2856" i="6"/>
  <c r="W2856" i="6"/>
  <c r="I2941" i="6"/>
  <c r="X2941" i="6"/>
  <c r="W2941" i="6"/>
  <c r="V2941" i="6"/>
  <c r="J3251" i="6"/>
  <c r="K3251" i="6"/>
  <c r="Z208" i="5" s="1"/>
  <c r="I3273" i="6"/>
  <c r="X3273" i="6"/>
  <c r="W3273" i="6"/>
  <c r="X3485" i="6"/>
  <c r="I3485" i="6"/>
  <c r="I3616" i="6"/>
  <c r="J3616" i="6" s="1"/>
  <c r="W3616" i="6"/>
  <c r="V3616" i="6"/>
  <c r="X3616" i="6"/>
  <c r="J3718" i="6"/>
  <c r="K3718" i="6"/>
  <c r="M238" i="5" s="1"/>
  <c r="X3009" i="6"/>
  <c r="W3009" i="6"/>
  <c r="V3223" i="6"/>
  <c r="I3223" i="6"/>
  <c r="X3223" i="6"/>
  <c r="W3223" i="6"/>
  <c r="J3337" i="6"/>
  <c r="K3337" i="6"/>
  <c r="P214" i="5" s="1"/>
  <c r="I3381" i="6"/>
  <c r="X3381" i="6"/>
  <c r="W3381" i="6"/>
  <c r="V3381" i="6"/>
  <c r="I3536" i="6"/>
  <c r="V3536" i="6"/>
  <c r="X3536" i="6"/>
  <c r="W3536" i="6"/>
  <c r="W2212" i="6"/>
  <c r="V2212" i="6"/>
  <c r="V2286" i="6"/>
  <c r="X2286" i="6"/>
  <c r="V2505" i="6"/>
  <c r="I2505" i="6"/>
  <c r="W2717" i="6"/>
  <c r="V2717" i="6"/>
  <c r="I2717" i="6"/>
  <c r="V2816" i="6"/>
  <c r="I2816" i="6"/>
  <c r="V3009" i="6"/>
  <c r="W3485" i="6"/>
  <c r="I3500" i="6"/>
  <c r="W3500" i="6"/>
  <c r="X3500" i="6"/>
  <c r="J3617" i="6"/>
  <c r="V2917" i="6"/>
  <c r="I2917" i="6"/>
  <c r="X2917" i="6"/>
  <c r="W2917" i="6"/>
  <c r="X2965" i="6"/>
  <c r="W2965" i="6"/>
  <c r="K2977" i="6"/>
  <c r="X191" i="5" s="1"/>
  <c r="J2977" i="6"/>
  <c r="I3130" i="6"/>
  <c r="X3130" i="6"/>
  <c r="W3130" i="6"/>
  <c r="V3130" i="6"/>
  <c r="W3425" i="6"/>
  <c r="X3425" i="6"/>
  <c r="V3425" i="6"/>
  <c r="I3425" i="6"/>
  <c r="X3605" i="6"/>
  <c r="I3605" i="6"/>
  <c r="K3605" i="6" s="1"/>
  <c r="AB230" i="5" s="1"/>
  <c r="W3605" i="6"/>
  <c r="V3185" i="6"/>
  <c r="X3185" i="6"/>
  <c r="W3185" i="6"/>
  <c r="I3185" i="6"/>
  <c r="J3361" i="6"/>
  <c r="K3361" i="6"/>
  <c r="X215" i="5" s="1"/>
  <c r="J3475" i="6"/>
  <c r="K3475" i="6"/>
  <c r="Z222" i="5" s="1"/>
  <c r="W3567" i="6"/>
  <c r="V3567" i="6"/>
  <c r="X3567" i="6"/>
  <c r="I3567" i="6"/>
  <c r="V3605" i="6"/>
  <c r="V218" i="6"/>
  <c r="I218" i="6"/>
  <c r="K218" i="6" s="1"/>
  <c r="Q19" i="5" s="1"/>
  <c r="AG19" i="5" s="1"/>
  <c r="X218" i="6"/>
  <c r="V382" i="6"/>
  <c r="I382" i="6"/>
  <c r="K382" i="6" s="1"/>
  <c r="U29" i="5" s="1"/>
  <c r="V406" i="6"/>
  <c r="W406" i="6"/>
  <c r="X406" i="6"/>
  <c r="V458" i="6"/>
  <c r="X458" i="6"/>
  <c r="X669" i="6"/>
  <c r="W669" i="6"/>
  <c r="V730" i="6"/>
  <c r="X730" i="6"/>
  <c r="V770" i="6"/>
  <c r="W770" i="6"/>
  <c r="V786" i="6"/>
  <c r="X786" i="6"/>
  <c r="I786" i="6"/>
  <c r="K786" i="6" s="1"/>
  <c r="Y54" i="5" s="1"/>
  <c r="X793" i="6"/>
  <c r="I793" i="6"/>
  <c r="X1104" i="6"/>
  <c r="I1104" i="6"/>
  <c r="X1213" i="6"/>
  <c r="I1213" i="6"/>
  <c r="W1389" i="6"/>
  <c r="X1389" i="6"/>
  <c r="V1389" i="6"/>
  <c r="K1410" i="6"/>
  <c r="Y93" i="5" s="1"/>
  <c r="AO93" i="5" s="1"/>
  <c r="J1410" i="6"/>
  <c r="X1491" i="6"/>
  <c r="I1491" i="6"/>
  <c r="X1539" i="6"/>
  <c r="V1539" i="6"/>
  <c r="I1703" i="6"/>
  <c r="X1703" i="6"/>
  <c r="W1881" i="6"/>
  <c r="V1881" i="6"/>
  <c r="V1925" i="6"/>
  <c r="W1925" i="6"/>
  <c r="X1925" i="6"/>
  <c r="V2245" i="6"/>
  <c r="W2245" i="6"/>
  <c r="K2512" i="6"/>
  <c r="W162" i="5" s="1"/>
  <c r="J2512" i="6"/>
  <c r="V2562" i="6"/>
  <c r="I2562" i="6"/>
  <c r="K2645" i="6"/>
  <c r="AB170" i="5" s="1"/>
  <c r="AT170" i="5" s="1"/>
  <c r="J2645" i="6"/>
  <c r="I2869" i="6"/>
  <c r="W2869" i="6"/>
  <c r="X2869" i="6"/>
  <c r="W2981" i="6"/>
  <c r="X2981" i="6"/>
  <c r="X3024" i="6"/>
  <c r="W3024" i="6"/>
  <c r="I3024" i="6"/>
  <c r="V3024" i="6"/>
  <c r="J3069" i="6"/>
  <c r="K3069" i="6"/>
  <c r="T197" i="5" s="1"/>
  <c r="V3241" i="6"/>
  <c r="W3241" i="6"/>
  <c r="I3241" i="6"/>
  <c r="J3241" i="6" s="1"/>
  <c r="I16" i="6"/>
  <c r="J16" i="6" s="1"/>
  <c r="I44" i="6"/>
  <c r="K44" i="6" s="1"/>
  <c r="S8" i="5" s="1"/>
  <c r="I246" i="6"/>
  <c r="I361" i="6"/>
  <c r="V409" i="6"/>
  <c r="X409" i="6"/>
  <c r="I425" i="6"/>
  <c r="I525" i="6"/>
  <c r="V532" i="6"/>
  <c r="X532" i="6"/>
  <c r="I585" i="6"/>
  <c r="K733" i="6"/>
  <c r="T51" i="5" s="1"/>
  <c r="J733" i="6"/>
  <c r="X971" i="6"/>
  <c r="W971" i="6"/>
  <c r="I1020" i="6"/>
  <c r="I1051" i="6"/>
  <c r="V1159" i="6"/>
  <c r="X1159" i="6"/>
  <c r="I1201" i="6"/>
  <c r="I1207" i="6"/>
  <c r="K1207" i="6" s="1"/>
  <c r="N81" i="5" s="1"/>
  <c r="X1207" i="6"/>
  <c r="W1207" i="6"/>
  <c r="W1341" i="6"/>
  <c r="I1341" i="6"/>
  <c r="I1384" i="6"/>
  <c r="V1393" i="6"/>
  <c r="X1393" i="6"/>
  <c r="W1393" i="6"/>
  <c r="W1424" i="6"/>
  <c r="X1424" i="6"/>
  <c r="W1511" i="6"/>
  <c r="V1511" i="6"/>
  <c r="V1560" i="6"/>
  <c r="X1560" i="6"/>
  <c r="W1560" i="6"/>
  <c r="V1655" i="6"/>
  <c r="X1655" i="6"/>
  <c r="I1655" i="6"/>
  <c r="J1742" i="6"/>
  <c r="I1829" i="6"/>
  <c r="X1829" i="6"/>
  <c r="W1829" i="6"/>
  <c r="I1885" i="6"/>
  <c r="X1885" i="6"/>
  <c r="I1957" i="6"/>
  <c r="V2085" i="6"/>
  <c r="I2085" i="6"/>
  <c r="X2095" i="6"/>
  <c r="W2095" i="6"/>
  <c r="I2170" i="6"/>
  <c r="I2181" i="6"/>
  <c r="K2181" i="6" s="1"/>
  <c r="AB141" i="5" s="1"/>
  <c r="V2199" i="6"/>
  <c r="W2199" i="6"/>
  <c r="I2221" i="6"/>
  <c r="J2230" i="6"/>
  <c r="I2369" i="6"/>
  <c r="K2369" i="6" s="1"/>
  <c r="X153" i="5" s="1"/>
  <c r="X2442" i="6"/>
  <c r="W2442" i="6"/>
  <c r="V2442" i="6"/>
  <c r="I2465" i="6"/>
  <c r="X2465" i="6"/>
  <c r="J2606" i="6"/>
  <c r="K2606" i="6"/>
  <c r="U168" i="5" s="1"/>
  <c r="I2974" i="6"/>
  <c r="V2974" i="6"/>
  <c r="I3106" i="6"/>
  <c r="W3106" i="6"/>
  <c r="V3106" i="6"/>
  <c r="X3106" i="6"/>
  <c r="V3570" i="6"/>
  <c r="X3570" i="6"/>
  <c r="I3570" i="6"/>
  <c r="X3583" i="6"/>
  <c r="I3583" i="6"/>
  <c r="X3617" i="6"/>
  <c r="W3617" i="6"/>
  <c r="V3617" i="6"/>
  <c r="W3672" i="6"/>
  <c r="V3672" i="6"/>
  <c r="AP95" i="5"/>
  <c r="I30" i="6"/>
  <c r="AG9" i="5"/>
  <c r="I269" i="6"/>
  <c r="I322" i="6"/>
  <c r="J352" i="6"/>
  <c r="K352" i="6"/>
  <c r="W27" i="5" s="1"/>
  <c r="W481" i="6"/>
  <c r="V481" i="6"/>
  <c r="X489" i="6"/>
  <c r="W489" i="6"/>
  <c r="I489" i="6"/>
  <c r="V538" i="6"/>
  <c r="X538" i="6"/>
  <c r="V811" i="6"/>
  <c r="W811" i="6"/>
  <c r="X811" i="6"/>
  <c r="K820" i="6"/>
  <c r="AA56" i="5" s="1"/>
  <c r="J820" i="6"/>
  <c r="K850" i="6"/>
  <c r="Y58" i="5" s="1"/>
  <c r="J850" i="6"/>
  <c r="I866" i="6"/>
  <c r="V919" i="6"/>
  <c r="X919" i="6"/>
  <c r="I1004" i="6"/>
  <c r="W1004" i="6"/>
  <c r="J1085" i="6"/>
  <c r="V1177" i="6"/>
  <c r="I1177" i="6"/>
  <c r="X1240" i="6"/>
  <c r="V1240" i="6"/>
  <c r="W1368" i="6"/>
  <c r="I1368" i="6"/>
  <c r="I1495" i="6"/>
  <c r="W1570" i="6"/>
  <c r="I1570" i="6"/>
  <c r="K1570" i="6" s="1"/>
  <c r="Y103" i="5" s="1"/>
  <c r="J1647" i="6"/>
  <c r="K1647" i="6"/>
  <c r="V108" i="5" s="1"/>
  <c r="I1656" i="6"/>
  <c r="J1656" i="6" s="1"/>
  <c r="J1677" i="6"/>
  <c r="K1677" i="6"/>
  <c r="T110" i="5" s="1"/>
  <c r="V1770" i="6"/>
  <c r="W1770" i="6"/>
  <c r="X1770" i="6"/>
  <c r="W1819" i="6"/>
  <c r="X1819" i="6"/>
  <c r="V1819" i="6"/>
  <c r="I1819" i="6"/>
  <c r="J1819" i="6" s="1"/>
  <c r="W1978" i="6"/>
  <c r="V1978" i="6"/>
  <c r="X2360" i="6"/>
  <c r="W2360" i="6"/>
  <c r="I2360" i="6"/>
  <c r="K2360" i="6" s="1"/>
  <c r="O153" i="5" s="1"/>
  <c r="X2381" i="6"/>
  <c r="I2381" i="6"/>
  <c r="I2963" i="6"/>
  <c r="J2963" i="6" s="1"/>
  <c r="V2963" i="6"/>
  <c r="W3061" i="6"/>
  <c r="I3061" i="6"/>
  <c r="X3061" i="6"/>
  <c r="V3061" i="6"/>
  <c r="I3205" i="6"/>
  <c r="K3205" i="6" s="1"/>
  <c r="AB205" i="5" s="1"/>
  <c r="X3205" i="6"/>
  <c r="I3442" i="6"/>
  <c r="W3442" i="6"/>
  <c r="V3442" i="6"/>
  <c r="X3442" i="6"/>
  <c r="J3529" i="6"/>
  <c r="K3529" i="6"/>
  <c r="P226" i="5" s="1"/>
  <c r="W3570" i="6"/>
  <c r="V3583" i="6"/>
  <c r="W22" i="6"/>
  <c r="V44" i="6"/>
  <c r="X82" i="6"/>
  <c r="X122" i="6"/>
  <c r="X142" i="6"/>
  <c r="I149" i="6"/>
  <c r="K149" i="6" s="1"/>
  <c r="AB14" i="5" s="1"/>
  <c r="V161" i="6"/>
  <c r="V175" i="6"/>
  <c r="I175" i="6"/>
  <c r="J175" i="6" s="1"/>
  <c r="I184" i="6"/>
  <c r="I190" i="6"/>
  <c r="J190" i="6" s="1"/>
  <c r="K221" i="6"/>
  <c r="T19" i="5" s="1"/>
  <c r="W246" i="6"/>
  <c r="W282" i="6"/>
  <c r="X313" i="6"/>
  <c r="I368" i="6"/>
  <c r="I410" i="6"/>
  <c r="I418" i="6"/>
  <c r="K418" i="6" s="1"/>
  <c r="Y31" i="5" s="1"/>
  <c r="AQ31" i="5" s="1"/>
  <c r="V433" i="6"/>
  <c r="X474" i="6"/>
  <c r="X481" i="6"/>
  <c r="V489" i="6"/>
  <c r="W497" i="6"/>
  <c r="X510" i="6"/>
  <c r="I518" i="6"/>
  <c r="K518" i="6" s="1"/>
  <c r="M38" i="5" s="1"/>
  <c r="W538" i="6"/>
  <c r="I546" i="6"/>
  <c r="K546" i="6" s="1"/>
  <c r="Y39" i="5" s="1"/>
  <c r="V554" i="6"/>
  <c r="X554" i="6"/>
  <c r="W554" i="6"/>
  <c r="W600" i="6"/>
  <c r="X678" i="6"/>
  <c r="X700" i="6"/>
  <c r="W717" i="6"/>
  <c r="J725" i="6"/>
  <c r="X741" i="6"/>
  <c r="I741" i="6"/>
  <c r="X750" i="6"/>
  <c r="X756" i="6"/>
  <c r="V820" i="6"/>
  <c r="V834" i="6"/>
  <c r="X834" i="6"/>
  <c r="I843" i="6"/>
  <c r="K843" i="6" s="1"/>
  <c r="R58" i="5" s="1"/>
  <c r="V850" i="6"/>
  <c r="X850" i="6"/>
  <c r="V873" i="6"/>
  <c r="X905" i="6"/>
  <c r="W905" i="6"/>
  <c r="W919" i="6"/>
  <c r="X942" i="6"/>
  <c r="V980" i="6"/>
  <c r="V1004" i="6"/>
  <c r="X1020" i="6"/>
  <c r="W1177" i="6"/>
  <c r="W1240" i="6"/>
  <c r="W1484" i="6"/>
  <c r="I1484" i="6"/>
  <c r="K1484" i="6" s="1"/>
  <c r="S98" i="5" s="1"/>
  <c r="K1522" i="6"/>
  <c r="Y100" i="5" s="1"/>
  <c r="AP100" i="5" s="1"/>
  <c r="J1522" i="6"/>
  <c r="K1581" i="6"/>
  <c r="T104" i="5" s="1"/>
  <c r="J1581" i="6"/>
  <c r="I1734" i="6"/>
  <c r="K1734" i="6" s="1"/>
  <c r="M114" i="5" s="1"/>
  <c r="W1885" i="6"/>
  <c r="V1895" i="6"/>
  <c r="V1957" i="6"/>
  <c r="W1979" i="6"/>
  <c r="I1979" i="6"/>
  <c r="W1988" i="6"/>
  <c r="J2045" i="6"/>
  <c r="J2057" i="6"/>
  <c r="K2057" i="6"/>
  <c r="P134" i="5" s="1"/>
  <c r="X2085" i="6"/>
  <c r="W2159" i="6"/>
  <c r="X2159" i="6"/>
  <c r="V2170" i="6"/>
  <c r="V2210" i="6"/>
  <c r="X2210" i="6"/>
  <c r="W2210" i="6"/>
  <c r="W2221" i="6"/>
  <c r="W2315" i="6"/>
  <c r="X2315" i="6"/>
  <c r="V2315" i="6"/>
  <c r="I2315" i="6"/>
  <c r="V2360" i="6"/>
  <c r="W2369" i="6"/>
  <c r="V2381" i="6"/>
  <c r="W2465" i="6"/>
  <c r="X2690" i="6"/>
  <c r="W2690" i="6"/>
  <c r="X3008" i="6"/>
  <c r="I3008" i="6"/>
  <c r="K3008" i="6" s="1"/>
  <c r="W193" i="5" s="1"/>
  <c r="V3008" i="6"/>
  <c r="K3073" i="6"/>
  <c r="X197" i="5" s="1"/>
  <c r="J3073" i="6"/>
  <c r="V3205" i="6"/>
  <c r="X3295" i="6"/>
  <c r="W3295" i="6"/>
  <c r="X3595" i="6"/>
  <c r="W3595" i="6"/>
  <c r="V3595" i="6"/>
  <c r="I679" i="6"/>
  <c r="W679" i="6"/>
  <c r="W709" i="6"/>
  <c r="X709" i="6"/>
  <c r="X796" i="6"/>
  <c r="W796" i="6"/>
  <c r="V1258" i="6"/>
  <c r="W1258" i="6"/>
  <c r="I1258" i="6"/>
  <c r="V1327" i="6"/>
  <c r="X1327" i="6"/>
  <c r="I1753" i="6"/>
  <c r="K1753" i="6" s="1"/>
  <c r="P115" i="5" s="1"/>
  <c r="X1753" i="6"/>
  <c r="W1753" i="6"/>
  <c r="W2097" i="6"/>
  <c r="I2097" i="6"/>
  <c r="V2097" i="6"/>
  <c r="J2316" i="6"/>
  <c r="K2316" i="6"/>
  <c r="S150" i="5" s="1"/>
  <c r="X2420" i="6"/>
  <c r="W2420" i="6"/>
  <c r="I2420" i="6"/>
  <c r="W2711" i="6"/>
  <c r="X2711" i="6"/>
  <c r="I2711" i="6"/>
  <c r="J2773" i="6"/>
  <c r="K2773" i="6"/>
  <c r="AB178" i="5" s="1"/>
  <c r="X2849" i="6"/>
  <c r="W2849" i="6"/>
  <c r="V2849" i="6"/>
  <c r="V2886" i="6"/>
  <c r="I2886" i="6"/>
  <c r="W2907" i="6"/>
  <c r="X2907" i="6"/>
  <c r="X2985" i="6"/>
  <c r="I2985" i="6"/>
  <c r="W2985" i="6"/>
  <c r="W3028" i="6"/>
  <c r="V3028" i="6"/>
  <c r="I3028" i="6"/>
  <c r="K3028" i="6" s="1"/>
  <c r="AA194" i="5" s="1"/>
  <c r="W3038" i="6"/>
  <c r="X3038" i="6"/>
  <c r="V3038" i="6"/>
  <c r="I3038" i="6"/>
  <c r="I3309" i="6"/>
  <c r="X3309" i="6"/>
  <c r="W3309" i="6"/>
  <c r="V3309" i="6"/>
  <c r="X3321" i="6"/>
  <c r="W3321" i="6"/>
  <c r="V3321" i="6"/>
  <c r="J3332" i="6"/>
  <c r="K3332" i="6"/>
  <c r="AA213" i="5" s="1"/>
  <c r="X3366" i="6"/>
  <c r="W3366" i="6"/>
  <c r="V3366" i="6"/>
  <c r="W3542" i="6"/>
  <c r="I3542" i="6"/>
  <c r="I3557" i="6"/>
  <c r="W3557" i="6"/>
  <c r="V3557" i="6"/>
  <c r="X715" i="6"/>
  <c r="I715" i="6"/>
  <c r="K715" i="6" s="1"/>
  <c r="R50" i="5" s="1"/>
  <c r="V1090" i="6"/>
  <c r="I1090" i="6"/>
  <c r="V1270" i="6"/>
  <c r="I1270" i="6"/>
  <c r="V1364" i="6"/>
  <c r="X1364" i="6"/>
  <c r="K1596" i="6"/>
  <c r="S105" i="5" s="1"/>
  <c r="J1596" i="6"/>
  <c r="X1651" i="6"/>
  <c r="W1651" i="6"/>
  <c r="I1690" i="6"/>
  <c r="X1690" i="6"/>
  <c r="V1801" i="6"/>
  <c r="X1801" i="6"/>
  <c r="V1822" i="6"/>
  <c r="X1822" i="6"/>
  <c r="I1822" i="6"/>
  <c r="K1905" i="6"/>
  <c r="X124" i="5" s="1"/>
  <c r="J1905" i="6"/>
  <c r="I2056" i="6"/>
  <c r="V2056" i="6"/>
  <c r="W2056" i="6"/>
  <c r="I2084" i="6"/>
  <c r="X2084" i="6"/>
  <c r="V2247" i="6"/>
  <c r="I2247" i="6"/>
  <c r="K2247" i="6" s="1"/>
  <c r="N146" i="5" s="1"/>
  <c r="X2247" i="6"/>
  <c r="W2247" i="6"/>
  <c r="X2353" i="6"/>
  <c r="W2353" i="6"/>
  <c r="X2395" i="6"/>
  <c r="V2395" i="6"/>
  <c r="W2436" i="6"/>
  <c r="V2436" i="6"/>
  <c r="V2631" i="6"/>
  <c r="W2631" i="6"/>
  <c r="I2631" i="6"/>
  <c r="V2691" i="6"/>
  <c r="W2691" i="6"/>
  <c r="W2835" i="6"/>
  <c r="I2835" i="6"/>
  <c r="X2835" i="6"/>
  <c r="V2835" i="6"/>
  <c r="I3177" i="6"/>
  <c r="V3177" i="6"/>
  <c r="X3177" i="6"/>
  <c r="W3177" i="6"/>
  <c r="I3420" i="6"/>
  <c r="W3420" i="6"/>
  <c r="X3443" i="6"/>
  <c r="W3443" i="6"/>
  <c r="V3528" i="6"/>
  <c r="I3528" i="6"/>
  <c r="J3528" i="6" s="1"/>
  <c r="J3555" i="6"/>
  <c r="K3555" i="6"/>
  <c r="Z227" i="5" s="1"/>
  <c r="I3669" i="6"/>
  <c r="K3669" i="6" s="1"/>
  <c r="AB234" i="5" s="1"/>
  <c r="X3669" i="6"/>
  <c r="W3669" i="6"/>
  <c r="V574" i="6"/>
  <c r="X574" i="6"/>
  <c r="V890" i="6"/>
  <c r="W890" i="6"/>
  <c r="V906" i="6"/>
  <c r="W906" i="6"/>
  <c r="K948" i="6"/>
  <c r="AA64" i="5" s="1"/>
  <c r="J948" i="6"/>
  <c r="V961" i="6"/>
  <c r="X961" i="6"/>
  <c r="W1092" i="6"/>
  <c r="I1092" i="6"/>
  <c r="V1153" i="6"/>
  <c r="X1153" i="6"/>
  <c r="K1298" i="6"/>
  <c r="Y86" i="5" s="1"/>
  <c r="J1298" i="6"/>
  <c r="J1313" i="6"/>
  <c r="K1313" i="6"/>
  <c r="X87" i="5" s="1"/>
  <c r="V1367" i="6"/>
  <c r="I1367" i="6"/>
  <c r="J1563" i="6"/>
  <c r="K1563" i="6"/>
  <c r="R103" i="5" s="1"/>
  <c r="K1582" i="6"/>
  <c r="U104" i="5" s="1"/>
  <c r="J1582" i="6"/>
  <c r="X1693" i="6"/>
  <c r="I1693" i="6"/>
  <c r="I1762" i="6"/>
  <c r="K1762" i="6" s="1"/>
  <c r="Y115" i="5" s="1"/>
  <c r="AQ115" i="5" s="1"/>
  <c r="X1762" i="6"/>
  <c r="I1795" i="6"/>
  <c r="W1795" i="6"/>
  <c r="V1852" i="6"/>
  <c r="I1852" i="6"/>
  <c r="J1852" i="6" s="1"/>
  <c r="I1947" i="6"/>
  <c r="I1986" i="6"/>
  <c r="V1986" i="6"/>
  <c r="J2061" i="6"/>
  <c r="V2293" i="6"/>
  <c r="I2293" i="6"/>
  <c r="X2293" i="6"/>
  <c r="V2334" i="6"/>
  <c r="X2334" i="6"/>
  <c r="W2334" i="6"/>
  <c r="W2448" i="6"/>
  <c r="X2448" i="6"/>
  <c r="I2448" i="6"/>
  <c r="I2460" i="6"/>
  <c r="K2460" i="6" s="1"/>
  <c r="S159" i="5" s="1"/>
  <c r="V2460" i="6"/>
  <c r="X2605" i="6"/>
  <c r="V2605" i="6"/>
  <c r="I2605" i="6"/>
  <c r="I2956" i="6"/>
  <c r="X2956" i="6"/>
  <c r="K2989" i="6"/>
  <c r="T192" i="5" s="1"/>
  <c r="J2989" i="6"/>
  <c r="J3030" i="6"/>
  <c r="K3030" i="6"/>
  <c r="M195" i="5" s="1"/>
  <c r="W3053" i="6"/>
  <c r="V3053" i="6"/>
  <c r="I3053" i="6"/>
  <c r="K3053" i="6" s="1"/>
  <c r="T196" i="5" s="1"/>
  <c r="X3097" i="6"/>
  <c r="V3097" i="6"/>
  <c r="X3127" i="6"/>
  <c r="W3127" i="6"/>
  <c r="I3127" i="6"/>
  <c r="V3127" i="6"/>
  <c r="J3204" i="6"/>
  <c r="K3204" i="6"/>
  <c r="AA205" i="5" s="1"/>
  <c r="V3255" i="6"/>
  <c r="I3255" i="6"/>
  <c r="W3316" i="6"/>
  <c r="I3316" i="6"/>
  <c r="X3316" i="6"/>
  <c r="V3316" i="6"/>
  <c r="I3350" i="6"/>
  <c r="X3350" i="6"/>
  <c r="W3350" i="6"/>
  <c r="I3661" i="6"/>
  <c r="X3661" i="6"/>
  <c r="I496" i="6"/>
  <c r="K561" i="6"/>
  <c r="X40" i="5" s="1"/>
  <c r="AO40" i="5" s="1"/>
  <c r="V568" i="6"/>
  <c r="W574" i="6"/>
  <c r="I590" i="6"/>
  <c r="K590" i="6" s="1"/>
  <c r="U42" i="5" s="1"/>
  <c r="J626" i="6"/>
  <c r="W641" i="6"/>
  <c r="V649" i="6"/>
  <c r="I649" i="6"/>
  <c r="W682" i="6"/>
  <c r="I702" i="6"/>
  <c r="K702" i="6" s="1"/>
  <c r="U49" i="5" s="1"/>
  <c r="AJ49" i="5" s="1"/>
  <c r="W710" i="6"/>
  <c r="I784" i="6"/>
  <c r="J791" i="6"/>
  <c r="K791" i="6"/>
  <c r="N55" i="5" s="1"/>
  <c r="V847" i="6"/>
  <c r="V854" i="6"/>
  <c r="W854" i="6"/>
  <c r="I862" i="6"/>
  <c r="K862" i="6" s="1"/>
  <c r="U59" i="5" s="1"/>
  <c r="J882" i="6"/>
  <c r="X890" i="6"/>
  <c r="X906" i="6"/>
  <c r="W920" i="6"/>
  <c r="J934" i="6"/>
  <c r="V941" i="6"/>
  <c r="W961" i="6"/>
  <c r="V975" i="6"/>
  <c r="I1026" i="6"/>
  <c r="W1062" i="6"/>
  <c r="V1092" i="6"/>
  <c r="J1100" i="6"/>
  <c r="V1112" i="6"/>
  <c r="W1153" i="6"/>
  <c r="I1169" i="6"/>
  <c r="K1220" i="6"/>
  <c r="AA81" i="5" s="1"/>
  <c r="V1257" i="6"/>
  <c r="V1289" i="6"/>
  <c r="V1321" i="6"/>
  <c r="W1367" i="6"/>
  <c r="V1465" i="6"/>
  <c r="V1473" i="6"/>
  <c r="V1537" i="6"/>
  <c r="W1629" i="6"/>
  <c r="V1693" i="6"/>
  <c r="V1710" i="6"/>
  <c r="W1710" i="6"/>
  <c r="V1721" i="6"/>
  <c r="X1744" i="6"/>
  <c r="W1762" i="6"/>
  <c r="V1795" i="6"/>
  <c r="W1825" i="6"/>
  <c r="V1888" i="6"/>
  <c r="W1888" i="6"/>
  <c r="W2156" i="6"/>
  <c r="J2216" i="6"/>
  <c r="K2216" i="6"/>
  <c r="O144" i="5" s="1"/>
  <c r="K2241" i="6"/>
  <c r="X145" i="5" s="1"/>
  <c r="W2293" i="6"/>
  <c r="V2448" i="6"/>
  <c r="V2471" i="6"/>
  <c r="I2471" i="6"/>
  <c r="K2471" i="6" s="1"/>
  <c r="N160" i="5" s="1"/>
  <c r="X2471" i="6"/>
  <c r="V2508" i="6"/>
  <c r="J2581" i="6"/>
  <c r="W2605" i="6"/>
  <c r="I2615" i="6"/>
  <c r="X2615" i="6"/>
  <c r="W2615" i="6"/>
  <c r="V2654" i="6"/>
  <c r="J2685" i="6"/>
  <c r="K2685" i="6"/>
  <c r="T173" i="5" s="1"/>
  <c r="W2743" i="6"/>
  <c r="V2743" i="6"/>
  <c r="X2743" i="6"/>
  <c r="J2775" i="6"/>
  <c r="W2796" i="6"/>
  <c r="I2796" i="6"/>
  <c r="V2838" i="6"/>
  <c r="W2871" i="6"/>
  <c r="I2871" i="6"/>
  <c r="V2956" i="6"/>
  <c r="X3030" i="6"/>
  <c r="W3030" i="6"/>
  <c r="V3030" i="6"/>
  <c r="X3053" i="6"/>
  <c r="X3064" i="6"/>
  <c r="I3064" i="6"/>
  <c r="K3064" i="6" s="1"/>
  <c r="O197" i="5" s="1"/>
  <c r="W3074" i="6"/>
  <c r="X3085" i="6"/>
  <c r="W3085" i="6"/>
  <c r="V3085" i="6"/>
  <c r="W3097" i="6"/>
  <c r="X3277" i="6"/>
  <c r="W3277" i="6"/>
  <c r="V3277" i="6"/>
  <c r="I3277" i="6"/>
  <c r="W3361" i="6"/>
  <c r="V3361" i="6"/>
  <c r="K3435" i="6"/>
  <c r="R220" i="5" s="1"/>
  <c r="X3469" i="6"/>
  <c r="I3469" i="6"/>
  <c r="V3469" i="6"/>
  <c r="X3545" i="6"/>
  <c r="W3545" i="6"/>
  <c r="V3545" i="6"/>
  <c r="K3637" i="6"/>
  <c r="AB232" i="5" s="1"/>
  <c r="V3661" i="6"/>
  <c r="I436" i="6"/>
  <c r="X436" i="6"/>
  <c r="V442" i="6"/>
  <c r="X442" i="6"/>
  <c r="W568" i="6"/>
  <c r="X641" i="6"/>
  <c r="X696" i="6"/>
  <c r="W696" i="6"/>
  <c r="V696" i="6"/>
  <c r="AH62" i="5"/>
  <c r="X920" i="6"/>
  <c r="W1019" i="6"/>
  <c r="X1062" i="6"/>
  <c r="W1070" i="6"/>
  <c r="X1092" i="6"/>
  <c r="W1112" i="6"/>
  <c r="I1118" i="6"/>
  <c r="V1131" i="6"/>
  <c r="V1139" i="6"/>
  <c r="I1192" i="6"/>
  <c r="J1192" i="6" s="1"/>
  <c r="I1274" i="6"/>
  <c r="I1283" i="6"/>
  <c r="J1283" i="6" s="1"/>
  <c r="W1298" i="6"/>
  <c r="K1305" i="6"/>
  <c r="P87" i="5" s="1"/>
  <c r="AF87" i="5" s="1"/>
  <c r="V1313" i="6"/>
  <c r="W1321" i="6"/>
  <c r="X1329" i="6"/>
  <c r="W1329" i="6"/>
  <c r="W1358" i="6"/>
  <c r="X1367" i="6"/>
  <c r="W1457" i="6"/>
  <c r="W1465" i="6"/>
  <c r="K1494" i="6"/>
  <c r="M99" i="5" s="1"/>
  <c r="J1528" i="6"/>
  <c r="W1537" i="6"/>
  <c r="V1591" i="6"/>
  <c r="V1619" i="6"/>
  <c r="I1619" i="6"/>
  <c r="X1619" i="6"/>
  <c r="X1629" i="6"/>
  <c r="X1683" i="6"/>
  <c r="W1683" i="6"/>
  <c r="W1693" i="6"/>
  <c r="X1728" i="6"/>
  <c r="J1781" i="6"/>
  <c r="X1795" i="6"/>
  <c r="I1806" i="6"/>
  <c r="X1825" i="6"/>
  <c r="X1888" i="6"/>
  <c r="V1899" i="6"/>
  <c r="I1899" i="6"/>
  <c r="J1899" i="6" s="1"/>
  <c r="X1909" i="6"/>
  <c r="K1930" i="6"/>
  <c r="Q126" i="5" s="1"/>
  <c r="J1930" i="6"/>
  <c r="J1967" i="6"/>
  <c r="X1986" i="6"/>
  <c r="J1995" i="6"/>
  <c r="V2061" i="6"/>
  <c r="W2140" i="6"/>
  <c r="I2140" i="6"/>
  <c r="I2175" i="6"/>
  <c r="J2175" i="6" s="1"/>
  <c r="V2175" i="6"/>
  <c r="X2175" i="6"/>
  <c r="V2206" i="6"/>
  <c r="W2206" i="6"/>
  <c r="V2216" i="6"/>
  <c r="W2225" i="6"/>
  <c r="I2225" i="6"/>
  <c r="K2225" i="6" s="1"/>
  <c r="X144" i="5" s="1"/>
  <c r="V2305" i="6"/>
  <c r="W2305" i="6"/>
  <c r="I2305" i="6"/>
  <c r="I2357" i="6"/>
  <c r="X2357" i="6"/>
  <c r="W2357" i="6"/>
  <c r="V2357" i="6"/>
  <c r="W2429" i="6"/>
  <c r="X2429" i="6"/>
  <c r="V2429" i="6"/>
  <c r="W2471" i="6"/>
  <c r="K2518" i="6"/>
  <c r="M163" i="5" s="1"/>
  <c r="J2518" i="6"/>
  <c r="V2615" i="6"/>
  <c r="V2636" i="6"/>
  <c r="W2654" i="6"/>
  <c r="V2685" i="6"/>
  <c r="X2685" i="6"/>
  <c r="V2727" i="6"/>
  <c r="W2775" i="6"/>
  <c r="X2775" i="6"/>
  <c r="V2796" i="6"/>
  <c r="V2871" i="6"/>
  <c r="W2956" i="6"/>
  <c r="V3064" i="6"/>
  <c r="I3193" i="6"/>
  <c r="X3193" i="6"/>
  <c r="W3204" i="6"/>
  <c r="X3255" i="6"/>
  <c r="I3278" i="6"/>
  <c r="K3278" i="6" s="1"/>
  <c r="U210" i="5" s="1"/>
  <c r="X3278" i="6"/>
  <c r="X3361" i="6"/>
  <c r="I3383" i="6"/>
  <c r="W3383" i="6"/>
  <c r="X3383" i="6"/>
  <c r="V3413" i="6"/>
  <c r="J3449" i="6"/>
  <c r="W3469" i="6"/>
  <c r="X3609" i="6"/>
  <c r="V3609" i="6"/>
  <c r="I3609" i="6"/>
  <c r="W3609" i="6"/>
  <c r="W3661" i="6"/>
  <c r="V991" i="6"/>
  <c r="X991" i="6"/>
  <c r="W991" i="6"/>
  <c r="I991" i="6"/>
  <c r="V998" i="6"/>
  <c r="I998" i="6"/>
  <c r="V1086" i="6"/>
  <c r="I1086" i="6"/>
  <c r="K1086" i="6" s="1"/>
  <c r="U73" i="5" s="1"/>
  <c r="V1154" i="6"/>
  <c r="I1154" i="6"/>
  <c r="W1228" i="6"/>
  <c r="I1228" i="6"/>
  <c r="V1250" i="6"/>
  <c r="I1250" i="6"/>
  <c r="K1250" i="6" s="1"/>
  <c r="Y83" i="5" s="1"/>
  <c r="X1729" i="6"/>
  <c r="I1729" i="6"/>
  <c r="J1729" i="6" s="1"/>
  <c r="V1772" i="6"/>
  <c r="X1772" i="6"/>
  <c r="I1772" i="6"/>
  <c r="I1835" i="6"/>
  <c r="X1835" i="6"/>
  <c r="W1835" i="6"/>
  <c r="W2120" i="6"/>
  <c r="I2120" i="6"/>
  <c r="X2120" i="6"/>
  <c r="X2325" i="6"/>
  <c r="W2325" i="6"/>
  <c r="V2325" i="6"/>
  <c r="X2336" i="6"/>
  <c r="I2336" i="6"/>
  <c r="W2498" i="6"/>
  <c r="X2498" i="6"/>
  <c r="J2509" i="6"/>
  <c r="K2509" i="6"/>
  <c r="T162" i="5" s="1"/>
  <c r="I2527" i="6"/>
  <c r="K2527" i="6" s="1"/>
  <c r="V163" i="5" s="1"/>
  <c r="X2527" i="6"/>
  <c r="W2527" i="6"/>
  <c r="V2527" i="6"/>
  <c r="I2538" i="6"/>
  <c r="X2538" i="6"/>
  <c r="W2538" i="6"/>
  <c r="V2538" i="6"/>
  <c r="X2809" i="6"/>
  <c r="W2809" i="6"/>
  <c r="W2839" i="6"/>
  <c r="V2839" i="6"/>
  <c r="I2839" i="6"/>
  <c r="X2839" i="6"/>
  <c r="K2905" i="6"/>
  <c r="P187" i="5" s="1"/>
  <c r="J2905" i="6"/>
  <c r="I2914" i="6"/>
  <c r="X2914" i="6"/>
  <c r="W2914" i="6"/>
  <c r="W3217" i="6"/>
  <c r="I3217" i="6"/>
  <c r="X3217" i="6"/>
  <c r="X3269" i="6"/>
  <c r="W3269" i="6"/>
  <c r="V3269" i="6"/>
  <c r="W3560" i="6"/>
  <c r="V3560" i="6"/>
  <c r="I3560" i="6"/>
  <c r="I3610" i="6"/>
  <c r="W3610" i="6"/>
  <c r="V3610" i="6"/>
  <c r="X3649" i="6"/>
  <c r="W3649" i="6"/>
  <c r="V3649" i="6"/>
  <c r="I943" i="6"/>
  <c r="W943" i="6"/>
  <c r="W1221" i="6"/>
  <c r="I1221" i="6"/>
  <c r="W1554" i="6"/>
  <c r="V1554" i="6"/>
  <c r="V1638" i="6"/>
  <c r="I1638" i="6"/>
  <c r="X2236" i="6"/>
  <c r="V2236" i="6"/>
  <c r="I2236" i="6"/>
  <c r="W2313" i="6"/>
  <c r="I2313" i="6"/>
  <c r="X2313" i="6"/>
  <c r="J2365" i="6"/>
  <c r="K2365" i="6"/>
  <c r="T153" i="5" s="1"/>
  <c r="V2401" i="6"/>
  <c r="X2401" i="6"/>
  <c r="J2433" i="6"/>
  <c r="K2433" i="6"/>
  <c r="X157" i="5" s="1"/>
  <c r="V2452" i="6"/>
  <c r="I2452" i="6"/>
  <c r="K2452" i="6" s="1"/>
  <c r="AA158" i="5" s="1"/>
  <c r="X2452" i="6"/>
  <c r="X2516" i="6"/>
  <c r="W2516" i="6"/>
  <c r="I2577" i="6"/>
  <c r="K2577" i="6" s="1"/>
  <c r="X166" i="5" s="1"/>
  <c r="X2577" i="6"/>
  <c r="W2577" i="6"/>
  <c r="V2577" i="6"/>
  <c r="X2637" i="6"/>
  <c r="W2637" i="6"/>
  <c r="V2637" i="6"/>
  <c r="X3090" i="6"/>
  <c r="V3090" i="6"/>
  <c r="I3228" i="6"/>
  <c r="X3228" i="6"/>
  <c r="W3228" i="6"/>
  <c r="K3301" i="6"/>
  <c r="AB211" i="5" s="1"/>
  <c r="J3301" i="6"/>
  <c r="W3365" i="6"/>
  <c r="V3365" i="6"/>
  <c r="X3365" i="6"/>
  <c r="K3462" i="6"/>
  <c r="M222" i="5" s="1"/>
  <c r="J3462" i="6"/>
  <c r="V3596" i="6"/>
  <c r="X3596" i="6"/>
  <c r="V614" i="6"/>
  <c r="X614" i="6"/>
  <c r="W891" i="6"/>
  <c r="V891" i="6"/>
  <c r="V1162" i="6"/>
  <c r="I1162" i="6"/>
  <c r="I1378" i="6"/>
  <c r="I1411" i="6"/>
  <c r="X1455" i="6"/>
  <c r="I1455" i="6"/>
  <c r="J1455" i="6" s="1"/>
  <c r="K1471" i="6"/>
  <c r="V97" i="5" s="1"/>
  <c r="J1471" i="6"/>
  <c r="I1633" i="6"/>
  <c r="I1665" i="6"/>
  <c r="K1665" i="6" s="1"/>
  <c r="X109" i="5" s="1"/>
  <c r="I1747" i="6"/>
  <c r="I1793" i="6"/>
  <c r="J1793" i="6" s="1"/>
  <c r="W1915" i="6"/>
  <c r="X1915" i="6"/>
  <c r="V1915" i="6"/>
  <c r="K2041" i="6"/>
  <c r="P133" i="5" s="1"/>
  <c r="J2041" i="6"/>
  <c r="I2066" i="6"/>
  <c r="X2081" i="6"/>
  <c r="W2081" i="6"/>
  <c r="V2149" i="6"/>
  <c r="I2149" i="6"/>
  <c r="I2223" i="6"/>
  <c r="I2238" i="6"/>
  <c r="W2238" i="6"/>
  <c r="V2238" i="6"/>
  <c r="X2238" i="6"/>
  <c r="X2557" i="6"/>
  <c r="I2557" i="6"/>
  <c r="I2593" i="6"/>
  <c r="J2593" i="6" s="1"/>
  <c r="I2726" i="6"/>
  <c r="X2741" i="6"/>
  <c r="W2741" i="6"/>
  <c r="I2814" i="6"/>
  <c r="K2814" i="6" s="1"/>
  <c r="U181" i="5" s="1"/>
  <c r="X2873" i="6"/>
  <c r="W2873" i="6"/>
  <c r="I2946" i="6"/>
  <c r="X2946" i="6"/>
  <c r="I3001" i="6"/>
  <c r="I3104" i="6"/>
  <c r="W3104" i="6"/>
  <c r="V3104" i="6"/>
  <c r="V3257" i="6"/>
  <c r="I3257" i="6"/>
  <c r="X3257" i="6"/>
  <c r="W3257" i="6"/>
  <c r="K3421" i="6"/>
  <c r="T219" i="5" s="1"/>
  <c r="J3421" i="6"/>
  <c r="I3454" i="6"/>
  <c r="X3454" i="6"/>
  <c r="W3454" i="6"/>
  <c r="V3526" i="6"/>
  <c r="I3526" i="6"/>
  <c r="I1281" i="6"/>
  <c r="V1281" i="6"/>
  <c r="V1287" i="6"/>
  <c r="I1287" i="6"/>
  <c r="K1357" i="6"/>
  <c r="T90" i="5" s="1"/>
  <c r="X1889" i="6"/>
  <c r="W1889" i="6"/>
  <c r="X2268" i="6"/>
  <c r="W2268" i="6"/>
  <c r="W2329" i="6"/>
  <c r="I2329" i="6"/>
  <c r="W2377" i="6"/>
  <c r="V2377" i="6"/>
  <c r="I2377" i="6"/>
  <c r="X2455" i="6"/>
  <c r="W2455" i="6"/>
  <c r="V2455" i="6"/>
  <c r="K2687" i="6"/>
  <c r="V173" i="5" s="1"/>
  <c r="J2687" i="6"/>
  <c r="V2697" i="6"/>
  <c r="I2697" i="6"/>
  <c r="V2716" i="6"/>
  <c r="X2716" i="6"/>
  <c r="K2781" i="6"/>
  <c r="T179" i="5" s="1"/>
  <c r="J2781" i="6"/>
  <c r="X3081" i="6"/>
  <c r="W3081" i="6"/>
  <c r="I3081" i="6"/>
  <c r="I3094" i="6"/>
  <c r="K3094" i="6" s="1"/>
  <c r="M199" i="5" s="1"/>
  <c r="X3114" i="6"/>
  <c r="W3114" i="6"/>
  <c r="V3114" i="6"/>
  <c r="X3207" i="6"/>
  <c r="W3207" i="6"/>
  <c r="V3207" i="6"/>
  <c r="W3220" i="6"/>
  <c r="X3220" i="6"/>
  <c r="I3220" i="6"/>
  <c r="V3304" i="6"/>
  <c r="I3304" i="6"/>
  <c r="K3304" i="6" s="1"/>
  <c r="O212" i="5" s="1"/>
  <c r="X3304" i="6"/>
  <c r="W3304" i="6"/>
  <c r="K3400" i="6"/>
  <c r="O218" i="5" s="1"/>
  <c r="J3400" i="6"/>
  <c r="J3477" i="6"/>
  <c r="K3477" i="6"/>
  <c r="AB222" i="5" s="1"/>
  <c r="K1446" i="6"/>
  <c r="M96" i="5" s="1"/>
  <c r="J1446" i="6"/>
  <c r="J1607" i="6"/>
  <c r="V1647" i="6"/>
  <c r="V1665" i="6"/>
  <c r="W1681" i="6"/>
  <c r="K1707" i="6"/>
  <c r="R112" i="5" s="1"/>
  <c r="J1707" i="6"/>
  <c r="V1715" i="6"/>
  <c r="V1747" i="6"/>
  <c r="W1793" i="6"/>
  <c r="J1857" i="6"/>
  <c r="X1866" i="6"/>
  <c r="V1889" i="6"/>
  <c r="I1907" i="6"/>
  <c r="V1907" i="6"/>
  <c r="W1961" i="6"/>
  <c r="X1961" i="6"/>
  <c r="V1961" i="6"/>
  <c r="J2033" i="6"/>
  <c r="K2033" i="6"/>
  <c r="X132" i="5" s="1"/>
  <c r="W2057" i="6"/>
  <c r="W2102" i="6"/>
  <c r="J2195" i="6"/>
  <c r="V2223" i="6"/>
  <c r="V2268" i="6"/>
  <c r="V2329" i="6"/>
  <c r="W2368" i="6"/>
  <c r="I2368" i="6"/>
  <c r="X2377" i="6"/>
  <c r="I2484" i="6"/>
  <c r="V2484" i="6"/>
  <c r="X2484" i="6"/>
  <c r="I2492" i="6"/>
  <c r="X2492" i="6"/>
  <c r="K2529" i="6"/>
  <c r="X163" i="5" s="1"/>
  <c r="W2593" i="6"/>
  <c r="W2622" i="6"/>
  <c r="I2622" i="6"/>
  <c r="V2622" i="6"/>
  <c r="X2669" i="6"/>
  <c r="W2669" i="6"/>
  <c r="W2697" i="6"/>
  <c r="W2716" i="6"/>
  <c r="V2726" i="6"/>
  <c r="X2734" i="6"/>
  <c r="I2734" i="6"/>
  <c r="J2734" i="6" s="1"/>
  <c r="K2742" i="6"/>
  <c r="M177" i="5" s="1"/>
  <c r="J2742" i="6"/>
  <c r="K2853" i="6"/>
  <c r="AB183" i="5" s="1"/>
  <c r="J2853" i="6"/>
  <c r="X2979" i="6"/>
  <c r="I2979" i="6"/>
  <c r="W3052" i="6"/>
  <c r="I3052" i="6"/>
  <c r="I3173" i="6"/>
  <c r="W3173" i="6"/>
  <c r="V3173" i="6"/>
  <c r="W3338" i="6"/>
  <c r="X3338" i="6"/>
  <c r="J3360" i="6"/>
  <c r="K3360" i="6"/>
  <c r="W215" i="5" s="1"/>
  <c r="I3490" i="6"/>
  <c r="K3490" i="6" s="1"/>
  <c r="Y223" i="5" s="1"/>
  <c r="X3490" i="6"/>
  <c r="W3490" i="6"/>
  <c r="K3517" i="6"/>
  <c r="T225" i="5" s="1"/>
  <c r="J3517" i="6"/>
  <c r="X3537" i="6"/>
  <c r="W3537" i="6"/>
  <c r="I3537" i="6"/>
  <c r="K3537" i="6" s="1"/>
  <c r="X226" i="5" s="1"/>
  <c r="J3551" i="6"/>
  <c r="K3551" i="6"/>
  <c r="V227" i="5" s="1"/>
  <c r="I3577" i="6"/>
  <c r="W3577" i="6"/>
  <c r="V3577" i="6"/>
  <c r="X3577" i="6"/>
  <c r="X3613" i="6"/>
  <c r="W3613" i="6"/>
  <c r="V3613" i="6"/>
  <c r="V870" i="6"/>
  <c r="X870" i="6"/>
  <c r="V884" i="6"/>
  <c r="I884" i="6"/>
  <c r="X1184" i="6"/>
  <c r="X1281" i="6"/>
  <c r="X1294" i="6"/>
  <c r="W1308" i="6"/>
  <c r="V1357" i="6"/>
  <c r="X1378" i="6"/>
  <c r="V1411" i="6"/>
  <c r="K1439" i="6"/>
  <c r="V95" i="5" s="1"/>
  <c r="J1439" i="6"/>
  <c r="W1446" i="6"/>
  <c r="X1497" i="6"/>
  <c r="W1564" i="6"/>
  <c r="W1596" i="6"/>
  <c r="X1647" i="6"/>
  <c r="X1681" i="6"/>
  <c r="W1707" i="6"/>
  <c r="W1715" i="6"/>
  <c r="W1740" i="6"/>
  <c r="W1756" i="6"/>
  <c r="X1793" i="6"/>
  <c r="V1830" i="6"/>
  <c r="X1830" i="6"/>
  <c r="V1857" i="6"/>
  <c r="X1857" i="6"/>
  <c r="W1857" i="6"/>
  <c r="W1907" i="6"/>
  <c r="K1917" i="6"/>
  <c r="T125" i="5" s="1"/>
  <c r="V1953" i="6"/>
  <c r="J1996" i="6"/>
  <c r="K1996" i="6"/>
  <c r="S130" i="5" s="1"/>
  <c r="X2057" i="6"/>
  <c r="X2223" i="6"/>
  <c r="X2248" i="6"/>
  <c r="X2329" i="6"/>
  <c r="V2368" i="6"/>
  <c r="W2389" i="6"/>
  <c r="X2389" i="6"/>
  <c r="V2389" i="6"/>
  <c r="K2406" i="6"/>
  <c r="M156" i="5" s="1"/>
  <c r="J2406" i="6"/>
  <c r="W2456" i="6"/>
  <c r="X2456" i="6"/>
  <c r="I2456" i="6"/>
  <c r="W2484" i="6"/>
  <c r="W2492" i="6"/>
  <c r="V2501" i="6"/>
  <c r="X2593" i="6"/>
  <c r="X2622" i="6"/>
  <c r="V2669" i="6"/>
  <c r="X2697" i="6"/>
  <c r="V2734" i="6"/>
  <c r="J2760" i="6"/>
  <c r="W2814" i="6"/>
  <c r="J2937" i="6"/>
  <c r="V2979" i="6"/>
  <c r="W2989" i="6"/>
  <c r="V3052" i="6"/>
  <c r="W3154" i="6"/>
  <c r="I3154" i="6"/>
  <c r="K3154" i="6" s="1"/>
  <c r="Y202" i="5" s="1"/>
  <c r="V3154" i="6"/>
  <c r="X3154" i="6"/>
  <c r="X3173" i="6"/>
  <c r="V3231" i="6"/>
  <c r="V3338" i="6"/>
  <c r="W3360" i="6"/>
  <c r="J3371" i="6"/>
  <c r="K3371" i="6"/>
  <c r="R216" i="5" s="1"/>
  <c r="X3380" i="6"/>
  <c r="W3380" i="6"/>
  <c r="V3380" i="6"/>
  <c r="J3391" i="6"/>
  <c r="K3391" i="6"/>
  <c r="V217" i="5" s="1"/>
  <c r="V3490" i="6"/>
  <c r="V3537" i="6"/>
  <c r="K1538" i="6"/>
  <c r="Y101" i="5" s="1"/>
  <c r="J1538" i="6"/>
  <c r="V1773" i="6"/>
  <c r="I1773" i="6"/>
  <c r="X1773" i="6"/>
  <c r="W1773" i="6"/>
  <c r="V1948" i="6"/>
  <c r="X1948" i="6"/>
  <c r="X2106" i="6"/>
  <c r="I2106" i="6"/>
  <c r="W2134" i="6"/>
  <c r="V2134" i="6"/>
  <c r="I2184" i="6"/>
  <c r="V2184" i="6"/>
  <c r="X2224" i="6"/>
  <c r="W2224" i="6"/>
  <c r="V2224" i="6"/>
  <c r="J2466" i="6"/>
  <c r="K2466" i="6"/>
  <c r="Y159" i="5" s="1"/>
  <c r="I2701" i="6"/>
  <c r="W2701" i="6"/>
  <c r="K2752" i="6"/>
  <c r="W177" i="5" s="1"/>
  <c r="J2752" i="6"/>
  <c r="I2891" i="6"/>
  <c r="V2891" i="6"/>
  <c r="W2891" i="6"/>
  <c r="W2928" i="6"/>
  <c r="I2928" i="6"/>
  <c r="W2937" i="6"/>
  <c r="X2937" i="6"/>
  <c r="W3117" i="6"/>
  <c r="I3117" i="6"/>
  <c r="X3254" i="6"/>
  <c r="V3254" i="6"/>
  <c r="W3254" i="6"/>
  <c r="X3313" i="6"/>
  <c r="W3313" i="6"/>
  <c r="J3323" i="6"/>
  <c r="K3323" i="6"/>
  <c r="R213" i="5" s="1"/>
  <c r="J3364" i="6"/>
  <c r="K3364" i="6"/>
  <c r="AA215" i="5" s="1"/>
  <c r="W3405" i="6"/>
  <c r="X3405" i="6"/>
  <c r="X3467" i="6"/>
  <c r="W3467" i="6"/>
  <c r="W3505" i="6"/>
  <c r="V3505" i="6"/>
  <c r="I3505" i="6"/>
  <c r="X3561" i="6"/>
  <c r="W3561" i="6"/>
  <c r="V3561" i="6"/>
  <c r="W3689" i="6"/>
  <c r="V3689" i="6"/>
  <c r="I3728" i="6"/>
  <c r="X3728" i="6"/>
  <c r="W3728" i="6"/>
  <c r="V3728" i="6"/>
  <c r="X1985" i="6"/>
  <c r="W1985" i="6"/>
  <c r="X2110" i="6"/>
  <c r="I2110" i="6"/>
  <c r="K2110" i="6" s="1"/>
  <c r="U137" i="5" s="1"/>
  <c r="I2203" i="6"/>
  <c r="K2203" i="6" s="1"/>
  <c r="R143" i="5" s="1"/>
  <c r="I2380" i="6"/>
  <c r="I2415" i="6"/>
  <c r="I2486" i="6"/>
  <c r="W2486" i="6"/>
  <c r="I2503" i="6"/>
  <c r="X2503" i="6"/>
  <c r="W2823" i="6"/>
  <c r="I2823" i="6"/>
  <c r="I2942" i="6"/>
  <c r="J2942" i="6" s="1"/>
  <c r="W2942" i="6"/>
  <c r="W2961" i="6"/>
  <c r="I2961" i="6"/>
  <c r="I3039" i="6"/>
  <c r="I3138" i="6"/>
  <c r="J3280" i="6"/>
  <c r="K3280" i="6"/>
  <c r="W210" i="5" s="1"/>
  <c r="W3481" i="6"/>
  <c r="V3481" i="6"/>
  <c r="I3481" i="6"/>
  <c r="X3481" i="6"/>
  <c r="J3554" i="6"/>
  <c r="K3554" i="6"/>
  <c r="Y227" i="5" s="1"/>
  <c r="I2121" i="6"/>
  <c r="J2121" i="6" s="1"/>
  <c r="I2187" i="6"/>
  <c r="X2187" i="6"/>
  <c r="I2299" i="6"/>
  <c r="X2299" i="6"/>
  <c r="W2299" i="6"/>
  <c r="V2299" i="6"/>
  <c r="W2512" i="6"/>
  <c r="X2512" i="6"/>
  <c r="V2512" i="6"/>
  <c r="K2617" i="6"/>
  <c r="P169" i="5" s="1"/>
  <c r="J2617" i="6"/>
  <c r="V2634" i="6"/>
  <c r="X2634" i="6"/>
  <c r="I2679" i="6"/>
  <c r="W2679" i="6"/>
  <c r="V2679" i="6"/>
  <c r="V2713" i="6"/>
  <c r="X2713" i="6"/>
  <c r="W2713" i="6"/>
  <c r="V2785" i="6"/>
  <c r="I2785" i="6"/>
  <c r="I2833" i="6"/>
  <c r="V2833" i="6"/>
  <c r="V2931" i="6"/>
  <c r="W2931" i="6"/>
  <c r="I2931" i="6"/>
  <c r="X2951" i="6"/>
  <c r="W2951" i="6"/>
  <c r="V2951" i="6"/>
  <c r="X3049" i="6"/>
  <c r="W3049" i="6"/>
  <c r="K3079" i="6"/>
  <c r="N198" i="5" s="1"/>
  <c r="J3079" i="6"/>
  <c r="X3148" i="6"/>
  <c r="W3148" i="6"/>
  <c r="I3495" i="6"/>
  <c r="W3600" i="6"/>
  <c r="V3600" i="6"/>
  <c r="I3600" i="6"/>
  <c r="X3600" i="6"/>
  <c r="X3624" i="6"/>
  <c r="I3624" i="6"/>
  <c r="K3624" i="6" s="1"/>
  <c r="O232" i="5" s="1"/>
  <c r="W3624" i="6"/>
  <c r="V2187" i="6"/>
  <c r="V2203" i="6"/>
  <c r="X2213" i="6"/>
  <c r="I2213" i="6"/>
  <c r="V2345" i="6"/>
  <c r="X2345" i="6"/>
  <c r="W2345" i="6"/>
  <c r="V2380" i="6"/>
  <c r="W2415" i="6"/>
  <c r="V2422" i="6"/>
  <c r="K2443" i="6"/>
  <c r="R158" i="5" s="1"/>
  <c r="J2443" i="6"/>
  <c r="I2461" i="6"/>
  <c r="V2461" i="6"/>
  <c r="X2495" i="6"/>
  <c r="W2495" i="6"/>
  <c r="V2495" i="6"/>
  <c r="K2556" i="6"/>
  <c r="S165" i="5" s="1"/>
  <c r="K2589" i="6"/>
  <c r="T167" i="5" s="1"/>
  <c r="W2634" i="6"/>
  <c r="X2679" i="6"/>
  <c r="J2686" i="6"/>
  <c r="J2732" i="6"/>
  <c r="K2732" i="6"/>
  <c r="S176" i="5" s="1"/>
  <c r="K2739" i="6"/>
  <c r="Z176" i="5" s="1"/>
  <c r="J2739" i="6"/>
  <c r="W2785" i="6"/>
  <c r="V2806" i="6"/>
  <c r="W2806" i="6"/>
  <c r="W2833" i="6"/>
  <c r="J2913" i="6"/>
  <c r="X2931" i="6"/>
  <c r="I2982" i="6"/>
  <c r="X2982" i="6"/>
  <c r="W2982" i="6"/>
  <c r="K2992" i="6"/>
  <c r="W192" i="5" s="1"/>
  <c r="V3049" i="6"/>
  <c r="X3222" i="6"/>
  <c r="W3222" i="6"/>
  <c r="J3281" i="6"/>
  <c r="K3281" i="6"/>
  <c r="X210" i="5" s="1"/>
  <c r="AP210" i="5" s="1"/>
  <c r="W3461" i="6"/>
  <c r="V3461" i="6"/>
  <c r="I3461" i="6"/>
  <c r="W3540" i="6"/>
  <c r="I3540" i="6"/>
  <c r="W3554" i="6"/>
  <c r="V3624" i="6"/>
  <c r="I1977" i="6"/>
  <c r="X1977" i="6"/>
  <c r="W1977" i="6"/>
  <c r="X2002" i="6"/>
  <c r="I2002" i="6"/>
  <c r="V2146" i="6"/>
  <c r="V2153" i="6"/>
  <c r="V2169" i="6"/>
  <c r="W2187" i="6"/>
  <c r="X2203" i="6"/>
  <c r="V2213" i="6"/>
  <c r="W2220" i="6"/>
  <c r="X2220" i="6"/>
  <c r="W2228" i="6"/>
  <c r="V2243" i="6"/>
  <c r="W2243" i="6"/>
  <c r="W2300" i="6"/>
  <c r="W2380" i="6"/>
  <c r="X2415" i="6"/>
  <c r="V2443" i="6"/>
  <c r="W2461" i="6"/>
  <c r="W2487" i="6"/>
  <c r="I2487" i="6"/>
  <c r="V2546" i="6"/>
  <c r="W2578" i="6"/>
  <c r="V2626" i="6"/>
  <c r="X2732" i="6"/>
  <c r="W2732" i="6"/>
  <c r="I2747" i="6"/>
  <c r="X2747" i="6"/>
  <c r="X2785" i="6"/>
  <c r="X2806" i="6"/>
  <c r="X2833" i="6"/>
  <c r="X2861" i="6"/>
  <c r="W2861" i="6"/>
  <c r="V2861" i="6"/>
  <c r="J2895" i="6"/>
  <c r="X2913" i="6"/>
  <c r="W2913" i="6"/>
  <c r="I2921" i="6"/>
  <c r="J2921" i="6" s="1"/>
  <c r="X2921" i="6"/>
  <c r="W2921" i="6"/>
  <c r="V2921" i="6"/>
  <c r="V2982" i="6"/>
  <c r="X3029" i="6"/>
  <c r="K3040" i="6"/>
  <c r="W195" i="5" s="1"/>
  <c r="J3040" i="6"/>
  <c r="V3121" i="6"/>
  <c r="X3121" i="6"/>
  <c r="W3121" i="6"/>
  <c r="K3129" i="6"/>
  <c r="P201" i="5" s="1"/>
  <c r="J3129" i="6"/>
  <c r="K3159" i="6"/>
  <c r="N203" i="5" s="1"/>
  <c r="J3159" i="6"/>
  <c r="V3222" i="6"/>
  <c r="J3271" i="6"/>
  <c r="K3271" i="6"/>
  <c r="N210" i="5" s="1"/>
  <c r="V3281" i="6"/>
  <c r="X3305" i="6"/>
  <c r="V3305" i="6"/>
  <c r="X3327" i="6"/>
  <c r="I3327" i="6"/>
  <c r="W3327" i="6"/>
  <c r="X3347" i="6"/>
  <c r="J3357" i="6"/>
  <c r="K3357" i="6"/>
  <c r="T215" i="5" s="1"/>
  <c r="X3461" i="6"/>
  <c r="V3510" i="6"/>
  <c r="V3540" i="6"/>
  <c r="X3554" i="6"/>
  <c r="W3640" i="6"/>
  <c r="V3640" i="6"/>
  <c r="X3065" i="6"/>
  <c r="W3065" i="6"/>
  <c r="I3197" i="6"/>
  <c r="K3197" i="6" s="1"/>
  <c r="T205" i="5" s="1"/>
  <c r="X3197" i="6"/>
  <c r="W3197" i="6"/>
  <c r="W3275" i="6"/>
  <c r="I3275" i="6"/>
  <c r="K3275" i="6" s="1"/>
  <c r="R210" i="5" s="1"/>
  <c r="V3299" i="6"/>
  <c r="I3299" i="6"/>
  <c r="X3429" i="6"/>
  <c r="I3429" i="6"/>
  <c r="I3501" i="6"/>
  <c r="W3501" i="6"/>
  <c r="X3513" i="6"/>
  <c r="W3513" i="6"/>
  <c r="I3513" i="6"/>
  <c r="V3513" i="6"/>
  <c r="X3626" i="6"/>
  <c r="W3626" i="6"/>
  <c r="V3626" i="6"/>
  <c r="V3652" i="6"/>
  <c r="I3652" i="6"/>
  <c r="J3652" i="6" s="1"/>
  <c r="W3673" i="6"/>
  <c r="I3673" i="6"/>
  <c r="X3673" i="6"/>
  <c r="V3716" i="6"/>
  <c r="I3716" i="6"/>
  <c r="K3716" i="6" s="1"/>
  <c r="AA237" i="5" s="1"/>
  <c r="V666" i="6"/>
  <c r="W666" i="6"/>
  <c r="V1350" i="6"/>
  <c r="X1350" i="6"/>
  <c r="V1849" i="6"/>
  <c r="X1849" i="6"/>
  <c r="X2409" i="6"/>
  <c r="V2409" i="6"/>
  <c r="W2524" i="6"/>
  <c r="X2524" i="6"/>
  <c r="V2524" i="6"/>
  <c r="X2768" i="6"/>
  <c r="W2768" i="6"/>
  <c r="I2815" i="6"/>
  <c r="W2815" i="6"/>
  <c r="V2964" i="6"/>
  <c r="I2964" i="6"/>
  <c r="V3065" i="6"/>
  <c r="J3095" i="6"/>
  <c r="V3103" i="6"/>
  <c r="V3197" i="6"/>
  <c r="K3266" i="6"/>
  <c r="Y209" i="5" s="1"/>
  <c r="AO209" i="5" s="1"/>
  <c r="J3266" i="6"/>
  <c r="V3275" i="6"/>
  <c r="W3299" i="6"/>
  <c r="V3329" i="6"/>
  <c r="W3357" i="6"/>
  <c r="X3357" i="6"/>
  <c r="I3368" i="6"/>
  <c r="X3368" i="6"/>
  <c r="V3397" i="6"/>
  <c r="I3397" i="6"/>
  <c r="W3397" i="6"/>
  <c r="V3429" i="6"/>
  <c r="X3489" i="6"/>
  <c r="V3489" i="6"/>
  <c r="W3489" i="6"/>
  <c r="V3501" i="6"/>
  <c r="W3652" i="6"/>
  <c r="V3673" i="6"/>
  <c r="W3716" i="6"/>
  <c r="K2421" i="6"/>
  <c r="AB156" i="5" s="1"/>
  <c r="J2421" i="6"/>
  <c r="X2488" i="6"/>
  <c r="W2488" i="6"/>
  <c r="X2696" i="6"/>
  <c r="I2696" i="6"/>
  <c r="K2696" i="6" s="1"/>
  <c r="O174" i="5" s="1"/>
  <c r="W2696" i="6"/>
  <c r="V2903" i="6"/>
  <c r="X2903" i="6"/>
  <c r="W3078" i="6"/>
  <c r="I3078" i="6"/>
  <c r="I3224" i="6"/>
  <c r="X3224" i="6"/>
  <c r="W3224" i="6"/>
  <c r="V3279" i="6"/>
  <c r="I3279" i="6"/>
  <c r="J1498" i="6"/>
  <c r="K1498" i="6"/>
  <c r="Q99" i="5" s="1"/>
  <c r="AG99" i="5" s="1"/>
  <c r="K1505" i="6"/>
  <c r="X99" i="5" s="1"/>
  <c r="AQ99" i="5" s="1"/>
  <c r="J1505" i="6"/>
  <c r="X1743" i="6"/>
  <c r="V1743" i="6"/>
  <c r="X1759" i="6"/>
  <c r="V1759" i="6"/>
  <c r="J2218" i="6"/>
  <c r="J2256" i="6"/>
  <c r="X2307" i="6"/>
  <c r="W2307" i="6"/>
  <c r="V2307" i="6"/>
  <c r="J2317" i="6"/>
  <c r="W2348" i="6"/>
  <c r="X2404" i="6"/>
  <c r="V2421" i="6"/>
  <c r="J2473" i="6"/>
  <c r="V2488" i="6"/>
  <c r="V2519" i="6"/>
  <c r="V2601" i="6"/>
  <c r="I2601" i="6"/>
  <c r="X2641" i="6"/>
  <c r="I2641" i="6"/>
  <c r="V2649" i="6"/>
  <c r="V2655" i="6"/>
  <c r="K2682" i="6"/>
  <c r="Q173" i="5" s="1"/>
  <c r="V2696" i="6"/>
  <c r="J2745" i="6"/>
  <c r="X2773" i="6"/>
  <c r="W2773" i="6"/>
  <c r="V2773" i="6"/>
  <c r="V2800" i="6"/>
  <c r="I2800" i="6"/>
  <c r="W2800" i="6"/>
  <c r="K2872" i="6"/>
  <c r="O185" i="5" s="1"/>
  <c r="W2903" i="6"/>
  <c r="K2919" i="6"/>
  <c r="N188" i="5" s="1"/>
  <c r="AD188" i="5" s="1"/>
  <c r="J2919" i="6"/>
  <c r="V2929" i="6"/>
  <c r="K2947" i="6"/>
  <c r="Z189" i="5" s="1"/>
  <c r="J2947" i="6"/>
  <c r="X2969" i="6"/>
  <c r="I2969" i="6"/>
  <c r="W2996" i="6"/>
  <c r="V3021" i="6"/>
  <c r="V3078" i="6"/>
  <c r="W3089" i="6"/>
  <c r="V3089" i="6"/>
  <c r="I3089" i="6"/>
  <c r="I3202" i="6"/>
  <c r="W3202" i="6"/>
  <c r="X3202" i="6"/>
  <c r="V3202" i="6"/>
  <c r="V3224" i="6"/>
  <c r="W3279" i="6"/>
  <c r="K3292" i="6"/>
  <c r="S211" i="5" s="1"/>
  <c r="J3292" i="6"/>
  <c r="W3444" i="6"/>
  <c r="V3444" i="6"/>
  <c r="I3444" i="6"/>
  <c r="J3444" i="6" s="1"/>
  <c r="X3444" i="6"/>
  <c r="V3462" i="6"/>
  <c r="X3551" i="6"/>
  <c r="W3551" i="6"/>
  <c r="K3633" i="6"/>
  <c r="X232" i="5" s="1"/>
  <c r="J3645" i="6"/>
  <c r="K3645" i="6"/>
  <c r="T233" i="5" s="1"/>
  <c r="V3657" i="6"/>
  <c r="J3686" i="6"/>
  <c r="X3698" i="6"/>
  <c r="I3698" i="6"/>
  <c r="W1444" i="6"/>
  <c r="V1505" i="6"/>
  <c r="V1513" i="6"/>
  <c r="V1521" i="6"/>
  <c r="J1624" i="6"/>
  <c r="K1632" i="6"/>
  <c r="W107" i="5" s="1"/>
  <c r="V1737" i="6"/>
  <c r="W1743" i="6"/>
  <c r="W1759" i="6"/>
  <c r="W1844" i="6"/>
  <c r="W1911" i="6"/>
  <c r="V1937" i="6"/>
  <c r="X2046" i="6"/>
  <c r="V2069" i="6"/>
  <c r="V2076" i="6"/>
  <c r="V2101" i="6"/>
  <c r="V2239" i="6"/>
  <c r="W2273" i="6"/>
  <c r="X2290" i="6"/>
  <c r="V2397" i="6"/>
  <c r="W2421" i="6"/>
  <c r="W2504" i="6"/>
  <c r="V2504" i="6"/>
  <c r="X2519" i="6"/>
  <c r="J2537" i="6"/>
  <c r="W2581" i="6"/>
  <c r="W2601" i="6"/>
  <c r="V2625" i="6"/>
  <c r="V2641" i="6"/>
  <c r="W2655" i="6"/>
  <c r="W2665" i="6"/>
  <c r="I2665" i="6"/>
  <c r="W2688" i="6"/>
  <c r="K2714" i="6"/>
  <c r="Q175" i="5" s="1"/>
  <c r="J2714" i="6"/>
  <c r="X2800" i="6"/>
  <c r="X2919" i="6"/>
  <c r="W2919" i="6"/>
  <c r="V2919" i="6"/>
  <c r="V2969" i="6"/>
  <c r="X2996" i="6"/>
  <c r="X3021" i="6"/>
  <c r="X3078" i="6"/>
  <c r="X3089" i="6"/>
  <c r="X3192" i="6"/>
  <c r="I3192" i="6"/>
  <c r="W3214" i="6"/>
  <c r="X3236" i="6"/>
  <c r="I3236" i="6"/>
  <c r="J3236" i="6" s="1"/>
  <c r="I3261" i="6"/>
  <c r="V3261" i="6"/>
  <c r="X3261" i="6"/>
  <c r="W3261" i="6"/>
  <c r="X3279" i="6"/>
  <c r="W3402" i="6"/>
  <c r="I3402" i="6"/>
  <c r="J3402" i="6" s="1"/>
  <c r="X3402" i="6"/>
  <c r="J3433" i="6"/>
  <c r="K3433" i="6"/>
  <c r="P220" i="5" s="1"/>
  <c r="X3462" i="6"/>
  <c r="K3473" i="6"/>
  <c r="X222" i="5" s="1"/>
  <c r="J3473" i="6"/>
  <c r="V3551" i="6"/>
  <c r="X3633" i="6"/>
  <c r="W3633" i="6"/>
  <c r="V3633" i="6"/>
  <c r="W3657" i="6"/>
  <c r="V3698" i="6"/>
  <c r="V3710" i="6"/>
  <c r="W3710" i="6"/>
  <c r="X3710" i="6"/>
  <c r="I3710" i="6"/>
  <c r="K3710" i="6" s="1"/>
  <c r="U237" i="5" s="1"/>
  <c r="X3720" i="6"/>
  <c r="V3720" i="6"/>
  <c r="V1266" i="6"/>
  <c r="X1266" i="6"/>
  <c r="V2075" i="6"/>
  <c r="X2075" i="6"/>
  <c r="W2514" i="6"/>
  <c r="I2514" i="6"/>
  <c r="X2650" i="6"/>
  <c r="W2650" i="6"/>
  <c r="V2762" i="6"/>
  <c r="W2762" i="6"/>
  <c r="W2865" i="6"/>
  <c r="X2865" i="6"/>
  <c r="X2990" i="6"/>
  <c r="I2990" i="6"/>
  <c r="K2990" i="6" s="1"/>
  <c r="U192" i="5" s="1"/>
  <c r="V2990" i="6"/>
  <c r="V3276" i="6"/>
  <c r="X3276" i="6"/>
  <c r="I3310" i="6"/>
  <c r="J3310" i="6" s="1"/>
  <c r="X3310" i="6"/>
  <c r="X3320" i="6"/>
  <c r="W3320" i="6"/>
  <c r="W3374" i="6"/>
  <c r="X3374" i="6"/>
  <c r="V3374" i="6"/>
  <c r="I3587" i="6"/>
  <c r="X3587" i="6"/>
  <c r="W3587" i="6"/>
  <c r="J3677" i="6"/>
  <c r="K3677" i="6"/>
  <c r="T235" i="5" s="1"/>
  <c r="I2277" i="6"/>
  <c r="X2284" i="6"/>
  <c r="W2284" i="6"/>
  <c r="I2301" i="6"/>
  <c r="V2766" i="6"/>
  <c r="I2766" i="6"/>
  <c r="V3027" i="6"/>
  <c r="X3027" i="6"/>
  <c r="K3036" i="6"/>
  <c r="S195" i="5" s="1"/>
  <c r="I3063" i="6"/>
  <c r="K3063" i="6" s="1"/>
  <c r="N197" i="5" s="1"/>
  <c r="X3063" i="6"/>
  <c r="V3063" i="6"/>
  <c r="I3116" i="6"/>
  <c r="X3116" i="6"/>
  <c r="W3116" i="6"/>
  <c r="I3209" i="6"/>
  <c r="X3263" i="6"/>
  <c r="V3263" i="6"/>
  <c r="I3263" i="6"/>
  <c r="I3378" i="6"/>
  <c r="J3378" i="6" s="1"/>
  <c r="I3581" i="6"/>
  <c r="W3581" i="6"/>
  <c r="I3681" i="6"/>
  <c r="K3681" i="6" s="1"/>
  <c r="X235" i="5" s="1"/>
  <c r="W3681" i="6"/>
  <c r="X2331" i="6"/>
  <c r="I2331" i="6"/>
  <c r="J2331" i="6" s="1"/>
  <c r="I2375" i="6"/>
  <c r="K2375" i="6" s="1"/>
  <c r="N154" i="5" s="1"/>
  <c r="I2439" i="6"/>
  <c r="K2439" i="6" s="1"/>
  <c r="N158" i="5" s="1"/>
  <c r="X2466" i="6"/>
  <c r="V2466" i="6"/>
  <c r="I2511" i="6"/>
  <c r="J2511" i="6" s="1"/>
  <c r="X2555" i="6"/>
  <c r="V2555" i="6"/>
  <c r="X2573" i="6"/>
  <c r="I2573" i="6"/>
  <c r="J2583" i="6"/>
  <c r="I2608" i="6"/>
  <c r="X2608" i="6"/>
  <c r="V2608" i="6"/>
  <c r="K2616" i="6"/>
  <c r="O169" i="5" s="1"/>
  <c r="J2616" i="6"/>
  <c r="V2623" i="6"/>
  <c r="W2645" i="6"/>
  <c r="J2660" i="6"/>
  <c r="V2689" i="6"/>
  <c r="V2712" i="6"/>
  <c r="W2766" i="6"/>
  <c r="V2801" i="6"/>
  <c r="W2834" i="6"/>
  <c r="V2880" i="6"/>
  <c r="I2948" i="6"/>
  <c r="J2948" i="6" s="1"/>
  <c r="V2948" i="6"/>
  <c r="X2948" i="6"/>
  <c r="K3046" i="6"/>
  <c r="M196" i="5" s="1"/>
  <c r="J3046" i="6"/>
  <c r="I3091" i="6"/>
  <c r="J3091" i="6" s="1"/>
  <c r="V3219" i="6"/>
  <c r="W3219" i="6"/>
  <c r="V3280" i="6"/>
  <c r="X3280" i="6"/>
  <c r="X3483" i="6"/>
  <c r="I3483" i="6"/>
  <c r="V3549" i="6"/>
  <c r="W3549" i="6"/>
  <c r="I3549" i="6"/>
  <c r="K3549" i="6" s="1"/>
  <c r="T227" i="5" s="1"/>
  <c r="I3571" i="6"/>
  <c r="X3571" i="6"/>
  <c r="W3571" i="6"/>
  <c r="V3581" i="6"/>
  <c r="X3625" i="6"/>
  <c r="W3625" i="6"/>
  <c r="I3625" i="6"/>
  <c r="J3671" i="6"/>
  <c r="K3671" i="6"/>
  <c r="N235" i="5" s="1"/>
  <c r="V3681" i="6"/>
  <c r="K3701" i="6"/>
  <c r="AB236" i="5" s="1"/>
  <c r="X2324" i="6"/>
  <c r="V2573" i="6"/>
  <c r="X2645" i="6"/>
  <c r="W2689" i="6"/>
  <c r="X2721" i="6"/>
  <c r="W2721" i="6"/>
  <c r="X2766" i="6"/>
  <c r="J2777" i="6"/>
  <c r="K2777" i="6"/>
  <c r="P179" i="5" s="1"/>
  <c r="AH179" i="5" s="1"/>
  <c r="W2801" i="6"/>
  <c r="X2834" i="6"/>
  <c r="W2948" i="6"/>
  <c r="V3036" i="6"/>
  <c r="J3145" i="6"/>
  <c r="K3145" i="6"/>
  <c r="P202" i="5" s="1"/>
  <c r="W3280" i="6"/>
  <c r="X3332" i="6"/>
  <c r="W3332" i="6"/>
  <c r="K3369" i="6"/>
  <c r="P216" i="5" s="1"/>
  <c r="V3378" i="6"/>
  <c r="V3387" i="6"/>
  <c r="X3427" i="6"/>
  <c r="V3427" i="6"/>
  <c r="V3483" i="6"/>
  <c r="X3494" i="6"/>
  <c r="W3494" i="6"/>
  <c r="I3494" i="6"/>
  <c r="X3549" i="6"/>
  <c r="V3571" i="6"/>
  <c r="X3581" i="6"/>
  <c r="V3625" i="6"/>
  <c r="X3681" i="6"/>
  <c r="X2745" i="6"/>
  <c r="W2745" i="6"/>
  <c r="V2848" i="6"/>
  <c r="I2848" i="6"/>
  <c r="X3128" i="6"/>
  <c r="I3128" i="6"/>
  <c r="I3531" i="6"/>
  <c r="X3531" i="6"/>
  <c r="W3285" i="6"/>
  <c r="V3285" i="6"/>
  <c r="J3317" i="6"/>
  <c r="K3317" i="6"/>
  <c r="AB212" i="5" s="1"/>
  <c r="I3541" i="6"/>
  <c r="X3541" i="6"/>
  <c r="I3703" i="6"/>
  <c r="X3703" i="6"/>
  <c r="W2828" i="6"/>
  <c r="I2828" i="6"/>
  <c r="J2828" i="6" s="1"/>
  <c r="X2828" i="6"/>
  <c r="V2828" i="6"/>
  <c r="V2926" i="6"/>
  <c r="X2926" i="6"/>
  <c r="I3191" i="6"/>
  <c r="K3191" i="6" s="1"/>
  <c r="N205" i="5" s="1"/>
  <c r="V3191" i="6"/>
  <c r="V3240" i="6"/>
  <c r="I3240" i="6"/>
  <c r="X3285" i="6"/>
  <c r="K3325" i="6"/>
  <c r="T213" i="5" s="1"/>
  <c r="J3351" i="6"/>
  <c r="K3351" i="6"/>
  <c r="N215" i="5" s="1"/>
  <c r="I3358" i="6"/>
  <c r="X3358" i="6"/>
  <c r="W3358" i="6"/>
  <c r="J3367" i="6"/>
  <c r="V3421" i="6"/>
  <c r="X3449" i="6"/>
  <c r="W3449" i="6"/>
  <c r="I3465" i="6"/>
  <c r="W3465" i="6"/>
  <c r="I3482" i="6"/>
  <c r="V3482" i="6"/>
  <c r="V3541" i="6"/>
  <c r="X3562" i="6"/>
  <c r="W3562" i="6"/>
  <c r="V3562" i="6"/>
  <c r="I3562" i="6"/>
  <c r="W3573" i="6"/>
  <c r="V3573" i="6"/>
  <c r="J3582" i="6"/>
  <c r="V3593" i="6"/>
  <c r="V3621" i="6"/>
  <c r="I3644" i="6"/>
  <c r="W3644" i="6"/>
  <c r="W3703" i="6"/>
  <c r="J3713" i="6"/>
  <c r="I3721" i="6"/>
  <c r="V3721" i="6"/>
  <c r="X3721" i="6"/>
  <c r="K3733" i="6"/>
  <c r="AB238" i="5" s="1"/>
  <c r="I2897" i="6"/>
  <c r="K2897" i="6" s="1"/>
  <c r="X186" i="5" s="1"/>
  <c r="W2904" i="6"/>
  <c r="X2911" i="6"/>
  <c r="W2926" i="6"/>
  <c r="V3041" i="6"/>
  <c r="V3058" i="6"/>
  <c r="W3092" i="6"/>
  <c r="I3092" i="6"/>
  <c r="W3165" i="6"/>
  <c r="W3240" i="6"/>
  <c r="V3317" i="6"/>
  <c r="V3343" i="6"/>
  <c r="V3358" i="6"/>
  <c r="V3385" i="6"/>
  <c r="X3393" i="6"/>
  <c r="W3393" i="6"/>
  <c r="I3393" i="6"/>
  <c r="V3393" i="6"/>
  <c r="V3403" i="6"/>
  <c r="W3403" i="6"/>
  <c r="X3403" i="6"/>
  <c r="V3412" i="6"/>
  <c r="W3421" i="6"/>
  <c r="V3441" i="6"/>
  <c r="V3449" i="6"/>
  <c r="I3457" i="6"/>
  <c r="K3457" i="6" s="1"/>
  <c r="X221" i="5" s="1"/>
  <c r="V3457" i="6"/>
  <c r="V3465" i="6"/>
  <c r="W3541" i="6"/>
  <c r="X3553" i="6"/>
  <c r="W3553" i="6"/>
  <c r="V3553" i="6"/>
  <c r="X3573" i="6"/>
  <c r="W3593" i="6"/>
  <c r="W3621" i="6"/>
  <c r="V3644" i="6"/>
  <c r="W3721" i="6"/>
  <c r="K2879" i="6"/>
  <c r="V185" i="5" s="1"/>
  <c r="J2879" i="6"/>
  <c r="K2971" i="6"/>
  <c r="R191" i="5" s="1"/>
  <c r="J2971" i="6"/>
  <c r="J3010" i="6"/>
  <c r="I3034" i="6"/>
  <c r="W3034" i="6"/>
  <c r="W3041" i="6"/>
  <c r="W3058" i="6"/>
  <c r="V3092" i="6"/>
  <c r="V3124" i="6"/>
  <c r="X3165" i="6"/>
  <c r="X3240" i="6"/>
  <c r="V3325" i="6"/>
  <c r="W3343" i="6"/>
  <c r="W3385" i="6"/>
  <c r="X3412" i="6"/>
  <c r="W3441" i="6"/>
  <c r="W3457" i="6"/>
  <c r="X3465" i="6"/>
  <c r="V3534" i="6"/>
  <c r="X3593" i="6"/>
  <c r="I3634" i="6"/>
  <c r="W3634" i="6"/>
  <c r="V3634" i="6"/>
  <c r="X3634" i="6"/>
  <c r="X3644" i="6"/>
  <c r="V3674" i="6"/>
  <c r="V3693" i="6"/>
  <c r="X2994" i="6"/>
  <c r="I2994" i="6"/>
  <c r="I3048" i="6"/>
  <c r="V3048" i="6"/>
  <c r="I3373" i="6"/>
  <c r="W3373" i="6"/>
  <c r="K3729" i="6"/>
  <c r="X238" i="5" s="1"/>
  <c r="J3729" i="6"/>
  <c r="K2857" i="6"/>
  <c r="P184" i="5" s="1"/>
  <c r="J2857" i="6"/>
  <c r="V2874" i="6"/>
  <c r="W2874" i="6"/>
  <c r="K3161" i="6"/>
  <c r="P203" i="5" s="1"/>
  <c r="AH203" i="5" s="1"/>
  <c r="J3161" i="6"/>
  <c r="W3249" i="6"/>
  <c r="V3249" i="6"/>
  <c r="W3266" i="6"/>
  <c r="V3266" i="6"/>
  <c r="V3326" i="6"/>
  <c r="W3326" i="6"/>
  <c r="I3326" i="6"/>
  <c r="J3326" i="6" s="1"/>
  <c r="X3367" i="6"/>
  <c r="W3367" i="6"/>
  <c r="I3401" i="6"/>
  <c r="X3401" i="6"/>
  <c r="K3437" i="6"/>
  <c r="T220" i="5" s="1"/>
  <c r="J3437" i="6"/>
  <c r="X3527" i="6"/>
  <c r="V3527" i="6"/>
  <c r="I3580" i="6"/>
  <c r="X3580" i="6"/>
  <c r="X3589" i="6"/>
  <c r="W3589" i="6"/>
  <c r="V3589" i="6"/>
  <c r="K3648" i="6"/>
  <c r="W233" i="5" s="1"/>
  <c r="AM233" i="5" s="1"/>
  <c r="J3648" i="6"/>
  <c r="V2813" i="6"/>
  <c r="X2874" i="6"/>
  <c r="J2935" i="6"/>
  <c r="W2997" i="6"/>
  <c r="V2997" i="6"/>
  <c r="K3013" i="6"/>
  <c r="AB193" i="5" s="1"/>
  <c r="V3229" i="6"/>
  <c r="X3249" i="6"/>
  <c r="X3266" i="6"/>
  <c r="X3326" i="6"/>
  <c r="V3367" i="6"/>
  <c r="V3376" i="6"/>
  <c r="V3401" i="6"/>
  <c r="W3419" i="6"/>
  <c r="W3527" i="6"/>
  <c r="V3580" i="6"/>
  <c r="W3648" i="6"/>
  <c r="X3643" i="6"/>
  <c r="W3643" i="6"/>
  <c r="W3215" i="6"/>
  <c r="X3215" i="6"/>
  <c r="V3215" i="6"/>
  <c r="I3418" i="6"/>
  <c r="J3418" i="6" s="1"/>
  <c r="X3418" i="6"/>
  <c r="V3643" i="6"/>
  <c r="W3677" i="6"/>
  <c r="V3677" i="6"/>
  <c r="J3685" i="6"/>
  <c r="V3704" i="6"/>
  <c r="V3418" i="6"/>
  <c r="X3456" i="6"/>
  <c r="W3456" i="6"/>
  <c r="X3524" i="6"/>
  <c r="W3524" i="6"/>
  <c r="J3598" i="6"/>
  <c r="K3598" i="6"/>
  <c r="U230" i="5" s="1"/>
  <c r="X3677" i="6"/>
  <c r="W3704" i="6"/>
  <c r="K3178" i="6"/>
  <c r="Q204" i="5" s="1"/>
  <c r="J3178" i="6"/>
  <c r="V3314" i="6"/>
  <c r="I3314" i="6"/>
  <c r="K3314" i="6" s="1"/>
  <c r="Y212" i="5" s="1"/>
  <c r="V3435" i="6"/>
  <c r="W3435" i="6"/>
  <c r="X3713" i="6"/>
  <c r="W3713" i="6"/>
  <c r="W3707" i="6"/>
  <c r="V3707" i="6"/>
  <c r="W3729" i="6"/>
  <c r="V3729" i="6"/>
  <c r="W3447" i="6"/>
  <c r="V3447" i="6"/>
  <c r="J2984" i="6"/>
  <c r="K2984" i="6"/>
  <c r="O192" i="5" s="1"/>
  <c r="V3379" i="6"/>
  <c r="W3431" i="6"/>
  <c r="X3447" i="6"/>
  <c r="V3675" i="6"/>
  <c r="I3699" i="6"/>
  <c r="X3699" i="6"/>
  <c r="W3699" i="6"/>
  <c r="V3158" i="6"/>
  <c r="W3186" i="6"/>
  <c r="V3315" i="6"/>
  <c r="V3463" i="6"/>
  <c r="W3684" i="6"/>
  <c r="K391" i="6"/>
  <c r="N30" i="5" s="1"/>
  <c r="J391" i="6"/>
  <c r="V403" i="6"/>
  <c r="X1059" i="6"/>
  <c r="W1059" i="6"/>
  <c r="V1059" i="6"/>
  <c r="I1059" i="6"/>
  <c r="V396" i="6"/>
  <c r="J923" i="6"/>
  <c r="K923" i="6"/>
  <c r="R63" i="5" s="1"/>
  <c r="AS25" i="5"/>
  <c r="AR25" i="5"/>
  <c r="AT25" i="5"/>
  <c r="X348" i="6"/>
  <c r="I348" i="6"/>
  <c r="W348" i="6"/>
  <c r="V348" i="6"/>
  <c r="W396" i="6"/>
  <c r="K404" i="6"/>
  <c r="AA30" i="5" s="1"/>
  <c r="J404" i="6"/>
  <c r="W2186" i="6"/>
  <c r="I2186" i="6"/>
  <c r="X2186" i="6"/>
  <c r="J243" i="6"/>
  <c r="K243" i="6"/>
  <c r="Z20" i="5" s="1"/>
  <c r="I2163" i="6"/>
  <c r="X2163" i="6"/>
  <c r="V2163" i="6"/>
  <c r="W2163" i="6"/>
  <c r="AF80" i="5"/>
  <c r="AG80" i="5"/>
  <c r="V243" i="6"/>
  <c r="K2030" i="6"/>
  <c r="U132" i="5" s="1"/>
  <c r="J2030" i="6"/>
  <c r="J2157" i="6"/>
  <c r="K2157" i="6"/>
  <c r="T140" i="5" s="1"/>
  <c r="W243" i="6"/>
  <c r="X271" i="6"/>
  <c r="I271" i="6"/>
  <c r="V271" i="6"/>
  <c r="W271" i="6"/>
  <c r="X2116" i="6"/>
  <c r="W2116" i="6"/>
  <c r="V2116" i="6"/>
  <c r="I2116" i="6"/>
  <c r="X243" i="6"/>
  <c r="J547" i="6"/>
  <c r="K547" i="6"/>
  <c r="Z39" i="5" s="1"/>
  <c r="K2109" i="6"/>
  <c r="T137" i="5" s="1"/>
  <c r="J2109" i="6"/>
  <c r="AQ53" i="5"/>
  <c r="AO53" i="5"/>
  <c r="AP53" i="5"/>
  <c r="AL9" i="5"/>
  <c r="AN9" i="5"/>
  <c r="AM9" i="5"/>
  <c r="K1803" i="6"/>
  <c r="R118" i="5" s="1"/>
  <c r="J1803" i="6"/>
  <c r="K2001" i="6"/>
  <c r="X130" i="5" s="1"/>
  <c r="J2001" i="6"/>
  <c r="J48" i="6"/>
  <c r="K48" i="6"/>
  <c r="W8" i="5" s="1"/>
  <c r="I288" i="6"/>
  <c r="W288" i="6"/>
  <c r="X288" i="6"/>
  <c r="AD64" i="5"/>
  <c r="AE64" i="5"/>
  <c r="AC64" i="5"/>
  <c r="K632" i="6"/>
  <c r="O45" i="5" s="1"/>
  <c r="J632" i="6"/>
  <c r="J1621" i="6"/>
  <c r="AH19" i="5"/>
  <c r="AO84" i="5"/>
  <c r="AQ84" i="5"/>
  <c r="AP84" i="5"/>
  <c r="V288" i="6"/>
  <c r="V1763" i="6"/>
  <c r="X1763" i="6"/>
  <c r="I1763" i="6"/>
  <c r="AQ71" i="5"/>
  <c r="AP71" i="5"/>
  <c r="AO71" i="5"/>
  <c r="K1764" i="6"/>
  <c r="AA115" i="5" s="1"/>
  <c r="J1764" i="6"/>
  <c r="J1973" i="6"/>
  <c r="AQ96" i="5"/>
  <c r="AP96" i="5"/>
  <c r="AO96" i="5"/>
  <c r="AO34" i="5"/>
  <c r="AQ34" i="5"/>
  <c r="AP34" i="5"/>
  <c r="I403" i="6"/>
  <c r="W403" i="6"/>
  <c r="K79" i="6"/>
  <c r="V10" i="5" s="1"/>
  <c r="J79" i="6"/>
  <c r="W1359" i="6"/>
  <c r="V1359" i="6"/>
  <c r="I1359" i="6"/>
  <c r="J1360" i="6"/>
  <c r="K1360" i="6"/>
  <c r="W90" i="5" s="1"/>
  <c r="K1335" i="6"/>
  <c r="N89" i="5" s="1"/>
  <c r="AE89" i="5" s="1"/>
  <c r="J1335" i="6"/>
  <c r="X384" i="6"/>
  <c r="W384" i="6"/>
  <c r="V384" i="6"/>
  <c r="I384" i="6"/>
  <c r="I396" i="6"/>
  <c r="I423" i="6"/>
  <c r="X423" i="6"/>
  <c r="W423" i="6"/>
  <c r="V423" i="6"/>
  <c r="J1051" i="6"/>
  <c r="K1051" i="6"/>
  <c r="R71" i="5" s="1"/>
  <c r="AF71" i="5" s="1"/>
  <c r="J238" i="6"/>
  <c r="J574" i="6"/>
  <c r="I775" i="6"/>
  <c r="V775" i="6"/>
  <c r="X775" i="6"/>
  <c r="X1152" i="6"/>
  <c r="W1152" i="6"/>
  <c r="I1152" i="6"/>
  <c r="V1152" i="6"/>
  <c r="J2079" i="6"/>
  <c r="W2179" i="6"/>
  <c r="I2179" i="6"/>
  <c r="X2179" i="6"/>
  <c r="V2179" i="6"/>
  <c r="X223" i="6"/>
  <c r="I223" i="6"/>
  <c r="V223" i="6"/>
  <c r="I972" i="6"/>
  <c r="V972" i="6"/>
  <c r="X972" i="6"/>
  <c r="W972" i="6"/>
  <c r="K992" i="6"/>
  <c r="W67" i="5" s="1"/>
  <c r="J992" i="6"/>
  <c r="V1248" i="6"/>
  <c r="W1248" i="6"/>
  <c r="I1248" i="6"/>
  <c r="X1248" i="6"/>
  <c r="J1694" i="6"/>
  <c r="K1694" i="6"/>
  <c r="U111" i="5" s="1"/>
  <c r="J1750" i="6"/>
  <c r="AG12" i="5"/>
  <c r="AH12" i="5"/>
  <c r="AF12" i="5"/>
  <c r="AT13" i="5"/>
  <c r="I719" i="6"/>
  <c r="X719" i="6"/>
  <c r="W719" i="6"/>
  <c r="K919" i="6"/>
  <c r="N63" i="5" s="1"/>
  <c r="J919" i="6"/>
  <c r="K1231" i="6"/>
  <c r="V82" i="5" s="1"/>
  <c r="J1231" i="6"/>
  <c r="V1432" i="6"/>
  <c r="X1432" i="6"/>
  <c r="W1432" i="6"/>
  <c r="I1432" i="6"/>
  <c r="W1598" i="6"/>
  <c r="V1598" i="6"/>
  <c r="X1598" i="6"/>
  <c r="I1598" i="6"/>
  <c r="AH41" i="5"/>
  <c r="AF41" i="5"/>
  <c r="AG41" i="5"/>
  <c r="W224" i="6"/>
  <c r="V224" i="6"/>
  <c r="I224" i="6"/>
  <c r="K379" i="6"/>
  <c r="R29" i="5" s="1"/>
  <c r="J379" i="6"/>
  <c r="V719" i="6"/>
  <c r="X1475" i="6"/>
  <c r="W1475" i="6"/>
  <c r="I1475" i="6"/>
  <c r="V1475" i="6"/>
  <c r="V2072" i="6"/>
  <c r="I2072" i="6"/>
  <c r="X2072" i="6"/>
  <c r="W2072" i="6"/>
  <c r="I2568" i="6"/>
  <c r="W2568" i="6"/>
  <c r="X2568" i="6"/>
  <c r="V2858" i="6"/>
  <c r="I2858" i="6"/>
  <c r="X2858" i="6"/>
  <c r="W2858" i="6"/>
  <c r="AY222" i="5"/>
  <c r="AY217" i="5"/>
  <c r="N14" i="1"/>
  <c r="H52" i="5"/>
  <c r="X224" i="6"/>
  <c r="K231" i="6"/>
  <c r="N20" i="5" s="1"/>
  <c r="J231" i="6"/>
  <c r="V443" i="6"/>
  <c r="W443" i="6"/>
  <c r="I443" i="6"/>
  <c r="J907" i="6"/>
  <c r="X1128" i="6"/>
  <c r="I1128" i="6"/>
  <c r="W1128" i="6"/>
  <c r="V1128" i="6"/>
  <c r="K1146" i="6"/>
  <c r="Q77" i="5" s="1"/>
  <c r="J1146" i="6"/>
  <c r="K1433" i="6"/>
  <c r="P95" i="5" s="1"/>
  <c r="V2303" i="6"/>
  <c r="W2303" i="6"/>
  <c r="X2303" i="6"/>
  <c r="I2303" i="6"/>
  <c r="V2568" i="6"/>
  <c r="K2634" i="6"/>
  <c r="Q170" i="5" s="1"/>
  <c r="J2634" i="6"/>
  <c r="I2647" i="6"/>
  <c r="X2647" i="6"/>
  <c r="V2647" i="6"/>
  <c r="W2647" i="6"/>
  <c r="AK49" i="5"/>
  <c r="J185" i="6"/>
  <c r="J371" i="6"/>
  <c r="X443" i="6"/>
  <c r="J706" i="6"/>
  <c r="V2003" i="6"/>
  <c r="W2003" i="6"/>
  <c r="I2003" i="6"/>
  <c r="X2648" i="6"/>
  <c r="I2648" i="6"/>
  <c r="W2648" i="6"/>
  <c r="V2648" i="6"/>
  <c r="J3730" i="6"/>
  <c r="K3730" i="6"/>
  <c r="Y238" i="5" s="1"/>
  <c r="AY215" i="5"/>
  <c r="I120" i="6"/>
  <c r="K212" i="6"/>
  <c r="AA18" i="5" s="1"/>
  <c r="J225" i="6"/>
  <c r="K253" i="6"/>
  <c r="T21" i="5" s="1"/>
  <c r="W967" i="6"/>
  <c r="V967" i="6"/>
  <c r="I967" i="6"/>
  <c r="X967" i="6"/>
  <c r="K1477" i="6"/>
  <c r="AB97" i="5" s="1"/>
  <c r="J1477" i="6"/>
  <c r="K1639" i="6"/>
  <c r="N108" i="5" s="1"/>
  <c r="J1639" i="6"/>
  <c r="X2003" i="6"/>
  <c r="J2249" i="6"/>
  <c r="W2288" i="6"/>
  <c r="X2288" i="6"/>
  <c r="I2288" i="6"/>
  <c r="V2288" i="6"/>
  <c r="K2533" i="6"/>
  <c r="AB163" i="5" s="1"/>
  <c r="J2533" i="6"/>
  <c r="K3664" i="6"/>
  <c r="W234" i="5" s="1"/>
  <c r="J3664" i="6"/>
  <c r="V3730" i="6"/>
  <c r="X3730" i="6"/>
  <c r="W3730" i="6"/>
  <c r="W32" i="6"/>
  <c r="X32" i="6"/>
  <c r="I32" i="6"/>
  <c r="V191" i="6"/>
  <c r="I191" i="6"/>
  <c r="X191" i="6"/>
  <c r="X240" i="6"/>
  <c r="W240" i="6"/>
  <c r="I240" i="6"/>
  <c r="K320" i="6"/>
  <c r="W25" i="5" s="1"/>
  <c r="J320" i="6"/>
  <c r="I432" i="6"/>
  <c r="V432" i="6"/>
  <c r="X432" i="6"/>
  <c r="W432" i="6"/>
  <c r="K1147" i="6"/>
  <c r="R77" i="5" s="1"/>
  <c r="J1147" i="6"/>
  <c r="V1396" i="6"/>
  <c r="X1396" i="6"/>
  <c r="W1396" i="6"/>
  <c r="I1396" i="6"/>
  <c r="I3518" i="6"/>
  <c r="W3518" i="6"/>
  <c r="X3518" i="6"/>
  <c r="V3518" i="6"/>
  <c r="V32" i="6"/>
  <c r="W120" i="6"/>
  <c r="K158" i="6"/>
  <c r="U15" i="5" s="1"/>
  <c r="J158" i="6"/>
  <c r="I164" i="6"/>
  <c r="X164" i="6"/>
  <c r="W164" i="6"/>
  <c r="W191" i="6"/>
  <c r="V240" i="6"/>
  <c r="K306" i="6"/>
  <c r="Y24" i="5" s="1"/>
  <c r="AO24" i="5" s="1"/>
  <c r="J306" i="6"/>
  <c r="K313" i="6"/>
  <c r="P25" i="5" s="1"/>
  <c r="J313" i="6"/>
  <c r="J584" i="6"/>
  <c r="K584" i="6"/>
  <c r="O42" i="5" s="1"/>
  <c r="K856" i="6"/>
  <c r="O59" i="5" s="1"/>
  <c r="J856" i="6"/>
  <c r="V887" i="6"/>
  <c r="W887" i="6"/>
  <c r="I887" i="6"/>
  <c r="X887" i="6"/>
  <c r="X1320" i="6"/>
  <c r="W1320" i="6"/>
  <c r="I1320" i="6"/>
  <c r="V1320" i="6"/>
  <c r="K1426" i="6"/>
  <c r="Y94" i="5" s="1"/>
  <c r="J1426" i="6"/>
  <c r="V1463" i="6"/>
  <c r="I1463" i="6"/>
  <c r="W3486" i="6"/>
  <c r="X3486" i="6"/>
  <c r="V3486" i="6"/>
  <c r="I3486" i="6"/>
  <c r="J2078" i="6"/>
  <c r="K2078" i="6"/>
  <c r="U135" i="5" s="1"/>
  <c r="V2139" i="6"/>
  <c r="I2139" i="6"/>
  <c r="X2139" i="6"/>
  <c r="AS53" i="5"/>
  <c r="AT53" i="5"/>
  <c r="K204" i="6"/>
  <c r="S18" i="5" s="1"/>
  <c r="J204" i="6"/>
  <c r="K1737" i="6"/>
  <c r="P114" i="5" s="1"/>
  <c r="J1737" i="6"/>
  <c r="W2139" i="6"/>
  <c r="K26" i="6"/>
  <c r="Q7" i="5" s="1"/>
  <c r="J26" i="6"/>
  <c r="K234" i="6"/>
  <c r="Q20" i="5" s="1"/>
  <c r="J234" i="6"/>
  <c r="AO38" i="5"/>
  <c r="AP38" i="5"/>
  <c r="J564" i="6"/>
  <c r="K564" i="6"/>
  <c r="AA40" i="5" s="1"/>
  <c r="X1251" i="6"/>
  <c r="I1251" i="6"/>
  <c r="I1351" i="6"/>
  <c r="W1351" i="6"/>
  <c r="X1351" i="6"/>
  <c r="V1351" i="6"/>
  <c r="V1388" i="6"/>
  <c r="I1388" i="6"/>
  <c r="X1388" i="6"/>
  <c r="AT10" i="5"/>
  <c r="AS10" i="5"/>
  <c r="AR10" i="5"/>
  <c r="K95" i="6"/>
  <c r="V11" i="5" s="1"/>
  <c r="J95" i="6"/>
  <c r="I591" i="6"/>
  <c r="X591" i="6"/>
  <c r="W591" i="6"/>
  <c r="V2174" i="6"/>
  <c r="X2174" i="6"/>
  <c r="I2174" i="6"/>
  <c r="W2174" i="6"/>
  <c r="I636" i="6"/>
  <c r="W636" i="6"/>
  <c r="X636" i="6"/>
  <c r="I1375" i="6"/>
  <c r="X1375" i="6"/>
  <c r="W1375" i="6"/>
  <c r="V1375" i="6"/>
  <c r="I1398" i="6"/>
  <c r="X1398" i="6"/>
  <c r="W1398" i="6"/>
  <c r="V1398" i="6"/>
  <c r="W3396" i="6"/>
  <c r="X3396" i="6"/>
  <c r="I3396" i="6"/>
  <c r="V3396" i="6"/>
  <c r="AQ8" i="5"/>
  <c r="AP8" i="5"/>
  <c r="AO8" i="5"/>
  <c r="AO15" i="5"/>
  <c r="AI49" i="5"/>
  <c r="AQ36" i="5"/>
  <c r="K624" i="6"/>
  <c r="W44" i="5" s="1"/>
  <c r="J624" i="6"/>
  <c r="K1180" i="6"/>
  <c r="S79" i="5" s="1"/>
  <c r="J1180" i="6"/>
  <c r="K1560" i="6"/>
  <c r="O103" i="5" s="1"/>
  <c r="J1560" i="6"/>
  <c r="V3099" i="6"/>
  <c r="X3099" i="6"/>
  <c r="W3099" i="6"/>
  <c r="I3099" i="6"/>
  <c r="J3419" i="6"/>
  <c r="K3419" i="6"/>
  <c r="R219" i="5" s="1"/>
  <c r="N10" i="1"/>
  <c r="H16" i="5"/>
  <c r="AP99" i="5"/>
  <c r="AO99" i="5"/>
  <c r="K41" i="6"/>
  <c r="P8" i="5" s="1"/>
  <c r="J41" i="6"/>
  <c r="X180" i="6"/>
  <c r="W180" i="6"/>
  <c r="V180" i="6"/>
  <c r="I180" i="6"/>
  <c r="I475" i="6"/>
  <c r="W475" i="6"/>
  <c r="V475" i="6"/>
  <c r="K487" i="6"/>
  <c r="N36" i="5" s="1"/>
  <c r="J487" i="6"/>
  <c r="K643" i="6"/>
  <c r="Z45" i="5" s="1"/>
  <c r="J643" i="6"/>
  <c r="I903" i="6"/>
  <c r="W903" i="6"/>
  <c r="V903" i="6"/>
  <c r="X903" i="6"/>
  <c r="K1328" i="6"/>
  <c r="W88" i="5" s="1"/>
  <c r="J1328" i="6"/>
  <c r="X1339" i="6"/>
  <c r="V1339" i="6"/>
  <c r="W1339" i="6"/>
  <c r="V1443" i="6"/>
  <c r="I1443" i="6"/>
  <c r="W1443" i="6"/>
  <c r="X1443" i="6"/>
  <c r="K1517" i="6"/>
  <c r="T100" i="5" s="1"/>
  <c r="J1517" i="6"/>
  <c r="W312" i="6"/>
  <c r="X312" i="6"/>
  <c r="I312" i="6"/>
  <c r="K1405" i="6"/>
  <c r="T93" i="5" s="1"/>
  <c r="J1405" i="6"/>
  <c r="J3709" i="6"/>
  <c r="K3709" i="6"/>
  <c r="T237" i="5" s="1"/>
  <c r="AO49" i="5"/>
  <c r="AL68" i="5"/>
  <c r="K101" i="6"/>
  <c r="AB11" i="5" s="1"/>
  <c r="J101" i="6"/>
  <c r="J1418" i="6"/>
  <c r="AP67" i="5"/>
  <c r="AH9" i="5"/>
  <c r="AQ49" i="5"/>
  <c r="AT144" i="5"/>
  <c r="AR144" i="5"/>
  <c r="X475" i="6"/>
  <c r="W728" i="6"/>
  <c r="I728" i="6"/>
  <c r="X728" i="6"/>
  <c r="K1234" i="6"/>
  <c r="Y82" i="5" s="1"/>
  <c r="J1234" i="6"/>
  <c r="K1480" i="6"/>
  <c r="O98" i="5" s="1"/>
  <c r="J1480" i="6"/>
  <c r="K1840" i="6"/>
  <c r="W120" i="5" s="1"/>
  <c r="J1840" i="6"/>
  <c r="J1870" i="6"/>
  <c r="K1870" i="6"/>
  <c r="U122" i="5" s="1"/>
  <c r="AP16" i="5"/>
  <c r="AM68" i="5"/>
  <c r="K570" i="6"/>
  <c r="Q41" i="5" s="1"/>
  <c r="J570" i="6"/>
  <c r="K1363" i="6"/>
  <c r="Z90" i="5" s="1"/>
  <c r="J1363" i="6"/>
  <c r="AO67" i="5"/>
  <c r="K19" i="6"/>
  <c r="J19" i="6"/>
  <c r="X39" i="6"/>
  <c r="W39" i="6"/>
  <c r="I39" i="6"/>
  <c r="K752" i="6"/>
  <c r="W52" i="5" s="1"/>
  <c r="AL52" i="5" s="1"/>
  <c r="J752" i="6"/>
  <c r="K939" i="6"/>
  <c r="R64" i="5" s="1"/>
  <c r="AF64" i="5" s="1"/>
  <c r="J939" i="6"/>
  <c r="AP31" i="5"/>
  <c r="AO31" i="5"/>
  <c r="AP50" i="5"/>
  <c r="K21" i="6"/>
  <c r="J21" i="6"/>
  <c r="K458" i="6"/>
  <c r="Q34" i="5" s="1"/>
  <c r="AH34" i="5" s="1"/>
  <c r="J458" i="6"/>
  <c r="K476" i="6"/>
  <c r="S35" i="5" s="1"/>
  <c r="J476" i="6"/>
  <c r="K488" i="6"/>
  <c r="O36" i="5" s="1"/>
  <c r="J488" i="6"/>
  <c r="I904" i="6"/>
  <c r="X904" i="6"/>
  <c r="V904" i="6"/>
  <c r="W904" i="6"/>
  <c r="X1167" i="6"/>
  <c r="I1167" i="6"/>
  <c r="W1167" i="6"/>
  <c r="V1167" i="6"/>
  <c r="J2038" i="6"/>
  <c r="K2038" i="6"/>
  <c r="M133" i="5" s="1"/>
  <c r="J2612" i="6"/>
  <c r="K2612" i="6"/>
  <c r="AA168" i="5" s="1"/>
  <c r="I2618" i="6"/>
  <c r="X2618" i="6"/>
  <c r="W2618" i="6"/>
  <c r="V2618" i="6"/>
  <c r="H165" i="5"/>
  <c r="N13" i="1"/>
  <c r="AF9" i="5"/>
  <c r="V319" i="6"/>
  <c r="I319" i="6"/>
  <c r="W319" i="6"/>
  <c r="X319" i="6"/>
  <c r="J1470" i="6"/>
  <c r="K1470" i="6"/>
  <c r="U97" i="5" s="1"/>
  <c r="X1798" i="6"/>
  <c r="I1798" i="6"/>
  <c r="W1798" i="6"/>
  <c r="V1798" i="6"/>
  <c r="J3715" i="6"/>
  <c r="K3715" i="6"/>
  <c r="Z237" i="5" s="1"/>
  <c r="AP157" i="5"/>
  <c r="AO47" i="5"/>
  <c r="AQ47" i="5"/>
  <c r="I28" i="6"/>
  <c r="X28" i="6"/>
  <c r="W28" i="6"/>
  <c r="V28" i="6"/>
  <c r="K129" i="6"/>
  <c r="X13" i="5" s="1"/>
  <c r="J129" i="6"/>
  <c r="I135" i="6"/>
  <c r="W135" i="6"/>
  <c r="V135" i="6"/>
  <c r="K188" i="6"/>
  <c r="S17" i="5" s="1"/>
  <c r="J188" i="6"/>
  <c r="J368" i="6"/>
  <c r="K368" i="6"/>
  <c r="W28" i="5" s="1"/>
  <c r="V416" i="6"/>
  <c r="X416" i="6"/>
  <c r="W416" i="6"/>
  <c r="I416" i="6"/>
  <c r="I428" i="6"/>
  <c r="X428" i="6"/>
  <c r="K470" i="6"/>
  <c r="M35" i="5" s="1"/>
  <c r="J470" i="6"/>
  <c r="X547" i="6"/>
  <c r="W547" i="6"/>
  <c r="V547" i="6"/>
  <c r="AJ41" i="5"/>
  <c r="AK41" i="5"/>
  <c r="AI41" i="5"/>
  <c r="I1143" i="6"/>
  <c r="W1143" i="6"/>
  <c r="V1143" i="6"/>
  <c r="K1187" i="6"/>
  <c r="Z79" i="5" s="1"/>
  <c r="J1187" i="6"/>
  <c r="K1278" i="6"/>
  <c r="U85" i="5" s="1"/>
  <c r="J1278" i="6"/>
  <c r="X2598" i="6"/>
  <c r="W2598" i="6"/>
  <c r="V2598" i="6"/>
  <c r="I2598" i="6"/>
  <c r="K126" i="6"/>
  <c r="U13" i="5" s="1"/>
  <c r="J126" i="6"/>
  <c r="W855" i="6"/>
  <c r="V855" i="6"/>
  <c r="I855" i="6"/>
  <c r="K874" i="6"/>
  <c r="Q60" i="5" s="1"/>
  <c r="J874" i="6"/>
  <c r="AR53" i="5"/>
  <c r="AP36" i="5"/>
  <c r="AP41" i="5"/>
  <c r="AO43" i="5"/>
  <c r="AF59" i="5"/>
  <c r="AT64" i="5"/>
  <c r="AS64" i="5"/>
  <c r="AR64" i="5"/>
  <c r="AK28" i="5"/>
  <c r="H188" i="5"/>
  <c r="N15" i="1"/>
  <c r="I103" i="6"/>
  <c r="X103" i="6"/>
  <c r="W103" i="6"/>
  <c r="V103" i="6"/>
  <c r="X315" i="6"/>
  <c r="W315" i="6"/>
  <c r="V315" i="6"/>
  <c r="I315" i="6"/>
  <c r="AK57" i="5"/>
  <c r="K1408" i="6"/>
  <c r="W93" i="5" s="1"/>
  <c r="J1408" i="6"/>
  <c r="I2007" i="6"/>
  <c r="X2007" i="6"/>
  <c r="W2007" i="6"/>
  <c r="V2007" i="6"/>
  <c r="J15" i="6"/>
  <c r="K15" i="6"/>
  <c r="X192" i="6"/>
  <c r="I192" i="6"/>
  <c r="K258" i="6"/>
  <c r="Y21" i="5" s="1"/>
  <c r="J258" i="6"/>
  <c r="V519" i="6"/>
  <c r="I519" i="6"/>
  <c r="X519" i="6"/>
  <c r="X1236" i="6"/>
  <c r="W1236" i="6"/>
  <c r="I1236" i="6"/>
  <c r="AG96" i="5"/>
  <c r="V1650" i="6"/>
  <c r="W1650" i="6"/>
  <c r="I1650" i="6"/>
  <c r="V1672" i="6"/>
  <c r="X1672" i="6"/>
  <c r="I1672" i="6"/>
  <c r="W1672" i="6"/>
  <c r="J1758" i="6"/>
  <c r="K1758" i="6"/>
  <c r="U115" i="5" s="1"/>
  <c r="AK115" i="5" s="1"/>
  <c r="V2820" i="6"/>
  <c r="I2820" i="6"/>
  <c r="X2820" i="6"/>
  <c r="W2820" i="6"/>
  <c r="AQ89" i="5"/>
  <c r="AO89" i="5"/>
  <c r="I252" i="6"/>
  <c r="W252" i="6"/>
  <c r="V192" i="6"/>
  <c r="K219" i="6"/>
  <c r="R19" i="5" s="1"/>
  <c r="J219" i="6"/>
  <c r="V252" i="6"/>
  <c r="W404" i="6"/>
  <c r="V404" i="6"/>
  <c r="X404" i="6"/>
  <c r="W519" i="6"/>
  <c r="J727" i="6"/>
  <c r="K727" i="6"/>
  <c r="N51" i="5" s="1"/>
  <c r="K863" i="6"/>
  <c r="V59" i="5" s="1"/>
  <c r="J863" i="6"/>
  <c r="K914" i="6"/>
  <c r="Y62" i="5" s="1"/>
  <c r="AQ62" i="5" s="1"/>
  <c r="J914" i="6"/>
  <c r="K1158" i="6"/>
  <c r="M78" i="5" s="1"/>
  <c r="J1158" i="6"/>
  <c r="K1230" i="6"/>
  <c r="U82" i="5" s="1"/>
  <c r="J1230" i="6"/>
  <c r="V1236" i="6"/>
  <c r="K1247" i="6"/>
  <c r="V83" i="5" s="1"/>
  <c r="J1247" i="6"/>
  <c r="W1259" i="6"/>
  <c r="V1259" i="6"/>
  <c r="I1259" i="6"/>
  <c r="V1400" i="6"/>
  <c r="I1400" i="6"/>
  <c r="X1400" i="6"/>
  <c r="J1450" i="6"/>
  <c r="X1650" i="6"/>
  <c r="K1688" i="6"/>
  <c r="O111" i="5" s="1"/>
  <c r="AY227" i="5"/>
  <c r="AY209" i="5"/>
  <c r="AY195" i="5"/>
  <c r="AY181" i="5"/>
  <c r="AY167" i="5"/>
  <c r="AY153" i="5"/>
  <c r="AY139" i="5"/>
  <c r="AY235" i="5"/>
  <c r="AY212" i="5"/>
  <c r="AY198" i="5"/>
  <c r="AY184" i="5"/>
  <c r="AY170" i="5"/>
  <c r="AY156" i="5"/>
  <c r="AY142" i="5"/>
  <c r="AY128" i="5"/>
  <c r="AY114" i="5"/>
  <c r="AY231" i="5"/>
  <c r="AY232" i="5"/>
  <c r="AY206" i="5"/>
  <c r="AY182" i="5"/>
  <c r="AY194" i="5"/>
  <c r="AY172" i="5"/>
  <c r="AY205" i="5"/>
  <c r="AY236" i="5"/>
  <c r="AY233" i="5"/>
  <c r="AY226" i="5"/>
  <c r="AY196" i="5"/>
  <c r="AY175" i="5"/>
  <c r="AY157" i="5"/>
  <c r="AY146" i="5"/>
  <c r="AY135" i="5"/>
  <c r="AY113" i="5"/>
  <c r="AY105" i="5"/>
  <c r="AY91" i="5"/>
  <c r="AY77" i="5"/>
  <c r="AY63" i="5"/>
  <c r="AY49" i="5"/>
  <c r="AY35" i="5"/>
  <c r="AY21" i="5"/>
  <c r="AY7" i="5"/>
  <c r="AY234" i="5"/>
  <c r="AY230" i="5"/>
  <c r="AY158" i="5"/>
  <c r="AY145" i="5"/>
  <c r="AY129" i="5"/>
  <c r="AY119" i="5"/>
  <c r="AY98" i="5"/>
  <c r="AY84" i="5"/>
  <c r="AY70" i="5"/>
  <c r="AY56" i="5"/>
  <c r="AY42" i="5"/>
  <c r="AY28" i="5"/>
  <c r="AY14" i="5"/>
  <c r="AY94" i="5"/>
  <c r="AY85" i="5"/>
  <c r="AY67" i="5"/>
  <c r="AY228" i="5"/>
  <c r="AY83" i="5"/>
  <c r="AY40" i="5"/>
  <c r="AY22" i="5"/>
  <c r="AY224" i="5"/>
  <c r="AY213" i="5"/>
  <c r="AY210" i="5"/>
  <c r="AY193" i="5"/>
  <c r="AY185" i="5"/>
  <c r="AY104" i="5"/>
  <c r="AY50" i="5"/>
  <c r="AY41" i="5"/>
  <c r="AY32" i="5"/>
  <c r="AY216" i="5"/>
  <c r="AY179" i="5"/>
  <c r="AY208" i="5"/>
  <c r="AY162" i="5"/>
  <c r="AY159" i="5"/>
  <c r="AY127" i="5"/>
  <c r="AY75" i="5"/>
  <c r="AY57" i="5"/>
  <c r="AY229" i="5"/>
  <c r="AY214" i="5"/>
  <c r="AY149" i="5"/>
  <c r="AY109" i="5"/>
  <c r="AY100" i="5"/>
  <c r="AY68" i="5"/>
  <c r="AY59" i="5"/>
  <c r="AY178" i="5"/>
  <c r="AY174" i="5"/>
  <c r="AY143" i="5"/>
  <c r="AY124" i="5"/>
  <c r="AY203" i="5"/>
  <c r="AY199" i="5"/>
  <c r="AY183" i="5"/>
  <c r="AY169" i="5"/>
  <c r="AY93" i="5"/>
  <c r="AY191" i="5"/>
  <c r="AY176" i="5"/>
  <c r="AY136" i="5"/>
  <c r="AY60" i="5"/>
  <c r="AY26" i="5"/>
  <c r="AY17" i="5"/>
  <c r="AY138" i="5"/>
  <c r="AY10" i="5"/>
  <c r="AY111" i="5"/>
  <c r="AY37" i="5"/>
  <c r="AY107" i="5"/>
  <c r="AY171" i="5"/>
  <c r="AY163" i="5"/>
  <c r="AY45" i="5"/>
  <c r="AY15" i="5"/>
  <c r="AY53" i="5"/>
  <c r="AY47" i="5"/>
  <c r="AY103" i="5"/>
  <c r="AY99" i="5"/>
  <c r="AY188" i="5"/>
  <c r="AY96" i="5"/>
  <c r="AY88" i="5"/>
  <c r="AY73" i="5"/>
  <c r="AY238" i="5"/>
  <c r="AY150" i="5"/>
  <c r="AY187" i="5"/>
  <c r="AY120" i="5"/>
  <c r="AY27" i="5"/>
  <c r="AY186" i="5"/>
  <c r="AY204" i="5"/>
  <c r="AY115" i="5"/>
  <c r="AY202" i="5"/>
  <c r="AY160" i="5"/>
  <c r="AY141" i="5"/>
  <c r="AY118" i="5"/>
  <c r="AY90" i="5"/>
  <c r="AY87" i="5"/>
  <c r="AY55" i="5"/>
  <c r="AY36" i="5"/>
  <c r="AY201" i="5"/>
  <c r="AY166" i="5"/>
  <c r="AY140" i="5"/>
  <c r="AY31" i="5"/>
  <c r="AY6" i="5"/>
  <c r="AY147" i="5"/>
  <c r="H89" i="5"/>
  <c r="N6" i="1"/>
  <c r="AO18" i="5"/>
  <c r="AQ18" i="5"/>
  <c r="AP18" i="5"/>
  <c r="AY38" i="5"/>
  <c r="AY79" i="5"/>
  <c r="AY80" i="5"/>
  <c r="AS89" i="5"/>
  <c r="AR89" i="5"/>
  <c r="AT89" i="5"/>
  <c r="AY133" i="5"/>
  <c r="AM153" i="5"/>
  <c r="AY161" i="5"/>
  <c r="AS170" i="5"/>
  <c r="W192" i="6"/>
  <c r="X252" i="6"/>
  <c r="K386" i="6"/>
  <c r="Y29" i="5" s="1"/>
  <c r="AP29" i="5" s="1"/>
  <c r="J386" i="6"/>
  <c r="V667" i="6"/>
  <c r="X667" i="6"/>
  <c r="W667" i="6"/>
  <c r="I667" i="6"/>
  <c r="I932" i="6"/>
  <c r="X932" i="6"/>
  <c r="W932" i="6"/>
  <c r="W987" i="6"/>
  <c r="V987" i="6"/>
  <c r="I987" i="6"/>
  <c r="X987" i="6"/>
  <c r="X1259" i="6"/>
  <c r="W1400" i="6"/>
  <c r="K1806" i="6"/>
  <c r="U118" i="5" s="1"/>
  <c r="J1806" i="6"/>
  <c r="J3447" i="6"/>
  <c r="K3447" i="6"/>
  <c r="N221" i="5" s="1"/>
  <c r="I104" i="6"/>
  <c r="X104" i="6"/>
  <c r="W104" i="6"/>
  <c r="V104" i="6"/>
  <c r="V371" i="6"/>
  <c r="X371" i="6"/>
  <c r="W371" i="6"/>
  <c r="X387" i="6"/>
  <c r="W387" i="6"/>
  <c r="V387" i="6"/>
  <c r="I387" i="6"/>
  <c r="K398" i="6"/>
  <c r="U30" i="5" s="1"/>
  <c r="J398" i="6"/>
  <c r="W631" i="6"/>
  <c r="V631" i="6"/>
  <c r="I631" i="6"/>
  <c r="K723" i="6"/>
  <c r="Z50" i="5" s="1"/>
  <c r="J723" i="6"/>
  <c r="I1324" i="6"/>
  <c r="W1324" i="6"/>
  <c r="X1324" i="6"/>
  <c r="V1324" i="6"/>
  <c r="K1378" i="6"/>
  <c r="Y91" i="5" s="1"/>
  <c r="J1378" i="6"/>
  <c r="X1554" i="6"/>
  <c r="I1554" i="6"/>
  <c r="K2164" i="6"/>
  <c r="AA140" i="5" s="1"/>
  <c r="J2164" i="6"/>
  <c r="K2214" i="6"/>
  <c r="M144" i="5" s="1"/>
  <c r="J2214" i="6"/>
  <c r="X2590" i="6"/>
  <c r="V2590" i="6"/>
  <c r="I2590" i="6"/>
  <c r="W2590" i="6"/>
  <c r="X1523" i="6"/>
  <c r="W1523" i="6"/>
  <c r="I1523" i="6"/>
  <c r="W2047" i="6"/>
  <c r="X2047" i="6"/>
  <c r="V2047" i="6"/>
  <c r="I2047" i="6"/>
  <c r="I399" i="6"/>
  <c r="X399" i="6"/>
  <c r="W399" i="6"/>
  <c r="V399" i="6"/>
  <c r="I607" i="6"/>
  <c r="V607" i="6"/>
  <c r="X607" i="6"/>
  <c r="K1019" i="6"/>
  <c r="R69" i="5" s="1"/>
  <c r="J1019" i="6"/>
  <c r="K1473" i="6"/>
  <c r="X97" i="5" s="1"/>
  <c r="V1523" i="6"/>
  <c r="J1779" i="6"/>
  <c r="K1779" i="6"/>
  <c r="Z116" i="5" s="1"/>
  <c r="J1976" i="6"/>
  <c r="K1976" i="6"/>
  <c r="O129" i="5" s="1"/>
  <c r="K2054" i="6"/>
  <c r="M134" i="5" s="1"/>
  <c r="K2073" i="6"/>
  <c r="P135" i="5" s="1"/>
  <c r="J2073" i="6"/>
  <c r="AG30" i="5"/>
  <c r="K124" i="6"/>
  <c r="S13" i="5" s="1"/>
  <c r="J124" i="6"/>
  <c r="K130" i="6"/>
  <c r="Y13" i="5" s="1"/>
  <c r="J130" i="6"/>
  <c r="K279" i="6"/>
  <c r="N23" i="5" s="1"/>
  <c r="J595" i="6"/>
  <c r="W607" i="6"/>
  <c r="I1056" i="6"/>
  <c r="X1056" i="6"/>
  <c r="W1056" i="6"/>
  <c r="V1056" i="6"/>
  <c r="K1094" i="6"/>
  <c r="M74" i="5" s="1"/>
  <c r="J1094" i="6"/>
  <c r="V1524" i="6"/>
  <c r="W1524" i="6"/>
  <c r="I1524" i="6"/>
  <c r="X1524" i="6"/>
  <c r="V1779" i="6"/>
  <c r="X1779" i="6"/>
  <c r="W1779" i="6"/>
  <c r="K2027" i="6"/>
  <c r="R132" i="5" s="1"/>
  <c r="J2027" i="6"/>
  <c r="K2036" i="6"/>
  <c r="AA132" i="5" s="1"/>
  <c r="J2036" i="6"/>
  <c r="AQ58" i="5"/>
  <c r="AL80" i="5"/>
  <c r="J56" i="6"/>
  <c r="K56" i="6"/>
  <c r="O9" i="5" s="1"/>
  <c r="AE9" i="5" s="1"/>
  <c r="X68" i="6"/>
  <c r="W68" i="6"/>
  <c r="X79" i="6"/>
  <c r="W911" i="6"/>
  <c r="V911" i="6"/>
  <c r="I911" i="6"/>
  <c r="I1032" i="6"/>
  <c r="K1503" i="6"/>
  <c r="V99" i="5" s="1"/>
  <c r="J1503" i="6"/>
  <c r="K1541" i="6"/>
  <c r="AB101" i="5" s="1"/>
  <c r="J1541" i="6"/>
  <c r="V1676" i="6"/>
  <c r="I1676" i="6"/>
  <c r="X1676" i="6"/>
  <c r="W1676" i="6"/>
  <c r="I1939" i="6"/>
  <c r="V1939" i="6"/>
  <c r="X1939" i="6"/>
  <c r="W1939" i="6"/>
  <c r="J1977" i="6"/>
  <c r="K1977" i="6"/>
  <c r="P129" i="5" s="1"/>
  <c r="K2095" i="6"/>
  <c r="V136" i="5" s="1"/>
  <c r="J2095" i="6"/>
  <c r="J3133" i="6"/>
  <c r="K3133" i="6"/>
  <c r="T201" i="5" s="1"/>
  <c r="X3482" i="6"/>
  <c r="W3482" i="6"/>
  <c r="J3543" i="6"/>
  <c r="K3543" i="6"/>
  <c r="N227" i="5" s="1"/>
  <c r="AQ76" i="5"/>
  <c r="AP76" i="5"/>
  <c r="K361" i="6"/>
  <c r="P28" i="5" s="1"/>
  <c r="J361" i="6"/>
  <c r="K474" i="6"/>
  <c r="Q35" i="5" s="1"/>
  <c r="J474" i="6"/>
  <c r="K1306" i="6"/>
  <c r="Q87" i="5" s="1"/>
  <c r="AG87" i="5" s="1"/>
  <c r="J1306" i="6"/>
  <c r="V1628" i="6"/>
  <c r="X1628" i="6"/>
  <c r="W1628" i="6"/>
  <c r="I1628" i="6"/>
  <c r="K249" i="6"/>
  <c r="P21" i="5" s="1"/>
  <c r="J249" i="6"/>
  <c r="I528" i="6"/>
  <c r="X528" i="6"/>
  <c r="K576" i="6"/>
  <c r="W41" i="5" s="1"/>
  <c r="J576" i="6"/>
  <c r="I768" i="6"/>
  <c r="X768" i="6"/>
  <c r="W768" i="6"/>
  <c r="X923" i="6"/>
  <c r="W923" i="6"/>
  <c r="V923" i="6"/>
  <c r="J964" i="6"/>
  <c r="K1020" i="6"/>
  <c r="S69" i="5" s="1"/>
  <c r="J1020" i="6"/>
  <c r="V1032" i="6"/>
  <c r="K1064" i="6"/>
  <c r="O72" i="5" s="1"/>
  <c r="J1064" i="6"/>
  <c r="J1933" i="6"/>
  <c r="K3476" i="6"/>
  <c r="AA222" i="5" s="1"/>
  <c r="J3476" i="6"/>
  <c r="K3506" i="6"/>
  <c r="Y224" i="5" s="1"/>
  <c r="J3506" i="6"/>
  <c r="I111" i="6"/>
  <c r="X111" i="6"/>
  <c r="W111" i="6"/>
  <c r="V111" i="6"/>
  <c r="X976" i="6"/>
  <c r="W976" i="6"/>
  <c r="I976" i="6"/>
  <c r="V976" i="6"/>
  <c r="I1312" i="6"/>
  <c r="X1312" i="6"/>
  <c r="V1312" i="6"/>
  <c r="W1312" i="6"/>
  <c r="K1518" i="6"/>
  <c r="U100" i="5" s="1"/>
  <c r="J1518" i="6"/>
  <c r="W3156" i="6"/>
  <c r="I3156" i="6"/>
  <c r="X3156" i="6"/>
  <c r="K3482" i="6"/>
  <c r="Q223" i="5" s="1"/>
  <c r="J3482" i="6"/>
  <c r="X3623" i="6"/>
  <c r="W3623" i="6"/>
  <c r="V3623" i="6"/>
  <c r="I3623" i="6"/>
  <c r="W3631" i="6"/>
  <c r="I3631" i="6"/>
  <c r="V3631" i="6"/>
  <c r="X3631" i="6"/>
  <c r="AY18" i="5"/>
  <c r="AY33" i="5"/>
  <c r="AY71" i="5"/>
  <c r="AY126" i="5"/>
  <c r="AY154" i="5"/>
  <c r="AY155" i="5"/>
  <c r="X56" i="6"/>
  <c r="J75" i="6"/>
  <c r="K75" i="6"/>
  <c r="R10" i="5" s="1"/>
  <c r="W439" i="6"/>
  <c r="X439" i="6"/>
  <c r="I439" i="6"/>
  <c r="K499" i="6"/>
  <c r="Z36" i="5" s="1"/>
  <c r="J499" i="6"/>
  <c r="V528" i="6"/>
  <c r="X576" i="6"/>
  <c r="W576" i="6"/>
  <c r="V576" i="6"/>
  <c r="K742" i="6"/>
  <c r="M52" i="5" s="1"/>
  <c r="J742" i="6"/>
  <c r="V768" i="6"/>
  <c r="W1032" i="6"/>
  <c r="I1155" i="6"/>
  <c r="X1155" i="6"/>
  <c r="K1192" i="6"/>
  <c r="O80" i="5" s="1"/>
  <c r="J1262" i="6"/>
  <c r="X1275" i="6"/>
  <c r="W1275" i="6"/>
  <c r="I1275" i="6"/>
  <c r="K1417" i="6"/>
  <c r="P94" i="5" s="1"/>
  <c r="J1417" i="6"/>
  <c r="K1425" i="6"/>
  <c r="X94" i="5" s="1"/>
  <c r="V1896" i="6"/>
  <c r="X1896" i="6"/>
  <c r="I1896" i="6"/>
  <c r="K2675" i="6"/>
  <c r="Z172" i="5" s="1"/>
  <c r="J2675" i="6"/>
  <c r="X2699" i="6"/>
  <c r="I2699" i="6"/>
  <c r="W2699" i="6"/>
  <c r="K2928" i="6"/>
  <c r="W188" i="5" s="1"/>
  <c r="J2928" i="6"/>
  <c r="I3170" i="6"/>
  <c r="W3170" i="6"/>
  <c r="X3170" i="6"/>
  <c r="V3170" i="6"/>
  <c r="J3222" i="6"/>
  <c r="K3222" i="6"/>
  <c r="M207" i="5" s="1"/>
  <c r="AQ121" i="5"/>
  <c r="AO121" i="5"/>
  <c r="K774" i="6"/>
  <c r="M54" i="5" s="1"/>
  <c r="J774" i="6"/>
  <c r="J1148" i="6"/>
  <c r="K1148" i="6"/>
  <c r="S77" i="5" s="1"/>
  <c r="K1286" i="6"/>
  <c r="M86" i="5" s="1"/>
  <c r="J1286" i="6"/>
  <c r="J1376" i="6"/>
  <c r="K1376" i="6"/>
  <c r="W91" i="5" s="1"/>
  <c r="V1903" i="6"/>
  <c r="X1903" i="6"/>
  <c r="W1903" i="6"/>
  <c r="I1903" i="6"/>
  <c r="J3723" i="6"/>
  <c r="K3723" i="6"/>
  <c r="R238" i="5" s="1"/>
  <c r="AP163" i="5"/>
  <c r="AO163" i="5"/>
  <c r="AQ163" i="5"/>
  <c r="AD210" i="5"/>
  <c r="J187" i="6"/>
  <c r="K187" i="6"/>
  <c r="R17" i="5" s="1"/>
  <c r="AF17" i="5" s="1"/>
  <c r="I372" i="6"/>
  <c r="X372" i="6"/>
  <c r="V372" i="6"/>
  <c r="V632" i="6"/>
  <c r="X632" i="6"/>
  <c r="W632" i="6"/>
  <c r="X656" i="6"/>
  <c r="W656" i="6"/>
  <c r="V656" i="6"/>
  <c r="V1492" i="6"/>
  <c r="X1492" i="6"/>
  <c r="I1492" i="6"/>
  <c r="W1492" i="6"/>
  <c r="V1612" i="6"/>
  <c r="W1612" i="6"/>
  <c r="I1612" i="6"/>
  <c r="AS144" i="5"/>
  <c r="J52" i="6"/>
  <c r="K52" i="6"/>
  <c r="AA8" i="5" s="1"/>
  <c r="AT8" i="5" s="1"/>
  <c r="K113" i="6"/>
  <c r="X12" i="5" s="1"/>
  <c r="J113" i="6"/>
  <c r="J149" i="6"/>
  <c r="K353" i="6"/>
  <c r="X27" i="5" s="1"/>
  <c r="J353" i="6"/>
  <c r="W372" i="6"/>
  <c r="V564" i="6"/>
  <c r="V583" i="6"/>
  <c r="I583" i="6"/>
  <c r="K714" i="6"/>
  <c r="Q50" i="5" s="1"/>
  <c r="J714" i="6"/>
  <c r="K738" i="6"/>
  <c r="Y51" i="5" s="1"/>
  <c r="J738" i="6"/>
  <c r="X803" i="6"/>
  <c r="W803" i="6"/>
  <c r="I803" i="6"/>
  <c r="J1316" i="6"/>
  <c r="J1358" i="6"/>
  <c r="X1534" i="6"/>
  <c r="I1534" i="6"/>
  <c r="V1534" i="6"/>
  <c r="W1534" i="6"/>
  <c r="X1612" i="6"/>
  <c r="X2294" i="6"/>
  <c r="I2294" i="6"/>
  <c r="W2294" i="6"/>
  <c r="X3196" i="6"/>
  <c r="I3196" i="6"/>
  <c r="V3196" i="6"/>
  <c r="W3196" i="6"/>
  <c r="N12" i="1"/>
  <c r="AT74" i="5"/>
  <c r="AJ75" i="5"/>
  <c r="V15" i="6"/>
  <c r="J131" i="6"/>
  <c r="X264" i="6"/>
  <c r="W264" i="6"/>
  <c r="V264" i="6"/>
  <c r="I264" i="6"/>
  <c r="V380" i="6"/>
  <c r="I380" i="6"/>
  <c r="X380" i="6"/>
  <c r="W380" i="6"/>
  <c r="W564" i="6"/>
  <c r="W583" i="6"/>
  <c r="I620" i="6"/>
  <c r="X620" i="6"/>
  <c r="W620" i="6"/>
  <c r="V620" i="6"/>
  <c r="AO48" i="5"/>
  <c r="K792" i="6"/>
  <c r="O55" i="5" s="1"/>
  <c r="V803" i="6"/>
  <c r="J822" i="6"/>
  <c r="J908" i="6"/>
  <c r="K908" i="6"/>
  <c r="S62" i="5" s="1"/>
  <c r="I1203" i="6"/>
  <c r="X1203" i="6"/>
  <c r="J1214" i="6"/>
  <c r="X1627" i="6"/>
  <c r="W1627" i="6"/>
  <c r="V1627" i="6"/>
  <c r="I1627" i="6"/>
  <c r="X1791" i="6"/>
  <c r="W1791" i="6"/>
  <c r="V1791" i="6"/>
  <c r="I1791" i="6"/>
  <c r="W1934" i="6"/>
  <c r="V1934" i="6"/>
  <c r="X1934" i="6"/>
  <c r="I1934" i="6"/>
  <c r="V2294" i="6"/>
  <c r="W3044" i="6"/>
  <c r="X3044" i="6"/>
  <c r="I3044" i="6"/>
  <c r="V3044" i="6"/>
  <c r="K23" i="6"/>
  <c r="N7" i="5" s="1"/>
  <c r="V183" i="6"/>
  <c r="J622" i="6"/>
  <c r="J675" i="6"/>
  <c r="I703" i="6"/>
  <c r="W703" i="6"/>
  <c r="X703" i="6"/>
  <c r="V703" i="6"/>
  <c r="X764" i="6"/>
  <c r="W764" i="6"/>
  <c r="I764" i="6"/>
  <c r="J824" i="6"/>
  <c r="I871" i="6"/>
  <c r="X871" i="6"/>
  <c r="V999" i="6"/>
  <c r="W1295" i="6"/>
  <c r="J1451" i="6"/>
  <c r="K1451" i="6"/>
  <c r="R96" i="5" s="1"/>
  <c r="AH96" i="5" s="1"/>
  <c r="K1774" i="6"/>
  <c r="U116" i="5" s="1"/>
  <c r="J1774" i="6"/>
  <c r="V1900" i="6"/>
  <c r="X1900" i="6"/>
  <c r="I1900" i="6"/>
  <c r="V1992" i="6"/>
  <c r="W1992" i="6"/>
  <c r="X1992" i="6"/>
  <c r="I1992" i="6"/>
  <c r="W2266" i="6"/>
  <c r="I2266" i="6"/>
  <c r="X2266" i="6"/>
  <c r="V2266" i="6"/>
  <c r="X3727" i="6"/>
  <c r="W3727" i="6"/>
  <c r="I3727" i="6"/>
  <c r="X23" i="6"/>
  <c r="W23" i="6"/>
  <c r="V48" i="6"/>
  <c r="X60" i="6"/>
  <c r="I60" i="6"/>
  <c r="W60" i="6"/>
  <c r="J66" i="6"/>
  <c r="W139" i="6"/>
  <c r="X139" i="6"/>
  <c r="I139" i="6"/>
  <c r="K215" i="6"/>
  <c r="N19" i="5" s="1"/>
  <c r="I228" i="6"/>
  <c r="X228" i="6"/>
  <c r="K401" i="6"/>
  <c r="X30" i="5" s="1"/>
  <c r="K543" i="6"/>
  <c r="V39" i="5" s="1"/>
  <c r="X579" i="6"/>
  <c r="I579" i="6"/>
  <c r="I604" i="6"/>
  <c r="W604" i="6"/>
  <c r="X604" i="6"/>
  <c r="V604" i="6"/>
  <c r="X628" i="6"/>
  <c r="W628" i="6"/>
  <c r="I628" i="6"/>
  <c r="V628" i="6"/>
  <c r="K670" i="6"/>
  <c r="U47" i="5" s="1"/>
  <c r="J670" i="6"/>
  <c r="V764" i="6"/>
  <c r="I860" i="6"/>
  <c r="X860" i="6"/>
  <c r="V871" i="6"/>
  <c r="K1132" i="6"/>
  <c r="S76" i="5" s="1"/>
  <c r="I1622" i="6"/>
  <c r="W1622" i="6"/>
  <c r="X1622" i="6"/>
  <c r="J1768" i="6"/>
  <c r="K1768" i="6"/>
  <c r="O116" i="5" s="1"/>
  <c r="W1900" i="6"/>
  <c r="K1966" i="6"/>
  <c r="U128" i="5" s="1"/>
  <c r="J1966" i="6"/>
  <c r="J2259" i="6"/>
  <c r="W2267" i="6"/>
  <c r="I2267" i="6"/>
  <c r="X2267" i="6"/>
  <c r="V2267" i="6"/>
  <c r="K2669" i="6"/>
  <c r="T172" i="5" s="1"/>
  <c r="J2669" i="6"/>
  <c r="K2683" i="6"/>
  <c r="R173" i="5" s="1"/>
  <c r="AH173" i="5" s="1"/>
  <c r="J2683" i="6"/>
  <c r="K2688" i="6"/>
  <c r="W173" i="5" s="1"/>
  <c r="J2688" i="6"/>
  <c r="V2722" i="6"/>
  <c r="I2722" i="6"/>
  <c r="W2722" i="6"/>
  <c r="X2722" i="6"/>
  <c r="I2832" i="6"/>
  <c r="X2832" i="6"/>
  <c r="V2832" i="6"/>
  <c r="W2832" i="6"/>
  <c r="K2860" i="6"/>
  <c r="S184" i="5" s="1"/>
  <c r="J2860" i="6"/>
  <c r="I3646" i="6"/>
  <c r="W3646" i="6"/>
  <c r="X3646" i="6"/>
  <c r="V3727" i="6"/>
  <c r="K89" i="6"/>
  <c r="P11" i="5" s="1"/>
  <c r="J89" i="6"/>
  <c r="I3515" i="6"/>
  <c r="X3515" i="6"/>
  <c r="W3515" i="6"/>
  <c r="V3515" i="6"/>
  <c r="AP121" i="5"/>
  <c r="AP48" i="5"/>
  <c r="V23" i="6"/>
  <c r="X48" i="6"/>
  <c r="V60" i="6"/>
  <c r="V139" i="6"/>
  <c r="X215" i="6"/>
  <c r="W215" i="6"/>
  <c r="V215" i="6"/>
  <c r="V228" i="6"/>
  <c r="J304" i="6"/>
  <c r="K304" i="6"/>
  <c r="W24" i="5" s="1"/>
  <c r="X356" i="6"/>
  <c r="I356" i="6"/>
  <c r="V375" i="6"/>
  <c r="I375" i="6"/>
  <c r="V579" i="6"/>
  <c r="K586" i="6"/>
  <c r="Q42" i="5" s="1"/>
  <c r="J586" i="6"/>
  <c r="V860" i="6"/>
  <c r="W871" i="6"/>
  <c r="V1132" i="6"/>
  <c r="X1132" i="6"/>
  <c r="W1132" i="6"/>
  <c r="I1586" i="6"/>
  <c r="W1586" i="6"/>
  <c r="V1586" i="6"/>
  <c r="X1586" i="6"/>
  <c r="J1616" i="6"/>
  <c r="V1622" i="6"/>
  <c r="I1782" i="6"/>
  <c r="W1782" i="6"/>
  <c r="X1782" i="6"/>
  <c r="V1860" i="6"/>
  <c r="I1860" i="6"/>
  <c r="W1860" i="6"/>
  <c r="X1860" i="6"/>
  <c r="K2455" i="6"/>
  <c r="N159" i="5" s="1"/>
  <c r="J2455" i="6"/>
  <c r="K2662" i="6"/>
  <c r="M172" i="5" s="1"/>
  <c r="J2662" i="6"/>
  <c r="V3422" i="6"/>
  <c r="X3422" i="6"/>
  <c r="W3422" i="6"/>
  <c r="I3422" i="6"/>
  <c r="J3595" i="6"/>
  <c r="K3595" i="6"/>
  <c r="R230" i="5" s="1"/>
  <c r="X183" i="6"/>
  <c r="I183" i="6"/>
  <c r="W1450" i="6"/>
  <c r="V1450" i="6"/>
  <c r="X1450" i="6"/>
  <c r="J1706" i="6"/>
  <c r="K1706" i="6"/>
  <c r="Q112" i="5" s="1"/>
  <c r="AE182" i="5"/>
  <c r="AD182" i="5"/>
  <c r="W228" i="6"/>
  <c r="V304" i="6"/>
  <c r="I343" i="6"/>
  <c r="X343" i="6"/>
  <c r="W343" i="6"/>
  <c r="V343" i="6"/>
  <c r="V356" i="6"/>
  <c r="W375" i="6"/>
  <c r="W579" i="6"/>
  <c r="I748" i="6"/>
  <c r="X748" i="6"/>
  <c r="W748" i="6"/>
  <c r="J771" i="6"/>
  <c r="W860" i="6"/>
  <c r="W1079" i="6"/>
  <c r="V1079" i="6"/>
  <c r="I1079" i="6"/>
  <c r="K1104" i="6"/>
  <c r="W74" i="5" s="1"/>
  <c r="J1104" i="6"/>
  <c r="I1296" i="6"/>
  <c r="X1296" i="6"/>
  <c r="I1380" i="6"/>
  <c r="V1380" i="6"/>
  <c r="X1380" i="6"/>
  <c r="J1587" i="6"/>
  <c r="K1587" i="6"/>
  <c r="Z104" i="5" s="1"/>
  <c r="V1782" i="6"/>
  <c r="K1846" i="6"/>
  <c r="M121" i="5" s="1"/>
  <c r="J1846" i="6"/>
  <c r="W1852" i="6"/>
  <c r="K1914" i="6"/>
  <c r="Q125" i="5" s="1"/>
  <c r="J1914" i="6"/>
  <c r="I2100" i="6"/>
  <c r="X2100" i="6"/>
  <c r="W2100" i="6"/>
  <c r="V2100" i="6"/>
  <c r="I2382" i="6"/>
  <c r="V2382" i="6"/>
  <c r="X2382" i="6"/>
  <c r="W2382" i="6"/>
  <c r="I2818" i="6"/>
  <c r="X2818" i="6"/>
  <c r="W2818" i="6"/>
  <c r="V2818" i="6"/>
  <c r="K11" i="6"/>
  <c r="J11" i="6"/>
  <c r="I1295" i="6"/>
  <c r="V1295" i="6"/>
  <c r="X1348" i="6"/>
  <c r="V1348" i="6"/>
  <c r="W1348" i="6"/>
  <c r="K1685" i="6"/>
  <c r="AB110" i="5" s="1"/>
  <c r="J1685" i="6"/>
  <c r="W1859" i="6"/>
  <c r="V1859" i="6"/>
  <c r="I1859" i="6"/>
  <c r="K3653" i="6"/>
  <c r="AB233" i="5" s="1"/>
  <c r="J3653" i="6"/>
  <c r="AO28" i="5"/>
  <c r="AI31" i="5"/>
  <c r="AM80" i="5"/>
  <c r="AN80" i="5"/>
  <c r="AP93" i="5"/>
  <c r="K6" i="6"/>
  <c r="J6" i="6"/>
  <c r="X140" i="6"/>
  <c r="W140" i="6"/>
  <c r="V140" i="6"/>
  <c r="I140" i="6"/>
  <c r="V203" i="6"/>
  <c r="X203" i="6"/>
  <c r="I203" i="6"/>
  <c r="W304" i="6"/>
  <c r="W356" i="6"/>
  <c r="X375" i="6"/>
  <c r="K515" i="6"/>
  <c r="Z37" i="5" s="1"/>
  <c r="J515" i="6"/>
  <c r="I567" i="6"/>
  <c r="X567" i="6"/>
  <c r="W567" i="6"/>
  <c r="V567" i="6"/>
  <c r="J580" i="6"/>
  <c r="K580" i="6"/>
  <c r="AA41" i="5" s="1"/>
  <c r="J611" i="6"/>
  <c r="K611" i="6"/>
  <c r="Z43" i="5" s="1"/>
  <c r="I647" i="6"/>
  <c r="X647" i="6"/>
  <c r="W647" i="6"/>
  <c r="V711" i="6"/>
  <c r="X711" i="6"/>
  <c r="I711" i="6"/>
  <c r="V748" i="6"/>
  <c r="I759" i="6"/>
  <c r="X759" i="6"/>
  <c r="W759" i="6"/>
  <c r="J783" i="6"/>
  <c r="K854" i="6"/>
  <c r="M59" i="5" s="1"/>
  <c r="J854" i="6"/>
  <c r="K1024" i="6"/>
  <c r="W69" i="5" s="1"/>
  <c r="J1024" i="6"/>
  <c r="J1054" i="6"/>
  <c r="X1079" i="6"/>
  <c r="V1296" i="6"/>
  <c r="J1307" i="6"/>
  <c r="K1368" i="6"/>
  <c r="O91" i="5" s="1"/>
  <c r="J1368" i="6"/>
  <c r="V1516" i="6"/>
  <c r="W1516" i="6"/>
  <c r="I1516" i="6"/>
  <c r="V1616" i="6"/>
  <c r="X1616" i="6"/>
  <c r="W1616" i="6"/>
  <c r="V1700" i="6"/>
  <c r="I1700" i="6"/>
  <c r="X1700" i="6"/>
  <c r="W1700" i="6"/>
  <c r="X1846" i="6"/>
  <c r="W1846" i="6"/>
  <c r="X1852" i="6"/>
  <c r="J2225" i="6"/>
  <c r="J2826" i="6"/>
  <c r="K2826" i="6"/>
  <c r="Q182" i="5" s="1"/>
  <c r="X71" i="6"/>
  <c r="W71" i="6"/>
  <c r="K616" i="6"/>
  <c r="O44" i="5" s="1"/>
  <c r="J616" i="6"/>
  <c r="W999" i="6"/>
  <c r="I999" i="6"/>
  <c r="I2418" i="6"/>
  <c r="V2418" i="6"/>
  <c r="W2418" i="6"/>
  <c r="X2418" i="6"/>
  <c r="AQ28" i="5"/>
  <c r="AO76" i="5"/>
  <c r="AD81" i="5"/>
  <c r="AC81" i="5"/>
  <c r="K18" i="6"/>
  <c r="J18" i="6"/>
  <c r="I96" i="6"/>
  <c r="X96" i="6"/>
  <c r="V96" i="6"/>
  <c r="J116" i="6"/>
  <c r="K116" i="6"/>
  <c r="AA12" i="5" s="1"/>
  <c r="V128" i="6"/>
  <c r="W203" i="6"/>
  <c r="V248" i="6"/>
  <c r="I248" i="6"/>
  <c r="I268" i="6"/>
  <c r="W268" i="6"/>
  <c r="X304" i="6"/>
  <c r="K568" i="6"/>
  <c r="O41" i="5" s="1"/>
  <c r="J568" i="6"/>
  <c r="W580" i="6"/>
  <c r="V580" i="6"/>
  <c r="X580" i="6"/>
  <c r="V647" i="6"/>
  <c r="W711" i="6"/>
  <c r="J718" i="6"/>
  <c r="V759" i="6"/>
  <c r="X848" i="6"/>
  <c r="W848" i="6"/>
  <c r="I848" i="6"/>
  <c r="V848" i="6"/>
  <c r="J1018" i="6"/>
  <c r="K1200" i="6"/>
  <c r="W80" i="5" s="1"/>
  <c r="J1200" i="6"/>
  <c r="W1296" i="6"/>
  <c r="I1343" i="6"/>
  <c r="V1343" i="6"/>
  <c r="X1343" i="6"/>
  <c r="X1516" i="6"/>
  <c r="W1530" i="6"/>
  <c r="X1530" i="6"/>
  <c r="V1530" i="6"/>
  <c r="I1530" i="6"/>
  <c r="K1644" i="6"/>
  <c r="S108" i="5" s="1"/>
  <c r="J1644" i="6"/>
  <c r="K1819" i="6"/>
  <c r="R119" i="5" s="1"/>
  <c r="AH119" i="5" s="1"/>
  <c r="V1846" i="6"/>
  <c r="X2191" i="6"/>
  <c r="I2191" i="6"/>
  <c r="V2191" i="6"/>
  <c r="I2198" i="6"/>
  <c r="X2198" i="6"/>
  <c r="W2198" i="6"/>
  <c r="AP89" i="5"/>
  <c r="AQ200" i="5"/>
  <c r="AP200" i="5"/>
  <c r="K46" i="6"/>
  <c r="U8" i="5" s="1"/>
  <c r="J46" i="6"/>
  <c r="K81" i="6"/>
  <c r="X10" i="5" s="1"/>
  <c r="J81" i="6"/>
  <c r="K118" i="6"/>
  <c r="M13" i="5" s="1"/>
  <c r="J118" i="6"/>
  <c r="I147" i="6"/>
  <c r="V147" i="6"/>
  <c r="W147" i="6"/>
  <c r="K290" i="6"/>
  <c r="Y23" i="5" s="1"/>
  <c r="AO23" i="5" s="1"/>
  <c r="J290" i="6"/>
  <c r="K1043" i="6"/>
  <c r="Z70" i="5" s="1"/>
  <c r="J1043" i="6"/>
  <c r="X1080" i="6"/>
  <c r="V1080" i="6"/>
  <c r="I1080" i="6"/>
  <c r="J1188" i="6"/>
  <c r="J1276" i="6"/>
  <c r="K1276" i="6"/>
  <c r="S85" i="5" s="1"/>
  <c r="W1483" i="6"/>
  <c r="X1483" i="6"/>
  <c r="V1483" i="6"/>
  <c r="I1483" i="6"/>
  <c r="J1625" i="6"/>
  <c r="K1625" i="6"/>
  <c r="P107" i="5" s="1"/>
  <c r="K1743" i="6"/>
  <c r="V114" i="5" s="1"/>
  <c r="J1743" i="6"/>
  <c r="I2176" i="6"/>
  <c r="X2176" i="6"/>
  <c r="V2176" i="6"/>
  <c r="W2176" i="6"/>
  <c r="W2251" i="6"/>
  <c r="V2251" i="6"/>
  <c r="I2251" i="6"/>
  <c r="W2339" i="6"/>
  <c r="I2339" i="6"/>
  <c r="I3346" i="6"/>
  <c r="X3346" i="6"/>
  <c r="V3346" i="6"/>
  <c r="W3346" i="6"/>
  <c r="AQ209" i="5"/>
  <c r="AP209" i="5"/>
  <c r="J99" i="6"/>
  <c r="K99" i="6"/>
  <c r="Z11" i="5" s="1"/>
  <c r="K159" i="6"/>
  <c r="V15" i="5" s="1"/>
  <c r="J159" i="6"/>
  <c r="W284" i="6"/>
  <c r="I284" i="6"/>
  <c r="K600" i="6"/>
  <c r="O43" i="5" s="1"/>
  <c r="J600" i="6"/>
  <c r="X648" i="6"/>
  <c r="W648" i="6"/>
  <c r="I648" i="6"/>
  <c r="X691" i="6"/>
  <c r="I691" i="6"/>
  <c r="W691" i="6"/>
  <c r="V691" i="6"/>
  <c r="I888" i="6"/>
  <c r="X888" i="6"/>
  <c r="W888" i="6"/>
  <c r="V888" i="6"/>
  <c r="J978" i="6"/>
  <c r="X1068" i="6"/>
  <c r="W1068" i="6"/>
  <c r="I1068" i="6"/>
  <c r="I1151" i="6"/>
  <c r="V1151" i="6"/>
  <c r="K1182" i="6"/>
  <c r="U79" i="5" s="1"/>
  <c r="J1182" i="6"/>
  <c r="K1407" i="6"/>
  <c r="V93" i="5" s="1"/>
  <c r="J1407" i="6"/>
  <c r="I1575" i="6"/>
  <c r="V1575" i="6"/>
  <c r="X1575" i="6"/>
  <c r="W1575" i="6"/>
  <c r="K2115" i="6"/>
  <c r="Z137" i="5" s="1"/>
  <c r="J2115" i="6"/>
  <c r="J2410" i="6"/>
  <c r="K2410" i="6"/>
  <c r="Q156" i="5" s="1"/>
  <c r="K3132" i="6"/>
  <c r="S201" i="5" s="1"/>
  <c r="J3132" i="6"/>
  <c r="J3331" i="6"/>
  <c r="K3331" i="6"/>
  <c r="Z213" i="5" s="1"/>
  <c r="J3550" i="6"/>
  <c r="K3550" i="6"/>
  <c r="U227" i="5" s="1"/>
  <c r="J121" i="6"/>
  <c r="K121" i="6"/>
  <c r="P13" i="5" s="1"/>
  <c r="K213" i="6"/>
  <c r="AB18" i="5" s="1"/>
  <c r="J213" i="6"/>
  <c r="J743" i="6"/>
  <c r="K743" i="6"/>
  <c r="N52" i="5" s="1"/>
  <c r="I1272" i="6"/>
  <c r="W1272" i="6"/>
  <c r="X1272" i="6"/>
  <c r="K1332" i="6"/>
  <c r="AA88" i="5" s="1"/>
  <c r="J1332" i="6"/>
  <c r="V1552" i="6"/>
  <c r="I1552" i="6"/>
  <c r="X1552" i="6"/>
  <c r="W1552" i="6"/>
  <c r="V1780" i="6"/>
  <c r="I1780" i="6"/>
  <c r="W1780" i="6"/>
  <c r="W2118" i="6"/>
  <c r="X2118" i="6"/>
  <c r="V2118" i="6"/>
  <c r="I2118" i="6"/>
  <c r="K2582" i="6"/>
  <c r="M167" i="5" s="1"/>
  <c r="J2582" i="6"/>
  <c r="X2763" i="6"/>
  <c r="V2763" i="6"/>
  <c r="I2763" i="6"/>
  <c r="W2763" i="6"/>
  <c r="K3368" i="6"/>
  <c r="O216" i="5" s="1"/>
  <c r="J3368" i="6"/>
  <c r="K115" i="6"/>
  <c r="Z12" i="5" s="1"/>
  <c r="J115" i="6"/>
  <c r="K138" i="6"/>
  <c r="Q14" i="5" s="1"/>
  <c r="J138" i="6"/>
  <c r="K332" i="6"/>
  <c r="S26" i="5" s="1"/>
  <c r="I376" i="6"/>
  <c r="V376" i="6"/>
  <c r="X376" i="6"/>
  <c r="W376" i="6"/>
  <c r="I455" i="6"/>
  <c r="X455" i="6"/>
  <c r="W455" i="6"/>
  <c r="V455" i="6"/>
  <c r="J542" i="6"/>
  <c r="K554" i="6"/>
  <c r="Q40" i="5" s="1"/>
  <c r="J554" i="6"/>
  <c r="I796" i="6"/>
  <c r="J843" i="6"/>
  <c r="J1040" i="6"/>
  <c r="V1272" i="6"/>
  <c r="X1332" i="6"/>
  <c r="W1332" i="6"/>
  <c r="K1515" i="6"/>
  <c r="R100" i="5" s="1"/>
  <c r="J1515" i="6"/>
  <c r="K1614" i="6"/>
  <c r="U106" i="5" s="1"/>
  <c r="X1780" i="6"/>
  <c r="V1816" i="6"/>
  <c r="W1816" i="6"/>
  <c r="X1816" i="6"/>
  <c r="I1816" i="6"/>
  <c r="I2119" i="6"/>
  <c r="X2119" i="6"/>
  <c r="W2119" i="6"/>
  <c r="V2119" i="6"/>
  <c r="V2314" i="6"/>
  <c r="I2314" i="6"/>
  <c r="X2314" i="6"/>
  <c r="W2314" i="6"/>
  <c r="J2450" i="6"/>
  <c r="K2450" i="6"/>
  <c r="Y158" i="5" s="1"/>
  <c r="W2574" i="6"/>
  <c r="X2574" i="6"/>
  <c r="I2574" i="6"/>
  <c r="J2591" i="6"/>
  <c r="I2755" i="6"/>
  <c r="X2755" i="6"/>
  <c r="W2755" i="6"/>
  <c r="V2755" i="6"/>
  <c r="X2764" i="6"/>
  <c r="W2764" i="6"/>
  <c r="V2764" i="6"/>
  <c r="I2764" i="6"/>
  <c r="I2772" i="6"/>
  <c r="X2772" i="6"/>
  <c r="V2772" i="6"/>
  <c r="K2793" i="6"/>
  <c r="P180" i="5" s="1"/>
  <c r="W2799" i="6"/>
  <c r="V2799" i="6"/>
  <c r="I2799" i="6"/>
  <c r="X2799" i="6"/>
  <c r="AO129" i="5"/>
  <c r="K8" i="6"/>
  <c r="J8" i="6"/>
  <c r="AA6" i="5"/>
  <c r="K351" i="6"/>
  <c r="V27" i="5" s="1"/>
  <c r="J351" i="6"/>
  <c r="V408" i="6"/>
  <c r="W408" i="6"/>
  <c r="I408" i="6"/>
  <c r="K922" i="6"/>
  <c r="Q63" i="5" s="1"/>
  <c r="J922" i="6"/>
  <c r="X1052" i="6"/>
  <c r="W1052" i="6"/>
  <c r="I1052" i="6"/>
  <c r="X1219" i="6"/>
  <c r="W1219" i="6"/>
  <c r="V1219" i="6"/>
  <c r="I1219" i="6"/>
  <c r="I1291" i="6"/>
  <c r="W1291" i="6"/>
  <c r="V1291" i="6"/>
  <c r="W1344" i="6"/>
  <c r="V1344" i="6"/>
  <c r="X1344" i="6"/>
  <c r="I1344" i="6"/>
  <c r="K1386" i="6"/>
  <c r="Q92" i="5" s="1"/>
  <c r="J1386" i="6"/>
  <c r="X1394" i="6"/>
  <c r="W1394" i="6"/>
  <c r="I1394" i="6"/>
  <c r="V1394" i="6"/>
  <c r="V1614" i="6"/>
  <c r="X1614" i="6"/>
  <c r="W1614" i="6"/>
  <c r="X2006" i="6"/>
  <c r="I2006" i="6"/>
  <c r="W2450" i="6"/>
  <c r="V2450" i="6"/>
  <c r="X2450" i="6"/>
  <c r="K2552" i="6"/>
  <c r="O165" i="5" s="1"/>
  <c r="J2552" i="6"/>
  <c r="V2574" i="6"/>
  <c r="W2772" i="6"/>
  <c r="K3001" i="6"/>
  <c r="P193" i="5" s="1"/>
  <c r="J3001" i="6"/>
  <c r="AQ86" i="5"/>
  <c r="AN173" i="5"/>
  <c r="V8" i="6"/>
  <c r="J20" i="6"/>
  <c r="X176" i="6"/>
  <c r="W176" i="6"/>
  <c r="I176" i="6"/>
  <c r="X408" i="6"/>
  <c r="J415" i="6"/>
  <c r="K415" i="6"/>
  <c r="V31" i="5" s="1"/>
  <c r="W503" i="6"/>
  <c r="V503" i="6"/>
  <c r="I503" i="6"/>
  <c r="J514" i="6"/>
  <c r="J615" i="6"/>
  <c r="K615" i="6"/>
  <c r="N44" i="5" s="1"/>
  <c r="X651" i="6"/>
  <c r="I651" i="6"/>
  <c r="V796" i="6"/>
  <c r="K898" i="6"/>
  <c r="Y61" i="5" s="1"/>
  <c r="J898" i="6"/>
  <c r="X951" i="6"/>
  <c r="I951" i="6"/>
  <c r="W951" i="6"/>
  <c r="X1040" i="6"/>
  <c r="W1040" i="6"/>
  <c r="V1040" i="6"/>
  <c r="V1052" i="6"/>
  <c r="X1083" i="6"/>
  <c r="I1083" i="6"/>
  <c r="W1083" i="6"/>
  <c r="V1083" i="6"/>
  <c r="I1179" i="6"/>
  <c r="X1179" i="6"/>
  <c r="X1291" i="6"/>
  <c r="K1713" i="6"/>
  <c r="X112" i="5" s="1"/>
  <c r="J1713" i="6"/>
  <c r="K1793" i="6"/>
  <c r="V1920" i="6"/>
  <c r="X1920" i="6"/>
  <c r="W1920" i="6"/>
  <c r="I1920" i="6"/>
  <c r="V2006" i="6"/>
  <c r="K2069" i="6"/>
  <c r="AB134" i="5" s="1"/>
  <c r="J2069" i="6"/>
  <c r="K2105" i="6"/>
  <c r="P137" i="5" s="1"/>
  <c r="J2357" i="6"/>
  <c r="K2357" i="6"/>
  <c r="AB152" i="5" s="1"/>
  <c r="J2566" i="6"/>
  <c r="K2566" i="6"/>
  <c r="M166" i="5" s="1"/>
  <c r="K171" i="6"/>
  <c r="R16" i="5" s="1"/>
  <c r="J171" i="6"/>
  <c r="V207" i="6"/>
  <c r="I207" i="6"/>
  <c r="X207" i="6"/>
  <c r="V232" i="6"/>
  <c r="I232" i="6"/>
  <c r="X232" i="6"/>
  <c r="K275" i="6"/>
  <c r="Z22" i="5" s="1"/>
  <c r="J275" i="6"/>
  <c r="I311" i="6"/>
  <c r="X311" i="6"/>
  <c r="W311" i="6"/>
  <c r="I367" i="6"/>
  <c r="V367" i="6"/>
  <c r="W367" i="6"/>
  <c r="W480" i="6"/>
  <c r="X480" i="6"/>
  <c r="K644" i="6"/>
  <c r="AA45" i="5" s="1"/>
  <c r="J644" i="6"/>
  <c r="I740" i="6"/>
  <c r="X740" i="6"/>
  <c r="W740" i="6"/>
  <c r="X1099" i="6"/>
  <c r="I1099" i="6"/>
  <c r="V1099" i="6"/>
  <c r="W1418" i="6"/>
  <c r="X1418" i="6"/>
  <c r="V1418" i="6"/>
  <c r="J1469" i="6"/>
  <c r="K1469" i="6"/>
  <c r="T97" i="5" s="1"/>
  <c r="AI97" i="5" s="1"/>
  <c r="K1610" i="6"/>
  <c r="Q106" i="5" s="1"/>
  <c r="AG106" i="5" s="1"/>
  <c r="J1610" i="6"/>
  <c r="V1768" i="6"/>
  <c r="W1768" i="6"/>
  <c r="K1935" i="6"/>
  <c r="V126" i="5" s="1"/>
  <c r="J1935" i="6"/>
  <c r="V2028" i="6"/>
  <c r="X2028" i="6"/>
  <c r="W2028" i="6"/>
  <c r="I2028" i="6"/>
  <c r="I2320" i="6"/>
  <c r="W2320" i="6"/>
  <c r="V2320" i="6"/>
  <c r="X2320" i="6"/>
  <c r="V2868" i="6"/>
  <c r="W2868" i="6"/>
  <c r="X2868" i="6"/>
  <c r="I2868" i="6"/>
  <c r="J3320" i="6"/>
  <c r="K3320" i="6"/>
  <c r="O213" i="5" s="1"/>
  <c r="X3359" i="6"/>
  <c r="V3359" i="6"/>
  <c r="W3359" i="6"/>
  <c r="I3359" i="6"/>
  <c r="W3666" i="6"/>
  <c r="X3666" i="6"/>
  <c r="V3666" i="6"/>
  <c r="I3666" i="6"/>
  <c r="J73" i="6"/>
  <c r="K119" i="6"/>
  <c r="N13" i="5" s="1"/>
  <c r="J119" i="6"/>
  <c r="V171" i="6"/>
  <c r="K178" i="6"/>
  <c r="Y16" i="5" s="1"/>
  <c r="AO16" i="5" s="1"/>
  <c r="J178" i="6"/>
  <c r="W207" i="6"/>
  <c r="K220" i="6"/>
  <c r="S19" i="5" s="1"/>
  <c r="W232" i="6"/>
  <c r="K270" i="6"/>
  <c r="U22" i="5" s="1"/>
  <c r="J270" i="6"/>
  <c r="W280" i="6"/>
  <c r="I280" i="6"/>
  <c r="J286" i="6"/>
  <c r="V311" i="6"/>
  <c r="X355" i="6"/>
  <c r="I355" i="6"/>
  <c r="W355" i="6"/>
  <c r="V355" i="6"/>
  <c r="X367" i="6"/>
  <c r="V480" i="6"/>
  <c r="I555" i="6"/>
  <c r="X555" i="6"/>
  <c r="W555" i="6"/>
  <c r="V655" i="6"/>
  <c r="I655" i="6"/>
  <c r="V740" i="6"/>
  <c r="W776" i="6"/>
  <c r="X776" i="6"/>
  <c r="I776" i="6"/>
  <c r="X816" i="6"/>
  <c r="W816" i="6"/>
  <c r="I816" i="6"/>
  <c r="J1008" i="6"/>
  <c r="I1063" i="6"/>
  <c r="V1063" i="6"/>
  <c r="W1063" i="6"/>
  <c r="W1099" i="6"/>
  <c r="V1104" i="6"/>
  <c r="K1355" i="6"/>
  <c r="R90" i="5" s="1"/>
  <c r="J1355" i="6"/>
  <c r="V1412" i="6"/>
  <c r="X1412" i="6"/>
  <c r="W1412" i="6"/>
  <c r="I1412" i="6"/>
  <c r="V1419" i="6"/>
  <c r="I1419" i="6"/>
  <c r="W1419" i="6"/>
  <c r="X1686" i="6"/>
  <c r="W1686" i="6"/>
  <c r="V1686" i="6"/>
  <c r="I1686" i="6"/>
  <c r="X1768" i="6"/>
  <c r="K1800" i="6"/>
  <c r="O118" i="5" s="1"/>
  <c r="J1800" i="6"/>
  <c r="X1935" i="6"/>
  <c r="V1935" i="6"/>
  <c r="W1935" i="6"/>
  <c r="X1999" i="6"/>
  <c r="I1999" i="6"/>
  <c r="W1999" i="6"/>
  <c r="J2037" i="6"/>
  <c r="K2180" i="6"/>
  <c r="AA141" i="5" s="1"/>
  <c r="X2838" i="6"/>
  <c r="I2838" i="6"/>
  <c r="K144" i="6"/>
  <c r="W14" i="5" s="1"/>
  <c r="J144" i="6"/>
  <c r="I167" i="6"/>
  <c r="X167" i="6"/>
  <c r="W167" i="6"/>
  <c r="V167" i="6"/>
  <c r="I235" i="6"/>
  <c r="X235" i="6"/>
  <c r="I259" i="6"/>
  <c r="X259" i="6"/>
  <c r="W259" i="6"/>
  <c r="V295" i="6"/>
  <c r="X295" i="6"/>
  <c r="J321" i="6"/>
  <c r="J327" i="6"/>
  <c r="K327" i="6"/>
  <c r="N26" i="5" s="1"/>
  <c r="V599" i="6"/>
  <c r="X599" i="6"/>
  <c r="I599" i="6"/>
  <c r="I959" i="6"/>
  <c r="V959" i="6"/>
  <c r="K1072" i="6"/>
  <c r="W72" i="5" s="1"/>
  <c r="J1072" i="6"/>
  <c r="I1487" i="6"/>
  <c r="W1487" i="6"/>
  <c r="I1626" i="6"/>
  <c r="X1626" i="6"/>
  <c r="I1674" i="6"/>
  <c r="X1674" i="6"/>
  <c r="W1674" i="6"/>
  <c r="V1674" i="6"/>
  <c r="J1703" i="6"/>
  <c r="K1703" i="6"/>
  <c r="N112" i="5" s="1"/>
  <c r="K1716" i="6"/>
  <c r="AA112" i="5" s="1"/>
  <c r="J1716" i="6"/>
  <c r="K1744" i="6"/>
  <c r="W114" i="5" s="1"/>
  <c r="J1744" i="6"/>
  <c r="J1751" i="6"/>
  <c r="K1751" i="6"/>
  <c r="N115" i="5" s="1"/>
  <c r="K1847" i="6"/>
  <c r="N121" i="5" s="1"/>
  <c r="J1847" i="6"/>
  <c r="K2407" i="6"/>
  <c r="N156" i="5" s="1"/>
  <c r="AD156" i="5" s="1"/>
  <c r="J2407" i="6"/>
  <c r="K2779" i="6"/>
  <c r="R179" i="5" s="1"/>
  <c r="J2779" i="6"/>
  <c r="I2786" i="6"/>
  <c r="X2786" i="6"/>
  <c r="W2786" i="6"/>
  <c r="V2786" i="6"/>
  <c r="K266" i="6"/>
  <c r="Q22" i="5" s="1"/>
  <c r="J266" i="6"/>
  <c r="K358" i="6"/>
  <c r="M28" i="5" s="1"/>
  <c r="J358" i="6"/>
  <c r="K414" i="6"/>
  <c r="U31" i="5" s="1"/>
  <c r="AJ31" i="5" s="1"/>
  <c r="J414" i="6"/>
  <c r="K524" i="6"/>
  <c r="S38" i="5" s="1"/>
  <c r="J524" i="6"/>
  <c r="V552" i="6"/>
  <c r="I552" i="6"/>
  <c r="X611" i="6"/>
  <c r="W611" i="6"/>
  <c r="V611" i="6"/>
  <c r="I623" i="6"/>
  <c r="X623" i="6"/>
  <c r="J663" i="6"/>
  <c r="K663" i="6"/>
  <c r="N47" i="5" s="1"/>
  <c r="K808" i="6"/>
  <c r="O56" i="5" s="1"/>
  <c r="J808" i="6"/>
  <c r="K902" i="6"/>
  <c r="M62" i="5" s="1"/>
  <c r="J902" i="6"/>
  <c r="K1578" i="6"/>
  <c r="Q104" i="5" s="1"/>
  <c r="J1578" i="6"/>
  <c r="J1646" i="6"/>
  <c r="K1646" i="6"/>
  <c r="U108" i="5" s="1"/>
  <c r="V1840" i="6"/>
  <c r="W1840" i="6"/>
  <c r="J2273" i="6"/>
  <c r="K2273" i="6"/>
  <c r="X147" i="5" s="1"/>
  <c r="W2986" i="6"/>
  <c r="I2986" i="6"/>
  <c r="X2986" i="6"/>
  <c r="V2986" i="6"/>
  <c r="J3445" i="6"/>
  <c r="K3445" i="6"/>
  <c r="AB220" i="5" s="1"/>
  <c r="I36" i="6"/>
  <c r="V36" i="6"/>
  <c r="J70" i="6"/>
  <c r="W80" i="6"/>
  <c r="V80" i="6"/>
  <c r="K98" i="6"/>
  <c r="Y11" i="5" s="1"/>
  <c r="AO11" i="5" s="1"/>
  <c r="W156" i="6"/>
  <c r="I156" i="6"/>
  <c r="V168" i="6"/>
  <c r="I168" i="6"/>
  <c r="W235" i="6"/>
  <c r="W260" i="6"/>
  <c r="V260" i="6"/>
  <c r="I260" i="6"/>
  <c r="X260" i="6"/>
  <c r="K296" i="6"/>
  <c r="O24" i="5" s="1"/>
  <c r="J296" i="6"/>
  <c r="K427" i="6"/>
  <c r="R32" i="5" s="1"/>
  <c r="J427" i="6"/>
  <c r="I483" i="6"/>
  <c r="X483" i="6"/>
  <c r="W495" i="6"/>
  <c r="I495" i="6"/>
  <c r="X495" i="6"/>
  <c r="W552" i="6"/>
  <c r="V623" i="6"/>
  <c r="I696" i="6"/>
  <c r="K755" i="6"/>
  <c r="Z52" i="5" s="1"/>
  <c r="J755" i="6"/>
  <c r="J842" i="6"/>
  <c r="X959" i="6"/>
  <c r="J1235" i="6"/>
  <c r="J1311" i="6"/>
  <c r="J1334" i="6"/>
  <c r="K1537" i="6"/>
  <c r="X101" i="5" s="1"/>
  <c r="J1537" i="6"/>
  <c r="I1710" i="6"/>
  <c r="X1710" i="6"/>
  <c r="X1840" i="6"/>
  <c r="X2211" i="6"/>
  <c r="W2211" i="6"/>
  <c r="V2211" i="6"/>
  <c r="I2211" i="6"/>
  <c r="K2243" i="6"/>
  <c r="Z145" i="5" s="1"/>
  <c r="J2243" i="6"/>
  <c r="J2458" i="6"/>
  <c r="K2458" i="6"/>
  <c r="Q159" i="5" s="1"/>
  <c r="K2680" i="6"/>
  <c r="O173" i="5" s="1"/>
  <c r="J2680" i="6"/>
  <c r="X2780" i="6"/>
  <c r="I2780" i="6"/>
  <c r="W2780" i="6"/>
  <c r="V2987" i="6"/>
  <c r="I2987" i="6"/>
  <c r="W2987" i="6"/>
  <c r="X2987" i="6"/>
  <c r="AP191" i="5"/>
  <c r="AO191" i="5"/>
  <c r="K236" i="6"/>
  <c r="S20" i="5" s="1"/>
  <c r="J236" i="6"/>
  <c r="K594" i="6"/>
  <c r="Y42" i="5" s="1"/>
  <c r="J594" i="6"/>
  <c r="W743" i="6"/>
  <c r="V743" i="6"/>
  <c r="X895" i="6"/>
  <c r="W895" i="6"/>
  <c r="I895" i="6"/>
  <c r="W908" i="6"/>
  <c r="V908" i="6"/>
  <c r="K960" i="6"/>
  <c r="W65" i="5" s="1"/>
  <c r="J960" i="6"/>
  <c r="I983" i="6"/>
  <c r="W983" i="6"/>
  <c r="X983" i="6"/>
  <c r="V983" i="6"/>
  <c r="I1011" i="6"/>
  <c r="V1011" i="6"/>
  <c r="W1136" i="6"/>
  <c r="I1136" i="6"/>
  <c r="V1147" i="6"/>
  <c r="W1147" i="6"/>
  <c r="I1223" i="6"/>
  <c r="X1223" i="6"/>
  <c r="V1223" i="6"/>
  <c r="I1364" i="6"/>
  <c r="W1364" i="6"/>
  <c r="W1438" i="6"/>
  <c r="V1438" i="6"/>
  <c r="I1438" i="6"/>
  <c r="V1472" i="6"/>
  <c r="W1472" i="6"/>
  <c r="I1472" i="6"/>
  <c r="I1514" i="6"/>
  <c r="W1514" i="6"/>
  <c r="X1514" i="6"/>
  <c r="V1514" i="6"/>
  <c r="K1634" i="6"/>
  <c r="Y107" i="5" s="1"/>
  <c r="J1634" i="6"/>
  <c r="X1659" i="6"/>
  <c r="I1659" i="6"/>
  <c r="W1659" i="6"/>
  <c r="V1659" i="6"/>
  <c r="K1968" i="6"/>
  <c r="W128" i="5" s="1"/>
  <c r="AM128" i="5" s="1"/>
  <c r="J1968" i="6"/>
  <c r="J3248" i="6"/>
  <c r="K3248" i="6"/>
  <c r="W208" i="5" s="1"/>
  <c r="K14" i="6"/>
  <c r="J14" i="6"/>
  <c r="I47" i="6"/>
  <c r="X47" i="6"/>
  <c r="J91" i="6"/>
  <c r="K91" i="6"/>
  <c r="R11" i="5" s="1"/>
  <c r="K170" i="6"/>
  <c r="Q16" i="5" s="1"/>
  <c r="AH16" i="5" s="1"/>
  <c r="J170" i="6"/>
  <c r="K307" i="6"/>
  <c r="Z24" i="5" s="1"/>
  <c r="J307" i="6"/>
  <c r="W336" i="6"/>
  <c r="I336" i="6"/>
  <c r="X336" i="6"/>
  <c r="J378" i="6"/>
  <c r="K460" i="6"/>
  <c r="S34" i="5" s="1"/>
  <c r="J460" i="6"/>
  <c r="W499" i="6"/>
  <c r="V499" i="6"/>
  <c r="X584" i="6"/>
  <c r="W584" i="6"/>
  <c r="V584" i="6"/>
  <c r="X596" i="6"/>
  <c r="W596" i="6"/>
  <c r="I596" i="6"/>
  <c r="I695" i="6"/>
  <c r="X695" i="6"/>
  <c r="W695" i="6"/>
  <c r="V695" i="6"/>
  <c r="X747" i="6"/>
  <c r="I747" i="6"/>
  <c r="W747" i="6"/>
  <c r="I815" i="6"/>
  <c r="X815" i="6"/>
  <c r="X827" i="6"/>
  <c r="W827" i="6"/>
  <c r="I827" i="6"/>
  <c r="I832" i="6"/>
  <c r="W832" i="6"/>
  <c r="K844" i="6"/>
  <c r="S58" i="5" s="1"/>
  <c r="J844" i="6"/>
  <c r="X883" i="6"/>
  <c r="W883" i="6"/>
  <c r="I883" i="6"/>
  <c r="V883" i="6"/>
  <c r="X1003" i="6"/>
  <c r="I1003" i="6"/>
  <c r="I1171" i="6"/>
  <c r="W1171" i="6"/>
  <c r="X1171" i="6"/>
  <c r="X1264" i="6"/>
  <c r="W1264" i="6"/>
  <c r="V1264" i="6"/>
  <c r="I1264" i="6"/>
  <c r="K1322" i="6"/>
  <c r="Q88" i="5" s="1"/>
  <c r="J1322" i="6"/>
  <c r="K1491" i="6"/>
  <c r="Z98" i="5" s="1"/>
  <c r="J1491" i="6"/>
  <c r="I1599" i="6"/>
  <c r="X1599" i="6"/>
  <c r="W1599" i="6"/>
  <c r="V1599" i="6"/>
  <c r="X1646" i="6"/>
  <c r="W1646" i="6"/>
  <c r="V1646" i="6"/>
  <c r="V1912" i="6"/>
  <c r="X1912" i="6"/>
  <c r="W1912" i="6"/>
  <c r="I1912" i="6"/>
  <c r="K1929" i="6"/>
  <c r="P126" i="5" s="1"/>
  <c r="J1929" i="6"/>
  <c r="K2020" i="6"/>
  <c r="AA131" i="5" s="1"/>
  <c r="J2020" i="6"/>
  <c r="J2088" i="6"/>
  <c r="K2088" i="6"/>
  <c r="O136" i="5" s="1"/>
  <c r="K2103" i="6"/>
  <c r="N137" i="5" s="1"/>
  <c r="J2103" i="6"/>
  <c r="K2192" i="6"/>
  <c r="W142" i="5" s="1"/>
  <c r="J2192" i="6"/>
  <c r="K2584" i="6"/>
  <c r="O167" i="5" s="1"/>
  <c r="J2584" i="6"/>
  <c r="X2756" i="6"/>
  <c r="V2756" i="6"/>
  <c r="I2756" i="6"/>
  <c r="J2806" i="6"/>
  <c r="K2806" i="6"/>
  <c r="M181" i="5" s="1"/>
  <c r="K2957" i="6"/>
  <c r="T190" i="5" s="1"/>
  <c r="J2957" i="6"/>
  <c r="K1894" i="6"/>
  <c r="M124" i="5" s="1"/>
  <c r="J1894" i="6"/>
  <c r="W1966" i="6"/>
  <c r="X1966" i="6"/>
  <c r="K2023" i="6"/>
  <c r="N132" i="5" s="1"/>
  <c r="J2023" i="6"/>
  <c r="K2404" i="6"/>
  <c r="AA155" i="5" s="1"/>
  <c r="J2404" i="6"/>
  <c r="I2507" i="6"/>
  <c r="X2507" i="6"/>
  <c r="V2507" i="6"/>
  <c r="X2642" i="6"/>
  <c r="W2642" i="6"/>
  <c r="I2642" i="6"/>
  <c r="X3382" i="6"/>
  <c r="W3382" i="6"/>
  <c r="I3382" i="6"/>
  <c r="V27" i="6"/>
  <c r="I27" i="6"/>
  <c r="X27" i="6"/>
  <c r="K82" i="6"/>
  <c r="Y10" i="5" s="1"/>
  <c r="J82" i="6"/>
  <c r="X179" i="6"/>
  <c r="W179" i="6"/>
  <c r="I208" i="6"/>
  <c r="X208" i="6"/>
  <c r="W208" i="6"/>
  <c r="V208" i="6"/>
  <c r="W279" i="6"/>
  <c r="X279" i="6"/>
  <c r="J291" i="6"/>
  <c r="K405" i="6"/>
  <c r="AB30" i="5" s="1"/>
  <c r="J405" i="6"/>
  <c r="K507" i="6"/>
  <c r="R37" i="5" s="1"/>
  <c r="J507" i="6"/>
  <c r="K587" i="6"/>
  <c r="R42" i="5" s="1"/>
  <c r="J587" i="6"/>
  <c r="I807" i="6"/>
  <c r="W807" i="6"/>
  <c r="I899" i="6"/>
  <c r="X899" i="6"/>
  <c r="W899" i="6"/>
  <c r="J916" i="6"/>
  <c r="K916" i="6"/>
  <c r="AA62" i="5" s="1"/>
  <c r="I1127" i="6"/>
  <c r="W1127" i="6"/>
  <c r="K1267" i="6"/>
  <c r="Z84" i="5" s="1"/>
  <c r="J1267" i="6"/>
  <c r="X1376" i="6"/>
  <c r="W1376" i="6"/>
  <c r="V1376" i="6"/>
  <c r="K1444" i="6"/>
  <c r="AA95" i="5" s="1"/>
  <c r="J1444" i="6"/>
  <c r="W1478" i="6"/>
  <c r="I1478" i="6"/>
  <c r="X1478" i="6"/>
  <c r="K1569" i="6"/>
  <c r="X103" i="5" s="1"/>
  <c r="J1569" i="6"/>
  <c r="X1590" i="6"/>
  <c r="I1590" i="6"/>
  <c r="W1595" i="6"/>
  <c r="V1595" i="6"/>
  <c r="I1595" i="6"/>
  <c r="X1746" i="6"/>
  <c r="W1746" i="6"/>
  <c r="I1746" i="6"/>
  <c r="V1746" i="6"/>
  <c r="K1790" i="6"/>
  <c r="J1888" i="6"/>
  <c r="V1952" i="6"/>
  <c r="I1952" i="6"/>
  <c r="W1952" i="6"/>
  <c r="X1952" i="6"/>
  <c r="V1966" i="6"/>
  <c r="J2306" i="6"/>
  <c r="K2306" i="6"/>
  <c r="Y149" i="5" s="1"/>
  <c r="J2476" i="6"/>
  <c r="K2476" i="6"/>
  <c r="S160" i="5" s="1"/>
  <c r="K2489" i="6"/>
  <c r="P161" i="5" s="1"/>
  <c r="K2495" i="6"/>
  <c r="V161" i="5" s="1"/>
  <c r="J2495" i="6"/>
  <c r="W2507" i="6"/>
  <c r="V2642" i="6"/>
  <c r="K3057" i="6"/>
  <c r="X196" i="5" s="1"/>
  <c r="J3057" i="6"/>
  <c r="V3382" i="6"/>
  <c r="W3546" i="6"/>
  <c r="X3546" i="6"/>
  <c r="I3546" i="6"/>
  <c r="I328" i="6"/>
  <c r="X328" i="6"/>
  <c r="W328" i="6"/>
  <c r="X339" i="6"/>
  <c r="I339" i="6"/>
  <c r="W339" i="6"/>
  <c r="X411" i="6"/>
  <c r="W411" i="6"/>
  <c r="I411" i="6"/>
  <c r="K451" i="6"/>
  <c r="Z33" i="5" s="1"/>
  <c r="J451" i="6"/>
  <c r="I484" i="6"/>
  <c r="V484" i="6"/>
  <c r="W484" i="6"/>
  <c r="J496" i="6"/>
  <c r="K496" i="6"/>
  <c r="W36" i="5" s="1"/>
  <c r="X716" i="6"/>
  <c r="W716" i="6"/>
  <c r="V716" i="6"/>
  <c r="I716" i="6"/>
  <c r="X727" i="6"/>
  <c r="W727" i="6"/>
  <c r="W744" i="6"/>
  <c r="X744" i="6"/>
  <c r="I744" i="6"/>
  <c r="K750" i="6"/>
  <c r="U52" i="5" s="1"/>
  <c r="J750" i="6"/>
  <c r="V807" i="6"/>
  <c r="J818" i="6"/>
  <c r="X824" i="6"/>
  <c r="W824" i="6"/>
  <c r="V824" i="6"/>
  <c r="X852" i="6"/>
  <c r="I852" i="6"/>
  <c r="I880" i="6"/>
  <c r="W880" i="6"/>
  <c r="V899" i="6"/>
  <c r="V916" i="6"/>
  <c r="I944" i="6"/>
  <c r="X944" i="6"/>
  <c r="J955" i="6"/>
  <c r="K1023" i="6"/>
  <c r="V69" i="5" s="1"/>
  <c r="J1023" i="6"/>
  <c r="J1035" i="6"/>
  <c r="I1111" i="6"/>
  <c r="W1111" i="6"/>
  <c r="X1111" i="6"/>
  <c r="V1127" i="6"/>
  <c r="I1168" i="6"/>
  <c r="V1168" i="6"/>
  <c r="X1168" i="6"/>
  <c r="W1168" i="6"/>
  <c r="V1267" i="6"/>
  <c r="W1267" i="6"/>
  <c r="V1307" i="6"/>
  <c r="J1389" i="6"/>
  <c r="K1389" i="6"/>
  <c r="T92" i="5" s="1"/>
  <c r="V1478" i="6"/>
  <c r="X1486" i="6"/>
  <c r="W1486" i="6"/>
  <c r="I1486" i="6"/>
  <c r="V1486" i="6"/>
  <c r="K1550" i="6"/>
  <c r="U102" i="5" s="1"/>
  <c r="J1550" i="6"/>
  <c r="V1590" i="6"/>
  <c r="X1595" i="6"/>
  <c r="X1663" i="6"/>
  <c r="V1663" i="6"/>
  <c r="I1663" i="6"/>
  <c r="V1684" i="6"/>
  <c r="X1684" i="6"/>
  <c r="I1684" i="6"/>
  <c r="K1692" i="6"/>
  <c r="S111" i="5" s="1"/>
  <c r="J1692" i="6"/>
  <c r="K1946" i="6"/>
  <c r="Q127" i="5" s="1"/>
  <c r="J1946" i="6"/>
  <c r="I2328" i="6"/>
  <c r="W2328" i="6"/>
  <c r="V2328" i="6"/>
  <c r="V2596" i="6"/>
  <c r="W2596" i="6"/>
  <c r="I2596" i="6"/>
  <c r="V3546" i="6"/>
  <c r="J33" i="6"/>
  <c r="J50" i="6"/>
  <c r="J94" i="6"/>
  <c r="V99" i="6"/>
  <c r="J233" i="6"/>
  <c r="W239" i="6"/>
  <c r="I239" i="6"/>
  <c r="V291" i="6"/>
  <c r="V328" i="6"/>
  <c r="V339" i="6"/>
  <c r="W363" i="6"/>
  <c r="V411" i="6"/>
  <c r="X484" i="6"/>
  <c r="J610" i="6"/>
  <c r="W615" i="6"/>
  <c r="V727" i="6"/>
  <c r="V744" i="6"/>
  <c r="X807" i="6"/>
  <c r="V852" i="6"/>
  <c r="I864" i="6"/>
  <c r="X864" i="6"/>
  <c r="W864" i="6"/>
  <c r="V880" i="6"/>
  <c r="W916" i="6"/>
  <c r="I927" i="6"/>
  <c r="X927" i="6"/>
  <c r="V944" i="6"/>
  <c r="V1111" i="6"/>
  <c r="X1127" i="6"/>
  <c r="X1267" i="6"/>
  <c r="W1307" i="6"/>
  <c r="K1499" i="6"/>
  <c r="R99" i="5" s="1"/>
  <c r="J1499" i="6"/>
  <c r="X1527" i="6"/>
  <c r="I1527" i="6"/>
  <c r="K1535" i="6"/>
  <c r="V101" i="5" s="1"/>
  <c r="K1542" i="6"/>
  <c r="M102" i="5" s="1"/>
  <c r="J1542" i="6"/>
  <c r="K1577" i="6"/>
  <c r="P104" i="5" s="1"/>
  <c r="J1577" i="6"/>
  <c r="W1590" i="6"/>
  <c r="I1603" i="6"/>
  <c r="X1603" i="6"/>
  <c r="W1603" i="6"/>
  <c r="V1603" i="6"/>
  <c r="W1663" i="6"/>
  <c r="W1684" i="6"/>
  <c r="J1721" i="6"/>
  <c r="K1721" i="6"/>
  <c r="P113" i="5" s="1"/>
  <c r="K1875" i="6"/>
  <c r="Z122" i="5" s="1"/>
  <c r="J1875" i="6"/>
  <c r="V1916" i="6"/>
  <c r="X1916" i="6"/>
  <c r="W1916" i="6"/>
  <c r="I1916" i="6"/>
  <c r="V1960" i="6"/>
  <c r="I1960" i="6"/>
  <c r="X1960" i="6"/>
  <c r="W1960" i="6"/>
  <c r="K1974" i="6"/>
  <c r="M129" i="5" s="1"/>
  <c r="J1974" i="6"/>
  <c r="I2300" i="6"/>
  <c r="X2300" i="6"/>
  <c r="X2328" i="6"/>
  <c r="I2483" i="6"/>
  <c r="X2483" i="6"/>
  <c r="W2483" i="6"/>
  <c r="X2596" i="6"/>
  <c r="K172" i="6"/>
  <c r="S16" i="5" s="1"/>
  <c r="J172" i="6"/>
  <c r="J184" i="6"/>
  <c r="K184" i="6"/>
  <c r="O17" i="5" s="1"/>
  <c r="I680" i="6"/>
  <c r="X680" i="6"/>
  <c r="V767" i="6"/>
  <c r="X767" i="6"/>
  <c r="I767" i="6"/>
  <c r="W896" i="6"/>
  <c r="V896" i="6"/>
  <c r="I896" i="6"/>
  <c r="I1084" i="6"/>
  <c r="X1084" i="6"/>
  <c r="W1084" i="6"/>
  <c r="I1095" i="6"/>
  <c r="V1095" i="6"/>
  <c r="W1095" i="6"/>
  <c r="J1292" i="6"/>
  <c r="K1292" i="6"/>
  <c r="S86" i="5" s="1"/>
  <c r="I1434" i="6"/>
  <c r="X1434" i="6"/>
  <c r="V1434" i="6"/>
  <c r="W1434" i="6"/>
  <c r="K1770" i="6"/>
  <c r="Q116" i="5" s="1"/>
  <c r="AG116" i="5" s="1"/>
  <c r="J1770" i="6"/>
  <c r="V1884" i="6"/>
  <c r="I1884" i="6"/>
  <c r="X1884" i="6"/>
  <c r="W1927" i="6"/>
  <c r="I1927" i="6"/>
  <c r="X1927" i="6"/>
  <c r="K2447" i="6"/>
  <c r="V158" i="5" s="1"/>
  <c r="J2447" i="6"/>
  <c r="V2575" i="6"/>
  <c r="W2575" i="6"/>
  <c r="X2575" i="6"/>
  <c r="I2575" i="6"/>
  <c r="I3416" i="6"/>
  <c r="X3416" i="6"/>
  <c r="W3416" i="6"/>
  <c r="J3499" i="6"/>
  <c r="K3499" i="6"/>
  <c r="R224" i="5" s="1"/>
  <c r="K3516" i="6"/>
  <c r="S225" i="5" s="1"/>
  <c r="J3516" i="6"/>
  <c r="I3544" i="6"/>
  <c r="X3544" i="6"/>
  <c r="V3544" i="6"/>
  <c r="W3544" i="6"/>
  <c r="V19" i="6"/>
  <c r="J72" i="6"/>
  <c r="K72" i="6"/>
  <c r="O10" i="5" s="1"/>
  <c r="J86" i="6"/>
  <c r="J108" i="6"/>
  <c r="V124" i="6"/>
  <c r="J166" i="6"/>
  <c r="J217" i="6"/>
  <c r="I244" i="6"/>
  <c r="X244" i="6"/>
  <c r="J299" i="6"/>
  <c r="J305" i="6"/>
  <c r="J310" i="6"/>
  <c r="J316" i="6"/>
  <c r="K338" i="6"/>
  <c r="Y26" i="5" s="1"/>
  <c r="AQ26" i="5" s="1"/>
  <c r="J338" i="6"/>
  <c r="J377" i="6"/>
  <c r="V508" i="6"/>
  <c r="V680" i="6"/>
  <c r="K708" i="6"/>
  <c r="AA49" i="5" s="1"/>
  <c r="K720" i="6"/>
  <c r="W50" i="5" s="1"/>
  <c r="K730" i="6"/>
  <c r="Q51" i="5" s="1"/>
  <c r="J730" i="6"/>
  <c r="W767" i="6"/>
  <c r="K800" i="6"/>
  <c r="W55" i="5" s="1"/>
  <c r="AN55" i="5" s="1"/>
  <c r="K884" i="6"/>
  <c r="AA60" i="5" s="1"/>
  <c r="J884" i="6"/>
  <c r="X896" i="6"/>
  <c r="J984" i="6"/>
  <c r="K984" i="6"/>
  <c r="O67" i="5" s="1"/>
  <c r="J994" i="6"/>
  <c r="I1028" i="6"/>
  <c r="X1028" i="6"/>
  <c r="W1028" i="6"/>
  <c r="I1039" i="6"/>
  <c r="W1039" i="6"/>
  <c r="V1084" i="6"/>
  <c r="X1095" i="6"/>
  <c r="V1508" i="6"/>
  <c r="I1508" i="6"/>
  <c r="W1508" i="6"/>
  <c r="V1536" i="6"/>
  <c r="I1536" i="6"/>
  <c r="K1691" i="6"/>
  <c r="R111" i="5" s="1"/>
  <c r="J1691" i="6"/>
  <c r="J1765" i="6"/>
  <c r="J1776" i="6"/>
  <c r="K1818" i="6"/>
  <c r="Q119" i="5" s="1"/>
  <c r="J1818" i="6"/>
  <c r="W1884" i="6"/>
  <c r="V1927" i="6"/>
  <c r="V1994" i="6"/>
  <c r="W1994" i="6"/>
  <c r="I1994" i="6"/>
  <c r="X1994" i="6"/>
  <c r="X2559" i="6"/>
  <c r="I2559" i="6"/>
  <c r="V2559" i="6"/>
  <c r="V3416" i="6"/>
  <c r="J3463" i="6"/>
  <c r="K3463" i="6"/>
  <c r="N222" i="5" s="1"/>
  <c r="K3524" i="6"/>
  <c r="AA225" i="5" s="1"/>
  <c r="W19" i="6"/>
  <c r="J150" i="6"/>
  <c r="I199" i="6"/>
  <c r="X199" i="6"/>
  <c r="W199" i="6"/>
  <c r="V199" i="6"/>
  <c r="X211" i="6"/>
  <c r="V211" i="6"/>
  <c r="I211" i="6"/>
  <c r="J222" i="6"/>
  <c r="V244" i="6"/>
  <c r="J366" i="6"/>
  <c r="J394" i="6"/>
  <c r="X460" i="6"/>
  <c r="W460" i="6"/>
  <c r="J498" i="6"/>
  <c r="W508" i="6"/>
  <c r="I540" i="6"/>
  <c r="X540" i="6"/>
  <c r="W540" i="6"/>
  <c r="K639" i="6"/>
  <c r="V45" i="5" s="1"/>
  <c r="J639" i="6"/>
  <c r="W680" i="6"/>
  <c r="W708" i="6"/>
  <c r="V708" i="6"/>
  <c r="X720" i="6"/>
  <c r="W720" i="6"/>
  <c r="K784" i="6"/>
  <c r="W54" i="5" s="1"/>
  <c r="AM54" i="5" s="1"/>
  <c r="J784" i="6"/>
  <c r="J795" i="6"/>
  <c r="J812" i="6"/>
  <c r="K851" i="6"/>
  <c r="Z58" i="5" s="1"/>
  <c r="J851" i="6"/>
  <c r="X984" i="6"/>
  <c r="W984" i="6"/>
  <c r="V984" i="6"/>
  <c r="V1028" i="6"/>
  <c r="V1039" i="6"/>
  <c r="J1050" i="6"/>
  <c r="I1224" i="6"/>
  <c r="W1224" i="6"/>
  <c r="V1448" i="6"/>
  <c r="X1448" i="6"/>
  <c r="W1448" i="6"/>
  <c r="I1448" i="6"/>
  <c r="X1508" i="6"/>
  <c r="K1529" i="6"/>
  <c r="P101" i="5" s="1"/>
  <c r="J1529" i="6"/>
  <c r="W1536" i="6"/>
  <c r="J1670" i="6"/>
  <c r="K1670" i="6"/>
  <c r="M110" i="5" s="1"/>
  <c r="W1691" i="6"/>
  <c r="X1691" i="6"/>
  <c r="J2531" i="6"/>
  <c r="W2559" i="6"/>
  <c r="X2934" i="6"/>
  <c r="W2934" i="6"/>
  <c r="I2934" i="6"/>
  <c r="V2934" i="6"/>
  <c r="V3296" i="6"/>
  <c r="W3296" i="6"/>
  <c r="I3296" i="6"/>
  <c r="X3296" i="6"/>
  <c r="X3388" i="6"/>
  <c r="W3388" i="6"/>
  <c r="V3388" i="6"/>
  <c r="I3388" i="6"/>
  <c r="J3492" i="6"/>
  <c r="K3492" i="6"/>
  <c r="AA223" i="5" s="1"/>
  <c r="V3638" i="6"/>
  <c r="W3638" i="6"/>
  <c r="I3638" i="6"/>
  <c r="X3638" i="6"/>
  <c r="X300" i="6"/>
  <c r="V300" i="6"/>
  <c r="J440" i="6"/>
  <c r="K440" i="6"/>
  <c r="O33" i="5" s="1"/>
  <c r="X1360" i="6"/>
  <c r="V1360" i="6"/>
  <c r="V1632" i="6"/>
  <c r="X1632" i="6"/>
  <c r="K1853" i="6"/>
  <c r="T121" i="5" s="1"/>
  <c r="J1853" i="6"/>
  <c r="W2312" i="6"/>
  <c r="I2312" i="6"/>
  <c r="X2312" i="6"/>
  <c r="V2312" i="6"/>
  <c r="V2391" i="6"/>
  <c r="W2391" i="6"/>
  <c r="I2391" i="6"/>
  <c r="V2875" i="6"/>
  <c r="X2875" i="6"/>
  <c r="I2875" i="6"/>
  <c r="W2875" i="6"/>
  <c r="V3458" i="6"/>
  <c r="X3458" i="6"/>
  <c r="W3458" i="6"/>
  <c r="I3458" i="6"/>
  <c r="V63" i="6"/>
  <c r="X63" i="6"/>
  <c r="K202" i="6"/>
  <c r="Q18" i="5" s="1"/>
  <c r="J202" i="6"/>
  <c r="K402" i="6"/>
  <c r="Y30" i="5" s="1"/>
  <c r="J402" i="6"/>
  <c r="K446" i="6"/>
  <c r="U33" i="5" s="1"/>
  <c r="J446" i="6"/>
  <c r="V575" i="6"/>
  <c r="W575" i="6"/>
  <c r="I575" i="6"/>
  <c r="J975" i="6"/>
  <c r="K975" i="6"/>
  <c r="V66" i="5" s="1"/>
  <c r="X1012" i="6"/>
  <c r="I1012" i="6"/>
  <c r="V1012" i="6"/>
  <c r="W1064" i="6"/>
  <c r="V1064" i="6"/>
  <c r="V1464" i="6"/>
  <c r="X1464" i="6"/>
  <c r="W1464" i="6"/>
  <c r="I1464" i="6"/>
  <c r="X1587" i="6"/>
  <c r="W1587" i="6"/>
  <c r="V1600" i="6"/>
  <c r="X1600" i="6"/>
  <c r="I1600" i="6"/>
  <c r="V1620" i="6"/>
  <c r="I1620" i="6"/>
  <c r="X1620" i="6"/>
  <c r="W1620" i="6"/>
  <c r="K1701" i="6"/>
  <c r="AB111" i="5" s="1"/>
  <c r="J1701" i="6"/>
  <c r="X2035" i="6"/>
  <c r="W2035" i="6"/>
  <c r="I2035" i="6"/>
  <c r="V2035" i="6"/>
  <c r="W2115" i="6"/>
  <c r="V2115" i="6"/>
  <c r="X2115" i="6"/>
  <c r="X2196" i="6"/>
  <c r="I2196" i="6"/>
  <c r="W2196" i="6"/>
  <c r="V2196" i="6"/>
  <c r="I2242" i="6"/>
  <c r="W2242" i="6"/>
  <c r="X2242" i="6"/>
  <c r="J2329" i="6"/>
  <c r="K2329" i="6"/>
  <c r="P151" i="5" s="1"/>
  <c r="W2363" i="6"/>
  <c r="I2363" i="6"/>
  <c r="X2363" i="6"/>
  <c r="V2428" i="6"/>
  <c r="X2428" i="6"/>
  <c r="W2428" i="6"/>
  <c r="I2428" i="6"/>
  <c r="K2667" i="6"/>
  <c r="R172" i="5" s="1"/>
  <c r="J2667" i="6"/>
  <c r="K2692" i="6"/>
  <c r="AA173" i="5" s="1"/>
  <c r="AR173" i="5" s="1"/>
  <c r="J2692" i="6"/>
  <c r="W2719" i="6"/>
  <c r="V2719" i="6"/>
  <c r="I2719" i="6"/>
  <c r="X2719" i="6"/>
  <c r="K2787" i="6"/>
  <c r="Z179" i="5" s="1"/>
  <c r="J2787" i="6"/>
  <c r="V2944" i="6"/>
  <c r="X2944" i="6"/>
  <c r="I2944" i="6"/>
  <c r="W2944" i="6"/>
  <c r="K302" i="6"/>
  <c r="U24" i="5" s="1"/>
  <c r="AI24" i="5" s="1"/>
  <c r="J302" i="6"/>
  <c r="K447" i="6"/>
  <c r="V33" i="5" s="1"/>
  <c r="J447" i="6"/>
  <c r="V463" i="6"/>
  <c r="I463" i="6"/>
  <c r="X463" i="6"/>
  <c r="X527" i="6"/>
  <c r="I527" i="6"/>
  <c r="V652" i="6"/>
  <c r="W652" i="6"/>
  <c r="K943" i="6"/>
  <c r="V64" i="5" s="1"/>
  <c r="J943" i="6"/>
  <c r="X964" i="6"/>
  <c r="W964" i="6"/>
  <c r="V964" i="6"/>
  <c r="K1120" i="6"/>
  <c r="W75" i="5" s="1"/>
  <c r="AL75" i="5" s="1"/>
  <c r="J1120" i="6"/>
  <c r="K1194" i="6"/>
  <c r="Q80" i="5" s="1"/>
  <c r="AH80" i="5" s="1"/>
  <c r="X1244" i="6"/>
  <c r="I1244" i="6"/>
  <c r="I1256" i="6"/>
  <c r="W1256" i="6"/>
  <c r="W1311" i="6"/>
  <c r="V1311" i="6"/>
  <c r="K1399" i="6"/>
  <c r="N93" i="5" s="1"/>
  <c r="J1399" i="6"/>
  <c r="V1548" i="6"/>
  <c r="I1548" i="6"/>
  <c r="X1548" i="6"/>
  <c r="W1842" i="6"/>
  <c r="I1842" i="6"/>
  <c r="I2062" i="6"/>
  <c r="W2062" i="6"/>
  <c r="J2258" i="6"/>
  <c r="K2258" i="6"/>
  <c r="Y146" i="5" s="1"/>
  <c r="K2281" i="6"/>
  <c r="P148" i="5" s="1"/>
  <c r="J2281" i="6"/>
  <c r="K2335" i="6"/>
  <c r="V151" i="5" s="1"/>
  <c r="J2335" i="6"/>
  <c r="X2414" i="6"/>
  <c r="I2414" i="6"/>
  <c r="V2414" i="6"/>
  <c r="W2414" i="6"/>
  <c r="J2464" i="6"/>
  <c r="K2464" i="6"/>
  <c r="W159" i="5" s="1"/>
  <c r="J2661" i="6"/>
  <c r="K2661" i="6"/>
  <c r="AB171" i="5" s="1"/>
  <c r="X2758" i="6"/>
  <c r="I2758" i="6"/>
  <c r="J3260" i="6"/>
  <c r="K3260" i="6"/>
  <c r="S209" i="5" s="1"/>
  <c r="K3308" i="6"/>
  <c r="S212" i="5" s="1"/>
  <c r="J3308" i="6"/>
  <c r="W24" i="6"/>
  <c r="X24" i="6"/>
  <c r="V24" i="6"/>
  <c r="K383" i="6"/>
  <c r="V29" i="5" s="1"/>
  <c r="J383" i="6"/>
  <c r="K682" i="6"/>
  <c r="Q48" i="5" s="1"/>
  <c r="J682" i="6"/>
  <c r="W1008" i="6"/>
  <c r="V1008" i="6"/>
  <c r="X1008" i="6"/>
  <c r="I1395" i="6"/>
  <c r="V1395" i="6"/>
  <c r="J1745" i="6"/>
  <c r="K1745" i="6"/>
  <c r="X114" i="5" s="1"/>
  <c r="I1815" i="6"/>
  <c r="X1815" i="6"/>
  <c r="W1815" i="6"/>
  <c r="V1834" i="6"/>
  <c r="I1834" i="6"/>
  <c r="X1834" i="6"/>
  <c r="W1834" i="6"/>
  <c r="V1880" i="6"/>
  <c r="X1880" i="6"/>
  <c r="W1880" i="6"/>
  <c r="I1880" i="6"/>
  <c r="X2050" i="6"/>
  <c r="I2050" i="6"/>
  <c r="W2050" i="6"/>
  <c r="W2287" i="6"/>
  <c r="I2287" i="6"/>
  <c r="V2287" i="6"/>
  <c r="W2335" i="6"/>
  <c r="V2335" i="6"/>
  <c r="X2335" i="6"/>
  <c r="K2519" i="6"/>
  <c r="N163" i="5" s="1"/>
  <c r="J2519" i="6"/>
  <c r="V2604" i="6"/>
  <c r="X2604" i="6"/>
  <c r="W2604" i="6"/>
  <c r="W2610" i="6"/>
  <c r="I2610" i="6"/>
  <c r="X2610" i="6"/>
  <c r="V2751" i="6"/>
  <c r="W2751" i="6"/>
  <c r="I2751" i="6"/>
  <c r="X2751" i="6"/>
  <c r="W3075" i="6"/>
  <c r="X3075" i="6"/>
  <c r="V3075" i="6"/>
  <c r="I3075" i="6"/>
  <c r="K3157" i="6"/>
  <c r="AB202" i="5" s="1"/>
  <c r="J3157" i="6"/>
  <c r="V1604" i="6"/>
  <c r="W1604" i="6"/>
  <c r="I1604" i="6"/>
  <c r="V1836" i="6"/>
  <c r="X1836" i="6"/>
  <c r="X2166" i="6"/>
  <c r="W2166" i="6"/>
  <c r="V2166" i="6"/>
  <c r="I2166" i="6"/>
  <c r="V2180" i="6"/>
  <c r="W2180" i="6"/>
  <c r="X2180" i="6"/>
  <c r="I2372" i="6"/>
  <c r="X2372" i="6"/>
  <c r="V2372" i="6"/>
  <c r="W2372" i="6"/>
  <c r="X2836" i="6"/>
  <c r="I2836" i="6"/>
  <c r="I2888" i="6"/>
  <c r="X2888" i="6"/>
  <c r="V2888" i="6"/>
  <c r="W2888" i="6"/>
  <c r="W2966" i="6"/>
  <c r="X2966" i="6"/>
  <c r="V2966" i="6"/>
  <c r="I2966" i="6"/>
  <c r="K2988" i="6"/>
  <c r="S192" i="5" s="1"/>
  <c r="J2988" i="6"/>
  <c r="J3366" i="6"/>
  <c r="K3366" i="6"/>
  <c r="M216" i="5" s="1"/>
  <c r="X116" i="6"/>
  <c r="V116" i="6"/>
  <c r="K136" i="6"/>
  <c r="O14" i="5" s="1"/>
  <c r="J136" i="6"/>
  <c r="K246" i="6"/>
  <c r="M21" i="5" s="1"/>
  <c r="J246" i="6"/>
  <c r="K256" i="6"/>
  <c r="W21" i="5" s="1"/>
  <c r="AN21" i="5" s="1"/>
  <c r="J256" i="6"/>
  <c r="K281" i="6"/>
  <c r="P23" i="5" s="1"/>
  <c r="J281" i="6"/>
  <c r="I292" i="6"/>
  <c r="X292" i="6"/>
  <c r="X323" i="6"/>
  <c r="W323" i="6"/>
  <c r="V323" i="6"/>
  <c r="J664" i="6"/>
  <c r="K664" i="6"/>
  <c r="O47" i="5" s="1"/>
  <c r="X704" i="6"/>
  <c r="W704" i="6"/>
  <c r="I704" i="6"/>
  <c r="I819" i="6"/>
  <c r="X819" i="6"/>
  <c r="K872" i="6"/>
  <c r="O60" i="5" s="1"/>
  <c r="J872" i="6"/>
  <c r="W979" i="6"/>
  <c r="V979" i="6"/>
  <c r="I979" i="6"/>
  <c r="K1379" i="6"/>
  <c r="Z91" i="5" s="1"/>
  <c r="J1379" i="6"/>
  <c r="K1571" i="6"/>
  <c r="Z103" i="5" s="1"/>
  <c r="J1571" i="6"/>
  <c r="K1584" i="6"/>
  <c r="W104" i="5" s="1"/>
  <c r="J1584" i="6"/>
  <c r="V1823" i="6"/>
  <c r="I1823" i="6"/>
  <c r="V1914" i="6"/>
  <c r="X1914" i="6"/>
  <c r="J1956" i="6"/>
  <c r="K1956" i="6"/>
  <c r="AA127" i="5" s="1"/>
  <c r="V1984" i="6"/>
  <c r="I1984" i="6"/>
  <c r="X1984" i="6"/>
  <c r="W1984" i="6"/>
  <c r="J2261" i="6"/>
  <c r="K2261" i="6"/>
  <c r="AB146" i="5" s="1"/>
  <c r="X2386" i="6"/>
  <c r="I2386" i="6"/>
  <c r="W2386" i="6"/>
  <c r="J2440" i="6"/>
  <c r="K2440" i="6"/>
  <c r="O158" i="5" s="1"/>
  <c r="X2464" i="6"/>
  <c r="W2464" i="6"/>
  <c r="V2464" i="6"/>
  <c r="J2490" i="6"/>
  <c r="K2490" i="6"/>
  <c r="Q161" i="5" s="1"/>
  <c r="K2528" i="6"/>
  <c r="W163" i="5" s="1"/>
  <c r="J2528" i="6"/>
  <c r="I2534" i="6"/>
  <c r="X2534" i="6"/>
  <c r="W2534" i="6"/>
  <c r="X2584" i="6"/>
  <c r="V2584" i="6"/>
  <c r="K2613" i="6"/>
  <c r="AB168" i="5" s="1"/>
  <c r="J2613" i="6"/>
  <c r="I2656" i="6"/>
  <c r="W2656" i="6"/>
  <c r="X2656" i="6"/>
  <c r="J3321" i="6"/>
  <c r="K3321" i="6"/>
  <c r="P213" i="5" s="1"/>
  <c r="J49" i="6"/>
  <c r="V87" i="6"/>
  <c r="V92" i="6"/>
  <c r="J107" i="6"/>
  <c r="W116" i="6"/>
  <c r="J165" i="6"/>
  <c r="W175" i="6"/>
  <c r="J251" i="6"/>
  <c r="J267" i="6"/>
  <c r="J272" i="6"/>
  <c r="K272" i="6"/>
  <c r="W22" i="5" s="1"/>
  <c r="V292" i="6"/>
  <c r="J318" i="6"/>
  <c r="J374" i="6"/>
  <c r="K410" i="6"/>
  <c r="Q31" i="5" s="1"/>
  <c r="J410" i="6"/>
  <c r="J491" i="6"/>
  <c r="X516" i="6"/>
  <c r="I516" i="6"/>
  <c r="W560" i="6"/>
  <c r="V560" i="6"/>
  <c r="J571" i="6"/>
  <c r="J603" i="6"/>
  <c r="J619" i="6"/>
  <c r="V664" i="6"/>
  <c r="V688" i="6"/>
  <c r="V704" i="6"/>
  <c r="V771" i="6"/>
  <c r="V819" i="6"/>
  <c r="K835" i="6"/>
  <c r="Z57" i="5" s="1"/>
  <c r="J835" i="6"/>
  <c r="X867" i="6"/>
  <c r="W867" i="6"/>
  <c r="J936" i="6"/>
  <c r="X979" i="6"/>
  <c r="X1107" i="6"/>
  <c r="W1107" i="6"/>
  <c r="V1107" i="6"/>
  <c r="K1166" i="6"/>
  <c r="U78" i="5" s="1"/>
  <c r="J1166" i="6"/>
  <c r="V1200" i="6"/>
  <c r="V1227" i="6"/>
  <c r="I1227" i="6"/>
  <c r="J1271" i="6"/>
  <c r="V1276" i="6"/>
  <c r="W1287" i="6"/>
  <c r="X1292" i="6"/>
  <c r="W1292" i="6"/>
  <c r="J1397" i="6"/>
  <c r="J1442" i="6"/>
  <c r="V1455" i="6"/>
  <c r="W1499" i="6"/>
  <c r="X1499" i="6"/>
  <c r="V1584" i="6"/>
  <c r="W1584" i="6"/>
  <c r="X1584" i="6"/>
  <c r="K1689" i="6"/>
  <c r="P111" i="5" s="1"/>
  <c r="J1689" i="6"/>
  <c r="J1734" i="6"/>
  <c r="W1823" i="6"/>
  <c r="V1864" i="6"/>
  <c r="I1864" i="6"/>
  <c r="X1864" i="6"/>
  <c r="J1882" i="6"/>
  <c r="V1908" i="6"/>
  <c r="I1908" i="6"/>
  <c r="X1908" i="6"/>
  <c r="W1908" i="6"/>
  <c r="W1914" i="6"/>
  <c r="I1922" i="6"/>
  <c r="X1922" i="6"/>
  <c r="W1922" i="6"/>
  <c r="V1922" i="6"/>
  <c r="K2098" i="6"/>
  <c r="Y136" i="5" s="1"/>
  <c r="J2098" i="6"/>
  <c r="K2135" i="6"/>
  <c r="N139" i="5" s="1"/>
  <c r="J2135" i="6"/>
  <c r="J2173" i="6"/>
  <c r="K2173" i="6"/>
  <c r="T141" i="5" s="1"/>
  <c r="K2234" i="6"/>
  <c r="Q145" i="5" s="1"/>
  <c r="J2234" i="6"/>
  <c r="V2386" i="6"/>
  <c r="X2515" i="6"/>
  <c r="I2515" i="6"/>
  <c r="V2534" i="6"/>
  <c r="W2584" i="6"/>
  <c r="V2656" i="6"/>
  <c r="W2960" i="6"/>
  <c r="I2960" i="6"/>
  <c r="X2960" i="6"/>
  <c r="J3002" i="6"/>
  <c r="K3002" i="6"/>
  <c r="Q193" i="5" s="1"/>
  <c r="I31" i="6"/>
  <c r="V35" i="6"/>
  <c r="I40" i="6"/>
  <c r="J64" i="6"/>
  <c r="J83" i="6"/>
  <c r="W87" i="6"/>
  <c r="W92" i="6"/>
  <c r="J97" i="6"/>
  <c r="V131" i="6"/>
  <c r="J151" i="6"/>
  <c r="V155" i="6"/>
  <c r="V160" i="6"/>
  <c r="X175" i="6"/>
  <c r="V200" i="6"/>
  <c r="V256" i="6"/>
  <c r="W292" i="6"/>
  <c r="J308" i="6"/>
  <c r="J324" i="6"/>
  <c r="J349" i="6"/>
  <c r="J359" i="6"/>
  <c r="V379" i="6"/>
  <c r="V415" i="6"/>
  <c r="K421" i="6"/>
  <c r="AB31" i="5" s="1"/>
  <c r="J421" i="6"/>
  <c r="I456" i="6"/>
  <c r="V516" i="6"/>
  <c r="V531" i="6"/>
  <c r="I536" i="6"/>
  <c r="J551" i="6"/>
  <c r="X560" i="6"/>
  <c r="W571" i="6"/>
  <c r="V571" i="6"/>
  <c r="K582" i="6"/>
  <c r="M42" i="5" s="1"/>
  <c r="J582" i="6"/>
  <c r="X639" i="6"/>
  <c r="W639" i="6"/>
  <c r="W664" i="6"/>
  <c r="J674" i="6"/>
  <c r="W688" i="6"/>
  <c r="W699" i="6"/>
  <c r="V715" i="6"/>
  <c r="W771" i="6"/>
  <c r="K782" i="6"/>
  <c r="U54" i="5" s="1"/>
  <c r="AK54" i="5" s="1"/>
  <c r="J782" i="6"/>
  <c r="W819" i="6"/>
  <c r="V835" i="6"/>
  <c r="V867" i="6"/>
  <c r="X915" i="6"/>
  <c r="I915" i="6"/>
  <c r="K931" i="6"/>
  <c r="Z63" i="5" s="1"/>
  <c r="J931" i="6"/>
  <c r="K952" i="6"/>
  <c r="O65" i="5" s="1"/>
  <c r="J1027" i="6"/>
  <c r="J1060" i="6"/>
  <c r="J1076" i="6"/>
  <c r="J1150" i="6"/>
  <c r="J1172" i="6"/>
  <c r="X1200" i="6"/>
  <c r="W1227" i="6"/>
  <c r="J1266" i="6"/>
  <c r="X1276" i="6"/>
  <c r="X1287" i="6"/>
  <c r="V1292" i="6"/>
  <c r="J1346" i="6"/>
  <c r="J1352" i="6"/>
  <c r="V1379" i="6"/>
  <c r="X1390" i="6"/>
  <c r="W1390" i="6"/>
  <c r="I1390" i="6"/>
  <c r="X1403" i="6"/>
  <c r="W1403" i="6"/>
  <c r="I1403" i="6"/>
  <c r="W1455" i="6"/>
  <c r="J1468" i="6"/>
  <c r="K1489" i="6"/>
  <c r="X98" i="5" s="1"/>
  <c r="J1489" i="6"/>
  <c r="X1494" i="6"/>
  <c r="V1499" i="6"/>
  <c r="I1539" i="6"/>
  <c r="W1539" i="6"/>
  <c r="V1564" i="6"/>
  <c r="I1564" i="6"/>
  <c r="J1585" i="6"/>
  <c r="K1585" i="6"/>
  <c r="X104" i="5" s="1"/>
  <c r="J1605" i="6"/>
  <c r="K1696" i="6"/>
  <c r="W111" i="5" s="1"/>
  <c r="J1696" i="6"/>
  <c r="X1823" i="6"/>
  <c r="W1864" i="6"/>
  <c r="K1889" i="6"/>
  <c r="X123" i="5" s="1"/>
  <c r="J1889" i="6"/>
  <c r="J1915" i="6"/>
  <c r="K1915" i="6"/>
  <c r="R125" i="5" s="1"/>
  <c r="I1963" i="6"/>
  <c r="W1963" i="6"/>
  <c r="V2059" i="6"/>
  <c r="I2059" i="6"/>
  <c r="X2059" i="6"/>
  <c r="X2135" i="6"/>
  <c r="W2135" i="6"/>
  <c r="V2135" i="6"/>
  <c r="I2366" i="6"/>
  <c r="V2366" i="6"/>
  <c r="V2515" i="6"/>
  <c r="V2528" i="6"/>
  <c r="K2585" i="6"/>
  <c r="P167" i="5" s="1"/>
  <c r="J2585" i="6"/>
  <c r="K2837" i="6"/>
  <c r="AB182" i="5" s="1"/>
  <c r="J2837" i="6"/>
  <c r="K2873" i="6"/>
  <c r="P185" i="5" s="1"/>
  <c r="J2873" i="6"/>
  <c r="V2960" i="6"/>
  <c r="W35" i="6"/>
  <c r="X87" i="6"/>
  <c r="K102" i="6"/>
  <c r="M12" i="5" s="1"/>
  <c r="J102" i="6"/>
  <c r="W131" i="6"/>
  <c r="X155" i="6"/>
  <c r="W160" i="6"/>
  <c r="K195" i="6"/>
  <c r="Z17" i="5" s="1"/>
  <c r="J195" i="6"/>
  <c r="W200" i="6"/>
  <c r="J216" i="6"/>
  <c r="K216" i="6"/>
  <c r="O19" i="5" s="1"/>
  <c r="X251" i="6"/>
  <c r="W251" i="6"/>
  <c r="W256" i="6"/>
  <c r="X267" i="6"/>
  <c r="V267" i="6"/>
  <c r="X303" i="6"/>
  <c r="I303" i="6"/>
  <c r="K354" i="6"/>
  <c r="Y27" i="5" s="1"/>
  <c r="J354" i="6"/>
  <c r="W379" i="6"/>
  <c r="W415" i="6"/>
  <c r="V431" i="6"/>
  <c r="X431" i="6"/>
  <c r="W431" i="6"/>
  <c r="I431" i="6"/>
  <c r="X491" i="6"/>
  <c r="W491" i="6"/>
  <c r="V491" i="6"/>
  <c r="K502" i="6"/>
  <c r="M37" i="5" s="1"/>
  <c r="J502" i="6"/>
  <c r="W516" i="6"/>
  <c r="W531" i="6"/>
  <c r="X664" i="6"/>
  <c r="K694" i="6"/>
  <c r="M49" i="5" s="1"/>
  <c r="J694" i="6"/>
  <c r="X699" i="6"/>
  <c r="W715" i="6"/>
  <c r="K788" i="6"/>
  <c r="AA54" i="5" s="1"/>
  <c r="J788" i="6"/>
  <c r="W835" i="6"/>
  <c r="K894" i="6"/>
  <c r="U61" i="5" s="1"/>
  <c r="J894" i="6"/>
  <c r="W952" i="6"/>
  <c r="V952" i="6"/>
  <c r="X952" i="6"/>
  <c r="K990" i="6"/>
  <c r="U67" i="5" s="1"/>
  <c r="AI67" i="5" s="1"/>
  <c r="J990" i="6"/>
  <c r="W1016" i="6"/>
  <c r="I1016" i="6"/>
  <c r="X1227" i="6"/>
  <c r="W1379" i="6"/>
  <c r="W1803" i="6"/>
  <c r="V1803" i="6"/>
  <c r="J1871" i="6"/>
  <c r="K1871" i="6"/>
  <c r="V122" i="5" s="1"/>
  <c r="V2012" i="6"/>
  <c r="W2012" i="6"/>
  <c r="I2012" i="6"/>
  <c r="X2128" i="6"/>
  <c r="W2128" i="6"/>
  <c r="I2128" i="6"/>
  <c r="V2128" i="6"/>
  <c r="K2221" i="6"/>
  <c r="T144" i="5" s="1"/>
  <c r="J2221" i="6"/>
  <c r="K2290" i="6"/>
  <c r="Y148" i="5" s="1"/>
  <c r="AP148" i="5" s="1"/>
  <c r="J2290" i="6"/>
  <c r="W2515" i="6"/>
  <c r="X2528" i="6"/>
  <c r="K2812" i="6"/>
  <c r="S181" i="5" s="1"/>
  <c r="J2812" i="6"/>
  <c r="J54" i="6"/>
  <c r="J59" i="6"/>
  <c r="V112" i="6"/>
  <c r="I112" i="6"/>
  <c r="J122" i="6"/>
  <c r="X160" i="6"/>
  <c r="J181" i="6"/>
  <c r="V195" i="6"/>
  <c r="X200" i="6"/>
  <c r="J226" i="6"/>
  <c r="V251" i="6"/>
  <c r="W267" i="6"/>
  <c r="J298" i="6"/>
  <c r="V303" i="6"/>
  <c r="J344" i="6"/>
  <c r="K360" i="6"/>
  <c r="O28" i="5" s="1"/>
  <c r="K390" i="6"/>
  <c r="M30" i="5" s="1"/>
  <c r="J390" i="6"/>
  <c r="I400" i="6"/>
  <c r="V400" i="6"/>
  <c r="X492" i="6"/>
  <c r="I492" i="6"/>
  <c r="J512" i="6"/>
  <c r="X531" i="6"/>
  <c r="J546" i="6"/>
  <c r="V551" i="6"/>
  <c r="W551" i="6"/>
  <c r="K614" i="6"/>
  <c r="M44" i="5" s="1"/>
  <c r="J614" i="6"/>
  <c r="J772" i="6"/>
  <c r="V788" i="6"/>
  <c r="X835" i="6"/>
  <c r="W936" i="6"/>
  <c r="K963" i="6"/>
  <c r="Z65" i="5" s="1"/>
  <c r="J963" i="6"/>
  <c r="V1016" i="6"/>
  <c r="X1124" i="6"/>
  <c r="I1124" i="6"/>
  <c r="W1124" i="6"/>
  <c r="V1156" i="6"/>
  <c r="K1178" i="6"/>
  <c r="Q79" i="5" s="1"/>
  <c r="J1178" i="6"/>
  <c r="K1211" i="6"/>
  <c r="R81" i="5" s="1"/>
  <c r="AG81" i="5" s="1"/>
  <c r="J1211" i="6"/>
  <c r="K1283" i="6"/>
  <c r="Z85" i="5" s="1"/>
  <c r="X1363" i="6"/>
  <c r="W1363" i="6"/>
  <c r="K1526" i="6"/>
  <c r="M101" i="5" s="1"/>
  <c r="J1526" i="6"/>
  <c r="V1572" i="6"/>
  <c r="I1572" i="6"/>
  <c r="K1709" i="6"/>
  <c r="T112" i="5" s="1"/>
  <c r="J1709" i="6"/>
  <c r="J1715" i="6"/>
  <c r="X1803" i="6"/>
  <c r="X2012" i="6"/>
  <c r="K2019" i="6"/>
  <c r="Z131" i="5" s="1"/>
  <c r="J2019" i="6"/>
  <c r="J2060" i="6"/>
  <c r="K2060" i="6"/>
  <c r="S134" i="5" s="1"/>
  <c r="X2098" i="6"/>
  <c r="J2136" i="6"/>
  <c r="J2142" i="6"/>
  <c r="J2160" i="6"/>
  <c r="K2160" i="6"/>
  <c r="W140" i="5" s="1"/>
  <c r="AM140" i="5" s="1"/>
  <c r="J2227" i="6"/>
  <c r="K2240" i="6"/>
  <c r="W145" i="5" s="1"/>
  <c r="J2240" i="6"/>
  <c r="X2366" i="6"/>
  <c r="J2452" i="6"/>
  <c r="K2478" i="6"/>
  <c r="U160" i="5" s="1"/>
  <c r="K2485" i="6"/>
  <c r="AB160" i="5" s="1"/>
  <c r="J2485" i="6"/>
  <c r="X3098" i="6"/>
  <c r="V3098" i="6"/>
  <c r="I3098" i="6"/>
  <c r="W3098" i="6"/>
  <c r="K3174" i="6"/>
  <c r="M204" i="5" s="1"/>
  <c r="W195" i="6"/>
  <c r="X231" i="6"/>
  <c r="W231" i="6"/>
  <c r="W303" i="6"/>
  <c r="J472" i="6"/>
  <c r="K472" i="6"/>
  <c r="O35" i="5" s="1"/>
  <c r="W772" i="6"/>
  <c r="X772" i="6"/>
  <c r="W788" i="6"/>
  <c r="K836" i="6"/>
  <c r="AA57" i="5" s="1"/>
  <c r="J836" i="6"/>
  <c r="X936" i="6"/>
  <c r="X1016" i="6"/>
  <c r="W1055" i="6"/>
  <c r="V1055" i="6"/>
  <c r="I1055" i="6"/>
  <c r="I1071" i="6"/>
  <c r="W1071" i="6"/>
  <c r="I1087" i="6"/>
  <c r="X1087" i="6"/>
  <c r="W1087" i="6"/>
  <c r="W1135" i="6"/>
  <c r="V1135" i="6"/>
  <c r="X1135" i="6"/>
  <c r="I1135" i="6"/>
  <c r="W1156" i="6"/>
  <c r="I1319" i="6"/>
  <c r="X1319" i="6"/>
  <c r="W1319" i="6"/>
  <c r="V1319" i="6"/>
  <c r="I1391" i="6"/>
  <c r="V1391" i="6"/>
  <c r="V1456" i="6"/>
  <c r="I1456" i="6"/>
  <c r="K1540" i="6"/>
  <c r="AA101" i="5" s="1"/>
  <c r="J1540" i="6"/>
  <c r="W1572" i="6"/>
  <c r="I1579" i="6"/>
  <c r="X1579" i="6"/>
  <c r="W1579" i="6"/>
  <c r="V1579" i="6"/>
  <c r="W1662" i="6"/>
  <c r="I1662" i="6"/>
  <c r="V1662" i="6"/>
  <c r="W1682" i="6"/>
  <c r="V1682" i="6"/>
  <c r="I1682" i="6"/>
  <c r="X1682" i="6"/>
  <c r="J1778" i="6"/>
  <c r="X1811" i="6"/>
  <c r="W1811" i="6"/>
  <c r="I1811" i="6"/>
  <c r="X1818" i="6"/>
  <c r="V1818" i="6"/>
  <c r="I1943" i="6"/>
  <c r="W1943" i="6"/>
  <c r="W2046" i="6"/>
  <c r="I2046" i="6"/>
  <c r="V2060" i="6"/>
  <c r="W2060" i="6"/>
  <c r="X2060" i="6"/>
  <c r="V2099" i="6"/>
  <c r="I2099" i="6"/>
  <c r="X2099" i="6"/>
  <c r="W2099" i="6"/>
  <c r="K2182" i="6"/>
  <c r="M142" i="5" s="1"/>
  <c r="J2182" i="6"/>
  <c r="V2458" i="6"/>
  <c r="X2458" i="6"/>
  <c r="W2458" i="6"/>
  <c r="V2510" i="6"/>
  <c r="I2510" i="6"/>
  <c r="W2510" i="6"/>
  <c r="X2510" i="6"/>
  <c r="J2852" i="6"/>
  <c r="K2852" i="6"/>
  <c r="AA183" i="5" s="1"/>
  <c r="W2867" i="6"/>
  <c r="V2867" i="6"/>
  <c r="I2867" i="6"/>
  <c r="X2867" i="6"/>
  <c r="J2969" i="6"/>
  <c r="K2969" i="6"/>
  <c r="P191" i="5" s="1"/>
  <c r="J3063" i="6"/>
  <c r="X3086" i="6"/>
  <c r="W3086" i="6"/>
  <c r="V3086" i="6"/>
  <c r="I3086" i="6"/>
  <c r="W395" i="6"/>
  <c r="V395" i="6"/>
  <c r="W448" i="6"/>
  <c r="I448" i="6"/>
  <c r="K638" i="6"/>
  <c r="U45" i="5" s="1"/>
  <c r="J638" i="6"/>
  <c r="W1023" i="6"/>
  <c r="V1023" i="6"/>
  <c r="K1070" i="6"/>
  <c r="U72" i="5" s="1"/>
  <c r="J1070" i="6"/>
  <c r="K1323" i="6"/>
  <c r="R88" i="5" s="1"/>
  <c r="J1323" i="6"/>
  <c r="I1566" i="6"/>
  <c r="W1566" i="6"/>
  <c r="J1728" i="6"/>
  <c r="K1728" i="6"/>
  <c r="W113" i="5" s="1"/>
  <c r="J1814" i="6"/>
  <c r="K1814" i="6"/>
  <c r="M119" i="5" s="1"/>
  <c r="J1883" i="6"/>
  <c r="K1883" i="6"/>
  <c r="R123" i="5" s="1"/>
  <c r="AH123" i="5" s="1"/>
  <c r="K1942" i="6"/>
  <c r="M127" i="5" s="1"/>
  <c r="J1942" i="6"/>
  <c r="V2008" i="6"/>
  <c r="X2008" i="6"/>
  <c r="I2008" i="6"/>
  <c r="X2055" i="6"/>
  <c r="W2055" i="6"/>
  <c r="V2055" i="6"/>
  <c r="W2108" i="6"/>
  <c r="V2108" i="6"/>
  <c r="I2108" i="6"/>
  <c r="K2390" i="6"/>
  <c r="M155" i="5" s="1"/>
  <c r="J2390" i="6"/>
  <c r="X2431" i="6"/>
  <c r="V2431" i="6"/>
  <c r="W2431" i="6"/>
  <c r="I2431" i="6"/>
  <c r="V3370" i="6"/>
  <c r="X3370" i="6"/>
  <c r="I3370" i="6"/>
  <c r="W3370" i="6"/>
  <c r="X3470" i="6"/>
  <c r="I3470" i="6"/>
  <c r="W3470" i="6"/>
  <c r="V3470" i="6"/>
  <c r="K3509" i="6"/>
  <c r="AB224" i="5" s="1"/>
  <c r="J3509" i="6"/>
  <c r="I1252" i="6"/>
  <c r="X1252" i="6"/>
  <c r="X1304" i="6"/>
  <c r="I1304" i="6"/>
  <c r="V1404" i="6"/>
  <c r="I1404" i="6"/>
  <c r="X1404" i="6"/>
  <c r="W1404" i="6"/>
  <c r="J1453" i="6"/>
  <c r="K1453" i="6"/>
  <c r="T96" i="5" s="1"/>
  <c r="I1490" i="6"/>
  <c r="I1543" i="6"/>
  <c r="X1543" i="6"/>
  <c r="V1543" i="6"/>
  <c r="I1623" i="6"/>
  <c r="V1623" i="6"/>
  <c r="I1711" i="6"/>
  <c r="X1723" i="6"/>
  <c r="W1723" i="6"/>
  <c r="I1723" i="6"/>
  <c r="K2137" i="6"/>
  <c r="P139" i="5" s="1"/>
  <c r="J2137" i="6"/>
  <c r="X2246" i="6"/>
  <c r="W2246" i="6"/>
  <c r="J2638" i="6"/>
  <c r="K2638" i="6"/>
  <c r="U170" i="5" s="1"/>
  <c r="J2664" i="6"/>
  <c r="K2664" i="6"/>
  <c r="O172" i="5" s="1"/>
  <c r="W2862" i="6"/>
  <c r="I2862" i="6"/>
  <c r="X2862" i="6"/>
  <c r="V3308" i="6"/>
  <c r="X3308" i="6"/>
  <c r="J3315" i="6"/>
  <c r="K3315" i="6"/>
  <c r="Z212" i="5" s="1"/>
  <c r="W3547" i="6"/>
  <c r="I3547" i="6"/>
  <c r="V3547" i="6"/>
  <c r="X3547" i="6"/>
  <c r="K2096" i="6"/>
  <c r="W136" i="5" s="1"/>
  <c r="J2096" i="6"/>
  <c r="X2130" i="6"/>
  <c r="W2130" i="6"/>
  <c r="V2130" i="6"/>
  <c r="I2130" i="6"/>
  <c r="K2183" i="6"/>
  <c r="N142" i="5" s="1"/>
  <c r="W2410" i="6"/>
  <c r="X2410" i="6"/>
  <c r="K2419" i="6"/>
  <c r="Z156" i="5" s="1"/>
  <c r="J2419" i="6"/>
  <c r="J2504" i="6"/>
  <c r="K2504" i="6"/>
  <c r="O162" i="5" s="1"/>
  <c r="I2803" i="6"/>
  <c r="W2803" i="6"/>
  <c r="X2803" i="6"/>
  <c r="V2803" i="6"/>
  <c r="K2823" i="6"/>
  <c r="N182" i="5" s="1"/>
  <c r="AC182" i="5" s="1"/>
  <c r="J2823" i="6"/>
  <c r="K2855" i="6"/>
  <c r="N184" i="5" s="1"/>
  <c r="J2855" i="6"/>
  <c r="X3071" i="6"/>
  <c r="V3071" i="6"/>
  <c r="W3071" i="6"/>
  <c r="I3071" i="6"/>
  <c r="I3239" i="6"/>
  <c r="W3239" i="6"/>
  <c r="X3239" i="6"/>
  <c r="V3239" i="6"/>
  <c r="X839" i="6"/>
  <c r="W839" i="6"/>
  <c r="V839" i="6"/>
  <c r="X939" i="6"/>
  <c r="W939" i="6"/>
  <c r="K1098" i="6"/>
  <c r="Q74" i="5" s="1"/>
  <c r="J1098" i="6"/>
  <c r="K1144" i="6"/>
  <c r="O77" i="5" s="1"/>
  <c r="J1144" i="6"/>
  <c r="I1216" i="6"/>
  <c r="X1216" i="6"/>
  <c r="W1216" i="6"/>
  <c r="K1350" i="6"/>
  <c r="M90" i="5" s="1"/>
  <c r="J1350" i="6"/>
  <c r="X1422" i="6"/>
  <c r="I1422" i="6"/>
  <c r="V1500" i="6"/>
  <c r="I1500" i="6"/>
  <c r="K1519" i="6"/>
  <c r="V100" i="5" s="1"/>
  <c r="J1519" i="6"/>
  <c r="I1531" i="6"/>
  <c r="X1531" i="6"/>
  <c r="K1730" i="6"/>
  <c r="Y113" i="5" s="1"/>
  <c r="J1730" i="6"/>
  <c r="J1760" i="6"/>
  <c r="K1760" i="6"/>
  <c r="W115" i="5" s="1"/>
  <c r="AL115" i="5" s="1"/>
  <c r="W1771" i="6"/>
  <c r="V1771" i="6"/>
  <c r="X1771" i="6"/>
  <c r="X1918" i="6"/>
  <c r="I1918" i="6"/>
  <c r="X1950" i="6"/>
  <c r="W1950" i="6"/>
  <c r="V1950" i="6"/>
  <c r="I1950" i="6"/>
  <c r="K1964" i="6"/>
  <c r="S128" i="5" s="1"/>
  <c r="J1964" i="6"/>
  <c r="V1996" i="6"/>
  <c r="X1996" i="6"/>
  <c r="X2082" i="6"/>
  <c r="I2082" i="6"/>
  <c r="W2082" i="6"/>
  <c r="V2082" i="6"/>
  <c r="V2096" i="6"/>
  <c r="K2144" i="6"/>
  <c r="W139" i="5" s="1"/>
  <c r="J2144" i="6"/>
  <c r="I2352" i="6"/>
  <c r="X2352" i="6"/>
  <c r="W2352" i="6"/>
  <c r="V2378" i="6"/>
  <c r="I2378" i="6"/>
  <c r="V2410" i="6"/>
  <c r="I2842" i="6"/>
  <c r="V2842" i="6"/>
  <c r="W2842" i="6"/>
  <c r="J2945" i="6"/>
  <c r="K3006" i="6"/>
  <c r="U193" i="5" s="1"/>
  <c r="AI193" i="5" s="1"/>
  <c r="J3051" i="6"/>
  <c r="X3072" i="6"/>
  <c r="W3072" i="6"/>
  <c r="I3072" i="6"/>
  <c r="V3072" i="6"/>
  <c r="V3248" i="6"/>
  <c r="W3248" i="6"/>
  <c r="I3262" i="6"/>
  <c r="V3262" i="6"/>
  <c r="W3262" i="6"/>
  <c r="J3285" i="6"/>
  <c r="K3285" i="6"/>
  <c r="AB210" i="5" s="1"/>
  <c r="I3354" i="6"/>
  <c r="W3354" i="6"/>
  <c r="X3354" i="6"/>
  <c r="V3354" i="6"/>
  <c r="J3527" i="6"/>
  <c r="K3527" i="6"/>
  <c r="N226" i="5" s="1"/>
  <c r="I3568" i="6"/>
  <c r="W3568" i="6"/>
  <c r="X3568" i="6"/>
  <c r="V3568" i="6"/>
  <c r="K278" i="6"/>
  <c r="M23" i="5" s="1"/>
  <c r="J278" i="6"/>
  <c r="K283" i="6"/>
  <c r="R23" i="5" s="1"/>
  <c r="V435" i="6"/>
  <c r="X440" i="6"/>
  <c r="W440" i="6"/>
  <c r="J459" i="6"/>
  <c r="V468" i="6"/>
  <c r="W543" i="6"/>
  <c r="X548" i="6"/>
  <c r="W548" i="6"/>
  <c r="V572" i="6"/>
  <c r="J707" i="6"/>
  <c r="K731" i="6"/>
  <c r="R51" i="5" s="1"/>
  <c r="J736" i="6"/>
  <c r="J794" i="6"/>
  <c r="J859" i="6"/>
  <c r="J900" i="6"/>
  <c r="V939" i="6"/>
  <c r="V1015" i="6"/>
  <c r="J1031" i="6"/>
  <c r="J1036" i="6"/>
  <c r="K1046" i="6"/>
  <c r="M71" i="5" s="1"/>
  <c r="J1046" i="6"/>
  <c r="X1051" i="6"/>
  <c r="W1051" i="6"/>
  <c r="K1118" i="6"/>
  <c r="U75" i="5" s="1"/>
  <c r="AI75" i="5" s="1"/>
  <c r="J1118" i="6"/>
  <c r="V1216" i="6"/>
  <c r="J1315" i="6"/>
  <c r="V1422" i="6"/>
  <c r="J1428" i="6"/>
  <c r="V1446" i="6"/>
  <c r="X1446" i="6"/>
  <c r="W1500" i="6"/>
  <c r="V1531" i="6"/>
  <c r="J1589" i="6"/>
  <c r="J1630" i="6"/>
  <c r="W1711" i="6"/>
  <c r="V1716" i="6"/>
  <c r="W1716" i="6"/>
  <c r="X1716" i="6"/>
  <c r="V1730" i="6"/>
  <c r="J1748" i="6"/>
  <c r="V1828" i="6"/>
  <c r="W1828" i="6"/>
  <c r="I1828" i="6"/>
  <c r="X1828" i="6"/>
  <c r="V1918" i="6"/>
  <c r="V1964" i="6"/>
  <c r="X1964" i="6"/>
  <c r="W1964" i="6"/>
  <c r="W1996" i="6"/>
  <c r="K2004" i="6"/>
  <c r="AA130" i="5" s="1"/>
  <c r="W2096" i="6"/>
  <c r="J2104" i="6"/>
  <c r="X2124" i="6"/>
  <c r="V2124" i="6"/>
  <c r="W2124" i="6"/>
  <c r="I2124" i="6"/>
  <c r="V2155" i="6"/>
  <c r="I2155" i="6"/>
  <c r="W2155" i="6"/>
  <c r="V2352" i="6"/>
  <c r="W2378" i="6"/>
  <c r="W2404" i="6"/>
  <c r="V2404" i="6"/>
  <c r="J2425" i="6"/>
  <c r="K2425" i="6"/>
  <c r="P157" i="5" s="1"/>
  <c r="J2434" i="6"/>
  <c r="K2434" i="6"/>
  <c r="Y157" i="5" s="1"/>
  <c r="K2550" i="6"/>
  <c r="M165" i="5" s="1"/>
  <c r="J2550" i="6"/>
  <c r="K2562" i="6"/>
  <c r="Y165" i="5" s="1"/>
  <c r="J2562" i="6"/>
  <c r="I2811" i="6"/>
  <c r="W2811" i="6"/>
  <c r="V2811" i="6"/>
  <c r="V2823" i="6"/>
  <c r="X2842" i="6"/>
  <c r="W3006" i="6"/>
  <c r="V3006" i="6"/>
  <c r="X3006" i="6"/>
  <c r="K3019" i="6"/>
  <c r="R194" i="5" s="1"/>
  <c r="J3019" i="6"/>
  <c r="X3032" i="6"/>
  <c r="I3032" i="6"/>
  <c r="W3032" i="6"/>
  <c r="W3051" i="6"/>
  <c r="X3051" i="6"/>
  <c r="V3051" i="6"/>
  <c r="W3176" i="6"/>
  <c r="V3176" i="6"/>
  <c r="X3176" i="6"/>
  <c r="I3176" i="6"/>
  <c r="X3248" i="6"/>
  <c r="X3262" i="6"/>
  <c r="W359" i="6"/>
  <c r="V359" i="6"/>
  <c r="W435" i="6"/>
  <c r="W468" i="6"/>
  <c r="X543" i="6"/>
  <c r="K558" i="6"/>
  <c r="U40" i="5" s="1"/>
  <c r="J558" i="6"/>
  <c r="X572" i="6"/>
  <c r="K726" i="6"/>
  <c r="M51" i="5" s="1"/>
  <c r="J726" i="6"/>
  <c r="I804" i="6"/>
  <c r="X804" i="6"/>
  <c r="K920" i="6"/>
  <c r="O63" i="5" s="1"/>
  <c r="J920" i="6"/>
  <c r="K950" i="6"/>
  <c r="M65" i="5" s="1"/>
  <c r="J950" i="6"/>
  <c r="K996" i="6"/>
  <c r="AA67" i="5" s="1"/>
  <c r="AS67" i="5" s="1"/>
  <c r="J996" i="6"/>
  <c r="W1015" i="6"/>
  <c r="K1088" i="6"/>
  <c r="W73" i="5" s="1"/>
  <c r="J1088" i="6"/>
  <c r="I1196" i="6"/>
  <c r="X1196" i="6"/>
  <c r="V1211" i="6"/>
  <c r="W1211" i="6"/>
  <c r="W1247" i="6"/>
  <c r="V1247" i="6"/>
  <c r="X1279" i="6"/>
  <c r="W1279" i="6"/>
  <c r="V1279" i="6"/>
  <c r="I1279" i="6"/>
  <c r="W1422" i="6"/>
  <c r="V1428" i="6"/>
  <c r="X1428" i="6"/>
  <c r="W1428" i="6"/>
  <c r="X1500" i="6"/>
  <c r="W1531" i="6"/>
  <c r="K1576" i="6"/>
  <c r="O104" i="5" s="1"/>
  <c r="J1576" i="6"/>
  <c r="I1606" i="6"/>
  <c r="X1606" i="6"/>
  <c r="I1667" i="6"/>
  <c r="W1667" i="6"/>
  <c r="V1667" i="6"/>
  <c r="X1711" i="6"/>
  <c r="W1730" i="6"/>
  <c r="I1754" i="6"/>
  <c r="X1754" i="6"/>
  <c r="V1754" i="6"/>
  <c r="I1854" i="6"/>
  <c r="V1854" i="6"/>
  <c r="J1868" i="6"/>
  <c r="K1868" i="6"/>
  <c r="S122" i="5" s="1"/>
  <c r="W1918" i="6"/>
  <c r="J1997" i="6"/>
  <c r="K1997" i="6"/>
  <c r="T130" i="5" s="1"/>
  <c r="V2083" i="6"/>
  <c r="W2083" i="6"/>
  <c r="I2083" i="6"/>
  <c r="X2096" i="6"/>
  <c r="I2270" i="6"/>
  <c r="V2270" i="6"/>
  <c r="W2270" i="6"/>
  <c r="X2270" i="6"/>
  <c r="X2378" i="6"/>
  <c r="K2412" i="6"/>
  <c r="S156" i="5" s="1"/>
  <c r="J2412" i="6"/>
  <c r="X2811" i="6"/>
  <c r="X2823" i="6"/>
  <c r="K2843" i="6"/>
  <c r="R183" i="5" s="1"/>
  <c r="J2843" i="6"/>
  <c r="J3052" i="6"/>
  <c r="K3052" i="6"/>
  <c r="S196" i="5" s="1"/>
  <c r="J3302" i="6"/>
  <c r="W11" i="6"/>
  <c r="W55" i="6"/>
  <c r="W64" i="6"/>
  <c r="V91" i="6"/>
  <c r="W127" i="6"/>
  <c r="J132" i="6"/>
  <c r="J145" i="6"/>
  <c r="J218" i="6"/>
  <c r="V227" i="6"/>
  <c r="W236" i="6"/>
  <c r="V283" i="6"/>
  <c r="J293" i="6"/>
  <c r="W316" i="6"/>
  <c r="V340" i="6"/>
  <c r="X359" i="6"/>
  <c r="J369" i="6"/>
  <c r="X392" i="6"/>
  <c r="J417" i="6"/>
  <c r="J426" i="6"/>
  <c r="V459" i="6"/>
  <c r="J478" i="6"/>
  <c r="W487" i="6"/>
  <c r="X496" i="6"/>
  <c r="W520" i="6"/>
  <c r="J539" i="6"/>
  <c r="W587" i="6"/>
  <c r="V616" i="6"/>
  <c r="J630" i="6"/>
  <c r="J635" i="6"/>
  <c r="J702" i="6"/>
  <c r="V707" i="6"/>
  <c r="V731" i="6"/>
  <c r="W755" i="6"/>
  <c r="V784" i="6"/>
  <c r="W799" i="6"/>
  <c r="V799" i="6"/>
  <c r="V804" i="6"/>
  <c r="W840" i="6"/>
  <c r="V840" i="6"/>
  <c r="I840" i="6"/>
  <c r="V859" i="6"/>
  <c r="I875" i="6"/>
  <c r="W884" i="6"/>
  <c r="J935" i="6"/>
  <c r="J940" i="6"/>
  <c r="X955" i="6"/>
  <c r="K970" i="6"/>
  <c r="Q66" i="5" s="1"/>
  <c r="J970" i="6"/>
  <c r="W975" i="6"/>
  <c r="V996" i="6"/>
  <c r="X1015" i="6"/>
  <c r="V1020" i="6"/>
  <c r="K1067" i="6"/>
  <c r="R72" i="5" s="1"/>
  <c r="W1108" i="6"/>
  <c r="W1175" i="6"/>
  <c r="W1180" i="6"/>
  <c r="V1196" i="6"/>
  <c r="X1211" i="6"/>
  <c r="K1232" i="6"/>
  <c r="W82" i="5" s="1"/>
  <c r="X1247" i="6"/>
  <c r="W1263" i="6"/>
  <c r="I1280" i="6"/>
  <c r="W1280" i="6"/>
  <c r="W1335" i="6"/>
  <c r="K1356" i="6"/>
  <c r="S90" i="5" s="1"/>
  <c r="X1387" i="6"/>
  <c r="W1387" i="6"/>
  <c r="I1387" i="6"/>
  <c r="I1423" i="6"/>
  <c r="W1454" i="6"/>
  <c r="I1454" i="6"/>
  <c r="V1460" i="6"/>
  <c r="I1460" i="6"/>
  <c r="J1484" i="6"/>
  <c r="W1490" i="6"/>
  <c r="J1506" i="6"/>
  <c r="K1532" i="6"/>
  <c r="S101" i="5" s="1"/>
  <c r="J1532" i="6"/>
  <c r="V1576" i="6"/>
  <c r="W1576" i="6"/>
  <c r="V1606" i="6"/>
  <c r="V1648" i="6"/>
  <c r="X1648" i="6"/>
  <c r="I1648" i="6"/>
  <c r="V1660" i="6"/>
  <c r="I1660" i="6"/>
  <c r="X1667" i="6"/>
  <c r="X1730" i="6"/>
  <c r="V1736" i="6"/>
  <c r="X1736" i="6"/>
  <c r="V1748" i="6"/>
  <c r="X1748" i="6"/>
  <c r="W1748" i="6"/>
  <c r="W1754" i="6"/>
  <c r="V1848" i="6"/>
  <c r="X1848" i="6"/>
  <c r="I1848" i="6"/>
  <c r="W1854" i="6"/>
  <c r="W1951" i="6"/>
  <c r="X1951" i="6"/>
  <c r="X2083" i="6"/>
  <c r="X2104" i="6"/>
  <c r="W2104" i="6"/>
  <c r="V2156" i="6"/>
  <c r="I2156" i="6"/>
  <c r="K2170" i="6"/>
  <c r="Q141" i="5" s="1"/>
  <c r="J2170" i="6"/>
  <c r="X2454" i="6"/>
  <c r="V2454" i="6"/>
  <c r="I2454" i="6"/>
  <c r="K2824" i="6"/>
  <c r="O182" i="5" s="1"/>
  <c r="J2824" i="6"/>
  <c r="K2887" i="6"/>
  <c r="N186" i="5" s="1"/>
  <c r="J2887" i="6"/>
  <c r="K2925" i="6"/>
  <c r="T188" i="5" s="1"/>
  <c r="J2925" i="6"/>
  <c r="X55" i="6"/>
  <c r="W283" i="6"/>
  <c r="X487" i="6"/>
  <c r="X520" i="6"/>
  <c r="W592" i="6"/>
  <c r="V592" i="6"/>
  <c r="X616" i="6"/>
  <c r="X659" i="6"/>
  <c r="I659" i="6"/>
  <c r="W687" i="6"/>
  <c r="V687" i="6"/>
  <c r="X784" i="6"/>
  <c r="W804" i="6"/>
  <c r="X820" i="6"/>
  <c r="W820" i="6"/>
  <c r="W859" i="6"/>
  <c r="X884" i="6"/>
  <c r="W996" i="6"/>
  <c r="K1006" i="6"/>
  <c r="U68" i="5" s="1"/>
  <c r="J1006" i="6"/>
  <c r="X1175" i="6"/>
  <c r="K1186" i="6"/>
  <c r="Y79" i="5" s="1"/>
  <c r="AQ79" i="5" s="1"/>
  <c r="J1186" i="6"/>
  <c r="W1191" i="6"/>
  <c r="V1191" i="6"/>
  <c r="I1191" i="6"/>
  <c r="W1196" i="6"/>
  <c r="K1212" i="6"/>
  <c r="S81" i="5" s="1"/>
  <c r="J1212" i="6"/>
  <c r="W1232" i="6"/>
  <c r="V1232" i="6"/>
  <c r="X1263" i="6"/>
  <c r="K1274" i="6"/>
  <c r="Q85" i="5" s="1"/>
  <c r="J1274" i="6"/>
  <c r="J1336" i="6"/>
  <c r="K1336" i="6"/>
  <c r="O89" i="5" s="1"/>
  <c r="K1367" i="6"/>
  <c r="N91" i="5" s="1"/>
  <c r="J1367" i="6"/>
  <c r="V1416" i="6"/>
  <c r="X1416" i="6"/>
  <c r="W1416" i="6"/>
  <c r="I1416" i="6"/>
  <c r="W1506" i="6"/>
  <c r="X1506" i="6"/>
  <c r="V1506" i="6"/>
  <c r="W1606" i="6"/>
  <c r="W1802" i="6"/>
  <c r="V1802" i="6"/>
  <c r="I1802" i="6"/>
  <c r="X1802" i="6"/>
  <c r="I1810" i="6"/>
  <c r="W1810" i="6"/>
  <c r="V1810" i="6"/>
  <c r="X1854" i="6"/>
  <c r="V1972" i="6"/>
  <c r="X1972" i="6"/>
  <c r="I1972" i="6"/>
  <c r="W1972" i="6"/>
  <c r="I2058" i="6"/>
  <c r="X2058" i="6"/>
  <c r="W2058" i="6"/>
  <c r="J2162" i="6"/>
  <c r="K2162" i="6"/>
  <c r="Y140" i="5" s="1"/>
  <c r="K2263" i="6"/>
  <c r="N147" i="5" s="1"/>
  <c r="J2263" i="6"/>
  <c r="K2385" i="6"/>
  <c r="X154" i="5" s="1"/>
  <c r="J2385" i="6"/>
  <c r="W2791" i="6"/>
  <c r="X2791" i="6"/>
  <c r="V2791" i="6"/>
  <c r="I2791" i="6"/>
  <c r="I2980" i="6"/>
  <c r="W2980" i="6"/>
  <c r="V2980" i="6"/>
  <c r="I3155" i="6"/>
  <c r="V3155" i="6"/>
  <c r="X3155" i="6"/>
  <c r="X3168" i="6"/>
  <c r="I3168" i="6"/>
  <c r="V3168" i="6"/>
  <c r="I735" i="6"/>
  <c r="W735" i="6"/>
  <c r="W1176" i="6"/>
  <c r="V1176" i="6"/>
  <c r="I1406" i="6"/>
  <c r="V1406" i="6"/>
  <c r="W1479" i="6"/>
  <c r="V1479" i="6"/>
  <c r="K1565" i="6"/>
  <c r="T103" i="5" s="1"/>
  <c r="J1565" i="6"/>
  <c r="K1583" i="6"/>
  <c r="V104" i="5" s="1"/>
  <c r="J1583" i="6"/>
  <c r="V1687" i="6"/>
  <c r="I1687" i="6"/>
  <c r="X1687" i="6"/>
  <c r="V1724" i="6"/>
  <c r="I1724" i="6"/>
  <c r="X1724" i="6"/>
  <c r="X1735" i="6"/>
  <c r="W1735" i="6"/>
  <c r="I1735" i="6"/>
  <c r="V1812" i="6"/>
  <c r="I1812" i="6"/>
  <c r="X1812" i="6"/>
  <c r="I1866" i="6"/>
  <c r="W1866" i="6"/>
  <c r="V1928" i="6"/>
  <c r="I1928" i="6"/>
  <c r="V1940" i="6"/>
  <c r="W1940" i="6"/>
  <c r="X1940" i="6"/>
  <c r="I1940" i="6"/>
  <c r="W2022" i="6"/>
  <c r="I2022" i="6"/>
  <c r="V2022" i="6"/>
  <c r="K2220" i="6"/>
  <c r="S144" i="5" s="1"/>
  <c r="J2220" i="6"/>
  <c r="W2252" i="6"/>
  <c r="X2252" i="6"/>
  <c r="I2252" i="6"/>
  <c r="V2259" i="6"/>
  <c r="W2259" i="6"/>
  <c r="K2497" i="6"/>
  <c r="X161" i="5" s="1"/>
  <c r="J2497" i="6"/>
  <c r="I2522" i="6"/>
  <c r="X2522" i="6"/>
  <c r="X2959" i="6"/>
  <c r="I2959" i="6"/>
  <c r="W2959" i="6"/>
  <c r="V2959" i="6"/>
  <c r="V3211" i="6"/>
  <c r="X3211" i="6"/>
  <c r="W3211" i="6"/>
  <c r="I3211" i="6"/>
  <c r="J3300" i="6"/>
  <c r="K3300" i="6"/>
  <c r="AA211" i="5" s="1"/>
  <c r="I3464" i="6"/>
  <c r="W3464" i="6"/>
  <c r="X3464" i="6"/>
  <c r="V3464" i="6"/>
  <c r="I3471" i="6"/>
  <c r="V3471" i="6"/>
  <c r="X3471" i="6"/>
  <c r="W1618" i="6"/>
  <c r="I1618" i="6"/>
  <c r="W1718" i="6"/>
  <c r="I1718" i="6"/>
  <c r="X1718" i="6"/>
  <c r="V1718" i="6"/>
  <c r="V1787" i="6"/>
  <c r="X1787" i="6"/>
  <c r="V1820" i="6"/>
  <c r="I1820" i="6"/>
  <c r="K1885" i="6"/>
  <c r="T123" i="5" s="1"/>
  <c r="J1885" i="6"/>
  <c r="V1979" i="6"/>
  <c r="X1979" i="6"/>
  <c r="K1986" i="6"/>
  <c r="Y129" i="5" s="1"/>
  <c r="AQ129" i="5" s="1"/>
  <c r="J1986" i="6"/>
  <c r="I2031" i="6"/>
  <c r="W2031" i="6"/>
  <c r="X2031" i="6"/>
  <c r="J2074" i="6"/>
  <c r="K2074" i="6"/>
  <c r="Q135" i="5" s="1"/>
  <c r="I2086" i="6"/>
  <c r="X2086" i="6"/>
  <c r="W2086" i="6"/>
  <c r="K2093" i="6"/>
  <c r="T136" i="5" s="1"/>
  <c r="J2093" i="6"/>
  <c r="W2126" i="6"/>
  <c r="V2126" i="6"/>
  <c r="I2151" i="6"/>
  <c r="X2151" i="6"/>
  <c r="W2151" i="6"/>
  <c r="V2151" i="6"/>
  <c r="I2468" i="6"/>
  <c r="K2570" i="6"/>
  <c r="Q166" i="5" s="1"/>
  <c r="J2570" i="6"/>
  <c r="K3096" i="6"/>
  <c r="O199" i="5" s="1"/>
  <c r="AE199" i="5" s="1"/>
  <c r="J3096" i="6"/>
  <c r="K3241" i="6"/>
  <c r="P208" i="5" s="1"/>
  <c r="X3294" i="6"/>
  <c r="W3294" i="6"/>
  <c r="I3294" i="6"/>
  <c r="J3719" i="6"/>
  <c r="K3719" i="6"/>
  <c r="N238" i="5" s="1"/>
  <c r="K1509" i="6"/>
  <c r="AB99" i="5" s="1"/>
  <c r="J1509" i="6"/>
  <c r="X1550" i="6"/>
  <c r="V1550" i="6"/>
  <c r="K1567" i="6"/>
  <c r="V103" i="5" s="1"/>
  <c r="J1567" i="6"/>
  <c r="V1636" i="6"/>
  <c r="X1636" i="6"/>
  <c r="W1719" i="6"/>
  <c r="I1719" i="6"/>
  <c r="X1719" i="6"/>
  <c r="X1807" i="6"/>
  <c r="W1807" i="6"/>
  <c r="V1807" i="6"/>
  <c r="I1807" i="6"/>
  <c r="V1856" i="6"/>
  <c r="I1856" i="6"/>
  <c r="J2210" i="6"/>
  <c r="K2210" i="6"/>
  <c r="Y143" i="5" s="1"/>
  <c r="K2487" i="6"/>
  <c r="N161" i="5" s="1"/>
  <c r="J2487" i="6"/>
  <c r="X2499" i="6"/>
  <c r="I2499" i="6"/>
  <c r="W2499" i="6"/>
  <c r="V2499" i="6"/>
  <c r="J2544" i="6"/>
  <c r="K2544" i="6"/>
  <c r="W164" i="5" s="1"/>
  <c r="K2571" i="6"/>
  <c r="R166" i="5" s="1"/>
  <c r="J2571" i="6"/>
  <c r="V2607" i="6"/>
  <c r="W2607" i="6"/>
  <c r="X2607" i="6"/>
  <c r="I2607" i="6"/>
  <c r="W2639" i="6"/>
  <c r="V2639" i="6"/>
  <c r="J2652" i="6"/>
  <c r="K2652" i="6"/>
  <c r="S171" i="5" s="1"/>
  <c r="J2678" i="6"/>
  <c r="K2678" i="6"/>
  <c r="M173" i="5" s="1"/>
  <c r="K2703" i="6"/>
  <c r="V174" i="5" s="1"/>
  <c r="J2703" i="6"/>
  <c r="I3198" i="6"/>
  <c r="W3198" i="6"/>
  <c r="X3198" i="6"/>
  <c r="V3198" i="6"/>
  <c r="I608" i="6"/>
  <c r="W672" i="6"/>
  <c r="I672" i="6"/>
  <c r="I891" i="6"/>
  <c r="X928" i="6"/>
  <c r="W928" i="6"/>
  <c r="V928" i="6"/>
  <c r="X995" i="6"/>
  <c r="W995" i="6"/>
  <c r="V995" i="6"/>
  <c r="X1163" i="6"/>
  <c r="W1163" i="6"/>
  <c r="I1183" i="6"/>
  <c r="W1183" i="6"/>
  <c r="J1207" i="6"/>
  <c r="W1303" i="6"/>
  <c r="V1303" i="6"/>
  <c r="X1303" i="6"/>
  <c r="X1430" i="6"/>
  <c r="W1430" i="6"/>
  <c r="I1430" i="6"/>
  <c r="V1544" i="6"/>
  <c r="I1544" i="6"/>
  <c r="W1550" i="6"/>
  <c r="V1556" i="6"/>
  <c r="X1556" i="6"/>
  <c r="W1556" i="6"/>
  <c r="X1567" i="6"/>
  <c r="W1567" i="6"/>
  <c r="W1636" i="6"/>
  <c r="K1658" i="6"/>
  <c r="Q109" i="5" s="1"/>
  <c r="W1696" i="6"/>
  <c r="V1719" i="6"/>
  <c r="K1726" i="6"/>
  <c r="U113" i="5" s="1"/>
  <c r="V1755" i="6"/>
  <c r="I1755" i="6"/>
  <c r="X1755" i="6"/>
  <c r="W1755" i="6"/>
  <c r="V1800" i="6"/>
  <c r="W1800" i="6"/>
  <c r="X1831" i="6"/>
  <c r="W1831" i="6"/>
  <c r="K1850" i="6"/>
  <c r="Q121" i="5" s="1"/>
  <c r="W1856" i="6"/>
  <c r="J1862" i="6"/>
  <c r="J1879" i="6"/>
  <c r="K1891" i="6"/>
  <c r="Z123" i="5" s="1"/>
  <c r="K1904" i="6"/>
  <c r="W124" i="5" s="1"/>
  <c r="I1948" i="6"/>
  <c r="J1980" i="6"/>
  <c r="J2032" i="6"/>
  <c r="K2064" i="6"/>
  <c r="W134" i="5" s="1"/>
  <c r="J2064" i="6"/>
  <c r="I2087" i="6"/>
  <c r="X2087" i="6"/>
  <c r="W2087" i="6"/>
  <c r="V2254" i="6"/>
  <c r="X2254" i="6"/>
  <c r="W2254" i="6"/>
  <c r="I2254" i="6"/>
  <c r="K2269" i="6"/>
  <c r="T147" i="5" s="1"/>
  <c r="J2269" i="6"/>
  <c r="K2283" i="6"/>
  <c r="R148" i="5" s="1"/>
  <c r="J2283" i="6"/>
  <c r="J2342" i="6"/>
  <c r="J2408" i="6"/>
  <c r="K2408" i="6"/>
  <c r="O156" i="5" s="1"/>
  <c r="V2438" i="6"/>
  <c r="I2438" i="6"/>
  <c r="V2468" i="6"/>
  <c r="I3110" i="6"/>
  <c r="W3110" i="6"/>
  <c r="V3110" i="6"/>
  <c r="K3123" i="6"/>
  <c r="Z200" i="5" s="1"/>
  <c r="J3123" i="6"/>
  <c r="X3171" i="6"/>
  <c r="W3171" i="6"/>
  <c r="I3171" i="6"/>
  <c r="V3171" i="6"/>
  <c r="I3199" i="6"/>
  <c r="W3199" i="6"/>
  <c r="V3199" i="6"/>
  <c r="J3413" i="6"/>
  <c r="K3413" i="6"/>
  <c r="AB218" i="5" s="1"/>
  <c r="X3612" i="6"/>
  <c r="I3612" i="6"/>
  <c r="W3612" i="6"/>
  <c r="V3612" i="6"/>
  <c r="K3626" i="6"/>
  <c r="Q232" i="5" s="1"/>
  <c r="J3626" i="6"/>
  <c r="V287" i="6"/>
  <c r="V368" i="6"/>
  <c r="V467" i="6"/>
  <c r="K526" i="6"/>
  <c r="U38" i="5" s="1"/>
  <c r="J526" i="6"/>
  <c r="V603" i="6"/>
  <c r="X635" i="6"/>
  <c r="V635" i="6"/>
  <c r="W640" i="6"/>
  <c r="V672" i="6"/>
  <c r="X760" i="6"/>
  <c r="W760" i="6"/>
  <c r="J886" i="6"/>
  <c r="V900" i="6"/>
  <c r="J938" i="6"/>
  <c r="V971" i="6"/>
  <c r="J986" i="6"/>
  <c r="J1038" i="6"/>
  <c r="K1062" i="6"/>
  <c r="M72" i="5" s="1"/>
  <c r="J1062" i="6"/>
  <c r="X1096" i="6"/>
  <c r="W1096" i="6"/>
  <c r="I1096" i="6"/>
  <c r="V1163" i="6"/>
  <c r="V1183" i="6"/>
  <c r="V1255" i="6"/>
  <c r="J1318" i="6"/>
  <c r="V1323" i="6"/>
  <c r="V1347" i="6"/>
  <c r="K1392" i="6"/>
  <c r="W92" i="5" s="1"/>
  <c r="V1430" i="6"/>
  <c r="J1437" i="6"/>
  <c r="W1447" i="6"/>
  <c r="X1447" i="6"/>
  <c r="V1447" i="6"/>
  <c r="V1488" i="6"/>
  <c r="I1488" i="6"/>
  <c r="V1532" i="6"/>
  <c r="X1532" i="6"/>
  <c r="W1544" i="6"/>
  <c r="V1567" i="6"/>
  <c r="K1602" i="6"/>
  <c r="Y105" i="5" s="1"/>
  <c r="J1608" i="6"/>
  <c r="X1696" i="6"/>
  <c r="X1726" i="6"/>
  <c r="V1726" i="6"/>
  <c r="K1738" i="6"/>
  <c r="Q114" i="5" s="1"/>
  <c r="J1738" i="6"/>
  <c r="K1777" i="6"/>
  <c r="X116" i="5" s="1"/>
  <c r="X1800" i="6"/>
  <c r="V1831" i="6"/>
  <c r="X1856" i="6"/>
  <c r="X1891" i="6"/>
  <c r="V1891" i="6"/>
  <c r="W1891" i="6"/>
  <c r="V1904" i="6"/>
  <c r="W1904" i="6"/>
  <c r="I2075" i="6"/>
  <c r="V2087" i="6"/>
  <c r="J2262" i="6"/>
  <c r="W2438" i="6"/>
  <c r="X2468" i="6"/>
  <c r="K2587" i="6"/>
  <c r="R167" i="5" s="1"/>
  <c r="J2587" i="6"/>
  <c r="J2716" i="6"/>
  <c r="K2716" i="6"/>
  <c r="S175" i="5" s="1"/>
  <c r="X3110" i="6"/>
  <c r="I3150" i="6"/>
  <c r="X3150" i="6"/>
  <c r="W3150" i="6"/>
  <c r="V3150" i="6"/>
  <c r="X3199" i="6"/>
  <c r="X872" i="6"/>
  <c r="W872" i="6"/>
  <c r="X1067" i="6"/>
  <c r="W1067" i="6"/>
  <c r="V1072" i="6"/>
  <c r="W1072" i="6"/>
  <c r="K1299" i="6"/>
  <c r="Z86" i="5" s="1"/>
  <c r="J1299" i="6"/>
  <c r="K1362" i="6"/>
  <c r="Y90" i="5" s="1"/>
  <c r="AO90" i="5" s="1"/>
  <c r="J1362" i="6"/>
  <c r="V1420" i="6"/>
  <c r="I1420" i="6"/>
  <c r="V1476" i="6"/>
  <c r="X1476" i="6"/>
  <c r="I1476" i="6"/>
  <c r="X1482" i="6"/>
  <c r="I1482" i="6"/>
  <c r="W1482" i="6"/>
  <c r="V1720" i="6"/>
  <c r="X1720" i="6"/>
  <c r="I1720" i="6"/>
  <c r="V1808" i="6"/>
  <c r="I1808" i="6"/>
  <c r="X1808" i="6"/>
  <c r="W1879" i="6"/>
  <c r="X1879" i="6"/>
  <c r="V1879" i="6"/>
  <c r="V1892" i="6"/>
  <c r="X1892" i="6"/>
  <c r="I1892" i="6"/>
  <c r="W1898" i="6"/>
  <c r="V1898" i="6"/>
  <c r="I1898" i="6"/>
  <c r="V1968" i="6"/>
  <c r="W1968" i="6"/>
  <c r="W2094" i="6"/>
  <c r="I2094" i="6"/>
  <c r="X2094" i="6"/>
  <c r="I2158" i="6"/>
  <c r="X2158" i="6"/>
  <c r="X2255" i="6"/>
  <c r="I2255" i="6"/>
  <c r="V2255" i="6"/>
  <c r="W2290" i="6"/>
  <c r="V2290" i="6"/>
  <c r="J2362" i="6"/>
  <c r="K2362" i="6"/>
  <c r="Q153" i="5" s="1"/>
  <c r="X2438" i="6"/>
  <c r="J2469" i="6"/>
  <c r="K2469" i="6"/>
  <c r="AB159" i="5" s="1"/>
  <c r="J2488" i="6"/>
  <c r="K2488" i="6"/>
  <c r="O161" i="5" s="1"/>
  <c r="J2724" i="6"/>
  <c r="K2724" i="6"/>
  <c r="AA175" i="5" s="1"/>
  <c r="K2911" i="6"/>
  <c r="V187" i="5" s="1"/>
  <c r="J2911" i="6"/>
  <c r="K2963" i="6"/>
  <c r="Z190" i="5" s="1"/>
  <c r="W3111" i="6"/>
  <c r="V3111" i="6"/>
  <c r="I3111" i="6"/>
  <c r="X3234" i="6"/>
  <c r="V3234" i="6"/>
  <c r="I3234" i="6"/>
  <c r="W3234" i="6"/>
  <c r="J3342" i="6"/>
  <c r="K3342" i="6"/>
  <c r="U214" i="5" s="1"/>
  <c r="K3656" i="6"/>
  <c r="O234" i="5" s="1"/>
  <c r="J3656" i="6"/>
  <c r="W1120" i="6"/>
  <c r="V1120" i="6"/>
  <c r="K1314" i="6"/>
  <c r="Y87" i="5" s="1"/>
  <c r="J1314" i="6"/>
  <c r="K1382" i="6"/>
  <c r="M92" i="5" s="1"/>
  <c r="J1382" i="6"/>
  <c r="K1414" i="6"/>
  <c r="M94" i="5" s="1"/>
  <c r="J1414" i="6"/>
  <c r="W1431" i="6"/>
  <c r="I1431" i="6"/>
  <c r="X1431" i="6"/>
  <c r="V1431" i="6"/>
  <c r="K1545" i="6"/>
  <c r="P102" i="5" s="1"/>
  <c r="J1545" i="6"/>
  <c r="K1678" i="6"/>
  <c r="U110" i="5" s="1"/>
  <c r="J1678" i="6"/>
  <c r="I1826" i="6"/>
  <c r="W1826" i="6"/>
  <c r="V1826" i="6"/>
  <c r="W1886" i="6"/>
  <c r="V1886" i="6"/>
  <c r="I1886" i="6"/>
  <c r="V1974" i="6"/>
  <c r="X1974" i="6"/>
  <c r="X2040" i="6"/>
  <c r="I2040" i="6"/>
  <c r="W2040" i="6"/>
  <c r="W2088" i="6"/>
  <c r="X2088" i="6"/>
  <c r="V2088" i="6"/>
  <c r="I2376" i="6"/>
  <c r="X2376" i="6"/>
  <c r="V2376" i="6"/>
  <c r="J2893" i="6"/>
  <c r="K2893" i="6"/>
  <c r="T186" i="5" s="1"/>
  <c r="I3235" i="6"/>
  <c r="X3235" i="6"/>
  <c r="W3235" i="6"/>
  <c r="I3287" i="6"/>
  <c r="X3287" i="6"/>
  <c r="V3287" i="6"/>
  <c r="W3287" i="6"/>
  <c r="X3334" i="6"/>
  <c r="V3334" i="6"/>
  <c r="W3334" i="6"/>
  <c r="I3334" i="6"/>
  <c r="X2032" i="6"/>
  <c r="W2032" i="6"/>
  <c r="V2032" i="6"/>
  <c r="K2205" i="6"/>
  <c r="T143" i="5" s="1"/>
  <c r="J2205" i="6"/>
  <c r="V2276" i="6"/>
  <c r="X2276" i="6"/>
  <c r="I2276" i="6"/>
  <c r="K2323" i="6"/>
  <c r="Z150" i="5" s="1"/>
  <c r="J2323" i="6"/>
  <c r="K2379" i="6"/>
  <c r="R154" i="5" s="1"/>
  <c r="J2379" i="6"/>
  <c r="V2423" i="6"/>
  <c r="W2423" i="6"/>
  <c r="X2423" i="6"/>
  <c r="I2423" i="6"/>
  <c r="K2715" i="6"/>
  <c r="R175" i="5" s="1"/>
  <c r="AF175" i="5" s="1"/>
  <c r="J2715" i="6"/>
  <c r="W2740" i="6"/>
  <c r="I2740" i="6"/>
  <c r="X2740" i="6"/>
  <c r="K2981" i="6"/>
  <c r="AB191" i="5" s="1"/>
  <c r="J2981" i="6"/>
  <c r="X3026" i="6"/>
  <c r="I3026" i="6"/>
  <c r="I3112" i="6"/>
  <c r="W3112" i="6"/>
  <c r="V3112" i="6"/>
  <c r="I3151" i="6"/>
  <c r="X3151" i="6"/>
  <c r="W3151" i="6"/>
  <c r="K3164" i="6"/>
  <c r="S203" i="5" s="1"/>
  <c r="J3164" i="6"/>
  <c r="K3295" i="6"/>
  <c r="V211" i="5" s="1"/>
  <c r="J3295" i="6"/>
  <c r="J3349" i="6"/>
  <c r="K3349" i="6"/>
  <c r="AB214" i="5" s="1"/>
  <c r="J3426" i="6"/>
  <c r="K3426" i="6"/>
  <c r="Y219" i="5" s="1"/>
  <c r="J3441" i="6"/>
  <c r="K3441" i="6"/>
  <c r="X220" i="5" s="1"/>
  <c r="V2563" i="6"/>
  <c r="I2563" i="6"/>
  <c r="X2563" i="6"/>
  <c r="V2571" i="6"/>
  <c r="X2571" i="6"/>
  <c r="V2674" i="6"/>
  <c r="I2674" i="6"/>
  <c r="J2769" i="6"/>
  <c r="K2769" i="6"/>
  <c r="X178" i="5" s="1"/>
  <c r="I2884" i="6"/>
  <c r="V2884" i="6"/>
  <c r="X2884" i="6"/>
  <c r="K2954" i="6"/>
  <c r="Q190" i="5" s="1"/>
  <c r="J2954" i="6"/>
  <c r="K2368" i="6"/>
  <c r="W153" i="5" s="1"/>
  <c r="AL153" i="5" s="1"/>
  <c r="J2368" i="6"/>
  <c r="V2374" i="6"/>
  <c r="I2374" i="6"/>
  <c r="X2374" i="6"/>
  <c r="X2426" i="6"/>
  <c r="W2426" i="6"/>
  <c r="V2426" i="6"/>
  <c r="I2426" i="6"/>
  <c r="V2531" i="6"/>
  <c r="W2531" i="6"/>
  <c r="X2531" i="6"/>
  <c r="K2539" i="6"/>
  <c r="R164" i="5" s="1"/>
  <c r="J2539" i="6"/>
  <c r="X2564" i="6"/>
  <c r="V2564" i="6"/>
  <c r="I2564" i="6"/>
  <c r="W2564" i="6"/>
  <c r="X2674" i="6"/>
  <c r="V2776" i="6"/>
  <c r="I2776" i="6"/>
  <c r="W2776" i="6"/>
  <c r="I2876" i="6"/>
  <c r="V2876" i="6"/>
  <c r="X2876" i="6"/>
  <c r="I2898" i="6"/>
  <c r="X2898" i="6"/>
  <c r="W2898" i="6"/>
  <c r="V2898" i="6"/>
  <c r="W3002" i="6"/>
  <c r="X3002" i="6"/>
  <c r="V3002" i="6"/>
  <c r="K3146" i="6"/>
  <c r="Q202" i="5" s="1"/>
  <c r="J3146" i="6"/>
  <c r="V3174" i="6"/>
  <c r="X3174" i="6"/>
  <c r="K3208" i="6"/>
  <c r="O206" i="5" s="1"/>
  <c r="J3208" i="6"/>
  <c r="K3613" i="6"/>
  <c r="T231" i="5" s="1"/>
  <c r="J3613" i="6"/>
  <c r="X3719" i="6"/>
  <c r="W3719" i="6"/>
  <c r="V3719" i="6"/>
  <c r="V1452" i="6"/>
  <c r="X1452" i="6"/>
  <c r="W1452" i="6"/>
  <c r="V1512" i="6"/>
  <c r="I1512" i="6"/>
  <c r="W1512" i="6"/>
  <c r="V1546" i="6"/>
  <c r="I1546" i="6"/>
  <c r="I1631" i="6"/>
  <c r="V1652" i="6"/>
  <c r="I1652" i="6"/>
  <c r="X1734" i="6"/>
  <c r="W1734" i="6"/>
  <c r="X1751" i="6"/>
  <c r="W1751" i="6"/>
  <c r="X1959" i="6"/>
  <c r="I1959" i="6"/>
  <c r="W2014" i="6"/>
  <c r="I2014" i="6"/>
  <c r="X2014" i="6"/>
  <c r="K2127" i="6"/>
  <c r="V138" i="5" s="1"/>
  <c r="J2127" i="6"/>
  <c r="V2140" i="6"/>
  <c r="X2140" i="6"/>
  <c r="I2231" i="6"/>
  <c r="X2231" i="6"/>
  <c r="W2231" i="6"/>
  <c r="V2231" i="6"/>
  <c r="K2311" i="6"/>
  <c r="N150" i="5" s="1"/>
  <c r="J2311" i="6"/>
  <c r="W2374" i="6"/>
  <c r="W2427" i="6"/>
  <c r="I2427" i="6"/>
  <c r="X2427" i="6"/>
  <c r="V2427" i="6"/>
  <c r="I2435" i="6"/>
  <c r="X2435" i="6"/>
  <c r="W2435" i="6"/>
  <c r="V2435" i="6"/>
  <c r="J2442" i="6"/>
  <c r="K2442" i="6"/>
  <c r="Q158" i="5" s="1"/>
  <c r="J2586" i="6"/>
  <c r="J2644" i="6"/>
  <c r="K2650" i="6"/>
  <c r="Q171" i="5" s="1"/>
  <c r="W2680" i="6"/>
  <c r="X2680" i="6"/>
  <c r="J2691" i="6"/>
  <c r="J2748" i="6"/>
  <c r="K2748" i="6"/>
  <c r="S177" i="5" s="1"/>
  <c r="K2762" i="6"/>
  <c r="Q178" i="5" s="1"/>
  <c r="J2762" i="6"/>
  <c r="X2776" i="6"/>
  <c r="W2876" i="6"/>
  <c r="J2892" i="6"/>
  <c r="K2892" i="6"/>
  <c r="S186" i="5" s="1"/>
  <c r="I3003" i="6"/>
  <c r="X3003" i="6"/>
  <c r="W3003" i="6"/>
  <c r="V3003" i="6"/>
  <c r="W3066" i="6"/>
  <c r="I3066" i="6"/>
  <c r="X3066" i="6"/>
  <c r="V3066" i="6"/>
  <c r="W3174" i="6"/>
  <c r="X3208" i="6"/>
  <c r="V3208" i="6"/>
  <c r="W3208" i="6"/>
  <c r="W2232" i="6"/>
  <c r="I2232" i="6"/>
  <c r="V2232" i="6"/>
  <c r="K2337" i="6"/>
  <c r="X151" i="5" s="1"/>
  <c r="J2337" i="6"/>
  <c r="I2350" i="6"/>
  <c r="X2350" i="6"/>
  <c r="V2350" i="6"/>
  <c r="J2356" i="6"/>
  <c r="K2356" i="6"/>
  <c r="AA152" i="5" s="1"/>
  <c r="V2362" i="6"/>
  <c r="X2362" i="6"/>
  <c r="V2388" i="6"/>
  <c r="W2388" i="6"/>
  <c r="X2388" i="6"/>
  <c r="I2388" i="6"/>
  <c r="K2668" i="6"/>
  <c r="S172" i="5" s="1"/>
  <c r="J2668" i="6"/>
  <c r="V2680" i="6"/>
  <c r="I2731" i="6"/>
  <c r="V2731" i="6"/>
  <c r="J2910" i="6"/>
  <c r="K2910" i="6"/>
  <c r="U187" i="5" s="1"/>
  <c r="X2955" i="6"/>
  <c r="V2955" i="6"/>
  <c r="W2955" i="6"/>
  <c r="I2955" i="6"/>
  <c r="K3054" i="6"/>
  <c r="U196" i="5" s="1"/>
  <c r="K3175" i="6"/>
  <c r="N204" i="5" s="1"/>
  <c r="J3175" i="6"/>
  <c r="K3394" i="6"/>
  <c r="Y217" i="5" s="1"/>
  <c r="J3394" i="6"/>
  <c r="K3541" i="6"/>
  <c r="AB226" i="5" s="1"/>
  <c r="J3541" i="6"/>
  <c r="V3604" i="6"/>
  <c r="X3604" i="6"/>
  <c r="I3604" i="6"/>
  <c r="W3604" i="6"/>
  <c r="K3684" i="6"/>
  <c r="AA235" i="5" s="1"/>
  <c r="J3684" i="6"/>
  <c r="X2632" i="6"/>
  <c r="V2632" i="6"/>
  <c r="W2632" i="6"/>
  <c r="I2632" i="6"/>
  <c r="W2638" i="6"/>
  <c r="X2638" i="6"/>
  <c r="X2675" i="6"/>
  <c r="W2675" i="6"/>
  <c r="K2698" i="6"/>
  <c r="Q174" i="5" s="1"/>
  <c r="J2698" i="6"/>
  <c r="J2712" i="6"/>
  <c r="K2712" i="6"/>
  <c r="O175" i="5" s="1"/>
  <c r="K2854" i="6"/>
  <c r="M184" i="5" s="1"/>
  <c r="J2854" i="6"/>
  <c r="J3345" i="6"/>
  <c r="K3345" i="6"/>
  <c r="X214" i="5" s="1"/>
  <c r="V3415" i="6"/>
  <c r="I3415" i="6"/>
  <c r="X3504" i="6"/>
  <c r="W3504" i="6"/>
  <c r="V3504" i="6"/>
  <c r="I3504" i="6"/>
  <c r="K3649" i="6"/>
  <c r="X233" i="5" s="1"/>
  <c r="J3649" i="6"/>
  <c r="X3656" i="6"/>
  <c r="W3656" i="6"/>
  <c r="V3656" i="6"/>
  <c r="V1540" i="6"/>
  <c r="W1540" i="6"/>
  <c r="K1547" i="6"/>
  <c r="R102" i="5" s="1"/>
  <c r="J1547" i="6"/>
  <c r="W1670" i="6"/>
  <c r="X1670" i="6"/>
  <c r="V1670" i="6"/>
  <c r="V1688" i="6"/>
  <c r="W1688" i="6"/>
  <c r="V1796" i="6"/>
  <c r="I1796" i="6"/>
  <c r="X1796" i="6"/>
  <c r="W1796" i="6"/>
  <c r="W1839" i="6"/>
  <c r="V1839" i="6"/>
  <c r="I1839" i="6"/>
  <c r="X1971" i="6"/>
  <c r="W1971" i="6"/>
  <c r="V1971" i="6"/>
  <c r="I1978" i="6"/>
  <c r="X1978" i="6"/>
  <c r="W2164" i="6"/>
  <c r="V2164" i="6"/>
  <c r="X2164" i="6"/>
  <c r="W2279" i="6"/>
  <c r="I2279" i="6"/>
  <c r="X2279" i="6"/>
  <c r="V2279" i="6"/>
  <c r="X2319" i="6"/>
  <c r="I2319" i="6"/>
  <c r="X2407" i="6"/>
  <c r="W2407" i="6"/>
  <c r="V2407" i="6"/>
  <c r="X2478" i="6"/>
  <c r="V2478" i="6"/>
  <c r="W2502" i="6"/>
  <c r="X2502" i="6"/>
  <c r="V2502" i="6"/>
  <c r="K2546" i="6"/>
  <c r="Y164" i="5" s="1"/>
  <c r="J2546" i="6"/>
  <c r="V2638" i="6"/>
  <c r="V2675" i="6"/>
  <c r="K2718" i="6"/>
  <c r="U175" i="5" s="1"/>
  <c r="J2718" i="6"/>
  <c r="J2841" i="6"/>
  <c r="K2962" i="6"/>
  <c r="Y190" i="5" s="1"/>
  <c r="J2962" i="6"/>
  <c r="K3016" i="6"/>
  <c r="O194" i="5" s="1"/>
  <c r="K3022" i="6"/>
  <c r="U194" i="5" s="1"/>
  <c r="J3022" i="6"/>
  <c r="W3131" i="6"/>
  <c r="V3131" i="6"/>
  <c r="X3131" i="6"/>
  <c r="I3131" i="6"/>
  <c r="V3252" i="6"/>
  <c r="I3252" i="6"/>
  <c r="W3252" i="6"/>
  <c r="X3252" i="6"/>
  <c r="W3324" i="6"/>
  <c r="I3324" i="6"/>
  <c r="X3324" i="6"/>
  <c r="I3376" i="6"/>
  <c r="W3376" i="6"/>
  <c r="W3415" i="6"/>
  <c r="W3455" i="6"/>
  <c r="X3455" i="6"/>
  <c r="I3455" i="6"/>
  <c r="X1208" i="6"/>
  <c r="W1208" i="6"/>
  <c r="W1288" i="6"/>
  <c r="V1288" i="6"/>
  <c r="X1503" i="6"/>
  <c r="W1503" i="6"/>
  <c r="X1563" i="6"/>
  <c r="V1563" i="6"/>
  <c r="I2034" i="6"/>
  <c r="X2034" i="6"/>
  <c r="V2034" i="6"/>
  <c r="X2080" i="6"/>
  <c r="I2080" i="6"/>
  <c r="W2387" i="6"/>
  <c r="X2387" i="6"/>
  <c r="V2387" i="6"/>
  <c r="I2387" i="6"/>
  <c r="W2628" i="6"/>
  <c r="V2628" i="6"/>
  <c r="I2628" i="6"/>
  <c r="X2628" i="6"/>
  <c r="K2657" i="6"/>
  <c r="X171" i="5" s="1"/>
  <c r="J2657" i="6"/>
  <c r="I2831" i="6"/>
  <c r="X2831" i="6"/>
  <c r="V2831" i="6"/>
  <c r="W2850" i="6"/>
  <c r="V2850" i="6"/>
  <c r="I2850" i="6"/>
  <c r="J3009" i="6"/>
  <c r="K3009" i="6"/>
  <c r="X193" i="5" s="1"/>
  <c r="V3256" i="6"/>
  <c r="W3256" i="6"/>
  <c r="I3256" i="6"/>
  <c r="V3348" i="6"/>
  <c r="I3348" i="6"/>
  <c r="X3348" i="6"/>
  <c r="K3418" i="6"/>
  <c r="Q219" i="5" s="1"/>
  <c r="V3438" i="6"/>
  <c r="W3438" i="6"/>
  <c r="K3620" i="6"/>
  <c r="AA231" i="5" s="1"/>
  <c r="J3620" i="6"/>
  <c r="I2572" i="6"/>
  <c r="W2572" i="6"/>
  <c r="V2572" i="6"/>
  <c r="X2572" i="6"/>
  <c r="I2579" i="6"/>
  <c r="X2579" i="6"/>
  <c r="W2579" i="6"/>
  <c r="I2611" i="6"/>
  <c r="X2611" i="6"/>
  <c r="V2611" i="6"/>
  <c r="X2671" i="6"/>
  <c r="I2671" i="6"/>
  <c r="X2687" i="6"/>
  <c r="W2687" i="6"/>
  <c r="I2700" i="6"/>
  <c r="W2700" i="6"/>
  <c r="V2700" i="6"/>
  <c r="I2788" i="6"/>
  <c r="W2788" i="6"/>
  <c r="X2788" i="6"/>
  <c r="V2788" i="6"/>
  <c r="I2851" i="6"/>
  <c r="X2851" i="6"/>
  <c r="V2851" i="6"/>
  <c r="J2996" i="6"/>
  <c r="K2996" i="6"/>
  <c r="AA192" i="5" s="1"/>
  <c r="J3060" i="6"/>
  <c r="K3060" i="6"/>
  <c r="AA196" i="5" s="1"/>
  <c r="I3087" i="6"/>
  <c r="V3087" i="6"/>
  <c r="J3105" i="6"/>
  <c r="K3105" i="6"/>
  <c r="X199" i="5" s="1"/>
  <c r="K3135" i="6"/>
  <c r="V201" i="5" s="1"/>
  <c r="J3135" i="6"/>
  <c r="K3288" i="6"/>
  <c r="O211" i="5" s="1"/>
  <c r="J3288" i="6"/>
  <c r="X3446" i="6"/>
  <c r="V3446" i="6"/>
  <c r="I3446" i="6"/>
  <c r="X3550" i="6"/>
  <c r="W3550" i="6"/>
  <c r="V3550" i="6"/>
  <c r="V2308" i="6"/>
  <c r="I2308" i="6"/>
  <c r="X2308" i="6"/>
  <c r="W2308" i="6"/>
  <c r="V2370" i="6"/>
  <c r="I2370" i="6"/>
  <c r="J2470" i="6"/>
  <c r="K2470" i="6"/>
  <c r="M160" i="5" s="1"/>
  <c r="W2476" i="6"/>
  <c r="X2476" i="6"/>
  <c r="V2586" i="6"/>
  <c r="W2586" i="6"/>
  <c r="X2586" i="6"/>
  <c r="V2624" i="6"/>
  <c r="I2624" i="6"/>
  <c r="I2636" i="6"/>
  <c r="W2636" i="6"/>
  <c r="K2815" i="6"/>
  <c r="V181" i="5" s="1"/>
  <c r="J2815" i="6"/>
  <c r="V3016" i="6"/>
  <c r="X3016" i="6"/>
  <c r="X3136" i="6"/>
  <c r="W3136" i="6"/>
  <c r="V3136" i="6"/>
  <c r="W3144" i="6"/>
  <c r="V3144" i="6"/>
  <c r="I3144" i="6"/>
  <c r="X3144" i="6"/>
  <c r="W3530" i="6"/>
  <c r="X3530" i="6"/>
  <c r="I3530" i="6"/>
  <c r="V3530" i="6"/>
  <c r="W3118" i="6"/>
  <c r="I3118" i="6"/>
  <c r="V3118" i="6"/>
  <c r="J3165" i="6"/>
  <c r="K3165" i="6"/>
  <c r="T203" i="5" s="1"/>
  <c r="W3362" i="6"/>
  <c r="I3362" i="6"/>
  <c r="V3362" i="6"/>
  <c r="X3362" i="6"/>
  <c r="X3636" i="6"/>
  <c r="W3636" i="6"/>
  <c r="I3636" i="6"/>
  <c r="X1695" i="6"/>
  <c r="W1695" i="6"/>
  <c r="V1695" i="6"/>
  <c r="I1695" i="6"/>
  <c r="I1958" i="6"/>
  <c r="W1958" i="6"/>
  <c r="V1958" i="6"/>
  <c r="K2043" i="6"/>
  <c r="R133" i="5" s="1"/>
  <c r="AH133" i="5" s="1"/>
  <c r="J2043" i="6"/>
  <c r="W2048" i="6"/>
  <c r="I2048" i="6"/>
  <c r="X2048" i="6"/>
  <c r="V2048" i="6"/>
  <c r="X2396" i="6"/>
  <c r="W2396" i="6"/>
  <c r="I2459" i="6"/>
  <c r="X2459" i="6"/>
  <c r="W2459" i="6"/>
  <c r="V2459" i="6"/>
  <c r="X2470" i="6"/>
  <c r="J2517" i="6"/>
  <c r="K2517" i="6"/>
  <c r="AB162" i="5" s="1"/>
  <c r="K2542" i="6"/>
  <c r="U164" i="5" s="1"/>
  <c r="J2542" i="6"/>
  <c r="I2695" i="6"/>
  <c r="X2695" i="6"/>
  <c r="W2695" i="6"/>
  <c r="V2695" i="6"/>
  <c r="K2757" i="6"/>
  <c r="AB177" i="5" s="1"/>
  <c r="J2757" i="6"/>
  <c r="V2783" i="6"/>
  <c r="W2783" i="6"/>
  <c r="I2783" i="6"/>
  <c r="J2874" i="6"/>
  <c r="K2874" i="6"/>
  <c r="Q185" i="5" s="1"/>
  <c r="W2991" i="6"/>
  <c r="V2991" i="6"/>
  <c r="I2991" i="6"/>
  <c r="I3023" i="6"/>
  <c r="X3023" i="6"/>
  <c r="V3023" i="6"/>
  <c r="W3023" i="6"/>
  <c r="J3080" i="6"/>
  <c r="X3118" i="6"/>
  <c r="W3179" i="6"/>
  <c r="I3179" i="6"/>
  <c r="J3191" i="6"/>
  <c r="J3231" i="6"/>
  <c r="I3258" i="6"/>
  <c r="X3258" i="6"/>
  <c r="W3258" i="6"/>
  <c r="V3258" i="6"/>
  <c r="K3305" i="6"/>
  <c r="P212" i="5" s="1"/>
  <c r="J3305" i="6"/>
  <c r="J3363" i="6"/>
  <c r="K3363" i="6"/>
  <c r="Z215" i="5" s="1"/>
  <c r="J3525" i="6"/>
  <c r="V3636" i="6"/>
  <c r="K2453" i="6"/>
  <c r="AB158" i="5" s="1"/>
  <c r="J2453" i="6"/>
  <c r="W2536" i="6"/>
  <c r="X2536" i="6"/>
  <c r="I2536" i="6"/>
  <c r="V2536" i="6"/>
  <c r="W2567" i="6"/>
  <c r="I2567" i="6"/>
  <c r="K2619" i="6"/>
  <c r="R169" i="5" s="1"/>
  <c r="J2619" i="6"/>
  <c r="K2771" i="6"/>
  <c r="Z178" i="5" s="1"/>
  <c r="J2771" i="6"/>
  <c r="V2846" i="6"/>
  <c r="X2846" i="6"/>
  <c r="I2846" i="6"/>
  <c r="K2869" i="6"/>
  <c r="AB184" i="5" s="1"/>
  <c r="J2869" i="6"/>
  <c r="I2882" i="6"/>
  <c r="X2882" i="6"/>
  <c r="W2882" i="6"/>
  <c r="V2882" i="6"/>
  <c r="V2972" i="6"/>
  <c r="X2972" i="6"/>
  <c r="I2972" i="6"/>
  <c r="W2972" i="6"/>
  <c r="X2991" i="6"/>
  <c r="X3080" i="6"/>
  <c r="V3080" i="6"/>
  <c r="W3080" i="6"/>
  <c r="K3125" i="6"/>
  <c r="AB200" i="5" s="1"/>
  <c r="J3125" i="6"/>
  <c r="J3153" i="6"/>
  <c r="K3153" i="6"/>
  <c r="X202" i="5" s="1"/>
  <c r="V3179" i="6"/>
  <c r="K3238" i="6"/>
  <c r="M208" i="5" s="1"/>
  <c r="J3238" i="6"/>
  <c r="J3344" i="6"/>
  <c r="K3344" i="6"/>
  <c r="W214" i="5" s="1"/>
  <c r="J3493" i="6"/>
  <c r="K3493" i="6"/>
  <c r="AB223" i="5" s="1"/>
  <c r="W3579" i="6"/>
  <c r="X3579" i="6"/>
  <c r="I3579" i="6"/>
  <c r="W1635" i="6"/>
  <c r="I1635" i="6"/>
  <c r="V1635" i="6"/>
  <c r="K1651" i="6"/>
  <c r="Z108" i="5" s="1"/>
  <c r="J1651" i="6"/>
  <c r="W1838" i="6"/>
  <c r="X1838" i="6"/>
  <c r="I1838" i="6"/>
  <c r="W1867" i="6"/>
  <c r="W1998" i="6"/>
  <c r="I1998" i="6"/>
  <c r="X1998" i="6"/>
  <c r="V1998" i="6"/>
  <c r="K2131" i="6"/>
  <c r="Z138" i="5" s="1"/>
  <c r="J2131" i="6"/>
  <c r="K2143" i="6"/>
  <c r="V139" i="5" s="1"/>
  <c r="J2143" i="6"/>
  <c r="K2271" i="6"/>
  <c r="V147" i="5" s="1"/>
  <c r="J2271" i="6"/>
  <c r="K2429" i="6"/>
  <c r="T157" i="5" s="1"/>
  <c r="J2429" i="6"/>
  <c r="J2460" i="6"/>
  <c r="K2494" i="6"/>
  <c r="U161" i="5" s="1"/>
  <c r="J2494" i="6"/>
  <c r="J2500" i="6"/>
  <c r="V2567" i="6"/>
  <c r="I2588" i="6"/>
  <c r="X2588" i="6"/>
  <c r="J2696" i="6"/>
  <c r="J2702" i="6"/>
  <c r="K2702" i="6"/>
  <c r="U174" i="5" s="1"/>
  <c r="J2765" i="6"/>
  <c r="K2765" i="6"/>
  <c r="T178" i="5" s="1"/>
  <c r="K2810" i="6"/>
  <c r="Q181" i="5" s="1"/>
  <c r="J2810" i="6"/>
  <c r="J2816" i="6"/>
  <c r="K2816" i="6"/>
  <c r="W181" i="5" s="1"/>
  <c r="W2846" i="6"/>
  <c r="V2890" i="6"/>
  <c r="X2890" i="6"/>
  <c r="W2890" i="6"/>
  <c r="I2890" i="6"/>
  <c r="J2908" i="6"/>
  <c r="J2926" i="6"/>
  <c r="J2933" i="6"/>
  <c r="K2933" i="6"/>
  <c r="AB188" i="5" s="1"/>
  <c r="I2939" i="6"/>
  <c r="X2939" i="6"/>
  <c r="W2939" i="6"/>
  <c r="W3042" i="6"/>
  <c r="X3042" i="6"/>
  <c r="V3042" i="6"/>
  <c r="I3042" i="6"/>
  <c r="W3068" i="6"/>
  <c r="K3081" i="6"/>
  <c r="P198" i="5" s="1"/>
  <c r="J3081" i="6"/>
  <c r="X3179" i="6"/>
  <c r="W3191" i="6"/>
  <c r="J3205" i="6"/>
  <c r="X3238" i="6"/>
  <c r="W3238" i="6"/>
  <c r="X3291" i="6"/>
  <c r="V3291" i="6"/>
  <c r="W3291" i="6"/>
  <c r="I3291" i="6"/>
  <c r="X3344" i="6"/>
  <c r="W3344" i="6"/>
  <c r="V3579" i="6"/>
  <c r="K3594" i="6"/>
  <c r="Q230" i="5" s="1"/>
  <c r="J3594" i="6"/>
  <c r="W3608" i="6"/>
  <c r="X3608" i="6"/>
  <c r="I3608" i="6"/>
  <c r="K3708" i="6"/>
  <c r="S237" i="5" s="1"/>
  <c r="J3708" i="6"/>
  <c r="J1239" i="6"/>
  <c r="K1239" i="6"/>
  <c r="N83" i="5" s="1"/>
  <c r="K1342" i="6"/>
  <c r="U89" i="5" s="1"/>
  <c r="J1342" i="6"/>
  <c r="I1459" i="6"/>
  <c r="X1459" i="6"/>
  <c r="K1561" i="6"/>
  <c r="P103" i="5" s="1"/>
  <c r="J1561" i="6"/>
  <c r="V1588" i="6"/>
  <c r="X1588" i="6"/>
  <c r="I1588" i="6"/>
  <c r="X1635" i="6"/>
  <c r="K1690" i="6"/>
  <c r="Q111" i="5" s="1"/>
  <c r="J1690" i="6"/>
  <c r="V1706" i="6"/>
  <c r="K1717" i="6"/>
  <c r="AB112" i="5" s="1"/>
  <c r="J1717" i="6"/>
  <c r="V1739" i="6"/>
  <c r="V1792" i="6"/>
  <c r="W1792" i="6"/>
  <c r="J1804" i="6"/>
  <c r="V1838" i="6"/>
  <c r="K1873" i="6"/>
  <c r="X122" i="5" s="1"/>
  <c r="V1924" i="6"/>
  <c r="I1924" i="6"/>
  <c r="W1924" i="6"/>
  <c r="V1930" i="6"/>
  <c r="K1953" i="6"/>
  <c r="X127" i="5" s="1"/>
  <c r="K1965" i="6"/>
  <c r="T128" i="5" s="1"/>
  <c r="J1965" i="6"/>
  <c r="W2011" i="6"/>
  <c r="I2011" i="6"/>
  <c r="X2024" i="6"/>
  <c r="I2024" i="6"/>
  <c r="W2024" i="6"/>
  <c r="V2024" i="6"/>
  <c r="I2112" i="6"/>
  <c r="X2112" i="6"/>
  <c r="W2143" i="6"/>
  <c r="X2143" i="6"/>
  <c r="V2143" i="6"/>
  <c r="K2167" i="6"/>
  <c r="N141" i="5" s="1"/>
  <c r="J2167" i="6"/>
  <c r="V2190" i="6"/>
  <c r="I2190" i="6"/>
  <c r="K2233" i="6"/>
  <c r="P145" i="5" s="1"/>
  <c r="X2244" i="6"/>
  <c r="W2244" i="6"/>
  <c r="I2244" i="6"/>
  <c r="X2263" i="6"/>
  <c r="W2263" i="6"/>
  <c r="V2263" i="6"/>
  <c r="K2409" i="6"/>
  <c r="P156" i="5" s="1"/>
  <c r="J2409" i="6"/>
  <c r="X2416" i="6"/>
  <c r="V2416" i="6"/>
  <c r="I2416" i="6"/>
  <c r="J2437" i="6"/>
  <c r="K2437" i="6"/>
  <c r="AB157" i="5" s="1"/>
  <c r="X2460" i="6"/>
  <c r="W2460" i="6"/>
  <c r="V2494" i="6"/>
  <c r="K2555" i="6"/>
  <c r="R165" i="5" s="1"/>
  <c r="J2555" i="6"/>
  <c r="X2567" i="6"/>
  <c r="V2588" i="6"/>
  <c r="V2702" i="6"/>
  <c r="W2702" i="6"/>
  <c r="X2702" i="6"/>
  <c r="K2728" i="6"/>
  <c r="O176" i="5" s="1"/>
  <c r="J2728" i="6"/>
  <c r="J2903" i="6"/>
  <c r="W2908" i="6"/>
  <c r="V2908" i="6"/>
  <c r="K2920" i="6"/>
  <c r="O188" i="5" s="1"/>
  <c r="V2939" i="6"/>
  <c r="X3043" i="6"/>
  <c r="I3043" i="6"/>
  <c r="W3043" i="6"/>
  <c r="X3068" i="6"/>
  <c r="X3107" i="6"/>
  <c r="V3107" i="6"/>
  <c r="I3107" i="6"/>
  <c r="W3107" i="6"/>
  <c r="X3191" i="6"/>
  <c r="K3225" i="6"/>
  <c r="P207" i="5" s="1"/>
  <c r="J3225" i="6"/>
  <c r="V3238" i="6"/>
  <c r="J3272" i="6"/>
  <c r="K3272" i="6"/>
  <c r="O210" i="5" s="1"/>
  <c r="AC210" i="5" s="1"/>
  <c r="V3344" i="6"/>
  <c r="I3387" i="6"/>
  <c r="W3387" i="6"/>
  <c r="J3479" i="6"/>
  <c r="K3479" i="6"/>
  <c r="N223" i="5" s="1"/>
  <c r="V3608" i="6"/>
  <c r="V3507" i="6"/>
  <c r="X3507" i="6"/>
  <c r="W3507" i="6"/>
  <c r="I3507" i="6"/>
  <c r="X2863" i="6"/>
  <c r="I2863" i="6"/>
  <c r="W2863" i="6"/>
  <c r="X2940" i="6"/>
  <c r="V2940" i="6"/>
  <c r="I2940" i="6"/>
  <c r="K2952" i="6"/>
  <c r="O190" i="5" s="1"/>
  <c r="J2952" i="6"/>
  <c r="K3039" i="6"/>
  <c r="V195" i="5" s="1"/>
  <c r="J3039" i="6"/>
  <c r="K3083" i="6"/>
  <c r="R198" i="5" s="1"/>
  <c r="J3083" i="6"/>
  <c r="I3200" i="6"/>
  <c r="W3200" i="6"/>
  <c r="X3200" i="6"/>
  <c r="V3339" i="6"/>
  <c r="I3339" i="6"/>
  <c r="W3434" i="6"/>
  <c r="I3434" i="6"/>
  <c r="X3434" i="6"/>
  <c r="V3434" i="6"/>
  <c r="J3562" i="6"/>
  <c r="K3562" i="6"/>
  <c r="Q228" i="5" s="1"/>
  <c r="J3596" i="6"/>
  <c r="J3679" i="6"/>
  <c r="K3679" i="6"/>
  <c r="V235" i="5" s="1"/>
  <c r="I3692" i="6"/>
  <c r="V3692" i="6"/>
  <c r="X3692" i="6"/>
  <c r="X1331" i="6"/>
  <c r="W1331" i="6"/>
  <c r="V1392" i="6"/>
  <c r="X1392" i="6"/>
  <c r="W1392" i="6"/>
  <c r="V1424" i="6"/>
  <c r="I1424" i="6"/>
  <c r="V1440" i="6"/>
  <c r="I1440" i="6"/>
  <c r="I1466" i="6"/>
  <c r="X1466" i="6"/>
  <c r="J1507" i="6"/>
  <c r="K1507" i="6"/>
  <c r="Z99" i="5" s="1"/>
  <c r="K1592" i="6"/>
  <c r="O105" i="5" s="1"/>
  <c r="J1592" i="6"/>
  <c r="V1658" i="6"/>
  <c r="X1658" i="6"/>
  <c r="W1658" i="6"/>
  <c r="V1664" i="6"/>
  <c r="X1664" i="6"/>
  <c r="W1664" i="6"/>
  <c r="I1664" i="6"/>
  <c r="J1675" i="6"/>
  <c r="K1675" i="6"/>
  <c r="R110" i="5" s="1"/>
  <c r="W1942" i="6"/>
  <c r="V1942" i="6"/>
  <c r="I2134" i="6"/>
  <c r="X2134" i="6"/>
  <c r="W2296" i="6"/>
  <c r="I2296" i="6"/>
  <c r="I2302" i="6"/>
  <c r="V2302" i="6"/>
  <c r="J2560" i="6"/>
  <c r="K2560" i="6"/>
  <c r="W165" i="5" s="1"/>
  <c r="W2599" i="6"/>
  <c r="X2599" i="6"/>
  <c r="V2599" i="6"/>
  <c r="X2795" i="6"/>
  <c r="W2795" i="6"/>
  <c r="V2795" i="6"/>
  <c r="I2795" i="6"/>
  <c r="X2808" i="6"/>
  <c r="W2808" i="6"/>
  <c r="I2808" i="6"/>
  <c r="J2856" i="6"/>
  <c r="K2856" i="6"/>
  <c r="O184" i="5" s="1"/>
  <c r="V2863" i="6"/>
  <c r="K2899" i="6"/>
  <c r="Z186" i="5" s="1"/>
  <c r="J2899" i="6"/>
  <c r="W2940" i="6"/>
  <c r="X2952" i="6"/>
  <c r="W2952" i="6"/>
  <c r="W3039" i="6"/>
  <c r="X3039" i="6"/>
  <c r="V3083" i="6"/>
  <c r="K3108" i="6"/>
  <c r="AA199" i="5" s="1"/>
  <c r="J3108" i="6"/>
  <c r="J3114" i="6"/>
  <c r="K3114" i="6"/>
  <c r="Q200" i="5" s="1"/>
  <c r="V3143" i="6"/>
  <c r="X3143" i="6"/>
  <c r="W3143" i="6"/>
  <c r="I3143" i="6"/>
  <c r="V3200" i="6"/>
  <c r="W3259" i="6"/>
  <c r="X3259" i="6"/>
  <c r="I3259" i="6"/>
  <c r="V3288" i="6"/>
  <c r="X3288" i="6"/>
  <c r="W3288" i="6"/>
  <c r="W3339" i="6"/>
  <c r="I3408" i="6"/>
  <c r="W3408" i="6"/>
  <c r="V3408" i="6"/>
  <c r="K3428" i="6"/>
  <c r="AA219" i="5" s="1"/>
  <c r="J3428" i="6"/>
  <c r="W3692" i="6"/>
  <c r="K3693" i="6"/>
  <c r="T236" i="5" s="1"/>
  <c r="J3693" i="6"/>
  <c r="V2222" i="6"/>
  <c r="X2222" i="6"/>
  <c r="V2283" i="6"/>
  <c r="X2283" i="6"/>
  <c r="W2283" i="6"/>
  <c r="W2338" i="6"/>
  <c r="X2338" i="6"/>
  <c r="V2338" i="6"/>
  <c r="I2338" i="6"/>
  <c r="K2351" i="6"/>
  <c r="V152" i="5" s="1"/>
  <c r="J2351" i="6"/>
  <c r="X2623" i="6"/>
  <c r="I2623" i="6"/>
  <c r="V2635" i="6"/>
  <c r="I2635" i="6"/>
  <c r="W2710" i="6"/>
  <c r="X2710" i="6"/>
  <c r="V2710" i="6"/>
  <c r="I2710" i="6"/>
  <c r="W2826" i="6"/>
  <c r="V2826" i="6"/>
  <c r="X2928" i="6"/>
  <c r="V2928" i="6"/>
  <c r="X3083" i="6"/>
  <c r="I3120" i="6"/>
  <c r="V3120" i="6"/>
  <c r="V3227" i="6"/>
  <c r="W3227" i="6"/>
  <c r="I3227" i="6"/>
  <c r="X3227" i="6"/>
  <c r="I3247" i="6"/>
  <c r="W3247" i="6"/>
  <c r="V3247" i="6"/>
  <c r="X3247" i="6"/>
  <c r="I3556" i="6"/>
  <c r="X3556" i="6"/>
  <c r="W3556" i="6"/>
  <c r="V3556" i="6"/>
  <c r="K3680" i="6"/>
  <c r="W235" i="5" s="1"/>
  <c r="J3680" i="6"/>
  <c r="J3085" i="6"/>
  <c r="K3085" i="6"/>
  <c r="T198" i="5" s="1"/>
  <c r="K3229" i="6"/>
  <c r="T207" i="5" s="1"/>
  <c r="J3229" i="6"/>
  <c r="W3480" i="6"/>
  <c r="V3480" i="6"/>
  <c r="X3480" i="6"/>
  <c r="I3480" i="6"/>
  <c r="V3543" i="6"/>
  <c r="X3543" i="6"/>
  <c r="W3543" i="6"/>
  <c r="X3584" i="6"/>
  <c r="W3584" i="6"/>
  <c r="I3584" i="6"/>
  <c r="V3584" i="6"/>
  <c r="J3716" i="6"/>
  <c r="X3647" i="6"/>
  <c r="W3647" i="6"/>
  <c r="V3647" i="6"/>
  <c r="I3702" i="6"/>
  <c r="W3702" i="6"/>
  <c r="X3702" i="6"/>
  <c r="V3702" i="6"/>
  <c r="X3723" i="6"/>
  <c r="V3723" i="6"/>
  <c r="I1895" i="6"/>
  <c r="X1895" i="6"/>
  <c r="V1944" i="6"/>
  <c r="X1944" i="6"/>
  <c r="W1944" i="6"/>
  <c r="I1944" i="6"/>
  <c r="W1983" i="6"/>
  <c r="I1983" i="6"/>
  <c r="K2016" i="6"/>
  <c r="W131" i="5" s="1"/>
  <c r="J2016" i="6"/>
  <c r="W2078" i="6"/>
  <c r="X2078" i="6"/>
  <c r="V2078" i="6"/>
  <c r="W2194" i="6"/>
  <c r="I2194" i="6"/>
  <c r="X2194" i="6"/>
  <c r="W2316" i="6"/>
  <c r="V2316" i="6"/>
  <c r="X2316" i="6"/>
  <c r="I2334" i="6"/>
  <c r="K2569" i="6"/>
  <c r="P166" i="5" s="1"/>
  <c r="J2569" i="6"/>
  <c r="V2619" i="6"/>
  <c r="W2619" i="6"/>
  <c r="V2659" i="6"/>
  <c r="I2659" i="6"/>
  <c r="I2672" i="6"/>
  <c r="W2672" i="6"/>
  <c r="W2998" i="6"/>
  <c r="X2998" i="6"/>
  <c r="V2998" i="6"/>
  <c r="I2998" i="6"/>
  <c r="W3011" i="6"/>
  <c r="V3011" i="6"/>
  <c r="X3011" i="6"/>
  <c r="I3011" i="6"/>
  <c r="W3139" i="6"/>
  <c r="I3139" i="6"/>
  <c r="W3184" i="6"/>
  <c r="I3184" i="6"/>
  <c r="V3184" i="6"/>
  <c r="X3283" i="6"/>
  <c r="V3283" i="6"/>
  <c r="I3283" i="6"/>
  <c r="I3335" i="6"/>
  <c r="W3335" i="6"/>
  <c r="W3342" i="6"/>
  <c r="V3342" i="6"/>
  <c r="X3342" i="6"/>
  <c r="X3558" i="6"/>
  <c r="I3558" i="6"/>
  <c r="W3558" i="6"/>
  <c r="V3558" i="6"/>
  <c r="J3682" i="6"/>
  <c r="K3687" i="6"/>
  <c r="N236" i="5" s="1"/>
  <c r="W3723" i="6"/>
  <c r="V1520" i="6"/>
  <c r="I1520" i="6"/>
  <c r="X1520" i="6"/>
  <c r="W1520" i="6"/>
  <c r="V1640" i="6"/>
  <c r="I1640" i="6"/>
  <c r="K1661" i="6"/>
  <c r="T109" i="5" s="1"/>
  <c r="J1661" i="6"/>
  <c r="K1747" i="6"/>
  <c r="Z114" i="5" s="1"/>
  <c r="J1747" i="6"/>
  <c r="I1843" i="6"/>
  <c r="X1843" i="6"/>
  <c r="W1843" i="6"/>
  <c r="W1906" i="6"/>
  <c r="I1906" i="6"/>
  <c r="X1906" i="6"/>
  <c r="V1906" i="6"/>
  <c r="I1923" i="6"/>
  <c r="I2010" i="6"/>
  <c r="X2010" i="6"/>
  <c r="K2177" i="6"/>
  <c r="X141" i="5" s="1"/>
  <c r="J2177" i="6"/>
  <c r="K2292" i="6"/>
  <c r="AA148" i="5" s="1"/>
  <c r="J2292" i="6"/>
  <c r="K2299" i="6"/>
  <c r="R149" i="5" s="1"/>
  <c r="J2299" i="6"/>
  <c r="I2310" i="6"/>
  <c r="X2412" i="6"/>
  <c r="W2412" i="6"/>
  <c r="K2430" i="6"/>
  <c r="U157" i="5" s="1"/>
  <c r="J2430" i="6"/>
  <c r="I2520" i="6"/>
  <c r="X2520" i="6"/>
  <c r="W2520" i="6"/>
  <c r="X2619" i="6"/>
  <c r="W2659" i="6"/>
  <c r="V2672" i="6"/>
  <c r="V2736" i="6"/>
  <c r="I2736" i="6"/>
  <c r="X2866" i="6"/>
  <c r="I2866" i="6"/>
  <c r="W2866" i="6"/>
  <c r="V2866" i="6"/>
  <c r="X2912" i="6"/>
  <c r="I2912" i="6"/>
  <c r="V2912" i="6"/>
  <c r="X2968" i="6"/>
  <c r="I2968" i="6"/>
  <c r="W2974" i="6"/>
  <c r="X2974" i="6"/>
  <c r="I2999" i="6"/>
  <c r="X2999" i="6"/>
  <c r="V2999" i="6"/>
  <c r="K3024" i="6"/>
  <c r="W194" i="5" s="1"/>
  <c r="J3024" i="6"/>
  <c r="W3132" i="6"/>
  <c r="X3132" i="6"/>
  <c r="V3132" i="6"/>
  <c r="V3139" i="6"/>
  <c r="X3184" i="6"/>
  <c r="X3267" i="6"/>
  <c r="I3267" i="6"/>
  <c r="W3267" i="6"/>
  <c r="W3283" i="6"/>
  <c r="V3318" i="6"/>
  <c r="I3318" i="6"/>
  <c r="V3335" i="6"/>
  <c r="K3424" i="6"/>
  <c r="W219" i="5" s="1"/>
  <c r="J3424" i="6"/>
  <c r="V3468" i="6"/>
  <c r="X3468" i="6"/>
  <c r="I3468" i="6"/>
  <c r="V3494" i="6"/>
  <c r="W3552" i="6"/>
  <c r="V3552" i="6"/>
  <c r="I3552" i="6"/>
  <c r="K3593" i="6"/>
  <c r="P230" i="5" s="1"/>
  <c r="J3593" i="6"/>
  <c r="W3572" i="6"/>
  <c r="I3572" i="6"/>
  <c r="X3572" i="6"/>
  <c r="V3572" i="6"/>
  <c r="J3599" i="6"/>
  <c r="K3599" i="6"/>
  <c r="V230" i="5" s="1"/>
  <c r="V3662" i="6"/>
  <c r="W3662" i="6"/>
  <c r="I3662" i="6"/>
  <c r="J3696" i="6"/>
  <c r="K3696" i="6"/>
  <c r="W236" i="5" s="1"/>
  <c r="V1788" i="6"/>
  <c r="X1788" i="6"/>
  <c r="X2079" i="6"/>
  <c r="W2079" i="6"/>
  <c r="X2107" i="6"/>
  <c r="I2107" i="6"/>
  <c r="W2107" i="6"/>
  <c r="X2207" i="6"/>
  <c r="V2207" i="6"/>
  <c r="I2207" i="6"/>
  <c r="V2248" i="6"/>
  <c r="I2248" i="6"/>
  <c r="K2286" i="6"/>
  <c r="U148" i="5" s="1"/>
  <c r="J2286" i="6"/>
  <c r="K2521" i="6"/>
  <c r="P163" i="5" s="1"/>
  <c r="J2521" i="6"/>
  <c r="X2562" i="6"/>
  <c r="W2562" i="6"/>
  <c r="J2577" i="6"/>
  <c r="I2602" i="6"/>
  <c r="X2602" i="6"/>
  <c r="W2602" i="6"/>
  <c r="V2602" i="6"/>
  <c r="K2666" i="6"/>
  <c r="Q172" i="5" s="1"/>
  <c r="J2689" i="6"/>
  <c r="K2689" i="6"/>
  <c r="X173" i="5" s="1"/>
  <c r="I2975" i="6"/>
  <c r="W2975" i="6"/>
  <c r="J3190" i="6"/>
  <c r="K3190" i="6"/>
  <c r="M205" i="5" s="1"/>
  <c r="I3203" i="6"/>
  <c r="W3203" i="6"/>
  <c r="X3203" i="6"/>
  <c r="V3203" i="6"/>
  <c r="I3210" i="6"/>
  <c r="X3210" i="6"/>
  <c r="W3210" i="6"/>
  <c r="I3242" i="6"/>
  <c r="W3242" i="6"/>
  <c r="V3242" i="6"/>
  <c r="X3242" i="6"/>
  <c r="J3356" i="6"/>
  <c r="K3356" i="6"/>
  <c r="S215" i="5" s="1"/>
  <c r="J3489" i="6"/>
  <c r="J3495" i="6"/>
  <c r="K3495" i="6"/>
  <c r="N224" i="5" s="1"/>
  <c r="V3502" i="6"/>
  <c r="X3502" i="6"/>
  <c r="I3502" i="6"/>
  <c r="W3502" i="6"/>
  <c r="K3512" i="6"/>
  <c r="O225" i="5" s="1"/>
  <c r="J3512" i="6"/>
  <c r="J3539" i="6"/>
  <c r="K3539" i="6"/>
  <c r="Z226" i="5" s="1"/>
  <c r="K3553" i="6"/>
  <c r="X227" i="5" s="1"/>
  <c r="J3553" i="6"/>
  <c r="I3655" i="6"/>
  <c r="W3655" i="6"/>
  <c r="V3655" i="6"/>
  <c r="X3655" i="6"/>
  <c r="X3662" i="6"/>
  <c r="X2023" i="6"/>
  <c r="W2023" i="6"/>
  <c r="K2076" i="6"/>
  <c r="S135" i="5" s="1"/>
  <c r="J2076" i="6"/>
  <c r="V2102" i="6"/>
  <c r="I2102" i="6"/>
  <c r="W2280" i="6"/>
  <c r="I2280" i="6"/>
  <c r="I2291" i="6"/>
  <c r="X2291" i="6"/>
  <c r="W2326" i="6"/>
  <c r="X2326" i="6"/>
  <c r="V2326" i="6"/>
  <c r="X2343" i="6"/>
  <c r="I2343" i="6"/>
  <c r="J2405" i="6"/>
  <c r="K2405" i="6"/>
  <c r="AB155" i="5" s="1"/>
  <c r="W2434" i="6"/>
  <c r="V2434" i="6"/>
  <c r="I2554" i="6"/>
  <c r="X2554" i="6"/>
  <c r="K2849" i="6"/>
  <c r="X183" i="5" s="1"/>
  <c r="J2849" i="6"/>
  <c r="W3054" i="6"/>
  <c r="V3054" i="6"/>
  <c r="X3096" i="6"/>
  <c r="W3096" i="6"/>
  <c r="J3137" i="6"/>
  <c r="K3137" i="6"/>
  <c r="X201" i="5" s="1"/>
  <c r="J3217" i="6"/>
  <c r="K3217" i="6"/>
  <c r="X206" i="5" s="1"/>
  <c r="W3391" i="6"/>
  <c r="X3391" i="6"/>
  <c r="V3391" i="6"/>
  <c r="V3404" i="6"/>
  <c r="I3404" i="6"/>
  <c r="X3404" i="6"/>
  <c r="W3404" i="6"/>
  <c r="K3606" i="6"/>
  <c r="M231" i="5" s="1"/>
  <c r="J3606" i="6"/>
  <c r="W3680" i="6"/>
  <c r="V3680" i="6"/>
  <c r="X3680" i="6"/>
  <c r="I3700" i="6"/>
  <c r="X3700" i="6"/>
  <c r="V3700" i="6"/>
  <c r="W3700" i="6"/>
  <c r="X1547" i="6"/>
  <c r="W1547" i="6"/>
  <c r="V1547" i="6"/>
  <c r="X1615" i="6"/>
  <c r="W1615" i="6"/>
  <c r="I1615" i="6"/>
  <c r="K1799" i="6"/>
  <c r="N118" i="5" s="1"/>
  <c r="J1799" i="6"/>
  <c r="W2172" i="6"/>
  <c r="V2172" i="6"/>
  <c r="I2212" i="6"/>
  <c r="X2212" i="6"/>
  <c r="I2239" i="6"/>
  <c r="W2250" i="6"/>
  <c r="I2250" i="6"/>
  <c r="X2250" i="6"/>
  <c r="I2274" i="6"/>
  <c r="W2274" i="6"/>
  <c r="V2274" i="6"/>
  <c r="K2298" i="6"/>
  <c r="Q149" i="5" s="1"/>
  <c r="J2298" i="6"/>
  <c r="K2400" i="6"/>
  <c r="W155" i="5" s="1"/>
  <c r="AM155" i="5" s="1"/>
  <c r="J2400" i="6"/>
  <c r="I2472" i="6"/>
  <c r="V2472" i="6"/>
  <c r="X2472" i="6"/>
  <c r="X2664" i="6"/>
  <c r="W2664" i="6"/>
  <c r="V2664" i="6"/>
  <c r="W2670" i="6"/>
  <c r="X2670" i="6"/>
  <c r="V2670" i="6"/>
  <c r="I2670" i="6"/>
  <c r="X2715" i="6"/>
  <c r="W2715" i="6"/>
  <c r="V2792" i="6"/>
  <c r="I2792" i="6"/>
  <c r="K3049" i="6"/>
  <c r="P196" i="5" s="1"/>
  <c r="J3049" i="6"/>
  <c r="K3067" i="6"/>
  <c r="R197" i="5" s="1"/>
  <c r="J3067" i="6"/>
  <c r="I3450" i="6"/>
  <c r="V3450" i="6"/>
  <c r="W3450" i="6"/>
  <c r="J3456" i="6"/>
  <c r="K3456" i="6"/>
  <c r="W221" i="5" s="1"/>
  <c r="I3534" i="6"/>
  <c r="X3534" i="6"/>
  <c r="J3615" i="6"/>
  <c r="K3615" i="6"/>
  <c r="V231" i="5" s="1"/>
  <c r="W3668" i="6"/>
  <c r="V3668" i="6"/>
  <c r="I3668" i="6"/>
  <c r="W1467" i="6"/>
  <c r="I1467" i="6"/>
  <c r="V1528" i="6"/>
  <c r="W1528" i="6"/>
  <c r="K1601" i="6"/>
  <c r="X105" i="5" s="1"/>
  <c r="J1601" i="6"/>
  <c r="K1740" i="6"/>
  <c r="S114" i="5" s="1"/>
  <c r="J1740" i="6"/>
  <c r="K1830" i="6"/>
  <c r="M120" i="5" s="1"/>
  <c r="J1830" i="6"/>
  <c r="W1967" i="6"/>
  <c r="V1967" i="6"/>
  <c r="V2018" i="6"/>
  <c r="X2018" i="6"/>
  <c r="W2018" i="6"/>
  <c r="K2056" i="6"/>
  <c r="O134" i="5" s="1"/>
  <c r="J2056" i="6"/>
  <c r="W2103" i="6"/>
  <c r="X2103" i="6"/>
  <c r="K2114" i="6"/>
  <c r="Y137" i="5" s="1"/>
  <c r="W2146" i="6"/>
  <c r="I2146" i="6"/>
  <c r="W2200" i="6"/>
  <c r="I2200" i="6"/>
  <c r="I2206" i="6"/>
  <c r="X2206" i="6"/>
  <c r="W2344" i="6"/>
  <c r="V2344" i="6"/>
  <c r="I2344" i="6"/>
  <c r="K2383" i="6"/>
  <c r="V154" i="5" s="1"/>
  <c r="J2383" i="6"/>
  <c r="I2526" i="6"/>
  <c r="W2526" i="6"/>
  <c r="X2526" i="6"/>
  <c r="V2614" i="6"/>
  <c r="W2614" i="6"/>
  <c r="X2614" i="6"/>
  <c r="W2692" i="6"/>
  <c r="V2692" i="6"/>
  <c r="W2924" i="6"/>
  <c r="V2924" i="6"/>
  <c r="X2924" i="6"/>
  <c r="I2924" i="6"/>
  <c r="K3138" i="6"/>
  <c r="Y201" i="5" s="1"/>
  <c r="J3138" i="6"/>
  <c r="X3218" i="6"/>
  <c r="I3218" i="6"/>
  <c r="W3218" i="6"/>
  <c r="W3290" i="6"/>
  <c r="V3290" i="6"/>
  <c r="X3290" i="6"/>
  <c r="I3290" i="6"/>
  <c r="J3297" i="6"/>
  <c r="K3297" i="6"/>
  <c r="X211" i="5" s="1"/>
  <c r="J3316" i="6"/>
  <c r="K3316" i="6"/>
  <c r="AA212" i="5" s="1"/>
  <c r="X3352" i="6"/>
  <c r="W3352" i="6"/>
  <c r="I3352" i="6"/>
  <c r="K3399" i="6"/>
  <c r="N218" i="5" s="1"/>
  <c r="J3399" i="6"/>
  <c r="J3412" i="6"/>
  <c r="K3412" i="6"/>
  <c r="AA218" i="5" s="1"/>
  <c r="X3450" i="6"/>
  <c r="K3574" i="6"/>
  <c r="M229" i="5" s="1"/>
  <c r="J3574" i="6"/>
  <c r="I3635" i="6"/>
  <c r="X3635" i="6"/>
  <c r="V3635" i="6"/>
  <c r="K3654" i="6"/>
  <c r="M234" i="5" s="1"/>
  <c r="J3654" i="6"/>
  <c r="W3715" i="6"/>
  <c r="V3715" i="6"/>
  <c r="X3715" i="6"/>
  <c r="V1436" i="6"/>
  <c r="I1436" i="6"/>
  <c r="X1574" i="6"/>
  <c r="W1574" i="6"/>
  <c r="V1574" i="6"/>
  <c r="V1752" i="6"/>
  <c r="I1752" i="6"/>
  <c r="V1832" i="6"/>
  <c r="X1832" i="6"/>
  <c r="W1832" i="6"/>
  <c r="V2138" i="6"/>
  <c r="X2138" i="6"/>
  <c r="K2260" i="6"/>
  <c r="AA146" i="5" s="1"/>
  <c r="J2260" i="6"/>
  <c r="V2295" i="6"/>
  <c r="X2295" i="6"/>
  <c r="I2318" i="6"/>
  <c r="X2318" i="6"/>
  <c r="W2392" i="6"/>
  <c r="V2392" i="6"/>
  <c r="I2392" i="6"/>
  <c r="V2403" i="6"/>
  <c r="I2403" i="6"/>
  <c r="K2415" i="6"/>
  <c r="V156" i="5" s="1"/>
  <c r="J2415" i="6"/>
  <c r="K2444" i="6"/>
  <c r="S158" i="5" s="1"/>
  <c r="J2444" i="6"/>
  <c r="I2480" i="6"/>
  <c r="V2480" i="6"/>
  <c r="X2582" i="6"/>
  <c r="W2582" i="6"/>
  <c r="W2594" i="6"/>
  <c r="X2594" i="6"/>
  <c r="V2594" i="6"/>
  <c r="X2706" i="6"/>
  <c r="I2706" i="6"/>
  <c r="W2706" i="6"/>
  <c r="V2706" i="6"/>
  <c r="V2718" i="6"/>
  <c r="X2718" i="6"/>
  <c r="V2771" i="6"/>
  <c r="X2771" i="6"/>
  <c r="K3070" i="6"/>
  <c r="U197" i="5" s="1"/>
  <c r="J3070" i="6"/>
  <c r="J3082" i="6"/>
  <c r="K3082" i="6"/>
  <c r="Q198" i="5" s="1"/>
  <c r="J3148" i="6"/>
  <c r="K3148" i="6"/>
  <c r="S202" i="5" s="1"/>
  <c r="I3246" i="6"/>
  <c r="W3246" i="6"/>
  <c r="X3372" i="6"/>
  <c r="I3372" i="6"/>
  <c r="W3372" i="6"/>
  <c r="V3372" i="6"/>
  <c r="W3496" i="6"/>
  <c r="I3496" i="6"/>
  <c r="X3496" i="6"/>
  <c r="J3583" i="6"/>
  <c r="K3583" i="6"/>
  <c r="V229" i="5" s="1"/>
  <c r="X3611" i="6"/>
  <c r="V3611" i="6"/>
  <c r="I3611" i="6"/>
  <c r="X3618" i="6"/>
  <c r="I3618" i="6"/>
  <c r="V3618" i="6"/>
  <c r="K3698" i="6"/>
  <c r="Y236" i="5" s="1"/>
  <c r="J3698" i="6"/>
  <c r="J806" i="6"/>
  <c r="J862" i="6"/>
  <c r="J974" i="6"/>
  <c r="J1030" i="6"/>
  <c r="J1086" i="6"/>
  <c r="J1142" i="6"/>
  <c r="J1198" i="6"/>
  <c r="J1254" i="6"/>
  <c r="J1310" i="6"/>
  <c r="J1366" i="6"/>
  <c r="W1436" i="6"/>
  <c r="V1484" i="6"/>
  <c r="X1484" i="6"/>
  <c r="V1555" i="6"/>
  <c r="I1555" i="6"/>
  <c r="J1594" i="6"/>
  <c r="W1608" i="6"/>
  <c r="V1707" i="6"/>
  <c r="W1752" i="6"/>
  <c r="V1762" i="6"/>
  <c r="W1786" i="6"/>
  <c r="K1849" i="6"/>
  <c r="P121" i="5" s="1"/>
  <c r="J1849" i="6"/>
  <c r="V1954" i="6"/>
  <c r="J1975" i="6"/>
  <c r="K1975" i="6"/>
  <c r="N129" i="5" s="1"/>
  <c r="X2038" i="6"/>
  <c r="W2038" i="6"/>
  <c r="W2138" i="6"/>
  <c r="I2215" i="6"/>
  <c r="X2215" i="6"/>
  <c r="V2220" i="6"/>
  <c r="V2260" i="6"/>
  <c r="J2272" i="6"/>
  <c r="K2272" i="6"/>
  <c r="W147" i="5" s="1"/>
  <c r="J2278" i="6"/>
  <c r="W2295" i="6"/>
  <c r="V2318" i="6"/>
  <c r="V2347" i="6"/>
  <c r="X2392" i="6"/>
  <c r="W2403" i="6"/>
  <c r="V2444" i="6"/>
  <c r="W2480" i="6"/>
  <c r="J2491" i="6"/>
  <c r="I2547" i="6"/>
  <c r="X2547" i="6"/>
  <c r="W2547" i="6"/>
  <c r="V2570" i="6"/>
  <c r="X2570" i="6"/>
  <c r="W2570" i="6"/>
  <c r="V2582" i="6"/>
  <c r="V2707" i="6"/>
  <c r="W2707" i="6"/>
  <c r="I2707" i="6"/>
  <c r="J2713" i="6"/>
  <c r="W2718" i="6"/>
  <c r="I2759" i="6"/>
  <c r="V2759" i="6"/>
  <c r="X2759" i="6"/>
  <c r="W2771" i="6"/>
  <c r="X2860" i="6"/>
  <c r="V2860" i="6"/>
  <c r="W2860" i="6"/>
  <c r="X2880" i="6"/>
  <c r="I2880" i="6"/>
  <c r="K2900" i="6"/>
  <c r="AA186" i="5" s="1"/>
  <c r="J2900" i="6"/>
  <c r="X2910" i="6"/>
  <c r="V2910" i="6"/>
  <c r="W2916" i="6"/>
  <c r="V2916" i="6"/>
  <c r="I2916" i="6"/>
  <c r="X2963" i="6"/>
  <c r="W2963" i="6"/>
  <c r="X2970" i="6"/>
  <c r="V2970" i="6"/>
  <c r="I2970" i="6"/>
  <c r="K3017" i="6"/>
  <c r="P194" i="5" s="1"/>
  <c r="J3017" i="6"/>
  <c r="K3035" i="6"/>
  <c r="R195" i="5" s="1"/>
  <c r="J3035" i="6"/>
  <c r="W3046" i="6"/>
  <c r="X3046" i="6"/>
  <c r="K3124" i="6"/>
  <c r="AA200" i="5" s="1"/>
  <c r="J3166" i="6"/>
  <c r="J3228" i="6"/>
  <c r="K3228" i="6"/>
  <c r="S207" i="5" s="1"/>
  <c r="V3246" i="6"/>
  <c r="V3300" i="6"/>
  <c r="X3300" i="6"/>
  <c r="W3300" i="6"/>
  <c r="K3313" i="6"/>
  <c r="X212" i="5" s="1"/>
  <c r="K3319" i="6"/>
  <c r="N213" i="5" s="1"/>
  <c r="K3343" i="6"/>
  <c r="V214" i="5" s="1"/>
  <c r="J3343" i="6"/>
  <c r="K3402" i="6"/>
  <c r="Q218" i="5" s="1"/>
  <c r="V3496" i="6"/>
  <c r="X3503" i="6"/>
  <c r="V3503" i="6"/>
  <c r="I3503" i="6"/>
  <c r="W3611" i="6"/>
  <c r="W3618" i="6"/>
  <c r="V1680" i="6"/>
  <c r="W1680" i="6"/>
  <c r="V1704" i="6"/>
  <c r="X1704" i="6"/>
  <c r="W1704" i="6"/>
  <c r="W1774" i="6"/>
  <c r="X1774" i="6"/>
  <c r="V1868" i="6"/>
  <c r="X1868" i="6"/>
  <c r="I2091" i="6"/>
  <c r="I2111" i="6"/>
  <c r="I2204" i="6"/>
  <c r="V2204" i="6"/>
  <c r="X2264" i="6"/>
  <c r="W2264" i="6"/>
  <c r="I2264" i="6"/>
  <c r="W2587" i="6"/>
  <c r="X2587" i="6"/>
  <c r="K2626" i="6"/>
  <c r="Y169" i="5" s="1"/>
  <c r="AP169" i="5" s="1"/>
  <c r="J2626" i="6"/>
  <c r="I2720" i="6"/>
  <c r="X2720" i="6"/>
  <c r="V2720" i="6"/>
  <c r="X2748" i="6"/>
  <c r="W2748" i="6"/>
  <c r="K2801" i="6"/>
  <c r="X180" i="5" s="1"/>
  <c r="J2801" i="6"/>
  <c r="W2852" i="6"/>
  <c r="X2852" i="6"/>
  <c r="V3268" i="6"/>
  <c r="I3268" i="6"/>
  <c r="W3268" i="6"/>
  <c r="K3310" i="6"/>
  <c r="U212" i="5" s="1"/>
  <c r="K3392" i="6"/>
  <c r="W217" i="5" s="1"/>
  <c r="J3392" i="6"/>
  <c r="J3417" i="6"/>
  <c r="K3417" i="6"/>
  <c r="P219" i="5" s="1"/>
  <c r="X3564" i="6"/>
  <c r="W3564" i="6"/>
  <c r="W3602" i="6"/>
  <c r="X3602" i="6"/>
  <c r="I3602" i="6"/>
  <c r="V3602" i="6"/>
  <c r="W3688" i="6"/>
  <c r="V3688" i="6"/>
  <c r="X3688" i="6"/>
  <c r="I3688" i="6"/>
  <c r="V1480" i="6"/>
  <c r="X1480" i="6"/>
  <c r="J1485" i="6"/>
  <c r="K1485" i="6"/>
  <c r="T98" i="5" s="1"/>
  <c r="V1804" i="6"/>
  <c r="W1804" i="6"/>
  <c r="W1926" i="6"/>
  <c r="V1926" i="6"/>
  <c r="V2000" i="6"/>
  <c r="I2000" i="6"/>
  <c r="K2071" i="6"/>
  <c r="N135" i="5" s="1"/>
  <c r="J2071" i="6"/>
  <c r="V2162" i="6"/>
  <c r="X2162" i="6"/>
  <c r="W2162" i="6"/>
  <c r="X2168" i="6"/>
  <c r="I2168" i="6"/>
  <c r="W2178" i="6"/>
  <c r="I2178" i="6"/>
  <c r="W2258" i="6"/>
  <c r="V2258" i="6"/>
  <c r="W2298" i="6"/>
  <c r="X2298" i="6"/>
  <c r="K2315" i="6"/>
  <c r="R150" i="5" s="1"/>
  <c r="J2315" i="6"/>
  <c r="V2359" i="6"/>
  <c r="I2359" i="6"/>
  <c r="V2542" i="6"/>
  <c r="W2542" i="6"/>
  <c r="I2558" i="6"/>
  <c r="V2558" i="6"/>
  <c r="K2754" i="6"/>
  <c r="Y177" i="5" s="1"/>
  <c r="J2754" i="6"/>
  <c r="I2840" i="6"/>
  <c r="V2840" i="6"/>
  <c r="K2907" i="6"/>
  <c r="R187" i="5" s="1"/>
  <c r="AF187" i="5" s="1"/>
  <c r="J2907" i="6"/>
  <c r="W2936" i="6"/>
  <c r="I2936" i="6"/>
  <c r="K3007" i="6"/>
  <c r="V193" i="5" s="1"/>
  <c r="J3007" i="6"/>
  <c r="X3082" i="6"/>
  <c r="V3082" i="6"/>
  <c r="K3101" i="6"/>
  <c r="T199" i="5" s="1"/>
  <c r="J3101" i="6"/>
  <c r="I3298" i="6"/>
  <c r="W3298" i="6"/>
  <c r="V3298" i="6"/>
  <c r="X3466" i="6"/>
  <c r="W3466" i="6"/>
  <c r="X3484" i="6"/>
  <c r="W3484" i="6"/>
  <c r="I3484" i="6"/>
  <c r="V3484" i="6"/>
  <c r="J3491" i="6"/>
  <c r="K3491" i="6"/>
  <c r="Z223" i="5" s="1"/>
  <c r="I3538" i="6"/>
  <c r="V3538" i="6"/>
  <c r="X3538" i="6"/>
  <c r="W3603" i="6"/>
  <c r="V3603" i="6"/>
  <c r="I3603" i="6"/>
  <c r="X3603" i="6"/>
  <c r="J3676" i="6"/>
  <c r="K3676" i="6"/>
  <c r="S235" i="5" s="1"/>
  <c r="X3724" i="6"/>
  <c r="I3724" i="6"/>
  <c r="W3724" i="6"/>
  <c r="V3724" i="6"/>
  <c r="W1408" i="6"/>
  <c r="W1480" i="6"/>
  <c r="W1538" i="6"/>
  <c r="X1596" i="6"/>
  <c r="W1656" i="6"/>
  <c r="W1699" i="6"/>
  <c r="W1728" i="6"/>
  <c r="X1756" i="6"/>
  <c r="J1775" i="6"/>
  <c r="K1775" i="6"/>
  <c r="V116" i="5" s="1"/>
  <c r="W1794" i="6"/>
  <c r="X1804" i="6"/>
  <c r="W1858" i="6"/>
  <c r="V1863" i="6"/>
  <c r="X1882" i="6"/>
  <c r="W1887" i="6"/>
  <c r="X1911" i="6"/>
  <c r="X1926" i="6"/>
  <c r="W1955" i="6"/>
  <c r="W1980" i="6"/>
  <c r="W2000" i="6"/>
  <c r="V2020" i="6"/>
  <c r="X2030" i="6"/>
  <c r="V2066" i="6"/>
  <c r="X2066" i="6"/>
  <c r="V2111" i="6"/>
  <c r="J2122" i="6"/>
  <c r="V2168" i="6"/>
  <c r="V2178" i="6"/>
  <c r="W2184" i="6"/>
  <c r="J2199" i="6"/>
  <c r="X2204" i="6"/>
  <c r="X2216" i="6"/>
  <c r="W2216" i="6"/>
  <c r="W2226" i="6"/>
  <c r="I2226" i="6"/>
  <c r="J2247" i="6"/>
  <c r="X2258" i="6"/>
  <c r="X2292" i="6"/>
  <c r="V2298" i="6"/>
  <c r="W2342" i="6"/>
  <c r="W2359" i="6"/>
  <c r="K2397" i="6"/>
  <c r="T155" i="5" s="1"/>
  <c r="I2436" i="6"/>
  <c r="X2436" i="6"/>
  <c r="W2466" i="6"/>
  <c r="J2498" i="6"/>
  <c r="K2498" i="6"/>
  <c r="Y161" i="5" s="1"/>
  <c r="X2542" i="6"/>
  <c r="W2548" i="6"/>
  <c r="X2548" i="6"/>
  <c r="I2548" i="6"/>
  <c r="V2548" i="6"/>
  <c r="W2558" i="6"/>
  <c r="I2576" i="6"/>
  <c r="V2576" i="6"/>
  <c r="K2621" i="6"/>
  <c r="T169" i="5" s="1"/>
  <c r="J2621" i="6"/>
  <c r="J2709" i="6"/>
  <c r="J2767" i="6"/>
  <c r="I2807" i="6"/>
  <c r="V2807" i="6"/>
  <c r="W2840" i="6"/>
  <c r="J2877" i="6"/>
  <c r="X2883" i="6"/>
  <c r="W2883" i="6"/>
  <c r="I2883" i="6"/>
  <c r="V2936" i="6"/>
  <c r="V2947" i="6"/>
  <c r="X2947" i="6"/>
  <c r="K2965" i="6"/>
  <c r="AB190" i="5" s="1"/>
  <c r="W3059" i="6"/>
  <c r="I3059" i="6"/>
  <c r="W3082" i="6"/>
  <c r="J3094" i="6"/>
  <c r="V3220" i="6"/>
  <c r="X3298" i="6"/>
  <c r="V3310" i="6"/>
  <c r="J3405" i="6"/>
  <c r="K3405" i="6"/>
  <c r="T218" i="5" s="1"/>
  <c r="V3466" i="6"/>
  <c r="J3478" i="6"/>
  <c r="K3478" i="6"/>
  <c r="M223" i="5" s="1"/>
  <c r="J3485" i="6"/>
  <c r="K3485" i="6"/>
  <c r="T223" i="5" s="1"/>
  <c r="W3491" i="6"/>
  <c r="X3491" i="6"/>
  <c r="V3491" i="6"/>
  <c r="K3519" i="6"/>
  <c r="V225" i="5" s="1"/>
  <c r="X3532" i="6"/>
  <c r="I3532" i="6"/>
  <c r="W3538" i="6"/>
  <c r="I3591" i="6"/>
  <c r="X3591" i="6"/>
  <c r="V3591" i="6"/>
  <c r="W3591" i="6"/>
  <c r="K3711" i="6"/>
  <c r="V237" i="5" s="1"/>
  <c r="K1899" i="6"/>
  <c r="R124" i="5" s="1"/>
  <c r="K2223" i="6"/>
  <c r="V144" i="5" s="1"/>
  <c r="J2223" i="6"/>
  <c r="J2322" i="6"/>
  <c r="K2322" i="6"/>
  <c r="Y150" i="5" s="1"/>
  <c r="AQ150" i="5" s="1"/>
  <c r="V2358" i="6"/>
  <c r="I2358" i="6"/>
  <c r="X2358" i="6"/>
  <c r="W2358" i="6"/>
  <c r="K2395" i="6"/>
  <c r="R155" i="5" s="1"/>
  <c r="J2395" i="6"/>
  <c r="I2411" i="6"/>
  <c r="X2411" i="6"/>
  <c r="V2411" i="6"/>
  <c r="K2551" i="6"/>
  <c r="N165" i="5" s="1"/>
  <c r="J2551" i="6"/>
  <c r="K2743" i="6"/>
  <c r="N177" i="5" s="1"/>
  <c r="AD177" i="5" s="1"/>
  <c r="J2743" i="6"/>
  <c r="J2782" i="6"/>
  <c r="K2782" i="6"/>
  <c r="U179" i="5" s="1"/>
  <c r="W2992" i="6"/>
  <c r="V2992" i="6"/>
  <c r="X2992" i="6"/>
  <c r="K3027" i="6"/>
  <c r="Z194" i="5" s="1"/>
  <c r="J3027" i="6"/>
  <c r="J3033" i="6"/>
  <c r="K3033" i="6"/>
  <c r="P195" i="5" s="1"/>
  <c r="K3119" i="6"/>
  <c r="V200" i="5" s="1"/>
  <c r="J3119" i="6"/>
  <c r="V3135" i="6"/>
  <c r="X3135" i="6"/>
  <c r="K3160" i="6"/>
  <c r="O203" i="5" s="1"/>
  <c r="J3160" i="6"/>
  <c r="X3194" i="6"/>
  <c r="W3194" i="6"/>
  <c r="X3306" i="6"/>
  <c r="V3306" i="6"/>
  <c r="I3306" i="6"/>
  <c r="I3423" i="6"/>
  <c r="W3423" i="6"/>
  <c r="V3574" i="6"/>
  <c r="X3574" i="6"/>
  <c r="W3574" i="6"/>
  <c r="J3607" i="6"/>
  <c r="K3607" i="6"/>
  <c r="N231" i="5" s="1"/>
  <c r="X3627" i="6"/>
  <c r="W3627" i="6"/>
  <c r="V3627" i="6"/>
  <c r="I3627" i="6"/>
  <c r="X3732" i="6"/>
  <c r="W3732" i="6"/>
  <c r="I3732" i="6"/>
  <c r="V1568" i="6"/>
  <c r="I1568" i="6"/>
  <c r="W1624" i="6"/>
  <c r="I1642" i="6"/>
  <c r="X1642" i="6"/>
  <c r="W1655" i="6"/>
  <c r="V1744" i="6"/>
  <c r="W1744" i="6"/>
  <c r="V1876" i="6"/>
  <c r="X1876" i="6"/>
  <c r="K1945" i="6"/>
  <c r="P127" i="5" s="1"/>
  <c r="J1945" i="6"/>
  <c r="W1976" i="6"/>
  <c r="V2090" i="6"/>
  <c r="X2182" i="6"/>
  <c r="W2182" i="6"/>
  <c r="V2182" i="6"/>
  <c r="V2202" i="6"/>
  <c r="I2202" i="6"/>
  <c r="J2228" i="6"/>
  <c r="V2322" i="6"/>
  <c r="V2348" i="6"/>
  <c r="J2369" i="6"/>
  <c r="W2379" i="6"/>
  <c r="W2411" i="6"/>
  <c r="V2487" i="6"/>
  <c r="V2492" i="6"/>
  <c r="X2508" i="6"/>
  <c r="I2508" i="6"/>
  <c r="I2540" i="6"/>
  <c r="W2540" i="6"/>
  <c r="V2616" i="6"/>
  <c r="X2662" i="6"/>
  <c r="V2662" i="6"/>
  <c r="W2694" i="6"/>
  <c r="I2694" i="6"/>
  <c r="J2738" i="6"/>
  <c r="J2761" i="6"/>
  <c r="K2878" i="6"/>
  <c r="U185" i="5" s="1"/>
  <c r="K2930" i="6"/>
  <c r="Y188" i="5" s="1"/>
  <c r="I2976" i="6"/>
  <c r="X2976" i="6"/>
  <c r="I3050" i="6"/>
  <c r="X3050" i="6"/>
  <c r="W3050" i="6"/>
  <c r="X3119" i="6"/>
  <c r="V3119" i="6"/>
  <c r="W3135" i="6"/>
  <c r="J3154" i="6"/>
  <c r="V3160" i="6"/>
  <c r="W3160" i="6"/>
  <c r="I3172" i="6"/>
  <c r="W3172" i="6"/>
  <c r="V3172" i="6"/>
  <c r="X3183" i="6"/>
  <c r="I3183" i="6"/>
  <c r="V3183" i="6"/>
  <c r="V3194" i="6"/>
  <c r="J3289" i="6"/>
  <c r="W3306" i="6"/>
  <c r="J3341" i="6"/>
  <c r="K3341" i="6"/>
  <c r="T214" i="5" s="1"/>
  <c r="J3411" i="6"/>
  <c r="V3423" i="6"/>
  <c r="I3436" i="6"/>
  <c r="X3436" i="6"/>
  <c r="W3436" i="6"/>
  <c r="V3524" i="6"/>
  <c r="J3549" i="6"/>
  <c r="J3561" i="6"/>
  <c r="K3665" i="6"/>
  <c r="X234" i="5" s="1"/>
  <c r="W3690" i="6"/>
  <c r="V3690" i="6"/>
  <c r="I3690" i="6"/>
  <c r="X3690" i="6"/>
  <c r="V3732" i="6"/>
  <c r="V1855" i="6"/>
  <c r="W1855" i="6"/>
  <c r="V2016" i="6"/>
  <c r="X2016" i="6"/>
  <c r="X2026" i="6"/>
  <c r="V2026" i="6"/>
  <c r="X2131" i="6"/>
  <c r="W2131" i="6"/>
  <c r="K2304" i="6"/>
  <c r="W149" i="5" s="1"/>
  <c r="J2304" i="6"/>
  <c r="V2340" i="6"/>
  <c r="I2340" i="6"/>
  <c r="X2440" i="6"/>
  <c r="V2440" i="6"/>
  <c r="W2475" i="6"/>
  <c r="I2475" i="6"/>
  <c r="V2500" i="6"/>
  <c r="W2500" i="6"/>
  <c r="K2543" i="6"/>
  <c r="V164" i="5" s="1"/>
  <c r="J2543" i="6"/>
  <c r="I2774" i="6"/>
  <c r="X2774" i="6"/>
  <c r="X2779" i="6"/>
  <c r="W2779" i="6"/>
  <c r="V2779" i="6"/>
  <c r="V2887" i="6"/>
  <c r="X2887" i="6"/>
  <c r="I2927" i="6"/>
  <c r="X2927" i="6"/>
  <c r="V2927" i="6"/>
  <c r="W2927" i="6"/>
  <c r="K2979" i="6"/>
  <c r="Z191" i="5" s="1"/>
  <c r="J2979" i="6"/>
  <c r="X2995" i="6"/>
  <c r="W2995" i="6"/>
  <c r="I2995" i="6"/>
  <c r="V3274" i="6"/>
  <c r="X3274" i="6"/>
  <c r="V3292" i="6"/>
  <c r="X3292" i="6"/>
  <c r="W3292" i="6"/>
  <c r="X3590" i="6"/>
  <c r="V3590" i="6"/>
  <c r="W3590" i="6"/>
  <c r="I3590" i="6"/>
  <c r="K3694" i="6"/>
  <c r="U236" i="5" s="1"/>
  <c r="J3694" i="6"/>
  <c r="K2120" i="6"/>
  <c r="O138" i="5" s="1"/>
  <c r="J2120" i="6"/>
  <c r="K2327" i="6"/>
  <c r="N151" i="5" s="1"/>
  <c r="J2327" i="6"/>
  <c r="I2424" i="6"/>
  <c r="X2424" i="6"/>
  <c r="X2479" i="6"/>
  <c r="V2479" i="6"/>
  <c r="X2535" i="6"/>
  <c r="I2535" i="6"/>
  <c r="V2550" i="6"/>
  <c r="X2550" i="6"/>
  <c r="I2592" i="6"/>
  <c r="V2592" i="6"/>
  <c r="X2592" i="6"/>
  <c r="W2663" i="6"/>
  <c r="I2663" i="6"/>
  <c r="X2663" i="6"/>
  <c r="I2784" i="6"/>
  <c r="X2784" i="6"/>
  <c r="X2827" i="6"/>
  <c r="I2827" i="6"/>
  <c r="X2894" i="6"/>
  <c r="I2894" i="6"/>
  <c r="I2932" i="6"/>
  <c r="X2932" i="6"/>
  <c r="K2943" i="6"/>
  <c r="V189" i="5" s="1"/>
  <c r="J2943" i="6"/>
  <c r="I3014" i="6"/>
  <c r="X3014" i="6"/>
  <c r="I3031" i="6"/>
  <c r="W3031" i="6"/>
  <c r="V3031" i="6"/>
  <c r="K3037" i="6"/>
  <c r="T195" i="5" s="1"/>
  <c r="J3037" i="6"/>
  <c r="V3206" i="6"/>
  <c r="W3206" i="6"/>
  <c r="X3206" i="6"/>
  <c r="I3206" i="6"/>
  <c r="V3360" i="6"/>
  <c r="X3360" i="6"/>
  <c r="J3389" i="6"/>
  <c r="K3389" i="6"/>
  <c r="V3443" i="6"/>
  <c r="I3443" i="6"/>
  <c r="I3559" i="6"/>
  <c r="X3559" i="6"/>
  <c r="J3624" i="6"/>
  <c r="J3643" i="6"/>
  <c r="K3643" i="6"/>
  <c r="R233" i="5" s="1"/>
  <c r="X3726" i="6"/>
  <c r="W3726" i="6"/>
  <c r="V3726" i="6"/>
  <c r="I3726" i="6"/>
  <c r="I2284" i="6"/>
  <c r="W2432" i="6"/>
  <c r="I2432" i="6"/>
  <c r="V2770" i="6"/>
  <c r="I2770" i="6"/>
  <c r="W2770" i="6"/>
  <c r="V2824" i="6"/>
  <c r="X2824" i="6"/>
  <c r="W2824" i="6"/>
  <c r="X2878" i="6"/>
  <c r="V2878" i="6"/>
  <c r="J3062" i="6"/>
  <c r="K3062" i="6"/>
  <c r="M197" i="5" s="1"/>
  <c r="W3146" i="6"/>
  <c r="V3146" i="6"/>
  <c r="V3152" i="6"/>
  <c r="I3152" i="6"/>
  <c r="K3158" i="6"/>
  <c r="M203" i="5" s="1"/>
  <c r="J3158" i="6"/>
  <c r="I3226" i="6"/>
  <c r="W3226" i="6"/>
  <c r="X3226" i="6"/>
  <c r="V3272" i="6"/>
  <c r="X3272" i="6"/>
  <c r="X3282" i="6"/>
  <c r="W3282" i="6"/>
  <c r="V3368" i="6"/>
  <c r="W3368" i="6"/>
  <c r="W3439" i="6"/>
  <c r="X3439" i="6"/>
  <c r="V3439" i="6"/>
  <c r="I3439" i="6"/>
  <c r="I3474" i="6"/>
  <c r="V3474" i="6"/>
  <c r="X3474" i="6"/>
  <c r="V3487" i="6"/>
  <c r="I3487" i="6"/>
  <c r="X3487" i="6"/>
  <c r="W3487" i="6"/>
  <c r="W3506" i="6"/>
  <c r="V3506" i="6"/>
  <c r="J3575" i="6"/>
  <c r="K3575" i="6"/>
  <c r="N229" i="5" s="1"/>
  <c r="X2230" i="6"/>
  <c r="V2230" i="6"/>
  <c r="W2230" i="6"/>
  <c r="I2324" i="6"/>
  <c r="V2324" i="6"/>
  <c r="W2532" i="6"/>
  <c r="X2532" i="6"/>
  <c r="I2532" i="6"/>
  <c r="K2595" i="6"/>
  <c r="Z167" i="5" s="1"/>
  <c r="J2595" i="6"/>
  <c r="K2651" i="6"/>
  <c r="R171" i="5" s="1"/>
  <c r="J2651" i="6"/>
  <c r="W2728" i="6"/>
  <c r="X2728" i="6"/>
  <c r="X2856" i="6"/>
  <c r="V2856" i="6"/>
  <c r="I2967" i="6"/>
  <c r="W2967" i="6"/>
  <c r="X2967" i="6"/>
  <c r="V2967" i="6"/>
  <c r="V3140" i="6"/>
  <c r="I3140" i="6"/>
  <c r="X3140" i="6"/>
  <c r="W3427" i="6"/>
  <c r="I3427" i="6"/>
  <c r="V3440" i="6"/>
  <c r="X3440" i="6"/>
  <c r="I3440" i="6"/>
  <c r="W3520" i="6"/>
  <c r="I3520" i="6"/>
  <c r="J3704" i="6"/>
  <c r="K3704" i="6"/>
  <c r="O237" i="5" s="1"/>
  <c r="I3722" i="6"/>
  <c r="W3722" i="6"/>
  <c r="V3722" i="6"/>
  <c r="X3722" i="6"/>
  <c r="J2341" i="6"/>
  <c r="K2341" i="6"/>
  <c r="AB151" i="5" s="1"/>
  <c r="V2398" i="6"/>
  <c r="I2398" i="6"/>
  <c r="I2451" i="6"/>
  <c r="V2658" i="6"/>
  <c r="I2658" i="6"/>
  <c r="I2727" i="6"/>
  <c r="X2950" i="6"/>
  <c r="W2950" i="6"/>
  <c r="I2950" i="6"/>
  <c r="W3020" i="6"/>
  <c r="X3020" i="6"/>
  <c r="I3020" i="6"/>
  <c r="I3187" i="6"/>
  <c r="W3192" i="6"/>
  <c r="V3192" i="6"/>
  <c r="I3243" i="6"/>
  <c r="I3286" i="6"/>
  <c r="W3286" i="6"/>
  <c r="V3286" i="6"/>
  <c r="X3426" i="6"/>
  <c r="V3426" i="6"/>
  <c r="X3432" i="6"/>
  <c r="V3432" i="6"/>
  <c r="I3510" i="6"/>
  <c r="J3714" i="6"/>
  <c r="K3714" i="6"/>
  <c r="Y237" i="5" s="1"/>
  <c r="AQ237" i="5" s="1"/>
  <c r="W2346" i="6"/>
  <c r="I2346" i="6"/>
  <c r="J2389" i="6"/>
  <c r="K2389" i="6"/>
  <c r="AB154" i="5" s="1"/>
  <c r="I2768" i="6"/>
  <c r="V2768" i="6"/>
  <c r="W2930" i="6"/>
  <c r="X2930" i="6"/>
  <c r="K2951" i="6"/>
  <c r="N190" i="5" s="1"/>
  <c r="J2951" i="6"/>
  <c r="X3015" i="6"/>
  <c r="I3015" i="6"/>
  <c r="K3047" i="6"/>
  <c r="N196" i="5" s="1"/>
  <c r="J3047" i="6"/>
  <c r="I3084" i="6"/>
  <c r="X3084" i="6"/>
  <c r="V3260" i="6"/>
  <c r="W3260" i="6"/>
  <c r="X3260" i="6"/>
  <c r="X3330" i="6"/>
  <c r="W3330" i="6"/>
  <c r="V3386" i="6"/>
  <c r="X3386" i="6"/>
  <c r="W3386" i="6"/>
  <c r="V3398" i="6"/>
  <c r="X3398" i="6"/>
  <c r="I3398" i="6"/>
  <c r="J3451" i="6"/>
  <c r="K3451" i="6"/>
  <c r="R221" i="5" s="1"/>
  <c r="I3588" i="6"/>
  <c r="W3588" i="6"/>
  <c r="V3588" i="6"/>
  <c r="X2744" i="6"/>
  <c r="W2744" i="6"/>
  <c r="X2754" i="6"/>
  <c r="W2754" i="6"/>
  <c r="V2754" i="6"/>
  <c r="K2847" i="6"/>
  <c r="V183" i="5" s="1"/>
  <c r="J2847" i="6"/>
  <c r="K2896" i="6"/>
  <c r="W186" i="5" s="1"/>
  <c r="J2896" i="6"/>
  <c r="W3212" i="6"/>
  <c r="I3212" i="6"/>
  <c r="X3212" i="6"/>
  <c r="W3278" i="6"/>
  <c r="V3278" i="6"/>
  <c r="W3307" i="6"/>
  <c r="I3307" i="6"/>
  <c r="V3312" i="6"/>
  <c r="I3312" i="6"/>
  <c r="J3333" i="6"/>
  <c r="K3333" i="6"/>
  <c r="AB213" i="5" s="1"/>
  <c r="I3592" i="6"/>
  <c r="W3592" i="6"/>
  <c r="X3630" i="6"/>
  <c r="V3630" i="6"/>
  <c r="I3630" i="6"/>
  <c r="W3630" i="6"/>
  <c r="J3667" i="6"/>
  <c r="K3667" i="6"/>
  <c r="Z234" i="5" s="1"/>
  <c r="W2804" i="6"/>
  <c r="I2804" i="6"/>
  <c r="V2819" i="6"/>
  <c r="W2819" i="6"/>
  <c r="X2859" i="6"/>
  <c r="I2859" i="6"/>
  <c r="V3060" i="6"/>
  <c r="W3060" i="6"/>
  <c r="K3149" i="6"/>
  <c r="T202" i="5" s="1"/>
  <c r="J3149" i="6"/>
  <c r="V3164" i="6"/>
  <c r="W3164" i="6"/>
  <c r="K3223" i="6"/>
  <c r="N207" i="5" s="1"/>
  <c r="J3223" i="6"/>
  <c r="W3244" i="6"/>
  <c r="V3244" i="6"/>
  <c r="I3244" i="6"/>
  <c r="X3400" i="6"/>
  <c r="W3400" i="6"/>
  <c r="W3428" i="6"/>
  <c r="X3428" i="6"/>
  <c r="W3508" i="6"/>
  <c r="I3508" i="6"/>
  <c r="X3514" i="6"/>
  <c r="V3514" i="6"/>
  <c r="I3514" i="6"/>
  <c r="J3542" i="6"/>
  <c r="K3542" i="6"/>
  <c r="M227" i="5" s="1"/>
  <c r="V2275" i="6"/>
  <c r="I2275" i="6"/>
  <c r="X2406" i="6"/>
  <c r="V2406" i="6"/>
  <c r="K2463" i="6"/>
  <c r="V159" i="5" s="1"/>
  <c r="J2463" i="6"/>
  <c r="I2523" i="6"/>
  <c r="X2523" i="6"/>
  <c r="V2580" i="6"/>
  <c r="X2580" i="6"/>
  <c r="W2686" i="6"/>
  <c r="X2686" i="6"/>
  <c r="V2735" i="6"/>
  <c r="X2760" i="6"/>
  <c r="V2760" i="6"/>
  <c r="V2804" i="6"/>
  <c r="X2819" i="6"/>
  <c r="K2844" i="6"/>
  <c r="S183" i="5" s="1"/>
  <c r="V2859" i="6"/>
  <c r="X2896" i="6"/>
  <c r="W2896" i="6"/>
  <c r="J2906" i="6"/>
  <c r="W2911" i="6"/>
  <c r="V2962" i="6"/>
  <c r="W2962" i="6"/>
  <c r="X2962" i="6"/>
  <c r="K2973" i="6"/>
  <c r="T191" i="5" s="1"/>
  <c r="V2978" i="6"/>
  <c r="W3040" i="6"/>
  <c r="V3040" i="6"/>
  <c r="X3060" i="6"/>
  <c r="K3097" i="6"/>
  <c r="P199" i="5" s="1"/>
  <c r="X3164" i="6"/>
  <c r="X3244" i="6"/>
  <c r="I3250" i="6"/>
  <c r="X3250" i="6"/>
  <c r="V3250" i="6"/>
  <c r="V3303" i="6"/>
  <c r="X3303" i="6"/>
  <c r="J3329" i="6"/>
  <c r="K3329" i="6"/>
  <c r="X213" i="5" s="1"/>
  <c r="X3340" i="6"/>
  <c r="V3340" i="6"/>
  <c r="I3340" i="6"/>
  <c r="V3400" i="6"/>
  <c r="V3428" i="6"/>
  <c r="V3508" i="6"/>
  <c r="W3514" i="6"/>
  <c r="V3542" i="6"/>
  <c r="X3542" i="6"/>
  <c r="J3567" i="6"/>
  <c r="K3567" i="6"/>
  <c r="V228" i="5" s="1"/>
  <c r="K3597" i="6"/>
  <c r="T230" i="5" s="1"/>
  <c r="K3657" i="6"/>
  <c r="P234" i="5" s="1"/>
  <c r="K3706" i="6"/>
  <c r="Q237" i="5" s="1"/>
  <c r="K3712" i="6"/>
  <c r="W237" i="5" s="1"/>
  <c r="J3731" i="6"/>
  <c r="K3731" i="6"/>
  <c r="Z238" i="5" s="1"/>
  <c r="K3403" i="6"/>
  <c r="R218" i="5" s="1"/>
  <c r="J3403" i="6"/>
  <c r="J3414" i="6"/>
  <c r="K3414" i="6"/>
  <c r="M219" i="5" s="1"/>
  <c r="J3459" i="6"/>
  <c r="K3459" i="6"/>
  <c r="Z221" i="5" s="1"/>
  <c r="I3498" i="6"/>
  <c r="V3498" i="6"/>
  <c r="W3498" i="6"/>
  <c r="X3696" i="6"/>
  <c r="W3696" i="6"/>
  <c r="V3094" i="6"/>
  <c r="W3094" i="6"/>
  <c r="V3100" i="6"/>
  <c r="I3100" i="6"/>
  <c r="X3231" i="6"/>
  <c r="W3231" i="6"/>
  <c r="X3459" i="6"/>
  <c r="W3459" i="6"/>
  <c r="X3498" i="6"/>
  <c r="W3523" i="6"/>
  <c r="I3523" i="6"/>
  <c r="V3642" i="6"/>
  <c r="I3660" i="6"/>
  <c r="X3660" i="6"/>
  <c r="I3672" i="6"/>
  <c r="X3672" i="6"/>
  <c r="K3678" i="6"/>
  <c r="U235" i="5" s="1"/>
  <c r="J3678" i="6"/>
  <c r="V3696" i="6"/>
  <c r="X2578" i="6"/>
  <c r="I2578" i="6"/>
  <c r="V2746" i="6"/>
  <c r="W2746" i="6"/>
  <c r="I3000" i="6"/>
  <c r="V3000" i="6"/>
  <c r="V3074" i="6"/>
  <c r="I3074" i="6"/>
  <c r="I3216" i="6"/>
  <c r="X3216" i="6"/>
  <c r="J3253" i="6"/>
  <c r="K3253" i="6"/>
  <c r="AB208" i="5" s="1"/>
  <c r="J3431" i="6"/>
  <c r="K3431" i="6"/>
  <c r="N220" i="5" s="1"/>
  <c r="W3479" i="6"/>
  <c r="X3479" i="6"/>
  <c r="X3495" i="6"/>
  <c r="V3495" i="6"/>
  <c r="I3659" i="6"/>
  <c r="W3659" i="6"/>
  <c r="V3659" i="6"/>
  <c r="X3659" i="6"/>
  <c r="J3683" i="6"/>
  <c r="K3683" i="6"/>
  <c r="Z235" i="5" s="1"/>
  <c r="I2730" i="6"/>
  <c r="V2730" i="6"/>
  <c r="V3022" i="6"/>
  <c r="W3022" i="6"/>
  <c r="X3219" i="6"/>
  <c r="I3219" i="6"/>
  <c r="I3384" i="6"/>
  <c r="V3384" i="6"/>
  <c r="I3406" i="6"/>
  <c r="W3406" i="6"/>
  <c r="X3640" i="6"/>
  <c r="I3640" i="6"/>
  <c r="V3128" i="6"/>
  <c r="W3128" i="6"/>
  <c r="X3336" i="6"/>
  <c r="W3336" i="6"/>
  <c r="I3336" i="6"/>
  <c r="V3516" i="6"/>
  <c r="X3516" i="6"/>
  <c r="I3566" i="6"/>
  <c r="X3566" i="6"/>
  <c r="J3663" i="6"/>
  <c r="K3663" i="6"/>
  <c r="V234" i="5" s="1"/>
  <c r="X3028" i="6"/>
  <c r="W3056" i="6"/>
  <c r="W3090" i="6"/>
  <c r="I3090" i="6"/>
  <c r="X3138" i="6"/>
  <c r="W3351" i="6"/>
  <c r="X3351" i="6"/>
  <c r="J3409" i="6"/>
  <c r="K3409" i="6"/>
  <c r="X218" i="5" s="1"/>
  <c r="W3430" i="6"/>
  <c r="I3430" i="6"/>
  <c r="I3511" i="6"/>
  <c r="X3511" i="6"/>
  <c r="I3522" i="6"/>
  <c r="X3522" i="6"/>
  <c r="V3522" i="6"/>
  <c r="W3566" i="6"/>
  <c r="W3583" i="6"/>
  <c r="W3606" i="6"/>
  <c r="K3625" i="6"/>
  <c r="P232" i="5" s="1"/>
  <c r="J3625" i="6"/>
  <c r="W3720" i="6"/>
  <c r="I3720" i="6"/>
  <c r="W3519" i="6"/>
  <c r="X3519" i="6"/>
  <c r="I3563" i="6"/>
  <c r="V3563" i="6"/>
  <c r="X3563" i="6"/>
  <c r="W3563" i="6"/>
  <c r="X3586" i="6"/>
  <c r="V3586" i="6"/>
  <c r="I3586" i="6"/>
  <c r="X3598" i="6"/>
  <c r="W3598" i="6"/>
  <c r="K3616" i="6"/>
  <c r="W231" i="5" s="1"/>
  <c r="X3654" i="6"/>
  <c r="W3654" i="6"/>
  <c r="X3706" i="6"/>
  <c r="V3706" i="6"/>
  <c r="W3103" i="6"/>
  <c r="X3103" i="6"/>
  <c r="I3167" i="6"/>
  <c r="I3232" i="6"/>
  <c r="X3311" i="6"/>
  <c r="V3311" i="6"/>
  <c r="X3607" i="6"/>
  <c r="W3607" i="6"/>
  <c r="I3651" i="6"/>
  <c r="W2879" i="6"/>
  <c r="V2879" i="6"/>
  <c r="W3190" i="6"/>
  <c r="X3190" i="6"/>
  <c r="J3365" i="6"/>
  <c r="K3365" i="6"/>
  <c r="X3667" i="6"/>
  <c r="W3667" i="6"/>
  <c r="V3667" i="6"/>
  <c r="X3695" i="6"/>
  <c r="I3695" i="6"/>
  <c r="D8" i="7"/>
  <c r="J3377" i="6"/>
  <c r="K3377" i="6"/>
  <c r="X216" i="5" s="1"/>
  <c r="J3397" i="6"/>
  <c r="K3397" i="6"/>
  <c r="AB217" i="5" s="1"/>
  <c r="W3452" i="6"/>
  <c r="X3452" i="6"/>
  <c r="X3622" i="6"/>
  <c r="W3622" i="6"/>
  <c r="I3622" i="6"/>
  <c r="V3648" i="6"/>
  <c r="X3648" i="6"/>
  <c r="X3670" i="6"/>
  <c r="I3670" i="6"/>
  <c r="X3714" i="6"/>
  <c r="W3714" i="6"/>
  <c r="I3639" i="6"/>
  <c r="W3639" i="6"/>
  <c r="J3675" i="6"/>
  <c r="K3675" i="6"/>
  <c r="R235" i="5" s="1"/>
  <c r="V3467" i="6"/>
  <c r="I3467" i="6"/>
  <c r="J3728" i="6"/>
  <c r="K3728" i="6"/>
  <c r="W238" i="5" s="1"/>
  <c r="V3284" i="6"/>
  <c r="W3284" i="6"/>
  <c r="W3407" i="6"/>
  <c r="I3407" i="6"/>
  <c r="I3619" i="6"/>
  <c r="X3619" i="6"/>
  <c r="W3691" i="6"/>
  <c r="I3691" i="6"/>
  <c r="K3632" i="6"/>
  <c r="W232" i="5" s="1"/>
  <c r="J3632" i="6"/>
  <c r="J3707" i="6"/>
  <c r="K3707" i="6"/>
  <c r="R237" i="5" s="1"/>
  <c r="W3578" i="6"/>
  <c r="V3578" i="6"/>
  <c r="W3679" i="6"/>
  <c r="V3679" i="6"/>
  <c r="X3676" i="6"/>
  <c r="W3676" i="6"/>
  <c r="V3676" i="6"/>
  <c r="J3703" i="6"/>
  <c r="K3703" i="6"/>
  <c r="N237" i="5" s="1"/>
  <c r="V3500" i="6"/>
  <c r="W3526" i="6"/>
  <c r="V3535" i="6"/>
  <c r="V3703" i="6"/>
  <c r="X3708" i="6"/>
  <c r="W3708" i="6"/>
  <c r="V3708" i="6"/>
  <c r="X3694" i="6"/>
  <c r="W3694" i="6"/>
  <c r="X3582" i="6"/>
  <c r="W3582" i="6"/>
  <c r="W3632" i="6"/>
  <c r="V3632" i="6"/>
  <c r="V3694" i="6"/>
  <c r="V3699" i="6"/>
  <c r="AH72" i="5" l="1"/>
  <c r="AK40" i="5"/>
  <c r="AQ40" i="5"/>
  <c r="AP40" i="5"/>
  <c r="AF29" i="5"/>
  <c r="AH29" i="5"/>
  <c r="AG29" i="5"/>
  <c r="AQ109" i="5"/>
  <c r="AJ51" i="5"/>
  <c r="AQ54" i="5"/>
  <c r="AO54" i="5"/>
  <c r="AF75" i="5"/>
  <c r="AL48" i="5"/>
  <c r="AN48" i="5"/>
  <c r="AM48" i="5"/>
  <c r="K793" i="6"/>
  <c r="P55" i="5" s="1"/>
  <c r="J793" i="6"/>
  <c r="K3500" i="6"/>
  <c r="S224" i="5" s="1"/>
  <c r="J3500" i="6"/>
  <c r="K2354" i="6"/>
  <c r="Y152" i="5" s="1"/>
  <c r="J2354" i="6"/>
  <c r="J1841" i="6"/>
  <c r="K1841" i="6"/>
  <c r="X120" i="5" s="1"/>
  <c r="J1890" i="6"/>
  <c r="K1890" i="6"/>
  <c r="Y123" i="5" s="1"/>
  <c r="AO123" i="5" s="1"/>
  <c r="J925" i="6"/>
  <c r="K925" i="6"/>
  <c r="T63" i="5" s="1"/>
  <c r="K1242" i="6"/>
  <c r="Q83" i="5" s="1"/>
  <c r="J1242" i="6"/>
  <c r="K1245" i="6"/>
  <c r="T83" i="5" s="1"/>
  <c r="J1245" i="6"/>
  <c r="K550" i="6"/>
  <c r="M40" i="5" s="1"/>
  <c r="J550" i="6"/>
  <c r="J1613" i="6"/>
  <c r="K1613" i="6"/>
  <c r="T106" i="5" s="1"/>
  <c r="AP22" i="5"/>
  <c r="AO22" i="5"/>
  <c r="K326" i="6"/>
  <c r="M26" i="5" s="1"/>
  <c r="J326" i="6"/>
  <c r="J1641" i="6"/>
  <c r="K1641" i="6"/>
  <c r="P108" i="5" s="1"/>
  <c r="K314" i="6"/>
  <c r="Q25" i="5" s="1"/>
  <c r="J314" i="6"/>
  <c r="K3697" i="6"/>
  <c r="X236" i="5" s="1"/>
  <c r="J3697" i="6"/>
  <c r="K2946" i="6"/>
  <c r="Y189" i="5" s="1"/>
  <c r="J2946" i="6"/>
  <c r="J649" i="6"/>
  <c r="K649" i="6"/>
  <c r="P46" i="5" s="1"/>
  <c r="K3629" i="6"/>
  <c r="T232" i="5" s="1"/>
  <c r="J3629" i="6"/>
  <c r="K2829" i="6"/>
  <c r="T182" i="5" s="1"/>
  <c r="J2829" i="6"/>
  <c r="J2417" i="6"/>
  <c r="K2417" i="6"/>
  <c r="X156" i="5" s="1"/>
  <c r="J953" i="6"/>
  <c r="K953" i="6"/>
  <c r="P65" i="5" s="1"/>
  <c r="J2188" i="6"/>
  <c r="K2188" i="6"/>
  <c r="S142" i="5" s="1"/>
  <c r="AH89" i="5"/>
  <c r="K34" i="6"/>
  <c r="Y7" i="5" s="1"/>
  <c r="J34" i="6"/>
  <c r="J1421" i="6"/>
  <c r="K1421" i="6"/>
  <c r="T94" i="5" s="1"/>
  <c r="K1101" i="6"/>
  <c r="T74" i="5" s="1"/>
  <c r="J1101" i="6"/>
  <c r="K724" i="6"/>
  <c r="AA50" i="5" s="1"/>
  <c r="AT50" i="5" s="1"/>
  <c r="J724" i="6"/>
  <c r="J660" i="6"/>
  <c r="K660" i="6"/>
  <c r="AA46" i="5" s="1"/>
  <c r="K1970" i="6"/>
  <c r="Y128" i="5" s="1"/>
  <c r="J1970" i="6"/>
  <c r="J2375" i="6"/>
  <c r="AG76" i="5"/>
  <c r="K1221" i="6"/>
  <c r="AB81" i="5" s="1"/>
  <c r="J1221" i="6"/>
  <c r="J2305" i="6"/>
  <c r="K2305" i="6"/>
  <c r="X149" i="5" s="1"/>
  <c r="K2615" i="6"/>
  <c r="N169" i="5" s="1"/>
  <c r="AE169" i="5" s="1"/>
  <c r="J2615" i="6"/>
  <c r="J2277" i="6"/>
  <c r="K2277" i="6"/>
  <c r="AB147" i="5" s="1"/>
  <c r="K3461" i="6"/>
  <c r="AB221" i="5" s="1"/>
  <c r="J3461" i="6"/>
  <c r="J3117" i="6"/>
  <c r="K3117" i="6"/>
  <c r="T200" i="5" s="1"/>
  <c r="K1773" i="6"/>
  <c r="T116" i="5" s="1"/>
  <c r="AI116" i="5" s="1"/>
  <c r="E116" i="5" s="1"/>
  <c r="E116" i="2" s="1"/>
  <c r="J1773" i="6"/>
  <c r="K1270" i="6"/>
  <c r="M85" i="5" s="1"/>
  <c r="J1270" i="6"/>
  <c r="J3185" i="6"/>
  <c r="K3185" i="6"/>
  <c r="X204" i="5" s="1"/>
  <c r="K2145" i="6"/>
  <c r="X139" i="5" s="1"/>
  <c r="J2145" i="6"/>
  <c r="AT72" i="5"/>
  <c r="K1025" i="6"/>
  <c r="X69" i="5" s="1"/>
  <c r="J1025" i="6"/>
  <c r="K589" i="6"/>
  <c r="T42" i="5" s="1"/>
  <c r="J589" i="6"/>
  <c r="K627" i="6"/>
  <c r="Z44" i="5" s="1"/>
  <c r="J627" i="6"/>
  <c r="K1246" i="6"/>
  <c r="U83" i="5" s="1"/>
  <c r="J1246" i="6"/>
  <c r="K910" i="6"/>
  <c r="U62" i="5" s="1"/>
  <c r="J910" i="6"/>
  <c r="K245" i="6"/>
  <c r="AB20" i="5" s="1"/>
  <c r="J245" i="6"/>
  <c r="K2800" i="6"/>
  <c r="W180" i="5" s="1"/>
  <c r="J2800" i="6"/>
  <c r="K1258" i="6"/>
  <c r="Q84" i="5" s="1"/>
  <c r="J1258" i="6"/>
  <c r="AG72" i="5"/>
  <c r="AS34" i="5"/>
  <c r="K3634" i="6"/>
  <c r="Y232" i="5" s="1"/>
  <c r="AP232" i="5" s="1"/>
  <c r="J3634" i="6"/>
  <c r="J3531" i="6"/>
  <c r="K3531" i="6"/>
  <c r="R226" i="5" s="1"/>
  <c r="J3261" i="6"/>
  <c r="K3261" i="6"/>
  <c r="T209" i="5" s="1"/>
  <c r="AJ209" i="5" s="1"/>
  <c r="K3540" i="6"/>
  <c r="AA226" i="5" s="1"/>
  <c r="AR226" i="5" s="1"/>
  <c r="J3540" i="6"/>
  <c r="J1665" i="6"/>
  <c r="K1729" i="6"/>
  <c r="X113" i="5" s="1"/>
  <c r="AT34" i="5"/>
  <c r="AH76" i="5"/>
  <c r="J3128" i="6"/>
  <c r="K3128" i="6"/>
  <c r="O201" i="5" s="1"/>
  <c r="K3299" i="6"/>
  <c r="Z211" i="5" s="1"/>
  <c r="J3299" i="6"/>
  <c r="K1633" i="6"/>
  <c r="X107" i="5" s="1"/>
  <c r="AQ107" i="5" s="1"/>
  <c r="J1633" i="6"/>
  <c r="J1829" i="6"/>
  <c r="K1829" i="6"/>
  <c r="AB119" i="5" s="1"/>
  <c r="K2549" i="6"/>
  <c r="AB164" i="5" s="1"/>
  <c r="J2549" i="6"/>
  <c r="J1353" i="6"/>
  <c r="K1353" i="6"/>
  <c r="P90" i="5" s="1"/>
  <c r="J265" i="6"/>
  <c r="K265" i="6"/>
  <c r="P22" i="5" s="1"/>
  <c r="K2646" i="6"/>
  <c r="M171" i="5" s="1"/>
  <c r="J2646" i="6"/>
  <c r="AO204" i="5"/>
  <c r="J2441" i="6"/>
  <c r="K2441" i="6"/>
  <c r="P158" i="5" s="1"/>
  <c r="AH158" i="5" s="1"/>
  <c r="J3055" i="6"/>
  <c r="J2723" i="6"/>
  <c r="K2121" i="6"/>
  <c r="P138" i="5" s="1"/>
  <c r="AH138" i="5" s="1"/>
  <c r="AC161" i="5"/>
  <c r="J2600" i="6"/>
  <c r="J562" i="6"/>
  <c r="J13" i="6"/>
  <c r="AT9" i="5"/>
  <c r="J1708" i="6"/>
  <c r="J642" i="6"/>
  <c r="AJ28" i="5"/>
  <c r="K2848" i="6"/>
  <c r="W183" i="5" s="1"/>
  <c r="J2848" i="6"/>
  <c r="K3220" i="6"/>
  <c r="AA206" i="5" s="1"/>
  <c r="J3220" i="6"/>
  <c r="K1795" i="6"/>
  <c r="J1795" i="6"/>
  <c r="AQ39" i="5"/>
  <c r="AP39" i="5"/>
  <c r="J3106" i="6"/>
  <c r="K3106" i="6"/>
  <c r="Y199" i="5" s="1"/>
  <c r="K1655" i="6"/>
  <c r="N109" i="5" s="1"/>
  <c r="J1655" i="6"/>
  <c r="K585" i="6"/>
  <c r="P42" i="5" s="1"/>
  <c r="AH42" i="5" s="1"/>
  <c r="J585" i="6"/>
  <c r="K74" i="6"/>
  <c r="Q10" i="5" s="1"/>
  <c r="AF10" i="5" s="1"/>
  <c r="J74" i="6"/>
  <c r="J2017" i="6"/>
  <c r="K2017" i="6"/>
  <c r="X131" i="5" s="1"/>
  <c r="J1017" i="6"/>
  <c r="K1017" i="6"/>
  <c r="P69" i="5" s="1"/>
  <c r="AG69" i="5" s="1"/>
  <c r="J2794" i="6"/>
  <c r="K2794" i="6"/>
  <c r="Q180" i="5" s="1"/>
  <c r="J1962" i="6"/>
  <c r="K1962" i="6"/>
  <c r="Q128" i="5" s="1"/>
  <c r="J1225" i="6"/>
  <c r="K1225" i="6"/>
  <c r="P82" i="5" s="1"/>
  <c r="K2603" i="6"/>
  <c r="R168" i="5" s="1"/>
  <c r="J2603" i="6"/>
  <c r="K809" i="6"/>
  <c r="P56" i="5" s="1"/>
  <c r="J809" i="6"/>
  <c r="J2545" i="6"/>
  <c r="K2545" i="6"/>
  <c r="X164" i="5" s="1"/>
  <c r="AQ164" i="5" s="1"/>
  <c r="K3375" i="6"/>
  <c r="V216" i="5" s="1"/>
  <c r="J3375" i="6"/>
  <c r="J1093" i="6"/>
  <c r="K1093" i="6"/>
  <c r="AB73" i="5" s="1"/>
  <c r="J2881" i="6"/>
  <c r="K2881" i="6"/>
  <c r="X185" i="5" s="1"/>
  <c r="K1001" i="6"/>
  <c r="P68" i="5" s="1"/>
  <c r="J1001" i="6"/>
  <c r="J559" i="6"/>
  <c r="K559" i="6"/>
  <c r="V40" i="5" s="1"/>
  <c r="K1078" i="6"/>
  <c r="M73" i="5" s="1"/>
  <c r="J1078" i="6"/>
  <c r="K1435" i="6"/>
  <c r="R95" i="5" s="1"/>
  <c r="J1435" i="6"/>
  <c r="AJ168" i="5"/>
  <c r="AK168" i="5"/>
  <c r="K654" i="6"/>
  <c r="U46" i="5" s="1"/>
  <c r="J654" i="6"/>
  <c r="K2371" i="6"/>
  <c r="Z153" i="5" s="1"/>
  <c r="J2371" i="6"/>
  <c r="K294" i="6"/>
  <c r="M24" i="5" s="1"/>
  <c r="J294" i="6"/>
  <c r="J12" i="6"/>
  <c r="K12" i="6"/>
  <c r="S6" i="5" s="1"/>
  <c r="K454" i="6"/>
  <c r="M34" i="5" s="1"/>
  <c r="J454" i="6"/>
  <c r="K1805" i="6"/>
  <c r="T118" i="5" s="1"/>
  <c r="AI118" i="5" s="1"/>
  <c r="J1805" i="6"/>
  <c r="K1034" i="6"/>
  <c r="Q70" i="5" s="1"/>
  <c r="J1034" i="6"/>
  <c r="AP14" i="5"/>
  <c r="AJ104" i="5"/>
  <c r="K3481" i="6"/>
  <c r="P223" i="5" s="1"/>
  <c r="AG223" i="5" s="1"/>
  <c r="J3481" i="6"/>
  <c r="J1287" i="6"/>
  <c r="K1287" i="6"/>
  <c r="N86" i="5" s="1"/>
  <c r="K2886" i="6"/>
  <c r="M186" i="5" s="1"/>
  <c r="J2886" i="6"/>
  <c r="J2864" i="6"/>
  <c r="J3681" i="6"/>
  <c r="J918" i="6"/>
  <c r="K1932" i="6"/>
  <c r="S126" i="5" s="1"/>
  <c r="AK126" i="5" s="1"/>
  <c r="K2948" i="6"/>
  <c r="AA189" i="5" s="1"/>
  <c r="J2506" i="6"/>
  <c r="J2201" i="6"/>
  <c r="J345" i="6"/>
  <c r="K640" i="6"/>
  <c r="W45" i="5" s="1"/>
  <c r="J518" i="6"/>
  <c r="J758" i="6"/>
  <c r="J3197" i="6"/>
  <c r="AD9" i="5"/>
  <c r="K1656" i="6"/>
  <c r="O109" i="5" s="1"/>
  <c r="AH59" i="5"/>
  <c r="J715" i="6"/>
  <c r="J3699" i="6"/>
  <c r="K3699" i="6"/>
  <c r="Z236" i="5" s="1"/>
  <c r="K3644" i="6"/>
  <c r="S233" i="5" s="1"/>
  <c r="J3644" i="6"/>
  <c r="K2833" i="6"/>
  <c r="X182" i="5" s="1"/>
  <c r="J2833" i="6"/>
  <c r="J2140" i="6"/>
  <c r="K2140" i="6"/>
  <c r="S139" i="5" s="1"/>
  <c r="J3661" i="6"/>
  <c r="K3661" i="6"/>
  <c r="T234" i="5" s="1"/>
  <c r="K2084" i="6"/>
  <c r="AA135" i="5" s="1"/>
  <c r="J2084" i="6"/>
  <c r="K713" i="6"/>
  <c r="P50" i="5" s="1"/>
  <c r="AH50" i="5" s="1"/>
  <c r="J713" i="6"/>
  <c r="K602" i="6"/>
  <c r="Q43" i="5" s="1"/>
  <c r="AF43" i="5" s="1"/>
  <c r="J602" i="6"/>
  <c r="K1666" i="6"/>
  <c r="Y109" i="5" s="1"/>
  <c r="J1666" i="6"/>
  <c r="K2049" i="6"/>
  <c r="X133" i="5" s="1"/>
  <c r="J2049" i="6"/>
  <c r="K1140" i="6"/>
  <c r="AA76" i="5" s="1"/>
  <c r="J1140" i="6"/>
  <c r="K1872" i="6"/>
  <c r="W122" i="5" s="1"/>
  <c r="J1872" i="6"/>
  <c r="K802" i="6"/>
  <c r="Y55" i="5" s="1"/>
  <c r="J802" i="6"/>
  <c r="K1331" i="6"/>
  <c r="Z88" i="5" s="1"/>
  <c r="AS88" i="5" s="1"/>
  <c r="J1331" i="6"/>
  <c r="K930" i="6"/>
  <c r="Y63" i="5" s="1"/>
  <c r="AQ63" i="5" s="1"/>
  <c r="J930" i="6"/>
  <c r="K633" i="6"/>
  <c r="P45" i="5" s="1"/>
  <c r="J633" i="6"/>
  <c r="K500" i="6"/>
  <c r="AA36" i="5" s="1"/>
  <c r="J500" i="6"/>
  <c r="AQ14" i="5"/>
  <c r="AF30" i="5"/>
  <c r="AH30" i="5"/>
  <c r="K692" i="6"/>
  <c r="AA48" i="5" s="1"/>
  <c r="J692" i="6"/>
  <c r="K2958" i="6"/>
  <c r="U190" i="5" s="1"/>
  <c r="J2958" i="6"/>
  <c r="K831" i="6"/>
  <c r="V57" i="5" s="1"/>
  <c r="J831" i="6"/>
  <c r="K2015" i="6"/>
  <c r="V131" i="5" s="1"/>
  <c r="J2015" i="6"/>
  <c r="K1821" i="6"/>
  <c r="T119" i="5" s="1"/>
  <c r="J1821" i="6"/>
  <c r="K1309" i="6"/>
  <c r="T87" i="5" s="1"/>
  <c r="J1309" i="6"/>
  <c r="J3497" i="6"/>
  <c r="K3497" i="6"/>
  <c r="P224" i="5" s="1"/>
  <c r="J869" i="6"/>
  <c r="K869" i="6"/>
  <c r="AB59" i="5" s="1"/>
  <c r="J1237" i="6"/>
  <c r="K1237" i="6"/>
  <c r="AB82" i="5" s="1"/>
  <c r="AO45" i="5"/>
  <c r="J1288" i="6"/>
  <c r="K1288" i="6"/>
  <c r="O86" i="5" s="1"/>
  <c r="K1013" i="6"/>
  <c r="AB68" i="5" s="1"/>
  <c r="J1013" i="6"/>
  <c r="J2065" i="6"/>
  <c r="K2065" i="6"/>
  <c r="X134" i="5" s="1"/>
  <c r="K658" i="6"/>
  <c r="Y46" i="5" s="1"/>
  <c r="J658" i="6"/>
  <c r="J2481" i="6"/>
  <c r="K2481" i="6"/>
  <c r="X160" i="5" s="1"/>
  <c r="J263" i="6"/>
  <c r="K263" i="6"/>
  <c r="N22" i="5" s="1"/>
  <c r="K1090" i="6"/>
  <c r="Y73" i="5" s="1"/>
  <c r="J1090" i="6"/>
  <c r="K2467" i="6"/>
  <c r="Z159" i="5" s="1"/>
  <c r="J2467" i="6"/>
  <c r="AG24" i="5"/>
  <c r="AH24" i="5"/>
  <c r="AF24" i="5"/>
  <c r="K3193" i="6"/>
  <c r="P205" i="5" s="1"/>
  <c r="J3193" i="6"/>
  <c r="K2985" i="6"/>
  <c r="P192" i="5" s="1"/>
  <c r="J2985" i="6"/>
  <c r="K2974" i="6"/>
  <c r="U191" i="5" s="1"/>
  <c r="J2974" i="6"/>
  <c r="J2814" i="6"/>
  <c r="J489" i="6"/>
  <c r="K489" i="6"/>
  <c r="P36" i="5" s="1"/>
  <c r="K1643" i="6"/>
  <c r="R108" i="5" s="1"/>
  <c r="J1643" i="6"/>
  <c r="K1712" i="6"/>
  <c r="W112" i="5" s="1"/>
  <c r="J1712" i="6"/>
  <c r="K2493" i="6"/>
  <c r="T161" i="5" s="1"/>
  <c r="J2493" i="6"/>
  <c r="K425" i="6"/>
  <c r="P32" i="5" s="1"/>
  <c r="J425" i="6"/>
  <c r="K1887" i="6"/>
  <c r="V123" i="5" s="1"/>
  <c r="J1887" i="6"/>
  <c r="J653" i="6"/>
  <c r="K653" i="6"/>
  <c r="T46" i="5" s="1"/>
  <c r="AP82" i="5"/>
  <c r="K1162" i="6"/>
  <c r="Q78" i="5" s="1"/>
  <c r="J1162" i="6"/>
  <c r="J1372" i="6"/>
  <c r="K1372" i="6"/>
  <c r="S91" i="5" s="1"/>
  <c r="K629" i="6"/>
  <c r="AB44" i="5" s="1"/>
  <c r="J629" i="6"/>
  <c r="AE188" i="5"/>
  <c r="J2465" i="6"/>
  <c r="K2465" i="6"/>
  <c r="X159" i="5" s="1"/>
  <c r="J3425" i="6"/>
  <c r="K3425" i="6"/>
  <c r="X219" i="5" s="1"/>
  <c r="K897" i="6"/>
  <c r="X61" i="5" s="1"/>
  <c r="AQ61" i="5" s="1"/>
  <c r="J897" i="6"/>
  <c r="K420" i="6"/>
  <c r="AA31" i="5" s="1"/>
  <c r="AR31" i="5" s="1"/>
  <c r="J420" i="6"/>
  <c r="AP17" i="5"/>
  <c r="AQ17" i="5"/>
  <c r="AO17" i="5"/>
  <c r="AQ100" i="5"/>
  <c r="K3581" i="6"/>
  <c r="T229" i="5" s="1"/>
  <c r="J3581" i="6"/>
  <c r="K2067" i="6"/>
  <c r="Z134" i="5" s="1"/>
  <c r="J2067" i="6"/>
  <c r="K1919" i="6"/>
  <c r="V125" i="5" s="1"/>
  <c r="J1919" i="6"/>
  <c r="AH177" i="5"/>
  <c r="K206" i="6"/>
  <c r="U18" i="5" s="1"/>
  <c r="AI18" i="5" s="1"/>
  <c r="J206" i="6"/>
  <c r="K1202" i="6"/>
  <c r="Y80" i="5" s="1"/>
  <c r="J1202" i="6"/>
  <c r="K1533" i="6"/>
  <c r="T101" i="5" s="1"/>
  <c r="J1533" i="6"/>
  <c r="K422" i="6"/>
  <c r="M32" i="5" s="1"/>
  <c r="J422" i="6"/>
  <c r="K2171" i="6"/>
  <c r="R141" i="5" s="1"/>
  <c r="J2171" i="6"/>
  <c r="K2187" i="6"/>
  <c r="R142" i="5" s="1"/>
  <c r="J2187" i="6"/>
  <c r="K1228" i="6"/>
  <c r="S82" i="5" s="1"/>
  <c r="J1228" i="6"/>
  <c r="K3576" i="6"/>
  <c r="O229" i="5" s="1"/>
  <c r="AC229" i="5" s="1"/>
  <c r="J3576" i="6"/>
  <c r="J2538" i="6"/>
  <c r="K2538" i="6"/>
  <c r="Q164" i="5" s="1"/>
  <c r="K1619" i="6"/>
  <c r="Z106" i="5" s="1"/>
  <c r="J1619" i="6"/>
  <c r="AT76" i="5"/>
  <c r="K1462" i="6"/>
  <c r="M97" i="5" s="1"/>
  <c r="J1462" i="6"/>
  <c r="K1189" i="6"/>
  <c r="AB79" i="5" s="1"/>
  <c r="J1189" i="6"/>
  <c r="J80" i="6"/>
  <c r="AP63" i="5"/>
  <c r="K1154" i="6"/>
  <c r="Y77" i="5" s="1"/>
  <c r="J1154" i="6"/>
  <c r="K3472" i="6"/>
  <c r="W222" i="5" s="1"/>
  <c r="J3472" i="6"/>
  <c r="K3147" i="6"/>
  <c r="R202" i="5" s="1"/>
  <c r="J3147" i="6"/>
  <c r="K110" i="6"/>
  <c r="U12" i="5" s="1"/>
  <c r="AK12" i="5" s="1"/>
  <c r="K2931" i="6"/>
  <c r="Z188" i="5" s="1"/>
  <c r="J2931" i="6"/>
  <c r="J2726" i="6"/>
  <c r="K2726" i="6"/>
  <c r="M176" i="5" s="1"/>
  <c r="K347" i="6"/>
  <c r="R27" i="5" s="1"/>
  <c r="J347" i="6"/>
  <c r="K2633" i="6"/>
  <c r="P170" i="5" s="1"/>
  <c r="J2633" i="6"/>
  <c r="K598" i="6"/>
  <c r="M43" i="5" s="1"/>
  <c r="J598" i="6"/>
  <c r="AI169" i="5"/>
  <c r="J3710" i="6"/>
  <c r="K2557" i="6"/>
  <c r="T165" i="5" s="1"/>
  <c r="J2557" i="6"/>
  <c r="J2845" i="6"/>
  <c r="K2845" i="6"/>
  <c r="T183" i="5" s="1"/>
  <c r="AP23" i="5"/>
  <c r="J3560" i="6"/>
  <c r="K3560" i="6"/>
  <c r="O228" i="5" s="1"/>
  <c r="AS218" i="5"/>
  <c r="O22" i="10"/>
  <c r="R22" i="10" s="1"/>
  <c r="AC9" i="5"/>
  <c r="AC201" i="5"/>
  <c r="AQ50" i="5"/>
  <c r="K3494" i="6"/>
  <c r="M224" i="5" s="1"/>
  <c r="J3494" i="6"/>
  <c r="J3263" i="6"/>
  <c r="K3263" i="6"/>
  <c r="V209" i="5" s="1"/>
  <c r="K2785" i="6"/>
  <c r="X179" i="5" s="1"/>
  <c r="J2785" i="6"/>
  <c r="J2622" i="6"/>
  <c r="K2622" i="6"/>
  <c r="U169" i="5" s="1"/>
  <c r="AJ169" i="5" s="1"/>
  <c r="J1281" i="6"/>
  <c r="K1281" i="6"/>
  <c r="X85" i="5" s="1"/>
  <c r="J991" i="6"/>
  <c r="K991" i="6"/>
  <c r="V67" i="5" s="1"/>
  <c r="AM67" i="5" s="1"/>
  <c r="J679" i="6"/>
  <c r="K679" i="6"/>
  <c r="N48" i="5" s="1"/>
  <c r="K1495" i="6"/>
  <c r="N99" i="5" s="1"/>
  <c r="J1495" i="6"/>
  <c r="J3273" i="6"/>
  <c r="K3273" i="6"/>
  <c r="P210" i="5" s="1"/>
  <c r="K1429" i="6"/>
  <c r="AB94" i="5" s="1"/>
  <c r="J1429" i="6"/>
  <c r="K665" i="6"/>
  <c r="P47" i="5" s="1"/>
  <c r="J665" i="6"/>
  <c r="K1317" i="6"/>
  <c r="AB87" i="5" s="1"/>
  <c r="AS87" i="5" s="1"/>
  <c r="J1317" i="6"/>
  <c r="J841" i="6"/>
  <c r="K841" i="6"/>
  <c r="P58" i="5" s="1"/>
  <c r="K2154" i="6"/>
  <c r="Q140" i="5" s="1"/>
  <c r="J2154" i="6"/>
  <c r="K2462" i="6"/>
  <c r="U159" i="5" s="1"/>
  <c r="J2462" i="6"/>
  <c r="J1949" i="6"/>
  <c r="K1949" i="6"/>
  <c r="T127" i="5" s="1"/>
  <c r="J3304" i="6"/>
  <c r="K1921" i="6"/>
  <c r="X125" i="5" s="1"/>
  <c r="AG202" i="5"/>
  <c r="J3438" i="6"/>
  <c r="K3378" i="6"/>
  <c r="Y216" i="5" s="1"/>
  <c r="AO216" i="5" s="1"/>
  <c r="AH17" i="5"/>
  <c r="K2982" i="6"/>
  <c r="M192" i="5" s="1"/>
  <c r="J2982" i="6"/>
  <c r="K3526" i="6"/>
  <c r="M226" i="5" s="1"/>
  <c r="AD226" i="5" s="1"/>
  <c r="J3526" i="6"/>
  <c r="K322" i="6"/>
  <c r="Y25" i="5" s="1"/>
  <c r="J322" i="6"/>
  <c r="K214" i="6"/>
  <c r="M19" i="5" s="1"/>
  <c r="AD19" i="5" s="1"/>
  <c r="J214" i="6"/>
  <c r="J2089" i="6"/>
  <c r="K2089" i="6"/>
  <c r="P136" i="5" s="1"/>
  <c r="J3658" i="6"/>
  <c r="K3658" i="6"/>
  <c r="Q234" i="5" s="1"/>
  <c r="AH234" i="5" s="1"/>
  <c r="K490" i="6"/>
  <c r="Q36" i="5" s="1"/>
  <c r="J490" i="6"/>
  <c r="K2068" i="6"/>
  <c r="AA134" i="5" s="1"/>
  <c r="AS134" i="5" s="1"/>
  <c r="J2068" i="6"/>
  <c r="J625" i="6"/>
  <c r="K625" i="6"/>
  <c r="X44" i="5" s="1"/>
  <c r="J141" i="6"/>
  <c r="K141" i="6"/>
  <c r="T14" i="5" s="1"/>
  <c r="K634" i="6"/>
  <c r="Q45" i="5" s="1"/>
  <c r="J634" i="6"/>
  <c r="J621" i="6"/>
  <c r="K621" i="6"/>
  <c r="T44" i="5" s="1"/>
  <c r="K2332" i="6"/>
  <c r="S151" i="5" s="1"/>
  <c r="J2332" i="6"/>
  <c r="AQ219" i="5"/>
  <c r="AJ40" i="5"/>
  <c r="J2110" i="6"/>
  <c r="J1044" i="6"/>
  <c r="N22" i="10"/>
  <c r="J3537" i="6"/>
  <c r="J1042" i="6"/>
  <c r="AF132" i="5"/>
  <c r="AF116" i="5"/>
  <c r="J2641" i="6"/>
  <c r="K2641" i="6"/>
  <c r="X170" i="5" s="1"/>
  <c r="K3224" i="6"/>
  <c r="O207" i="5" s="1"/>
  <c r="AD207" i="5" s="1"/>
  <c r="J3224" i="6"/>
  <c r="K3673" i="6"/>
  <c r="P235" i="5" s="1"/>
  <c r="AG235" i="5" s="1"/>
  <c r="J3673" i="6"/>
  <c r="K2213" i="6"/>
  <c r="AB143" i="5" s="1"/>
  <c r="J2213" i="6"/>
  <c r="K3505" i="6"/>
  <c r="X224" i="5" s="1"/>
  <c r="AO224" i="5" s="1"/>
  <c r="J3505" i="6"/>
  <c r="J2701" i="6"/>
  <c r="K2701" i="6"/>
  <c r="T174" i="5" s="1"/>
  <c r="J2238" i="6"/>
  <c r="K2238" i="6"/>
  <c r="U145" i="5" s="1"/>
  <c r="K2336" i="6"/>
  <c r="W151" i="5" s="1"/>
  <c r="J2336" i="6"/>
  <c r="K436" i="6"/>
  <c r="AA32" i="5" s="1"/>
  <c r="J436" i="6"/>
  <c r="K2871" i="6"/>
  <c r="N185" i="5" s="1"/>
  <c r="AD185" i="5" s="1"/>
  <c r="J2871" i="6"/>
  <c r="K3350" i="6"/>
  <c r="M215" i="5" s="1"/>
  <c r="J3350" i="6"/>
  <c r="K3420" i="6"/>
  <c r="S219" i="5" s="1"/>
  <c r="J3420" i="6"/>
  <c r="J3061" i="6"/>
  <c r="K3061" i="6"/>
  <c r="AB196" i="5" s="1"/>
  <c r="K269" i="6"/>
  <c r="T22" i="5" s="1"/>
  <c r="J269" i="6"/>
  <c r="J3102" i="6"/>
  <c r="K3102" i="6"/>
  <c r="U199" i="5" s="1"/>
  <c r="K535" i="6"/>
  <c r="N39" i="5" s="1"/>
  <c r="J535" i="6"/>
  <c r="K3528" i="6"/>
  <c r="O226" i="5" s="1"/>
  <c r="K3650" i="6"/>
  <c r="Y233" i="5" s="1"/>
  <c r="AO233" i="5" s="1"/>
  <c r="AQ236" i="5"/>
  <c r="AG171" i="5"/>
  <c r="J3064" i="6"/>
  <c r="J590" i="6"/>
  <c r="J1836" i="6"/>
  <c r="J1867" i="6"/>
  <c r="AF96" i="5"/>
  <c r="AD36" i="5"/>
  <c r="J1260" i="6"/>
  <c r="J3393" i="6"/>
  <c r="K3393" i="6"/>
  <c r="X217" i="5" s="1"/>
  <c r="AQ217" i="5" s="1"/>
  <c r="K3209" i="6"/>
  <c r="P206" i="5" s="1"/>
  <c r="J3209" i="6"/>
  <c r="J3202" i="6"/>
  <c r="K3202" i="6"/>
  <c r="Y205" i="5" s="1"/>
  <c r="J3078" i="6"/>
  <c r="K3078" i="6"/>
  <c r="M198" i="5" s="1"/>
  <c r="K2448" i="6"/>
  <c r="W158" i="5" s="1"/>
  <c r="AL158" i="5" s="1"/>
  <c r="J2448" i="6"/>
  <c r="AO88" i="5"/>
  <c r="AP88" i="5"/>
  <c r="AQ88" i="5"/>
  <c r="AS113" i="5"/>
  <c r="AR113" i="5"/>
  <c r="AT113" i="5"/>
  <c r="J2449" i="6"/>
  <c r="K2449" i="6"/>
  <c r="X158" i="5" s="1"/>
  <c r="AQ158" i="5" s="1"/>
  <c r="K1559" i="6"/>
  <c r="N103" i="5" s="1"/>
  <c r="AE103" i="5" s="1"/>
  <c r="J1559" i="6"/>
  <c r="K1668" i="6"/>
  <c r="AA109" i="5" s="1"/>
  <c r="J1668" i="6"/>
  <c r="K821" i="6"/>
  <c r="AB56" i="5" s="1"/>
  <c r="J821" i="6"/>
  <c r="K2993" i="6"/>
  <c r="X192" i="5" s="1"/>
  <c r="J2993" i="6"/>
  <c r="K662" i="6"/>
  <c r="M47" i="5" s="1"/>
  <c r="AC47" i="5" s="1"/>
  <c r="J662" i="6"/>
  <c r="K29" i="6"/>
  <c r="T7" i="5" s="1"/>
  <c r="J29" i="6"/>
  <c r="K388" i="6"/>
  <c r="AA29" i="5" s="1"/>
  <c r="J388" i="6"/>
  <c r="K1874" i="6"/>
  <c r="Y122" i="5" s="1"/>
  <c r="AP122" i="5" s="1"/>
  <c r="J1874" i="6"/>
  <c r="K2492" i="6"/>
  <c r="S161" i="5" s="1"/>
  <c r="AK161" i="5" s="1"/>
  <c r="J2492" i="6"/>
  <c r="J3454" i="6"/>
  <c r="K3454" i="6"/>
  <c r="U221" i="5" s="1"/>
  <c r="AI221" i="5" s="1"/>
  <c r="J2796" i="6"/>
  <c r="K2796" i="6"/>
  <c r="S180" i="5" s="1"/>
  <c r="AO86" i="5"/>
  <c r="AP86" i="5"/>
  <c r="K1822" i="6"/>
  <c r="U119" i="5" s="1"/>
  <c r="J1822" i="6"/>
  <c r="J1177" i="6"/>
  <c r="K1177" i="6"/>
  <c r="P79" i="5" s="1"/>
  <c r="AG79" i="5" s="1"/>
  <c r="K1341" i="6"/>
  <c r="T89" i="5" s="1"/>
  <c r="AJ89" i="5" s="1"/>
  <c r="J1341" i="6"/>
  <c r="J3536" i="6"/>
  <c r="K3536" i="6"/>
  <c r="W226" i="5" s="1"/>
  <c r="K1233" i="6"/>
  <c r="X82" i="5" s="1"/>
  <c r="J1233" i="6"/>
  <c r="J1705" i="6"/>
  <c r="K1705" i="6"/>
  <c r="P112" i="5" s="1"/>
  <c r="K729" i="6"/>
  <c r="P51" i="5" s="1"/>
  <c r="J729" i="6"/>
  <c r="K1126" i="6"/>
  <c r="M76" i="5" s="1"/>
  <c r="J1126" i="6"/>
  <c r="J1669" i="6"/>
  <c r="K1669" i="6"/>
  <c r="AB109" i="5" s="1"/>
  <c r="J3628" i="6"/>
  <c r="K3628" i="6"/>
  <c r="S232" i="5" s="1"/>
  <c r="J3093" i="6"/>
  <c r="K3093" i="6"/>
  <c r="AB198" i="5" s="1"/>
  <c r="AS9" i="5"/>
  <c r="J693" i="6"/>
  <c r="K693" i="6"/>
  <c r="AB48" i="5" s="1"/>
  <c r="AG49" i="5"/>
  <c r="AQ210" i="5"/>
  <c r="AP24" i="5"/>
  <c r="AP109" i="5"/>
  <c r="AK169" i="5"/>
  <c r="J3116" i="6"/>
  <c r="K3116" i="6"/>
  <c r="S200" i="5" s="1"/>
  <c r="K2665" i="6"/>
  <c r="P172" i="5" s="1"/>
  <c r="J2665" i="6"/>
  <c r="K3609" i="6"/>
  <c r="P231" i="5" s="1"/>
  <c r="J3609" i="6"/>
  <c r="K3177" i="6"/>
  <c r="P204" i="5" s="1"/>
  <c r="J3177" i="6"/>
  <c r="J2381" i="6"/>
  <c r="K2381" i="6"/>
  <c r="T154" i="5" s="1"/>
  <c r="K2941" i="6"/>
  <c r="T189" i="5" s="1"/>
  <c r="J2941" i="6"/>
  <c r="K2285" i="6"/>
  <c r="T148" i="5" s="1"/>
  <c r="J2285" i="6"/>
  <c r="K1722" i="6"/>
  <c r="Q113" i="5" s="1"/>
  <c r="AF113" i="5" s="1"/>
  <c r="J1722" i="6"/>
  <c r="K2790" i="6"/>
  <c r="M180" i="5" s="1"/>
  <c r="J2790" i="6"/>
  <c r="J1204" i="6"/>
  <c r="K1204" i="6"/>
  <c r="AA80" i="5" s="1"/>
  <c r="J3642" i="6"/>
  <c r="K3642" i="6"/>
  <c r="Q233" i="5" s="1"/>
  <c r="J2333" i="6"/>
  <c r="K2333" i="6"/>
  <c r="T151" i="5" s="1"/>
  <c r="J881" i="6"/>
  <c r="K881" i="6"/>
  <c r="X60" i="5" s="1"/>
  <c r="AO32" i="5"/>
  <c r="J2445" i="6"/>
  <c r="K2445" i="6"/>
  <c r="T158" i="5" s="1"/>
  <c r="AI158" i="5" s="1"/>
  <c r="K35" i="6"/>
  <c r="Z7" i="5" s="1"/>
  <c r="J35" i="6"/>
  <c r="K424" i="6"/>
  <c r="O32" i="5" s="1"/>
  <c r="J424" i="6"/>
  <c r="K1767" i="6"/>
  <c r="N116" i="5" s="1"/>
  <c r="J1767" i="6"/>
  <c r="K2729" i="6"/>
  <c r="P176" i="5" s="1"/>
  <c r="J2729" i="6"/>
  <c r="K137" i="6"/>
  <c r="P14" i="5" s="1"/>
  <c r="J137" i="6"/>
  <c r="K1115" i="6"/>
  <c r="R75" i="5" s="1"/>
  <c r="AH75" i="5" s="1"/>
  <c r="J1115" i="6"/>
  <c r="J1897" i="6"/>
  <c r="K1897" i="6"/>
  <c r="P124" i="5" s="1"/>
  <c r="K1794" i="6"/>
  <c r="Y117" i="5" s="1"/>
  <c r="J1794" i="6"/>
  <c r="K2938" i="6"/>
  <c r="Q189" i="5" s="1"/>
  <c r="J2938" i="6"/>
  <c r="J3488" i="6"/>
  <c r="K3488" i="6"/>
  <c r="W223" i="5" s="1"/>
  <c r="K737" i="6"/>
  <c r="X51" i="5" s="1"/>
  <c r="J737" i="6"/>
  <c r="K1653" i="6"/>
  <c r="AB108" i="5" s="1"/>
  <c r="J1653" i="6"/>
  <c r="K2798" i="6"/>
  <c r="U180" i="5" s="1"/>
  <c r="J2798" i="6"/>
  <c r="K1066" i="6"/>
  <c r="Q72" i="5" s="1"/>
  <c r="J1066" i="6"/>
  <c r="J2161" i="6"/>
  <c r="K2161" i="6"/>
  <c r="X140" i="5" s="1"/>
  <c r="AP140" i="5" s="1"/>
  <c r="K661" i="6"/>
  <c r="AB46" i="5" s="1"/>
  <c r="J661" i="6"/>
  <c r="J43" i="6"/>
  <c r="K43" i="6"/>
  <c r="R8" i="5" s="1"/>
  <c r="AH8" i="5" s="1"/>
  <c r="K650" i="6"/>
  <c r="Q46" i="5" s="1"/>
  <c r="J650" i="6"/>
  <c r="AG71" i="5"/>
  <c r="AJ60" i="5"/>
  <c r="AG38" i="5"/>
  <c r="K2608" i="6"/>
  <c r="W168" i="5" s="1"/>
  <c r="J2608" i="6"/>
  <c r="K2964" i="6"/>
  <c r="AA190" i="5" s="1"/>
  <c r="AT190" i="5" s="1"/>
  <c r="J2964" i="6"/>
  <c r="K3513" i="6"/>
  <c r="P225" i="5" s="1"/>
  <c r="J3513" i="6"/>
  <c r="K3600" i="6"/>
  <c r="W230" i="5" s="1"/>
  <c r="AN230" i="5" s="1"/>
  <c r="J3600" i="6"/>
  <c r="J3257" i="6"/>
  <c r="K3257" i="6"/>
  <c r="P209" i="5" s="1"/>
  <c r="J2293" i="6"/>
  <c r="K2293" i="6"/>
  <c r="AB148" i="5" s="1"/>
  <c r="K2085" i="6"/>
  <c r="AB135" i="5" s="1"/>
  <c r="J2085" i="6"/>
  <c r="K1201" i="6"/>
  <c r="X80" i="5" s="1"/>
  <c r="J1201" i="6"/>
  <c r="K2355" i="6"/>
  <c r="Z152" i="5" s="1"/>
  <c r="J2355" i="6"/>
  <c r="K61" i="6"/>
  <c r="T9" i="5" s="1"/>
  <c r="J61" i="6"/>
  <c r="K513" i="6"/>
  <c r="X37" i="5" s="1"/>
  <c r="J513" i="6"/>
  <c r="J2117" i="6"/>
  <c r="K2117" i="6"/>
  <c r="AB137" i="5" s="1"/>
  <c r="K114" i="6"/>
  <c r="Y12" i="5" s="1"/>
  <c r="AP12" i="5" s="1"/>
  <c r="J114" i="6"/>
  <c r="K565" i="6"/>
  <c r="AB40" i="5" s="1"/>
  <c r="AR40" i="5" s="1"/>
  <c r="J565" i="6"/>
  <c r="K734" i="6"/>
  <c r="U51" i="5" s="1"/>
  <c r="J734" i="6"/>
  <c r="AF49" i="5"/>
  <c r="AQ19" i="5"/>
  <c r="AO19" i="5"/>
  <c r="AF237" i="5"/>
  <c r="K2123" i="6"/>
  <c r="R138" i="5" s="1"/>
  <c r="K2420" i="6"/>
  <c r="AA156" i="5" s="1"/>
  <c r="J2420" i="6"/>
  <c r="K3091" i="6"/>
  <c r="Z198" i="5" s="1"/>
  <c r="AS198" i="5" s="1"/>
  <c r="AF38" i="5"/>
  <c r="K2503" i="6"/>
  <c r="N162" i="5" s="1"/>
  <c r="AE162" i="5" s="1"/>
  <c r="J2503" i="6"/>
  <c r="K3173" i="6"/>
  <c r="AB203" i="5" s="1"/>
  <c r="J3173" i="6"/>
  <c r="K2917" i="6"/>
  <c r="AB187" i="5" s="1"/>
  <c r="J2917" i="6"/>
  <c r="K482" i="6"/>
  <c r="Y35" i="5" s="1"/>
  <c r="J482" i="6"/>
  <c r="K1493" i="6"/>
  <c r="AB98" i="5" s="1"/>
  <c r="J1493" i="6"/>
  <c r="K3141" i="6"/>
  <c r="AB201" i="5" s="1"/>
  <c r="J3141" i="6"/>
  <c r="J2553" i="6"/>
  <c r="K2553" i="6"/>
  <c r="P165" i="5" s="1"/>
  <c r="K2922" i="6"/>
  <c r="Q188" i="5" s="1"/>
  <c r="J2922" i="6"/>
  <c r="K2629" i="6"/>
  <c r="AB169" i="5" s="1"/>
  <c r="J2629" i="6"/>
  <c r="K1461" i="6"/>
  <c r="AB96" i="5" s="1"/>
  <c r="J1461" i="6"/>
  <c r="K1481" i="6"/>
  <c r="P98" i="5" s="1"/>
  <c r="J1481" i="6"/>
  <c r="J429" i="6"/>
  <c r="K429" i="6"/>
  <c r="T32" i="5" s="1"/>
  <c r="K1354" i="6"/>
  <c r="Q90" i="5" s="1"/>
  <c r="AF90" i="5" s="1"/>
  <c r="J1354" i="6"/>
  <c r="AO52" i="5"/>
  <c r="AP52" i="5"/>
  <c r="AQ52" i="5"/>
  <c r="J1989" i="6"/>
  <c r="K1989" i="6"/>
  <c r="AB129" i="5" s="1"/>
  <c r="J3045" i="6"/>
  <c r="K3045" i="6"/>
  <c r="AB195" i="5" s="1"/>
  <c r="J1377" i="6"/>
  <c r="K1377" i="6"/>
  <c r="X91" i="5" s="1"/>
  <c r="AO91" i="5" s="1"/>
  <c r="AR129" i="5"/>
  <c r="AT129" i="5"/>
  <c r="AS129" i="5"/>
  <c r="AH15" i="5"/>
  <c r="AF15" i="5"/>
  <c r="K1218" i="6"/>
  <c r="Y81" i="5" s="1"/>
  <c r="J1218" i="6"/>
  <c r="K3192" i="6"/>
  <c r="O205" i="5" s="1"/>
  <c r="AC205" i="5" s="1"/>
  <c r="J3192" i="6"/>
  <c r="K1169" i="6"/>
  <c r="X78" i="5" s="1"/>
  <c r="J1169" i="6"/>
  <c r="K342" i="6"/>
  <c r="M27" i="5" s="1"/>
  <c r="J342" i="6"/>
  <c r="K1637" i="6"/>
  <c r="AB107" i="5" s="1"/>
  <c r="J1637" i="6"/>
  <c r="K2717" i="6"/>
  <c r="T175" i="5" s="1"/>
  <c r="AJ175" i="5" s="1"/>
  <c r="J2717" i="6"/>
  <c r="K1455" i="6"/>
  <c r="V96" i="5" s="1"/>
  <c r="AM96" i="5" s="1"/>
  <c r="K823" i="6"/>
  <c r="N57" i="5" s="1"/>
  <c r="K1931" i="6"/>
  <c r="R126" i="5" s="1"/>
  <c r="J1931" i="6"/>
  <c r="K962" i="6"/>
  <c r="Y65" i="5" s="1"/>
  <c r="J962" i="6"/>
  <c r="K593" i="6"/>
  <c r="X42" i="5" s="1"/>
  <c r="J593" i="6"/>
  <c r="J1261" i="6"/>
  <c r="K1261" i="6"/>
  <c r="T84" i="5" s="1"/>
  <c r="AD7" i="5"/>
  <c r="J3587" i="6"/>
  <c r="K3587" i="6"/>
  <c r="Z229" i="5" s="1"/>
  <c r="K548" i="6"/>
  <c r="AA39" i="5" s="1"/>
  <c r="AT39" i="5" s="1"/>
  <c r="J548" i="6"/>
  <c r="K1374" i="6"/>
  <c r="U91" i="5" s="1"/>
  <c r="J1374" i="6"/>
  <c r="K1249" i="6"/>
  <c r="X83" i="5" s="1"/>
  <c r="AP83" i="5" s="1"/>
  <c r="J1249" i="6"/>
  <c r="AI197" i="5"/>
  <c r="AM55" i="5"/>
  <c r="AO100" i="5"/>
  <c r="AL55" i="5"/>
  <c r="K3240" i="6"/>
  <c r="O208" i="5" s="1"/>
  <c r="J3240" i="6"/>
  <c r="J2456" i="6"/>
  <c r="K2456" i="6"/>
  <c r="O159" i="5" s="1"/>
  <c r="J3610" i="6"/>
  <c r="K3610" i="6"/>
  <c r="Q231" i="5" s="1"/>
  <c r="K3442" i="6"/>
  <c r="Y220" i="5" s="1"/>
  <c r="AO220" i="5" s="1"/>
  <c r="J3442" i="6"/>
  <c r="J2653" i="6"/>
  <c r="K2653" i="6"/>
  <c r="T171" i="5" s="1"/>
  <c r="K3322" i="6"/>
  <c r="Q213" i="5" s="1"/>
  <c r="J3322" i="6"/>
  <c r="J3053" i="6"/>
  <c r="J3457" i="6"/>
  <c r="K2891" i="6"/>
  <c r="R186" i="5" s="1"/>
  <c r="J2891" i="6"/>
  <c r="K2605" i="6"/>
  <c r="T168" i="5" s="1"/>
  <c r="AI168" i="5" s="1"/>
  <c r="J2605" i="6"/>
  <c r="J3557" i="6"/>
  <c r="K3557" i="6"/>
  <c r="AB227" i="5" s="1"/>
  <c r="K2915" i="6"/>
  <c r="Z187" i="5" s="1"/>
  <c r="J2915" i="6"/>
  <c r="J1255" i="6"/>
  <c r="K1255" i="6"/>
  <c r="N84" i="5" s="1"/>
  <c r="K3326" i="6"/>
  <c r="U213" i="5" s="1"/>
  <c r="AO109" i="5"/>
  <c r="J3089" i="6"/>
  <c r="K3089" i="6"/>
  <c r="X198" i="5" s="1"/>
  <c r="J2149" i="6"/>
  <c r="K2149" i="6"/>
  <c r="AB139" i="5" s="1"/>
  <c r="AS139" i="5" s="1"/>
  <c r="K3130" i="6"/>
  <c r="Q201" i="5" s="1"/>
  <c r="J3130" i="6"/>
  <c r="J1496" i="6"/>
  <c r="K1496" i="6"/>
  <c r="O99" i="5" s="1"/>
  <c r="J1105" i="6"/>
  <c r="K1105" i="6"/>
  <c r="X74" i="5" s="1"/>
  <c r="K557" i="6"/>
  <c r="T40" i="5" s="1"/>
  <c r="J557" i="6"/>
  <c r="J3373" i="6"/>
  <c r="K3373" i="6"/>
  <c r="T216" i="5" s="1"/>
  <c r="J3490" i="6"/>
  <c r="J418" i="6"/>
  <c r="K2923" i="6"/>
  <c r="R188" i="5" s="1"/>
  <c r="J1982" i="6"/>
  <c r="AC116" i="5"/>
  <c r="AL21" i="5"/>
  <c r="J3275" i="6"/>
  <c r="K814" i="6"/>
  <c r="U56" i="5" s="1"/>
  <c r="AK56" i="5" s="1"/>
  <c r="J814" i="6"/>
  <c r="K452" i="6"/>
  <c r="AA33" i="5" s="1"/>
  <c r="J452" i="6"/>
  <c r="J1762" i="6"/>
  <c r="K2511" i="6"/>
  <c r="V162" i="5" s="1"/>
  <c r="AL162" i="5" s="1"/>
  <c r="J334" i="6"/>
  <c r="J1048" i="6"/>
  <c r="J786" i="6"/>
  <c r="AF62" i="5"/>
  <c r="J3580" i="6"/>
  <c r="K3580" i="6"/>
  <c r="S229" i="5" s="1"/>
  <c r="J2697" i="6"/>
  <c r="K2697" i="6"/>
  <c r="P174" i="5" s="1"/>
  <c r="K1092" i="6"/>
  <c r="AA73" i="5" s="1"/>
  <c r="J1092" i="6"/>
  <c r="K1573" i="6"/>
  <c r="AB103" i="5" s="1"/>
  <c r="J1573" i="6"/>
  <c r="K523" i="6"/>
  <c r="R38" i="5" s="1"/>
  <c r="AH38" i="5" s="1"/>
  <c r="J523" i="6"/>
  <c r="K686" i="6"/>
  <c r="U48" i="5" s="1"/>
  <c r="J686" i="6"/>
  <c r="K810" i="6"/>
  <c r="Q56" i="5" s="1"/>
  <c r="J810" i="6"/>
  <c r="K2331" i="6"/>
  <c r="R151" i="5" s="1"/>
  <c r="AG151" i="5" s="1"/>
  <c r="AD162" i="5"/>
  <c r="J44" i="6"/>
  <c r="AE24" i="5"/>
  <c r="AQ111" i="5"/>
  <c r="AH87" i="5"/>
  <c r="J2914" i="6"/>
  <c r="K2914" i="6"/>
  <c r="Y187" i="5" s="1"/>
  <c r="K2835" i="6"/>
  <c r="Z182" i="5" s="1"/>
  <c r="J2835" i="6"/>
  <c r="K741" i="6"/>
  <c r="AB51" i="5" s="1"/>
  <c r="J741" i="6"/>
  <c r="K1082" i="6"/>
  <c r="Q73" i="5" s="1"/>
  <c r="J1082" i="6"/>
  <c r="K3569" i="6"/>
  <c r="X228" i="5" s="1"/>
  <c r="AQ228" i="5" s="1"/>
  <c r="J762" i="6"/>
  <c r="AP111" i="5"/>
  <c r="J3028" i="6"/>
  <c r="J2208" i="6"/>
  <c r="AK60" i="5"/>
  <c r="AP43" i="5"/>
  <c r="K3564" i="6"/>
  <c r="S228" i="5" s="1"/>
  <c r="J1164" i="6"/>
  <c r="J1250" i="6"/>
  <c r="J155" i="6"/>
  <c r="AK227" i="5"/>
  <c r="J3008" i="6"/>
  <c r="AN233" i="5"/>
  <c r="J128" i="6"/>
  <c r="K1175" i="6"/>
  <c r="N79" i="5" s="1"/>
  <c r="J1190" i="6"/>
  <c r="J688" i="6"/>
  <c r="AS173" i="5"/>
  <c r="AN54" i="5"/>
  <c r="AM52" i="5"/>
  <c r="K3092" i="6"/>
  <c r="AA198" i="5" s="1"/>
  <c r="J3092" i="6"/>
  <c r="K2573" i="6"/>
  <c r="T166" i="5" s="1"/>
  <c r="J2573" i="6"/>
  <c r="J2106" i="6"/>
  <c r="K2106" i="6"/>
  <c r="Q137" i="5" s="1"/>
  <c r="K1638" i="6"/>
  <c r="M108" i="5" s="1"/>
  <c r="J1638" i="6"/>
  <c r="J1835" i="6"/>
  <c r="K1835" i="6"/>
  <c r="R120" i="5" s="1"/>
  <c r="K3127" i="6"/>
  <c r="N201" i="5" s="1"/>
  <c r="AD201" i="5" s="1"/>
  <c r="J3127" i="6"/>
  <c r="J3309" i="6"/>
  <c r="K3309" i="6"/>
  <c r="T212" i="5" s="1"/>
  <c r="K866" i="6"/>
  <c r="Y59" i="5" s="1"/>
  <c r="AP59" i="5" s="1"/>
  <c r="J866" i="6"/>
  <c r="K1957" i="6"/>
  <c r="AB127" i="5" s="1"/>
  <c r="J1957" i="6"/>
  <c r="J1213" i="6"/>
  <c r="K1213" i="6"/>
  <c r="T81" i="5" s="1"/>
  <c r="AJ81" i="5" s="1"/>
  <c r="K2197" i="6"/>
  <c r="AB142" i="5" s="1"/>
  <c r="J2197" i="6"/>
  <c r="K2077" i="6"/>
  <c r="T135" i="5" s="1"/>
  <c r="AI135" i="5" s="1"/>
  <c r="J2077" i="6"/>
  <c r="K1029" i="6"/>
  <c r="AB69" i="5" s="1"/>
  <c r="J1029" i="6"/>
  <c r="J88" i="6"/>
  <c r="K88" i="6"/>
  <c r="O11" i="5" s="1"/>
  <c r="K892" i="6"/>
  <c r="S61" i="5" s="1"/>
  <c r="AK61" i="5" s="1"/>
  <c r="J892" i="6"/>
  <c r="K329" i="6"/>
  <c r="P26" i="5" s="1"/>
  <c r="J329" i="6"/>
  <c r="K2126" i="6"/>
  <c r="U138" i="5" s="1"/>
  <c r="J2126" i="6"/>
  <c r="K946" i="6"/>
  <c r="Y64" i="5" s="1"/>
  <c r="J946" i="6"/>
  <c r="J3328" i="6"/>
  <c r="K3328" i="6"/>
  <c r="W213" i="5" s="1"/>
  <c r="J945" i="6"/>
  <c r="K945" i="6"/>
  <c r="X64" i="5" s="1"/>
  <c r="J677" i="6"/>
  <c r="K677" i="6"/>
  <c r="AB47" i="5" s="1"/>
  <c r="K2734" i="6"/>
  <c r="U176" i="5" s="1"/>
  <c r="J2461" i="6"/>
  <c r="K2461" i="6"/>
  <c r="T159" i="5" s="1"/>
  <c r="K833" i="6"/>
  <c r="X57" i="5" s="1"/>
  <c r="J833" i="6"/>
  <c r="K2132" i="6"/>
  <c r="AA138" i="5" s="1"/>
  <c r="AT138" i="5" s="1"/>
  <c r="J2132" i="6"/>
  <c r="K525" i="6"/>
  <c r="T38" i="5" s="1"/>
  <c r="J525" i="6"/>
  <c r="K274" i="6"/>
  <c r="Y22" i="5" s="1"/>
  <c r="AQ22" i="5" s="1"/>
  <c r="J274" i="6"/>
  <c r="AG42" i="5"/>
  <c r="AP91" i="5"/>
  <c r="AK104" i="5"/>
  <c r="J3721" i="6"/>
  <c r="K3721" i="6"/>
  <c r="P238" i="5" s="1"/>
  <c r="J3330" i="6"/>
  <c r="K1907" i="6"/>
  <c r="Z124" i="5" s="1"/>
  <c r="J1907" i="6"/>
  <c r="AG125" i="5"/>
  <c r="AJ197" i="5"/>
  <c r="K676" i="6"/>
  <c r="AA47" i="5" s="1"/>
  <c r="K3188" i="6"/>
  <c r="AA204" i="5" s="1"/>
  <c r="J3188" i="6"/>
  <c r="K966" i="6"/>
  <c r="M66" i="5" s="1"/>
  <c r="J966" i="6"/>
  <c r="J1910" i="6"/>
  <c r="K1910" i="6"/>
  <c r="M125" i="5" s="1"/>
  <c r="AE112" i="5"/>
  <c r="J3279" i="6"/>
  <c r="K3279" i="6"/>
  <c r="V210" i="5" s="1"/>
  <c r="AD99" i="5"/>
  <c r="AE99" i="5"/>
  <c r="AC99" i="5"/>
  <c r="K1026" i="6"/>
  <c r="Y69" i="5" s="1"/>
  <c r="J1026" i="6"/>
  <c r="K78" i="6"/>
  <c r="U10" i="5" s="1"/>
  <c r="J78" i="6"/>
  <c r="K1851" i="6"/>
  <c r="R121" i="5" s="1"/>
  <c r="AH121" i="5" s="1"/>
  <c r="J1851" i="6"/>
  <c r="AH27" i="5"/>
  <c r="AG27" i="5"/>
  <c r="AF27" i="5"/>
  <c r="J3669" i="6"/>
  <c r="J309" i="6"/>
  <c r="J2961" i="6"/>
  <c r="K2961" i="6"/>
  <c r="X190" i="5" s="1"/>
  <c r="AQ190" i="5" s="1"/>
  <c r="K30" i="6"/>
  <c r="U7" i="5" s="1"/>
  <c r="J30" i="6"/>
  <c r="K1384" i="6"/>
  <c r="O92" i="5" s="1"/>
  <c r="J1384" i="6"/>
  <c r="K241" i="6"/>
  <c r="X20" i="5" s="1"/>
  <c r="J241" i="6"/>
  <c r="K2113" i="6"/>
  <c r="X137" i="5" s="1"/>
  <c r="AP137" i="5" s="1"/>
  <c r="J2113" i="6"/>
  <c r="K1160" i="6"/>
  <c r="O78" i="5" s="1"/>
  <c r="AC78" i="5" s="1"/>
  <c r="J1160" i="6"/>
  <c r="K763" i="6"/>
  <c r="R53" i="5" s="1"/>
  <c r="AG53" i="5" s="1"/>
  <c r="J763" i="6"/>
  <c r="AH200" i="5"/>
  <c r="AM21" i="5"/>
  <c r="AK75" i="5"/>
  <c r="J1074" i="6"/>
  <c r="K3444" i="6"/>
  <c r="AA220" i="5" s="1"/>
  <c r="J2527" i="6"/>
  <c r="J3278" i="6"/>
  <c r="AO190" i="5"/>
  <c r="K471" i="6"/>
  <c r="N35" i="5" s="1"/>
  <c r="AE35" i="5" s="1"/>
  <c r="AH32" i="5"/>
  <c r="AP146" i="5"/>
  <c r="K331" i="6"/>
  <c r="R26" i="5" s="1"/>
  <c r="J331" i="6"/>
  <c r="AO157" i="5"/>
  <c r="J444" i="6"/>
  <c r="AI227" i="5"/>
  <c r="J1370" i="6"/>
  <c r="J3327" i="6"/>
  <c r="K3327" i="6"/>
  <c r="V213" i="5" s="1"/>
  <c r="J2484" i="6"/>
  <c r="K2484" i="6"/>
  <c r="AA160" i="5" s="1"/>
  <c r="K2066" i="6"/>
  <c r="Y134" i="5" s="1"/>
  <c r="J2066" i="6"/>
  <c r="J3314" i="6"/>
  <c r="J2360" i="6"/>
  <c r="AR76" i="5"/>
  <c r="AJ57" i="5"/>
  <c r="J2184" i="6"/>
  <c r="K2184" i="6"/>
  <c r="O142" i="5" s="1"/>
  <c r="J3641" i="6"/>
  <c r="K3641" i="6"/>
  <c r="P233" i="5" s="1"/>
  <c r="AF233" i="5" s="1"/>
  <c r="K606" i="6"/>
  <c r="U43" i="5" s="1"/>
  <c r="J606" i="6"/>
  <c r="N7" i="10"/>
  <c r="AQ45" i="5"/>
  <c r="K3236" i="6"/>
  <c r="AA207" i="5" s="1"/>
  <c r="K190" i="6"/>
  <c r="U17" i="5" s="1"/>
  <c r="AK17" i="5" s="1"/>
  <c r="K1679" i="6"/>
  <c r="V110" i="5" s="1"/>
  <c r="P7" i="10"/>
  <c r="K2828" i="6"/>
  <c r="S182" i="5" s="1"/>
  <c r="AJ182" i="5" s="1"/>
  <c r="K2402" i="6"/>
  <c r="Y155" i="5" s="1"/>
  <c r="AQ155" i="5" s="1"/>
  <c r="J2439" i="6"/>
  <c r="J2990" i="6"/>
  <c r="K2175" i="6"/>
  <c r="V141" i="5" s="1"/>
  <c r="J2257" i="6"/>
  <c r="J1845" i="6"/>
  <c r="J2471" i="6"/>
  <c r="AK187" i="5"/>
  <c r="J1134" i="6"/>
  <c r="K16" i="6"/>
  <c r="K588" i="6"/>
  <c r="S42" i="5" s="1"/>
  <c r="AK42" i="5" s="1"/>
  <c r="J2181" i="6"/>
  <c r="J779" i="6"/>
  <c r="J838" i="6"/>
  <c r="AF203" i="5"/>
  <c r="K175" i="6"/>
  <c r="V16" i="5" s="1"/>
  <c r="AL233" i="5"/>
  <c r="AF99" i="5"/>
  <c r="J1753" i="6"/>
  <c r="AT139" i="5"/>
  <c r="AF89" i="5"/>
  <c r="AQ32" i="5"/>
  <c r="AO210" i="5"/>
  <c r="AO146" i="5"/>
  <c r="AI64" i="5"/>
  <c r="AT173" i="5"/>
  <c r="AS13" i="5"/>
  <c r="AL54" i="5"/>
  <c r="J3483" i="6"/>
  <c r="K3483" i="6"/>
  <c r="R223" i="5" s="1"/>
  <c r="K2766" i="6"/>
  <c r="U178" i="5" s="1"/>
  <c r="J2766" i="6"/>
  <c r="K2747" i="6"/>
  <c r="R177" i="5" s="1"/>
  <c r="AG177" i="5" s="1"/>
  <c r="J2747" i="6"/>
  <c r="J2486" i="6"/>
  <c r="K2486" i="6"/>
  <c r="M161" i="5" s="1"/>
  <c r="AE161" i="5" s="1"/>
  <c r="K2839" i="6"/>
  <c r="N183" i="5" s="1"/>
  <c r="J2839" i="6"/>
  <c r="J1772" i="6"/>
  <c r="K1772" i="6"/>
  <c r="S116" i="5" s="1"/>
  <c r="AJ116" i="5" s="1"/>
  <c r="K2631" i="6"/>
  <c r="N170" i="5" s="1"/>
  <c r="J2631" i="6"/>
  <c r="J3038" i="6"/>
  <c r="K3038" i="6"/>
  <c r="U195" i="5" s="1"/>
  <c r="AI195" i="5" s="1"/>
  <c r="J2097" i="6"/>
  <c r="K2097" i="6"/>
  <c r="X136" i="5" s="1"/>
  <c r="J3570" i="6"/>
  <c r="K3570" i="6"/>
  <c r="Y228" i="5" s="1"/>
  <c r="K2725" i="6"/>
  <c r="AB175" i="5" s="1"/>
  <c r="J2725" i="6"/>
  <c r="K1861" i="6"/>
  <c r="AB121" i="5" s="1"/>
  <c r="J1861" i="6"/>
  <c r="J1402" i="6"/>
  <c r="K1402" i="6"/>
  <c r="Q93" i="5" s="1"/>
  <c r="K2152" i="6"/>
  <c r="O140" i="5" s="1"/>
  <c r="J2152" i="6"/>
  <c r="J1383" i="6"/>
  <c r="K1383" i="6"/>
  <c r="N92" i="5" s="1"/>
  <c r="K1504" i="6"/>
  <c r="W99" i="5" s="1"/>
  <c r="J1504" i="6"/>
  <c r="J1089" i="6"/>
  <c r="K1089" i="6"/>
  <c r="X73" i="5" s="1"/>
  <c r="K605" i="6"/>
  <c r="T43" i="5" s="1"/>
  <c r="J605" i="6"/>
  <c r="AQ38" i="5"/>
  <c r="AI173" i="5"/>
  <c r="AK173" i="5"/>
  <c r="AJ173" i="5"/>
  <c r="K389" i="6"/>
  <c r="AB29" i="5" s="1"/>
  <c r="J389" i="6"/>
  <c r="J3358" i="6"/>
  <c r="K3358" i="6"/>
  <c r="U215" i="5" s="1"/>
  <c r="AJ215" i="5" s="1"/>
  <c r="J1000" i="6"/>
  <c r="K1000" i="6"/>
  <c r="O68" i="5" s="1"/>
  <c r="AJ118" i="5"/>
  <c r="K1010" i="6"/>
  <c r="Y68" i="5" s="1"/>
  <c r="J1010" i="6"/>
  <c r="J956" i="6"/>
  <c r="K956" i="6"/>
  <c r="S65" i="5" s="1"/>
  <c r="K148" i="6"/>
  <c r="AA14" i="5" s="1"/>
  <c r="J148" i="6"/>
  <c r="K3577" i="6"/>
  <c r="P229" i="5" s="1"/>
  <c r="J3577" i="6"/>
  <c r="K1411" i="6"/>
  <c r="Z93" i="5" s="1"/>
  <c r="J1411" i="6"/>
  <c r="K1693" i="6"/>
  <c r="T111" i="5" s="1"/>
  <c r="AJ111" i="5" s="1"/>
  <c r="J1693" i="6"/>
  <c r="K965" i="6"/>
  <c r="AB65" i="5" s="1"/>
  <c r="J965" i="6"/>
  <c r="K618" i="6"/>
  <c r="Q44" i="5" s="1"/>
  <c r="AH44" i="5" s="1"/>
  <c r="J618" i="6"/>
  <c r="AH164" i="5"/>
  <c r="J2349" i="6"/>
  <c r="K2349" i="6"/>
  <c r="T152" i="5" s="1"/>
  <c r="K3115" i="6"/>
  <c r="R200" i="5" s="1"/>
  <c r="AG200" i="5" s="1"/>
  <c r="J3115" i="6"/>
  <c r="K2505" i="6"/>
  <c r="P162" i="5" s="1"/>
  <c r="J2505" i="6"/>
  <c r="J2956" i="6"/>
  <c r="K2956" i="6"/>
  <c r="S190" i="5" s="1"/>
  <c r="AJ190" i="5" s="1"/>
  <c r="J508" i="6"/>
  <c r="K508" i="6"/>
  <c r="S37" i="5" s="1"/>
  <c r="AO33" i="5"/>
  <c r="AQ33" i="5"/>
  <c r="K450" i="6"/>
  <c r="Y33" i="5" s="1"/>
  <c r="AP33" i="5" s="1"/>
  <c r="J450" i="6"/>
  <c r="K330" i="6"/>
  <c r="Q26" i="5" s="1"/>
  <c r="J330" i="6"/>
  <c r="K817" i="6"/>
  <c r="X56" i="5" s="1"/>
  <c r="J817" i="6"/>
  <c r="K998" i="6"/>
  <c r="M68" i="5" s="1"/>
  <c r="J998" i="6"/>
  <c r="J1525" i="6"/>
  <c r="K1525" i="6"/>
  <c r="AB100" i="5" s="1"/>
  <c r="J2601" i="6"/>
  <c r="K2601" i="6"/>
  <c r="P168" i="5" s="1"/>
  <c r="K2711" i="6"/>
  <c r="N175" i="5" s="1"/>
  <c r="J2711" i="6"/>
  <c r="J3012" i="6"/>
  <c r="K3012" i="6"/>
  <c r="AA193" i="5" s="1"/>
  <c r="K123" i="6"/>
  <c r="R13" i="5" s="1"/>
  <c r="J123" i="6"/>
  <c r="AQ59" i="5"/>
  <c r="AO59" i="5"/>
  <c r="J3182" i="6"/>
  <c r="K3182" i="6"/>
  <c r="U204" i="5" s="1"/>
  <c r="AK204" i="5" s="1"/>
  <c r="AO217" i="5"/>
  <c r="J146" i="6"/>
  <c r="K1852" i="6"/>
  <c r="S121" i="5" s="1"/>
  <c r="K3034" i="6"/>
  <c r="Q195" i="5" s="1"/>
  <c r="AH195" i="5" s="1"/>
  <c r="J3034" i="6"/>
  <c r="J3068" i="6"/>
  <c r="K2053" i="6"/>
  <c r="AB133" i="5" s="1"/>
  <c r="J846" i="6"/>
  <c r="J382" i="6"/>
  <c r="AP11" i="5"/>
  <c r="J3048" i="6"/>
  <c r="K3048" i="6"/>
  <c r="O196" i="5" s="1"/>
  <c r="AC196" i="5" s="1"/>
  <c r="K2679" i="6"/>
  <c r="N173" i="5" s="1"/>
  <c r="AE173" i="5" s="1"/>
  <c r="G173" i="5" s="1"/>
  <c r="G173" i="2" s="1"/>
  <c r="J2679" i="6"/>
  <c r="J2313" i="6"/>
  <c r="K2313" i="6"/>
  <c r="P150" i="5" s="1"/>
  <c r="J3255" i="6"/>
  <c r="K3255" i="6"/>
  <c r="N209" i="5" s="1"/>
  <c r="J1979" i="6"/>
  <c r="K1979" i="6"/>
  <c r="R129" i="5" s="1"/>
  <c r="K7" i="6"/>
  <c r="N6" i="5" s="1"/>
  <c r="J7" i="6"/>
  <c r="AQ9" i="5"/>
  <c r="AP9" i="5"/>
  <c r="AO9" i="5"/>
  <c r="K778" i="6"/>
  <c r="Q54" i="5" s="1"/>
  <c r="J778" i="6"/>
  <c r="J3605" i="6"/>
  <c r="AQ11" i="5"/>
  <c r="AC36" i="5"/>
  <c r="K2994" i="6"/>
  <c r="Y192" i="5" s="1"/>
  <c r="J2994" i="6"/>
  <c r="K553" i="6"/>
  <c r="P40" i="5" s="1"/>
  <c r="AH40" i="5" s="1"/>
  <c r="J553" i="6"/>
  <c r="K746" i="6"/>
  <c r="Q52" i="5" s="1"/>
  <c r="J746" i="6"/>
  <c r="J317" i="6"/>
  <c r="K317" i="6"/>
  <c r="T25" i="5" s="1"/>
  <c r="K3233" i="6"/>
  <c r="X207" i="5" s="1"/>
  <c r="J3233" i="6"/>
  <c r="K2025" i="6"/>
  <c r="P132" i="5" s="1"/>
  <c r="AG132" i="5" s="1"/>
  <c r="J2025" i="6"/>
  <c r="J1103" i="6"/>
  <c r="K1103" i="6"/>
  <c r="V74" i="5" s="1"/>
  <c r="AN74" i="5" s="1"/>
  <c r="K1125" i="6"/>
  <c r="AB75" i="5" s="1"/>
  <c r="J1125" i="6"/>
  <c r="O7" i="10"/>
  <c r="R7" i="10" s="1"/>
  <c r="J766" i="6"/>
  <c r="J879" i="6"/>
  <c r="AR72" i="5"/>
  <c r="J3571" i="6"/>
  <c r="K3571" i="6"/>
  <c r="Z228" i="5" s="1"/>
  <c r="K2002" i="6"/>
  <c r="Y130" i="5" s="1"/>
  <c r="AO130" i="5" s="1"/>
  <c r="J2002" i="6"/>
  <c r="K2236" i="6"/>
  <c r="S145" i="5" s="1"/>
  <c r="J2236" i="6"/>
  <c r="K1004" i="6"/>
  <c r="S68" i="5" s="1"/>
  <c r="AJ68" i="5" s="1"/>
  <c r="J1004" i="6"/>
  <c r="J3381" i="6"/>
  <c r="K3381" i="6"/>
  <c r="AB216" i="5" s="1"/>
  <c r="AM74" i="5"/>
  <c r="AN52" i="5"/>
  <c r="K2942" i="6"/>
  <c r="U189" i="5" s="1"/>
  <c r="K3652" i="6"/>
  <c r="AA233" i="5" s="1"/>
  <c r="J1174" i="6"/>
  <c r="AC188" i="5"/>
  <c r="J2897" i="6"/>
  <c r="K2921" i="6"/>
  <c r="P188" i="5" s="1"/>
  <c r="AG188" i="5" s="1"/>
  <c r="J1570" i="6"/>
  <c r="J2203" i="6"/>
  <c r="K2593" i="6"/>
  <c r="X167" i="5" s="1"/>
  <c r="AO167" i="5" s="1"/>
  <c r="AK33" i="5"/>
  <c r="AG203" i="5"/>
  <c r="AH112" i="5"/>
  <c r="AH99" i="5"/>
  <c r="AR170" i="5"/>
  <c r="AO26" i="5"/>
  <c r="AF19" i="5"/>
  <c r="J3401" i="6"/>
  <c r="K3401" i="6"/>
  <c r="P218" i="5" s="1"/>
  <c r="AH218" i="5" s="1"/>
  <c r="J2514" i="6"/>
  <c r="K2514" i="6"/>
  <c r="Y162" i="5" s="1"/>
  <c r="AO162" i="5" s="1"/>
  <c r="K3501" i="6"/>
  <c r="T224" i="5" s="1"/>
  <c r="J3501" i="6"/>
  <c r="J3104" i="6"/>
  <c r="K3104" i="6"/>
  <c r="W199" i="5" s="1"/>
  <c r="K3383" i="6"/>
  <c r="N217" i="5" s="1"/>
  <c r="J3383" i="6"/>
  <c r="K3277" i="6"/>
  <c r="T210" i="5" s="1"/>
  <c r="J3277" i="6"/>
  <c r="AJ64" i="5"/>
  <c r="J3189" i="6"/>
  <c r="K3189" i="6"/>
  <c r="AB204" i="5" s="1"/>
  <c r="J1165" i="6"/>
  <c r="K1165" i="6"/>
  <c r="T78" i="5" s="1"/>
  <c r="K1824" i="6"/>
  <c r="W119" i="5" s="1"/>
  <c r="J1824" i="6"/>
  <c r="J1145" i="6"/>
  <c r="K1145" i="6"/>
  <c r="P77" i="5" s="1"/>
  <c r="AH77" i="5" s="1"/>
  <c r="J1037" i="6"/>
  <c r="K1037" i="6"/>
  <c r="T70" i="5" s="1"/>
  <c r="K1061" i="6"/>
  <c r="AB71" i="5" s="1"/>
  <c r="J1061" i="6"/>
  <c r="K479" i="6"/>
  <c r="V35" i="5" s="1"/>
  <c r="J479" i="6"/>
  <c r="K92" i="6"/>
  <c r="S11" i="5" s="1"/>
  <c r="J92" i="6"/>
  <c r="K198" i="6"/>
  <c r="M18" i="5" s="1"/>
  <c r="J198" i="6"/>
  <c r="AH71" i="5"/>
  <c r="J3469" i="6"/>
  <c r="K3469" i="6"/>
  <c r="T222" i="5" s="1"/>
  <c r="J1702" i="6"/>
  <c r="AF179" i="5"/>
  <c r="AQ41" i="5"/>
  <c r="J2301" i="6"/>
  <c r="K2301" i="6"/>
  <c r="T149" i="5" s="1"/>
  <c r="K3429" i="6"/>
  <c r="AB219" i="5" s="1"/>
  <c r="J3429" i="6"/>
  <c r="K2380" i="6"/>
  <c r="S154" i="5" s="1"/>
  <c r="J2380" i="6"/>
  <c r="K2377" i="6"/>
  <c r="P154" i="5" s="1"/>
  <c r="J2377" i="6"/>
  <c r="J1947" i="6"/>
  <c r="K1947" i="6"/>
  <c r="R127" i="5" s="1"/>
  <c r="K2237" i="6"/>
  <c r="T145" i="5" s="1"/>
  <c r="J2237" i="6"/>
  <c r="K1033" i="6"/>
  <c r="P70" i="5" s="1"/>
  <c r="J1033" i="6"/>
  <c r="K3237" i="6"/>
  <c r="AB207" i="5" s="1"/>
  <c r="J3237" i="6"/>
  <c r="K2217" i="6"/>
  <c r="P144" i="5" s="1"/>
  <c r="J2217" i="6"/>
  <c r="K2902" i="6"/>
  <c r="M187" i="5" s="1"/>
  <c r="J2902" i="6"/>
  <c r="J1373" i="6"/>
  <c r="K1373" i="6"/>
  <c r="T91" i="5" s="1"/>
  <c r="K2640" i="6"/>
  <c r="W170" i="5" s="1"/>
  <c r="J2640" i="6"/>
  <c r="K2733" i="6"/>
  <c r="T176" i="5" s="1"/>
  <c r="AK176" i="5" s="1"/>
  <c r="J2733" i="6"/>
  <c r="K1106" i="6"/>
  <c r="Y74" i="5" s="1"/>
  <c r="AO74" i="5" s="1"/>
  <c r="J1106" i="6"/>
  <c r="K537" i="6"/>
  <c r="P39" i="5" s="1"/>
  <c r="J537" i="6"/>
  <c r="J2797" i="6"/>
  <c r="K2797" i="6"/>
  <c r="T180" i="5" s="1"/>
  <c r="K1014" i="6"/>
  <c r="M69" i="5" s="1"/>
  <c r="J1014" i="6"/>
  <c r="J2052" i="6"/>
  <c r="K2052" i="6"/>
  <c r="AA133" i="5" s="1"/>
  <c r="AS76" i="5"/>
  <c r="K2051" i="6"/>
  <c r="Z133" i="5" s="1"/>
  <c r="AS133" i="5" s="1"/>
  <c r="J2051" i="6"/>
  <c r="AO39" i="5"/>
  <c r="K152" i="6"/>
  <c r="O15" i="5" s="1"/>
  <c r="J152" i="6"/>
  <c r="K3213" i="6"/>
  <c r="T206" i="5" s="1"/>
  <c r="J3213" i="6"/>
  <c r="AK141" i="5"/>
  <c r="AE147" i="5"/>
  <c r="J1856" i="6"/>
  <c r="K1856" i="6"/>
  <c r="W121" i="5" s="1"/>
  <c r="K303" i="6"/>
  <c r="V24" i="5" s="1"/>
  <c r="J303" i="6"/>
  <c r="K1539" i="6"/>
  <c r="Z101" i="5" s="1"/>
  <c r="J1539" i="6"/>
  <c r="J2062" i="6"/>
  <c r="K2062" i="6"/>
  <c r="U134" i="5" s="1"/>
  <c r="K1600" i="6"/>
  <c r="W105" i="5" s="1"/>
  <c r="J1600" i="6"/>
  <c r="J1028" i="6"/>
  <c r="K1028" i="6"/>
  <c r="AA69" i="5" s="1"/>
  <c r="K244" i="6"/>
  <c r="AA20" i="5" s="1"/>
  <c r="AS20" i="5" s="1"/>
  <c r="J244" i="6"/>
  <c r="K864" i="6"/>
  <c r="W59" i="5" s="1"/>
  <c r="AM59" i="5" s="1"/>
  <c r="J864" i="6"/>
  <c r="AE58" i="5"/>
  <c r="K336" i="6"/>
  <c r="W26" i="5" s="1"/>
  <c r="J336" i="6"/>
  <c r="AT52" i="5"/>
  <c r="AS52" i="5"/>
  <c r="AR52" i="5"/>
  <c r="J1686" i="6"/>
  <c r="K1686" i="6"/>
  <c r="M111" i="5" s="1"/>
  <c r="K1394" i="6"/>
  <c r="Y92" i="5" s="1"/>
  <c r="J1394" i="6"/>
  <c r="K691" i="6"/>
  <c r="Z48" i="5" s="1"/>
  <c r="J691" i="6"/>
  <c r="K2251" i="6"/>
  <c r="R146" i="5" s="1"/>
  <c r="J2251" i="6"/>
  <c r="K2418" i="6"/>
  <c r="Y156" i="5" s="1"/>
  <c r="J2418" i="6"/>
  <c r="K1900" i="6"/>
  <c r="S124" i="5" s="1"/>
  <c r="J1900" i="6"/>
  <c r="AS172" i="5"/>
  <c r="AT172" i="5"/>
  <c r="AR172" i="5"/>
  <c r="K1650" i="6"/>
  <c r="Y108" i="5" s="1"/>
  <c r="J1650" i="6"/>
  <c r="AH106" i="5"/>
  <c r="AO107" i="5"/>
  <c r="AM88" i="5"/>
  <c r="AN88" i="5"/>
  <c r="J2648" i="6"/>
  <c r="K2648" i="6"/>
  <c r="O171" i="5" s="1"/>
  <c r="J972" i="6"/>
  <c r="K972" i="6"/>
  <c r="S66" i="5" s="1"/>
  <c r="AE216" i="5"/>
  <c r="AD216" i="5"/>
  <c r="AC216" i="5"/>
  <c r="J1842" i="6"/>
  <c r="K1842" i="6"/>
  <c r="Y120" i="5" s="1"/>
  <c r="J527" i="6"/>
  <c r="K527" i="6"/>
  <c r="V38" i="5" s="1"/>
  <c r="AM158" i="5"/>
  <c r="K680" i="6"/>
  <c r="O48" i="5" s="1"/>
  <c r="J680" i="6"/>
  <c r="J2328" i="6"/>
  <c r="K2328" i="6"/>
  <c r="O151" i="5" s="1"/>
  <c r="J1168" i="6"/>
  <c r="K1168" i="6"/>
  <c r="W78" i="5" s="1"/>
  <c r="AQ103" i="5"/>
  <c r="AP103" i="5"/>
  <c r="AO103" i="5"/>
  <c r="K696" i="6"/>
  <c r="O49" i="5" s="1"/>
  <c r="J696" i="6"/>
  <c r="J552" i="6"/>
  <c r="K552" i="6"/>
  <c r="O40" i="5" s="1"/>
  <c r="K207" i="6"/>
  <c r="V18" i="5" s="1"/>
  <c r="J207" i="6"/>
  <c r="AJ108" i="5"/>
  <c r="AK108" i="5"/>
  <c r="AI108" i="5"/>
  <c r="J999" i="6"/>
  <c r="K999" i="6"/>
  <c r="N68" i="5" s="1"/>
  <c r="J567" i="6"/>
  <c r="K567" i="6"/>
  <c r="N41" i="5" s="1"/>
  <c r="K1296" i="6"/>
  <c r="W86" i="5" s="1"/>
  <c r="J1296" i="6"/>
  <c r="AN39" i="5"/>
  <c r="AL39" i="5"/>
  <c r="AM39" i="5"/>
  <c r="K3044" i="6"/>
  <c r="AA195" i="5" s="1"/>
  <c r="J3044" i="6"/>
  <c r="AE55" i="5"/>
  <c r="AD55" i="5"/>
  <c r="AC55" i="5"/>
  <c r="J1896" i="6"/>
  <c r="K1896" i="6"/>
  <c r="O124" i="5" s="1"/>
  <c r="AF202" i="5"/>
  <c r="J104" i="6"/>
  <c r="K104" i="6"/>
  <c r="O12" i="5" s="1"/>
  <c r="AF106" i="5"/>
  <c r="J2598" i="6"/>
  <c r="K2598" i="6"/>
  <c r="M168" i="5" s="1"/>
  <c r="AB6" i="5"/>
  <c r="J120" i="6"/>
  <c r="K120" i="6"/>
  <c r="O13" i="5" s="1"/>
  <c r="AE13" i="5" s="1"/>
  <c r="K2072" i="6"/>
  <c r="O135" i="5" s="1"/>
  <c r="AD135" i="5" s="1"/>
  <c r="J2072" i="6"/>
  <c r="AL134" i="5"/>
  <c r="AN134" i="5"/>
  <c r="K1807" i="6"/>
  <c r="V118" i="5" s="1"/>
  <c r="J1807" i="6"/>
  <c r="K1416" i="6"/>
  <c r="O94" i="5" s="1"/>
  <c r="AE94" i="5" s="1"/>
  <c r="J1416" i="6"/>
  <c r="K1918" i="6"/>
  <c r="U125" i="5" s="1"/>
  <c r="J1918" i="6"/>
  <c r="J3098" i="6"/>
  <c r="K3098" i="6"/>
  <c r="Q199" i="5" s="1"/>
  <c r="AG199" i="5" s="1"/>
  <c r="J915" i="6"/>
  <c r="K915" i="6"/>
  <c r="Z62" i="5" s="1"/>
  <c r="J979" i="6"/>
  <c r="K979" i="6"/>
  <c r="Z66" i="5" s="1"/>
  <c r="J1604" i="6"/>
  <c r="K1604" i="6"/>
  <c r="AA105" i="5" s="1"/>
  <c r="J2050" i="6"/>
  <c r="K2050" i="6"/>
  <c r="Y133" i="5" s="1"/>
  <c r="AO196" i="5"/>
  <c r="AQ196" i="5"/>
  <c r="AP196" i="5"/>
  <c r="J832" i="6"/>
  <c r="K832" i="6"/>
  <c r="W57" i="5" s="1"/>
  <c r="J895" i="6"/>
  <c r="K895" i="6"/>
  <c r="V61" i="5" s="1"/>
  <c r="K2987" i="6"/>
  <c r="R192" i="5" s="1"/>
  <c r="J2987" i="6"/>
  <c r="K36" i="6"/>
  <c r="J36" i="6"/>
  <c r="K3666" i="6"/>
  <c r="Y234" i="5" s="1"/>
  <c r="AO234" i="5" s="1"/>
  <c r="J3666" i="6"/>
  <c r="K1083" i="6"/>
  <c r="J1083" i="6"/>
  <c r="J1272" i="6"/>
  <c r="K1272" i="6"/>
  <c r="O85" i="5" s="1"/>
  <c r="K648" i="6"/>
  <c r="O46" i="5" s="1"/>
  <c r="J648" i="6"/>
  <c r="J147" i="6"/>
  <c r="K147" i="6"/>
  <c r="Z14" i="5" s="1"/>
  <c r="K1530" i="6"/>
  <c r="Q101" i="5" s="1"/>
  <c r="J1530" i="6"/>
  <c r="J1295" i="6"/>
  <c r="K1295" i="6"/>
  <c r="V86" i="5" s="1"/>
  <c r="K1312" i="6"/>
  <c r="W87" i="5" s="1"/>
  <c r="J1312" i="6"/>
  <c r="AH202" i="5"/>
  <c r="J1939" i="6"/>
  <c r="K1939" i="6"/>
  <c r="Z126" i="5" s="1"/>
  <c r="AO97" i="5"/>
  <c r="AQ97" i="5"/>
  <c r="AP97" i="5"/>
  <c r="AI129" i="5"/>
  <c r="J3396" i="6"/>
  <c r="K3396" i="6"/>
  <c r="AA217" i="5" s="1"/>
  <c r="AT67" i="5"/>
  <c r="K443" i="6"/>
  <c r="R33" i="5" s="1"/>
  <c r="J443" i="6"/>
  <c r="J223" i="6"/>
  <c r="K223" i="6"/>
  <c r="V19" i="5" s="1"/>
  <c r="J1152" i="6"/>
  <c r="K1152" i="6"/>
  <c r="W77" i="5" s="1"/>
  <c r="AM10" i="5"/>
  <c r="AN10" i="5"/>
  <c r="AL10" i="5"/>
  <c r="K3198" i="6"/>
  <c r="U205" i="5" s="1"/>
  <c r="J3198" i="6"/>
  <c r="K555" i="6"/>
  <c r="R40" i="5" s="1"/>
  <c r="J555" i="6"/>
  <c r="J796" i="6"/>
  <c r="K796" i="6"/>
  <c r="S55" i="5" s="1"/>
  <c r="AQ30" i="5"/>
  <c r="AP30" i="5"/>
  <c r="AO30" i="5"/>
  <c r="AO27" i="5"/>
  <c r="AQ27" i="5"/>
  <c r="AP27" i="5"/>
  <c r="AR67" i="5"/>
  <c r="AQ24" i="5"/>
  <c r="J3084" i="6"/>
  <c r="K3084" i="6"/>
  <c r="S198" i="5" s="1"/>
  <c r="J2426" i="6"/>
  <c r="K2426" i="6"/>
  <c r="Q157" i="5" s="1"/>
  <c r="J2720" i="6"/>
  <c r="K2720" i="6"/>
  <c r="W175" i="5" s="1"/>
  <c r="K2146" i="6"/>
  <c r="Y139" i="5" s="1"/>
  <c r="J2146" i="6"/>
  <c r="AN113" i="5"/>
  <c r="AL113" i="5"/>
  <c r="AM113" i="5"/>
  <c r="AK181" i="5"/>
  <c r="AJ181" i="5"/>
  <c r="AI181" i="5"/>
  <c r="J3458" i="6"/>
  <c r="K3458" i="6"/>
  <c r="Y221" i="5" s="1"/>
  <c r="K1079" i="6"/>
  <c r="N73" i="5" s="1"/>
  <c r="J1079" i="6"/>
  <c r="K1554" i="6"/>
  <c r="Y102" i="5" s="1"/>
  <c r="J1554" i="6"/>
  <c r="J135" i="6"/>
  <c r="K135" i="6"/>
  <c r="N14" i="5" s="1"/>
  <c r="J903" i="6"/>
  <c r="K903" i="6"/>
  <c r="N62" i="5" s="1"/>
  <c r="K2174" i="6"/>
  <c r="U141" i="5" s="1"/>
  <c r="J2174" i="6"/>
  <c r="K2139" i="6"/>
  <c r="R139" i="5" s="1"/>
  <c r="AG139" i="5" s="1"/>
  <c r="J2139" i="6"/>
  <c r="K3518" i="6"/>
  <c r="U225" i="5" s="1"/>
  <c r="J3518" i="6"/>
  <c r="J1475" i="6"/>
  <c r="K1475" i="6"/>
  <c r="Z97" i="5" s="1"/>
  <c r="K403" i="6"/>
  <c r="Z30" i="5" s="1"/>
  <c r="J403" i="6"/>
  <c r="AG141" i="5"/>
  <c r="AF141" i="5"/>
  <c r="AH141" i="5"/>
  <c r="J3318" i="6"/>
  <c r="K3318" i="6"/>
  <c r="M213" i="5" s="1"/>
  <c r="AK101" i="5"/>
  <c r="K1135" i="6"/>
  <c r="V76" i="5" s="1"/>
  <c r="J1135" i="6"/>
  <c r="K2226" i="6"/>
  <c r="Y144" i="5" s="1"/>
  <c r="AQ144" i="5" s="1"/>
  <c r="J2226" i="6"/>
  <c r="AH92" i="5"/>
  <c r="AF92" i="5"/>
  <c r="AN174" i="5"/>
  <c r="AM174" i="5"/>
  <c r="AL174" i="5"/>
  <c r="AK177" i="5"/>
  <c r="AJ177" i="5"/>
  <c r="AI177" i="5"/>
  <c r="AH139" i="5"/>
  <c r="K2374" i="6"/>
  <c r="M154" i="5" s="1"/>
  <c r="J2374" i="6"/>
  <c r="AQ10" i="5"/>
  <c r="AO10" i="5"/>
  <c r="AP10" i="5"/>
  <c r="J268" i="6"/>
  <c r="K268" i="6"/>
  <c r="S22" i="5" s="1"/>
  <c r="K3422" i="6"/>
  <c r="U219" i="5" s="1"/>
  <c r="J3422" i="6"/>
  <c r="AK77" i="5"/>
  <c r="AJ77" i="5"/>
  <c r="AI77" i="5"/>
  <c r="AP94" i="5"/>
  <c r="AO94" i="5"/>
  <c r="AQ94" i="5"/>
  <c r="K1236" i="6"/>
  <c r="AA82" i="5" s="1"/>
  <c r="J1236" i="6"/>
  <c r="AO13" i="5"/>
  <c r="AQ13" i="5"/>
  <c r="AP13" i="5"/>
  <c r="AO219" i="5"/>
  <c r="AQ130" i="5"/>
  <c r="AP130" i="5"/>
  <c r="K348" i="6"/>
  <c r="S27" i="5" s="1"/>
  <c r="J348" i="6"/>
  <c r="J3646" i="6"/>
  <c r="K3646" i="6"/>
  <c r="U233" i="5" s="1"/>
  <c r="J1544" i="6"/>
  <c r="K1544" i="6"/>
  <c r="O102" i="5" s="1"/>
  <c r="K3348" i="6"/>
  <c r="AA214" i="5" s="1"/>
  <c r="J3348" i="6"/>
  <c r="AS200" i="5"/>
  <c r="AR200" i="5"/>
  <c r="AT200" i="5"/>
  <c r="J1430" i="6"/>
  <c r="K1430" i="6"/>
  <c r="M95" i="5" s="1"/>
  <c r="K659" i="6"/>
  <c r="Z46" i="5" s="1"/>
  <c r="J659" i="6"/>
  <c r="AT237" i="5"/>
  <c r="AS237" i="5"/>
  <c r="AR237" i="5"/>
  <c r="AP219" i="5"/>
  <c r="K3099" i="6"/>
  <c r="R199" i="5" s="1"/>
  <c r="J3099" i="6"/>
  <c r="J775" i="6"/>
  <c r="K775" i="6"/>
  <c r="N54" i="5" s="1"/>
  <c r="K3172" i="6"/>
  <c r="AA203" i="5" s="1"/>
  <c r="J3172" i="6"/>
  <c r="K1906" i="6"/>
  <c r="Y124" i="5" s="1"/>
  <c r="J1906" i="6"/>
  <c r="K3199" i="6"/>
  <c r="V205" i="5" s="1"/>
  <c r="J3199" i="6"/>
  <c r="J3695" i="6"/>
  <c r="K3695" i="6"/>
  <c r="V236" i="5" s="1"/>
  <c r="J3532" i="6"/>
  <c r="K3532" i="6"/>
  <c r="S226" i="5" s="1"/>
  <c r="K1720" i="6"/>
  <c r="O113" i="5" s="1"/>
  <c r="J1720" i="6"/>
  <c r="AO113" i="5"/>
  <c r="AQ113" i="5"/>
  <c r="AP113" i="5"/>
  <c r="AG111" i="5"/>
  <c r="AF111" i="5"/>
  <c r="AH111" i="5"/>
  <c r="K2480" i="6"/>
  <c r="W160" i="5" s="1"/>
  <c r="J2480" i="6"/>
  <c r="AK111" i="5"/>
  <c r="AI111" i="5"/>
  <c r="AO62" i="5"/>
  <c r="K2194" i="6"/>
  <c r="Y142" i="5" s="1"/>
  <c r="J2194" i="6"/>
  <c r="K2034" i="6"/>
  <c r="Y132" i="5" s="1"/>
  <c r="J2034" i="6"/>
  <c r="J1482" i="6"/>
  <c r="K1482" i="6"/>
  <c r="Q98" i="5" s="1"/>
  <c r="J1618" i="6"/>
  <c r="K1618" i="6"/>
  <c r="Y106" i="5" s="1"/>
  <c r="K1454" i="6"/>
  <c r="U96" i="5" s="1"/>
  <c r="AK96" i="5" s="1"/>
  <c r="J1454" i="6"/>
  <c r="J2510" i="6"/>
  <c r="K2510" i="6"/>
  <c r="U162" i="5" s="1"/>
  <c r="AT54" i="5"/>
  <c r="AR54" i="5"/>
  <c r="J1403" i="6"/>
  <c r="K1403" i="6"/>
  <c r="R93" i="5" s="1"/>
  <c r="K2763" i="6"/>
  <c r="R178" i="5" s="1"/>
  <c r="AF178" i="5" s="1"/>
  <c r="J2763" i="6"/>
  <c r="K284" i="6"/>
  <c r="S23" i="5" s="1"/>
  <c r="J284" i="6"/>
  <c r="J248" i="6"/>
  <c r="K248" i="6"/>
  <c r="O21" i="5" s="1"/>
  <c r="AD21" i="5" s="1"/>
  <c r="K375" i="6"/>
  <c r="N29" i="5" s="1"/>
  <c r="J375" i="6"/>
  <c r="J139" i="6"/>
  <c r="K139" i="6"/>
  <c r="R14" i="5" s="1"/>
  <c r="J372" i="6"/>
  <c r="K372" i="6"/>
  <c r="AA28" i="5" s="1"/>
  <c r="J1056" i="6"/>
  <c r="K1056" i="6"/>
  <c r="W71" i="5" s="1"/>
  <c r="J607" i="6"/>
  <c r="K607" i="6"/>
  <c r="V43" i="5" s="1"/>
  <c r="J252" i="6"/>
  <c r="K252" i="6"/>
  <c r="S21" i="5" s="1"/>
  <c r="AO235" i="5"/>
  <c r="AQ235" i="5"/>
  <c r="AP235" i="5"/>
  <c r="J3660" i="6"/>
  <c r="K3660" i="6"/>
  <c r="S234" i="5" s="1"/>
  <c r="K2275" i="6"/>
  <c r="Z147" i="5" s="1"/>
  <c r="J2275" i="6"/>
  <c r="K2727" i="6"/>
  <c r="N176" i="5" s="1"/>
  <c r="J2727" i="6"/>
  <c r="K3474" i="6"/>
  <c r="Y222" i="5" s="1"/>
  <c r="J3474" i="6"/>
  <c r="J2770" i="6"/>
  <c r="K2770" i="6"/>
  <c r="Y178" i="5" s="1"/>
  <c r="K3372" i="6"/>
  <c r="S216" i="5" s="1"/>
  <c r="J3372" i="6"/>
  <c r="AN156" i="5"/>
  <c r="AM156" i="5"/>
  <c r="AN155" i="5"/>
  <c r="AL155" i="5"/>
  <c r="J2296" i="6"/>
  <c r="K2296" i="6"/>
  <c r="O149" i="5" s="1"/>
  <c r="K1924" i="6"/>
  <c r="AA125" i="5" s="1"/>
  <c r="J1924" i="6"/>
  <c r="AK237" i="5"/>
  <c r="AJ237" i="5"/>
  <c r="AI237" i="5"/>
  <c r="AN147" i="5"/>
  <c r="AM147" i="5"/>
  <c r="AL147" i="5"/>
  <c r="AQ202" i="5"/>
  <c r="AP202" i="5"/>
  <c r="AO202" i="5"/>
  <c r="K2536" i="6"/>
  <c r="O164" i="5" s="1"/>
  <c r="J2536" i="6"/>
  <c r="K3023" i="6"/>
  <c r="V194" i="5" s="1"/>
  <c r="J3023" i="6"/>
  <c r="J2788" i="6"/>
  <c r="K2788" i="6"/>
  <c r="AA179" i="5" s="1"/>
  <c r="AR179" i="5" s="1"/>
  <c r="J3415" i="6"/>
  <c r="K3415" i="6"/>
  <c r="N219" i="5" s="1"/>
  <c r="AE219" i="5" s="1"/>
  <c r="K2232" i="6"/>
  <c r="O145" i="5" s="1"/>
  <c r="J2232" i="6"/>
  <c r="AR150" i="5"/>
  <c r="AQ87" i="5"/>
  <c r="AP87" i="5"/>
  <c r="AO87" i="5"/>
  <c r="AI171" i="5"/>
  <c r="AK171" i="5"/>
  <c r="AJ171" i="5"/>
  <c r="K2151" i="6"/>
  <c r="N140" i="5" s="1"/>
  <c r="J2151" i="6"/>
  <c r="AK144" i="5"/>
  <c r="AJ144" i="5"/>
  <c r="AI144" i="5"/>
  <c r="K1606" i="6"/>
  <c r="M106" i="5" s="1"/>
  <c r="J1606" i="6"/>
  <c r="K3239" i="6"/>
  <c r="N208" i="5" s="1"/>
  <c r="J3239" i="6"/>
  <c r="J400" i="6"/>
  <c r="K400" i="6"/>
  <c r="W30" i="5" s="1"/>
  <c r="K819" i="6"/>
  <c r="Z56" i="5" s="1"/>
  <c r="J819" i="6"/>
  <c r="AJ212" i="5"/>
  <c r="AI212" i="5"/>
  <c r="AK212" i="5"/>
  <c r="J1548" i="6"/>
  <c r="K1548" i="6"/>
  <c r="S102" i="5" s="1"/>
  <c r="AL69" i="5"/>
  <c r="AN69" i="5"/>
  <c r="AM69" i="5"/>
  <c r="AK160" i="5"/>
  <c r="AI160" i="5"/>
  <c r="AJ160" i="5"/>
  <c r="J1438" i="6"/>
  <c r="K1438" i="6"/>
  <c r="U95" i="5" s="1"/>
  <c r="AO42" i="5"/>
  <c r="AP42" i="5"/>
  <c r="K2986" i="6"/>
  <c r="Q192" i="5" s="1"/>
  <c r="J2986" i="6"/>
  <c r="AC28" i="5"/>
  <c r="AE28" i="5"/>
  <c r="AD28" i="5"/>
  <c r="J355" i="6"/>
  <c r="K355" i="6"/>
  <c r="Z27" i="5" s="1"/>
  <c r="K1099" i="6"/>
  <c r="R74" i="5" s="1"/>
  <c r="AH74" i="5" s="1"/>
  <c r="J1099" i="6"/>
  <c r="J1575" i="6"/>
  <c r="K1575" i="6"/>
  <c r="N104" i="5" s="1"/>
  <c r="AM114" i="5"/>
  <c r="AN114" i="5"/>
  <c r="AL114" i="5"/>
  <c r="K2818" i="6"/>
  <c r="Y181" i="5" s="1"/>
  <c r="J2818" i="6"/>
  <c r="J2294" i="6"/>
  <c r="K2294" i="6"/>
  <c r="M149" i="5" s="1"/>
  <c r="AI187" i="5"/>
  <c r="AI89" i="5"/>
  <c r="AT79" i="5"/>
  <c r="AS79" i="5"/>
  <c r="AR79" i="5"/>
  <c r="AT45" i="5"/>
  <c r="AR45" i="5"/>
  <c r="AS45" i="5"/>
  <c r="K1398" i="6"/>
  <c r="M93" i="5" s="1"/>
  <c r="J1398" i="6"/>
  <c r="AI12" i="5"/>
  <c r="J1598" i="6"/>
  <c r="K1598" i="6"/>
  <c r="U105" i="5" s="1"/>
  <c r="AL88" i="5"/>
  <c r="AG17" i="5"/>
  <c r="K1275" i="6"/>
  <c r="R85" i="5" s="1"/>
  <c r="AH85" i="5" s="1"/>
  <c r="J1275" i="6"/>
  <c r="AJ187" i="5"/>
  <c r="AJ33" i="5"/>
  <c r="J728" i="6"/>
  <c r="K728" i="6"/>
  <c r="O51" i="5" s="1"/>
  <c r="AD51" i="5" s="1"/>
  <c r="J591" i="6"/>
  <c r="K591" i="6"/>
  <c r="V42" i="5" s="1"/>
  <c r="AT47" i="5"/>
  <c r="AR47" i="5"/>
  <c r="AI40" i="5"/>
  <c r="AJ12" i="5"/>
  <c r="AI141" i="5"/>
  <c r="K2059" i="6"/>
  <c r="R134" i="5" s="1"/>
  <c r="J2059" i="6"/>
  <c r="AL93" i="5"/>
  <c r="AM93" i="5"/>
  <c r="AN93" i="5"/>
  <c r="J140" i="6"/>
  <c r="K140" i="6"/>
  <c r="S14" i="5" s="1"/>
  <c r="J871" i="6"/>
  <c r="K871" i="6"/>
  <c r="N60" i="5" s="1"/>
  <c r="AK31" i="5"/>
  <c r="K111" i="6"/>
  <c r="V12" i="5" s="1"/>
  <c r="J111" i="6"/>
  <c r="J768" i="6"/>
  <c r="K768" i="6"/>
  <c r="W53" i="5" s="1"/>
  <c r="AN99" i="5"/>
  <c r="AM99" i="5"/>
  <c r="AL99" i="5"/>
  <c r="K519" i="6"/>
  <c r="N38" i="5" s="1"/>
  <c r="AD38" i="5" s="1"/>
  <c r="J519" i="6"/>
  <c r="J28" i="6"/>
  <c r="K28" i="6"/>
  <c r="AP26" i="5"/>
  <c r="J312" i="6"/>
  <c r="K312" i="6"/>
  <c r="O25" i="5" s="1"/>
  <c r="K224" i="6"/>
  <c r="W19" i="5" s="1"/>
  <c r="J224" i="6"/>
  <c r="AJ141" i="5"/>
  <c r="H26" i="10"/>
  <c r="AP233" i="5"/>
  <c r="K3171" i="6"/>
  <c r="Z203" i="5" s="1"/>
  <c r="J3171" i="6"/>
  <c r="K2130" i="6"/>
  <c r="Y138" i="5" s="1"/>
  <c r="J2130" i="6"/>
  <c r="AQ227" i="5"/>
  <c r="AP227" i="5"/>
  <c r="AO227" i="5"/>
  <c r="J2350" i="6"/>
  <c r="K2350" i="6"/>
  <c r="U152" i="5" s="1"/>
  <c r="J2468" i="6"/>
  <c r="K2468" i="6"/>
  <c r="AA159" i="5" s="1"/>
  <c r="AM45" i="5"/>
  <c r="AN45" i="5"/>
  <c r="AL45" i="5"/>
  <c r="J3218" i="6"/>
  <c r="K3218" i="6"/>
  <c r="Y206" i="5" s="1"/>
  <c r="K1843" i="6"/>
  <c r="Z120" i="5" s="1"/>
  <c r="J1843" i="6"/>
  <c r="AH66" i="5"/>
  <c r="AG66" i="5"/>
  <c r="AF66" i="5"/>
  <c r="K1111" i="6"/>
  <c r="N75" i="5" s="1"/>
  <c r="J1111" i="6"/>
  <c r="AI230" i="5"/>
  <c r="AJ230" i="5"/>
  <c r="AK230" i="5"/>
  <c r="K3306" i="6"/>
  <c r="Q212" i="5" s="1"/>
  <c r="AF212" i="5" s="1"/>
  <c r="J3306" i="6"/>
  <c r="K2343" i="6"/>
  <c r="N152" i="5" s="1"/>
  <c r="J2343" i="6"/>
  <c r="J1839" i="6"/>
  <c r="K1839" i="6"/>
  <c r="V120" i="5" s="1"/>
  <c r="K2058" i="6"/>
  <c r="Q134" i="5" s="1"/>
  <c r="J2058" i="6"/>
  <c r="J3547" i="6"/>
  <c r="K3547" i="6"/>
  <c r="R227" i="5" s="1"/>
  <c r="K1623" i="6"/>
  <c r="N107" i="5" s="1"/>
  <c r="J1623" i="6"/>
  <c r="AS17" i="5"/>
  <c r="AT17" i="5"/>
  <c r="AR17" i="5"/>
  <c r="J2758" i="6"/>
  <c r="K2758" i="6"/>
  <c r="M178" i="5" s="1"/>
  <c r="AP237" i="5"/>
  <c r="J1224" i="6"/>
  <c r="K1224" i="6"/>
  <c r="O82" i="5" s="1"/>
  <c r="K2483" i="6"/>
  <c r="Z160" i="5" s="1"/>
  <c r="J2483" i="6"/>
  <c r="J944" i="6"/>
  <c r="K944" i="6"/>
  <c r="W64" i="5" s="1"/>
  <c r="AL64" i="5" s="1"/>
  <c r="K484" i="6"/>
  <c r="AA35" i="5" s="1"/>
  <c r="J484" i="6"/>
  <c r="AT84" i="5"/>
  <c r="AS84" i="5"/>
  <c r="AR84" i="5"/>
  <c r="AH88" i="5"/>
  <c r="AG88" i="5"/>
  <c r="AF88" i="5"/>
  <c r="U6" i="5"/>
  <c r="J1674" i="6"/>
  <c r="K1674" i="6"/>
  <c r="Q110" i="5" s="1"/>
  <c r="AN14" i="5"/>
  <c r="AM14" i="5"/>
  <c r="K1291" i="6"/>
  <c r="R86" i="5" s="1"/>
  <c r="J1291" i="6"/>
  <c r="AD199" i="5"/>
  <c r="AR11" i="5"/>
  <c r="AT11" i="5"/>
  <c r="AS11" i="5"/>
  <c r="K1483" i="6"/>
  <c r="R98" i="5" s="1"/>
  <c r="J1483" i="6"/>
  <c r="K748" i="6"/>
  <c r="S52" i="5" s="1"/>
  <c r="J748" i="6"/>
  <c r="J2832" i="6"/>
  <c r="K2832" i="6"/>
  <c r="W182" i="5" s="1"/>
  <c r="J380" i="6"/>
  <c r="K380" i="6"/>
  <c r="S29" i="5" s="1"/>
  <c r="AE210" i="5"/>
  <c r="AJ193" i="5"/>
  <c r="AS47" i="5"/>
  <c r="AG64" i="5"/>
  <c r="AM134" i="5"/>
  <c r="AO148" i="5"/>
  <c r="AQ23" i="5"/>
  <c r="K399" i="6"/>
  <c r="V30" i="5" s="1"/>
  <c r="J399" i="6"/>
  <c r="J1324" i="6"/>
  <c r="K1324" i="6"/>
  <c r="S88" i="5" s="1"/>
  <c r="K1143" i="6"/>
  <c r="N77" i="5" s="1"/>
  <c r="J1143" i="6"/>
  <c r="J1798" i="6"/>
  <c r="K1798" i="6"/>
  <c r="M118" i="5" s="1"/>
  <c r="AE116" i="5"/>
  <c r="AL74" i="5"/>
  <c r="AL14" i="5"/>
  <c r="J2116" i="6"/>
  <c r="K2116" i="6"/>
  <c r="AA137" i="5" s="1"/>
  <c r="AP218" i="5"/>
  <c r="AO218" i="5"/>
  <c r="AQ218" i="5"/>
  <c r="K2883" i="6"/>
  <c r="Z185" i="5" s="1"/>
  <c r="J2883" i="6"/>
  <c r="K2200" i="6"/>
  <c r="O143" i="5" s="1"/>
  <c r="J2200" i="6"/>
  <c r="K3203" i="6"/>
  <c r="Z205" i="5" s="1"/>
  <c r="J3203" i="6"/>
  <c r="J2338" i="6"/>
  <c r="K2338" i="6"/>
  <c r="Y151" i="5" s="1"/>
  <c r="AQ151" i="5" s="1"/>
  <c r="K3179" i="6"/>
  <c r="R204" i="5" s="1"/>
  <c r="J3179" i="6"/>
  <c r="J1615" i="6"/>
  <c r="K1615" i="6"/>
  <c r="V106" i="5" s="1"/>
  <c r="J3042" i="6"/>
  <c r="K3042" i="6"/>
  <c r="Y195" i="5" s="1"/>
  <c r="J1431" i="6"/>
  <c r="K1431" i="6"/>
  <c r="N95" i="5" s="1"/>
  <c r="J1478" i="6"/>
  <c r="K1478" i="6"/>
  <c r="M98" i="5" s="1"/>
  <c r="K259" i="6"/>
  <c r="Z21" i="5" s="1"/>
  <c r="J259" i="6"/>
  <c r="K1959" i="6"/>
  <c r="N128" i="5" s="1"/>
  <c r="J1959" i="6"/>
  <c r="J3638" i="6"/>
  <c r="K3638" i="6"/>
  <c r="M233" i="5" s="1"/>
  <c r="J235" i="6"/>
  <c r="K235" i="6"/>
  <c r="R20" i="5" s="1"/>
  <c r="AH20" i="5" s="1"/>
  <c r="AP62" i="5"/>
  <c r="J3196" i="6"/>
  <c r="K3196" i="6"/>
  <c r="S205" i="5" s="1"/>
  <c r="J1676" i="6"/>
  <c r="K1676" i="6"/>
  <c r="S110" i="5" s="1"/>
  <c r="K2618" i="6"/>
  <c r="Q169" i="5" s="1"/>
  <c r="J2618" i="6"/>
  <c r="J1396" i="6"/>
  <c r="K1396" i="6"/>
  <c r="AA92" i="5" s="1"/>
  <c r="K2859" i="6"/>
  <c r="R184" i="5" s="1"/>
  <c r="J2859" i="6"/>
  <c r="K2807" i="6"/>
  <c r="N181" i="5" s="1"/>
  <c r="J2807" i="6"/>
  <c r="J3267" i="6"/>
  <c r="K3267" i="6"/>
  <c r="Z209" i="5" s="1"/>
  <c r="AD92" i="5"/>
  <c r="AC92" i="5"/>
  <c r="AE92" i="5"/>
  <c r="J2386" i="6"/>
  <c r="K2386" i="6"/>
  <c r="Y154" i="5" s="1"/>
  <c r="AP154" i="5" s="1"/>
  <c r="AI192" i="5"/>
  <c r="AK192" i="5"/>
  <c r="AJ192" i="5"/>
  <c r="K1880" i="6"/>
  <c r="O123" i="5" s="1"/>
  <c r="J1880" i="6"/>
  <c r="J1603" i="6"/>
  <c r="K1603" i="6"/>
  <c r="Z105" i="5" s="1"/>
  <c r="J2176" i="6"/>
  <c r="K2176" i="6"/>
  <c r="W141" i="5" s="1"/>
  <c r="AM141" i="5" s="1"/>
  <c r="AQ70" i="5"/>
  <c r="AP70" i="5"/>
  <c r="AO70" i="5"/>
  <c r="AB215" i="5"/>
  <c r="AT215" i="5" s="1"/>
  <c r="Q35" i="10"/>
  <c r="K2967" i="6"/>
  <c r="N191" i="5" s="1"/>
  <c r="J2967" i="6"/>
  <c r="K2424" i="6"/>
  <c r="O157" i="5" s="1"/>
  <c r="J2424" i="6"/>
  <c r="J3690" i="6"/>
  <c r="K3690" i="6"/>
  <c r="Q236" i="5" s="1"/>
  <c r="K3602" i="6"/>
  <c r="Y230" i="5" s="1"/>
  <c r="J3602" i="6"/>
  <c r="J2264" i="6"/>
  <c r="K2264" i="6"/>
  <c r="O147" i="5" s="1"/>
  <c r="AD147" i="5" s="1"/>
  <c r="AN231" i="5"/>
  <c r="AM231" i="5"/>
  <c r="AL231" i="5"/>
  <c r="AG172" i="5"/>
  <c r="AF172" i="5"/>
  <c r="AH172" i="5"/>
  <c r="K3662" i="6"/>
  <c r="U234" i="5" s="1"/>
  <c r="J3662" i="6"/>
  <c r="K2302" i="6"/>
  <c r="U149" i="5" s="1"/>
  <c r="J2302" i="6"/>
  <c r="K2939" i="6"/>
  <c r="R189" i="5" s="1"/>
  <c r="J2939" i="6"/>
  <c r="K1978" i="6"/>
  <c r="Q129" i="5" s="1"/>
  <c r="AF129" i="5" s="1"/>
  <c r="J1978" i="6"/>
  <c r="AN104" i="5"/>
  <c r="AM104" i="5"/>
  <c r="AL104" i="5"/>
  <c r="AC91" i="5"/>
  <c r="AE91" i="5"/>
  <c r="K2842" i="6"/>
  <c r="Q183" i="5" s="1"/>
  <c r="J2842" i="6"/>
  <c r="K3370" i="6"/>
  <c r="Q216" i="5" s="1"/>
  <c r="J3370" i="6"/>
  <c r="J1087" i="6"/>
  <c r="K1087" i="6"/>
  <c r="V73" i="5" s="1"/>
  <c r="AS85" i="5"/>
  <c r="AR85" i="5"/>
  <c r="AT85" i="5"/>
  <c r="J2966" i="6"/>
  <c r="K2966" i="6"/>
  <c r="M191" i="5" s="1"/>
  <c r="K3075" i="6"/>
  <c r="Z197" i="5" s="1"/>
  <c r="J3075" i="6"/>
  <c r="K540" i="6"/>
  <c r="S39" i="5" s="1"/>
  <c r="J540" i="6"/>
  <c r="AF161" i="5"/>
  <c r="AH161" i="5"/>
  <c r="AG161" i="5"/>
  <c r="K1599" i="6"/>
  <c r="V105" i="5" s="1"/>
  <c r="J1599" i="6"/>
  <c r="K815" i="6"/>
  <c r="V56" i="5" s="1"/>
  <c r="J815" i="6"/>
  <c r="J495" i="6"/>
  <c r="K495" i="6"/>
  <c r="V36" i="5" s="1"/>
  <c r="K1412" i="6"/>
  <c r="AA93" i="5" s="1"/>
  <c r="J1412" i="6"/>
  <c r="AF13" i="5"/>
  <c r="AH13" i="5"/>
  <c r="AG13" i="5"/>
  <c r="K203" i="6"/>
  <c r="R18" i="5" s="1"/>
  <c r="AF18" i="5" s="1"/>
  <c r="J203" i="6"/>
  <c r="J3563" i="6"/>
  <c r="K3563" i="6"/>
  <c r="R228" i="5" s="1"/>
  <c r="AG228" i="5" s="1"/>
  <c r="AN234" i="5"/>
  <c r="AM234" i="5"/>
  <c r="AL234" i="5"/>
  <c r="K2658" i="6"/>
  <c r="Y171" i="5" s="1"/>
  <c r="AQ171" i="5" s="1"/>
  <c r="J2658" i="6"/>
  <c r="J3439" i="6"/>
  <c r="K3439" i="6"/>
  <c r="V220" i="5" s="1"/>
  <c r="K3031" i="6"/>
  <c r="N195" i="5" s="1"/>
  <c r="J3031" i="6"/>
  <c r="AD151" i="5"/>
  <c r="K3298" i="6"/>
  <c r="Y211" i="5" s="1"/>
  <c r="J3298" i="6"/>
  <c r="K2403" i="6"/>
  <c r="Z155" i="5" s="1"/>
  <c r="J2403" i="6"/>
  <c r="K2924" i="6"/>
  <c r="S188" i="5" s="1"/>
  <c r="J2924" i="6"/>
  <c r="J3584" i="6"/>
  <c r="K3584" i="6"/>
  <c r="W229" i="5" s="1"/>
  <c r="AL229" i="5" s="1"/>
  <c r="K2940" i="6"/>
  <c r="S189" i="5" s="1"/>
  <c r="J2940" i="6"/>
  <c r="K3043" i="6"/>
  <c r="Z195" i="5" s="1"/>
  <c r="J3043" i="6"/>
  <c r="K3608" i="6"/>
  <c r="O231" i="5" s="1"/>
  <c r="AC231" i="5" s="1"/>
  <c r="J3608" i="6"/>
  <c r="K2991" i="6"/>
  <c r="V192" i="5" s="1"/>
  <c r="J2991" i="6"/>
  <c r="J3530" i="6"/>
  <c r="K3530" i="6"/>
  <c r="Q226" i="5" s="1"/>
  <c r="K2276" i="6"/>
  <c r="AA147" i="5" s="1"/>
  <c r="J2276" i="6"/>
  <c r="J2040" i="6"/>
  <c r="K2040" i="6"/>
  <c r="O133" i="5" s="1"/>
  <c r="AE133" i="5" s="1"/>
  <c r="K1476" i="6"/>
  <c r="AA97" i="5" s="1"/>
  <c r="J1476" i="6"/>
  <c r="J1848" i="6"/>
  <c r="K1848" i="6"/>
  <c r="O121" i="5" s="1"/>
  <c r="AC121" i="5" s="1"/>
  <c r="J1423" i="6"/>
  <c r="K1423" i="6"/>
  <c r="V94" i="5" s="1"/>
  <c r="K804" i="6"/>
  <c r="AA55" i="5" s="1"/>
  <c r="J804" i="6"/>
  <c r="J2378" i="6"/>
  <c r="K2378" i="6"/>
  <c r="Q154" i="5" s="1"/>
  <c r="K3071" i="6"/>
  <c r="V197" i="5" s="1"/>
  <c r="J3071" i="6"/>
  <c r="K1711" i="6"/>
  <c r="V112" i="5" s="1"/>
  <c r="J1711" i="6"/>
  <c r="J1662" i="6"/>
  <c r="K1662" i="6"/>
  <c r="U109" i="5" s="1"/>
  <c r="J1071" i="6"/>
  <c r="K1071" i="6"/>
  <c r="V72" i="5" s="1"/>
  <c r="K704" i="6"/>
  <c r="W49" i="5" s="1"/>
  <c r="J704" i="6"/>
  <c r="AJ24" i="5"/>
  <c r="AK24" i="5"/>
  <c r="K2875" i="6"/>
  <c r="R185" i="5" s="1"/>
  <c r="J2875" i="6"/>
  <c r="J1663" i="6"/>
  <c r="K1663" i="6"/>
  <c r="V109" i="5" s="1"/>
  <c r="J747" i="6"/>
  <c r="K747" i="6"/>
  <c r="R52" i="5" s="1"/>
  <c r="J47" i="6"/>
  <c r="K47" i="6"/>
  <c r="V8" i="5" s="1"/>
  <c r="J167" i="6"/>
  <c r="K167" i="6"/>
  <c r="N16" i="5" s="1"/>
  <c r="K951" i="6"/>
  <c r="N65" i="5" s="1"/>
  <c r="AD65" i="5" s="1"/>
  <c r="J951" i="6"/>
  <c r="J1343" i="6"/>
  <c r="K1343" i="6"/>
  <c r="V89" i="5" s="1"/>
  <c r="K356" i="6"/>
  <c r="AA27" i="5" s="1"/>
  <c r="J356" i="6"/>
  <c r="J1622" i="6"/>
  <c r="K1622" i="6"/>
  <c r="M107" i="5" s="1"/>
  <c r="K1791" i="6"/>
  <c r="J1791" i="6"/>
  <c r="J3523" i="6"/>
  <c r="K3523" i="6"/>
  <c r="Z225" i="5" s="1"/>
  <c r="J2804" i="6"/>
  <c r="K2804" i="6"/>
  <c r="AA180" i="5" s="1"/>
  <c r="K2432" i="6"/>
  <c r="W157" i="5" s="1"/>
  <c r="J2432" i="6"/>
  <c r="K3050" i="6"/>
  <c r="Q196" i="5" s="1"/>
  <c r="AG196" i="5" s="1"/>
  <c r="J3050" i="6"/>
  <c r="J3423" i="6"/>
  <c r="K3423" i="6"/>
  <c r="V219" i="5" s="1"/>
  <c r="K2178" i="6"/>
  <c r="Y141" i="5" s="1"/>
  <c r="AQ141" i="5" s="1"/>
  <c r="J2178" i="6"/>
  <c r="AI207" i="5"/>
  <c r="AK207" i="5"/>
  <c r="AJ207" i="5"/>
  <c r="AC234" i="5"/>
  <c r="J3534" i="6"/>
  <c r="K3534" i="6"/>
  <c r="U226" i="5" s="1"/>
  <c r="AF149" i="5"/>
  <c r="AH149" i="5"/>
  <c r="J3700" i="6"/>
  <c r="K3700" i="6"/>
  <c r="AA236" i="5" s="1"/>
  <c r="K3502" i="6"/>
  <c r="U224" i="5" s="1"/>
  <c r="J3502" i="6"/>
  <c r="J3184" i="6"/>
  <c r="K3184" i="6"/>
  <c r="W204" i="5" s="1"/>
  <c r="K3120" i="6"/>
  <c r="W200" i="5" s="1"/>
  <c r="AM200" i="5" s="1"/>
  <c r="J3120" i="6"/>
  <c r="AO122" i="5"/>
  <c r="AM139" i="5"/>
  <c r="AL139" i="5"/>
  <c r="AN139" i="5"/>
  <c r="K2048" i="6"/>
  <c r="W133" i="5" s="1"/>
  <c r="J2048" i="6"/>
  <c r="K2308" i="6"/>
  <c r="AA149" i="5" s="1"/>
  <c r="J2308" i="6"/>
  <c r="J3256" i="6"/>
  <c r="K3256" i="6"/>
  <c r="O209" i="5" s="1"/>
  <c r="J1652" i="6"/>
  <c r="K1652" i="6"/>
  <c r="AA108" i="5" s="1"/>
  <c r="AS108" i="5" s="1"/>
  <c r="J2898" i="6"/>
  <c r="K2898" i="6"/>
  <c r="Y186" i="5" s="1"/>
  <c r="AP186" i="5" s="1"/>
  <c r="K2255" i="6"/>
  <c r="V146" i="5" s="1"/>
  <c r="J2255" i="6"/>
  <c r="K3110" i="6"/>
  <c r="M200" i="5" s="1"/>
  <c r="J3110" i="6"/>
  <c r="K1387" i="6"/>
  <c r="R92" i="5" s="1"/>
  <c r="J1387" i="6"/>
  <c r="K875" i="6"/>
  <c r="R60" i="5" s="1"/>
  <c r="J875" i="6"/>
  <c r="K2431" i="6"/>
  <c r="V157" i="5" s="1"/>
  <c r="J2431" i="6"/>
  <c r="K1055" i="6"/>
  <c r="V71" i="5" s="1"/>
  <c r="J1055" i="6"/>
  <c r="AC30" i="5"/>
  <c r="AE30" i="5"/>
  <c r="AD30" i="5"/>
  <c r="J1390" i="6"/>
  <c r="K1390" i="6"/>
  <c r="U92" i="5" s="1"/>
  <c r="AG213" i="5"/>
  <c r="AF213" i="5"/>
  <c r="AH213" i="5"/>
  <c r="AO237" i="5"/>
  <c r="J2242" i="6"/>
  <c r="K2242" i="6"/>
  <c r="Y145" i="5" s="1"/>
  <c r="J3388" i="6"/>
  <c r="K3388" i="6"/>
  <c r="AQ149" i="5"/>
  <c r="AP149" i="5"/>
  <c r="AO149" i="5"/>
  <c r="J2756" i="6"/>
  <c r="K2756" i="6"/>
  <c r="AA177" i="5" s="1"/>
  <c r="AK20" i="5"/>
  <c r="AJ20" i="5"/>
  <c r="AI20" i="5"/>
  <c r="K483" i="6"/>
  <c r="Z35" i="5" s="1"/>
  <c r="J483" i="6"/>
  <c r="J455" i="6"/>
  <c r="K455" i="6"/>
  <c r="N34" i="5" s="1"/>
  <c r="AL15" i="5"/>
  <c r="AM15" i="5"/>
  <c r="AN15" i="5"/>
  <c r="AQ148" i="5"/>
  <c r="J3659" i="6"/>
  <c r="K3659" i="6"/>
  <c r="R234" i="5" s="1"/>
  <c r="J2768" i="6"/>
  <c r="K2768" i="6"/>
  <c r="W178" i="5" s="1"/>
  <c r="K2451" i="6"/>
  <c r="Z158" i="5" s="1"/>
  <c r="J2451" i="6"/>
  <c r="K3014" i="6"/>
  <c r="M194" i="5" s="1"/>
  <c r="J3014" i="6"/>
  <c r="K2411" i="6"/>
  <c r="R156" i="5" s="1"/>
  <c r="AG156" i="5" s="1"/>
  <c r="J2411" i="6"/>
  <c r="J2204" i="6"/>
  <c r="K2204" i="6"/>
  <c r="S143" i="5" s="1"/>
  <c r="K3246" i="6"/>
  <c r="U208" i="5" s="1"/>
  <c r="J3246" i="6"/>
  <c r="K2392" i="6"/>
  <c r="O155" i="5" s="1"/>
  <c r="AC155" i="5" s="1"/>
  <c r="J2392" i="6"/>
  <c r="AT114" i="5"/>
  <c r="AS114" i="5"/>
  <c r="AR114" i="5"/>
  <c r="K2700" i="6"/>
  <c r="S174" i="5" s="1"/>
  <c r="J2700" i="6"/>
  <c r="K2955" i="6"/>
  <c r="R190" i="5" s="1"/>
  <c r="AF190" i="5" s="1"/>
  <c r="J2955" i="6"/>
  <c r="J1719" i="6"/>
  <c r="K1719" i="6"/>
  <c r="N113" i="5" s="1"/>
  <c r="J3471" i="6"/>
  <c r="K3471" i="6"/>
  <c r="V222" i="5" s="1"/>
  <c r="J3639" i="6"/>
  <c r="K3639" i="6"/>
  <c r="N233" i="5" s="1"/>
  <c r="K3720" i="6"/>
  <c r="O238" i="5" s="1"/>
  <c r="J3720" i="6"/>
  <c r="K3566" i="6"/>
  <c r="U228" i="5" s="1"/>
  <c r="AI228" i="5" s="1"/>
  <c r="J3566" i="6"/>
  <c r="J3514" i="6"/>
  <c r="K3514" i="6"/>
  <c r="Q225" i="5" s="1"/>
  <c r="AT234" i="5"/>
  <c r="AS234" i="5"/>
  <c r="K2398" i="6"/>
  <c r="U155" i="5" s="1"/>
  <c r="AJ155" i="5" s="1"/>
  <c r="J2398" i="6"/>
  <c r="K2284" i="6"/>
  <c r="S148" i="5" s="1"/>
  <c r="J2284" i="6"/>
  <c r="K2774" i="6"/>
  <c r="M179" i="5" s="1"/>
  <c r="J2774" i="6"/>
  <c r="K2976" i="6"/>
  <c r="W191" i="5" s="1"/>
  <c r="J2976" i="6"/>
  <c r="K2576" i="6"/>
  <c r="W166" i="5" s="1"/>
  <c r="J2576" i="6"/>
  <c r="J2168" i="6"/>
  <c r="K2168" i="6"/>
  <c r="O141" i="5" s="1"/>
  <c r="AG219" i="5"/>
  <c r="AF219" i="5"/>
  <c r="AH219" i="5"/>
  <c r="K2111" i="6"/>
  <c r="V137" i="5" s="1"/>
  <c r="J2111" i="6"/>
  <c r="J2602" i="6"/>
  <c r="K2602" i="6"/>
  <c r="Q168" i="5" s="1"/>
  <c r="K2520" i="6"/>
  <c r="O163" i="5" s="1"/>
  <c r="AC163" i="5" s="1"/>
  <c r="J2520" i="6"/>
  <c r="K3139" i="6"/>
  <c r="Z201" i="5" s="1"/>
  <c r="J3139" i="6"/>
  <c r="J2244" i="6"/>
  <c r="K2244" i="6"/>
  <c r="AA145" i="5" s="1"/>
  <c r="AR145" i="5" s="1"/>
  <c r="J2890" i="6"/>
  <c r="K2890" i="6"/>
  <c r="Q186" i="5" s="1"/>
  <c r="AS138" i="5"/>
  <c r="AR138" i="5"/>
  <c r="K1631" i="6"/>
  <c r="V107" i="5" s="1"/>
  <c r="J1631" i="6"/>
  <c r="K1420" i="6"/>
  <c r="S94" i="5" s="1"/>
  <c r="J1420" i="6"/>
  <c r="K2075" i="6"/>
  <c r="R135" i="5" s="1"/>
  <c r="J2075" i="6"/>
  <c r="K2438" i="6"/>
  <c r="M158" i="5" s="1"/>
  <c r="J2438" i="6"/>
  <c r="K2607" i="6"/>
  <c r="V168" i="5" s="1"/>
  <c r="J2607" i="6"/>
  <c r="K2022" i="6"/>
  <c r="M132" i="5" s="1"/>
  <c r="J2022" i="6"/>
  <c r="K840" i="6"/>
  <c r="O58" i="5" s="1"/>
  <c r="AC58" i="5" s="1"/>
  <c r="J840" i="6"/>
  <c r="K2270" i="6"/>
  <c r="U147" i="5" s="1"/>
  <c r="J2270" i="6"/>
  <c r="K3568" i="6"/>
  <c r="W228" i="5" s="1"/>
  <c r="AL228" i="5" s="1"/>
  <c r="J3568" i="6"/>
  <c r="J1531" i="6"/>
  <c r="K1531" i="6"/>
  <c r="R101" i="5" s="1"/>
  <c r="AH101" i="5" s="1"/>
  <c r="K2128" i="6"/>
  <c r="W138" i="5" s="1"/>
  <c r="AN138" i="5" s="1"/>
  <c r="J2128" i="6"/>
  <c r="K2751" i="6"/>
  <c r="V177" i="5" s="1"/>
  <c r="J2751" i="6"/>
  <c r="J1834" i="6"/>
  <c r="K1834" i="6"/>
  <c r="Q120" i="5" s="1"/>
  <c r="J1012" i="6"/>
  <c r="K1012" i="6"/>
  <c r="AA68" i="5" s="1"/>
  <c r="K2391" i="6"/>
  <c r="N155" i="5" s="1"/>
  <c r="J2391" i="6"/>
  <c r="AF119" i="5"/>
  <c r="AG119" i="5"/>
  <c r="AT49" i="5"/>
  <c r="AS49" i="5"/>
  <c r="AR49" i="5"/>
  <c r="J1264" i="6"/>
  <c r="K1264" i="6"/>
  <c r="W84" i="5" s="1"/>
  <c r="K1364" i="6"/>
  <c r="AA90" i="5" s="1"/>
  <c r="AT90" i="5" s="1"/>
  <c r="J1364" i="6"/>
  <c r="AP217" i="5"/>
  <c r="K280" i="6"/>
  <c r="O23" i="5" s="1"/>
  <c r="AC23" i="5" s="1"/>
  <c r="J280" i="6"/>
  <c r="K2868" i="6"/>
  <c r="AA184" i="5" s="1"/>
  <c r="J2868" i="6"/>
  <c r="J740" i="6"/>
  <c r="K740" i="6"/>
  <c r="AA51" i="5" s="1"/>
  <c r="AP61" i="5"/>
  <c r="AO61" i="5"/>
  <c r="K1219" i="6"/>
  <c r="Z81" i="5" s="1"/>
  <c r="J1219" i="6"/>
  <c r="J2314" i="6"/>
  <c r="K2314" i="6"/>
  <c r="Q150" i="5" s="1"/>
  <c r="AC167" i="5"/>
  <c r="AD167" i="5"/>
  <c r="AE167" i="5"/>
  <c r="AC199" i="5"/>
  <c r="K2382" i="6"/>
  <c r="U154" i="5" s="1"/>
  <c r="J2382" i="6"/>
  <c r="AI76" i="5"/>
  <c r="AJ76" i="5"/>
  <c r="AK76" i="5"/>
  <c r="K60" i="6"/>
  <c r="S9" i="5" s="1"/>
  <c r="J60" i="6"/>
  <c r="K764" i="6"/>
  <c r="S53" i="5" s="1"/>
  <c r="J764" i="6"/>
  <c r="AR189" i="5"/>
  <c r="AK193" i="5"/>
  <c r="AC147" i="5"/>
  <c r="J103" i="6"/>
  <c r="K103" i="6"/>
  <c r="N12" i="5" s="1"/>
  <c r="AE12" i="5" s="1"/>
  <c r="AF60" i="5"/>
  <c r="AH60" i="5"/>
  <c r="AG60" i="5"/>
  <c r="K1167" i="6"/>
  <c r="V78" i="5" s="1"/>
  <c r="J1167" i="6"/>
  <c r="AD116" i="5"/>
  <c r="AD103" i="5"/>
  <c r="AC103" i="5"/>
  <c r="J1375" i="6"/>
  <c r="K1375" i="6"/>
  <c r="V91" i="5" s="1"/>
  <c r="K2288" i="6"/>
  <c r="W148" i="5" s="1"/>
  <c r="J2288" i="6"/>
  <c r="K1432" i="6"/>
  <c r="O95" i="5" s="1"/>
  <c r="J1432" i="6"/>
  <c r="K2163" i="6"/>
  <c r="Z140" i="5" s="1"/>
  <c r="J2163" i="6"/>
  <c r="J264" i="6"/>
  <c r="K264" i="6"/>
  <c r="O22" i="5" s="1"/>
  <c r="J1534" i="6"/>
  <c r="K1534" i="6"/>
  <c r="U101" i="5" s="1"/>
  <c r="AJ101" i="5" s="1"/>
  <c r="K1032" i="6"/>
  <c r="O70" i="5" s="1"/>
  <c r="J1032" i="6"/>
  <c r="AS50" i="5"/>
  <c r="AO21" i="5"/>
  <c r="AQ21" i="5"/>
  <c r="AP21" i="5"/>
  <c r="K855" i="6"/>
  <c r="N59" i="5" s="1"/>
  <c r="AC59" i="5" s="1"/>
  <c r="J855" i="6"/>
  <c r="J39" i="6"/>
  <c r="K39" i="6"/>
  <c r="K475" i="6"/>
  <c r="R35" i="5" s="1"/>
  <c r="AG35" i="5" s="1"/>
  <c r="J475" i="6"/>
  <c r="AN115" i="5"/>
  <c r="AO155" i="5"/>
  <c r="AQ157" i="5"/>
  <c r="AH81" i="5"/>
  <c r="K3219" i="6"/>
  <c r="Z206" i="5" s="1"/>
  <c r="J3219" i="6"/>
  <c r="J3591" i="6"/>
  <c r="K3591" i="6"/>
  <c r="N230" i="5" s="1"/>
  <c r="J3290" i="6"/>
  <c r="K3290" i="6"/>
  <c r="Q211" i="5" s="1"/>
  <c r="J3556" i="6"/>
  <c r="K3556" i="6"/>
  <c r="AA227" i="5" s="1"/>
  <c r="K2087" i="6"/>
  <c r="N136" i="5" s="1"/>
  <c r="J2087" i="6"/>
  <c r="K3187" i="6"/>
  <c r="Z204" i="5" s="1"/>
  <c r="J3187" i="6"/>
  <c r="J2011" i="6"/>
  <c r="K2011" i="6"/>
  <c r="R131" i="5" s="1"/>
  <c r="K2423" i="6"/>
  <c r="N157" i="5" s="1"/>
  <c r="J2423" i="6"/>
  <c r="J1724" i="6"/>
  <c r="K1724" i="6"/>
  <c r="S113" i="5" s="1"/>
  <c r="J2156" i="6"/>
  <c r="K2156" i="6"/>
  <c r="S140" i="5" s="1"/>
  <c r="K1754" i="6"/>
  <c r="Q115" i="5" s="1"/>
  <c r="AG115" i="5" s="1"/>
  <c r="J1754" i="6"/>
  <c r="J1572" i="6"/>
  <c r="K1572" i="6"/>
  <c r="AA103" i="5" s="1"/>
  <c r="AR103" i="5" s="1"/>
  <c r="J3020" i="6"/>
  <c r="K3020" i="6"/>
  <c r="S194" i="5" s="1"/>
  <c r="K3484" i="6"/>
  <c r="S223" i="5" s="1"/>
  <c r="J3484" i="6"/>
  <c r="K1555" i="6"/>
  <c r="Z102" i="5" s="1"/>
  <c r="J1555" i="6"/>
  <c r="J1466" i="6"/>
  <c r="K1466" i="6"/>
  <c r="Q97" i="5" s="1"/>
  <c r="K2559" i="6"/>
  <c r="V165" i="5" s="1"/>
  <c r="J2559" i="6"/>
  <c r="J716" i="6"/>
  <c r="K716" i="6"/>
  <c r="S50" i="5" s="1"/>
  <c r="K827" i="6"/>
  <c r="R57" i="5" s="1"/>
  <c r="J827" i="6"/>
  <c r="K2755" i="6"/>
  <c r="Z177" i="5" s="1"/>
  <c r="J2755" i="6"/>
  <c r="J3496" i="6"/>
  <c r="K3496" i="6"/>
  <c r="O224" i="5" s="1"/>
  <c r="AC224" i="5" s="1"/>
  <c r="J3504" i="6"/>
  <c r="K3504" i="6"/>
  <c r="W224" i="5" s="1"/>
  <c r="J3032" i="6"/>
  <c r="K3032" i="6"/>
  <c r="O195" i="5" s="1"/>
  <c r="K2515" i="6"/>
  <c r="Z162" i="5" s="1"/>
  <c r="J2515" i="6"/>
  <c r="K2363" i="6"/>
  <c r="R153" i="5" s="1"/>
  <c r="AF153" i="5" s="1"/>
  <c r="J2363" i="6"/>
  <c r="AM115" i="5"/>
  <c r="AF81" i="5"/>
  <c r="AG16" i="5"/>
  <c r="K2279" i="6"/>
  <c r="N148" i="5" s="1"/>
  <c r="J2279" i="6"/>
  <c r="K2866" i="6"/>
  <c r="Y184" i="5" s="1"/>
  <c r="J2866" i="6"/>
  <c r="K2975" i="6"/>
  <c r="V191" i="5" s="1"/>
  <c r="J2975" i="6"/>
  <c r="AC124" i="5"/>
  <c r="K1472" i="6"/>
  <c r="W97" i="5" s="1"/>
  <c r="J1472" i="6"/>
  <c r="AE208" i="5"/>
  <c r="AD208" i="5"/>
  <c r="AC208" i="5"/>
  <c r="K1566" i="6"/>
  <c r="U103" i="5" s="1"/>
  <c r="J1566" i="6"/>
  <c r="J1448" i="6"/>
  <c r="K1448" i="6"/>
  <c r="O96" i="5" s="1"/>
  <c r="J3635" i="6"/>
  <c r="K3635" i="6"/>
  <c r="Z232" i="5" s="1"/>
  <c r="K2158" i="6"/>
  <c r="U140" i="5" s="1"/>
  <c r="J2158" i="6"/>
  <c r="AE142" i="5"/>
  <c r="AD142" i="5"/>
  <c r="AC142" i="5"/>
  <c r="AQ136" i="5"/>
  <c r="AO136" i="5"/>
  <c r="AS54" i="5"/>
  <c r="J3630" i="6"/>
  <c r="K3630" i="6"/>
  <c r="U232" i="5" s="1"/>
  <c r="AJ26" i="5"/>
  <c r="AK26" i="5"/>
  <c r="AI26" i="5"/>
  <c r="J2190" i="6"/>
  <c r="K2190" i="6"/>
  <c r="U142" i="5" s="1"/>
  <c r="K3066" i="6"/>
  <c r="Q197" i="5" s="1"/>
  <c r="J3066" i="6"/>
  <c r="K2108" i="6"/>
  <c r="S137" i="5" s="1"/>
  <c r="J2108" i="6"/>
  <c r="AC12" i="5"/>
  <c r="J1815" i="6"/>
  <c r="K1815" i="6"/>
  <c r="N119" i="5" s="1"/>
  <c r="AE119" i="5" s="1"/>
  <c r="K1244" i="6"/>
  <c r="S83" i="5" s="1"/>
  <c r="J1244" i="6"/>
  <c r="K575" i="6"/>
  <c r="V41" i="5" s="1"/>
  <c r="J575" i="6"/>
  <c r="K211" i="6"/>
  <c r="Z18" i="5" s="1"/>
  <c r="J211" i="6"/>
  <c r="AE129" i="5"/>
  <c r="AD129" i="5"/>
  <c r="AC129" i="5"/>
  <c r="K852" i="6"/>
  <c r="AA58" i="5" s="1"/>
  <c r="AT58" i="5" s="1"/>
  <c r="J852" i="6"/>
  <c r="K260" i="6"/>
  <c r="AA21" i="5" s="1"/>
  <c r="J260" i="6"/>
  <c r="AR134" i="5"/>
  <c r="K1052" i="6"/>
  <c r="S71" i="5" s="1"/>
  <c r="J1052" i="6"/>
  <c r="AN16" i="5"/>
  <c r="J711" i="6"/>
  <c r="K711" i="6"/>
  <c r="N50" i="5" s="1"/>
  <c r="J2100" i="6"/>
  <c r="K2100" i="6"/>
  <c r="AA136" i="5" s="1"/>
  <c r="K1860" i="6"/>
  <c r="AA121" i="5" s="1"/>
  <c r="J1860" i="6"/>
  <c r="AE207" i="5"/>
  <c r="AC207" i="5"/>
  <c r="J3623" i="6"/>
  <c r="K3623" i="6"/>
  <c r="N232" i="5" s="1"/>
  <c r="K1628" i="6"/>
  <c r="S107" i="5" s="1"/>
  <c r="J1628" i="6"/>
  <c r="AG237" i="5"/>
  <c r="V6" i="5"/>
  <c r="AP190" i="5"/>
  <c r="AH125" i="5"/>
  <c r="AE177" i="5"/>
  <c r="AF42" i="5"/>
  <c r="K2186" i="6"/>
  <c r="Q142" i="5" s="1"/>
  <c r="J2186" i="6"/>
  <c r="AF16" i="5"/>
  <c r="AQ167" i="5"/>
  <c r="AF166" i="5"/>
  <c r="AG166" i="5"/>
  <c r="AH166" i="5"/>
  <c r="K3200" i="6"/>
  <c r="W205" i="5" s="1"/>
  <c r="J3200" i="6"/>
  <c r="K2155" i="6"/>
  <c r="R140" i="5" s="1"/>
  <c r="J2155" i="6"/>
  <c r="AR57" i="5"/>
  <c r="AS57" i="5"/>
  <c r="AT57" i="5"/>
  <c r="K3668" i="6"/>
  <c r="AA234" i="5" s="1"/>
  <c r="AR234" i="5" s="1"/>
  <c r="J3668" i="6"/>
  <c r="K3247" i="6"/>
  <c r="V208" i="5" s="1"/>
  <c r="J3247" i="6"/>
  <c r="K1687" i="6"/>
  <c r="N111" i="5" s="1"/>
  <c r="J1687" i="6"/>
  <c r="AK38" i="5"/>
  <c r="AJ38" i="5"/>
  <c r="AI38" i="5"/>
  <c r="J3090" i="6"/>
  <c r="K3090" i="6"/>
  <c r="Y198" i="5" s="1"/>
  <c r="J2880" i="6"/>
  <c r="K2880" i="6"/>
  <c r="W185" i="5" s="1"/>
  <c r="J2736" i="6"/>
  <c r="K2736" i="6"/>
  <c r="W176" i="5" s="1"/>
  <c r="AE83" i="5"/>
  <c r="AD83" i="5"/>
  <c r="AC83" i="5"/>
  <c r="J1359" i="6"/>
  <c r="K1359" i="6"/>
  <c r="V90" i="5" s="1"/>
  <c r="K3118" i="6"/>
  <c r="U200" i="5" s="1"/>
  <c r="J3118" i="6"/>
  <c r="J2776" i="6"/>
  <c r="K2776" i="6"/>
  <c r="O179" i="5" s="1"/>
  <c r="K3334" i="6"/>
  <c r="M214" i="5" s="1"/>
  <c r="J3334" i="6"/>
  <c r="AT86" i="5"/>
  <c r="AS86" i="5"/>
  <c r="AR86" i="5"/>
  <c r="J735" i="6"/>
  <c r="K735" i="6"/>
  <c r="V51" i="5" s="1"/>
  <c r="J1279" i="6"/>
  <c r="K1279" i="6"/>
  <c r="V85" i="5" s="1"/>
  <c r="K2811" i="6"/>
  <c r="R181" i="5" s="1"/>
  <c r="AG181" i="5" s="1"/>
  <c r="J2811" i="6"/>
  <c r="J1422" i="6"/>
  <c r="K1422" i="6"/>
  <c r="U94" i="5" s="1"/>
  <c r="AQ123" i="5"/>
  <c r="AP123" i="5"/>
  <c r="K1227" i="6"/>
  <c r="R82" i="5" s="1"/>
  <c r="J1227" i="6"/>
  <c r="K2312" i="6"/>
  <c r="O150" i="5" s="1"/>
  <c r="J2312" i="6"/>
  <c r="J1536" i="6"/>
  <c r="K1536" i="6"/>
  <c r="W101" i="5" s="1"/>
  <c r="AM101" i="5" s="1"/>
  <c r="K1486" i="6"/>
  <c r="U98" i="5" s="1"/>
  <c r="AJ98" i="5" s="1"/>
  <c r="J1486" i="6"/>
  <c r="J3382" i="6"/>
  <c r="K3382" i="6"/>
  <c r="M217" i="5" s="1"/>
  <c r="AC151" i="5"/>
  <c r="K1063" i="6"/>
  <c r="N72" i="5" s="1"/>
  <c r="AC72" i="5" s="1"/>
  <c r="J1063" i="6"/>
  <c r="AK19" i="5"/>
  <c r="AI19" i="5"/>
  <c r="AJ19" i="5"/>
  <c r="K2799" i="6"/>
  <c r="V180" i="5" s="1"/>
  <c r="J2799" i="6"/>
  <c r="K2119" i="6"/>
  <c r="N138" i="5" s="1"/>
  <c r="J2119" i="6"/>
  <c r="Y6" i="5"/>
  <c r="AS8" i="5"/>
  <c r="M6" i="5"/>
  <c r="AO29" i="5"/>
  <c r="AL173" i="5"/>
  <c r="AM173" i="5"/>
  <c r="J3727" i="6"/>
  <c r="K3727" i="6"/>
  <c r="V238" i="5" s="1"/>
  <c r="K803" i="6"/>
  <c r="Z55" i="5" s="1"/>
  <c r="J803" i="6"/>
  <c r="AG21" i="5"/>
  <c r="AF21" i="5"/>
  <c r="AH21" i="5"/>
  <c r="AH237" i="5"/>
  <c r="K2047" i="6"/>
  <c r="V133" i="5" s="1"/>
  <c r="J2047" i="6"/>
  <c r="K1259" i="6"/>
  <c r="R84" i="5" s="1"/>
  <c r="J1259" i="6"/>
  <c r="AM75" i="5"/>
  <c r="AH153" i="5"/>
  <c r="AF72" i="5"/>
  <c r="J319" i="6"/>
  <c r="K319" i="6"/>
  <c r="V25" i="5" s="1"/>
  <c r="K904" i="6"/>
  <c r="O62" i="5" s="1"/>
  <c r="AC62" i="5" s="1"/>
  <c r="J904" i="6"/>
  <c r="Z6" i="5"/>
  <c r="AF125" i="5"/>
  <c r="K240" i="6"/>
  <c r="W20" i="5" s="1"/>
  <c r="J240" i="6"/>
  <c r="AO82" i="5"/>
  <c r="AN82" i="5"/>
  <c r="AL82" i="5"/>
  <c r="AM82" i="5"/>
  <c r="AQ82" i="5"/>
  <c r="J271" i="6"/>
  <c r="K271" i="6"/>
  <c r="V22" i="5" s="1"/>
  <c r="AE197" i="5"/>
  <c r="AD197" i="5"/>
  <c r="AC197" i="5"/>
  <c r="J3627" i="6"/>
  <c r="K3627" i="6"/>
  <c r="R232" i="5" s="1"/>
  <c r="AH232" i="5" s="1"/>
  <c r="AH103" i="5"/>
  <c r="AG103" i="5"/>
  <c r="AF103" i="5"/>
  <c r="J3150" i="6"/>
  <c r="K3150" i="6"/>
  <c r="U202" i="5" s="1"/>
  <c r="AI202" i="5" s="1"/>
  <c r="AJ196" i="5"/>
  <c r="AK196" i="5"/>
  <c r="AI196" i="5"/>
  <c r="K3212" i="6"/>
  <c r="S206" i="5" s="1"/>
  <c r="J3212" i="6"/>
  <c r="AD205" i="5"/>
  <c r="AE205" i="5"/>
  <c r="AG207" i="5"/>
  <c r="K3362" i="6"/>
  <c r="J3362" i="6"/>
  <c r="K3131" i="6"/>
  <c r="R201" i="5" s="1"/>
  <c r="J3131" i="6"/>
  <c r="K3604" i="6"/>
  <c r="AA230" i="5" s="1"/>
  <c r="J3604" i="6"/>
  <c r="K2563" i="6"/>
  <c r="Z165" i="5" s="1"/>
  <c r="J2563" i="6"/>
  <c r="K1808" i="6"/>
  <c r="W118" i="5" s="1"/>
  <c r="J1808" i="6"/>
  <c r="AO161" i="5"/>
  <c r="AQ161" i="5"/>
  <c r="AP161" i="5"/>
  <c r="K3140" i="6"/>
  <c r="AA201" i="5" s="1"/>
  <c r="J3140" i="6"/>
  <c r="K2359" i="6"/>
  <c r="N153" i="5" s="1"/>
  <c r="J2359" i="6"/>
  <c r="J1467" i="6"/>
  <c r="K1467" i="6"/>
  <c r="R97" i="5" s="1"/>
  <c r="J3655" i="6"/>
  <c r="K3655" i="6"/>
  <c r="N234" i="5" s="1"/>
  <c r="AE234" i="5" s="1"/>
  <c r="K2416" i="6"/>
  <c r="W156" i="5" s="1"/>
  <c r="AL156" i="5" s="1"/>
  <c r="J2416" i="6"/>
  <c r="K1459" i="6"/>
  <c r="Z96" i="5" s="1"/>
  <c r="J1459" i="6"/>
  <c r="K2523" i="6"/>
  <c r="R163" i="5" s="1"/>
  <c r="J2523" i="6"/>
  <c r="J1440" i="6"/>
  <c r="K1440" i="6"/>
  <c r="W95" i="5" s="1"/>
  <c r="AS179" i="5"/>
  <c r="AT179" i="5"/>
  <c r="AJ225" i="5"/>
  <c r="AI225" i="5"/>
  <c r="AK225" i="5"/>
  <c r="K1095" i="6"/>
  <c r="N74" i="5" s="1"/>
  <c r="AE74" i="5" s="1"/>
  <c r="J1095" i="6"/>
  <c r="J339" i="6"/>
  <c r="K339" i="6"/>
  <c r="Z26" i="5" s="1"/>
  <c r="U117" i="5"/>
  <c r="J899" i="6"/>
  <c r="K899" i="6"/>
  <c r="Z61" i="5" s="1"/>
  <c r="K1171" i="6"/>
  <c r="Z78" i="5" s="1"/>
  <c r="J1171" i="6"/>
  <c r="AE151" i="5"/>
  <c r="K1136" i="6"/>
  <c r="W76" i="5" s="1"/>
  <c r="J1136" i="6"/>
  <c r="J1920" i="6"/>
  <c r="K1920" i="6"/>
  <c r="W125" i="5" s="1"/>
  <c r="J1816" i="6"/>
  <c r="K1816" i="6"/>
  <c r="O119" i="5" s="1"/>
  <c r="AQ29" i="5"/>
  <c r="K343" i="6"/>
  <c r="N27" i="5" s="1"/>
  <c r="J343" i="6"/>
  <c r="AK47" i="5"/>
  <c r="AJ47" i="5"/>
  <c r="AI47" i="5"/>
  <c r="K703" i="6"/>
  <c r="V49" i="5" s="1"/>
  <c r="J703" i="6"/>
  <c r="K1627" i="6"/>
  <c r="R107" i="5" s="1"/>
  <c r="AF107" i="5" s="1"/>
  <c r="J1627" i="6"/>
  <c r="K2820" i="6"/>
  <c r="AA181" i="5" s="1"/>
  <c r="J2820" i="6"/>
  <c r="AP129" i="5"/>
  <c r="K1463" i="6"/>
  <c r="N97" i="5" s="1"/>
  <c r="J1463" i="6"/>
  <c r="AO150" i="5"/>
  <c r="K2303" i="6"/>
  <c r="V149" i="5" s="1"/>
  <c r="J2303" i="6"/>
  <c r="K2179" i="6"/>
  <c r="Z141" i="5" s="1"/>
  <c r="J2179" i="6"/>
  <c r="AO137" i="5"/>
  <c r="AI54" i="5"/>
  <c r="K2578" i="6"/>
  <c r="Y166" i="5" s="1"/>
  <c r="AP166" i="5" s="1"/>
  <c r="J2578" i="6"/>
  <c r="K2867" i="6"/>
  <c r="Z184" i="5" s="1"/>
  <c r="J2867" i="6"/>
  <c r="J3206" i="6"/>
  <c r="K3206" i="6"/>
  <c r="M206" i="5" s="1"/>
  <c r="J2014" i="6"/>
  <c r="K2014" i="6"/>
  <c r="U131" i="5" s="1"/>
  <c r="K3250" i="6"/>
  <c r="Y208" i="5" s="1"/>
  <c r="J3250" i="6"/>
  <c r="K976" i="6"/>
  <c r="W66" i="5" s="1"/>
  <c r="AL66" i="5" s="1"/>
  <c r="J976" i="6"/>
  <c r="J3335" i="6"/>
  <c r="K3335" i="6"/>
  <c r="N214" i="5" s="1"/>
  <c r="J2780" i="6"/>
  <c r="K2780" i="6"/>
  <c r="S179" i="5" s="1"/>
  <c r="AT112" i="5"/>
  <c r="AS112" i="5"/>
  <c r="AR112" i="5"/>
  <c r="K1344" i="6"/>
  <c r="W89" i="5" s="1"/>
  <c r="J1344" i="6"/>
  <c r="K228" i="6"/>
  <c r="AA19" i="5" s="1"/>
  <c r="J228" i="6"/>
  <c r="K2003" i="6"/>
  <c r="Z130" i="5" s="1"/>
  <c r="J2003" i="6"/>
  <c r="AR238" i="5"/>
  <c r="J3283" i="6"/>
  <c r="K3283" i="6"/>
  <c r="Z210" i="5" s="1"/>
  <c r="K3227" i="6"/>
  <c r="R207" i="5" s="1"/>
  <c r="J3227" i="6"/>
  <c r="J2370" i="6"/>
  <c r="K2370" i="6"/>
  <c r="Y153" i="5" s="1"/>
  <c r="J1684" i="6"/>
  <c r="K1684" i="6"/>
  <c r="AA110" i="5" s="1"/>
  <c r="AD112" i="5"/>
  <c r="AC112" i="5"/>
  <c r="AC79" i="5"/>
  <c r="AD79" i="5"/>
  <c r="AE79" i="5"/>
  <c r="K3144" i="6"/>
  <c r="O202" i="5" s="1"/>
  <c r="J3144" i="6"/>
  <c r="AR212" i="5"/>
  <c r="AT212" i="5"/>
  <c r="AS212" i="5"/>
  <c r="K1434" i="6"/>
  <c r="J1434" i="6"/>
  <c r="K239" i="6"/>
  <c r="V20" i="5" s="1"/>
  <c r="J239" i="6"/>
  <c r="J1127" i="6"/>
  <c r="K1127" i="6"/>
  <c r="N76" i="5" s="1"/>
  <c r="J1940" i="6"/>
  <c r="K1940" i="6"/>
  <c r="AA126" i="5" s="1"/>
  <c r="K651" i="6"/>
  <c r="R46" i="5" s="1"/>
  <c r="J651" i="6"/>
  <c r="K376" i="6"/>
  <c r="O29" i="5" s="1"/>
  <c r="J376" i="6"/>
  <c r="J1151" i="6"/>
  <c r="K1151" i="6"/>
  <c r="V77" i="5" s="1"/>
  <c r="AP72" i="5"/>
  <c r="AO72" i="5"/>
  <c r="J759" i="6"/>
  <c r="K759" i="6"/>
  <c r="N53" i="5" s="1"/>
  <c r="AD53" i="5" s="1"/>
  <c r="K2722" i="6"/>
  <c r="Y175" i="5" s="1"/>
  <c r="J2722" i="6"/>
  <c r="J180" i="6"/>
  <c r="K180" i="6"/>
  <c r="AA16" i="5" s="1"/>
  <c r="J432" i="6"/>
  <c r="K432" i="6"/>
  <c r="W32" i="5" s="1"/>
  <c r="K3508" i="6"/>
  <c r="AA224" i="5" s="1"/>
  <c r="J3508" i="6"/>
  <c r="AN217" i="5"/>
  <c r="AM217" i="5"/>
  <c r="AL217" i="5"/>
  <c r="K2215" i="6"/>
  <c r="N144" i="5" s="1"/>
  <c r="AE144" i="5" s="1"/>
  <c r="J2215" i="6"/>
  <c r="K3450" i="6"/>
  <c r="Q221" i="5" s="1"/>
  <c r="J3450" i="6"/>
  <c r="J1998" i="6"/>
  <c r="K1998" i="6"/>
  <c r="U130" i="5" s="1"/>
  <c r="AK130" i="5" s="1"/>
  <c r="AP90" i="5"/>
  <c r="AQ90" i="5"/>
  <c r="K3464" i="6"/>
  <c r="O222" i="5" s="1"/>
  <c r="AC222" i="5" s="1"/>
  <c r="J3464" i="6"/>
  <c r="K448" i="6"/>
  <c r="W33" i="5" s="1"/>
  <c r="AN33" i="5" s="1"/>
  <c r="J448" i="6"/>
  <c r="K2012" i="6"/>
  <c r="S131" i="5" s="1"/>
  <c r="J2012" i="6"/>
  <c r="J2836" i="6"/>
  <c r="K2836" i="6"/>
  <c r="AA182" i="5" s="1"/>
  <c r="K1256" i="6"/>
  <c r="O84" i="5" s="1"/>
  <c r="J1256" i="6"/>
  <c r="K596" i="6"/>
  <c r="AA42" i="5" s="1"/>
  <c r="J596" i="6"/>
  <c r="J2838" i="6"/>
  <c r="K2838" i="6"/>
  <c r="M183" i="5" s="1"/>
  <c r="K3590" i="6"/>
  <c r="M230" i="5" s="1"/>
  <c r="J3590" i="6"/>
  <c r="J1958" i="6"/>
  <c r="K1958" i="6"/>
  <c r="M128" i="5" s="1"/>
  <c r="K1512" i="6"/>
  <c r="O100" i="5" s="1"/>
  <c r="J1512" i="6"/>
  <c r="K3151" i="6"/>
  <c r="V202" i="5" s="1"/>
  <c r="J3151" i="6"/>
  <c r="J3234" i="6"/>
  <c r="K3234" i="6"/>
  <c r="Y207" i="5" s="1"/>
  <c r="J1984" i="6"/>
  <c r="K1984" i="6"/>
  <c r="W129" i="5" s="1"/>
  <c r="AT218" i="5"/>
  <c r="AR218" i="5"/>
  <c r="K2239" i="6"/>
  <c r="V145" i="5" s="1"/>
  <c r="J2239" i="6"/>
  <c r="K2291" i="6"/>
  <c r="Z148" i="5" s="1"/>
  <c r="J2291" i="6"/>
  <c r="K2310" i="6"/>
  <c r="M150" i="5" s="1"/>
  <c r="J2310" i="6"/>
  <c r="AS175" i="5"/>
  <c r="AT175" i="5"/>
  <c r="AR175" i="5"/>
  <c r="AN235" i="5"/>
  <c r="AM235" i="5"/>
  <c r="AL235" i="5"/>
  <c r="J3291" i="6"/>
  <c r="K3291" i="6"/>
  <c r="R211" i="5" s="1"/>
  <c r="J2972" i="6"/>
  <c r="K2972" i="6"/>
  <c r="S191" i="5" s="1"/>
  <c r="N35" i="10"/>
  <c r="J3510" i="6"/>
  <c r="K3510" i="6"/>
  <c r="M225" i="5" s="1"/>
  <c r="K2827" i="6"/>
  <c r="R182" i="5" s="1"/>
  <c r="J2827" i="6"/>
  <c r="AC135" i="5"/>
  <c r="AE120" i="5"/>
  <c r="AD120" i="5"/>
  <c r="AC120" i="5"/>
  <c r="K3404" i="6"/>
  <c r="S218" i="5" s="1"/>
  <c r="J3404" i="6"/>
  <c r="K2280" i="6"/>
  <c r="O148" i="5" s="1"/>
  <c r="J2280" i="6"/>
  <c r="AG230" i="5"/>
  <c r="AF230" i="5"/>
  <c r="AH230" i="5"/>
  <c r="K1520" i="6"/>
  <c r="W100" i="5" s="1"/>
  <c r="AL100" i="5" s="1"/>
  <c r="J1520" i="6"/>
  <c r="J2998" i="6"/>
  <c r="K2998" i="6"/>
  <c r="M193" i="5" s="1"/>
  <c r="J2710" i="6"/>
  <c r="K2710" i="6"/>
  <c r="M175" i="5" s="1"/>
  <c r="K3408" i="6"/>
  <c r="W218" i="5" s="1"/>
  <c r="J3408" i="6"/>
  <c r="J1664" i="6"/>
  <c r="K1664" i="6"/>
  <c r="W109" i="5" s="1"/>
  <c r="K1838" i="6"/>
  <c r="U120" i="5" s="1"/>
  <c r="AJ120" i="5" s="1"/>
  <c r="J1838" i="6"/>
  <c r="O35" i="10"/>
  <c r="R35" i="10" s="1"/>
  <c r="K2611" i="6"/>
  <c r="Z168" i="5" s="1"/>
  <c r="J2611" i="6"/>
  <c r="K2731" i="6"/>
  <c r="R176" i="5" s="1"/>
  <c r="J2731" i="6"/>
  <c r="K1826" i="6"/>
  <c r="Y119" i="5" s="1"/>
  <c r="J1826" i="6"/>
  <c r="K1755" i="6"/>
  <c r="R115" i="5" s="1"/>
  <c r="J1755" i="6"/>
  <c r="K3211" i="6"/>
  <c r="R206" i="5" s="1"/>
  <c r="J3211" i="6"/>
  <c r="J1928" i="6"/>
  <c r="K1928" i="6"/>
  <c r="O126" i="5" s="1"/>
  <c r="K1191" i="6"/>
  <c r="N80" i="5" s="1"/>
  <c r="AE80" i="5" s="1"/>
  <c r="J1191" i="6"/>
  <c r="K1828" i="6"/>
  <c r="AA119" i="5" s="1"/>
  <c r="J1828" i="6"/>
  <c r="J1456" i="6"/>
  <c r="K1456" i="6"/>
  <c r="W96" i="5" s="1"/>
  <c r="AK134" i="5"/>
  <c r="AI134" i="5"/>
  <c r="AJ134" i="5"/>
  <c r="AL122" i="5"/>
  <c r="AN122" i="5"/>
  <c r="AM122" i="5"/>
  <c r="J1922" i="6"/>
  <c r="K1922" i="6"/>
  <c r="Y125" i="5" s="1"/>
  <c r="AP125" i="5" s="1"/>
  <c r="AT127" i="5"/>
  <c r="AS127" i="5"/>
  <c r="AR127" i="5"/>
  <c r="J292" i="6"/>
  <c r="K292" i="6"/>
  <c r="AA23" i="5" s="1"/>
  <c r="K3232" i="6"/>
  <c r="W207" i="5" s="1"/>
  <c r="J3232" i="6"/>
  <c r="AQ223" i="5"/>
  <c r="AP223" i="5"/>
  <c r="AO223" i="5"/>
  <c r="J3592" i="6"/>
  <c r="K3592" i="6"/>
  <c r="O230" i="5" s="1"/>
  <c r="K3722" i="6"/>
  <c r="Q238" i="5" s="1"/>
  <c r="J3722" i="6"/>
  <c r="J2000" i="6"/>
  <c r="K2000" i="6"/>
  <c r="W130" i="5" s="1"/>
  <c r="AS146" i="5"/>
  <c r="AR146" i="5"/>
  <c r="K2212" i="6"/>
  <c r="AA143" i="5" s="1"/>
  <c r="J2212" i="6"/>
  <c r="K3552" i="6"/>
  <c r="W227" i="5" s="1"/>
  <c r="J3552" i="6"/>
  <c r="P35" i="10"/>
  <c r="J3112" i="6"/>
  <c r="K3112" i="6"/>
  <c r="O200" i="5" s="1"/>
  <c r="K3111" i="6"/>
  <c r="N200" i="5" s="1"/>
  <c r="J3111" i="6"/>
  <c r="J1898" i="6"/>
  <c r="K1898" i="6"/>
  <c r="Q124" i="5" s="1"/>
  <c r="K3168" i="6"/>
  <c r="W203" i="5" s="1"/>
  <c r="J3168" i="6"/>
  <c r="J1810" i="6"/>
  <c r="K1810" i="6"/>
  <c r="Y118" i="5" s="1"/>
  <c r="AP165" i="5"/>
  <c r="AO165" i="5"/>
  <c r="AQ165" i="5"/>
  <c r="K3086" i="6"/>
  <c r="U198" i="5" s="1"/>
  <c r="J3086" i="6"/>
  <c r="AT65" i="5"/>
  <c r="AR65" i="5"/>
  <c r="AS65" i="5"/>
  <c r="J2414" i="6"/>
  <c r="K2414" i="6"/>
  <c r="U156" i="5" s="1"/>
  <c r="AK156" i="5" s="1"/>
  <c r="K2035" i="6"/>
  <c r="Z132" i="5" s="1"/>
  <c r="J2035" i="6"/>
  <c r="K2934" i="6"/>
  <c r="M189" i="5" s="1"/>
  <c r="J2934" i="6"/>
  <c r="J1960" i="6"/>
  <c r="K1960" i="6"/>
  <c r="O128" i="5" s="1"/>
  <c r="K1003" i="6"/>
  <c r="R68" i="5" s="1"/>
  <c r="J1003" i="6"/>
  <c r="J1710" i="6"/>
  <c r="K1710" i="6"/>
  <c r="U112" i="5" s="1"/>
  <c r="AI112" i="5" s="1"/>
  <c r="J959" i="6"/>
  <c r="K959" i="6"/>
  <c r="V65" i="5" s="1"/>
  <c r="J2320" i="6"/>
  <c r="K2320" i="6"/>
  <c r="W150" i="5" s="1"/>
  <c r="J367" i="6"/>
  <c r="K367" i="6"/>
  <c r="V28" i="5" s="1"/>
  <c r="K503" i="6"/>
  <c r="N37" i="5" s="1"/>
  <c r="AC37" i="5" s="1"/>
  <c r="J503" i="6"/>
  <c r="AQ66" i="5"/>
  <c r="AP66" i="5"/>
  <c r="AO66" i="5"/>
  <c r="AK190" i="5"/>
  <c r="J1080" i="6"/>
  <c r="K1080" i="6"/>
  <c r="O73" i="5" s="1"/>
  <c r="K848" i="6"/>
  <c r="W58" i="5" s="1"/>
  <c r="J848" i="6"/>
  <c r="J1700" i="6"/>
  <c r="K1700" i="6"/>
  <c r="AA111" i="5" s="1"/>
  <c r="AF173" i="5"/>
  <c r="AG173" i="5"/>
  <c r="AP54" i="5"/>
  <c r="K387" i="6"/>
  <c r="Z29" i="5" s="1"/>
  <c r="J387" i="6"/>
  <c r="K987" i="6"/>
  <c r="R67" i="5" s="1"/>
  <c r="J987" i="6"/>
  <c r="AQ140" i="5"/>
  <c r="AG8" i="5"/>
  <c r="AF8" i="5"/>
  <c r="AP150" i="5"/>
  <c r="K2858" i="6"/>
  <c r="Q184" i="5" s="1"/>
  <c r="J2858" i="6"/>
  <c r="AJ54" i="5"/>
  <c r="AL13" i="5"/>
  <c r="K40" i="6"/>
  <c r="O8" i="5" s="1"/>
  <c r="J40" i="6"/>
  <c r="AF23" i="5"/>
  <c r="AG23" i="5"/>
  <c r="AH23" i="5"/>
  <c r="J2372" i="6"/>
  <c r="K2372" i="6"/>
  <c r="AA153" i="5" s="1"/>
  <c r="K1395" i="6"/>
  <c r="Z92" i="5" s="1"/>
  <c r="J1395" i="6"/>
  <c r="K2719" i="6"/>
  <c r="V175" i="5" s="1"/>
  <c r="J2719" i="6"/>
  <c r="K1508" i="6"/>
  <c r="AA99" i="5" s="1"/>
  <c r="AS99" i="5" s="1"/>
  <c r="J1508" i="6"/>
  <c r="K1746" i="6"/>
  <c r="Y114" i="5" s="1"/>
  <c r="AQ114" i="5" s="1"/>
  <c r="J1746" i="6"/>
  <c r="J807" i="6"/>
  <c r="K807" i="6"/>
  <c r="N56" i="5" s="1"/>
  <c r="J2642" i="6"/>
  <c r="K2642" i="6"/>
  <c r="Y170" i="5" s="1"/>
  <c r="AO169" i="5"/>
  <c r="J168" i="6"/>
  <c r="K168" i="6"/>
  <c r="O16" i="5" s="1"/>
  <c r="J599" i="6"/>
  <c r="K599" i="6"/>
  <c r="N43" i="5" s="1"/>
  <c r="J1999" i="6"/>
  <c r="K1999" i="6"/>
  <c r="V130" i="5" s="1"/>
  <c r="K816" i="6"/>
  <c r="W56" i="5" s="1"/>
  <c r="J816" i="6"/>
  <c r="K2028" i="6"/>
  <c r="S132" i="5" s="1"/>
  <c r="J2028" i="6"/>
  <c r="AH63" i="5"/>
  <c r="AG63" i="5"/>
  <c r="AF63" i="5"/>
  <c r="J1780" i="6"/>
  <c r="K1780" i="6"/>
  <c r="AA116" i="5" s="1"/>
  <c r="AR116" i="5" s="1"/>
  <c r="K1782" i="6"/>
  <c r="J1782" i="6"/>
  <c r="K628" i="6"/>
  <c r="AA44" i="5" s="1"/>
  <c r="J628" i="6"/>
  <c r="K1612" i="6"/>
  <c r="S106" i="5" s="1"/>
  <c r="J1612" i="6"/>
  <c r="AH187" i="5"/>
  <c r="AO140" i="5"/>
  <c r="J636" i="6"/>
  <c r="K636" i="6"/>
  <c r="S45" i="5" s="1"/>
  <c r="K1388" i="6"/>
  <c r="S92" i="5" s="1"/>
  <c r="J1388" i="6"/>
  <c r="K1248" i="6"/>
  <c r="W83" i="5" s="1"/>
  <c r="AL83" i="5" s="1"/>
  <c r="J1248" i="6"/>
  <c r="AM13" i="5"/>
  <c r="K1059" i="6"/>
  <c r="Z71" i="5" s="1"/>
  <c r="J1059" i="6"/>
  <c r="J3688" i="6"/>
  <c r="K3688" i="6"/>
  <c r="O236" i="5" s="1"/>
  <c r="AC236" i="5" s="1"/>
  <c r="K2334" i="6"/>
  <c r="U151" i="5" s="1"/>
  <c r="J2334" i="6"/>
  <c r="AT24" i="5"/>
  <c r="AS24" i="5"/>
  <c r="AR24" i="5"/>
  <c r="J1436" i="6"/>
  <c r="K1436" i="6"/>
  <c r="S95" i="5" s="1"/>
  <c r="J463" i="6"/>
  <c r="K463" i="6"/>
  <c r="V34" i="5" s="1"/>
  <c r="O6" i="5"/>
  <c r="R6" i="5"/>
  <c r="AM159" i="5"/>
  <c r="AL159" i="5"/>
  <c r="AN159" i="5"/>
  <c r="K2927" i="6"/>
  <c r="V188" i="5" s="1"/>
  <c r="J2927" i="6"/>
  <c r="AQ173" i="5"/>
  <c r="AO173" i="5"/>
  <c r="AP173" i="5"/>
  <c r="AO127" i="5"/>
  <c r="AP127" i="5"/>
  <c r="AQ127" i="5"/>
  <c r="K3003" i="6"/>
  <c r="R193" i="5" s="1"/>
  <c r="AG193" i="5" s="1"/>
  <c r="J3003" i="6"/>
  <c r="K2564" i="6"/>
  <c r="AA165" i="5" s="1"/>
  <c r="J2564" i="6"/>
  <c r="K2884" i="6"/>
  <c r="AA185" i="5" s="1"/>
  <c r="J2884" i="6"/>
  <c r="P31" i="10"/>
  <c r="AQ116" i="5"/>
  <c r="AP116" i="5"/>
  <c r="AO116" i="5"/>
  <c r="K2254" i="6"/>
  <c r="U146" i="5" s="1"/>
  <c r="J2254" i="6"/>
  <c r="K1866" i="6"/>
  <c r="Q122" i="5" s="1"/>
  <c r="J1866" i="6"/>
  <c r="J1802" i="6"/>
  <c r="K1802" i="6"/>
  <c r="Q118" i="5" s="1"/>
  <c r="AE165" i="5"/>
  <c r="AC165" i="5"/>
  <c r="AD165" i="5"/>
  <c r="J2046" i="6"/>
  <c r="K2046" i="6"/>
  <c r="U133" i="5" s="1"/>
  <c r="J1391" i="6"/>
  <c r="K1391" i="6"/>
  <c r="V92" i="5" s="1"/>
  <c r="J1084" i="6"/>
  <c r="K1084" i="6"/>
  <c r="S73" i="5" s="1"/>
  <c r="K1916" i="6"/>
  <c r="S125" i="5" s="1"/>
  <c r="J1916" i="6"/>
  <c r="J1011" i="6"/>
  <c r="K1011" i="6"/>
  <c r="Z68" i="5" s="1"/>
  <c r="AQ169" i="5"/>
  <c r="AO101" i="5"/>
  <c r="AQ101" i="5"/>
  <c r="AP101" i="5"/>
  <c r="K2786" i="6"/>
  <c r="Y179" i="5" s="1"/>
  <c r="J2786" i="6"/>
  <c r="K408" i="6"/>
  <c r="O31" i="5" s="1"/>
  <c r="J408" i="6"/>
  <c r="AS12" i="5"/>
  <c r="AR12" i="5"/>
  <c r="AT12" i="5"/>
  <c r="K647" i="6"/>
  <c r="N46" i="5" s="1"/>
  <c r="J647" i="6"/>
  <c r="K1859" i="6"/>
  <c r="Z121" i="5" s="1"/>
  <c r="J1859" i="6"/>
  <c r="AR8" i="5"/>
  <c r="J3170" i="6"/>
  <c r="K3170" i="6"/>
  <c r="Y203" i="5" s="1"/>
  <c r="AH223" i="5"/>
  <c r="AF223" i="5"/>
  <c r="AG187" i="5"/>
  <c r="AK13" i="5"/>
  <c r="AJ13" i="5"/>
  <c r="AI13" i="5"/>
  <c r="K1523" i="6"/>
  <c r="Z100" i="5" s="1"/>
  <c r="J1523" i="6"/>
  <c r="J428" i="6"/>
  <c r="K428" i="6"/>
  <c r="S32" i="5" s="1"/>
  <c r="AC24" i="5"/>
  <c r="AK35" i="5"/>
  <c r="AJ35" i="5"/>
  <c r="AI35" i="5"/>
  <c r="AK97" i="5"/>
  <c r="AC177" i="5"/>
  <c r="J191" i="6"/>
  <c r="K191" i="6"/>
  <c r="V17" i="5" s="1"/>
  <c r="AT146" i="5"/>
  <c r="AC63" i="5"/>
  <c r="AD63" i="5"/>
  <c r="AE63" i="5"/>
  <c r="AN75" i="5"/>
  <c r="AS221" i="5"/>
  <c r="AT221" i="5"/>
  <c r="AR221" i="5"/>
  <c r="J3702" i="6"/>
  <c r="K3702" i="6"/>
  <c r="M237" i="5" s="1"/>
  <c r="AT152" i="5"/>
  <c r="AR152" i="5"/>
  <c r="AS152" i="5"/>
  <c r="AM116" i="5"/>
  <c r="AL116" i="5"/>
  <c r="AN116" i="5"/>
  <c r="AG167" i="5"/>
  <c r="AH167" i="5"/>
  <c r="AF167" i="5"/>
  <c r="K3586" i="6"/>
  <c r="Y229" i="5" s="1"/>
  <c r="J3586" i="6"/>
  <c r="AM214" i="5"/>
  <c r="AL214" i="5"/>
  <c r="AN214" i="5"/>
  <c r="J1927" i="6"/>
  <c r="K1927" i="6"/>
  <c r="N126" i="5" s="1"/>
  <c r="AK69" i="5"/>
  <c r="AJ69" i="5"/>
  <c r="AI69" i="5"/>
  <c r="K3015" i="6"/>
  <c r="N194" i="5" s="1"/>
  <c r="J3015" i="6"/>
  <c r="K3107" i="6"/>
  <c r="Z199" i="5" s="1"/>
  <c r="J3107" i="6"/>
  <c r="K2851" i="6"/>
  <c r="Z183" i="5" s="1"/>
  <c r="J2851" i="6"/>
  <c r="J2376" i="6"/>
  <c r="K2376" i="6"/>
  <c r="O154" i="5" s="1"/>
  <c r="K3470" i="6"/>
  <c r="U222" i="5" s="1"/>
  <c r="J3470" i="6"/>
  <c r="J1514" i="6"/>
  <c r="K1514" i="6"/>
  <c r="Q100" i="5" s="1"/>
  <c r="AD13" i="5"/>
  <c r="AC13" i="5"/>
  <c r="AJ112" i="5"/>
  <c r="AQ212" i="5"/>
  <c r="AP212" i="5"/>
  <c r="AO212" i="5"/>
  <c r="AC65" i="5"/>
  <c r="AE65" i="5"/>
  <c r="K1682" i="6"/>
  <c r="Y110" i="5" s="1"/>
  <c r="J1682" i="6"/>
  <c r="J1723" i="6"/>
  <c r="K1723" i="6"/>
  <c r="R113" i="5" s="1"/>
  <c r="J1884" i="6"/>
  <c r="K1884" i="6"/>
  <c r="S123" i="5" s="1"/>
  <c r="K3726" i="6"/>
  <c r="U238" i="5" s="1"/>
  <c r="J3726" i="6"/>
  <c r="J1983" i="6"/>
  <c r="K1983" i="6"/>
  <c r="V129" i="5" s="1"/>
  <c r="AE229" i="5"/>
  <c r="K2532" i="6"/>
  <c r="AA163" i="5" s="1"/>
  <c r="J2532" i="6"/>
  <c r="K2475" i="6"/>
  <c r="R160" i="5" s="1"/>
  <c r="J2475" i="6"/>
  <c r="AH194" i="5"/>
  <c r="AG194" i="5"/>
  <c r="AF194" i="5"/>
  <c r="K2526" i="6"/>
  <c r="U163" i="5" s="1"/>
  <c r="J2526" i="6"/>
  <c r="K1642" i="6"/>
  <c r="Q108" i="5" s="1"/>
  <c r="J1642" i="6"/>
  <c r="J2248" i="6"/>
  <c r="K2248" i="6"/>
  <c r="O146" i="5" s="1"/>
  <c r="J1892" i="6"/>
  <c r="K1892" i="6"/>
  <c r="AA123" i="5" s="1"/>
  <c r="AT123" i="5" s="1"/>
  <c r="K31" i="6"/>
  <c r="V7" i="5" s="1"/>
  <c r="J31" i="6"/>
  <c r="J1908" i="6"/>
  <c r="K1908" i="6"/>
  <c r="AA124" i="5" s="1"/>
  <c r="J1823" i="6"/>
  <c r="K1823" i="6"/>
  <c r="V119" i="5" s="1"/>
  <c r="AN151" i="5"/>
  <c r="AM151" i="5"/>
  <c r="AL151" i="5"/>
  <c r="AL110" i="5"/>
  <c r="AN110" i="5"/>
  <c r="AM110" i="5"/>
  <c r="J199" i="6"/>
  <c r="K199" i="6"/>
  <c r="N18" i="5" s="1"/>
  <c r="K896" i="6"/>
  <c r="W61" i="5" s="1"/>
  <c r="J896" i="6"/>
  <c r="J328" i="6"/>
  <c r="K328" i="6"/>
  <c r="O26" i="5" s="1"/>
  <c r="K883" i="6"/>
  <c r="J883" i="6"/>
  <c r="AN128" i="5"/>
  <c r="AL128" i="5"/>
  <c r="J156" i="6"/>
  <c r="K156" i="6"/>
  <c r="S15" i="5" s="1"/>
  <c r="K311" i="6"/>
  <c r="N25" i="5" s="1"/>
  <c r="J311" i="6"/>
  <c r="P26" i="10"/>
  <c r="N26" i="10"/>
  <c r="O26" i="10"/>
  <c r="R26" i="10" s="1"/>
  <c r="Q26" i="10"/>
  <c r="X117" i="5"/>
  <c r="J2006" i="6"/>
  <c r="K2006" i="6"/>
  <c r="M131" i="5" s="1"/>
  <c r="J2198" i="6"/>
  <c r="K2198" i="6"/>
  <c r="M143" i="5" s="1"/>
  <c r="AT43" i="5"/>
  <c r="AS43" i="5"/>
  <c r="AR43" i="5"/>
  <c r="J3515" i="6"/>
  <c r="K3515" i="6"/>
  <c r="R225" i="5" s="1"/>
  <c r="K2266" i="6"/>
  <c r="Q147" i="5" s="1"/>
  <c r="J2266" i="6"/>
  <c r="J416" i="6"/>
  <c r="K416" i="6"/>
  <c r="W31" i="5" s="1"/>
  <c r="AN31" i="5" s="1"/>
  <c r="AD24" i="5"/>
  <c r="AJ97" i="5"/>
  <c r="K1443" i="6"/>
  <c r="Z95" i="5" s="1"/>
  <c r="J1443" i="6"/>
  <c r="AF171" i="5"/>
  <c r="J967" i="6"/>
  <c r="K967" i="6"/>
  <c r="N66" i="5" s="1"/>
  <c r="AG34" i="5"/>
  <c r="AD91" i="5"/>
  <c r="AK84" i="5"/>
  <c r="AI84" i="5"/>
  <c r="AJ84" i="5"/>
  <c r="K1763" i="6"/>
  <c r="Z115" i="5" s="1"/>
  <c r="J1763" i="6"/>
  <c r="AE7" i="5"/>
  <c r="AL186" i="5"/>
  <c r="AN186" i="5"/>
  <c r="AM186" i="5"/>
  <c r="J3487" i="6"/>
  <c r="K3487" i="6"/>
  <c r="V223" i="5" s="1"/>
  <c r="K2252" i="6"/>
  <c r="S146" i="5" s="1"/>
  <c r="J2252" i="6"/>
  <c r="K2730" i="6"/>
  <c r="Q176" i="5" s="1"/>
  <c r="J2730" i="6"/>
  <c r="J2950" i="6"/>
  <c r="K2950" i="6"/>
  <c r="M190" i="5" s="1"/>
  <c r="J1424" i="6"/>
  <c r="K1424" i="6"/>
  <c r="W94" i="5" s="1"/>
  <c r="K2567" i="6"/>
  <c r="N166" i="5" s="1"/>
  <c r="AC166" i="5" s="1"/>
  <c r="J2567" i="6"/>
  <c r="K2459" i="6"/>
  <c r="R159" i="5" s="1"/>
  <c r="AF159" i="5" s="1"/>
  <c r="J2459" i="6"/>
  <c r="J1948" i="6"/>
  <c r="K1948" i="6"/>
  <c r="S127" i="5" s="1"/>
  <c r="K1718" i="6"/>
  <c r="M113" i="5" s="1"/>
  <c r="J1718" i="6"/>
  <c r="J1460" i="6"/>
  <c r="K1460" i="6"/>
  <c r="AA96" i="5" s="1"/>
  <c r="K2124" i="6"/>
  <c r="S138" i="5" s="1"/>
  <c r="J2124" i="6"/>
  <c r="K492" i="6"/>
  <c r="S36" i="5" s="1"/>
  <c r="J492" i="6"/>
  <c r="K2366" i="6"/>
  <c r="U153" i="5" s="1"/>
  <c r="J2366" i="6"/>
  <c r="K1464" i="6"/>
  <c r="O97" i="5" s="1"/>
  <c r="J1464" i="6"/>
  <c r="AI16" i="5"/>
  <c r="AJ16" i="5"/>
  <c r="AK16" i="5"/>
  <c r="K208" i="6"/>
  <c r="W18" i="5" s="1"/>
  <c r="J208" i="6"/>
  <c r="AR235" i="5"/>
  <c r="AT235" i="5"/>
  <c r="AS235" i="5"/>
  <c r="K2472" i="6"/>
  <c r="O160" i="5" s="1"/>
  <c r="AD160" i="5" s="1"/>
  <c r="J2472" i="6"/>
  <c r="AL195" i="5"/>
  <c r="AN195" i="5"/>
  <c r="AM195" i="5"/>
  <c r="K1994" i="6"/>
  <c r="Q130" i="5" s="1"/>
  <c r="J1994" i="6"/>
  <c r="J620" i="6"/>
  <c r="K620" i="6"/>
  <c r="S44" i="5" s="1"/>
  <c r="K2759" i="6"/>
  <c r="N178" i="5" s="1"/>
  <c r="J2759" i="6"/>
  <c r="K2876" i="6"/>
  <c r="S185" i="5" s="1"/>
  <c r="J2876" i="6"/>
  <c r="AD71" i="5"/>
  <c r="AE71" i="5"/>
  <c r="AC71" i="5"/>
  <c r="K1579" i="6"/>
  <c r="R104" i="5" s="1"/>
  <c r="AF104" i="5" s="1"/>
  <c r="J1579" i="6"/>
  <c r="K3480" i="6"/>
  <c r="O223" i="5" s="1"/>
  <c r="AC223" i="5" s="1"/>
  <c r="J3480" i="6"/>
  <c r="AK85" i="5"/>
  <c r="AJ85" i="5"/>
  <c r="AI85" i="5"/>
  <c r="J1695" i="6"/>
  <c r="K1695" i="6"/>
  <c r="V111" i="5" s="1"/>
  <c r="AN144" i="5"/>
  <c r="AM144" i="5"/>
  <c r="AL144" i="5"/>
  <c r="K3352" i="6"/>
  <c r="J3352" i="6"/>
  <c r="K3376" i="6"/>
  <c r="W216" i="5" s="1"/>
  <c r="J3376" i="6"/>
  <c r="J3691" i="6"/>
  <c r="K3691" i="6"/>
  <c r="R236" i="5" s="1"/>
  <c r="K3074" i="6"/>
  <c r="Y197" i="5" s="1"/>
  <c r="J3074" i="6"/>
  <c r="J2388" i="6"/>
  <c r="K2388" i="6"/>
  <c r="AA154" i="5" s="1"/>
  <c r="AE203" i="5"/>
  <c r="AD203" i="5"/>
  <c r="AC203" i="5"/>
  <c r="K1568" i="6"/>
  <c r="W103" i="5" s="1"/>
  <c r="AM103" i="5" s="1"/>
  <c r="J1568" i="6"/>
  <c r="K2436" i="6"/>
  <c r="AA157" i="5" s="1"/>
  <c r="J2436" i="6"/>
  <c r="K3259" i="6"/>
  <c r="R209" i="5" s="1"/>
  <c r="J3259" i="6"/>
  <c r="J3262" i="6"/>
  <c r="K3262" i="6"/>
  <c r="U209" i="5" s="1"/>
  <c r="K1216" i="6"/>
  <c r="W81" i="5" s="1"/>
  <c r="J1216" i="6"/>
  <c r="AQ104" i="5"/>
  <c r="AP104" i="5"/>
  <c r="K3416" i="6"/>
  <c r="O219" i="5" s="1"/>
  <c r="J3416" i="6"/>
  <c r="K927" i="6"/>
  <c r="V63" i="5" s="1"/>
  <c r="J927" i="6"/>
  <c r="J1595" i="6"/>
  <c r="K1595" i="6"/>
  <c r="R105" i="5" s="1"/>
  <c r="J776" i="6"/>
  <c r="K776" i="6"/>
  <c r="O54" i="5" s="1"/>
  <c r="AE54" i="5" s="1"/>
  <c r="K2772" i="6"/>
  <c r="AA178" i="5" s="1"/>
  <c r="AT178" i="5" s="1"/>
  <c r="J2772" i="6"/>
  <c r="AT213" i="5"/>
  <c r="AS213" i="5"/>
  <c r="AR213" i="5"/>
  <c r="J888" i="6"/>
  <c r="K888" i="6"/>
  <c r="O61" i="5" s="1"/>
  <c r="AT70" i="5"/>
  <c r="AS70" i="5"/>
  <c r="AR70" i="5"/>
  <c r="AJ67" i="5"/>
  <c r="J3156" i="6"/>
  <c r="K3156" i="6"/>
  <c r="AA202" i="5" s="1"/>
  <c r="AP224" i="5"/>
  <c r="AQ224" i="5"/>
  <c r="AF135" i="5"/>
  <c r="AG135" i="5"/>
  <c r="AH135" i="5"/>
  <c r="K1672" i="6"/>
  <c r="O110" i="5" s="1"/>
  <c r="J1672" i="6"/>
  <c r="AJ115" i="5"/>
  <c r="AT40" i="5"/>
  <c r="J1320" i="6"/>
  <c r="K1320" i="6"/>
  <c r="O88" i="5" s="1"/>
  <c r="AH171" i="5"/>
  <c r="J32" i="6"/>
  <c r="K32" i="6"/>
  <c r="W7" i="5" s="1"/>
  <c r="AF34" i="5"/>
  <c r="AH175" i="5"/>
  <c r="AG175" i="5"/>
  <c r="AS63" i="5"/>
  <c r="AT63" i="5"/>
  <c r="K2535" i="6"/>
  <c r="N164" i="5" s="1"/>
  <c r="J2535" i="6"/>
  <c r="J2080" i="6"/>
  <c r="K2080" i="6"/>
  <c r="W135" i="5" s="1"/>
  <c r="K1406" i="6"/>
  <c r="U93" i="5" s="1"/>
  <c r="J1406" i="6"/>
  <c r="AN140" i="5"/>
  <c r="AL140" i="5"/>
  <c r="J1963" i="6"/>
  <c r="K1963" i="6"/>
  <c r="R128" i="5" s="1"/>
  <c r="AS33" i="5"/>
  <c r="AT33" i="5"/>
  <c r="AR33" i="5"/>
  <c r="J27" i="6"/>
  <c r="K27" i="6"/>
  <c r="R7" i="5" s="1"/>
  <c r="AF7" i="5" s="1"/>
  <c r="K2211" i="6"/>
  <c r="Z143" i="5" s="1"/>
  <c r="J2211" i="6"/>
  <c r="AM164" i="5"/>
  <c r="AL164" i="5"/>
  <c r="AN164" i="5"/>
  <c r="J3572" i="6"/>
  <c r="K3572" i="6"/>
  <c r="AA228" i="5" s="1"/>
  <c r="J1640" i="6"/>
  <c r="K1640" i="6"/>
  <c r="O108" i="5" s="1"/>
  <c r="AC108" i="5" s="1"/>
  <c r="K2656" i="6"/>
  <c r="W171" i="5" s="1"/>
  <c r="J2656" i="6"/>
  <c r="K2944" i="6"/>
  <c r="W189" i="5" s="1"/>
  <c r="AN189" i="5" s="1"/>
  <c r="J2944" i="6"/>
  <c r="K2300" i="6"/>
  <c r="S149" i="5" s="1"/>
  <c r="J2300" i="6"/>
  <c r="J3631" i="6"/>
  <c r="K3631" i="6"/>
  <c r="V232" i="5" s="1"/>
  <c r="K192" i="6"/>
  <c r="W17" i="5" s="1"/>
  <c r="J192" i="6"/>
  <c r="I17" i="10"/>
  <c r="L17" i="10" s="1"/>
  <c r="T6" i="5"/>
  <c r="K2647" i="6"/>
  <c r="N171" i="5" s="1"/>
  <c r="J2647" i="6"/>
  <c r="K2932" i="6"/>
  <c r="AA188" i="5" s="1"/>
  <c r="J2932" i="6"/>
  <c r="K2548" i="6"/>
  <c r="AA164" i="5" s="1"/>
  <c r="J2548" i="6"/>
  <c r="AH145" i="5"/>
  <c r="AG145" i="5"/>
  <c r="AF145" i="5"/>
  <c r="J2086" i="6"/>
  <c r="K2086" i="6"/>
  <c r="M136" i="5" s="1"/>
  <c r="AE155" i="5"/>
  <c r="AD155" i="5"/>
  <c r="J880" i="6"/>
  <c r="K880" i="6"/>
  <c r="W60" i="5" s="1"/>
  <c r="J1952" i="6"/>
  <c r="K1952" i="6"/>
  <c r="W127" i="5" s="1"/>
  <c r="K1223" i="6"/>
  <c r="N82" i="5" s="1"/>
  <c r="J1223" i="6"/>
  <c r="AG92" i="5"/>
  <c r="J528" i="6"/>
  <c r="K528" i="6"/>
  <c r="W38" i="5" s="1"/>
  <c r="AN153" i="5"/>
  <c r="K3670" i="6"/>
  <c r="M235" i="5" s="1"/>
  <c r="J3670" i="6"/>
  <c r="J3436" i="6"/>
  <c r="K3436" i="6"/>
  <c r="S220" i="5" s="1"/>
  <c r="J2936" i="6"/>
  <c r="K2936" i="6"/>
  <c r="O189" i="5" s="1"/>
  <c r="AM196" i="5"/>
  <c r="AL196" i="5"/>
  <c r="AN196" i="5"/>
  <c r="J1944" i="6"/>
  <c r="K1944" i="6"/>
  <c r="O127" i="5" s="1"/>
  <c r="K2427" i="6"/>
  <c r="R157" i="5" s="1"/>
  <c r="J2427" i="6"/>
  <c r="AT211" i="5"/>
  <c r="AS211" i="5"/>
  <c r="AJ96" i="5"/>
  <c r="K3336" i="6"/>
  <c r="O214" i="5" s="1"/>
  <c r="J3336" i="6"/>
  <c r="K3100" i="6"/>
  <c r="S199" i="5" s="1"/>
  <c r="J3100" i="6"/>
  <c r="K3622" i="6"/>
  <c r="M232" i="5" s="1"/>
  <c r="J3622" i="6"/>
  <c r="AM163" i="5"/>
  <c r="AN163" i="5"/>
  <c r="AL163" i="5"/>
  <c r="AI147" i="5"/>
  <c r="AK147" i="5"/>
  <c r="AJ147" i="5"/>
  <c r="J1660" i="6"/>
  <c r="K1660" i="6"/>
  <c r="S109" i="5" s="1"/>
  <c r="AJ122" i="5"/>
  <c r="AI122" i="5"/>
  <c r="AK122" i="5"/>
  <c r="K2082" i="6"/>
  <c r="Y135" i="5" s="1"/>
  <c r="J2082" i="6"/>
  <c r="K1404" i="6"/>
  <c r="S93" i="5" s="1"/>
  <c r="J1404" i="6"/>
  <c r="J431" i="6"/>
  <c r="K431" i="6"/>
  <c r="V32" i="5" s="1"/>
  <c r="J3216" i="6"/>
  <c r="K3216" i="6"/>
  <c r="W206" i="5" s="1"/>
  <c r="K3226" i="6"/>
  <c r="Q207" i="5" s="1"/>
  <c r="AF207" i="5" s="1"/>
  <c r="J3226" i="6"/>
  <c r="K2340" i="6"/>
  <c r="AA151" i="5" s="1"/>
  <c r="J2340" i="6"/>
  <c r="J3603" i="6"/>
  <c r="K3603" i="6"/>
  <c r="Z230" i="5" s="1"/>
  <c r="K2970" i="6"/>
  <c r="Q191" i="5" s="1"/>
  <c r="AF191" i="5" s="1"/>
  <c r="J2970" i="6"/>
  <c r="K2792" i="6"/>
  <c r="O180" i="5" s="1"/>
  <c r="J2792" i="6"/>
  <c r="N31" i="10"/>
  <c r="J2454" i="6"/>
  <c r="K2454" i="6"/>
  <c r="M159" i="5" s="1"/>
  <c r="AN162" i="5"/>
  <c r="AM162" i="5"/>
  <c r="K1304" i="6"/>
  <c r="O87" i="5" s="1"/>
  <c r="J1304" i="6"/>
  <c r="K3522" i="6"/>
  <c r="Y225" i="5" s="1"/>
  <c r="J3522" i="6"/>
  <c r="K3244" i="6"/>
  <c r="S208" i="5" s="1"/>
  <c r="J3244" i="6"/>
  <c r="J3443" i="6"/>
  <c r="K3443" i="6"/>
  <c r="Z220" i="5" s="1"/>
  <c r="K2663" i="6"/>
  <c r="N172" i="5" s="1"/>
  <c r="AC172" i="5" s="1"/>
  <c r="J2663" i="6"/>
  <c r="AP177" i="5"/>
  <c r="AQ177" i="5"/>
  <c r="AO206" i="5"/>
  <c r="AP206" i="5"/>
  <c r="AQ206" i="5"/>
  <c r="AK135" i="5"/>
  <c r="AJ135" i="5"/>
  <c r="K2207" i="6"/>
  <c r="V143" i="5" s="1"/>
  <c r="J2207" i="6"/>
  <c r="J3468" i="6"/>
  <c r="K3468" i="6"/>
  <c r="S222" i="5" s="1"/>
  <c r="AE236" i="5"/>
  <c r="AD236" i="5"/>
  <c r="K2672" i="6"/>
  <c r="W172" i="5" s="1"/>
  <c r="J2672" i="6"/>
  <c r="J2882" i="6"/>
  <c r="K2882" i="6"/>
  <c r="Y185" i="5" s="1"/>
  <c r="K3324" i="6"/>
  <c r="S213" i="5" s="1"/>
  <c r="J3324" i="6"/>
  <c r="K3612" i="6"/>
  <c r="S231" i="5" s="1"/>
  <c r="J3612" i="6"/>
  <c r="K3294" i="6"/>
  <c r="U211" i="5" s="1"/>
  <c r="J3294" i="6"/>
  <c r="J1812" i="6"/>
  <c r="K1812" i="6"/>
  <c r="AA118" i="5" s="1"/>
  <c r="K3155" i="6"/>
  <c r="Z202" i="5" s="1"/>
  <c r="J3155" i="6"/>
  <c r="J1854" i="6"/>
  <c r="K1854" i="6"/>
  <c r="U121" i="5" s="1"/>
  <c r="AT131" i="5"/>
  <c r="AS131" i="5"/>
  <c r="AR131" i="5"/>
  <c r="K112" i="6"/>
  <c r="W12" i="5" s="1"/>
  <c r="J112" i="6"/>
  <c r="K536" i="6"/>
  <c r="O39" i="5" s="1"/>
  <c r="J536" i="6"/>
  <c r="K2534" i="6"/>
  <c r="M164" i="5" s="1"/>
  <c r="J2534" i="6"/>
  <c r="J3307" i="6"/>
  <c r="K3307" i="6"/>
  <c r="R212" i="5" s="1"/>
  <c r="AG212" i="5" s="1"/>
  <c r="J3440" i="6"/>
  <c r="K3440" i="6"/>
  <c r="W220" i="5" s="1"/>
  <c r="J3152" i="6"/>
  <c r="K3152" i="6"/>
  <c r="W202" i="5" s="1"/>
  <c r="K2508" i="6"/>
  <c r="S162" i="5" s="1"/>
  <c r="J2508" i="6"/>
  <c r="AM237" i="5"/>
  <c r="AN237" i="5"/>
  <c r="AL237" i="5"/>
  <c r="J3611" i="6"/>
  <c r="K3611" i="6"/>
  <c r="R231" i="5" s="1"/>
  <c r="K2706" i="6"/>
  <c r="Y174" i="5" s="1"/>
  <c r="J2706" i="6"/>
  <c r="K3210" i="6"/>
  <c r="Q206" i="5" s="1"/>
  <c r="J3210" i="6"/>
  <c r="K2968" i="6"/>
  <c r="O191" i="5" s="1"/>
  <c r="J2968" i="6"/>
  <c r="K2659" i="6"/>
  <c r="Z171" i="5" s="1"/>
  <c r="J2659" i="6"/>
  <c r="K2623" i="6"/>
  <c r="V169" i="5" s="1"/>
  <c r="J2623" i="6"/>
  <c r="J3434" i="6"/>
  <c r="K3434" i="6"/>
  <c r="Q220" i="5" s="1"/>
  <c r="K2112" i="6"/>
  <c r="W137" i="5" s="1"/>
  <c r="J2112" i="6"/>
  <c r="K1588" i="6"/>
  <c r="AA104" i="5" s="1"/>
  <c r="AR104" i="5" s="1"/>
  <c r="J1588" i="6"/>
  <c r="J1635" i="6"/>
  <c r="K1635" i="6"/>
  <c r="Z107" i="5" s="1"/>
  <c r="J3258" i="6"/>
  <c r="K3258" i="6"/>
  <c r="Q209" i="5" s="1"/>
  <c r="K2695" i="6"/>
  <c r="N174" i="5" s="1"/>
  <c r="J2695" i="6"/>
  <c r="J3636" i="6"/>
  <c r="K3636" i="6"/>
  <c r="AA232" i="5" s="1"/>
  <c r="J2636" i="6"/>
  <c r="K2636" i="6"/>
  <c r="S170" i="5" s="1"/>
  <c r="K2628" i="6"/>
  <c r="AA169" i="5" s="1"/>
  <c r="J2628" i="6"/>
  <c r="K2231" i="6"/>
  <c r="N145" i="5" s="1"/>
  <c r="J2231" i="6"/>
  <c r="K2674" i="6"/>
  <c r="Y172" i="5" s="1"/>
  <c r="J2674" i="6"/>
  <c r="J3287" i="6"/>
  <c r="K3287" i="6"/>
  <c r="N211" i="5" s="1"/>
  <c r="K891" i="6"/>
  <c r="R61" i="5" s="1"/>
  <c r="J891" i="6"/>
  <c r="K2959" i="6"/>
  <c r="V190" i="5" s="1"/>
  <c r="J2959" i="6"/>
  <c r="W6" i="5"/>
  <c r="K3176" i="6"/>
  <c r="O204" i="5" s="1"/>
  <c r="AC204" i="5" s="1"/>
  <c r="J3176" i="6"/>
  <c r="AG157" i="5"/>
  <c r="AH157" i="5"/>
  <c r="K1943" i="6"/>
  <c r="N127" i="5" s="1"/>
  <c r="AD127" i="5" s="1"/>
  <c r="J1943" i="6"/>
  <c r="K1016" i="6"/>
  <c r="O69" i="5" s="1"/>
  <c r="J1016" i="6"/>
  <c r="K2166" i="6"/>
  <c r="M141" i="5" s="1"/>
  <c r="J2166" i="6"/>
  <c r="AH148" i="5"/>
  <c r="AG148" i="5"/>
  <c r="AF148" i="5"/>
  <c r="K2575" i="6"/>
  <c r="V166" i="5" s="1"/>
  <c r="J2575" i="6"/>
  <c r="K2596" i="6"/>
  <c r="AA167" i="5" s="1"/>
  <c r="AS167" i="5" s="1"/>
  <c r="J2596" i="6"/>
  <c r="AJ8" i="5"/>
  <c r="AI8" i="5"/>
  <c r="AK8" i="5"/>
  <c r="AF37" i="5"/>
  <c r="AH37" i="5"/>
  <c r="AG37" i="5"/>
  <c r="AG126" i="5"/>
  <c r="AH126" i="5"/>
  <c r="AF126" i="5"/>
  <c r="AK34" i="5"/>
  <c r="AJ34" i="5"/>
  <c r="AI34" i="5"/>
  <c r="AT22" i="5"/>
  <c r="AS22" i="5"/>
  <c r="AR22" i="5"/>
  <c r="AQ112" i="5"/>
  <c r="AP112" i="5"/>
  <c r="AO112" i="5"/>
  <c r="J2764" i="6"/>
  <c r="K2764" i="6"/>
  <c r="S178" i="5" s="1"/>
  <c r="K1552" i="6"/>
  <c r="W102" i="5" s="1"/>
  <c r="J1552" i="6"/>
  <c r="K2191" i="6"/>
  <c r="V142" i="5" s="1"/>
  <c r="J2191" i="6"/>
  <c r="K1516" i="6"/>
  <c r="S100" i="5" s="1"/>
  <c r="J1516" i="6"/>
  <c r="J183" i="6"/>
  <c r="K183" i="6"/>
  <c r="N17" i="5" s="1"/>
  <c r="AK67" i="5"/>
  <c r="K2267" i="6"/>
  <c r="R147" i="5" s="1"/>
  <c r="J2267" i="6"/>
  <c r="K1992" i="6"/>
  <c r="O130" i="5" s="1"/>
  <c r="J1992" i="6"/>
  <c r="J1203" i="6"/>
  <c r="K1203" i="6"/>
  <c r="Z80" i="5" s="1"/>
  <c r="K1492" i="6"/>
  <c r="AA98" i="5" s="1"/>
  <c r="J1492" i="6"/>
  <c r="AL136" i="5"/>
  <c r="AM136" i="5"/>
  <c r="AN136" i="5"/>
  <c r="AD134" i="5"/>
  <c r="AC134" i="5"/>
  <c r="AE134" i="5"/>
  <c r="J932" i="6"/>
  <c r="K932" i="6"/>
  <c r="AA63" i="5" s="1"/>
  <c r="AR63" i="5" s="1"/>
  <c r="AQ91" i="5"/>
  <c r="AQ238" i="5"/>
  <c r="AP238" i="5"/>
  <c r="AO238" i="5"/>
  <c r="J719" i="6"/>
  <c r="K719" i="6"/>
  <c r="V50" i="5" s="1"/>
  <c r="AL67" i="5"/>
  <c r="AN67" i="5"/>
  <c r="J423" i="6"/>
  <c r="K423" i="6"/>
  <c r="N32" i="5" s="1"/>
  <c r="AP115" i="5"/>
  <c r="AH132" i="5"/>
  <c r="AE10" i="5"/>
  <c r="AD10" i="5"/>
  <c r="AC10" i="5"/>
  <c r="K3359" i="6"/>
  <c r="V215" i="5" s="1"/>
  <c r="J3359" i="6"/>
  <c r="AH155" i="5"/>
  <c r="AF155" i="5"/>
  <c r="K2091" i="6"/>
  <c r="R136" i="5" s="1"/>
  <c r="J2091" i="6"/>
  <c r="J2274" i="6"/>
  <c r="K2274" i="6"/>
  <c r="Y147" i="5" s="1"/>
  <c r="J2134" i="6"/>
  <c r="K2134" i="6"/>
  <c r="M139" i="5" s="1"/>
  <c r="K2863" i="6"/>
  <c r="V184" i="5" s="1"/>
  <c r="J2863" i="6"/>
  <c r="AQ193" i="5"/>
  <c r="AP193" i="5"/>
  <c r="AO193" i="5"/>
  <c r="AD184" i="5"/>
  <c r="AC184" i="5"/>
  <c r="AE184" i="5"/>
  <c r="K2435" i="6"/>
  <c r="Z157" i="5" s="1"/>
  <c r="J2435" i="6"/>
  <c r="AK203" i="5"/>
  <c r="AJ203" i="5"/>
  <c r="AI203" i="5"/>
  <c r="J1886" i="6"/>
  <c r="K1886" i="6"/>
  <c r="U123" i="5" s="1"/>
  <c r="K1972" i="6"/>
  <c r="AA128" i="5" s="1"/>
  <c r="J1972" i="6"/>
  <c r="AI90" i="5"/>
  <c r="AK90" i="5"/>
  <c r="AJ90" i="5"/>
  <c r="K2352" i="6"/>
  <c r="W152" i="5" s="1"/>
  <c r="J2352" i="6"/>
  <c r="J2196" i="6"/>
  <c r="K2196" i="6"/>
  <c r="AA142" i="5" s="1"/>
  <c r="K1527" i="6"/>
  <c r="N101" i="5" s="1"/>
  <c r="AE101" i="5" s="1"/>
  <c r="J1527" i="6"/>
  <c r="J1626" i="6"/>
  <c r="K1626" i="6"/>
  <c r="Q107" i="5" s="1"/>
  <c r="J2118" i="6"/>
  <c r="K2118" i="6"/>
  <c r="M138" i="5" s="1"/>
  <c r="J3651" i="6"/>
  <c r="K3651" i="6"/>
  <c r="Z233" i="5" s="1"/>
  <c r="J2346" i="6"/>
  <c r="K2346" i="6"/>
  <c r="Q152" i="5" s="1"/>
  <c r="AO166" i="5"/>
  <c r="AQ166" i="5"/>
  <c r="K2671" i="6"/>
  <c r="V172" i="5" s="1"/>
  <c r="J2671" i="6"/>
  <c r="K2083" i="6"/>
  <c r="Z135" i="5" s="1"/>
  <c r="J2083" i="6"/>
  <c r="J3544" i="6"/>
  <c r="K3544" i="6"/>
  <c r="O227" i="5" s="1"/>
  <c r="AE227" i="5" s="1"/>
  <c r="J695" i="6"/>
  <c r="K695" i="6"/>
  <c r="N49" i="5" s="1"/>
  <c r="AF137" i="5"/>
  <c r="AH137" i="5"/>
  <c r="J911" i="6"/>
  <c r="K911" i="6"/>
  <c r="V62" i="5" s="1"/>
  <c r="AI79" i="5"/>
  <c r="AK79" i="5"/>
  <c r="AJ79" i="5"/>
  <c r="K3486" i="6"/>
  <c r="U223" i="5" s="1"/>
  <c r="J3486" i="6"/>
  <c r="K2318" i="6"/>
  <c r="U150" i="5" s="1"/>
  <c r="J2318" i="6"/>
  <c r="J2250" i="6"/>
  <c r="K2250" i="6"/>
  <c r="Q146" i="5" s="1"/>
  <c r="J3507" i="6"/>
  <c r="K3507" i="6"/>
  <c r="Z224" i="5" s="1"/>
  <c r="J3446" i="6"/>
  <c r="K3446" i="6"/>
  <c r="M221" i="5" s="1"/>
  <c r="J2094" i="6"/>
  <c r="K2094" i="6"/>
  <c r="U136" i="5" s="1"/>
  <c r="AK136" i="5" s="1"/>
  <c r="J1183" i="6"/>
  <c r="K1183" i="6"/>
  <c r="V79" i="5" s="1"/>
  <c r="J1500" i="6"/>
  <c r="K1500" i="6"/>
  <c r="S99" i="5" s="1"/>
  <c r="K1490" i="6"/>
  <c r="Y98" i="5" s="1"/>
  <c r="AP98" i="5" s="1"/>
  <c r="J1490" i="6"/>
  <c r="K3296" i="6"/>
  <c r="W211" i="5" s="1"/>
  <c r="AM211" i="5" s="1"/>
  <c r="J3296" i="6"/>
  <c r="AD196" i="5"/>
  <c r="J1487" i="6"/>
  <c r="K1487" i="6"/>
  <c r="V98" i="5" s="1"/>
  <c r="K1068" i="6"/>
  <c r="S72" i="5" s="1"/>
  <c r="J1068" i="6"/>
  <c r="K1155" i="6"/>
  <c r="Z77" i="5" s="1"/>
  <c r="J1155" i="6"/>
  <c r="J1400" i="6"/>
  <c r="K1400" i="6"/>
  <c r="O93" i="5" s="1"/>
  <c r="K2894" i="6"/>
  <c r="U186" i="5" s="1"/>
  <c r="AJ186" i="5" s="1"/>
  <c r="J2894" i="6"/>
  <c r="K2358" i="6"/>
  <c r="M153" i="5" s="1"/>
  <c r="J2358" i="6"/>
  <c r="K2707" i="6"/>
  <c r="Z174" i="5" s="1"/>
  <c r="J2707" i="6"/>
  <c r="AS186" i="5"/>
  <c r="AT186" i="5"/>
  <c r="AR186" i="5"/>
  <c r="K3692" i="6"/>
  <c r="S236" i="5" s="1"/>
  <c r="J3692" i="6"/>
  <c r="K2783" i="6"/>
  <c r="V179" i="5" s="1"/>
  <c r="J2783" i="6"/>
  <c r="J1796" i="6"/>
  <c r="K1796" i="6"/>
  <c r="J1280" i="6"/>
  <c r="K1280" i="6"/>
  <c r="W85" i="5" s="1"/>
  <c r="K2099" i="6"/>
  <c r="Z136" i="5" s="1"/>
  <c r="J2099" i="6"/>
  <c r="AG232" i="5"/>
  <c r="AF232" i="5"/>
  <c r="K3398" i="6"/>
  <c r="M218" i="5" s="1"/>
  <c r="J3398" i="6"/>
  <c r="K2694" i="6"/>
  <c r="M174" i="5" s="1"/>
  <c r="J2694" i="6"/>
  <c r="K3059" i="6"/>
  <c r="Z196" i="5" s="1"/>
  <c r="J3059" i="6"/>
  <c r="J3268" i="6"/>
  <c r="K3268" i="6"/>
  <c r="AA209" i="5" s="1"/>
  <c r="AP236" i="5"/>
  <c r="AO236" i="5"/>
  <c r="AH228" i="5"/>
  <c r="AF228" i="5"/>
  <c r="AF181" i="5"/>
  <c r="K2831" i="6"/>
  <c r="V182" i="5" s="1"/>
  <c r="J2831" i="6"/>
  <c r="K1096" i="6"/>
  <c r="O74" i="5" s="1"/>
  <c r="J1096" i="6"/>
  <c r="K2031" i="6"/>
  <c r="V132" i="5" s="1"/>
  <c r="J2031" i="6"/>
  <c r="K2803" i="6"/>
  <c r="Z180" i="5" s="1"/>
  <c r="J2803" i="6"/>
  <c r="J2784" i="6"/>
  <c r="K2784" i="6"/>
  <c r="W179" i="5" s="1"/>
  <c r="AL200" i="5"/>
  <c r="K2840" i="6"/>
  <c r="O183" i="5" s="1"/>
  <c r="J2840" i="6"/>
  <c r="K1895" i="6"/>
  <c r="N124" i="5" s="1"/>
  <c r="AE124" i="5" s="1"/>
  <c r="J1895" i="6"/>
  <c r="K2579" i="6"/>
  <c r="Z166" i="5" s="1"/>
  <c r="J2579" i="6"/>
  <c r="K3520" i="6"/>
  <c r="W225" i="5" s="1"/>
  <c r="J3520" i="6"/>
  <c r="AM154" i="5"/>
  <c r="AN154" i="5"/>
  <c r="AL154" i="5"/>
  <c r="K2635" i="6"/>
  <c r="R170" i="5" s="1"/>
  <c r="AG170" i="5" s="1"/>
  <c r="J2635" i="6"/>
  <c r="K2808" i="6"/>
  <c r="O181" i="5" s="1"/>
  <c r="J2808" i="6"/>
  <c r="AQ199" i="5"/>
  <c r="AO199" i="5"/>
  <c r="AP199" i="5"/>
  <c r="K2632" i="6"/>
  <c r="O170" i="5" s="1"/>
  <c r="J2632" i="6"/>
  <c r="AP178" i="5"/>
  <c r="AO178" i="5"/>
  <c r="AQ178" i="5"/>
  <c r="K2499" i="6"/>
  <c r="Z161" i="5" s="1"/>
  <c r="J2499" i="6"/>
  <c r="AO79" i="5"/>
  <c r="AP79" i="5"/>
  <c r="J1648" i="6"/>
  <c r="K1648" i="6"/>
  <c r="J2862" i="6"/>
  <c r="K2862" i="6"/>
  <c r="U184" i="5" s="1"/>
  <c r="AK184" i="5" s="1"/>
  <c r="J2008" i="6"/>
  <c r="K2008" i="6"/>
  <c r="O131" i="5" s="1"/>
  <c r="K2540" i="6"/>
  <c r="S164" i="5" s="1"/>
  <c r="J2540" i="6"/>
  <c r="K2344" i="6"/>
  <c r="O152" i="5" s="1"/>
  <c r="J2344" i="6"/>
  <c r="J3619" i="6"/>
  <c r="K3619" i="6"/>
  <c r="Z231" i="5" s="1"/>
  <c r="J3511" i="6"/>
  <c r="K3511" i="6"/>
  <c r="N225" i="5" s="1"/>
  <c r="K3406" i="6"/>
  <c r="U218" i="5" s="1"/>
  <c r="J3406" i="6"/>
  <c r="K3000" i="6"/>
  <c r="O193" i="5" s="1"/>
  <c r="J3000" i="6"/>
  <c r="AP213" i="5"/>
  <c r="AO213" i="5"/>
  <c r="AQ213" i="5"/>
  <c r="K3286" i="6"/>
  <c r="M211" i="5" s="1"/>
  <c r="J3286" i="6"/>
  <c r="Q17" i="10"/>
  <c r="T217" i="5"/>
  <c r="K2995" i="6"/>
  <c r="Z192" i="5" s="1"/>
  <c r="J2995" i="6"/>
  <c r="K3183" i="6"/>
  <c r="V204" i="5" s="1"/>
  <c r="J3183" i="6"/>
  <c r="K3732" i="6"/>
  <c r="AA238" i="5" s="1"/>
  <c r="J3732" i="6"/>
  <c r="J2558" i="6"/>
  <c r="K2558" i="6"/>
  <c r="U165" i="5" s="1"/>
  <c r="AO180" i="5"/>
  <c r="AQ180" i="5"/>
  <c r="AP180" i="5"/>
  <c r="J3503" i="6"/>
  <c r="K3503" i="6"/>
  <c r="V224" i="5" s="1"/>
  <c r="K2547" i="6"/>
  <c r="Z164" i="5" s="1"/>
  <c r="J2547" i="6"/>
  <c r="AJ114" i="5"/>
  <c r="AI114" i="5"/>
  <c r="AK114" i="5"/>
  <c r="J2670" i="6"/>
  <c r="K2670" i="6"/>
  <c r="U172" i="5" s="1"/>
  <c r="AI172" i="5" s="1"/>
  <c r="AO201" i="5"/>
  <c r="AQ201" i="5"/>
  <c r="AP201" i="5"/>
  <c r="K2010" i="6"/>
  <c r="Q131" i="5" s="1"/>
  <c r="J2010" i="6"/>
  <c r="K2795" i="6"/>
  <c r="R180" i="5" s="1"/>
  <c r="AG180" i="5" s="1"/>
  <c r="J2795" i="6"/>
  <c r="J2624" i="6"/>
  <c r="K2624" i="6"/>
  <c r="W169" i="5" s="1"/>
  <c r="K3087" i="6"/>
  <c r="V198" i="5" s="1"/>
  <c r="J3087" i="6"/>
  <c r="K2572" i="6"/>
  <c r="S166" i="5" s="1"/>
  <c r="J2572" i="6"/>
  <c r="K2319" i="6"/>
  <c r="V150" i="5" s="1"/>
  <c r="J2319" i="6"/>
  <c r="J2740" i="6"/>
  <c r="K2740" i="6"/>
  <c r="AA176" i="5" s="1"/>
  <c r="K672" i="6"/>
  <c r="W47" i="5" s="1"/>
  <c r="J672" i="6"/>
  <c r="K1735" i="6"/>
  <c r="N114" i="5" s="1"/>
  <c r="J1735" i="6"/>
  <c r="P17" i="10"/>
  <c r="AJ128" i="5"/>
  <c r="AI128" i="5"/>
  <c r="AK128" i="5"/>
  <c r="K1252" i="6"/>
  <c r="AA83" i="5" s="1"/>
  <c r="J1252" i="6"/>
  <c r="AG191" i="5"/>
  <c r="K1319" i="6"/>
  <c r="N88" i="5" s="1"/>
  <c r="J1319" i="6"/>
  <c r="K1564" i="6"/>
  <c r="S103" i="5" s="1"/>
  <c r="J1564" i="6"/>
  <c r="AH48" i="5"/>
  <c r="AF48" i="5"/>
  <c r="AG48" i="5"/>
  <c r="K1039" i="6"/>
  <c r="V70" i="5" s="1"/>
  <c r="J1039" i="6"/>
  <c r="K767" i="6"/>
  <c r="V53" i="5" s="1"/>
  <c r="J767" i="6"/>
  <c r="K3546" i="6"/>
  <c r="Q227" i="5" s="1"/>
  <c r="J3546" i="6"/>
  <c r="K2507" i="6"/>
  <c r="R162" i="5" s="1"/>
  <c r="AG162" i="5" s="1"/>
  <c r="J2507" i="6"/>
  <c r="K1912" i="6"/>
  <c r="O125" i="5" s="1"/>
  <c r="J1912" i="6"/>
  <c r="K1659" i="6"/>
  <c r="R109" i="5" s="1"/>
  <c r="AG109" i="5" s="1"/>
  <c r="J1659" i="6"/>
  <c r="K983" i="6"/>
  <c r="N67" i="5" s="1"/>
  <c r="J983" i="6"/>
  <c r="K623" i="6"/>
  <c r="V44" i="5" s="1"/>
  <c r="J623" i="6"/>
  <c r="AE156" i="5"/>
  <c r="AC156" i="5"/>
  <c r="AE196" i="5"/>
  <c r="AN126" i="5"/>
  <c r="AM126" i="5"/>
  <c r="AL126" i="5"/>
  <c r="K176" i="6"/>
  <c r="W16" i="5" s="1"/>
  <c r="AM16" i="5" s="1"/>
  <c r="J176" i="6"/>
  <c r="AM27" i="5"/>
  <c r="AL27" i="5"/>
  <c r="AN27" i="5"/>
  <c r="AR211" i="5"/>
  <c r="J3346" i="6"/>
  <c r="K3346" i="6"/>
  <c r="Y214" i="5" s="1"/>
  <c r="AQ214" i="5" s="1"/>
  <c r="AI62" i="5"/>
  <c r="AK62" i="5"/>
  <c r="AJ62" i="5"/>
  <c r="AF50" i="5"/>
  <c r="K2699" i="6"/>
  <c r="R174" i="5" s="1"/>
  <c r="J2699" i="6"/>
  <c r="AS36" i="5"/>
  <c r="AR36" i="5"/>
  <c r="AT36" i="5"/>
  <c r="AS222" i="5"/>
  <c r="AT222" i="5"/>
  <c r="AR222" i="5"/>
  <c r="AH28" i="5"/>
  <c r="AG28" i="5"/>
  <c r="AF28" i="5"/>
  <c r="AG129" i="5"/>
  <c r="AH129" i="5"/>
  <c r="J2590" i="6"/>
  <c r="K2590" i="6"/>
  <c r="U167" i="5" s="1"/>
  <c r="K667" i="6"/>
  <c r="R47" i="5" s="1"/>
  <c r="J667" i="6"/>
  <c r="AF123" i="5"/>
  <c r="J1351" i="6"/>
  <c r="K1351" i="6"/>
  <c r="N90" i="5" s="1"/>
  <c r="AD90" i="5" s="1"/>
  <c r="K396" i="6"/>
  <c r="S30" i="5" s="1"/>
  <c r="J396" i="6"/>
  <c r="AO115" i="5"/>
  <c r="AS39" i="5"/>
  <c r="AR39" i="5"/>
  <c r="AF32" i="5"/>
  <c r="K1934" i="6"/>
  <c r="U126" i="5" s="1"/>
  <c r="J1934" i="6"/>
  <c r="K315" i="6"/>
  <c r="R25" i="5" s="1"/>
  <c r="J315" i="6"/>
  <c r="K3672" i="6"/>
  <c r="O235" i="5" s="1"/>
  <c r="J3672" i="6"/>
  <c r="K2202" i="6"/>
  <c r="Q143" i="5" s="1"/>
  <c r="AH143" i="5" s="1"/>
  <c r="J2202" i="6"/>
  <c r="J1667" i="6"/>
  <c r="K1667" i="6"/>
  <c r="Z109" i="5" s="1"/>
  <c r="AC19" i="5"/>
  <c r="J1546" i="6"/>
  <c r="K1546" i="6"/>
  <c r="K3011" i="6"/>
  <c r="Z193" i="5" s="1"/>
  <c r="J3011" i="6"/>
  <c r="AL193" i="5"/>
  <c r="AM193" i="5"/>
  <c r="AN193" i="5"/>
  <c r="K2850" i="6"/>
  <c r="Y183" i="5" s="1"/>
  <c r="AO183" i="5" s="1"/>
  <c r="J2850" i="6"/>
  <c r="J3407" i="6"/>
  <c r="K3407" i="6"/>
  <c r="V218" i="5" s="1"/>
  <c r="J3430" i="6"/>
  <c r="K3430" i="6"/>
  <c r="M220" i="5" s="1"/>
  <c r="K3243" i="6"/>
  <c r="R208" i="5" s="1"/>
  <c r="J3243" i="6"/>
  <c r="J3538" i="6"/>
  <c r="K3538" i="6"/>
  <c r="Y226" i="5" s="1"/>
  <c r="AO226" i="5" s="1"/>
  <c r="K2916" i="6"/>
  <c r="AA187" i="5" s="1"/>
  <c r="J2916" i="6"/>
  <c r="AQ211" i="5"/>
  <c r="AO211" i="5"/>
  <c r="AP211" i="5"/>
  <c r="K1923" i="6"/>
  <c r="Z125" i="5" s="1"/>
  <c r="J1923" i="6"/>
  <c r="J3339" i="6"/>
  <c r="K3339" i="6"/>
  <c r="R214" i="5" s="1"/>
  <c r="J3579" i="6"/>
  <c r="K3579" i="6"/>
  <c r="R229" i="5" s="1"/>
  <c r="J2846" i="6"/>
  <c r="K2846" i="6"/>
  <c r="U183" i="5" s="1"/>
  <c r="AI183" i="5" s="1"/>
  <c r="AP143" i="5"/>
  <c r="AO143" i="5"/>
  <c r="AQ143" i="5"/>
  <c r="K2980" i="6"/>
  <c r="AA191" i="5" s="1"/>
  <c r="AR191" i="5" s="1"/>
  <c r="J2980" i="6"/>
  <c r="AC212" i="5"/>
  <c r="AD212" i="5"/>
  <c r="AE212" i="5"/>
  <c r="J1196" i="6"/>
  <c r="K1196" i="6"/>
  <c r="S80" i="5" s="1"/>
  <c r="J1950" i="6"/>
  <c r="K1950" i="6"/>
  <c r="U127" i="5" s="1"/>
  <c r="AT156" i="5"/>
  <c r="AS156" i="5"/>
  <c r="AR156" i="5"/>
  <c r="AE127" i="5"/>
  <c r="AC127" i="5"/>
  <c r="AC44" i="5"/>
  <c r="AE44" i="5"/>
  <c r="AD44" i="5"/>
  <c r="K456" i="6"/>
  <c r="O34" i="5" s="1"/>
  <c r="J456" i="6"/>
  <c r="K1864" i="6"/>
  <c r="O122" i="5" s="1"/>
  <c r="J1864" i="6"/>
  <c r="J1620" i="6"/>
  <c r="K1620" i="6"/>
  <c r="AA106" i="5" s="1"/>
  <c r="AE110" i="5"/>
  <c r="AD110" i="5"/>
  <c r="AC110" i="5"/>
  <c r="AT122" i="5"/>
  <c r="AS122" i="5"/>
  <c r="AR122" i="5"/>
  <c r="J744" i="6"/>
  <c r="K744" i="6"/>
  <c r="O52" i="5" s="1"/>
  <c r="AD52" i="5" s="1"/>
  <c r="K1590" i="6"/>
  <c r="M105" i="5" s="1"/>
  <c r="J1590" i="6"/>
  <c r="AK58" i="5"/>
  <c r="AJ58" i="5"/>
  <c r="AI58" i="5"/>
  <c r="AQ25" i="5"/>
  <c r="AP25" i="5"/>
  <c r="AO25" i="5"/>
  <c r="J232" i="6"/>
  <c r="K232" i="6"/>
  <c r="O20" i="5" s="1"/>
  <c r="AE20" i="5" s="1"/>
  <c r="AK201" i="5"/>
  <c r="AJ201" i="5"/>
  <c r="AI201" i="5"/>
  <c r="K2339" i="6"/>
  <c r="Z151" i="5" s="1"/>
  <c r="J2339" i="6"/>
  <c r="J1586" i="6"/>
  <c r="K1586" i="6"/>
  <c r="Y104" i="5" s="1"/>
  <c r="AO104" i="5" s="1"/>
  <c r="AG155" i="5"/>
  <c r="K604" i="6"/>
  <c r="S43" i="5" s="1"/>
  <c r="J604" i="6"/>
  <c r="J583" i="6"/>
  <c r="K583" i="6"/>
  <c r="N42" i="5" s="1"/>
  <c r="AC42" i="5" s="1"/>
  <c r="K1903" i="6"/>
  <c r="V124" i="5" s="1"/>
  <c r="J1903" i="6"/>
  <c r="J439" i="6"/>
  <c r="K439" i="6"/>
  <c r="N33" i="5" s="1"/>
  <c r="AD78" i="5"/>
  <c r="AE78" i="5"/>
  <c r="AG123" i="5"/>
  <c r="J2007" i="6"/>
  <c r="K2007" i="6"/>
  <c r="N131" i="5" s="1"/>
  <c r="AC7" i="5"/>
  <c r="AH31" i="5"/>
  <c r="AH116" i="5"/>
  <c r="AH114" i="5"/>
  <c r="AG114" i="5"/>
  <c r="AF114" i="5"/>
  <c r="K2568" i="6"/>
  <c r="O166" i="5" s="1"/>
  <c r="J2568" i="6"/>
  <c r="AH64" i="5"/>
  <c r="AG153" i="5"/>
  <c r="J384" i="6"/>
  <c r="K384" i="6"/>
  <c r="W29" i="5" s="1"/>
  <c r="AN29" i="5" s="1"/>
  <c r="K288" i="6"/>
  <c r="W23" i="5" s="1"/>
  <c r="J288" i="6"/>
  <c r="AG32" i="5"/>
  <c r="AC38" i="5"/>
  <c r="AE38" i="5"/>
  <c r="K1419" i="6"/>
  <c r="R94" i="5" s="1"/>
  <c r="J1419" i="6"/>
  <c r="K2574" i="6"/>
  <c r="U166" i="5" s="1"/>
  <c r="J2574" i="6"/>
  <c r="AC86" i="5"/>
  <c r="AE86" i="5"/>
  <c r="AD86" i="5"/>
  <c r="AM183" i="5"/>
  <c r="AL183" i="5"/>
  <c r="AN183" i="5"/>
  <c r="J2554" i="6"/>
  <c r="K2554" i="6"/>
  <c r="Q165" i="5" s="1"/>
  <c r="K1488" i="6"/>
  <c r="W98" i="5" s="1"/>
  <c r="J1488" i="6"/>
  <c r="AC173" i="5"/>
  <c r="AM161" i="5"/>
  <c r="AL161" i="5"/>
  <c r="AN161" i="5"/>
  <c r="AQ12" i="5"/>
  <c r="AQ188" i="5"/>
  <c r="AO188" i="5"/>
  <c r="AP188" i="5"/>
  <c r="AG133" i="5"/>
  <c r="AF133" i="5"/>
  <c r="K11" i="10"/>
  <c r="J3588" i="6"/>
  <c r="K3588" i="6"/>
  <c r="AA229" i="5" s="1"/>
  <c r="AH127" i="5"/>
  <c r="AG127" i="5"/>
  <c r="AF127" i="5"/>
  <c r="J3724" i="6"/>
  <c r="K3724" i="6"/>
  <c r="S238" i="5" s="1"/>
  <c r="J1543" i="6"/>
  <c r="K1543" i="6"/>
  <c r="N102" i="5" s="1"/>
  <c r="K1124" i="6"/>
  <c r="AA75" i="5" s="1"/>
  <c r="J1124" i="6"/>
  <c r="K516" i="6"/>
  <c r="AA37" i="5" s="1"/>
  <c r="J516" i="6"/>
  <c r="K2888" i="6"/>
  <c r="O186" i="5" s="1"/>
  <c r="J2888" i="6"/>
  <c r="AI86" i="5"/>
  <c r="AK86" i="5"/>
  <c r="AJ86" i="5"/>
  <c r="K411" i="6"/>
  <c r="R31" i="5" s="1"/>
  <c r="AF31" i="5" s="1"/>
  <c r="J411" i="6"/>
  <c r="K631" i="6"/>
  <c r="N45" i="5" s="1"/>
  <c r="J631" i="6"/>
  <c r="AH91" i="5"/>
  <c r="AF91" i="5"/>
  <c r="AG91" i="5"/>
  <c r="K164" i="6"/>
  <c r="AA15" i="5" s="1"/>
  <c r="J164" i="6"/>
  <c r="AD89" i="5"/>
  <c r="AC89" i="5"/>
  <c r="J96" i="6"/>
  <c r="K96" i="6"/>
  <c r="W11" i="5" s="1"/>
  <c r="AL11" i="5" s="1"/>
  <c r="K860" i="6"/>
  <c r="S59" i="5" s="1"/>
  <c r="J860" i="6"/>
  <c r="AK235" i="5"/>
  <c r="AJ235" i="5"/>
  <c r="AI235" i="5"/>
  <c r="J3455" i="6"/>
  <c r="K3455" i="6"/>
  <c r="V221" i="5" s="1"/>
  <c r="J2610" i="6"/>
  <c r="K2610" i="6"/>
  <c r="Y168" i="5" s="1"/>
  <c r="K3167" i="6"/>
  <c r="V203" i="5" s="1"/>
  <c r="J3167" i="6"/>
  <c r="K2102" i="6"/>
  <c r="M137" i="5" s="1"/>
  <c r="J2102" i="6"/>
  <c r="J3026" i="6"/>
  <c r="K3026" i="6"/>
  <c r="Y194" i="5" s="1"/>
  <c r="AR133" i="5"/>
  <c r="AT133" i="5"/>
  <c r="K3242" i="6"/>
  <c r="Q208" i="5" s="1"/>
  <c r="AF208" i="5" s="1"/>
  <c r="J3242" i="6"/>
  <c r="K2999" i="6"/>
  <c r="N193" i="5" s="1"/>
  <c r="J2999" i="6"/>
  <c r="AM201" i="5"/>
  <c r="AL201" i="5"/>
  <c r="AN201" i="5"/>
  <c r="K3640" i="6"/>
  <c r="O233" i="5" s="1"/>
  <c r="J3640" i="6"/>
  <c r="K3340" i="6"/>
  <c r="S214" i="5" s="1"/>
  <c r="J3340" i="6"/>
  <c r="K3312" i="6"/>
  <c r="W212" i="5" s="1"/>
  <c r="J3312" i="6"/>
  <c r="K2324" i="6"/>
  <c r="AA150" i="5" s="1"/>
  <c r="AS150" i="5" s="1"/>
  <c r="J2324" i="6"/>
  <c r="J3559" i="6"/>
  <c r="K3559" i="6"/>
  <c r="N228" i="5" s="1"/>
  <c r="K3618" i="6"/>
  <c r="Y231" i="5" s="1"/>
  <c r="J3618" i="6"/>
  <c r="AL181" i="5"/>
  <c r="AN181" i="5"/>
  <c r="AM181" i="5"/>
  <c r="AQ216" i="5"/>
  <c r="AP216" i="5"/>
  <c r="K3384" i="6"/>
  <c r="O217" i="5" s="1"/>
  <c r="J3384" i="6"/>
  <c r="K3498" i="6"/>
  <c r="Q224" i="5" s="1"/>
  <c r="J3498" i="6"/>
  <c r="J3427" i="6"/>
  <c r="K3427" i="6"/>
  <c r="Z219" i="5" s="1"/>
  <c r="K2592" i="6"/>
  <c r="W167" i="5" s="1"/>
  <c r="J2592" i="6"/>
  <c r="AR194" i="5"/>
  <c r="AT194" i="5"/>
  <c r="AS194" i="5"/>
  <c r="AS223" i="5"/>
  <c r="AR223" i="5"/>
  <c r="AT223" i="5"/>
  <c r="K1752" i="6"/>
  <c r="O115" i="5" s="1"/>
  <c r="AE115" i="5" s="1"/>
  <c r="J1752" i="6"/>
  <c r="J2206" i="6"/>
  <c r="K2206" i="6"/>
  <c r="U143" i="5" s="1"/>
  <c r="AO105" i="5"/>
  <c r="AP105" i="5"/>
  <c r="AQ105" i="5"/>
  <c r="K2107" i="6"/>
  <c r="R137" i="5" s="1"/>
  <c r="AG137" i="5" s="1"/>
  <c r="J2107" i="6"/>
  <c r="K2912" i="6"/>
  <c r="W187" i="5" s="1"/>
  <c r="AM187" i="5" s="1"/>
  <c r="J2912" i="6"/>
  <c r="K3558" i="6"/>
  <c r="M228" i="5" s="1"/>
  <c r="J3558" i="6"/>
  <c r="AM152" i="5"/>
  <c r="AN152" i="5"/>
  <c r="AL152" i="5"/>
  <c r="K3143" i="6"/>
  <c r="N202" i="5" s="1"/>
  <c r="J3143" i="6"/>
  <c r="AR99" i="5"/>
  <c r="J2024" i="6"/>
  <c r="K2024" i="6"/>
  <c r="O132" i="5" s="1"/>
  <c r="AF198" i="5"/>
  <c r="AH198" i="5"/>
  <c r="AG198" i="5"/>
  <c r="J2588" i="6"/>
  <c r="K2588" i="6"/>
  <c r="S167" i="5" s="1"/>
  <c r="K2387" i="6"/>
  <c r="Z154" i="5" s="1"/>
  <c r="J2387" i="6"/>
  <c r="K3252" i="6"/>
  <c r="AA208" i="5" s="1"/>
  <c r="J3252" i="6"/>
  <c r="K3235" i="6"/>
  <c r="Z207" i="5" s="1"/>
  <c r="J3235" i="6"/>
  <c r="J608" i="6"/>
  <c r="K608" i="6"/>
  <c r="W43" i="5" s="1"/>
  <c r="K1820" i="6"/>
  <c r="S119" i="5" s="1"/>
  <c r="J1820" i="6"/>
  <c r="K2522" i="6"/>
  <c r="Q163" i="5" s="1"/>
  <c r="J2522" i="6"/>
  <c r="K2791" i="6"/>
  <c r="N180" i="5" s="1"/>
  <c r="J2791" i="6"/>
  <c r="J3072" i="6"/>
  <c r="K3072" i="6"/>
  <c r="W197" i="5" s="1"/>
  <c r="AK78" i="5"/>
  <c r="AJ78" i="5"/>
  <c r="AI78" i="5"/>
  <c r="K1811" i="6"/>
  <c r="Z118" i="5" s="1"/>
  <c r="J1811" i="6"/>
  <c r="AQ83" i="5"/>
  <c r="K2960" i="6"/>
  <c r="W190" i="5" s="1"/>
  <c r="J2960" i="6"/>
  <c r="K2287" i="6"/>
  <c r="V148" i="5" s="1"/>
  <c r="J2287" i="6"/>
  <c r="K2428" i="6"/>
  <c r="S157" i="5" s="1"/>
  <c r="J2428" i="6"/>
  <c r="AG113" i="5"/>
  <c r="AH113" i="5"/>
  <c r="J655" i="6"/>
  <c r="K655" i="6"/>
  <c r="V46" i="5" s="1"/>
  <c r="K1179" i="6"/>
  <c r="R79" i="5" s="1"/>
  <c r="J1179" i="6"/>
  <c r="AT88" i="5"/>
  <c r="AR88" i="5"/>
  <c r="AG179" i="5"/>
  <c r="J1380" i="6"/>
  <c r="K1380" i="6"/>
  <c r="AA91" i="5" s="1"/>
  <c r="AT91" i="5" s="1"/>
  <c r="AJ176" i="5"/>
  <c r="AP136" i="5"/>
  <c r="AG11" i="5"/>
  <c r="AF11" i="5"/>
  <c r="AH11" i="5"/>
  <c r="J579" i="6"/>
  <c r="K579" i="6"/>
  <c r="Z41" i="5" s="1"/>
  <c r="J1524" i="6"/>
  <c r="K1524" i="6"/>
  <c r="AA100" i="5" s="1"/>
  <c r="AT116" i="5"/>
  <c r="AS116" i="5"/>
  <c r="J1251" i="6"/>
  <c r="K1251" i="6"/>
  <c r="Z83" i="5" s="1"/>
  <c r="J887" i="6"/>
  <c r="K887" i="6"/>
  <c r="N61" i="5" s="1"/>
  <c r="J1128" i="6"/>
  <c r="K1128" i="6"/>
  <c r="O76" i="5" s="1"/>
  <c r="AQ42" i="5"/>
  <c r="AQ16" i="5"/>
  <c r="H17" i="10" l="1"/>
  <c r="AG218" i="5"/>
  <c r="AQ98" i="5"/>
  <c r="AQ233" i="5"/>
  <c r="AO65" i="5"/>
  <c r="AQ65" i="5"/>
  <c r="AN131" i="5"/>
  <c r="AL131" i="5"/>
  <c r="AM131" i="5"/>
  <c r="AS189" i="5"/>
  <c r="AT189" i="5"/>
  <c r="AI204" i="5"/>
  <c r="K17" i="10"/>
  <c r="AT216" i="5"/>
  <c r="AS216" i="5"/>
  <c r="AR216" i="5"/>
  <c r="AH58" i="5"/>
  <c r="AF58" i="5"/>
  <c r="AG58" i="5"/>
  <c r="AF78" i="5"/>
  <c r="AG78" i="5"/>
  <c r="AH78" i="5"/>
  <c r="AQ204" i="5"/>
  <c r="AP204" i="5"/>
  <c r="AP65" i="5"/>
  <c r="AD54" i="5"/>
  <c r="F54" i="5" s="1"/>
  <c r="F54" i="2" s="1"/>
  <c r="J26" i="10"/>
  <c r="AM170" i="5"/>
  <c r="AL170" i="5"/>
  <c r="AN170" i="5"/>
  <c r="AQ68" i="5"/>
  <c r="AP68" i="5"/>
  <c r="AO68" i="5"/>
  <c r="AH26" i="5"/>
  <c r="AG26" i="5"/>
  <c r="AF26" i="5"/>
  <c r="AO77" i="5"/>
  <c r="AP77" i="5"/>
  <c r="AQ77" i="5"/>
  <c r="AQ131" i="5"/>
  <c r="AO131" i="5"/>
  <c r="AP131" i="5"/>
  <c r="AI74" i="5"/>
  <c r="AJ74" i="5"/>
  <c r="AK74" i="5"/>
  <c r="G74" i="5" s="1"/>
  <c r="G74" i="2" s="1"/>
  <c r="AI61" i="5"/>
  <c r="AC57" i="5"/>
  <c r="AD57" i="5"/>
  <c r="AE57" i="5"/>
  <c r="AI46" i="5"/>
  <c r="AK46" i="5"/>
  <c r="AJ46" i="5"/>
  <c r="I35" i="10"/>
  <c r="L35" i="10" s="1"/>
  <c r="S35" i="10" s="1"/>
  <c r="AG7" i="5"/>
  <c r="J35" i="10"/>
  <c r="AS40" i="5"/>
  <c r="AF54" i="5"/>
  <c r="AH54" i="5"/>
  <c r="AG50" i="5"/>
  <c r="AP187" i="5"/>
  <c r="AQ187" i="5"/>
  <c r="AO187" i="5"/>
  <c r="AG54" i="5"/>
  <c r="AF79" i="5"/>
  <c r="AK68" i="5"/>
  <c r="AM66" i="5"/>
  <c r="AH69" i="5"/>
  <c r="AD229" i="5"/>
  <c r="AP167" i="5"/>
  <c r="AH7" i="5"/>
  <c r="AT150" i="5"/>
  <c r="K35" i="10"/>
  <c r="AH178" i="5"/>
  <c r="AH144" i="5"/>
  <c r="G144" i="5" s="1"/>
  <c r="G144" i="2" s="1"/>
  <c r="AG144" i="5"/>
  <c r="AF144" i="5"/>
  <c r="AN35" i="5"/>
  <c r="AM35" i="5"/>
  <c r="F35" i="5" s="1"/>
  <c r="F35" i="2" s="1"/>
  <c r="AL35" i="5"/>
  <c r="AF69" i="5"/>
  <c r="AJ204" i="5"/>
  <c r="AI180" i="5"/>
  <c r="AK180" i="5"/>
  <c r="AJ180" i="5"/>
  <c r="AR94" i="5"/>
  <c r="AS94" i="5"/>
  <c r="AT94" i="5"/>
  <c r="AK139" i="5"/>
  <c r="AJ139" i="5"/>
  <c r="AI139" i="5"/>
  <c r="AF177" i="5"/>
  <c r="E177" i="5" s="1"/>
  <c r="E177" i="2" s="1"/>
  <c r="AQ134" i="5"/>
  <c r="AP134" i="5"/>
  <c r="AO134" i="5"/>
  <c r="AF65" i="5"/>
  <c r="AG65" i="5"/>
  <c r="AH65" i="5"/>
  <c r="AO60" i="5"/>
  <c r="AQ60" i="5"/>
  <c r="AP60" i="5"/>
  <c r="AN123" i="5"/>
  <c r="AL123" i="5"/>
  <c r="AM123" i="5"/>
  <c r="J17" i="10"/>
  <c r="AD163" i="5"/>
  <c r="AF158" i="5"/>
  <c r="AI17" i="5"/>
  <c r="AI10" i="5"/>
  <c r="E10" i="5" s="1"/>
  <c r="E10" i="2" s="1"/>
  <c r="AJ10" i="5"/>
  <c r="AK10" i="5"/>
  <c r="AO232" i="5"/>
  <c r="AG210" i="5"/>
  <c r="AF210" i="5"/>
  <c r="AQ46" i="5"/>
  <c r="AO46" i="5"/>
  <c r="AP46" i="5"/>
  <c r="AC109" i="5"/>
  <c r="AD109" i="5"/>
  <c r="AE109" i="5"/>
  <c r="AG22" i="5"/>
  <c r="AH22" i="5"/>
  <c r="AF22" i="5"/>
  <c r="AG43" i="5"/>
  <c r="N17" i="10"/>
  <c r="AE163" i="5"/>
  <c r="AG158" i="5"/>
  <c r="AI101" i="5"/>
  <c r="AI161" i="5"/>
  <c r="AJ17" i="5"/>
  <c r="AK89" i="5"/>
  <c r="AJ221" i="5"/>
  <c r="AE19" i="5"/>
  <c r="G19" i="5" s="1"/>
  <c r="G19" i="2" s="1"/>
  <c r="AH163" i="5"/>
  <c r="AO12" i="5"/>
  <c r="AD161" i="5"/>
  <c r="F161" i="5" s="1"/>
  <c r="F161" i="2" s="1"/>
  <c r="AH212" i="5"/>
  <c r="AK215" i="5"/>
  <c r="AR50" i="5"/>
  <c r="AS145" i="5"/>
  <c r="AD223" i="5"/>
  <c r="AT137" i="5"/>
  <c r="AJ161" i="5"/>
  <c r="AI70" i="5"/>
  <c r="AK70" i="5"/>
  <c r="AJ70" i="5"/>
  <c r="AK195" i="5"/>
  <c r="AR139" i="5"/>
  <c r="AG90" i="5"/>
  <c r="AO182" i="5"/>
  <c r="AP182" i="5"/>
  <c r="AQ182" i="5"/>
  <c r="AH90" i="5"/>
  <c r="AH83" i="5"/>
  <c r="AF83" i="5"/>
  <c r="AG83" i="5"/>
  <c r="AF115" i="5"/>
  <c r="AH35" i="5"/>
  <c r="AC162" i="5"/>
  <c r="AI215" i="5"/>
  <c r="AT145" i="5"/>
  <c r="AE223" i="5"/>
  <c r="AJ18" i="5"/>
  <c r="AD15" i="5"/>
  <c r="AE15" i="5"/>
  <c r="AC15" i="5"/>
  <c r="AG70" i="5"/>
  <c r="AF70" i="5"/>
  <c r="AH70" i="5"/>
  <c r="AI51" i="5"/>
  <c r="AK51" i="5"/>
  <c r="AD198" i="5"/>
  <c r="AC198" i="5"/>
  <c r="AE198" i="5"/>
  <c r="AG164" i="5"/>
  <c r="AF164" i="5"/>
  <c r="AJ63" i="5"/>
  <c r="AK63" i="5"/>
  <c r="AI63" i="5"/>
  <c r="AK37" i="5"/>
  <c r="AJ37" i="5"/>
  <c r="AI37" i="5"/>
  <c r="AL40" i="5"/>
  <c r="AN40" i="5"/>
  <c r="AM40" i="5"/>
  <c r="AF35" i="5"/>
  <c r="AH115" i="5"/>
  <c r="AP78" i="5"/>
  <c r="AQ78" i="5"/>
  <c r="AO78" i="5"/>
  <c r="AE11" i="5"/>
  <c r="G11" i="5" s="1"/>
  <c r="G11" i="2" s="1"/>
  <c r="AD11" i="5"/>
  <c r="AC11" i="5"/>
  <c r="E11" i="5" s="1"/>
  <c r="E11" i="2" s="1"/>
  <c r="AQ37" i="5"/>
  <c r="AO37" i="5"/>
  <c r="AP37" i="5"/>
  <c r="AI56" i="5"/>
  <c r="AO159" i="5"/>
  <c r="AQ159" i="5"/>
  <c r="AP159" i="5"/>
  <c r="AJ158" i="5"/>
  <c r="AM138" i="5"/>
  <c r="AJ61" i="5"/>
  <c r="AC35" i="5"/>
  <c r="AD59" i="5"/>
  <c r="AQ162" i="5"/>
  <c r="AC192" i="5"/>
  <c r="AE192" i="5"/>
  <c r="AD192" i="5"/>
  <c r="AE59" i="5"/>
  <c r="AG104" i="5"/>
  <c r="AF121" i="5"/>
  <c r="AG10" i="5"/>
  <c r="F10" i="5" s="1"/>
  <c r="F10" i="2" s="1"/>
  <c r="AO63" i="5"/>
  <c r="AC226" i="5"/>
  <c r="AQ186" i="5"/>
  <c r="P22" i="10"/>
  <c r="AQ55" i="5"/>
  <c r="AO55" i="5"/>
  <c r="AP55" i="5"/>
  <c r="AF56" i="5"/>
  <c r="AH56" i="5"/>
  <c r="AG56" i="5"/>
  <c r="AD42" i="5"/>
  <c r="AP164" i="5"/>
  <c r="AQ73" i="5"/>
  <c r="AP73" i="5"/>
  <c r="AO73" i="5"/>
  <c r="AM229" i="5"/>
  <c r="AM100" i="5"/>
  <c r="AD173" i="5"/>
  <c r="G64" i="5"/>
  <c r="G64" i="2" s="1"/>
  <c r="AE226" i="5"/>
  <c r="G226" i="5" s="1"/>
  <c r="G226" i="2" s="1"/>
  <c r="AJ195" i="5"/>
  <c r="AG107" i="5"/>
  <c r="AF157" i="5"/>
  <c r="AS104" i="5"/>
  <c r="AR190" i="5"/>
  <c r="AK183" i="5"/>
  <c r="AT108" i="5"/>
  <c r="AH156" i="5"/>
  <c r="AQ183" i="5"/>
  <c r="AD121" i="5"/>
  <c r="AE42" i="5"/>
  <c r="G42" i="5" s="1"/>
  <c r="G42" i="2" s="1"/>
  <c r="AR215" i="5"/>
  <c r="AF200" i="5"/>
  <c r="AD94" i="5"/>
  <c r="AS31" i="5"/>
  <c r="AN141" i="5"/>
  <c r="AG234" i="5"/>
  <c r="AC51" i="5"/>
  <c r="AP64" i="5"/>
  <c r="AO64" i="5"/>
  <c r="E64" i="5" s="1"/>
  <c r="E64" i="2" s="1"/>
  <c r="AQ64" i="5"/>
  <c r="AG112" i="5"/>
  <c r="AF112" i="5"/>
  <c r="AE47" i="5"/>
  <c r="AD47" i="5"/>
  <c r="AE201" i="5"/>
  <c r="AQ137" i="5"/>
  <c r="AO189" i="5"/>
  <c r="AQ189" i="5"/>
  <c r="AP189" i="5"/>
  <c r="AE185" i="5"/>
  <c r="H35" i="10"/>
  <c r="AI190" i="5"/>
  <c r="AH181" i="5"/>
  <c r="AK121" i="5"/>
  <c r="AO228" i="5"/>
  <c r="AC80" i="5"/>
  <c r="AP205" i="5"/>
  <c r="AO205" i="5"/>
  <c r="AQ205" i="5"/>
  <c r="AG138" i="5"/>
  <c r="I11" i="10"/>
  <c r="L11" i="10" s="1"/>
  <c r="S11" i="10" s="1"/>
  <c r="AT134" i="5"/>
  <c r="AG36" i="5"/>
  <c r="AF36" i="5"/>
  <c r="AH36" i="5"/>
  <c r="AF193" i="5"/>
  <c r="AK81" i="5"/>
  <c r="AR198" i="5"/>
  <c r="J11" i="10"/>
  <c r="AQ81" i="5"/>
  <c r="AO81" i="5"/>
  <c r="AP81" i="5"/>
  <c r="AH53" i="5"/>
  <c r="AL141" i="5"/>
  <c r="AG178" i="5"/>
  <c r="AR32" i="5"/>
  <c r="AS32" i="5"/>
  <c r="AT32" i="5"/>
  <c r="AS215" i="5"/>
  <c r="AH10" i="5"/>
  <c r="G10" i="5" s="1"/>
  <c r="G10" i="2" s="1"/>
  <c r="AF195" i="5"/>
  <c r="AL230" i="5"/>
  <c r="AF234" i="5"/>
  <c r="AF139" i="5"/>
  <c r="AN213" i="5"/>
  <c r="AL213" i="5"/>
  <c r="AM213" i="5"/>
  <c r="AO20" i="5"/>
  <c r="AP20" i="5"/>
  <c r="AQ20" i="5"/>
  <c r="AE135" i="5"/>
  <c r="AE222" i="5"/>
  <c r="AK158" i="5"/>
  <c r="AG143" i="5"/>
  <c r="AH43" i="5"/>
  <c r="AF151" i="5"/>
  <c r="AF138" i="5"/>
  <c r="AG77" i="5"/>
  <c r="AF170" i="5"/>
  <c r="AI68" i="5"/>
  <c r="AH104" i="5"/>
  <c r="AJ48" i="5"/>
  <c r="AI48" i="5"/>
  <c r="AS190" i="5"/>
  <c r="AE121" i="5"/>
  <c r="AR59" i="5"/>
  <c r="AT59" i="5"/>
  <c r="AS59" i="5"/>
  <c r="AQ232" i="5"/>
  <c r="AF156" i="5"/>
  <c r="AK112" i="5"/>
  <c r="AC94" i="5"/>
  <c r="AN100" i="5"/>
  <c r="AT104" i="5"/>
  <c r="K26" i="10"/>
  <c r="AK182" i="5"/>
  <c r="AG195" i="5"/>
  <c r="AD231" i="5"/>
  <c r="AG233" i="5"/>
  <c r="AS226" i="5"/>
  <c r="AN96" i="5"/>
  <c r="AP226" i="5"/>
  <c r="AM230" i="5"/>
  <c r="AI209" i="5"/>
  <c r="AS191" i="5"/>
  <c r="AK210" i="5"/>
  <c r="AJ210" i="5"/>
  <c r="AI210" i="5"/>
  <c r="AK25" i="5"/>
  <c r="AJ25" i="5"/>
  <c r="AI25" i="5"/>
  <c r="AP74" i="5"/>
  <c r="AQ74" i="5"/>
  <c r="AP35" i="5"/>
  <c r="AQ35" i="5"/>
  <c r="AO35" i="5"/>
  <c r="AQ192" i="5"/>
  <c r="AP192" i="5"/>
  <c r="AO192" i="5"/>
  <c r="AN209" i="5"/>
  <c r="AM209" i="5"/>
  <c r="AL209" i="5"/>
  <c r="AF77" i="5"/>
  <c r="AH55" i="5"/>
  <c r="AG55" i="5"/>
  <c r="AF55" i="5"/>
  <c r="AK221" i="5"/>
  <c r="AP228" i="5"/>
  <c r="AF143" i="5"/>
  <c r="AM210" i="5"/>
  <c r="AN210" i="5"/>
  <c r="AL210" i="5"/>
  <c r="AH170" i="5"/>
  <c r="AQ122" i="5"/>
  <c r="AP162" i="5"/>
  <c r="AG18" i="5"/>
  <c r="AH193" i="5"/>
  <c r="AK209" i="5"/>
  <c r="AI81" i="5"/>
  <c r="AP158" i="5"/>
  <c r="AC169" i="5"/>
  <c r="AI82" i="5"/>
  <c r="AJ82" i="5"/>
  <c r="AK82" i="5"/>
  <c r="AH18" i="5"/>
  <c r="AD169" i="5"/>
  <c r="AG121" i="5"/>
  <c r="AJ56" i="5"/>
  <c r="AN229" i="5"/>
  <c r="AM64" i="5"/>
  <c r="F64" i="5" s="1"/>
  <c r="F64" i="2" s="1"/>
  <c r="AG31" i="5"/>
  <c r="AJ183" i="5"/>
  <c r="AR108" i="5"/>
  <c r="AE51" i="5"/>
  <c r="AI182" i="5"/>
  <c r="AD224" i="5"/>
  <c r="AD124" i="5"/>
  <c r="AE21" i="5"/>
  <c r="AE231" i="5"/>
  <c r="AP141" i="5"/>
  <c r="AH233" i="5"/>
  <c r="AT226" i="5"/>
  <c r="AL96" i="5"/>
  <c r="AT20" i="5"/>
  <c r="AK118" i="5"/>
  <c r="AI175" i="5"/>
  <c r="AT31" i="5"/>
  <c r="AH39" i="5"/>
  <c r="AG39" i="5"/>
  <c r="AF39" i="5"/>
  <c r="AP107" i="5"/>
  <c r="AQ56" i="5"/>
  <c r="AP56" i="5"/>
  <c r="AO56" i="5"/>
  <c r="AR73" i="5"/>
  <c r="AS73" i="5"/>
  <c r="AT73" i="5"/>
  <c r="AH205" i="5"/>
  <c r="AG205" i="5"/>
  <c r="AF205" i="5"/>
  <c r="AJ87" i="5"/>
  <c r="AI87" i="5"/>
  <c r="AK87" i="5"/>
  <c r="AP128" i="5"/>
  <c r="AO128" i="5"/>
  <c r="AQ128" i="5"/>
  <c r="AO83" i="5"/>
  <c r="G54" i="5"/>
  <c r="G54" i="2" s="1"/>
  <c r="AN66" i="5"/>
  <c r="AE187" i="5"/>
  <c r="AD187" i="5"/>
  <c r="AC187" i="5"/>
  <c r="AK145" i="5"/>
  <c r="AJ145" i="5"/>
  <c r="AI145" i="5"/>
  <c r="AP160" i="5"/>
  <c r="AO160" i="5"/>
  <c r="AQ160" i="5"/>
  <c r="AE186" i="5"/>
  <c r="AL138" i="5"/>
  <c r="AK18" i="5"/>
  <c r="AN64" i="5"/>
  <c r="AT87" i="5"/>
  <c r="AH151" i="5"/>
  <c r="AP183" i="5"/>
  <c r="AO152" i="5"/>
  <c r="AP152" i="5"/>
  <c r="AQ152" i="5"/>
  <c r="AO164" i="5"/>
  <c r="AJ42" i="5"/>
  <c r="AI126" i="5"/>
  <c r="AE26" i="5"/>
  <c r="AP220" i="5"/>
  <c r="AF196" i="5"/>
  <c r="O19" i="10"/>
  <c r="R19" i="10" s="1"/>
  <c r="AH188" i="5"/>
  <c r="AC119" i="5"/>
  <c r="AR20" i="5"/>
  <c r="AH235" i="5"/>
  <c r="AK175" i="5"/>
  <c r="O17" i="10"/>
  <c r="R17" i="10" s="1"/>
  <c r="S17" i="10" s="1"/>
  <c r="Q7" i="10"/>
  <c r="AG75" i="5"/>
  <c r="AC185" i="5"/>
  <c r="AP69" i="5"/>
  <c r="AQ69" i="5"/>
  <c r="AO69" i="5"/>
  <c r="AK48" i="5"/>
  <c r="AP51" i="5"/>
  <c r="AQ51" i="5"/>
  <c r="AO51" i="5"/>
  <c r="E51" i="5" s="1"/>
  <c r="E51" i="2" s="1"/>
  <c r="AI11" i="5"/>
  <c r="AJ11" i="5"/>
  <c r="AK11" i="5"/>
  <c r="AO7" i="5"/>
  <c r="AQ7" i="5"/>
  <c r="AP7" i="5"/>
  <c r="I26" i="10"/>
  <c r="L26" i="10" s="1"/>
  <c r="AK116" i="5"/>
  <c r="AD35" i="5"/>
  <c r="AI159" i="5"/>
  <c r="AK159" i="5"/>
  <c r="AJ159" i="5"/>
  <c r="AF53" i="5"/>
  <c r="AJ130" i="5"/>
  <c r="AQ85" i="5"/>
  <c r="AP85" i="5"/>
  <c r="AO85" i="5"/>
  <c r="AF218" i="5"/>
  <c r="AO158" i="5"/>
  <c r="H11" i="10"/>
  <c r="AO151" i="5"/>
  <c r="AE224" i="5"/>
  <c r="AC21" i="5"/>
  <c r="AO141" i="5"/>
  <c r="AP151" i="5"/>
  <c r="AH196" i="5"/>
  <c r="AD219" i="5"/>
  <c r="F219" i="5" s="1"/>
  <c r="F219" i="2" s="1"/>
  <c r="AO98" i="5"/>
  <c r="AD119" i="5"/>
  <c r="AF235" i="5"/>
  <c r="AD181" i="5"/>
  <c r="AN158" i="5"/>
  <c r="AN199" i="5"/>
  <c r="AM199" i="5"/>
  <c r="AL199" i="5"/>
  <c r="AP80" i="5"/>
  <c r="AQ80" i="5"/>
  <c r="AO80" i="5"/>
  <c r="AN226" i="5"/>
  <c r="AL226" i="5"/>
  <c r="AM226" i="5"/>
  <c r="Q22" i="10"/>
  <c r="AQ44" i="5"/>
  <c r="AO44" i="5"/>
  <c r="AP44" i="5"/>
  <c r="AR87" i="5"/>
  <c r="AK91" i="5"/>
  <c r="AJ91" i="5"/>
  <c r="F91" i="5" s="1"/>
  <c r="F91" i="2" s="1"/>
  <c r="AI91" i="5"/>
  <c r="AG45" i="5"/>
  <c r="AF45" i="5"/>
  <c r="AH45" i="5"/>
  <c r="AP57" i="5"/>
  <c r="AO57" i="5"/>
  <c r="AQ57" i="5"/>
  <c r="Z117" i="5"/>
  <c r="Q31" i="10"/>
  <c r="AD222" i="5"/>
  <c r="AT198" i="5"/>
  <c r="AI130" i="5"/>
  <c r="AG44" i="5"/>
  <c r="F44" i="5" s="1"/>
  <c r="F44" i="2" s="1"/>
  <c r="AF44" i="5"/>
  <c r="O31" i="10"/>
  <c r="R31" i="10" s="1"/>
  <c r="AI176" i="5"/>
  <c r="AG51" i="5"/>
  <c r="AF51" i="5"/>
  <c r="AH51" i="5"/>
  <c r="AS58" i="5"/>
  <c r="AP155" i="5"/>
  <c r="AI42" i="5"/>
  <c r="AJ126" i="5"/>
  <c r="AQ220" i="5"/>
  <c r="N19" i="10"/>
  <c r="AF188" i="5"/>
  <c r="AH191" i="5"/>
  <c r="AN200" i="5"/>
  <c r="AG85" i="5"/>
  <c r="Q19" i="10"/>
  <c r="AC219" i="5"/>
  <c r="AS123" i="5"/>
  <c r="AJ65" i="5"/>
  <c r="AK65" i="5"/>
  <c r="AI65" i="5"/>
  <c r="AI229" i="5"/>
  <c r="AK229" i="5"/>
  <c r="AJ229" i="5"/>
  <c r="AH210" i="5"/>
  <c r="AS119" i="5"/>
  <c r="AT119" i="5"/>
  <c r="AR119" i="5"/>
  <c r="AI59" i="5"/>
  <c r="AK59" i="5"/>
  <c r="AJ59" i="5"/>
  <c r="AM225" i="5"/>
  <c r="AL225" i="5"/>
  <c r="AJ233" i="5"/>
  <c r="AI233" i="5"/>
  <c r="AK233" i="5"/>
  <c r="AG185" i="5"/>
  <c r="AH185" i="5"/>
  <c r="AF185" i="5"/>
  <c r="AL135" i="5"/>
  <c r="AN135" i="5"/>
  <c r="AM135" i="5"/>
  <c r="AE113" i="5"/>
  <c r="AD113" i="5"/>
  <c r="AC113" i="5"/>
  <c r="AH229" i="5"/>
  <c r="AG229" i="5"/>
  <c r="AF229" i="5"/>
  <c r="Q102" i="5"/>
  <c r="K12" i="10"/>
  <c r="AF130" i="5"/>
  <c r="AG130" i="5"/>
  <c r="AH130" i="5"/>
  <c r="AS71" i="5"/>
  <c r="AT71" i="5"/>
  <c r="AR71" i="5"/>
  <c r="AJ148" i="5"/>
  <c r="AI148" i="5"/>
  <c r="AK148" i="5"/>
  <c r="R73" i="5"/>
  <c r="K14" i="10"/>
  <c r="AJ211" i="5"/>
  <c r="AI211" i="5"/>
  <c r="AK211" i="5"/>
  <c r="AT238" i="5"/>
  <c r="AS238" i="5"/>
  <c r="AR220" i="5"/>
  <c r="AS220" i="5"/>
  <c r="AT220" i="5"/>
  <c r="AN167" i="5"/>
  <c r="AM167" i="5"/>
  <c r="AL167" i="5"/>
  <c r="AJ93" i="5"/>
  <c r="AI93" i="5"/>
  <c r="AK93" i="5"/>
  <c r="AR16" i="5"/>
  <c r="AS16" i="5"/>
  <c r="AT16" i="5"/>
  <c r="AD34" i="5"/>
  <c r="AC34" i="5"/>
  <c r="AE34" i="5"/>
  <c r="AD84" i="5"/>
  <c r="AC84" i="5"/>
  <c r="AE84" i="5"/>
  <c r="AK166" i="5"/>
  <c r="AI166" i="5"/>
  <c r="AJ166" i="5"/>
  <c r="AC202" i="5"/>
  <c r="AD202" i="5"/>
  <c r="AE202" i="5"/>
  <c r="AS219" i="5"/>
  <c r="AR219" i="5"/>
  <c r="AT219" i="5"/>
  <c r="AS125" i="5"/>
  <c r="AR125" i="5"/>
  <c r="AT125" i="5"/>
  <c r="AQ147" i="5"/>
  <c r="AO147" i="5"/>
  <c r="AP147" i="5"/>
  <c r="AI137" i="5"/>
  <c r="AK137" i="5"/>
  <c r="AJ137" i="5"/>
  <c r="AC102" i="5"/>
  <c r="AD102" i="5"/>
  <c r="AE102" i="5"/>
  <c r="W108" i="5"/>
  <c r="I22" i="10"/>
  <c r="L22" i="10" s="1"/>
  <c r="S22" i="10" s="1"/>
  <c r="J22" i="10"/>
  <c r="AH136" i="5"/>
  <c r="AG136" i="5"/>
  <c r="AF136" i="5"/>
  <c r="AM177" i="5"/>
  <c r="AN177" i="5"/>
  <c r="AL177" i="5"/>
  <c r="AD56" i="5"/>
  <c r="AE56" i="5"/>
  <c r="AC56" i="5"/>
  <c r="AF182" i="5"/>
  <c r="AG182" i="5"/>
  <c r="AD14" i="5"/>
  <c r="AC14" i="5"/>
  <c r="AE14" i="5"/>
  <c r="AT199" i="5"/>
  <c r="AR199" i="5"/>
  <c r="AS199" i="5"/>
  <c r="AS192" i="5"/>
  <c r="AR192" i="5"/>
  <c r="AT192" i="5"/>
  <c r="F135" i="5"/>
  <c r="F135" i="2" s="1"/>
  <c r="AD49" i="5"/>
  <c r="F49" i="5" s="1"/>
  <c r="F49" i="2" s="1"/>
  <c r="AE49" i="5"/>
  <c r="AC49" i="5"/>
  <c r="AF142" i="5"/>
  <c r="AH142" i="5"/>
  <c r="AG142" i="5"/>
  <c r="AN85" i="5"/>
  <c r="AM85" i="5"/>
  <c r="AL85" i="5"/>
  <c r="AT185" i="5"/>
  <c r="AS185" i="5"/>
  <c r="AR185" i="5"/>
  <c r="AF199" i="5"/>
  <c r="AH199" i="5"/>
  <c r="AT142" i="5"/>
  <c r="AS142" i="5"/>
  <c r="AR142" i="5"/>
  <c r="AI213" i="5"/>
  <c r="AJ213" i="5"/>
  <c r="AK213" i="5"/>
  <c r="Z60" i="5"/>
  <c r="J31" i="10"/>
  <c r="I31" i="10"/>
  <c r="L31" i="10" s="1"/>
  <c r="S31" i="10" s="1"/>
  <c r="J14" i="10"/>
  <c r="H31" i="10"/>
  <c r="AG118" i="5"/>
  <c r="AF118" i="5"/>
  <c r="AH118" i="5"/>
  <c r="AT130" i="5"/>
  <c r="AS130" i="5"/>
  <c r="AR130" i="5"/>
  <c r="AT98" i="5"/>
  <c r="AR98" i="5"/>
  <c r="AS98" i="5"/>
  <c r="E62" i="5"/>
  <c r="E62" i="2" s="1"/>
  <c r="AH94" i="5"/>
  <c r="AG94" i="5"/>
  <c r="AF94" i="5"/>
  <c r="AG25" i="5"/>
  <c r="AH25" i="5"/>
  <c r="AF25" i="5"/>
  <c r="AE67" i="5"/>
  <c r="AD67" i="5"/>
  <c r="AC67" i="5"/>
  <c r="AR80" i="5"/>
  <c r="AS80" i="5"/>
  <c r="AT80" i="5"/>
  <c r="AE149" i="5"/>
  <c r="AD149" i="5"/>
  <c r="AC149" i="5"/>
  <c r="E135" i="5"/>
  <c r="E135" i="2" s="1"/>
  <c r="AS107" i="5"/>
  <c r="AT107" i="5"/>
  <c r="AR107" i="5"/>
  <c r="G156" i="5"/>
  <c r="G156" i="2" s="1"/>
  <c r="AC46" i="5"/>
  <c r="AD46" i="5"/>
  <c r="AE46" i="5"/>
  <c r="AH122" i="5"/>
  <c r="AG122" i="5"/>
  <c r="AF122" i="5"/>
  <c r="AN51" i="5"/>
  <c r="AM51" i="5"/>
  <c r="AL51" i="5"/>
  <c r="AH189" i="5"/>
  <c r="AG189" i="5"/>
  <c r="AF189" i="5"/>
  <c r="AT105" i="5"/>
  <c r="AS105" i="5"/>
  <c r="AR105" i="5"/>
  <c r="AM46" i="5"/>
  <c r="AL46" i="5"/>
  <c r="AN46" i="5"/>
  <c r="AS44" i="5"/>
  <c r="AR44" i="5"/>
  <c r="AT44" i="5"/>
  <c r="G38" i="5"/>
  <c r="G38" i="2" s="1"/>
  <c r="AF211" i="5"/>
  <c r="AG211" i="5"/>
  <c r="AH211" i="5"/>
  <c r="AN160" i="5"/>
  <c r="AM160" i="5"/>
  <c r="AL160" i="5"/>
  <c r="AO92" i="5"/>
  <c r="AQ92" i="5"/>
  <c r="AP92" i="5"/>
  <c r="AE130" i="5"/>
  <c r="AC130" i="5"/>
  <c r="AD130" i="5"/>
  <c r="AN79" i="5"/>
  <c r="AM79" i="5"/>
  <c r="F79" i="5" s="1"/>
  <c r="F79" i="2" s="1"/>
  <c r="AL79" i="5"/>
  <c r="E79" i="5" s="1"/>
  <c r="E79" i="2" s="1"/>
  <c r="AR37" i="5"/>
  <c r="E37" i="5" s="1"/>
  <c r="E37" i="2" s="1"/>
  <c r="AT37" i="5"/>
  <c r="AS37" i="5"/>
  <c r="AI236" i="5"/>
  <c r="AK236" i="5"/>
  <c r="AJ236" i="5"/>
  <c r="AS102" i="5"/>
  <c r="AT102" i="5"/>
  <c r="AR102" i="5"/>
  <c r="AI117" i="5"/>
  <c r="AK117" i="5"/>
  <c r="AJ117" i="5"/>
  <c r="E161" i="5"/>
  <c r="E161" i="2" s="1"/>
  <c r="AN225" i="5"/>
  <c r="AH182" i="5"/>
  <c r="G182" i="5" s="1"/>
  <c r="G182" i="2" s="1"/>
  <c r="AL121" i="5"/>
  <c r="AM121" i="5"/>
  <c r="AN121" i="5"/>
  <c r="AK174" i="5"/>
  <c r="AI174" i="5"/>
  <c r="AJ174" i="5"/>
  <c r="N21" i="10"/>
  <c r="O21" i="10"/>
  <c r="R21" i="10" s="1"/>
  <c r="Q21" i="10"/>
  <c r="P21" i="10"/>
  <c r="V117" i="5"/>
  <c r="AD195" i="5"/>
  <c r="AC195" i="5"/>
  <c r="AE195" i="5"/>
  <c r="AD111" i="5"/>
  <c r="AC111" i="5"/>
  <c r="AE111" i="5"/>
  <c r="AN20" i="5"/>
  <c r="AM20" i="5"/>
  <c r="AL20" i="5"/>
  <c r="AS184" i="5"/>
  <c r="AT184" i="5"/>
  <c r="AR184" i="5"/>
  <c r="AT78" i="5"/>
  <c r="AR78" i="5"/>
  <c r="AS78" i="5"/>
  <c r="AM180" i="5"/>
  <c r="AN180" i="5"/>
  <c r="AL180" i="5"/>
  <c r="AS162" i="5"/>
  <c r="AT162" i="5"/>
  <c r="AR162" i="5"/>
  <c r="AG186" i="5"/>
  <c r="AF186" i="5"/>
  <c r="AH186" i="5"/>
  <c r="AT99" i="5"/>
  <c r="AG214" i="5"/>
  <c r="AH214" i="5"/>
  <c r="AF214" i="5"/>
  <c r="AN44" i="5"/>
  <c r="AM44" i="5"/>
  <c r="AL44" i="5"/>
  <c r="AF209" i="5"/>
  <c r="AG209" i="5"/>
  <c r="AH209" i="5"/>
  <c r="AI231" i="5"/>
  <c r="AJ231" i="5"/>
  <c r="AK231" i="5"/>
  <c r="AC136" i="5"/>
  <c r="AE136" i="5"/>
  <c r="AD136" i="5"/>
  <c r="F136" i="5" s="1"/>
  <c r="F136" i="2" s="1"/>
  <c r="AN111" i="5"/>
  <c r="AM111" i="5"/>
  <c r="AL111" i="5"/>
  <c r="AK127" i="5"/>
  <c r="AI127" i="5"/>
  <c r="E127" i="5" s="1"/>
  <c r="E127" i="2" s="1"/>
  <c r="AJ127" i="5"/>
  <c r="AS121" i="5"/>
  <c r="AT121" i="5"/>
  <c r="AR121" i="5"/>
  <c r="AI106" i="5"/>
  <c r="AK106" i="5"/>
  <c r="AJ106" i="5"/>
  <c r="AR58" i="5"/>
  <c r="AR168" i="5"/>
  <c r="AT168" i="5"/>
  <c r="AS168" i="5"/>
  <c r="AR42" i="5"/>
  <c r="AT42" i="5"/>
  <c r="AS42" i="5"/>
  <c r="AS61" i="5"/>
  <c r="AR61" i="5"/>
  <c r="AT61" i="5"/>
  <c r="AJ206" i="5"/>
  <c r="AI206" i="5"/>
  <c r="AK206" i="5"/>
  <c r="AN133" i="5"/>
  <c r="AL133" i="5"/>
  <c r="AM133" i="5"/>
  <c r="G177" i="5"/>
  <c r="G177" i="2" s="1"/>
  <c r="AG197" i="5"/>
  <c r="F197" i="5" s="1"/>
  <c r="F197" i="2" s="1"/>
  <c r="AF197" i="5"/>
  <c r="AH197" i="5"/>
  <c r="AI223" i="5"/>
  <c r="AJ223" i="5"/>
  <c r="AK223" i="5"/>
  <c r="AR227" i="5"/>
  <c r="AS227" i="5"/>
  <c r="AT227" i="5"/>
  <c r="AS149" i="5"/>
  <c r="AT149" i="5"/>
  <c r="AR149" i="5"/>
  <c r="AC107" i="5"/>
  <c r="AD107" i="5"/>
  <c r="AE107" i="5"/>
  <c r="AM220" i="5"/>
  <c r="AL220" i="5"/>
  <c r="AN220" i="5"/>
  <c r="AE75" i="5"/>
  <c r="AD75" i="5"/>
  <c r="AC75" i="5"/>
  <c r="AD133" i="5"/>
  <c r="AE48" i="5"/>
  <c r="AD48" i="5"/>
  <c r="AC48" i="5"/>
  <c r="AT75" i="5"/>
  <c r="AR75" i="5"/>
  <c r="AS75" i="5"/>
  <c r="AM198" i="5"/>
  <c r="AN198" i="5"/>
  <c r="AL198" i="5"/>
  <c r="AM204" i="5"/>
  <c r="AL204" i="5"/>
  <c r="AN204" i="5"/>
  <c r="AK208" i="5"/>
  <c r="AJ208" i="5"/>
  <c r="AI208" i="5"/>
  <c r="AQ135" i="5"/>
  <c r="AP135" i="5"/>
  <c r="AO135" i="5"/>
  <c r="AC146" i="5"/>
  <c r="AD146" i="5"/>
  <c r="AE146" i="5"/>
  <c r="AG6" i="5"/>
  <c r="AH6" i="5"/>
  <c r="AF6" i="5"/>
  <c r="AT111" i="5"/>
  <c r="AR111" i="5"/>
  <c r="AS111" i="5"/>
  <c r="Q95" i="5"/>
  <c r="I12" i="10"/>
  <c r="L12" i="10" s="1"/>
  <c r="S12" i="10" s="1"/>
  <c r="J12" i="10"/>
  <c r="K31" i="10"/>
  <c r="AK142" i="5"/>
  <c r="AJ142" i="5"/>
  <c r="AI142" i="5"/>
  <c r="AJ194" i="5"/>
  <c r="AK194" i="5"/>
  <c r="AI194" i="5"/>
  <c r="AI39" i="5"/>
  <c r="AK39" i="5"/>
  <c r="AJ39" i="5"/>
  <c r="AE123" i="5"/>
  <c r="AD123" i="5"/>
  <c r="AC123" i="5"/>
  <c r="AH86" i="5"/>
  <c r="AF86" i="5"/>
  <c r="AG86" i="5"/>
  <c r="F86" i="5" s="1"/>
  <c r="F86" i="2" s="1"/>
  <c r="AC178" i="5"/>
  <c r="AE178" i="5"/>
  <c r="AD178" i="5"/>
  <c r="AC133" i="5"/>
  <c r="AQ181" i="5"/>
  <c r="AP181" i="5"/>
  <c r="AO181" i="5"/>
  <c r="AT191" i="5"/>
  <c r="AC233" i="5"/>
  <c r="AD233" i="5"/>
  <c r="AE233" i="5"/>
  <c r="AI88" i="5"/>
  <c r="AK88" i="5"/>
  <c r="AJ88" i="5"/>
  <c r="AA7" i="5"/>
  <c r="H32" i="10"/>
  <c r="K32" i="10"/>
  <c r="J32" i="10"/>
  <c r="I32" i="10"/>
  <c r="L32" i="10" s="1"/>
  <c r="AQ139" i="5"/>
  <c r="AP139" i="5"/>
  <c r="AO139" i="5"/>
  <c r="AM118" i="5"/>
  <c r="AN118" i="5"/>
  <c r="AL118" i="5"/>
  <c r="AM38" i="5"/>
  <c r="F38" i="5" s="1"/>
  <c r="F38" i="2" s="1"/>
  <c r="AN38" i="5"/>
  <c r="AL38" i="5"/>
  <c r="E38" i="5" s="1"/>
  <c r="E38" i="2" s="1"/>
  <c r="AN43" i="5"/>
  <c r="AL43" i="5"/>
  <c r="AM43" i="5"/>
  <c r="AN76" i="5"/>
  <c r="AM76" i="5"/>
  <c r="AL76" i="5"/>
  <c r="AL61" i="5"/>
  <c r="AN61" i="5"/>
  <c r="AM61" i="5"/>
  <c r="AM26" i="5"/>
  <c r="AN26" i="5"/>
  <c r="G26" i="5" s="1"/>
  <c r="G26" i="2" s="1"/>
  <c r="AL26" i="5"/>
  <c r="AM12" i="5"/>
  <c r="AL12" i="5"/>
  <c r="E12" i="5" s="1"/>
  <c r="AN12" i="5"/>
  <c r="G12" i="5" s="1"/>
  <c r="I14" i="10"/>
  <c r="L14" i="10" s="1"/>
  <c r="S14" i="10" s="1"/>
  <c r="AH224" i="5"/>
  <c r="G224" i="5" s="1"/>
  <c r="G224" i="2" s="1"/>
  <c r="AG224" i="5"/>
  <c r="AF224" i="5"/>
  <c r="E224" i="5" s="1"/>
  <c r="E224" i="2" s="1"/>
  <c r="AR109" i="5"/>
  <c r="AT109" i="5"/>
  <c r="AS109" i="5"/>
  <c r="AC125" i="5"/>
  <c r="AE125" i="5"/>
  <c r="AD125" i="5"/>
  <c r="AE153" i="5"/>
  <c r="AC153" i="5"/>
  <c r="AD153" i="5"/>
  <c r="AT128" i="5"/>
  <c r="AR128" i="5"/>
  <c r="AS128" i="5"/>
  <c r="AN215" i="5"/>
  <c r="AM215" i="5"/>
  <c r="AL215" i="5"/>
  <c r="AC17" i="5"/>
  <c r="AE17" i="5"/>
  <c r="AD17" i="5"/>
  <c r="K22" i="10"/>
  <c r="AI163" i="5"/>
  <c r="AK163" i="5"/>
  <c r="AJ163" i="5"/>
  <c r="G65" i="5"/>
  <c r="G65" i="2" s="1"/>
  <c r="AM17" i="5"/>
  <c r="AN17" i="5"/>
  <c r="AL17" i="5"/>
  <c r="AR132" i="5"/>
  <c r="AS132" i="5"/>
  <c r="AT132" i="5"/>
  <c r="AK131" i="5"/>
  <c r="AJ131" i="5"/>
  <c r="AI131" i="5"/>
  <c r="P19" i="10"/>
  <c r="AT55" i="5"/>
  <c r="AS55" i="5"/>
  <c r="AR55" i="5"/>
  <c r="AD217" i="5"/>
  <c r="AE217" i="5"/>
  <c r="AC217" i="5"/>
  <c r="AI53" i="5"/>
  <c r="AJ53" i="5"/>
  <c r="F53" i="5" s="1"/>
  <c r="F53" i="2" s="1"/>
  <c r="AK53" i="5"/>
  <c r="AM228" i="5"/>
  <c r="AE166" i="5"/>
  <c r="AN11" i="5"/>
  <c r="S7" i="5"/>
  <c r="K16" i="10"/>
  <c r="J16" i="10"/>
  <c r="H16" i="10"/>
  <c r="I16" i="10"/>
  <c r="L16" i="10" s="1"/>
  <c r="S16" i="10" s="1"/>
  <c r="AR123" i="5"/>
  <c r="AS91" i="5"/>
  <c r="AC74" i="5"/>
  <c r="AP120" i="5"/>
  <c r="AO120" i="5"/>
  <c r="AQ120" i="5"/>
  <c r="AD58" i="5"/>
  <c r="AF131" i="5"/>
  <c r="AH131" i="5"/>
  <c r="AG131" i="5"/>
  <c r="AT206" i="5"/>
  <c r="AR206" i="5"/>
  <c r="AS206" i="5"/>
  <c r="AM219" i="5"/>
  <c r="AL219" i="5"/>
  <c r="AN219" i="5"/>
  <c r="G219" i="5" s="1"/>
  <c r="G219" i="2" s="1"/>
  <c r="AH107" i="5"/>
  <c r="AK14" i="5"/>
  <c r="AJ14" i="5"/>
  <c r="AI14" i="5"/>
  <c r="AI226" i="5"/>
  <c r="AK226" i="5"/>
  <c r="AJ226" i="5"/>
  <c r="AR91" i="5"/>
  <c r="AD74" i="5"/>
  <c r="AG33" i="5"/>
  <c r="AF33" i="5"/>
  <c r="AH33" i="5"/>
  <c r="AM57" i="5"/>
  <c r="AN57" i="5"/>
  <c r="AL57" i="5"/>
  <c r="AE41" i="5"/>
  <c r="AD41" i="5"/>
  <c r="AC41" i="5"/>
  <c r="AJ9" i="5"/>
  <c r="F9" i="5" s="1"/>
  <c r="F9" i="2" s="1"/>
  <c r="AK9" i="5"/>
  <c r="G9" i="5" s="1"/>
  <c r="G9" i="2" s="1"/>
  <c r="AI9" i="5"/>
  <c r="E9" i="5" s="1"/>
  <c r="E9" i="2" s="1"/>
  <c r="AN228" i="5"/>
  <c r="AE98" i="5"/>
  <c r="AD98" i="5"/>
  <c r="AC98" i="5"/>
  <c r="AM11" i="5"/>
  <c r="H19" i="10"/>
  <c r="AD80" i="5"/>
  <c r="AI219" i="5"/>
  <c r="AJ219" i="5"/>
  <c r="AK219" i="5"/>
  <c r="AK155" i="5"/>
  <c r="AK98" i="5"/>
  <c r="AI98" i="5"/>
  <c r="AQ226" i="5"/>
  <c r="AI232" i="5"/>
  <c r="AJ232" i="5"/>
  <c r="AK232" i="5"/>
  <c r="AM191" i="5"/>
  <c r="AN191" i="5"/>
  <c r="AL191" i="5"/>
  <c r="AC160" i="5"/>
  <c r="AN78" i="5"/>
  <c r="G78" i="5" s="1"/>
  <c r="G78" i="2" s="1"/>
  <c r="AM78" i="5"/>
  <c r="AL78" i="5"/>
  <c r="AM84" i="5"/>
  <c r="AN84" i="5"/>
  <c r="AL84" i="5"/>
  <c r="AJ202" i="5"/>
  <c r="AM157" i="5"/>
  <c r="AN157" i="5"/>
  <c r="AL157" i="5"/>
  <c r="AM73" i="5"/>
  <c r="AN73" i="5"/>
  <c r="AL73" i="5"/>
  <c r="J19" i="10"/>
  <c r="AS28" i="5"/>
  <c r="AT28" i="5"/>
  <c r="AR28" i="5"/>
  <c r="AF162" i="5"/>
  <c r="AN236" i="5"/>
  <c r="AM236" i="5"/>
  <c r="AL236" i="5"/>
  <c r="AI22" i="5"/>
  <c r="AJ22" i="5"/>
  <c r="AK22" i="5"/>
  <c r="AD213" i="5"/>
  <c r="AC213" i="5"/>
  <c r="AE213" i="5"/>
  <c r="G213" i="5" s="1"/>
  <c r="G213" i="2" s="1"/>
  <c r="AC68" i="5"/>
  <c r="E68" i="5" s="1"/>
  <c r="E68" i="2" s="1"/>
  <c r="AE68" i="5"/>
  <c r="AD68" i="5"/>
  <c r="AR126" i="5"/>
  <c r="AT126" i="5"/>
  <c r="AS126" i="5"/>
  <c r="AJ162" i="5"/>
  <c r="AI162" i="5"/>
  <c r="AK162" i="5"/>
  <c r="AT182" i="5"/>
  <c r="AS182" i="5"/>
  <c r="AR182" i="5"/>
  <c r="AC180" i="5"/>
  <c r="AE180" i="5"/>
  <c r="AD180" i="5"/>
  <c r="AH147" i="5"/>
  <c r="AG147" i="5"/>
  <c r="AF147" i="5"/>
  <c r="AC211" i="5"/>
  <c r="AD211" i="5"/>
  <c r="AE211" i="5"/>
  <c r="AF146" i="5"/>
  <c r="AH146" i="5"/>
  <c r="AG146" i="5"/>
  <c r="AM149" i="5"/>
  <c r="AN149" i="5"/>
  <c r="AL149" i="5"/>
  <c r="F116" i="5"/>
  <c r="F116" i="2" s="1"/>
  <c r="AT21" i="5"/>
  <c r="AS21" i="5"/>
  <c r="AR21" i="5"/>
  <c r="AJ100" i="5"/>
  <c r="AK100" i="5"/>
  <c r="AI100" i="5"/>
  <c r="AT95" i="5"/>
  <c r="AR95" i="5"/>
  <c r="AS95" i="5"/>
  <c r="AH180" i="5"/>
  <c r="AS15" i="5"/>
  <c r="AT15" i="5"/>
  <c r="AR15" i="5"/>
  <c r="AJ150" i="5"/>
  <c r="AK150" i="5"/>
  <c r="AI150" i="5"/>
  <c r="AM72" i="5"/>
  <c r="AN72" i="5"/>
  <c r="AL72" i="5"/>
  <c r="AE137" i="5"/>
  <c r="AC137" i="5"/>
  <c r="AD137" i="5"/>
  <c r="AI186" i="5"/>
  <c r="AR167" i="5"/>
  <c r="AN142" i="5"/>
  <c r="AL142" i="5"/>
  <c r="AM142" i="5"/>
  <c r="AD72" i="5"/>
  <c r="AM169" i="5"/>
  <c r="AL169" i="5"/>
  <c r="AN169" i="5"/>
  <c r="AC164" i="5"/>
  <c r="AE164" i="5"/>
  <c r="AD164" i="5"/>
  <c r="AC235" i="5"/>
  <c r="AD235" i="5"/>
  <c r="F235" i="5" s="1"/>
  <c r="F235" i="2" s="1"/>
  <c r="AE235" i="5"/>
  <c r="AR188" i="5"/>
  <c r="AT188" i="5"/>
  <c r="AS188" i="5"/>
  <c r="AC190" i="5"/>
  <c r="AE190" i="5"/>
  <c r="AD190" i="5"/>
  <c r="AD143" i="5"/>
  <c r="AC143" i="5"/>
  <c r="AE143" i="5"/>
  <c r="AH160" i="5"/>
  <c r="AF160" i="5"/>
  <c r="AG160" i="5"/>
  <c r="AR90" i="5"/>
  <c r="AN34" i="5"/>
  <c r="AM34" i="5"/>
  <c r="AL34" i="5"/>
  <c r="AE128" i="5"/>
  <c r="G128" i="5" s="1"/>
  <c r="G128" i="2" s="1"/>
  <c r="AD128" i="5"/>
  <c r="AC128" i="5"/>
  <c r="AL189" i="5"/>
  <c r="AD97" i="5"/>
  <c r="AC97" i="5"/>
  <c r="AE97" i="5"/>
  <c r="AH84" i="5"/>
  <c r="AF84" i="5"/>
  <c r="AG84" i="5"/>
  <c r="AL6" i="5"/>
  <c r="AN6" i="5"/>
  <c r="AM6" i="5"/>
  <c r="AQ184" i="5"/>
  <c r="AP184" i="5"/>
  <c r="AO184" i="5"/>
  <c r="AL101" i="5"/>
  <c r="AI136" i="5"/>
  <c r="AK202" i="5"/>
  <c r="AQ234" i="5"/>
  <c r="AE118" i="5"/>
  <c r="AD118" i="5"/>
  <c r="AC118" i="5"/>
  <c r="AT159" i="5"/>
  <c r="AS159" i="5"/>
  <c r="AR159" i="5"/>
  <c r="AF74" i="5"/>
  <c r="AG74" i="5"/>
  <c r="AK216" i="5"/>
  <c r="AJ216" i="5"/>
  <c r="AI216" i="5"/>
  <c r="AH14" i="5"/>
  <c r="AF14" i="5"/>
  <c r="AG14" i="5"/>
  <c r="AF98" i="5"/>
  <c r="AH98" i="5"/>
  <c r="AG98" i="5"/>
  <c r="AJ198" i="5"/>
  <c r="AI198" i="5"/>
  <c r="AK198" i="5"/>
  <c r="AK66" i="5"/>
  <c r="AI66" i="5"/>
  <c r="AJ66" i="5"/>
  <c r="AD26" i="5"/>
  <c r="AC26" i="5"/>
  <c r="AM91" i="5"/>
  <c r="AN91" i="5"/>
  <c r="G91" i="5" s="1"/>
  <c r="G91" i="2" s="1"/>
  <c r="AL91" i="5"/>
  <c r="AT197" i="5"/>
  <c r="AS197" i="5"/>
  <c r="AR197" i="5"/>
  <c r="AL97" i="5"/>
  <c r="AN97" i="5"/>
  <c r="AM97" i="5"/>
  <c r="AH110" i="5"/>
  <c r="AG110" i="5"/>
  <c r="AF110" i="5"/>
  <c r="AP106" i="5"/>
  <c r="AO106" i="5"/>
  <c r="AQ106" i="5"/>
  <c r="AQ207" i="5"/>
  <c r="AP207" i="5"/>
  <c r="AO207" i="5"/>
  <c r="AD166" i="5"/>
  <c r="AE104" i="5"/>
  <c r="AD104" i="5"/>
  <c r="AC104" i="5"/>
  <c r="E104" i="5" s="1"/>
  <c r="E104" i="2" s="1"/>
  <c r="AT92" i="5"/>
  <c r="AS92" i="5"/>
  <c r="AR92" i="5"/>
  <c r="AL49" i="5"/>
  <c r="AN49" i="5"/>
  <c r="AM49" i="5"/>
  <c r="AM238" i="5"/>
  <c r="AL238" i="5"/>
  <c r="AN238" i="5"/>
  <c r="AJ220" i="5"/>
  <c r="AI220" i="5"/>
  <c r="AK220" i="5"/>
  <c r="AN202" i="5"/>
  <c r="AM202" i="5"/>
  <c r="AL202" i="5"/>
  <c r="AD214" i="5"/>
  <c r="AC214" i="5"/>
  <c r="AE214" i="5"/>
  <c r="AK222" i="5"/>
  <c r="AI222" i="5"/>
  <c r="E222" i="5" s="1"/>
  <c r="E222" i="2" s="1"/>
  <c r="AJ222" i="5"/>
  <c r="AN171" i="5"/>
  <c r="AM171" i="5"/>
  <c r="AL171" i="5"/>
  <c r="I19" i="10"/>
  <c r="L19" i="10" s="1"/>
  <c r="S19" i="10" s="1"/>
  <c r="AH162" i="5"/>
  <c r="AE72" i="5"/>
  <c r="AN143" i="5"/>
  <c r="AM143" i="5"/>
  <c r="AL143" i="5"/>
  <c r="AT228" i="5"/>
  <c r="AS228" i="5"/>
  <c r="AR228" i="5"/>
  <c r="AH105" i="5"/>
  <c r="AG105" i="5"/>
  <c r="AF105" i="5"/>
  <c r="E13" i="5"/>
  <c r="E13" i="2" s="1"/>
  <c r="AL77" i="5"/>
  <c r="AN77" i="5"/>
  <c r="AM77" i="5"/>
  <c r="AM189" i="5"/>
  <c r="AD27" i="5"/>
  <c r="AC27" i="5"/>
  <c r="AE27" i="5"/>
  <c r="AD6" i="5"/>
  <c r="AE6" i="5"/>
  <c r="AC6" i="5"/>
  <c r="I21" i="10"/>
  <c r="L21" i="10" s="1"/>
  <c r="AS18" i="5"/>
  <c r="AT18" i="5"/>
  <c r="AR18" i="5"/>
  <c r="AJ113" i="5"/>
  <c r="AK113" i="5"/>
  <c r="AI113" i="5"/>
  <c r="AN101" i="5"/>
  <c r="AJ136" i="5"/>
  <c r="AE238" i="5"/>
  <c r="AD238" i="5"/>
  <c r="AT35" i="5"/>
  <c r="AR35" i="5"/>
  <c r="AS35" i="5"/>
  <c r="AP234" i="5"/>
  <c r="AD16" i="5"/>
  <c r="AC16" i="5"/>
  <c r="AE16" i="5"/>
  <c r="AH216" i="5"/>
  <c r="AF216" i="5"/>
  <c r="AG216" i="5"/>
  <c r="AO230" i="5"/>
  <c r="AQ230" i="5"/>
  <c r="AP230" i="5"/>
  <c r="AQ195" i="5"/>
  <c r="AP195" i="5"/>
  <c r="AO195" i="5"/>
  <c r="AC54" i="5"/>
  <c r="E54" i="5" s="1"/>
  <c r="E54" i="2" s="1"/>
  <c r="AS27" i="5"/>
  <c r="AR27" i="5"/>
  <c r="AT27" i="5"/>
  <c r="AM205" i="5"/>
  <c r="AL205" i="5"/>
  <c r="AN205" i="5"/>
  <c r="AJ184" i="5"/>
  <c r="AT217" i="5"/>
  <c r="AS217" i="5"/>
  <c r="AR217" i="5"/>
  <c r="AF101" i="5"/>
  <c r="AE53" i="5"/>
  <c r="AL47" i="5"/>
  <c r="AN47" i="5"/>
  <c r="AM47" i="5"/>
  <c r="AK186" i="5"/>
  <c r="AT167" i="5"/>
  <c r="AT157" i="5"/>
  <c r="AS157" i="5"/>
  <c r="AR157" i="5"/>
  <c r="AM102" i="5"/>
  <c r="AN102" i="5"/>
  <c r="AL102" i="5"/>
  <c r="AT171" i="5"/>
  <c r="AS171" i="5"/>
  <c r="AR171" i="5"/>
  <c r="AE39" i="5"/>
  <c r="AD39" i="5"/>
  <c r="AC39" i="5"/>
  <c r="AD171" i="5"/>
  <c r="AC171" i="5"/>
  <c r="AE171" i="5"/>
  <c r="AE131" i="5"/>
  <c r="AC131" i="5"/>
  <c r="AD131" i="5"/>
  <c r="AT163" i="5"/>
  <c r="AR163" i="5"/>
  <c r="AS163" i="5"/>
  <c r="F13" i="5"/>
  <c r="F13" i="2" s="1"/>
  <c r="AR100" i="5"/>
  <c r="AT100" i="5"/>
  <c r="AS100" i="5"/>
  <c r="AN28" i="5"/>
  <c r="G28" i="5" s="1"/>
  <c r="G28" i="2" s="1"/>
  <c r="AL28" i="5"/>
  <c r="E28" i="5" s="1"/>
  <c r="E28" i="2" s="1"/>
  <c r="AM28" i="5"/>
  <c r="H6" i="10"/>
  <c r="H21" i="10"/>
  <c r="AD148" i="5"/>
  <c r="AC148" i="5"/>
  <c r="AE148" i="5"/>
  <c r="AS177" i="5"/>
  <c r="AT177" i="5"/>
  <c r="AR177" i="5"/>
  <c r="AK154" i="5"/>
  <c r="AJ154" i="5"/>
  <c r="AI154" i="5"/>
  <c r="AN137" i="5"/>
  <c r="AM137" i="5"/>
  <c r="AL137" i="5"/>
  <c r="AF236" i="5"/>
  <c r="AH236" i="5"/>
  <c r="AG236" i="5"/>
  <c r="AK29" i="5"/>
  <c r="AJ29" i="5"/>
  <c r="AI29" i="5"/>
  <c r="AJ152" i="5"/>
  <c r="AI152" i="5"/>
  <c r="AK152" i="5"/>
  <c r="AI184" i="5"/>
  <c r="AS82" i="5"/>
  <c r="AT82" i="5"/>
  <c r="AR82" i="5"/>
  <c r="AD204" i="5"/>
  <c r="AG101" i="5"/>
  <c r="AS69" i="5"/>
  <c r="AT69" i="5"/>
  <c r="AR69" i="5"/>
  <c r="AE230" i="5"/>
  <c r="AC230" i="5"/>
  <c r="AD230" i="5"/>
  <c r="AJ179" i="5"/>
  <c r="AI179" i="5"/>
  <c r="AK179" i="5"/>
  <c r="AR165" i="5"/>
  <c r="AT165" i="5"/>
  <c r="AS165" i="5"/>
  <c r="AM22" i="5"/>
  <c r="AN22" i="5"/>
  <c r="AL22" i="5"/>
  <c r="I6" i="10"/>
  <c r="L6" i="10" s="1"/>
  <c r="AO114" i="5"/>
  <c r="J21" i="10"/>
  <c r="AL41" i="5"/>
  <c r="AN41" i="5"/>
  <c r="AM41" i="5"/>
  <c r="AG159" i="5"/>
  <c r="AR195" i="5"/>
  <c r="AT195" i="5"/>
  <c r="AS195" i="5"/>
  <c r="AH183" i="5"/>
  <c r="AG183" i="5"/>
  <c r="AF183" i="5"/>
  <c r="AM106" i="5"/>
  <c r="AL106" i="5"/>
  <c r="AN106" i="5"/>
  <c r="AD77" i="5"/>
  <c r="AC77" i="5"/>
  <c r="AE77" i="5"/>
  <c r="AD29" i="5"/>
  <c r="AC29" i="5"/>
  <c r="AE29" i="5"/>
  <c r="AP132" i="5"/>
  <c r="AO132" i="5"/>
  <c r="AQ132" i="5"/>
  <c r="AP124" i="5"/>
  <c r="AQ124" i="5"/>
  <c r="AO124" i="5"/>
  <c r="AE204" i="5"/>
  <c r="AL87" i="5"/>
  <c r="AM87" i="5"/>
  <c r="AN87" i="5"/>
  <c r="AC144" i="5"/>
  <c r="AC238" i="5"/>
  <c r="E238" i="5" s="1"/>
  <c r="E238" i="2" s="1"/>
  <c r="AG174" i="5"/>
  <c r="AH174" i="5"/>
  <c r="AF225" i="5"/>
  <c r="AH225" i="5"/>
  <c r="AG225" i="5"/>
  <c r="AS161" i="5"/>
  <c r="AR161" i="5"/>
  <c r="AT161" i="5"/>
  <c r="G161" i="5" s="1"/>
  <c r="G161" i="2" s="1"/>
  <c r="AM208" i="5"/>
  <c r="AN208" i="5"/>
  <c r="AL208" i="5"/>
  <c r="AG208" i="5"/>
  <c r="AD108" i="5"/>
  <c r="AE108" i="5"/>
  <c r="AS77" i="5"/>
  <c r="AR77" i="5"/>
  <c r="AT77" i="5"/>
  <c r="AM63" i="5"/>
  <c r="F63" i="5" s="1"/>
  <c r="F63" i="2" s="1"/>
  <c r="AL63" i="5"/>
  <c r="AN63" i="5"/>
  <c r="AH67" i="5"/>
  <c r="AG67" i="5"/>
  <c r="AF67" i="5"/>
  <c r="AG238" i="5"/>
  <c r="AH238" i="5"/>
  <c r="AF238" i="5"/>
  <c r="AT110" i="5"/>
  <c r="AR110" i="5"/>
  <c r="AS110" i="5"/>
  <c r="J6" i="10"/>
  <c r="AP114" i="5"/>
  <c r="AK200" i="5"/>
  <c r="AJ200" i="5"/>
  <c r="AI200" i="5"/>
  <c r="AG140" i="5"/>
  <c r="AF140" i="5"/>
  <c r="AH140" i="5"/>
  <c r="K21" i="10"/>
  <c r="AF57" i="5"/>
  <c r="AG57" i="5"/>
  <c r="AH57" i="5"/>
  <c r="AE157" i="5"/>
  <c r="AC157" i="5"/>
  <c r="AD157" i="5"/>
  <c r="AL168" i="5"/>
  <c r="AN168" i="5"/>
  <c r="AM168" i="5"/>
  <c r="AF85" i="5"/>
  <c r="AD194" i="5"/>
  <c r="AC194" i="5"/>
  <c r="AE194" i="5"/>
  <c r="AD200" i="5"/>
  <c r="AC200" i="5"/>
  <c r="AE200" i="5"/>
  <c r="AH159" i="5"/>
  <c r="AM112" i="5"/>
  <c r="F112" i="5" s="1"/>
  <c r="F112" i="2" s="1"/>
  <c r="AL112" i="5"/>
  <c r="E112" i="5" s="1"/>
  <c r="E112" i="2" s="1"/>
  <c r="AN112" i="5"/>
  <c r="G112" i="5" s="1"/>
  <c r="G112" i="2" s="1"/>
  <c r="AI156" i="5"/>
  <c r="E156" i="5" s="1"/>
  <c r="E156" i="2" s="1"/>
  <c r="AE23" i="5"/>
  <c r="AQ222" i="5"/>
  <c r="AP222" i="5"/>
  <c r="AO222" i="5"/>
  <c r="AE154" i="5"/>
  <c r="AD154" i="5"/>
  <c r="AC154" i="5"/>
  <c r="AS30" i="5"/>
  <c r="F30" i="5" s="1"/>
  <c r="F30" i="2" s="1"/>
  <c r="AT30" i="5"/>
  <c r="G30" i="5" s="1"/>
  <c r="G30" i="2" s="1"/>
  <c r="AR30" i="5"/>
  <c r="AM86" i="5"/>
  <c r="AN86" i="5"/>
  <c r="G86" i="5" s="1"/>
  <c r="G86" i="2" s="1"/>
  <c r="AL86" i="5"/>
  <c r="E86" i="5" s="1"/>
  <c r="E86" i="2" s="1"/>
  <c r="AO133" i="5"/>
  <c r="AQ133" i="5"/>
  <c r="AP133" i="5"/>
  <c r="AD144" i="5"/>
  <c r="AN18" i="5"/>
  <c r="AM18" i="5"/>
  <c r="AL18" i="5"/>
  <c r="AE225" i="5"/>
  <c r="AD225" i="5"/>
  <c r="AC225" i="5"/>
  <c r="AN23" i="5"/>
  <c r="AM23" i="5"/>
  <c r="AL23" i="5"/>
  <c r="AE87" i="5"/>
  <c r="AD87" i="5"/>
  <c r="AC87" i="5"/>
  <c r="AQ175" i="5"/>
  <c r="AP175" i="5"/>
  <c r="AO175" i="5"/>
  <c r="AH226" i="5"/>
  <c r="AG226" i="5"/>
  <c r="AF226" i="5"/>
  <c r="E226" i="5" s="1"/>
  <c r="E226" i="2" s="1"/>
  <c r="AJ119" i="5"/>
  <c r="AK119" i="5"/>
  <c r="AI119" i="5"/>
  <c r="AC114" i="5"/>
  <c r="AD114" i="5"/>
  <c r="AE114" i="5"/>
  <c r="G114" i="5" s="1"/>
  <c r="G114" i="2" s="1"/>
  <c r="AE159" i="5"/>
  <c r="AD159" i="5"/>
  <c r="AC159" i="5"/>
  <c r="AQ179" i="5"/>
  <c r="AP179" i="5"/>
  <c r="AO179" i="5"/>
  <c r="AE100" i="5"/>
  <c r="AD100" i="5"/>
  <c r="AC100" i="5"/>
  <c r="G116" i="5"/>
  <c r="G116" i="2" s="1"/>
  <c r="AC53" i="5"/>
  <c r="AD170" i="5"/>
  <c r="AC170" i="5"/>
  <c r="E170" i="5" s="1"/>
  <c r="E170" i="2" s="1"/>
  <c r="AE170" i="5"/>
  <c r="G170" i="5" s="1"/>
  <c r="G170" i="2" s="1"/>
  <c r="AO125" i="5"/>
  <c r="AK146" i="5"/>
  <c r="AI146" i="5"/>
  <c r="AJ146" i="5"/>
  <c r="AL31" i="5"/>
  <c r="AK172" i="5"/>
  <c r="AI95" i="5"/>
  <c r="AJ95" i="5"/>
  <c r="AK95" i="5"/>
  <c r="AH221" i="5"/>
  <c r="AF221" i="5"/>
  <c r="AG221" i="5"/>
  <c r="AS181" i="5"/>
  <c r="AR181" i="5"/>
  <c r="AT181" i="5"/>
  <c r="AK120" i="5"/>
  <c r="K6" i="10"/>
  <c r="AN90" i="5"/>
  <c r="AM90" i="5"/>
  <c r="AL90" i="5"/>
  <c r="AI83" i="5"/>
  <c r="AK83" i="5"/>
  <c r="AJ83" i="5"/>
  <c r="AF20" i="5"/>
  <c r="AK50" i="5"/>
  <c r="AI50" i="5"/>
  <c r="AJ50" i="5"/>
  <c r="AI189" i="5"/>
  <c r="AK189" i="5"/>
  <c r="AJ189" i="5"/>
  <c r="AJ156" i="5"/>
  <c r="AD23" i="5"/>
  <c r="AP142" i="5"/>
  <c r="AO142" i="5"/>
  <c r="AQ142" i="5"/>
  <c r="AR46" i="5"/>
  <c r="AT46" i="5"/>
  <c r="AS46" i="5"/>
  <c r="AR97" i="5"/>
  <c r="AT97" i="5"/>
  <c r="AS97" i="5"/>
  <c r="AQ102" i="5"/>
  <c r="AO102" i="5"/>
  <c r="AP102" i="5"/>
  <c r="AD40" i="5"/>
  <c r="AC40" i="5"/>
  <c r="AE40" i="5"/>
  <c r="G40" i="5" s="1"/>
  <c r="AQ110" i="5"/>
  <c r="AO110" i="5"/>
  <c r="AP110" i="5"/>
  <c r="AT153" i="5"/>
  <c r="AR153" i="5"/>
  <c r="AS153" i="5"/>
  <c r="AJ238" i="5"/>
  <c r="AI238" i="5"/>
  <c r="AK238" i="5"/>
  <c r="AT135" i="5"/>
  <c r="AS135" i="5"/>
  <c r="AR135" i="5"/>
  <c r="AN148" i="5"/>
  <c r="AM148" i="5"/>
  <c r="AL148" i="5"/>
  <c r="AT103" i="5"/>
  <c r="AC218" i="5"/>
  <c r="AD218" i="5"/>
  <c r="AE218" i="5"/>
  <c r="G13" i="5"/>
  <c r="G13" i="2" s="1"/>
  <c r="AO171" i="5"/>
  <c r="AT230" i="5"/>
  <c r="AS230" i="5"/>
  <c r="AR230" i="5"/>
  <c r="AR164" i="5"/>
  <c r="AT164" i="5"/>
  <c r="AS164" i="5"/>
  <c r="AG206" i="5"/>
  <c r="AF206" i="5"/>
  <c r="AH206" i="5"/>
  <c r="AM223" i="5"/>
  <c r="AN223" i="5"/>
  <c r="AL223" i="5"/>
  <c r="E223" i="5" s="1"/>
  <c r="E223" i="2" s="1"/>
  <c r="AM31" i="5"/>
  <c r="AM129" i="5"/>
  <c r="F129" i="5" s="1"/>
  <c r="F129" i="2" s="1"/>
  <c r="AN129" i="5"/>
  <c r="G129" i="5" s="1"/>
  <c r="G129" i="2" s="1"/>
  <c r="AL129" i="5"/>
  <c r="E129" i="5" s="1"/>
  <c r="E129" i="2" s="1"/>
  <c r="AI32" i="5"/>
  <c r="AK32" i="5"/>
  <c r="AJ32" i="5"/>
  <c r="AK125" i="5"/>
  <c r="AI125" i="5"/>
  <c r="AJ125" i="5"/>
  <c r="AJ172" i="5"/>
  <c r="AL130" i="5"/>
  <c r="AN130" i="5"/>
  <c r="AM130" i="5"/>
  <c r="AT29" i="5"/>
  <c r="AS29" i="5"/>
  <c r="AR29" i="5"/>
  <c r="AM65" i="5"/>
  <c r="AN65" i="5"/>
  <c r="AL65" i="5"/>
  <c r="AC186" i="5"/>
  <c r="AF163" i="5"/>
  <c r="AF46" i="5"/>
  <c r="AG46" i="5"/>
  <c r="AH46" i="5"/>
  <c r="AQ153" i="5"/>
  <c r="AP153" i="5"/>
  <c r="AO153" i="5"/>
  <c r="AI120" i="5"/>
  <c r="AN95" i="5"/>
  <c r="AM95" i="5"/>
  <c r="AL95" i="5"/>
  <c r="N8" i="5"/>
  <c r="J7" i="10"/>
  <c r="H7" i="10"/>
  <c r="K7" i="10"/>
  <c r="I7" i="10"/>
  <c r="L7" i="10" s="1"/>
  <c r="S7" i="10" s="1"/>
  <c r="AD158" i="5"/>
  <c r="AE158" i="5"/>
  <c r="AC158" i="5"/>
  <c r="E158" i="5" s="1"/>
  <c r="E158" i="2" s="1"/>
  <c r="AM222" i="5"/>
  <c r="AL222" i="5"/>
  <c r="AN222" i="5"/>
  <c r="AS158" i="5"/>
  <c r="AT158" i="5"/>
  <c r="AR158" i="5"/>
  <c r="AN146" i="5"/>
  <c r="AM146" i="5"/>
  <c r="AL146" i="5"/>
  <c r="AK224" i="5"/>
  <c r="AJ224" i="5"/>
  <c r="AI224" i="5"/>
  <c r="AM8" i="5"/>
  <c r="AN8" i="5"/>
  <c r="AL8" i="5"/>
  <c r="AL197" i="5"/>
  <c r="AM197" i="5"/>
  <c r="AN197" i="5"/>
  <c r="AE172" i="5"/>
  <c r="AG134" i="5"/>
  <c r="AH134" i="5"/>
  <c r="G134" i="5" s="1"/>
  <c r="G134" i="2" s="1"/>
  <c r="AF134" i="5"/>
  <c r="E134" i="5" s="1"/>
  <c r="E134" i="2" s="1"/>
  <c r="AM194" i="5"/>
  <c r="AN194" i="5"/>
  <c r="AL194" i="5"/>
  <c r="AC176" i="5"/>
  <c r="AE176" i="5"/>
  <c r="AD176" i="5"/>
  <c r="AE95" i="5"/>
  <c r="AD95" i="5"/>
  <c r="AC95" i="5"/>
  <c r="AN59" i="5"/>
  <c r="AT166" i="5"/>
  <c r="AS166" i="5"/>
  <c r="AR166" i="5"/>
  <c r="AK149" i="5"/>
  <c r="AJ149" i="5"/>
  <c r="AI149" i="5"/>
  <c r="K19" i="10"/>
  <c r="AE160" i="5"/>
  <c r="AT41" i="5"/>
  <c r="AS41" i="5"/>
  <c r="AR41" i="5"/>
  <c r="AH100" i="5"/>
  <c r="AF100" i="5"/>
  <c r="AG100" i="5"/>
  <c r="AH47" i="5"/>
  <c r="AG47" i="5"/>
  <c r="AF47" i="5"/>
  <c r="AI199" i="5"/>
  <c r="AK199" i="5"/>
  <c r="AJ199" i="5"/>
  <c r="F199" i="5" s="1"/>
  <c r="F199" i="2" s="1"/>
  <c r="AC141" i="5"/>
  <c r="E141" i="5" s="1"/>
  <c r="E141" i="2" s="1"/>
  <c r="AE141" i="5"/>
  <c r="AD141" i="5"/>
  <c r="F141" i="5" s="1"/>
  <c r="F141" i="2" s="1"/>
  <c r="AN119" i="5"/>
  <c r="AM119" i="5"/>
  <c r="AL119" i="5"/>
  <c r="AF201" i="5"/>
  <c r="AG201" i="5"/>
  <c r="AH201" i="5"/>
  <c r="AP6" i="5"/>
  <c r="AO6" i="5"/>
  <c r="AQ6" i="5"/>
  <c r="AF82" i="5"/>
  <c r="AG82" i="5"/>
  <c r="AH82" i="5"/>
  <c r="AC115" i="5"/>
  <c r="AK228" i="5"/>
  <c r="AF150" i="5"/>
  <c r="AH150" i="5"/>
  <c r="AG150" i="5"/>
  <c r="AL178" i="5"/>
  <c r="AN178" i="5"/>
  <c r="AM178" i="5"/>
  <c r="AT236" i="5"/>
  <c r="AS236" i="5"/>
  <c r="AR236" i="5"/>
  <c r="AC227" i="5"/>
  <c r="AF154" i="5"/>
  <c r="AH154" i="5"/>
  <c r="AG154" i="5"/>
  <c r="AR93" i="5"/>
  <c r="AS93" i="5"/>
  <c r="AT93" i="5"/>
  <c r="AG204" i="5"/>
  <c r="AF204" i="5"/>
  <c r="AH204" i="5"/>
  <c r="AD172" i="5"/>
  <c r="AN120" i="5"/>
  <c r="AM120" i="5"/>
  <c r="AL120" i="5"/>
  <c r="AK105" i="5"/>
  <c r="AI105" i="5"/>
  <c r="AJ105" i="5"/>
  <c r="AF192" i="5"/>
  <c r="AH192" i="5"/>
  <c r="AG192" i="5"/>
  <c r="AK23" i="5"/>
  <c r="AI23" i="5"/>
  <c r="AJ23" i="5"/>
  <c r="AE73" i="5"/>
  <c r="AD73" i="5"/>
  <c r="AC73" i="5"/>
  <c r="AI55" i="5"/>
  <c r="AK55" i="5"/>
  <c r="AJ55" i="5"/>
  <c r="AL59" i="5"/>
  <c r="AI124" i="5"/>
  <c r="AJ124" i="5"/>
  <c r="AK124" i="5"/>
  <c r="AT174" i="5"/>
  <c r="AS174" i="5"/>
  <c r="AR174" i="5"/>
  <c r="AM227" i="5"/>
  <c r="AN227" i="5"/>
  <c r="AL227" i="5"/>
  <c r="AE60" i="5"/>
  <c r="AC60" i="5"/>
  <c r="AD60" i="5"/>
  <c r="AL29" i="5"/>
  <c r="AE175" i="5"/>
  <c r="AD175" i="5"/>
  <c r="AC175" i="5"/>
  <c r="AM29" i="5"/>
  <c r="AS90" i="5"/>
  <c r="AE193" i="5"/>
  <c r="G193" i="5" s="1"/>
  <c r="G193" i="2" s="1"/>
  <c r="AC193" i="5"/>
  <c r="AD193" i="5"/>
  <c r="AM70" i="5"/>
  <c r="AN70" i="5"/>
  <c r="AL70" i="5"/>
  <c r="AE90" i="5"/>
  <c r="AS208" i="5"/>
  <c r="AT208" i="5"/>
  <c r="AR208" i="5"/>
  <c r="AL103" i="5"/>
  <c r="AC32" i="5"/>
  <c r="AE32" i="5"/>
  <c r="G32" i="5" s="1"/>
  <c r="G32" i="2" s="1"/>
  <c r="AD32" i="5"/>
  <c r="F32" i="5" s="1"/>
  <c r="F32" i="2" s="1"/>
  <c r="AP197" i="5"/>
  <c r="AQ197" i="5"/>
  <c r="AO197" i="5"/>
  <c r="AO117" i="5"/>
  <c r="AQ117" i="5"/>
  <c r="AP117" i="5"/>
  <c r="AD43" i="5"/>
  <c r="AE43" i="5"/>
  <c r="AC43" i="5"/>
  <c r="AS232" i="5"/>
  <c r="AT232" i="5"/>
  <c r="AR232" i="5"/>
  <c r="AD115" i="5"/>
  <c r="AN165" i="5"/>
  <c r="AM165" i="5"/>
  <c r="AL165" i="5"/>
  <c r="AD70" i="5"/>
  <c r="AE70" i="5"/>
  <c r="AC70" i="5"/>
  <c r="AD227" i="5"/>
  <c r="AF52" i="5"/>
  <c r="AG52" i="5"/>
  <c r="AH52" i="5"/>
  <c r="AL36" i="5"/>
  <c r="AN36" i="5"/>
  <c r="AM36" i="5"/>
  <c r="AH169" i="5"/>
  <c r="AF169" i="5"/>
  <c r="AG169" i="5"/>
  <c r="AP138" i="5"/>
  <c r="AO138" i="5"/>
  <c r="AQ138" i="5"/>
  <c r="AN42" i="5"/>
  <c r="AM42" i="5"/>
  <c r="AL42" i="5"/>
  <c r="AE106" i="5"/>
  <c r="AD106" i="5"/>
  <c r="AC106" i="5"/>
  <c r="AS147" i="5"/>
  <c r="AT147" i="5"/>
  <c r="AR147" i="5"/>
  <c r="AC20" i="5"/>
  <c r="AI121" i="5"/>
  <c r="E121" i="5" s="1"/>
  <c r="E121" i="2" s="1"/>
  <c r="AO221" i="5"/>
  <c r="AQ221" i="5"/>
  <c r="AP221" i="5"/>
  <c r="AR14" i="5"/>
  <c r="AS14" i="5"/>
  <c r="AT14" i="5"/>
  <c r="AS66" i="5"/>
  <c r="AR66" i="5"/>
  <c r="AT66" i="5"/>
  <c r="E173" i="5"/>
  <c r="E173" i="2" s="1"/>
  <c r="AI45" i="5"/>
  <c r="AJ45" i="5"/>
  <c r="AK45" i="5"/>
  <c r="AC66" i="5"/>
  <c r="E66" i="5" s="1"/>
  <c r="E66" i="2" s="1"/>
  <c r="AD66" i="5"/>
  <c r="F66" i="5" s="1"/>
  <c r="F66" i="2" s="1"/>
  <c r="AE66" i="5"/>
  <c r="AN30" i="5"/>
  <c r="AL30" i="5"/>
  <c r="AM30" i="5"/>
  <c r="AF180" i="5"/>
  <c r="AO194" i="5"/>
  <c r="AQ194" i="5"/>
  <c r="AP194" i="5"/>
  <c r="AE126" i="5"/>
  <c r="G126" i="5" s="1"/>
  <c r="G126" i="2" s="1"/>
  <c r="AC126" i="5"/>
  <c r="E126" i="5" s="1"/>
  <c r="E126" i="2" s="1"/>
  <c r="AD126" i="5"/>
  <c r="F126" i="5" s="1"/>
  <c r="F126" i="2" s="1"/>
  <c r="AK140" i="5"/>
  <c r="AJ140" i="5"/>
  <c r="AI140" i="5"/>
  <c r="AN203" i="5"/>
  <c r="AM203" i="5"/>
  <c r="AL203" i="5"/>
  <c r="AI178" i="5"/>
  <c r="AJ178" i="5"/>
  <c r="AK178" i="5"/>
  <c r="AH176" i="5"/>
  <c r="AF176" i="5"/>
  <c r="AG176" i="5"/>
  <c r="AM124" i="5"/>
  <c r="AL124" i="5"/>
  <c r="AN124" i="5"/>
  <c r="AR180" i="5"/>
  <c r="AT180" i="5"/>
  <c r="AS180" i="5"/>
  <c r="AK73" i="5"/>
  <c r="AJ73" i="5"/>
  <c r="AI73" i="5"/>
  <c r="AD186" i="5"/>
  <c r="AG163" i="5"/>
  <c r="AS154" i="5"/>
  <c r="AR154" i="5"/>
  <c r="AT154" i="5"/>
  <c r="AI43" i="5"/>
  <c r="AK43" i="5"/>
  <c r="AJ43" i="5"/>
  <c r="AT136" i="5"/>
  <c r="AS136" i="5"/>
  <c r="AR136" i="5"/>
  <c r="AE145" i="5"/>
  <c r="AD145" i="5"/>
  <c r="AC145" i="5"/>
  <c r="AO154" i="5"/>
  <c r="AQ118" i="5"/>
  <c r="AP118" i="5"/>
  <c r="AO118" i="5"/>
  <c r="AD50" i="5"/>
  <c r="AE50" i="5"/>
  <c r="AC50" i="5"/>
  <c r="AL187" i="5"/>
  <c r="E187" i="5" s="1"/>
  <c r="E187" i="2" s="1"/>
  <c r="AM132" i="5"/>
  <c r="AN132" i="5"/>
  <c r="AL132" i="5"/>
  <c r="AC138" i="5"/>
  <c r="AD138" i="5"/>
  <c r="AE138" i="5"/>
  <c r="AO186" i="5"/>
  <c r="AG231" i="5"/>
  <c r="AF231" i="5"/>
  <c r="AH231" i="5"/>
  <c r="AD82" i="5"/>
  <c r="AC82" i="5"/>
  <c r="AE82" i="5"/>
  <c r="AT124" i="5"/>
  <c r="AR124" i="5"/>
  <c r="AS124" i="5"/>
  <c r="AQ154" i="5"/>
  <c r="AN83" i="5"/>
  <c r="AQ203" i="5"/>
  <c r="AO203" i="5"/>
  <c r="AP203" i="5"/>
  <c r="AN92" i="5"/>
  <c r="AM92" i="5"/>
  <c r="F92" i="5" s="1"/>
  <c r="F92" i="2" s="1"/>
  <c r="AL92" i="5"/>
  <c r="AE62" i="5"/>
  <c r="Y215" i="5"/>
  <c r="O27" i="10"/>
  <c r="R27" i="10" s="1"/>
  <c r="N27" i="10"/>
  <c r="Q27" i="10"/>
  <c r="P27" i="10"/>
  <c r="K27" i="10"/>
  <c r="AD12" i="5"/>
  <c r="AR178" i="5"/>
  <c r="AJ228" i="5"/>
  <c r="AK188" i="5"/>
  <c r="AI188" i="5"/>
  <c r="AJ188" i="5"/>
  <c r="AK234" i="5"/>
  <c r="G234" i="5" s="1"/>
  <c r="G234" i="2" s="1"/>
  <c r="AJ234" i="5"/>
  <c r="AI234" i="5"/>
  <c r="E234" i="5" s="1"/>
  <c r="E234" i="2" s="1"/>
  <c r="AD20" i="5"/>
  <c r="AJ121" i="5"/>
  <c r="AQ156" i="5"/>
  <c r="AP156" i="5"/>
  <c r="AO156" i="5"/>
  <c r="AQ225" i="5"/>
  <c r="AP225" i="5"/>
  <c r="AO225" i="5"/>
  <c r="H14" i="10"/>
  <c r="Q6" i="10"/>
  <c r="N6" i="10"/>
  <c r="P6" i="10"/>
  <c r="M117" i="5"/>
  <c r="O6" i="10"/>
  <c r="R6" i="10" s="1"/>
  <c r="AN25" i="5"/>
  <c r="AM25" i="5"/>
  <c r="AL25" i="5"/>
  <c r="AR201" i="5"/>
  <c r="AS201" i="5"/>
  <c r="AT201" i="5"/>
  <c r="AI102" i="5"/>
  <c r="AK102" i="5"/>
  <c r="AJ102" i="5"/>
  <c r="AK27" i="5"/>
  <c r="AJ27" i="5"/>
  <c r="AI27" i="5"/>
  <c r="AT224" i="5"/>
  <c r="AS224" i="5"/>
  <c r="AR224" i="5"/>
  <c r="AN175" i="5"/>
  <c r="AM175" i="5"/>
  <c r="AL175" i="5"/>
  <c r="AT141" i="5"/>
  <c r="AS141" i="5"/>
  <c r="AR141" i="5"/>
  <c r="AN89" i="5"/>
  <c r="AM89" i="5"/>
  <c r="F89" i="5" s="1"/>
  <c r="AL89" i="5"/>
  <c r="E89" i="5" s="1"/>
  <c r="K8" i="10"/>
  <c r="AG168" i="5"/>
  <c r="AH168" i="5"/>
  <c r="AF168" i="5"/>
  <c r="AH227" i="5"/>
  <c r="G227" i="5" s="1"/>
  <c r="G227" i="2" s="1"/>
  <c r="AF227" i="5"/>
  <c r="AG227" i="5"/>
  <c r="AT196" i="5"/>
  <c r="G196" i="5" s="1"/>
  <c r="G196" i="2" s="1"/>
  <c r="AS196" i="5"/>
  <c r="F196" i="5" s="1"/>
  <c r="F196" i="2" s="1"/>
  <c r="AR196" i="5"/>
  <c r="E196" i="5" s="1"/>
  <c r="E196" i="2" s="1"/>
  <c r="AF61" i="5"/>
  <c r="AG61" i="5"/>
  <c r="AH61" i="5"/>
  <c r="AN192" i="5"/>
  <c r="AM192" i="5"/>
  <c r="AL192" i="5"/>
  <c r="AS209" i="5"/>
  <c r="AR209" i="5"/>
  <c r="AT209" i="5"/>
  <c r="AH208" i="5"/>
  <c r="G208" i="5" s="1"/>
  <c r="G208" i="2" s="1"/>
  <c r="AF165" i="5"/>
  <c r="E165" i="5" s="1"/>
  <c r="AG165" i="5"/>
  <c r="AH165" i="5"/>
  <c r="AD174" i="5"/>
  <c r="AE174" i="5"/>
  <c r="AC174" i="5"/>
  <c r="AC220" i="5"/>
  <c r="AE220" i="5"/>
  <c r="AD220" i="5"/>
  <c r="AI132" i="5"/>
  <c r="AK132" i="5"/>
  <c r="AJ132" i="5"/>
  <c r="AQ125" i="5"/>
  <c r="F11" i="5"/>
  <c r="F11" i="2" s="1"/>
  <c r="AT231" i="5"/>
  <c r="AS231" i="5"/>
  <c r="AR231" i="5"/>
  <c r="AP171" i="5"/>
  <c r="AC90" i="5"/>
  <c r="AJ72" i="5"/>
  <c r="AK72" i="5"/>
  <c r="AI72" i="5"/>
  <c r="E72" i="5" s="1"/>
  <c r="E72" i="2" s="1"/>
  <c r="AQ172" i="5"/>
  <c r="AP172" i="5"/>
  <c r="AO172" i="5"/>
  <c r="AN103" i="5"/>
  <c r="AM224" i="5"/>
  <c r="AL224" i="5"/>
  <c r="AN224" i="5"/>
  <c r="AL98" i="5"/>
  <c r="AN98" i="5"/>
  <c r="AM98" i="5"/>
  <c r="AT233" i="5"/>
  <c r="AS233" i="5"/>
  <c r="AR233" i="5"/>
  <c r="AR143" i="5"/>
  <c r="AT143" i="5"/>
  <c r="AS143" i="5"/>
  <c r="AF184" i="5"/>
  <c r="AH184" i="5"/>
  <c r="G184" i="5" s="1"/>
  <c r="G184" i="2" s="1"/>
  <c r="AG184" i="5"/>
  <c r="F184" i="5" s="1"/>
  <c r="F184" i="2" s="1"/>
  <c r="AL221" i="5"/>
  <c r="AN221" i="5"/>
  <c r="AM221" i="5"/>
  <c r="AK103" i="5"/>
  <c r="AJ103" i="5"/>
  <c r="AI103" i="5"/>
  <c r="AN187" i="5"/>
  <c r="AQ174" i="5"/>
  <c r="AP174" i="5"/>
  <c r="AO174" i="5"/>
  <c r="AJ153" i="5"/>
  <c r="AI153" i="5"/>
  <c r="AK153" i="5"/>
  <c r="AM83" i="5"/>
  <c r="AD62" i="5"/>
  <c r="I27" i="10"/>
  <c r="L27" i="10" s="1"/>
  <c r="AK167" i="5"/>
  <c r="AJ167" i="5"/>
  <c r="AI167" i="5"/>
  <c r="F134" i="5"/>
  <c r="F134" i="2" s="1"/>
  <c r="AT169" i="5"/>
  <c r="AR169" i="5"/>
  <c r="AS169" i="5"/>
  <c r="AM127" i="5"/>
  <c r="AL127" i="5"/>
  <c r="AN127" i="5"/>
  <c r="AI185" i="5"/>
  <c r="AJ185" i="5"/>
  <c r="AK185" i="5"/>
  <c r="AI36" i="5"/>
  <c r="AJ36" i="5"/>
  <c r="AK36" i="5"/>
  <c r="AI123" i="5"/>
  <c r="AK123" i="5"/>
  <c r="AJ123" i="5"/>
  <c r="AE150" i="5"/>
  <c r="AD150" i="5"/>
  <c r="AC150" i="5"/>
  <c r="AP144" i="5"/>
  <c r="AS210" i="5"/>
  <c r="F210" i="5" s="1"/>
  <c r="F210" i="2" s="1"/>
  <c r="AT210" i="5"/>
  <c r="AR210" i="5"/>
  <c r="AQ208" i="5"/>
  <c r="AP208" i="5"/>
  <c r="AO208" i="5"/>
  <c r="AM125" i="5"/>
  <c r="AN125" i="5"/>
  <c r="AL125" i="5"/>
  <c r="AH207" i="5"/>
  <c r="J27" i="10"/>
  <c r="AM176" i="5"/>
  <c r="AN176" i="5"/>
  <c r="AL176" i="5"/>
  <c r="AL16" i="5"/>
  <c r="AC96" i="5"/>
  <c r="AE96" i="5"/>
  <c r="AD96" i="5"/>
  <c r="AS137" i="5"/>
  <c r="AS178" i="5"/>
  <c r="AR81" i="5"/>
  <c r="AT81" i="5"/>
  <c r="AS81" i="5"/>
  <c r="AJ94" i="5"/>
  <c r="AK94" i="5"/>
  <c r="AI94" i="5"/>
  <c r="AN211" i="5"/>
  <c r="S217" i="5"/>
  <c r="Q16" i="10"/>
  <c r="O16" i="10"/>
  <c r="R16" i="10" s="1"/>
  <c r="N16" i="10"/>
  <c r="AK52" i="5"/>
  <c r="AJ52" i="5"/>
  <c r="AI52" i="5"/>
  <c r="AC152" i="5"/>
  <c r="AD152" i="5"/>
  <c r="AE152" i="5"/>
  <c r="AS203" i="5"/>
  <c r="AR203" i="5"/>
  <c r="AT203" i="5"/>
  <c r="G203" i="5" s="1"/>
  <c r="G203" i="2" s="1"/>
  <c r="AG20" i="5"/>
  <c r="AL33" i="5"/>
  <c r="H12" i="10"/>
  <c r="AF40" i="5"/>
  <c r="AG40" i="5"/>
  <c r="AR62" i="5"/>
  <c r="AT62" i="5"/>
  <c r="AS62" i="5"/>
  <c r="AO185" i="5"/>
  <c r="AP185" i="5"/>
  <c r="AQ185" i="5"/>
  <c r="AJ92" i="5"/>
  <c r="AI92" i="5"/>
  <c r="AK92" i="5"/>
  <c r="AF108" i="5"/>
  <c r="AH108" i="5"/>
  <c r="AG108" i="5"/>
  <c r="AE189" i="5"/>
  <c r="AD189" i="5"/>
  <c r="AC189" i="5"/>
  <c r="AE191" i="5"/>
  <c r="AD191" i="5"/>
  <c r="AC191" i="5"/>
  <c r="F173" i="5"/>
  <c r="F173" i="2" s="1"/>
  <c r="AF174" i="5"/>
  <c r="AS120" i="5"/>
  <c r="AR120" i="5"/>
  <c r="AT120" i="5"/>
  <c r="AI157" i="5"/>
  <c r="AK157" i="5"/>
  <c r="AJ157" i="5"/>
  <c r="AS26" i="5"/>
  <c r="AT26" i="5"/>
  <c r="AR26" i="5"/>
  <c r="AM190" i="5"/>
  <c r="AN190" i="5"/>
  <c r="AL190" i="5"/>
  <c r="AT19" i="5"/>
  <c r="AR19" i="5"/>
  <c r="AS19" i="5"/>
  <c r="I8" i="10"/>
  <c r="L8" i="10" s="1"/>
  <c r="AI143" i="5"/>
  <c r="AK143" i="5"/>
  <c r="AJ143" i="5"/>
  <c r="AT56" i="5"/>
  <c r="AS56" i="5"/>
  <c r="AR56" i="5"/>
  <c r="AP229" i="5"/>
  <c r="AO229" i="5"/>
  <c r="AQ229" i="5"/>
  <c r="AS68" i="5"/>
  <c r="AT68" i="5"/>
  <c r="AR68" i="5"/>
  <c r="AS103" i="5"/>
  <c r="AT229" i="5"/>
  <c r="AS229" i="5"/>
  <c r="AR229" i="5"/>
  <c r="AF109" i="5"/>
  <c r="AQ231" i="5"/>
  <c r="AP231" i="5"/>
  <c r="AO231" i="5"/>
  <c r="AG152" i="5"/>
  <c r="AH152" i="5"/>
  <c r="AF152" i="5"/>
  <c r="AD45" i="5"/>
  <c r="AE45" i="5"/>
  <c r="AC45" i="5"/>
  <c r="AS106" i="5"/>
  <c r="AR106" i="5"/>
  <c r="AT106" i="5"/>
  <c r="AM212" i="5"/>
  <c r="F212" i="5" s="1"/>
  <c r="F212" i="2" s="1"/>
  <c r="AL212" i="5"/>
  <c r="E212" i="5" s="1"/>
  <c r="E212" i="2" s="1"/>
  <c r="AN212" i="5"/>
  <c r="AJ30" i="5"/>
  <c r="AK30" i="5"/>
  <c r="AI30" i="5"/>
  <c r="AT176" i="5"/>
  <c r="AS176" i="5"/>
  <c r="AR176" i="5"/>
  <c r="O32" i="10"/>
  <c r="R32" i="10" s="1"/>
  <c r="Q32" i="10"/>
  <c r="P32" i="10"/>
  <c r="N32" i="10"/>
  <c r="AA117" i="5"/>
  <c r="AN62" i="5"/>
  <c r="AM62" i="5"/>
  <c r="AL62" i="5"/>
  <c r="AM50" i="5"/>
  <c r="AL50" i="5"/>
  <c r="AN50" i="5"/>
  <c r="AE69" i="5"/>
  <c r="AD69" i="5"/>
  <c r="AC69" i="5"/>
  <c r="AI170" i="5"/>
  <c r="AK170" i="5"/>
  <c r="AJ170" i="5"/>
  <c r="AI155" i="5"/>
  <c r="AT202" i="5"/>
  <c r="AS202" i="5"/>
  <c r="AR202" i="5"/>
  <c r="AN206" i="5"/>
  <c r="AM206" i="5"/>
  <c r="AL206" i="5"/>
  <c r="AI96" i="5"/>
  <c r="AN81" i="5"/>
  <c r="AM81" i="5"/>
  <c r="F81" i="5" s="1"/>
  <c r="F81" i="2" s="1"/>
  <c r="AL81" i="5"/>
  <c r="E81" i="5" s="1"/>
  <c r="E81" i="2" s="1"/>
  <c r="AN216" i="5"/>
  <c r="AM216" i="5"/>
  <c r="AL216" i="5"/>
  <c r="AK133" i="5"/>
  <c r="G133" i="5" s="1"/>
  <c r="G133" i="2" s="1"/>
  <c r="AJ133" i="5"/>
  <c r="AI133" i="5"/>
  <c r="AK151" i="5"/>
  <c r="G151" i="5" s="1"/>
  <c r="G151" i="2" s="1"/>
  <c r="AI151" i="5"/>
  <c r="AJ151" i="5"/>
  <c r="AC52" i="5"/>
  <c r="AN207" i="5"/>
  <c r="AM207" i="5"/>
  <c r="AL207" i="5"/>
  <c r="AO144" i="5"/>
  <c r="AS96" i="5"/>
  <c r="AR96" i="5"/>
  <c r="AT96" i="5"/>
  <c r="H27" i="10"/>
  <c r="AD37" i="5"/>
  <c r="AR137" i="5"/>
  <c r="AT204" i="5"/>
  <c r="AS204" i="5"/>
  <c r="AR204" i="5"/>
  <c r="AD22" i="5"/>
  <c r="AE22" i="5"/>
  <c r="AC22" i="5"/>
  <c r="AL211" i="5"/>
  <c r="AO214" i="5"/>
  <c r="AM94" i="5"/>
  <c r="AN94" i="5"/>
  <c r="AL94" i="5"/>
  <c r="AR155" i="5"/>
  <c r="AS155" i="5"/>
  <c r="F155" i="5" s="1"/>
  <c r="F155" i="2" s="1"/>
  <c r="AT155" i="5"/>
  <c r="AN56" i="5"/>
  <c r="AM56" i="5"/>
  <c r="AL56" i="5"/>
  <c r="AR205" i="5"/>
  <c r="AS205" i="5"/>
  <c r="AT205" i="5"/>
  <c r="AM33" i="5"/>
  <c r="AC101" i="5"/>
  <c r="AE168" i="5"/>
  <c r="AD168" i="5"/>
  <c r="AC168" i="5"/>
  <c r="AR101" i="5"/>
  <c r="AS101" i="5"/>
  <c r="AT101" i="5"/>
  <c r="H22" i="10"/>
  <c r="AE18" i="5"/>
  <c r="AC18" i="5"/>
  <c r="AD18" i="5"/>
  <c r="AM71" i="5"/>
  <c r="AL71" i="5"/>
  <c r="AN71" i="5"/>
  <c r="H8" i="10"/>
  <c r="AK107" i="5"/>
  <c r="AJ107" i="5"/>
  <c r="AI107" i="5"/>
  <c r="AC105" i="5"/>
  <c r="AD105" i="5"/>
  <c r="F105" i="5" s="1"/>
  <c r="F105" i="2" s="1"/>
  <c r="AE105" i="5"/>
  <c r="AJ80" i="5"/>
  <c r="AK80" i="5"/>
  <c r="G80" i="5" s="1"/>
  <c r="G80" i="2" s="1"/>
  <c r="AI80" i="5"/>
  <c r="AC132" i="5"/>
  <c r="AE132" i="5"/>
  <c r="AD132" i="5"/>
  <c r="AN53" i="5"/>
  <c r="AL53" i="5"/>
  <c r="AM53" i="5"/>
  <c r="AD61" i="5"/>
  <c r="F61" i="5" s="1"/>
  <c r="F61" i="2" s="1"/>
  <c r="AE61" i="5"/>
  <c r="AC61" i="5"/>
  <c r="AS83" i="5"/>
  <c r="AR83" i="5"/>
  <c r="AT83" i="5"/>
  <c r="AN218" i="5"/>
  <c r="AM218" i="5"/>
  <c r="AL218" i="5"/>
  <c r="AS193" i="5"/>
  <c r="AT193" i="5"/>
  <c r="AR193" i="5"/>
  <c r="AN7" i="5"/>
  <c r="AM7" i="5"/>
  <c r="AL7" i="5"/>
  <c r="AE52" i="5"/>
  <c r="G52" i="5" s="1"/>
  <c r="AG124" i="5"/>
  <c r="F124" i="5" s="1"/>
  <c r="F124" i="2" s="1"/>
  <c r="AF124" i="5"/>
  <c r="E124" i="5" s="1"/>
  <c r="E124" i="2" s="1"/>
  <c r="AH124" i="5"/>
  <c r="G124" i="5" s="1"/>
  <c r="G124" i="2" s="1"/>
  <c r="AR23" i="5"/>
  <c r="E23" i="5" s="1"/>
  <c r="E23" i="2" s="1"/>
  <c r="AT23" i="5"/>
  <c r="AS23" i="5"/>
  <c r="AJ218" i="5"/>
  <c r="AK218" i="5"/>
  <c r="AI218" i="5"/>
  <c r="AR148" i="5"/>
  <c r="AT148" i="5"/>
  <c r="AS148" i="5"/>
  <c r="AL185" i="5"/>
  <c r="AN185" i="5"/>
  <c r="AM185" i="5"/>
  <c r="AE37" i="5"/>
  <c r="AH97" i="5"/>
  <c r="AG97" i="5"/>
  <c r="AF97" i="5"/>
  <c r="AH120" i="5"/>
  <c r="AF120" i="5"/>
  <c r="AG120" i="5"/>
  <c r="AM107" i="5"/>
  <c r="AL107" i="5"/>
  <c r="AN107" i="5"/>
  <c r="AQ145" i="5"/>
  <c r="AP145" i="5"/>
  <c r="AO145" i="5"/>
  <c r="AP214" i="5"/>
  <c r="AK110" i="5"/>
  <c r="AJ110" i="5"/>
  <c r="F110" i="5" s="1"/>
  <c r="F110" i="2" s="1"/>
  <c r="AI110" i="5"/>
  <c r="E110" i="5" s="1"/>
  <c r="E110" i="2" s="1"/>
  <c r="AE181" i="5"/>
  <c r="AD101" i="5"/>
  <c r="AT214" i="5"/>
  <c r="AS214" i="5"/>
  <c r="AR214" i="5"/>
  <c r="AE85" i="5"/>
  <c r="AD85" i="5"/>
  <c r="AC85" i="5"/>
  <c r="S26" i="10"/>
  <c r="AO108" i="5"/>
  <c r="AP108" i="5"/>
  <c r="AQ108" i="5"/>
  <c r="AN58" i="5"/>
  <c r="G58" i="5" s="1"/>
  <c r="G58" i="2" s="1"/>
  <c r="AM58" i="5"/>
  <c r="AL58" i="5"/>
  <c r="E58" i="5" s="1"/>
  <c r="E58" i="2" s="1"/>
  <c r="AD228" i="5"/>
  <c r="AC228" i="5"/>
  <c r="AE228" i="5"/>
  <c r="AH220" i="5"/>
  <c r="AG220" i="5"/>
  <c r="AF220" i="5"/>
  <c r="J8" i="10"/>
  <c r="AK191" i="5"/>
  <c r="AJ191" i="5"/>
  <c r="AI191" i="5"/>
  <c r="AD33" i="5"/>
  <c r="F33" i="5" s="1"/>
  <c r="F33" i="2" s="1"/>
  <c r="AC33" i="5"/>
  <c r="E33" i="5" s="1"/>
  <c r="E33" i="2" s="1"/>
  <c r="AE33" i="5"/>
  <c r="G33" i="5" s="1"/>
  <c r="G33" i="2" s="1"/>
  <c r="AM172" i="5"/>
  <c r="AL172" i="5"/>
  <c r="AN172" i="5"/>
  <c r="AQ168" i="5"/>
  <c r="AO168" i="5"/>
  <c r="AP168" i="5"/>
  <c r="AH109" i="5"/>
  <c r="AD232" i="5"/>
  <c r="AC232" i="5"/>
  <c r="AE232" i="5"/>
  <c r="AT207" i="5"/>
  <c r="AS207" i="5"/>
  <c r="AR207" i="5"/>
  <c r="AJ138" i="5"/>
  <c r="AI138" i="5"/>
  <c r="AK138" i="5"/>
  <c r="AI214" i="5"/>
  <c r="AK214" i="5"/>
  <c r="AJ214" i="5"/>
  <c r="AT151" i="5"/>
  <c r="AS151" i="5"/>
  <c r="AR151" i="5"/>
  <c r="E151" i="5" s="1"/>
  <c r="E151" i="2" s="1"/>
  <c r="AE122" i="5"/>
  <c r="G122" i="5" s="1"/>
  <c r="G122" i="2" s="1"/>
  <c r="AD122" i="5"/>
  <c r="F122" i="5" s="1"/>
  <c r="F122" i="2" s="1"/>
  <c r="AC122" i="5"/>
  <c r="E122" i="5" s="1"/>
  <c r="E122" i="2" s="1"/>
  <c r="AD88" i="5"/>
  <c r="F88" i="5" s="1"/>
  <c r="F88" i="2" s="1"/>
  <c r="AE88" i="5"/>
  <c r="G88" i="5" s="1"/>
  <c r="G88" i="2" s="1"/>
  <c r="AC88" i="5"/>
  <c r="E88" i="5" s="1"/>
  <c r="E88" i="2" s="1"/>
  <c r="AK165" i="5"/>
  <c r="AJ165" i="5"/>
  <c r="AI165" i="5"/>
  <c r="AN182" i="5"/>
  <c r="AM182" i="5"/>
  <c r="AL182" i="5"/>
  <c r="AN184" i="5"/>
  <c r="AM184" i="5"/>
  <c r="AL184" i="5"/>
  <c r="AN32" i="5"/>
  <c r="AM32" i="5"/>
  <c r="AL32" i="5"/>
  <c r="AL232" i="5"/>
  <c r="AN232" i="5"/>
  <c r="AM232" i="5"/>
  <c r="AH128" i="5"/>
  <c r="AG128" i="5"/>
  <c r="AF128" i="5"/>
  <c r="N8" i="10"/>
  <c r="O215" i="5"/>
  <c r="P8" i="10"/>
  <c r="Q8" i="10"/>
  <c r="O8" i="10"/>
  <c r="R8" i="10" s="1"/>
  <c r="AJ44" i="5"/>
  <c r="AI44" i="5"/>
  <c r="AK44" i="5"/>
  <c r="G44" i="5" s="1"/>
  <c r="G44" i="2" s="1"/>
  <c r="AT115" i="5"/>
  <c r="G115" i="5" s="1"/>
  <c r="G115" i="2" s="1"/>
  <c r="AS115" i="5"/>
  <c r="AR115" i="5"/>
  <c r="AD25" i="5"/>
  <c r="AC25" i="5"/>
  <c r="AE25" i="5"/>
  <c r="AC237" i="5"/>
  <c r="E237" i="5" s="1"/>
  <c r="E237" i="2" s="1"/>
  <c r="AE237" i="5"/>
  <c r="G237" i="5" s="1"/>
  <c r="G237" i="2" s="1"/>
  <c r="AD237" i="5"/>
  <c r="F237" i="5" s="1"/>
  <c r="F237" i="2" s="1"/>
  <c r="AO170" i="5"/>
  <c r="AQ170" i="5"/>
  <c r="AP170" i="5"/>
  <c r="AQ119" i="5"/>
  <c r="AO119" i="5"/>
  <c r="AP119" i="5"/>
  <c r="AD76" i="5"/>
  <c r="F76" i="5" s="1"/>
  <c r="F76" i="2" s="1"/>
  <c r="AC76" i="5"/>
  <c r="E76" i="5" s="1"/>
  <c r="E76" i="2" s="1"/>
  <c r="AE76" i="5"/>
  <c r="AD206" i="5"/>
  <c r="AC206" i="5"/>
  <c r="AE206" i="5"/>
  <c r="AS51" i="5"/>
  <c r="F51" i="5" s="1"/>
  <c r="F51" i="2" s="1"/>
  <c r="AR51" i="5"/>
  <c r="AT51" i="5"/>
  <c r="AE179" i="5"/>
  <c r="AC179" i="5"/>
  <c r="AD179" i="5"/>
  <c r="F179" i="5" s="1"/>
  <c r="F179" i="2" s="1"/>
  <c r="AD234" i="5"/>
  <c r="AT225" i="5"/>
  <c r="AS225" i="5"/>
  <c r="AR225" i="5"/>
  <c r="AL109" i="5"/>
  <c r="AN109" i="5"/>
  <c r="AM109" i="5"/>
  <c r="AN105" i="5"/>
  <c r="AM105" i="5"/>
  <c r="AL105" i="5"/>
  <c r="AC93" i="5"/>
  <c r="AE93" i="5"/>
  <c r="AD93" i="5"/>
  <c r="AC181" i="5"/>
  <c r="AE140" i="5"/>
  <c r="AD140" i="5"/>
  <c r="AC140" i="5"/>
  <c r="AH93" i="5"/>
  <c r="AG93" i="5"/>
  <c r="AF93" i="5"/>
  <c r="AS48" i="5"/>
  <c r="AR48" i="5"/>
  <c r="AT48" i="5"/>
  <c r="AM24" i="5"/>
  <c r="F24" i="5" s="1"/>
  <c r="F24" i="2" s="1"/>
  <c r="AN24" i="5"/>
  <c r="G24" i="5" s="1"/>
  <c r="G24" i="2" s="1"/>
  <c r="AL24" i="5"/>
  <c r="E24" i="5" s="1"/>
  <c r="E24" i="2" s="1"/>
  <c r="AH79" i="5"/>
  <c r="G79" i="5" s="1"/>
  <c r="G79" i="2" s="1"/>
  <c r="AE221" i="5"/>
  <c r="AD221" i="5"/>
  <c r="F221" i="5" s="1"/>
  <c r="F221" i="2" s="1"/>
  <c r="AC221" i="5"/>
  <c r="AN19" i="5"/>
  <c r="AM19" i="5"/>
  <c r="AL19" i="5"/>
  <c r="AI109" i="5"/>
  <c r="AK109" i="5"/>
  <c r="AJ109" i="5"/>
  <c r="AD31" i="5"/>
  <c r="AC31" i="5"/>
  <c r="AE31" i="5"/>
  <c r="AR187" i="5"/>
  <c r="AT187" i="5"/>
  <c r="AS187" i="5"/>
  <c r="F187" i="5" s="1"/>
  <c r="F187" i="2" s="1"/>
  <c r="AM166" i="5"/>
  <c r="AN166" i="5"/>
  <c r="AL166" i="5"/>
  <c r="AK6" i="5"/>
  <c r="AJ6" i="5"/>
  <c r="AI6" i="5"/>
  <c r="AM60" i="5"/>
  <c r="AN60" i="5"/>
  <c r="AL60" i="5"/>
  <c r="AS118" i="5"/>
  <c r="AR118" i="5"/>
  <c r="AT118" i="5"/>
  <c r="AN150" i="5"/>
  <c r="AM150" i="5"/>
  <c r="AL150" i="5"/>
  <c r="AJ164" i="5"/>
  <c r="AI164" i="5"/>
  <c r="AK164" i="5"/>
  <c r="AN179" i="5"/>
  <c r="AM179" i="5"/>
  <c r="AL179" i="5"/>
  <c r="AJ99" i="5"/>
  <c r="F99" i="5" s="1"/>
  <c r="F99" i="2" s="1"/>
  <c r="AI99" i="5"/>
  <c r="E99" i="5" s="1"/>
  <c r="E99" i="2" s="1"/>
  <c r="AK99" i="5"/>
  <c r="AC139" i="5"/>
  <c r="AE139" i="5"/>
  <c r="AD139" i="5"/>
  <c r="AJ15" i="5"/>
  <c r="AK15" i="5"/>
  <c r="AI15" i="5"/>
  <c r="AT183" i="5"/>
  <c r="AS183" i="5"/>
  <c r="AR183" i="5"/>
  <c r="AN188" i="5"/>
  <c r="AM188" i="5"/>
  <c r="AL188" i="5"/>
  <c r="AH68" i="5"/>
  <c r="AF68" i="5"/>
  <c r="AG68" i="5"/>
  <c r="AM145" i="5"/>
  <c r="AN145" i="5"/>
  <c r="AL145" i="5"/>
  <c r="AD183" i="5"/>
  <c r="AE183" i="5"/>
  <c r="AC183" i="5"/>
  <c r="AT6" i="5"/>
  <c r="AS6" i="5"/>
  <c r="AR6" i="5"/>
  <c r="AQ198" i="5"/>
  <c r="AO198" i="5"/>
  <c r="AP198" i="5"/>
  <c r="AI71" i="5"/>
  <c r="AK71" i="5"/>
  <c r="AJ71" i="5"/>
  <c r="F71" i="5" s="1"/>
  <c r="F71" i="2" s="1"/>
  <c r="AT140" i="5"/>
  <c r="AR140" i="5"/>
  <c r="AS140" i="5"/>
  <c r="AH190" i="5"/>
  <c r="AG190" i="5"/>
  <c r="AE209" i="5"/>
  <c r="AD209" i="5"/>
  <c r="AC209" i="5"/>
  <c r="AK205" i="5"/>
  <c r="AI205" i="5"/>
  <c r="AJ205" i="5"/>
  <c r="AT160" i="5"/>
  <c r="AS160" i="5"/>
  <c r="AR160" i="5"/>
  <c r="P16" i="10"/>
  <c r="AK21" i="5"/>
  <c r="AJ21" i="5"/>
  <c r="F21" i="5" s="1"/>
  <c r="F21" i="2" s="1"/>
  <c r="AI21" i="5"/>
  <c r="E21" i="5" s="1"/>
  <c r="E21" i="2" s="1"/>
  <c r="E205" i="5" l="1"/>
  <c r="E205" i="2" s="1"/>
  <c r="G89" i="5"/>
  <c r="F226" i="5"/>
  <c r="F226" i="2" s="1"/>
  <c r="F216" i="5"/>
  <c r="F216" i="2" s="1"/>
  <c r="F160" i="5"/>
  <c r="F160" i="2" s="1"/>
  <c r="E137" i="5"/>
  <c r="E137" i="2" s="1"/>
  <c r="G20" i="5"/>
  <c r="G20" i="2" s="1"/>
  <c r="F74" i="5"/>
  <c r="F74" i="2" s="1"/>
  <c r="E55" i="5"/>
  <c r="E55" i="2" s="1"/>
  <c r="G137" i="5"/>
  <c r="G137" i="2" s="1"/>
  <c r="F52" i="5"/>
  <c r="G216" i="5"/>
  <c r="G216" i="2" s="1"/>
  <c r="G197" i="5"/>
  <c r="G197" i="2" s="1"/>
  <c r="E162" i="5"/>
  <c r="G75" i="5"/>
  <c r="G75" i="2" s="1"/>
  <c r="E167" i="5"/>
  <c r="E167" i="2" s="1"/>
  <c r="F208" i="5"/>
  <c r="F208" i="2" s="1"/>
  <c r="E216" i="5"/>
  <c r="E216" i="2" s="1"/>
  <c r="E209" i="5"/>
  <c r="E209" i="2" s="1"/>
  <c r="E206" i="5"/>
  <c r="E206" i="2" s="1"/>
  <c r="E203" i="5"/>
  <c r="E203" i="2" s="1"/>
  <c r="F209" i="5"/>
  <c r="F209" i="2" s="1"/>
  <c r="E228" i="5"/>
  <c r="E228" i="2" s="1"/>
  <c r="E120" i="5"/>
  <c r="E120" i="2" s="1"/>
  <c r="F18" i="5"/>
  <c r="F18" i="2" s="1"/>
  <c r="G165" i="5"/>
  <c r="F203" i="5"/>
  <c r="F203" i="2" s="1"/>
  <c r="E70" i="5"/>
  <c r="E70" i="2" s="1"/>
  <c r="G16" i="5"/>
  <c r="G143" i="5"/>
  <c r="G143" i="2" s="1"/>
  <c r="E147" i="5"/>
  <c r="E147" i="2" s="1"/>
  <c r="G155" i="5"/>
  <c r="G155" i="2" s="1"/>
  <c r="F181" i="5"/>
  <c r="F181" i="2" s="1"/>
  <c r="F14" i="5"/>
  <c r="F14" i="2" s="1"/>
  <c r="G209" i="5"/>
  <c r="G209" i="2" s="1"/>
  <c r="G76" i="5"/>
  <c r="G76" i="2" s="1"/>
  <c r="G120" i="5"/>
  <c r="G120" i="2" s="1"/>
  <c r="E210" i="5"/>
  <c r="E210" i="2" s="1"/>
  <c r="F165" i="5"/>
  <c r="F13" i="1" s="1"/>
  <c r="G172" i="5"/>
  <c r="G172" i="2" s="1"/>
  <c r="F204" i="5"/>
  <c r="F204" i="2" s="1"/>
  <c r="F28" i="5"/>
  <c r="F28" i="2" s="1"/>
  <c r="E16" i="5"/>
  <c r="E16" i="2" s="1"/>
  <c r="E91" i="5"/>
  <c r="E91" i="2" s="1"/>
  <c r="F147" i="5"/>
  <c r="F147" i="2" s="1"/>
  <c r="E179" i="5"/>
  <c r="E179" i="2" s="1"/>
  <c r="G212" i="5"/>
  <c r="G212" i="2" s="1"/>
  <c r="F87" i="5"/>
  <c r="F87" i="2" s="1"/>
  <c r="G15" i="5"/>
  <c r="G15" i="2" s="1"/>
  <c r="E35" i="5"/>
  <c r="E35" i="2" s="1"/>
  <c r="F82" i="5"/>
  <c r="F82" i="2" s="1"/>
  <c r="G35" i="5"/>
  <c r="G35" i="2" s="1"/>
  <c r="E71" i="5"/>
  <c r="E71" i="2" s="1"/>
  <c r="E100" i="5"/>
  <c r="E100" i="2" s="1"/>
  <c r="E31" i="5"/>
  <c r="E31" i="2" s="1"/>
  <c r="F45" i="5"/>
  <c r="F45" i="2" s="1"/>
  <c r="G188" i="5"/>
  <c r="F163" i="5"/>
  <c r="F163" i="2" s="1"/>
  <c r="F106" i="5"/>
  <c r="F106" i="2" s="1"/>
  <c r="E163" i="5"/>
  <c r="E163" i="2" s="1"/>
  <c r="G83" i="5"/>
  <c r="G83" i="2" s="1"/>
  <c r="E200" i="5"/>
  <c r="E200" i="2" s="1"/>
  <c r="G163" i="5"/>
  <c r="G163" i="2" s="1"/>
  <c r="G101" i="5"/>
  <c r="F104" i="5"/>
  <c r="F104" i="2" s="1"/>
  <c r="E166" i="5"/>
  <c r="E166" i="2" s="1"/>
  <c r="G51" i="5"/>
  <c r="G51" i="2" s="1"/>
  <c r="E219" i="5"/>
  <c r="E219" i="2" s="1"/>
  <c r="E20" i="5"/>
  <c r="E20" i="2" s="1"/>
  <c r="F15" i="5"/>
  <c r="F15" i="2" s="1"/>
  <c r="G92" i="5"/>
  <c r="G92" i="2" s="1"/>
  <c r="E53" i="5"/>
  <c r="E53" i="2" s="1"/>
  <c r="F224" i="5"/>
  <c r="F224" i="2" s="1"/>
  <c r="F85" i="5"/>
  <c r="F85" i="2" s="1"/>
  <c r="G81" i="5"/>
  <c r="G81" i="2" s="1"/>
  <c r="F31" i="5"/>
  <c r="F31" i="2" s="1"/>
  <c r="G85" i="5"/>
  <c r="G85" i="2" s="1"/>
  <c r="E207" i="5"/>
  <c r="E207" i="2" s="1"/>
  <c r="F69" i="5"/>
  <c r="F69" i="2" s="1"/>
  <c r="G36" i="5"/>
  <c r="G36" i="2" s="1"/>
  <c r="G187" i="5"/>
  <c r="G187" i="2" s="1"/>
  <c r="G106" i="5"/>
  <c r="G106" i="2" s="1"/>
  <c r="E83" i="5"/>
  <c r="E83" i="2" s="1"/>
  <c r="G100" i="5"/>
  <c r="G100" i="2" s="1"/>
  <c r="G104" i="5"/>
  <c r="G104" i="2" s="1"/>
  <c r="F198" i="5"/>
  <c r="F198" i="2" s="1"/>
  <c r="E235" i="5"/>
  <c r="E235" i="2" s="1"/>
  <c r="E44" i="5"/>
  <c r="E44" i="2" s="1"/>
  <c r="F27" i="5"/>
  <c r="F27" i="2" s="1"/>
  <c r="E140" i="5"/>
  <c r="E140" i="2" s="1"/>
  <c r="G199" i="5"/>
  <c r="G199" i="2" s="1"/>
  <c r="F192" i="5"/>
  <c r="F192" i="2" s="1"/>
  <c r="E94" i="5"/>
  <c r="E94" i="2" s="1"/>
  <c r="G231" i="5"/>
  <c r="G231" i="2" s="1"/>
  <c r="E188" i="5"/>
  <c r="G235" i="5"/>
  <c r="G235" i="2" s="1"/>
  <c r="G99" i="5"/>
  <c r="G99" i="2" s="1"/>
  <c r="F207" i="5"/>
  <c r="F207" i="2" s="1"/>
  <c r="G69" i="5"/>
  <c r="G69" i="2" s="1"/>
  <c r="F36" i="5"/>
  <c r="F36" i="2" s="1"/>
  <c r="E103" i="5"/>
  <c r="E103" i="2" s="1"/>
  <c r="E90" i="5"/>
  <c r="E90" i="2" s="1"/>
  <c r="G138" i="5"/>
  <c r="G138" i="2" s="1"/>
  <c r="E42" i="5"/>
  <c r="E42" i="2" s="1"/>
  <c r="F43" i="5"/>
  <c r="F43" i="2" s="1"/>
  <c r="E65" i="5"/>
  <c r="E65" i="2" s="1"/>
  <c r="G194" i="5"/>
  <c r="G194" i="2" s="1"/>
  <c r="S6" i="10"/>
  <c r="F236" i="5"/>
  <c r="F236" i="2" s="1"/>
  <c r="F109" i="5"/>
  <c r="F109" i="2" s="1"/>
  <c r="G223" i="5"/>
  <c r="G223" i="2" s="1"/>
  <c r="F121" i="5"/>
  <c r="F121" i="2" s="1"/>
  <c r="G121" i="5"/>
  <c r="G121" i="2" s="1"/>
  <c r="G84" i="5"/>
  <c r="G84" i="2" s="1"/>
  <c r="E87" i="5"/>
  <c r="E87" i="2" s="1"/>
  <c r="E92" i="5"/>
  <c r="E92" i="2" s="1"/>
  <c r="E175" i="5"/>
  <c r="E175" i="2" s="1"/>
  <c r="G198" i="5"/>
  <c r="G198" i="2" s="1"/>
  <c r="G207" i="5"/>
  <c r="G207" i="2" s="1"/>
  <c r="E36" i="5"/>
  <c r="E36" i="2" s="1"/>
  <c r="F12" i="5"/>
  <c r="F138" i="5"/>
  <c r="F138" i="2" s="1"/>
  <c r="F42" i="5"/>
  <c r="F42" i="2" s="1"/>
  <c r="F90" i="5"/>
  <c r="F90" i="2" s="1"/>
  <c r="G236" i="5"/>
  <c r="G236" i="2" s="1"/>
  <c r="F223" i="5"/>
  <c r="F223" i="2" s="1"/>
  <c r="F127" i="5"/>
  <c r="F127" i="2" s="1"/>
  <c r="F162" i="5"/>
  <c r="F12" i="1" s="1"/>
  <c r="G21" i="5"/>
  <c r="G21" i="2" s="1"/>
  <c r="F234" i="5"/>
  <c r="F234" i="2" s="1"/>
  <c r="G179" i="5"/>
  <c r="G179" i="2" s="1"/>
  <c r="F16" i="5"/>
  <c r="F16" i="2" s="1"/>
  <c r="G87" i="5"/>
  <c r="G87" i="2" s="1"/>
  <c r="E181" i="5"/>
  <c r="E181" i="2" s="1"/>
  <c r="E144" i="5"/>
  <c r="E144" i="2" s="1"/>
  <c r="E85" i="5"/>
  <c r="E85" i="2" s="1"/>
  <c r="G175" i="5"/>
  <c r="G175" i="2" s="1"/>
  <c r="F83" i="5"/>
  <c r="F83" i="2" s="1"/>
  <c r="F103" i="5"/>
  <c r="F103" i="2" s="1"/>
  <c r="E132" i="5"/>
  <c r="E132" i="2" s="1"/>
  <c r="E52" i="5"/>
  <c r="G103" i="5"/>
  <c r="G103" i="2" s="1"/>
  <c r="E138" i="5"/>
  <c r="E138" i="2" s="1"/>
  <c r="E30" i="5"/>
  <c r="E30" i="2" s="1"/>
  <c r="F65" i="5"/>
  <c r="F65" i="2" s="1"/>
  <c r="F144" i="5"/>
  <c r="F144" i="2" s="1"/>
  <c r="E236" i="5"/>
  <c r="E236" i="2" s="1"/>
  <c r="G171" i="5"/>
  <c r="G171" i="2" s="1"/>
  <c r="F58" i="5"/>
  <c r="F58" i="2" s="1"/>
  <c r="F84" i="5"/>
  <c r="F84" i="2" s="1"/>
  <c r="F59" i="5"/>
  <c r="F59" i="2" s="1"/>
  <c r="G210" i="5"/>
  <c r="G210" i="2" s="1"/>
  <c r="E15" i="5"/>
  <c r="E15" i="2" s="1"/>
  <c r="E82" i="5"/>
  <c r="E82" i="2" s="1"/>
  <c r="F94" i="5"/>
  <c r="F94" i="2" s="1"/>
  <c r="E231" i="5"/>
  <c r="E231" i="2" s="1"/>
  <c r="G110" i="5"/>
  <c r="G110" i="2" s="1"/>
  <c r="G31" i="5"/>
  <c r="G31" i="2" s="1"/>
  <c r="E172" i="5"/>
  <c r="E172" i="2" s="1"/>
  <c r="G96" i="5"/>
  <c r="G96" i="2" s="1"/>
  <c r="G63" i="5"/>
  <c r="G63" i="2" s="1"/>
  <c r="E78" i="5"/>
  <c r="E78" i="2" s="1"/>
  <c r="G127" i="5"/>
  <c r="G127" i="2" s="1"/>
  <c r="F46" i="5"/>
  <c r="F46" i="2" s="1"/>
  <c r="F142" i="5"/>
  <c r="F142" i="2" s="1"/>
  <c r="G221" i="5"/>
  <c r="G221" i="2" s="1"/>
  <c r="E115" i="5"/>
  <c r="E115" i="2" s="1"/>
  <c r="G71" i="5"/>
  <c r="G71" i="2" s="1"/>
  <c r="F188" i="5"/>
  <c r="G135" i="5"/>
  <c r="G135" i="2" s="1"/>
  <c r="G94" i="5"/>
  <c r="G94" i="2" s="1"/>
  <c r="E106" i="5"/>
  <c r="E106" i="2" s="1"/>
  <c r="E19" i="5"/>
  <c r="E19" i="2" s="1"/>
  <c r="F101" i="5"/>
  <c r="F9" i="1" s="1"/>
  <c r="E80" i="5"/>
  <c r="E80" i="2" s="1"/>
  <c r="F151" i="5"/>
  <c r="F151" i="2" s="1"/>
  <c r="F19" i="5"/>
  <c r="F19" i="2" s="1"/>
  <c r="G181" i="5"/>
  <c r="G181" i="2" s="1"/>
  <c r="E96" i="5"/>
  <c r="E96" i="2" s="1"/>
  <c r="G66" i="5"/>
  <c r="G66" i="2" s="1"/>
  <c r="E204" i="5"/>
  <c r="E204" i="2" s="1"/>
  <c r="E201" i="5"/>
  <c r="E201" i="2" s="1"/>
  <c r="E63" i="5"/>
  <c r="E63" i="2" s="1"/>
  <c r="G68" i="5"/>
  <c r="G68" i="2" s="1"/>
  <c r="F78" i="5"/>
  <c r="F78" i="2" s="1"/>
  <c r="E197" i="5"/>
  <c r="E197" i="2" s="1"/>
  <c r="E46" i="5"/>
  <c r="E46" i="2" s="1"/>
  <c r="E7" i="1"/>
  <c r="E12" i="2"/>
  <c r="F52" i="2"/>
  <c r="F14" i="1"/>
  <c r="E162" i="2"/>
  <c r="E12" i="1"/>
  <c r="G165" i="2"/>
  <c r="G13" i="1"/>
  <c r="F165" i="2"/>
  <c r="F188" i="2"/>
  <c r="F15" i="1"/>
  <c r="E188" i="2"/>
  <c r="E15" i="1"/>
  <c r="G188" i="2"/>
  <c r="G15" i="1"/>
  <c r="G101" i="2"/>
  <c r="G9" i="1"/>
  <c r="G12" i="2"/>
  <c r="G7" i="1"/>
  <c r="E192" i="5"/>
  <c r="E192" i="2" s="1"/>
  <c r="E213" i="5"/>
  <c r="E213" i="2" s="1"/>
  <c r="E160" i="5"/>
  <c r="E160" i="2" s="1"/>
  <c r="F41" i="5"/>
  <c r="F41" i="2" s="1"/>
  <c r="S32" i="10"/>
  <c r="AS60" i="5"/>
  <c r="F60" i="5" s="1"/>
  <c r="F60" i="2" s="1"/>
  <c r="AT60" i="5"/>
  <c r="G60" i="5" s="1"/>
  <c r="G60" i="2" s="1"/>
  <c r="AR60" i="5"/>
  <c r="G205" i="5"/>
  <c r="G205" i="2" s="1"/>
  <c r="G105" i="5"/>
  <c r="G105" i="2" s="1"/>
  <c r="F96" i="5"/>
  <c r="F96" i="2" s="1"/>
  <c r="F231" i="5"/>
  <c r="F231" i="2" s="1"/>
  <c r="F175" i="5"/>
  <c r="F175" i="2" s="1"/>
  <c r="G160" i="5"/>
  <c r="G160" i="2" s="1"/>
  <c r="F170" i="5"/>
  <c r="F170" i="2" s="1"/>
  <c r="G16" i="2"/>
  <c r="G10" i="1"/>
  <c r="E118" i="5"/>
  <c r="E118" i="2" s="1"/>
  <c r="F213" i="5"/>
  <c r="F213" i="2" s="1"/>
  <c r="G41" i="5"/>
  <c r="G41" i="2" s="1"/>
  <c r="AD215" i="5"/>
  <c r="AE215" i="5"/>
  <c r="AC215" i="5"/>
  <c r="G40" i="2"/>
  <c r="G8" i="1"/>
  <c r="F200" i="5"/>
  <c r="F200" i="2" s="1"/>
  <c r="E143" i="5"/>
  <c r="E143" i="2" s="1"/>
  <c r="E211" i="5"/>
  <c r="E211" i="2" s="1"/>
  <c r="G136" i="5"/>
  <c r="G136" i="2" s="1"/>
  <c r="E149" i="5"/>
  <c r="E149" i="2" s="1"/>
  <c r="AM108" i="5"/>
  <c r="F108" i="5" s="1"/>
  <c r="F108" i="2" s="1"/>
  <c r="AN108" i="5"/>
  <c r="G108" i="5" s="1"/>
  <c r="G108" i="2" s="1"/>
  <c r="AL108" i="5"/>
  <c r="E108" i="5" s="1"/>
  <c r="E108" i="2" s="1"/>
  <c r="F202" i="5"/>
  <c r="F202" i="2" s="1"/>
  <c r="E109" i="5"/>
  <c r="E109" i="2" s="1"/>
  <c r="F172" i="5"/>
  <c r="F172" i="2" s="1"/>
  <c r="G201" i="5"/>
  <c r="G201" i="2" s="1"/>
  <c r="E40" i="5"/>
  <c r="G204" i="5"/>
  <c r="G204" i="2" s="1"/>
  <c r="G53" i="5"/>
  <c r="G53" i="2" s="1"/>
  <c r="E26" i="5"/>
  <c r="E26" i="2" s="1"/>
  <c r="F143" i="5"/>
  <c r="F143" i="2" s="1"/>
  <c r="E48" i="5"/>
  <c r="E48" i="2" s="1"/>
  <c r="E136" i="5"/>
  <c r="E136" i="2" s="1"/>
  <c r="F149" i="5"/>
  <c r="F149" i="2" s="1"/>
  <c r="G14" i="5"/>
  <c r="G14" i="2" s="1"/>
  <c r="G102" i="5"/>
  <c r="G102" i="2" s="1"/>
  <c r="E202" i="5"/>
  <c r="E202" i="2" s="1"/>
  <c r="F205" i="5"/>
  <c r="F205" i="2" s="1"/>
  <c r="F115" i="5"/>
  <c r="F115" i="2" s="1"/>
  <c r="G118" i="5"/>
  <c r="G118" i="2" s="1"/>
  <c r="F238" i="5"/>
  <c r="F238" i="2" s="1"/>
  <c r="F26" i="5"/>
  <c r="F26" i="2" s="1"/>
  <c r="G233" i="5"/>
  <c r="G233" i="2" s="1"/>
  <c r="F48" i="5"/>
  <c r="F48" i="2" s="1"/>
  <c r="G149" i="5"/>
  <c r="G149" i="2" s="1"/>
  <c r="E14" i="5"/>
  <c r="E14" i="2" s="1"/>
  <c r="F102" i="5"/>
  <c r="F102" i="2" s="1"/>
  <c r="F100" i="5"/>
  <c r="F100" i="2" s="1"/>
  <c r="F233" i="5"/>
  <c r="F233" i="2" s="1"/>
  <c r="AG95" i="5"/>
  <c r="F95" i="5" s="1"/>
  <c r="F95" i="2" s="1"/>
  <c r="AF95" i="5"/>
  <c r="AH95" i="5"/>
  <c r="G95" i="5" s="1"/>
  <c r="G95" i="2" s="1"/>
  <c r="G48" i="5"/>
  <c r="G48" i="2" s="1"/>
  <c r="G59" i="5"/>
  <c r="G59" i="2" s="1"/>
  <c r="E60" i="5"/>
  <c r="E60" i="2" s="1"/>
  <c r="F40" i="5"/>
  <c r="E95" i="5"/>
  <c r="E95" i="2" s="1"/>
  <c r="E159" i="5"/>
  <c r="E159" i="2" s="1"/>
  <c r="G190" i="5"/>
  <c r="G190" i="2" s="1"/>
  <c r="AK7" i="5"/>
  <c r="AI7" i="5"/>
  <c r="AJ7" i="5"/>
  <c r="F17" i="5"/>
  <c r="F17" i="2" s="1"/>
  <c r="E233" i="5"/>
  <c r="E233" i="2" s="1"/>
  <c r="F133" i="5"/>
  <c r="F133" i="2" s="1"/>
  <c r="E199" i="5"/>
  <c r="E199" i="2" s="1"/>
  <c r="AG102" i="5"/>
  <c r="AH102" i="5"/>
  <c r="AF102" i="5"/>
  <c r="E102" i="5" s="1"/>
  <c r="E102" i="2" s="1"/>
  <c r="E59" i="5"/>
  <c r="E59" i="2" s="1"/>
  <c r="E184" i="5"/>
  <c r="E184" i="2" s="1"/>
  <c r="AO215" i="5"/>
  <c r="AQ215" i="5"/>
  <c r="AP215" i="5"/>
  <c r="E50" i="5"/>
  <c r="E50" i="2" s="1"/>
  <c r="F169" i="5"/>
  <c r="F169" i="2" s="1"/>
  <c r="G218" i="5"/>
  <c r="G218" i="2" s="1"/>
  <c r="F159" i="5"/>
  <c r="F159" i="2" s="1"/>
  <c r="E190" i="5"/>
  <c r="E190" i="2" s="1"/>
  <c r="G147" i="5"/>
  <c r="G147" i="2" s="1"/>
  <c r="G17" i="5"/>
  <c r="G17" i="2" s="1"/>
  <c r="E75" i="5"/>
  <c r="E75" i="2" s="1"/>
  <c r="F130" i="5"/>
  <c r="F130" i="2" s="1"/>
  <c r="F182" i="5"/>
  <c r="F182" i="2" s="1"/>
  <c r="E229" i="5"/>
  <c r="E229" i="2" s="1"/>
  <c r="E43" i="5"/>
  <c r="E43" i="2" s="1"/>
  <c r="F180" i="5"/>
  <c r="F180" i="2" s="1"/>
  <c r="G166" i="5"/>
  <c r="G166" i="2" s="1"/>
  <c r="E17" i="5"/>
  <c r="E17" i="2" s="1"/>
  <c r="F75" i="5"/>
  <c r="F75" i="2" s="1"/>
  <c r="E130" i="5"/>
  <c r="E130" i="2" s="1"/>
  <c r="E182" i="5"/>
  <c r="E182" i="2" s="1"/>
  <c r="E84" i="5"/>
  <c r="E84" i="2" s="1"/>
  <c r="F229" i="5"/>
  <c r="F229" i="2" s="1"/>
  <c r="AT117" i="5"/>
  <c r="AS117" i="5"/>
  <c r="AR117" i="5"/>
  <c r="G152" i="5"/>
  <c r="G152" i="2" s="1"/>
  <c r="G159" i="5"/>
  <c r="G159" i="2" s="1"/>
  <c r="F50" i="5"/>
  <c r="F50" i="2" s="1"/>
  <c r="E131" i="5"/>
  <c r="E131" i="2" s="1"/>
  <c r="G72" i="5"/>
  <c r="G72" i="2" s="1"/>
  <c r="E198" i="5"/>
  <c r="E198" i="2" s="1"/>
  <c r="G180" i="5"/>
  <c r="G180" i="2" s="1"/>
  <c r="G111" i="5"/>
  <c r="G111" i="2" s="1"/>
  <c r="G130" i="5"/>
  <c r="G130" i="2" s="1"/>
  <c r="G229" i="5"/>
  <c r="G229" i="2" s="1"/>
  <c r="G202" i="5"/>
  <c r="G202" i="2" s="1"/>
  <c r="E152" i="5"/>
  <c r="E152" i="2" s="1"/>
  <c r="G191" i="5"/>
  <c r="G191" i="2" s="1"/>
  <c r="G176" i="5"/>
  <c r="G176" i="2" s="1"/>
  <c r="F157" i="5"/>
  <c r="F157" i="2" s="1"/>
  <c r="G131" i="5"/>
  <c r="G131" i="2" s="1"/>
  <c r="G162" i="5"/>
  <c r="E180" i="5"/>
  <c r="E180" i="2" s="1"/>
  <c r="F80" i="5"/>
  <c r="F80" i="2" s="1"/>
  <c r="E111" i="5"/>
  <c r="E111" i="2" s="1"/>
  <c r="E56" i="5"/>
  <c r="E56" i="2" s="1"/>
  <c r="F137" i="5"/>
  <c r="F137" i="2" s="1"/>
  <c r="E105" i="5"/>
  <c r="E105" i="2" s="1"/>
  <c r="E74" i="5"/>
  <c r="E74" i="2" s="1"/>
  <c r="G206" i="5"/>
  <c r="G206" i="2" s="1"/>
  <c r="G43" i="5"/>
  <c r="G43" i="2" s="1"/>
  <c r="G200" i="5"/>
  <c r="G200" i="2" s="1"/>
  <c r="G211" i="5"/>
  <c r="G211" i="2" s="1"/>
  <c r="F120" i="5"/>
  <c r="F120" i="2" s="1"/>
  <c r="F140" i="5"/>
  <c r="E191" i="5"/>
  <c r="E191" i="2" s="1"/>
  <c r="E218" i="5"/>
  <c r="E218" i="2" s="1"/>
  <c r="G139" i="5"/>
  <c r="G139" i="2" s="1"/>
  <c r="E189" i="5"/>
  <c r="E189" i="2" s="1"/>
  <c r="G167" i="5"/>
  <c r="G167" i="2" s="1"/>
  <c r="E174" i="5"/>
  <c r="E174" i="2" s="1"/>
  <c r="E176" i="5"/>
  <c r="E176" i="2" s="1"/>
  <c r="F158" i="5"/>
  <c r="F158" i="2" s="1"/>
  <c r="E114" i="5"/>
  <c r="E114" i="2" s="1"/>
  <c r="E157" i="5"/>
  <c r="E157" i="2" s="1"/>
  <c r="E29" i="5"/>
  <c r="E29" i="2" s="1"/>
  <c r="F166" i="5"/>
  <c r="F166" i="2" s="1"/>
  <c r="E133" i="5"/>
  <c r="E133" i="2" s="1"/>
  <c r="F111" i="5"/>
  <c r="F111" i="2" s="1"/>
  <c r="E67" i="5"/>
  <c r="E67" i="2" s="1"/>
  <c r="G56" i="5"/>
  <c r="G56" i="2" s="1"/>
  <c r="G34" i="5"/>
  <c r="G34" i="2" s="1"/>
  <c r="E52" i="2"/>
  <c r="E14" i="1"/>
  <c r="F118" i="5"/>
  <c r="F118" i="2" s="1"/>
  <c r="G225" i="5"/>
  <c r="G225" i="2" s="1"/>
  <c r="F201" i="5"/>
  <c r="F201" i="2" s="1"/>
  <c r="F152" i="5"/>
  <c r="F152" i="2" s="1"/>
  <c r="AC117" i="5"/>
  <c r="AE117" i="5"/>
  <c r="AD117" i="5"/>
  <c r="E169" i="5"/>
  <c r="E169" i="2" s="1"/>
  <c r="F139" i="5"/>
  <c r="F139" i="2" s="1"/>
  <c r="F22" i="5"/>
  <c r="F22" i="2" s="1"/>
  <c r="G158" i="5"/>
  <c r="G158" i="2" s="1"/>
  <c r="F114" i="5"/>
  <c r="F114" i="2" s="1"/>
  <c r="E139" i="5"/>
  <c r="E139" i="2" s="1"/>
  <c r="E93" i="5"/>
  <c r="E93" i="2" s="1"/>
  <c r="G174" i="5"/>
  <c r="G174" i="2" s="1"/>
  <c r="G89" i="2"/>
  <c r="G6" i="1"/>
  <c r="E119" i="5"/>
  <c r="E119" i="2" s="1"/>
  <c r="G157" i="5"/>
  <c r="G157" i="2" s="1"/>
  <c r="F29" i="5"/>
  <c r="F29" i="2" s="1"/>
  <c r="E171" i="5"/>
  <c r="E171" i="2" s="1"/>
  <c r="F178" i="5"/>
  <c r="F178" i="2" s="1"/>
  <c r="G146" i="5"/>
  <c r="G146" i="2" s="1"/>
  <c r="G195" i="5"/>
  <c r="G195" i="2" s="1"/>
  <c r="F67" i="5"/>
  <c r="F67" i="2" s="1"/>
  <c r="F56" i="5"/>
  <c r="F56" i="2" s="1"/>
  <c r="E34" i="5"/>
  <c r="E34" i="2" s="1"/>
  <c r="E113" i="5"/>
  <c r="E113" i="2" s="1"/>
  <c r="AR7" i="5"/>
  <c r="AT7" i="5"/>
  <c r="AS7" i="5"/>
  <c r="E165" i="2"/>
  <c r="E13" i="1"/>
  <c r="F211" i="5"/>
  <c r="F211" i="2" s="1"/>
  <c r="E194" i="5"/>
  <c r="E194" i="2" s="1"/>
  <c r="G228" i="5"/>
  <c r="G228" i="2" s="1"/>
  <c r="G169" i="5"/>
  <c r="G169" i="2" s="1"/>
  <c r="F176" i="5"/>
  <c r="F176" i="2" s="1"/>
  <c r="G93" i="5"/>
  <c r="G93" i="2" s="1"/>
  <c r="E220" i="5"/>
  <c r="E220" i="2" s="1"/>
  <c r="E32" i="5"/>
  <c r="E32" i="2" s="1"/>
  <c r="G141" i="5"/>
  <c r="G141" i="2" s="1"/>
  <c r="F189" i="5"/>
  <c r="F189" i="2" s="1"/>
  <c r="G232" i="5"/>
  <c r="G232" i="2" s="1"/>
  <c r="E61" i="5"/>
  <c r="E61" i="2" s="1"/>
  <c r="G189" i="5"/>
  <c r="G189" i="2" s="1"/>
  <c r="F174" i="5"/>
  <c r="F174" i="2" s="1"/>
  <c r="F55" i="5"/>
  <c r="F55" i="2" s="1"/>
  <c r="E227" i="5"/>
  <c r="E227" i="2" s="1"/>
  <c r="G119" i="5"/>
  <c r="G119" i="2" s="1"/>
  <c r="G57" i="5"/>
  <c r="G57" i="2" s="1"/>
  <c r="F171" i="5"/>
  <c r="F171" i="2" s="1"/>
  <c r="E98" i="5"/>
  <c r="E98" i="2" s="1"/>
  <c r="G178" i="5"/>
  <c r="G178" i="2" s="1"/>
  <c r="F146" i="5"/>
  <c r="F146" i="2" s="1"/>
  <c r="G107" i="5"/>
  <c r="G107" i="2" s="1"/>
  <c r="E195" i="5"/>
  <c r="E195" i="2" s="1"/>
  <c r="G67" i="5"/>
  <c r="G67" i="2" s="1"/>
  <c r="F34" i="5"/>
  <c r="F34" i="2" s="1"/>
  <c r="F113" i="5"/>
  <c r="F113" i="2" s="1"/>
  <c r="F191" i="5"/>
  <c r="F191" i="2" s="1"/>
  <c r="G220" i="5"/>
  <c r="G220" i="2" s="1"/>
  <c r="F167" i="5"/>
  <c r="F167" i="2" s="1"/>
  <c r="G29" i="5"/>
  <c r="G29" i="2" s="1"/>
  <c r="G37" i="5"/>
  <c r="G37" i="2" s="1"/>
  <c r="S27" i="10"/>
  <c r="E232" i="5"/>
  <c r="E232" i="2" s="1"/>
  <c r="G61" i="5"/>
  <c r="G61" i="2" s="1"/>
  <c r="F37" i="5"/>
  <c r="F37" i="2" s="1"/>
  <c r="F62" i="5"/>
  <c r="F62" i="2" s="1"/>
  <c r="E145" i="5"/>
  <c r="E145" i="2" s="1"/>
  <c r="G55" i="5"/>
  <c r="G55" i="2" s="1"/>
  <c r="F119" i="5"/>
  <c r="F119" i="2" s="1"/>
  <c r="F57" i="5"/>
  <c r="F57" i="2" s="1"/>
  <c r="G77" i="5"/>
  <c r="G77" i="2" s="1"/>
  <c r="E39" i="5"/>
  <c r="E39" i="2" s="1"/>
  <c r="F164" i="5"/>
  <c r="F164" i="2" s="1"/>
  <c r="F98" i="5"/>
  <c r="F98" i="2" s="1"/>
  <c r="E178" i="5"/>
  <c r="E178" i="2" s="1"/>
  <c r="E146" i="5"/>
  <c r="E146" i="2" s="1"/>
  <c r="F107" i="5"/>
  <c r="F107" i="2" s="1"/>
  <c r="F195" i="5"/>
  <c r="F195" i="2" s="1"/>
  <c r="G113" i="5"/>
  <c r="G113" i="2" s="1"/>
  <c r="E89" i="2"/>
  <c r="E6" i="1"/>
  <c r="E154" i="5"/>
  <c r="E154" i="2" s="1"/>
  <c r="E57" i="5"/>
  <c r="E57" i="2" s="1"/>
  <c r="E77" i="5"/>
  <c r="E77" i="2" s="1"/>
  <c r="F230" i="5"/>
  <c r="F230" i="2" s="1"/>
  <c r="F39" i="5"/>
  <c r="F39" i="2" s="1"/>
  <c r="S21" i="10"/>
  <c r="F222" i="5"/>
  <c r="F222" i="2" s="1"/>
  <c r="G97" i="5"/>
  <c r="G97" i="2" s="1"/>
  <c r="G164" i="5"/>
  <c r="G164" i="2" s="1"/>
  <c r="G98" i="5"/>
  <c r="G98" i="2" s="1"/>
  <c r="F217" i="5"/>
  <c r="F217" i="2" s="1"/>
  <c r="F153" i="5"/>
  <c r="F153" i="2" s="1"/>
  <c r="E107" i="5"/>
  <c r="E107" i="2" s="1"/>
  <c r="AN117" i="5"/>
  <c r="AM117" i="5"/>
  <c r="AL117" i="5"/>
  <c r="F101" i="2"/>
  <c r="F89" i="2"/>
  <c r="F6" i="1"/>
  <c r="G52" i="2"/>
  <c r="G14" i="1"/>
  <c r="E225" i="5"/>
  <c r="E225" i="2" s="1"/>
  <c r="F225" i="5"/>
  <c r="F225" i="2" s="1"/>
  <c r="F194" i="5"/>
  <c r="F194" i="2" s="1"/>
  <c r="F220" i="5"/>
  <c r="F220" i="2" s="1"/>
  <c r="F131" i="5"/>
  <c r="F131" i="2" s="1"/>
  <c r="G18" i="5"/>
  <c r="G18" i="2" s="1"/>
  <c r="E155" i="5"/>
  <c r="E155" i="2" s="1"/>
  <c r="AK217" i="5"/>
  <c r="G217" i="5" s="1"/>
  <c r="G217" i="2" s="1"/>
  <c r="AJ217" i="5"/>
  <c r="AI217" i="5"/>
  <c r="E217" i="5" s="1"/>
  <c r="E217" i="2" s="1"/>
  <c r="F145" i="5"/>
  <c r="F145" i="2" s="1"/>
  <c r="G90" i="5"/>
  <c r="G90" i="2" s="1"/>
  <c r="E47" i="5"/>
  <c r="E47" i="2" s="1"/>
  <c r="G109" i="5"/>
  <c r="G109" i="2" s="1"/>
  <c r="E168" i="5"/>
  <c r="E168" i="2" s="1"/>
  <c r="E150" i="5"/>
  <c r="E150" i="2" s="1"/>
  <c r="G145" i="5"/>
  <c r="G145" i="2" s="1"/>
  <c r="F227" i="5"/>
  <c r="F227" i="2" s="1"/>
  <c r="F47" i="5"/>
  <c r="F47" i="2" s="1"/>
  <c r="AC8" i="5"/>
  <c r="E8" i="5" s="1"/>
  <c r="E8" i="2" s="1"/>
  <c r="AD8" i="5"/>
  <c r="F8" i="5" s="1"/>
  <c r="F8" i="2" s="1"/>
  <c r="AE8" i="5"/>
  <c r="G8" i="5" s="1"/>
  <c r="G8" i="2" s="1"/>
  <c r="F154" i="5"/>
  <c r="F154" i="2" s="1"/>
  <c r="F77" i="5"/>
  <c r="F77" i="2" s="1"/>
  <c r="E230" i="5"/>
  <c r="E230" i="2" s="1"/>
  <c r="G39" i="5"/>
  <c r="G39" i="2" s="1"/>
  <c r="E6" i="5"/>
  <c r="E6" i="2" s="1"/>
  <c r="E97" i="5"/>
  <c r="E97" i="2" s="1"/>
  <c r="E164" i="5"/>
  <c r="E164" i="2" s="1"/>
  <c r="E153" i="5"/>
  <c r="E153" i="2" s="1"/>
  <c r="F186" i="5"/>
  <c r="F186" i="2" s="1"/>
  <c r="G50" i="5"/>
  <c r="G50" i="2" s="1"/>
  <c r="F73" i="5"/>
  <c r="F73" i="2" s="1"/>
  <c r="G154" i="5"/>
  <c r="G154" i="2" s="1"/>
  <c r="G230" i="5"/>
  <c r="G230" i="2" s="1"/>
  <c r="F97" i="5"/>
  <c r="F97" i="2" s="1"/>
  <c r="G153" i="5"/>
  <c r="G153" i="2" s="1"/>
  <c r="G142" i="5"/>
  <c r="G142" i="2" s="1"/>
  <c r="G238" i="5"/>
  <c r="G238" i="2" s="1"/>
  <c r="G62" i="5"/>
  <c r="G62" i="2" s="1"/>
  <c r="F93" i="5"/>
  <c r="F93" i="2" s="1"/>
  <c r="E183" i="5"/>
  <c r="E183" i="2" s="1"/>
  <c r="F125" i="5"/>
  <c r="F125" i="2" s="1"/>
  <c r="E208" i="5"/>
  <c r="E208" i="2" s="1"/>
  <c r="E142" i="5"/>
  <c r="E142" i="2" s="1"/>
  <c r="F177" i="5"/>
  <c r="F177" i="2" s="1"/>
  <c r="E185" i="5"/>
  <c r="E185" i="2" s="1"/>
  <c r="AF73" i="5"/>
  <c r="E73" i="5" s="1"/>
  <c r="E73" i="2" s="1"/>
  <c r="AH73" i="5"/>
  <c r="G73" i="5" s="1"/>
  <c r="G73" i="2" s="1"/>
  <c r="AG73" i="5"/>
  <c r="E41" i="5"/>
  <c r="E41" i="2" s="1"/>
  <c r="F7" i="1"/>
  <c r="F12" i="2"/>
  <c r="F206" i="5"/>
  <c r="F206" i="2" s="1"/>
  <c r="F228" i="5"/>
  <c r="F228" i="2" s="1"/>
  <c r="E18" i="5"/>
  <c r="E18" i="2" s="1"/>
  <c r="S8" i="10"/>
  <c r="G6" i="5"/>
  <c r="G6" i="2" s="1"/>
  <c r="G183" i="5"/>
  <c r="G183" i="2" s="1"/>
  <c r="G168" i="5"/>
  <c r="G168" i="2" s="1"/>
  <c r="G150" i="5"/>
  <c r="G150" i="2" s="1"/>
  <c r="G70" i="5"/>
  <c r="G70" i="2" s="1"/>
  <c r="G148" i="5"/>
  <c r="G148" i="2" s="1"/>
  <c r="G214" i="5"/>
  <c r="G214" i="2" s="1"/>
  <c r="E123" i="5"/>
  <c r="E123" i="2" s="1"/>
  <c r="F25" i="5"/>
  <c r="F25" i="2" s="1"/>
  <c r="F132" i="5"/>
  <c r="F132" i="2" s="1"/>
  <c r="E69" i="5"/>
  <c r="E69" i="2" s="1"/>
  <c r="F70" i="5"/>
  <c r="F70" i="2" s="1"/>
  <c r="F156" i="5"/>
  <c r="F156" i="2" s="1"/>
  <c r="E148" i="5"/>
  <c r="E148" i="2" s="1"/>
  <c r="E214" i="5"/>
  <c r="E214" i="2" s="1"/>
  <c r="E128" i="5"/>
  <c r="E128" i="2" s="1"/>
  <c r="G125" i="5"/>
  <c r="G125" i="2" s="1"/>
  <c r="F123" i="5"/>
  <c r="F123" i="2" s="1"/>
  <c r="G186" i="5"/>
  <c r="G186" i="2" s="1"/>
  <c r="E49" i="5"/>
  <c r="E49" i="2" s="1"/>
  <c r="G185" i="5"/>
  <c r="G185" i="2" s="1"/>
  <c r="G192" i="5"/>
  <c r="G192" i="2" s="1"/>
  <c r="E186" i="5"/>
  <c r="E186" i="2" s="1"/>
  <c r="F190" i="5"/>
  <c r="F190" i="2" s="1"/>
  <c r="G140" i="5"/>
  <c r="E22" i="5"/>
  <c r="E22" i="2" s="1"/>
  <c r="G22" i="5"/>
  <c r="G22" i="2" s="1"/>
  <c r="F218" i="5"/>
  <c r="F218" i="2" s="1"/>
  <c r="F232" i="5"/>
  <c r="F232" i="2" s="1"/>
  <c r="G25" i="5"/>
  <c r="G25" i="2" s="1"/>
  <c r="F168" i="5"/>
  <c r="F168" i="2" s="1"/>
  <c r="F150" i="5"/>
  <c r="F150" i="2" s="1"/>
  <c r="G47" i="5"/>
  <c r="G47" i="2" s="1"/>
  <c r="G222" i="5"/>
  <c r="G222" i="2" s="1"/>
  <c r="E25" i="5"/>
  <c r="E25" i="2" s="1"/>
  <c r="F23" i="5"/>
  <c r="F23" i="2" s="1"/>
  <c r="F6" i="5"/>
  <c r="F6" i="2" s="1"/>
  <c r="F183" i="5"/>
  <c r="F183" i="2" s="1"/>
  <c r="E101" i="5"/>
  <c r="E45" i="5"/>
  <c r="E45" i="2" s="1"/>
  <c r="F193" i="5"/>
  <c r="F193" i="2" s="1"/>
  <c r="E221" i="5"/>
  <c r="E221" i="2" s="1"/>
  <c r="G132" i="5"/>
  <c r="G132" i="2" s="1"/>
  <c r="G45" i="5"/>
  <c r="G45" i="2" s="1"/>
  <c r="F20" i="5"/>
  <c r="F20" i="2" s="1"/>
  <c r="G82" i="5"/>
  <c r="G82" i="2" s="1"/>
  <c r="E193" i="5"/>
  <c r="E193" i="2" s="1"/>
  <c r="F148" i="5"/>
  <c r="F148" i="2" s="1"/>
  <c r="G27" i="5"/>
  <c r="G27" i="2" s="1"/>
  <c r="F214" i="5"/>
  <c r="F214" i="2" s="1"/>
  <c r="F128" i="5"/>
  <c r="F128" i="2" s="1"/>
  <c r="F72" i="5"/>
  <c r="F72" i="2" s="1"/>
  <c r="F68" i="5"/>
  <c r="F68" i="2" s="1"/>
  <c r="E125" i="5"/>
  <c r="E125" i="2" s="1"/>
  <c r="G123" i="5"/>
  <c r="G123" i="2" s="1"/>
  <c r="G46" i="5"/>
  <c r="G46" i="2" s="1"/>
  <c r="G49" i="5"/>
  <c r="G49" i="2" s="1"/>
  <c r="F185" i="5"/>
  <c r="F185" i="2" s="1"/>
  <c r="G23" i="5"/>
  <c r="G23" i="2" s="1"/>
  <c r="E27" i="5"/>
  <c r="E27" i="2" s="1"/>
  <c r="F162" i="2" l="1"/>
  <c r="E11" i="1"/>
  <c r="E10" i="1"/>
  <c r="G117" i="5"/>
  <c r="G117" i="2" s="1"/>
  <c r="F7" i="5"/>
  <c r="F7" i="2" s="1"/>
  <c r="F10" i="1"/>
  <c r="E7" i="5"/>
  <c r="E7" i="2" s="1"/>
  <c r="F11" i="1"/>
  <c r="F140" i="2"/>
  <c r="G140" i="2"/>
  <c r="G11" i="1"/>
  <c r="F117" i="5"/>
  <c r="F117" i="2" s="1"/>
  <c r="E117" i="5"/>
  <c r="E117" i="2" s="1"/>
  <c r="E215" i="5"/>
  <c r="E215" i="2" s="1"/>
  <c r="G215" i="5"/>
  <c r="G215" i="2" s="1"/>
  <c r="F215" i="5"/>
  <c r="F215" i="2" s="1"/>
  <c r="G162" i="2"/>
  <c r="G12" i="1"/>
  <c r="G7" i="5"/>
  <c r="G7" i="2" s="1"/>
  <c r="E9" i="1"/>
  <c r="E101" i="2"/>
  <c r="F40" i="2"/>
  <c r="F8" i="1"/>
  <c r="E40" i="2"/>
  <c r="E8" i="1"/>
</calcChain>
</file>

<file path=xl/sharedStrings.xml><?xml version="1.0" encoding="utf-8"?>
<sst xmlns="http://schemas.openxmlformats.org/spreadsheetml/2006/main" count="84722" uniqueCount="14256">
  <si>
    <t>Ten datasets for manual review</t>
  </si>
  <si>
    <t>Review order covers contrasting data types and verification issues. It is a purposive shortlist, not a ranking by documentation score.</t>
  </si>
  <si>
    <t>Priority</t>
  </si>
  <si>
    <t>Dataset ID</t>
  </si>
  <si>
    <t>Dataset</t>
  </si>
  <si>
    <t>Representation</t>
  </si>
  <si>
    <t>Lower /100</t>
  </si>
  <si>
    <t>Upper /100</t>
  </si>
  <si>
    <t>Resolved share</t>
  </si>
  <si>
    <t>Dataset link</t>
  </si>
  <si>
    <t>Paper / evidence</t>
  </si>
  <si>
    <t>Why selected</t>
  </si>
  <si>
    <t>First manual action</t>
  </si>
  <si>
    <t>Release / scope</t>
  </si>
  <si>
    <t>Known limitation</t>
  </si>
  <si>
    <t>Review status</t>
  </si>
  <si>
    <t>Review inputs</t>
  </si>
  <si>
    <t>Check evidence</t>
  </si>
  <si>
    <t>DS-084</t>
  </si>
  <si>
    <t>SDNET2018 — pavement subset</t>
  </si>
  <si>
    <t>Binary image classification</t>
  </si>
  <si>
    <t>Compact class-folder example; checks whether pavement crops are distinguished from walls/decks and original captures.</t>
  </si>
  <si>
    <t>Open USU Methodology and ReadMe; identify pavement C/U folders; then inspect one cracked and one uncracked crop.</t>
  </si>
  <si>
    <t>USU SDNET2018 deposit, 2018; pavement subset within full release</t>
  </si>
  <si>
    <t>Whole-deposit count is not pavement-only count; related crops are not independent images. No payload inspection.</t>
  </si>
  <si>
    <t>DS-007</t>
  </si>
  <si>
    <t>CRACK500</t>
  </si>
  <si>
    <t>Crack segmentation</t>
  </si>
  <si>
    <t>Small original corpus with clear original-image/crop distinction; useful calibration for sampling and ancestry.</t>
  </si>
  <si>
    <t>Read paper IV-B1; verify 500 original images versus 3,368 retained crops and map one image to its binary mask.</t>
  </si>
  <si>
    <t>FPHBN documented CRACK500 split, 2019 paper / author repository</t>
  </si>
  <si>
    <t>Repository bundles other datasets. Do not count companion corpora as CRACK500. Data terms and label QA remain unresolved.</t>
  </si>
  <si>
    <t>DS-035</t>
  </si>
  <si>
    <t>RDD2022</t>
  </si>
  <si>
    <t>Multicountry distress detection</t>
  </si>
  <si>
    <t>Well-documented detection exemplar with country subsets, label map and download manifest.</t>
  </si>
  <si>
    <t>Open label_map.pbtxt and directory structure; inspect one public training XML; note test annotations are withheld.</t>
  </si>
  <si>
    <t>Figshare version 1, DOI 10.6084/m9.figshare.21431547.v1</t>
  </si>
  <si>
    <t>Contains earlier RDD lineage. Country folders do not prove route-independent splits; third-party rights require separate reuse check.</t>
  </si>
  <si>
    <t>DS-096</t>
  </si>
  <si>
    <t>PaveBench / PaveVQA</t>
  </si>
  <si>
    <t>Multitask perception and vision-language</t>
  </si>
  <si>
    <t>Meeting-critical example; public task tree makes differences among classification, detection, masks and VQA easy to check.</t>
  </si>
  <si>
    <t>Compare six classification categories with merged detection/segmentation classes; inspect label_map.txt and one QA record.</t>
  </si>
  <si>
    <t>Hugging Face MML-Group/PaveBench, current card snapshot 2026-10-11</t>
  </si>
  <si>
    <t>Documentation-only pass does not validate mask accuracy, physical metrology, benchmark independence or maintenance outcomes.</t>
  </si>
  <si>
    <t>DS-011</t>
  </si>
  <si>
    <t>CrackSeg9k</t>
  </si>
  <si>
    <t>Compiled derivative and lineage audit</t>
  </si>
  <si>
    <t>Deliberate derivative exemplar exposes parent overlap, annotation transformations and changed release counts.</t>
  </si>
  <si>
    <t>Open author README V4 instructions; reconcile approximately 9,160 current images with 9,255 in the paper; inspect parent prefixes.</t>
  </si>
  <si>
    <t>Author-recommended Dataverse V4, June 2024; release content requires reconciliation</t>
  </si>
  <si>
    <t>Shares parents with SDNET2018 and CRACK500 in this shortlist. Not an independent external test. V4 payload not inspected.</t>
  </si>
  <si>
    <t>DS-135</t>
  </si>
  <si>
    <t>UAV-PDD2023</t>
  </si>
  <si>
    <t>UAV distress detection</t>
  </si>
  <si>
    <t>Stable DOI and compact data paper provide an accessible UAV example with concrete label-overlay verification.</t>
  </si>
  <si>
    <t>Open paper Figures 2–3 and XML example; verify six class codes, 2,440 images and one image-label overlay.</t>
  </si>
  <si>
    <t>Zenodo v4, 2023-10-11; DOI 10.5281/zenodo.8429208</t>
  </si>
  <si>
    <t>Images include crops and augmentation. Random splits do not establish original-frame independence; route groups remain unverified.</t>
  </si>
  <si>
    <t>DS-157</t>
  </si>
  <si>
    <t>Pothole-600</t>
  </si>
  <si>
    <t>RGB and transformed-disparity segmentation</t>
  </si>
  <si>
    <t>Manageable multimodal exemplar with 600 paired items and a clear source site; useful contrast between imagery and metrology.</t>
  </si>
  <si>
    <t>Follow official Dataset page to Drive/Kaggle; match one RGB image, transformed disparity and mask; confirm data terms.</t>
  </si>
  <si>
    <t>Author Pothole-600 release accompanying ECCV Workshops 2020</t>
  </si>
  <si>
    <t>Distinguish from separate 2019 Stereo Pothole Datasets. Transformation is not calibrated pothole depth; license/QA/location remain unresolved.</t>
  </si>
  <si>
    <t>DS-160</t>
  </si>
  <si>
    <t>PVS — Passive Vehicular Sensors</t>
  </si>
  <si>
    <t>Inertial sensors and roughness categories</t>
  </si>
  <si>
    <t>Nine-run example makes non-image units, sensor rates and category-versus-measured-IRI distinction practical to review.</t>
  </si>
  <si>
    <t>Read sensor and run tables; check one dataset_labels.csv with its GPS record and environmental-video timestamp.</t>
  </si>
  <si>
    <t>Nine-run PVS family; author README snapshot 2026-10-11</t>
  </si>
  <si>
    <t>Three vehicle/driver pairs are confounded. Roughness classes are not measured IRI. Missing codes, label QA and terms scope need confirmation.</t>
  </si>
  <si>
    <t>DS-047</t>
  </si>
  <si>
    <t>LTPP — Long-Term Pavement Performance</t>
  </si>
  <si>
    <t>Engineering measurements and longitudinal sections</t>
  </si>
  <si>
    <t>Essential engineering contrast; manual pilot can focus on one section and measurement table rather than the entire database.</t>
  </si>
  <si>
    <t>Confirm SDR selection, open LTPPDD and MON_DIS_AC_REV definitions, then inspect one section/date with null-versus-zero handling.</t>
  </si>
  <si>
    <t>SDR39 context retained from v4; current portal identifies SDR40 as latest; selection pending</t>
  </si>
  <si>
    <t>Release-specific counts/distributions and schema continuity remain pending; 2021 guide is context, not proof of SDR39/40 completeness.</t>
  </si>
  <si>
    <t>DS-183</t>
  </si>
  <si>
    <t>Zenseact Open Dataset — Frames</t>
  </si>
  <si>
    <t>AV fleet road wetness and snow classification</t>
  </si>
  <si>
    <t>New AV-inventory exemplar with public samples, concise surface-label definitions and an SDK mini-download option.</t>
  </si>
  <si>
    <t>Open Annotations → Road surface and Frames samples; verify wetness/snow labels in one Frame; check access route before retrieval.</t>
  </si>
  <si>
    <t>ZOD Frames public documentation snapshot 2026-10-11; distinguish Sequences/Drives</t>
  </si>
  <si>
    <t>Surface labels apply to Frames; do not infer labels on every video frame or autonomous engagement. Not crack/PCI ground truth.</t>
  </si>
  <si>
    <t>Merged dataset inventory</t>
  </si>
  <si>
    <t>233 retained records from 248 source rows. Blue rows are the ten purposive manual-review priorities. Scores are provisional documentation bounds.</t>
  </si>
  <si>
    <t>Dataset / release</t>
  </si>
  <si>
    <t>Review priority</t>
  </si>
  <si>
    <t>Profile</t>
  </si>
  <si>
    <t>Evidence / paper</t>
  </si>
  <si>
    <t>Assessed release</t>
  </si>
  <si>
    <t>Task / target scope</t>
  </si>
  <si>
    <t>Media</t>
  </si>
  <si>
    <t>Capture context</t>
  </si>
  <si>
    <t>Labels / targets</t>
  </si>
  <si>
    <t>Annotation format</t>
  </si>
  <si>
    <t>Stated terms</t>
  </si>
  <si>
    <t>Access route</t>
  </si>
  <si>
    <t>Reported size and unit</t>
  </si>
  <si>
    <t>Geography</t>
  </si>
  <si>
    <t>Publisher</t>
  </si>
  <si>
    <t>Limitations</t>
  </si>
  <si>
    <t>Source IDs</t>
  </si>
  <si>
    <t>Merge decision</t>
  </si>
  <si>
    <t>Related-release flags</t>
  </si>
  <si>
    <t>Conflicts / release issues</t>
  </si>
  <si>
    <t>Evidence basis</t>
  </si>
  <si>
    <t>Manual review</t>
  </si>
  <si>
    <t>Platforms</t>
  </si>
  <si>
    <t>Primary URL</t>
  </si>
  <si>
    <t>Evidence URL</t>
  </si>
  <si>
    <t>Source lineage</t>
  </si>
  <si>
    <t>DS-001</t>
  </si>
  <si>
    <t>Asphalt Pavement Crack Data (class-foldered grayscale images)</t>
  </si>
  <si>
    <t>Labeled-16</t>
  </si>
  <si>
    <t>v1</t>
  </si>
  <si>
    <t>Classification</t>
  </si>
  <si>
    <t>NR</t>
  </si>
  <si>
    <t>Folder-level class labels (e.g., Alligator)</t>
  </si>
  <si>
    <t>Class-folder structure (grayscale jpg)</t>
  </si>
  <si>
    <t>Direct_Download</t>
  </si>
  <si>
    <t>Road environment: Asphalt pavements</t>
  </si>
  <si>
    <t>No README, no counts, no license or provenance; images stored directly in repository</t>
  </si>
  <si>
    <t>Retained existing record</t>
  </si>
  <si>
    <t>v3 evidence snapshot</t>
  </si>
  <si>
    <t>GitHub</t>
  </si>
  <si>
    <t>https://github.com/summoners29/Asphalt-Pavement-Crack-Data</t>
  </si>
  <si>
    <t>Compared_All_Platforms_TH_v3.0.xlsx!All_Datasets row 2 (DS-001)</t>
  </si>
  <si>
    <t>DS-002</t>
  </si>
  <si>
    <t>Asphalt Pavement Distress Dataset (DSWMamba)</t>
  </si>
  <si>
    <t>Object detection [Claude] | detection; classification; analysis [GPT] | semantic segmentation [Test_Batch]</t>
  </si>
  <si>
    <t>Labeled images across six distress categories [Claude] | Six categories; full taxonomy NR [GPT] | six distress categories [Test_Batch]</t>
  </si>
  <si>
    <t>Pixel masks</t>
  </si>
  <si>
    <t>Direct_Download [Claude] | UNK [GPT/Test_Batch]</t>
  </si>
  <si>
    <t>Road environment: Asphalt pavements, real-world scenarios [Claude] | Asphalt pavement [GPT] | Asphalt roadway [Test_Batch]</t>
  </si>
  <si>
    <t>Image count, format, license, and provenance undocumented; single Google Drive archive (link liveness not independently re-tested) [Claude] | Download target not resolved; no count, license, persistent data identifier, annotation format, geography, or collection details [GPT] | Model repository documents a six-class dataset, but dataset count, release year, access route, license, geography, and independent dataset identity remain unresolved. [Test_Batch]</t>
  </si>
  <si>
    <t>https://github.com/Oct-Sunn/Asphalt-Pavement-Distress-Dataset</t>
  </si>
  <si>
    <t>Compared_All_Platforms_TH_v3.0.xlsx!All_Datasets row 3 (DS-002)</t>
  </si>
  <si>
    <t>DS-003</t>
  </si>
  <si>
    <t>CiCS pavement crack image dataset</t>
  </si>
  <si>
    <t>v1 (in-repo rar archives, 5 parts)</t>
  </si>
  <si>
    <t>Crack detection (per repo description)</t>
  </si>
  <si>
    <t>UNK (no README; annotation presence not verifiable from file listing)</t>
  </si>
  <si>
    <t>Road environment: Pavements</t>
  </si>
  <si>
    <t>No README or documentation; annotations, counts, provenance, and license all unverified (data stored as CiCS-Data(1-5).rar in repo)</t>
  </si>
  <si>
    <t>Same acquisition lineage; different archives/releases (DS-003, DS-025, DS-090)</t>
  </si>
  <si>
    <t>https://github.com/DrEdwardLee/Pavement-Crack-Dataset</t>
  </si>
  <si>
    <t>Compared_All_Platforms_TH_v3.0.xlsx!All_Datasets row 4 (DS-003)</t>
  </si>
  <si>
    <t>DS-004</t>
  </si>
  <si>
    <t>complexPavementCrackDataset</t>
  </si>
  <si>
    <t>Object detection;Semantic segmentation</t>
  </si>
  <si>
    <t>Images/frames as reported</t>
  </si>
  <si>
    <t>Onboard (vehicle) cameras</t>
  </si>
  <si>
    <t>Bounding boxes (class xc yc w h) and binary crack masks</t>
  </si>
  <si>
    <t>YOLO-style txt;binary mask images</t>
  </si>
  <si>
    <t>Restricted</t>
  </si>
  <si>
    <t>500</t>
  </si>
  <si>
    <t>Road environment: Pavements with shadows, watermarks, brake marks and environmental noise</t>
  </si>
  <si>
    <t>Baidu-only hosting limits international research access; 'over 500 images' recorded as 500 minimum; no paper or license</t>
  </si>
  <si>
    <t>https://github.com/SEU-zhc/complexPavementCrackDataset</t>
  </si>
  <si>
    <t>Compared_All_Platforms_TH_v3.0.xlsx!All_Datasets row 5 (DS-004)</t>
  </si>
  <si>
    <t>DS-005</t>
  </si>
  <si>
    <t>CQU-BPDD — Chongqing University Bituminous Pavement Disease Detection Dataset</t>
  </si>
  <si>
    <t>2020–2021; CQU-BPDD — Bituminous Pavement Distress</t>
  </si>
  <si>
    <t>Distress / roughness</t>
  </si>
  <si>
    <t>Images / patches</t>
  </si>
  <si>
    <t>Human-driven survey</t>
  </si>
  <si>
    <t>Transverse, longitudinal, massive and alligator crack; crack pouring; raveling; repair; normal.</t>
  </si>
  <si>
    <t>Image/patch classification</t>
  </si>
  <si>
    <t>CC BY-NC 4.0 (current author HF release)</t>
  </si>
  <si>
    <t>Public links</t>
  </si>
  <si>
    <t>60,056 images in current dataset card; paper abstract says 60,059</t>
  </si>
  <si>
    <t>Southern China highways</t>
  </si>
  <si>
    <t>Chongqing University / Wenhao Tang, Sheng Huang and collaborators</t>
  </si>
  <si>
    <t>Count discrepancy retained. Strong distress classification data but specialized top-down survey imagery, not conventional AV forward footage.</t>
  </si>
  <si>
    <t>DS-005; D023</t>
  </si>
  <si>
    <t>Same dataset, authorized host</t>
  </si>
  <si>
    <t>Legacy license alternatives are superseded for the chosen HF release by current CC BY-NC 4.0 card; original repository also limits use to noncommercial.</t>
  </si>
  <si>
    <t>AV inventory evidence snapshot</t>
  </si>
  <si>
    <t>Hugging Face; GitHub</t>
  </si>
  <si>
    <t>https://huggingface.co/datasets/Dearcat/CQU-BPDD</t>
  </si>
  <si>
    <t>https://github.com/DearCaat/Pavement-Distress-Classification</t>
  </si>
  <si>
    <t>Compared_All_Platforms_TH_v3.0.xlsx!All_Datasets row 6 (DS-005); AV_Pavement_Dataset_Inventory.xlsx!Datasets row 29 (D023)</t>
  </si>
  <si>
    <t>DS-006</t>
  </si>
  <si>
    <t>Crack Classification Dataset (five crack types, 200 images)</t>
  </si>
  <si>
    <t>Partly author-captured; partly compiled from CRACK500 and CrackForest</t>
  </si>
  <si>
    <t>Class-level labels (five types)</t>
  </si>
  <si>
    <t>Class-folder / zip structure</t>
  </si>
  <si>
    <t>200</t>
  </si>
  <si>
    <t>Partially derivative of CRACK500/CFD; very small; class names undocumented</t>
  </si>
  <si>
    <t>https://github.com/0110TJY/Crack-Classification-Dataset</t>
  </si>
  <si>
    <t>Compared_All_Platforms_TH_v3.0.xlsx!All_Datasets row 7 (DS-006)</t>
  </si>
  <si>
    <t>CRACK500 (Crack500)</t>
  </si>
  <si>
    <t>Semantic segmentation;Crack detection [Claude/GPT/Test_Batch] | crack segmentation; crack detection [GPT]</t>
  </si>
  <si>
    <t>Hand-held smartphone (cell phone) [Claude] | Cellphone cameras [GPT] | Handheld smartphone [GPT] | Smartphone camera [Test_Batch]</t>
  </si>
  <si>
    <t>Binary crack vs background [Claude] | Pixel-level pavement-crack masks [GPT] | crack pixels; background pixels [GPT] | crack pixel mask [Test_Batch]</t>
  </si>
  <si>
    <t>Binary mask images [Claude] | Images and pixel-level ground-truth masks; cropped derivatives also commonly distributed [GPT] | pixel masks [GPT/Test_Batch]</t>
  </si>
  <si>
    <t>Direct_Download [Claude/GPT/Test_Batch] | Registration [GPT]</t>
  </si>
  <si>
    <t>500 [Claude/GPT/Test_Batch] | 3368 [GPT]</t>
  </si>
  <si>
    <t>United States; Temple University main campus, Philadelphia, PA [Claude] | Temple University campus;Philadelphia;Pennsylvania [GPT] | Temple University campus, Philadelphia [GPT] | Temple University campus, Philadelphia, Pennsylvania [Test_Batch]; Road environment: Campus pavements [Claude] | Campus pavement surfaces [GPT] | Campus roads; asphalt; cement; gravel [GPT] | Campus roads [Test_Batch]</t>
  </si>
  <si>
    <t>No explicit license; single-location smartphone capture limits diversity; data hosted on Google Drive/OneDrive/Baidu (link liveness not independently re-tested) [Claude] | Kaggle is a mirror; original dataset predates the Kaggle upload, licensing is unclear on the mirror, and cropped-patch counts should not be confused with the 500 original images. [GPT] | Crack-only; campus-scale geography; sparse engineering metadata; download links are maintained through code repositories [GPT] | Small original set from one campus; later cropped-image totals should not be confused with unique source-image count. [Test_Batch]</t>
  </si>
  <si>
    <t>Shared host; distinct data (DS-007, DS-018); Parent and noisy-mask derivative (DS-007, DS-062); Compiled crack ancestry (DS-007, DS-008, DS-011, DS-016, DS-142)</t>
  </si>
  <si>
    <t>Primary documentation checked</t>
  </si>
  <si>
    <t>GitHub; Kaggle</t>
  </si>
  <si>
    <t>https://github.com/fyangneil/pavement-crack-detection</t>
  </si>
  <si>
    <t>https://arxiv.org/abs/1901.06340</t>
  </si>
  <si>
    <t>Compared_All_Platforms_TH_v3.0.xlsx!All_Datasets row 8 (DS-007)</t>
  </si>
  <si>
    <t>DS-008</t>
  </si>
  <si>
    <t>CrackForest Dataset (CFD)</t>
  </si>
  <si>
    <t>semantic segmentation; crack detection</t>
  </si>
  <si>
    <t>iPhone 5 smartphone camera</t>
  </si>
  <si>
    <t>crack contour; crack pixel mask</t>
  </si>
  <si>
    <t>Ground-truth contour images</t>
  </si>
  <si>
    <t>118</t>
  </si>
  <si>
    <t>China; Beijing; Road environment: Urban</t>
  </si>
  <si>
    <t>Very small single-city benchmark and limited collection-condition metadata.</t>
  </si>
  <si>
    <t>Compiled crack ancestry (DS-007, DS-008, DS-011, DS-016, DS-142)</t>
  </si>
  <si>
    <t>https://github.com/cuilimeng/CrackForest-dataset</t>
  </si>
  <si>
    <t>Compared_All_Platforms_TH_v3.0.xlsx!All_Datasets row 9 (DS-008)</t>
  </si>
  <si>
    <t>DS-009</t>
  </si>
  <si>
    <t>CrackLS315</t>
  </si>
  <si>
    <t>Laser-illuminated line-array camera</t>
  </si>
  <si>
    <t>crack pixel mask</t>
  </si>
  <si>
    <t>Image-mask pairs</t>
  </si>
  <si>
    <t>315</t>
  </si>
  <si>
    <t>Road environment: Road pavement</t>
  </si>
  <si>
    <t>Small crack-only dataset; 1 mm ground sampling distance is reported, but pixel resolution, navigation, location, license, and weather metadata are not reported.</t>
  </si>
  <si>
    <t>Shared host; distinct data (DS-009, DS-013, DS-014)</t>
  </si>
  <si>
    <t>https://github.com/qinnzou/DeepCrack</t>
  </si>
  <si>
    <t>Compared_All_Platforms_TH_v3.0.xlsx!All_Datasets row 10 (DS-009)</t>
  </si>
  <si>
    <t>DS-010</t>
  </si>
  <si>
    <t>Cracks and Potholes in Road Images Dataset (DNIT, Brazil)</t>
  </si>
  <si>
    <t>4</t>
  </si>
  <si>
    <t>Semantic segmentation;Defect detection [GPT] | classification; object detection [Test_Batch]</t>
  </si>
  <si>
    <t>DNIT road-survey imagery; platform NR</t>
  </si>
  <si>
    <t>Road;crack;pothole masks [GPT] | road; crack; pothole [Test_Batch]</t>
  </si>
  <si>
    <t>PNG binary masks</t>
  </si>
  <si>
    <t>CC BY 4.0</t>
  </si>
  <si>
    <t>2235</t>
  </si>
  <si>
    <t>Brazil; Espírito Santo;Rio Grande do Sul;Federal District; Road environment: Highways [GPT] | Roadway [Test_Batch]</t>
  </si>
  <si>
    <t>Images collected partly before project years, but qualifying dataset release is 2020; limited sensor and condition metadata [GPT] | Release year, formal license, exact annotation format, and authoritative count documentation remain unresolved. [Test_Batch]</t>
  </si>
  <si>
    <t>Mendeley Data; GitHub</t>
  </si>
  <si>
    <t>https://data.mendeley.com/datasets/t576ydh9v8/4</t>
  </si>
  <si>
    <t>Compared_All_Platforms_TH_v3.0.xlsx!All_Datasets row 11 (DS-010)</t>
  </si>
  <si>
    <t>semantic segmentation</t>
  </si>
  <si>
    <t>Multiple source datasets</t>
  </si>
  <si>
    <t>Road environment: Roadway; mixed structures and materials</t>
  </si>
  <si>
    <t>Approximately 9,160 images are reported, but the corpus combines road and non-road crack sources and may duplicate underlying datasets.</t>
  </si>
  <si>
    <t>Other official / repository; GitHub</t>
  </si>
  <si>
    <t>https://dataverse.harvard.edu/dataset.xhtml?persistentId=doi:10.7910/DVN/EGIEBY&amp;version=4.0</t>
  </si>
  <si>
    <t>https://arxiv.org/abs/2208.13054</t>
  </si>
  <si>
    <t>Compared_All_Platforms_TH_v3.0.xlsx!All_Datasets row 12 (DS-011)</t>
  </si>
  <si>
    <t>DS-012</t>
  </si>
  <si>
    <t>CrackTrans (pavement crack dataset with complex backgrounds)</t>
  </si>
  <si>
    <t>Semantic segmentation;Data augmentation research</t>
  </si>
  <si>
    <t>Smartphone</t>
  </si>
  <si>
    <t>Pixel-level crack ground truth</t>
  </si>
  <si>
    <t>Ground-truth masks</t>
  </si>
  <si>
    <t>NR ('released for public use' per README)</t>
  </si>
  <si>
    <t>455</t>
  </si>
  <si>
    <t>Road environment: Pavements incl. shadow, wet, night, and grooved surfaces</t>
  </si>
  <si>
    <t>Small dataset (455 images); collection location not stated; Google Drive hosting (link liveness not independently re-tested)</t>
  </si>
  <si>
    <t>https://github.com/JZhongUTK/Pavement-crack-dataset</t>
  </si>
  <si>
    <t>Compared_All_Platforms_TH_v3.0.xlsx!All_Datasets row 13 (DS-012)</t>
  </si>
  <si>
    <t>DS-013</t>
  </si>
  <si>
    <t>CrackTree260</t>
  </si>
  <si>
    <t>Visible-light area-array camera</t>
  </si>
  <si>
    <t>260</t>
  </si>
  <si>
    <t>Small, crack-only dataset; location, license, and detailed environmental metadata are not reported.</t>
  </si>
  <si>
    <t>Compared_All_Platforms_TH_v3.0.xlsx!All_Datasets row 14 (DS-013)</t>
  </si>
  <si>
    <t>DS-014</t>
  </si>
  <si>
    <t>CRKWH100</t>
  </si>
  <si>
    <t>Visible-light line-array camera</t>
  </si>
  <si>
    <t>100</t>
  </si>
  <si>
    <t>Very small crack-only dataset; 1 mm ground sampling distance is reported, but pixel resolution, navigation, location, license, and environmental metadata are not reported.</t>
  </si>
  <si>
    <t>Compared_All_Platforms_TH_v3.0.xlsx!All_Datasets row 15 (DS-014)</t>
  </si>
  <si>
    <t>DS-015</t>
  </si>
  <si>
    <t>CUBIT-Det</t>
  </si>
  <si>
    <t>2024</t>
  </si>
  <si>
    <t>defect detection; UAV infrastructure inspection</t>
  </si>
  <si>
    <t>UAV onboard cameras</t>
  </si>
  <si>
    <t>crack; spalling; moisture; building; pavement; bridge</t>
  </si>
  <si>
    <t>bounding boxes</t>
  </si>
  <si>
    <t>Registration</t>
  </si>
  <si>
    <t>5527</t>
  </si>
  <si>
    <t>China; Hong Kong; Road environment: Mixed infrastructure; pavement subset</t>
  </si>
  <si>
    <t>Only 29% pavement; mixed defect/infrastructure taxonomy; access code required</t>
  </si>
  <si>
    <t>https://github.com/CUHK-USR-Group/Defect-Dataset</t>
  </si>
  <si>
    <t>Compared_All_Platforms_TH_v3.0.xlsx!All_Datasets row 16 (DS-015)</t>
  </si>
  <si>
    <t>DS-016</t>
  </si>
  <si>
    <t>DeepCrack-537</t>
  </si>
  <si>
    <t>537-image benchmark</t>
  </si>
  <si>
    <t>Mixed cameras</t>
  </si>
  <si>
    <t>537</t>
  </si>
  <si>
    <t>Road environment: Roadway; mixed crack scenes</t>
  </si>
  <si>
    <t>Contains mixed crack scenes/materials rather than a strictly pavement-only corpus; noncommercial-use restriction.</t>
  </si>
  <si>
    <t>https://github.com/yhlleo/DeepCrack</t>
  </si>
  <si>
    <t>Compared_All_Platforms_TH_v3.0.xlsx!All_Datasets row 17 (DS-016)</t>
  </si>
  <si>
    <t>DS-017</t>
  </si>
  <si>
    <t>EdmCrack600</t>
  </si>
  <si>
    <t>2020; EdmCrack600</t>
  </si>
  <si>
    <t>Other / mixed capture</t>
  </si>
  <si>
    <t>Crack/background.</t>
  </si>
  <si>
    <t>Pixel-level masks</t>
  </si>
  <si>
    <t>Academic use; commercial use prohibited by authors.</t>
  </si>
  <si>
    <t>600 images</t>
  </si>
  <si>
    <t>Edmonton, Canada</t>
  </si>
  <si>
    <t>Qipei Mei, Mustafa Gül and collaborators</t>
  </si>
  <si>
    <t>Useful supplemental crack segmentation set; also partly reused by Pothole Mix. Do not interpret as verified AV footage.</t>
  </si>
  <si>
    <t>DS-017; D024</t>
  </si>
  <si>
    <t>Same release</t>
  </si>
  <si>
    <t>https://github.com/mqp2259/EdmCrack600</t>
  </si>
  <si>
    <t>Compared_All_Platforms_TH_v3.0.xlsx!All_Datasets row 18 (DS-017); AV_Pavement_Dataset_Inventory.xlsx!Datasets row 30 (D024)</t>
  </si>
  <si>
    <t>DS-018</t>
  </si>
  <si>
    <t>GAPs384</t>
  </si>
  <si>
    <t>384-image pixel-annotated subset [GPT] | GAPs384 [Test_Batch]</t>
  </si>
  <si>
    <t>crack segmentation [GPT] | semantic segmentation; crack detection [Test_Batch]</t>
  </si>
  <si>
    <t>Professional pavement inspection imagery derived from GAPs [GPT] | Road inspection camera [Test_Batch]</t>
  </si>
  <si>
    <t>crack pixels; background pixels [GPT] | crack pixel mask [Test_Batch]</t>
  </si>
  <si>
    <t>pixel masks</t>
  </si>
  <si>
    <t>384</t>
  </si>
  <si>
    <t>Germany; Road environment: Asphalt pavement [GPT] | Roadway [Test_Batch]</t>
  </si>
  <si>
    <t>Small crack-only subset; limited geographic and collection metadata [GPT] | Small crack-only benchmark; license, detailed weather, and vehicle metadata are not clearly documented. [Test_Batch]</t>
  </si>
  <si>
    <t>Shared host; distinct data (DS-007, DS-018); GAPs family; distinct releases (DS-018, DS-193, DS-194)</t>
  </si>
  <si>
    <t>Compared_All_Platforms_TH_v3.0.xlsx!All_Datasets row 19 (DS-018)</t>
  </si>
  <si>
    <t>DS-019</t>
  </si>
  <si>
    <t>GeoPave-DroneSet (UAV pavement distress dataset, DronePave-DfineX)</t>
  </si>
  <si>
    <t>Partial preview (full release pending paper acceptance)</t>
  </si>
  <si>
    <t>Object detection</t>
  </si>
  <si>
    <t>UAV (full-resolution imagery)</t>
  </si>
  <si>
    <t>Annotated atop full-resolution images (details NR)</t>
  </si>
  <si>
    <t>Metadata_Only</t>
  </si>
  <si>
    <t>Road environment: Pavements with complex backgrounds (UAV inspection)</t>
  </si>
  <si>
    <t>Complete dataset to be released only after paper acceptance; only sample images available; re-check for release</t>
  </si>
  <si>
    <t>https://github.com/chenxiang-web/DronePave-DfineX</t>
  </si>
  <si>
    <t>Compared_All_Platforms_TH_v3.0.xlsx!All_Datasets row 20 (DS-019)</t>
  </si>
  <si>
    <t>DS-020</t>
  </si>
  <si>
    <t>Highway Crack and Sealed-Crack Dataset (CHDyshli)</t>
  </si>
  <si>
    <t>object detection</t>
  </si>
  <si>
    <t>Highway condition monitoring vehicle [GPT] | Highway pavement-condition monitoring vehicle [Test_Batch]</t>
  </si>
  <si>
    <t>crack; sealed crack</t>
  </si>
  <si>
    <t>10400</t>
  </si>
  <si>
    <t>China; Road environment: Highway asphalt pavement [GPT] | Highway [Test_Batch]</t>
  </si>
  <si>
    <t>Only two target classes; license, geography, resolution, and collection dates not reported in README [GPT] | Release year, geography, image resolution, license, and annotation format are unresolved despite strong reported scale. [Test_Batch]</t>
  </si>
  <si>
    <t>https://github.com/CHDyshli/PavementCrackDetection</t>
  </si>
  <si>
    <t>Compared_All_Platforms_TH_v3.0.xlsx!All_Datasets row 21 (DS-020)</t>
  </si>
  <si>
    <t>DS-021</t>
  </si>
  <si>
    <t>IRRDD (Iran Road Damage Dataset)</t>
  </si>
  <si>
    <t>2022 release</t>
  </si>
  <si>
    <t>RDD-style four-class taxonomy (D00/D10/D20/D40)</t>
  </si>
  <si>
    <t>YOLO txt</t>
  </si>
  <si>
    <t>25000</t>
  </si>
  <si>
    <t>Iran; Road environment: Public roads</t>
  </si>
  <si>
    <t>No associated peer-reviewed data paper identified; collection platform and QC undocumented; 6-part Google Drive hosting (link liveness not independently re-tested)</t>
  </si>
  <si>
    <t>https://github.com/IranRoadDamageDataset/IRRDD</t>
  </si>
  <si>
    <t>Compared_All_Platforms_TH_v3.0.xlsx!All_Datasets row 22 (DS-021)</t>
  </si>
  <si>
    <t>DS-022</t>
  </si>
  <si>
    <t>IRT Asphalt Pavement Crack Segmentation Dataset (RGB + Infrared + Fusion)</t>
  </si>
  <si>
    <t>Zenodo record 11624965 [Claude] | v1 [CodeX]</t>
  </si>
  <si>
    <t>Semantic segmentation;RGB-T multimodal fusion [Claude] | Semantic_Segmentation;Multimodal_Fusion [Claude] | Semantic segmentation [CodeX] | multimodal semantic segmentation; crack detection [Test_Batch]</t>
  </si>
  <si>
    <t>Infrared thermography camera (visible + infrared + IR-Fusion imagery) [Claude] | Vehicle_Mounted_Camera [Claude] | Visible camera; Infrared thermography [CodeX] | Aligned visible and infrared camera system [Test_Batch]</t>
  </si>
  <si>
    <t>Manually annotated crack ground truth (Photoshop) [Claude] | Binary ground-truth images (crack vs background) paired with visible, infrared and 50 percent fusion imagery [Claude] | Binary ground truth masks [CodeX] | crack pixel mask [Test_Batch]</t>
  </si>
  <si>
    <t>Ground-truth mask images [Claude] | Binary_Image_Mask [Claude] | ZIP; Binary images [CodeX] | Aligned RGB; thermal infrared; pixel masks [Test_Batch]</t>
  </si>
  <si>
    <t>NR (Zenodo record license not re-verified in this batch) [Claude] | CC-BY-4.0 [Claude] | Creative Commons Attribution 4.0 International [CodeX]</t>
  </si>
  <si>
    <t>Direct_Download [Claude/CodeX] | UNK [Test_Batch]</t>
  </si>
  <si>
    <t>448 [Claude] | 369 [CodeX]</t>
  </si>
  <si>
    <t>United States; Road environment: Asphalt pavements; clean and rough, light and dark backgrounds; three periods in one day [Claude] | Asphalt pavement [CodeX] | Roadway [Test_Batch]</t>
  </si>
  <si>
    <t>448 image sets (small); acquisition location not stated; Release_Year taken from associated T-ITS paper year (Zenodo deposit 2024, not separately versioned here) [Claude] | Image count, resolution and collection geography not reported in the Zenodo record; single distress class (crack); performance figures live in the journal article rather than the data record [Claude] | Image count, resolution, site, and explicit QA process are not reported on the Zenodo record. [CodeX] | Dataset identity, data-access route, count, license, and collection geography require resolution beyond the model repository. [Test_Batch]</t>
  </si>
  <si>
    <t>Related infrared dataset releases (DS-022, DS-023, DS-113, DS-114)</t>
  </si>
  <si>
    <t>GitHub; Zenodo</t>
  </si>
  <si>
    <t>https://github.com/lfangyu09/IR-Crack-detection</t>
  </si>
  <si>
    <t>Compared_All_Platforms_TH_v3.0.xlsx!All_Datasets row 23 (DS-022)</t>
  </si>
  <si>
    <t>DS-023</t>
  </si>
  <si>
    <t>IRT Multiple-Type Pavement Distress Detection Dataset (Infrared Thermography)</t>
  </si>
  <si>
    <t>Zenodo record 11638443</t>
  </si>
  <si>
    <t>Object detection;Multimodal (RGB + thermal) learning [Claude] | Object_Detection;Multimodal_Fusion [Claude]</t>
  </si>
  <si>
    <t>Infrared thermography camera (visible + infrared imagery) [Claude] | Vehicle_Mounted_Camera [Claude]</t>
  </si>
  <si>
    <t>Multi-type distress detection labels [Claude] | PASCAL VOC object classes across visible, infrared and three visible/infrared fusion levels (25/50/75 percent IRT) [Claude]</t>
  </si>
  <si>
    <t>PASCAL_VOC_XML</t>
  </si>
  <si>
    <t>NR (Zenodo record license not re-verified in this batch) [Claude] | CC-BY-4.0 [Claude]</t>
  </si>
  <si>
    <t>United States; Road environment: Asphalt concrete pavement</t>
  </si>
  <si>
    <t>Image count, class list, and format not stated in README (NR); niche thermographic modality [Claude] | Image count, resolution and collection geography not reported in the Zenodo record; class list not enumerated on the landing page; performance figures live in the journal article rather than the data record [Claude]</t>
  </si>
  <si>
    <t>Compared_All_Platforms_TH_v3.0.xlsx!All_Datasets row 24 (DS-023)</t>
  </si>
  <si>
    <t>DS-024</t>
  </si>
  <si>
    <t>Kansas City LCMS Pavement Distress Dataset (Image2PCI)</t>
  </si>
  <si>
    <t>Segmentation;PCI estimation model training/benchmarking [Claude] | instance segmentation; distress classification; severity estimation; PCI prediction [GPT] | instance segmentation; PCI estimation [Test_Batch]</t>
  </si>
  <si>
    <t>Laser Crack Measurement System (LCMS) survey vehicle [Claude] | Laser Crack Measurement System inspection vehicle [GPT] | LCMS pavement survey vehicle [Test_Batch]</t>
  </si>
  <si>
    <t>Polygon annotations combining crack type and severity (PCI-aligned) [Claude] | distress type; severity [GPT] | distress type; distress severity [Test_Batch]</t>
  </si>
  <si>
    <t>JSON annotation files [Claude] | JSON polygon annotations [GPT/Test_Batch]</t>
  </si>
  <si>
    <t>United States; Kansas City, Missouri; Road environment: Public roads (top-down pavement surface views) [Claude] | Urban roadway [GPT] | Urban [Test_Batch]</t>
  </si>
  <si>
    <t>Image count not reported in README (NR); LCMS imagery differs from CAV camera viewpoint; Google Drive folder hosting (link liveness not independently re-tested) [Claude] | Image count, image resolution, license, and collection dates not reported on the repository landing page [GPT] | Image count, formal license, collection dates, and explicit PCI ground-truth fields are not reported in the README. [Test_Batch]</t>
  </si>
  <si>
    <t>https://github.com/neemajakisa/Pavement-Distress-Dataset</t>
  </si>
  <si>
    <t>Compared_All_Platforms_TH_v3.0.xlsx!All_Datasets row 25 (DS-024)</t>
  </si>
  <si>
    <t>DS-025</t>
  </si>
  <si>
    <t>LEiS pavement crack image dataset</t>
  </si>
  <si>
    <t>v1 (in-repo rar archive)</t>
  </si>
  <si>
    <t>No README or documentation; annotations, counts, provenance, and license all unverified (data stored as LEiS-Data.rar in repo)</t>
  </si>
  <si>
    <t>Compared_All_Platforms_TH_v3.0.xlsx!All_Datasets row 26 (DS-025)</t>
  </si>
  <si>
    <t>DS-026</t>
  </si>
  <si>
    <t>MTPDSD (Multi-Type Pavement Distress Segmentation Dataset)</t>
  </si>
  <si>
    <t>Announced (not yet released)</t>
  </si>
  <si>
    <t>Instance segmentation</t>
  </si>
  <si>
    <t>Vehicle-mounted system: dashboard wide-angle camera + rear-view high-resolution camera</t>
  </si>
  <si>
    <t>Instance segmentation masks; 3,596 labeled instances across 7 categories</t>
  </si>
  <si>
    <t>2600</t>
  </si>
  <si>
    <t>Road environment: Pavements (vehicle-mounted collection)</t>
  </si>
  <si>
    <t>Data not yet released ('will be made available soon'); re-check for release before final synthesis</t>
  </si>
  <si>
    <t>https://github.com/FwDeng/MTPDSD</t>
  </si>
  <si>
    <t>Compared_All_Platforms_TH_v3.0.xlsx!All_Datasets row 27 (DS-026)</t>
  </si>
  <si>
    <t>DS-027</t>
  </si>
  <si>
    <t>NightInspect (low-light pavement crack dataset)</t>
  </si>
  <si>
    <t>Crack detection;Low-light image enhancement</t>
  </si>
  <si>
    <t>Road environment: Nighttime pavements (low-light)</t>
  </si>
  <si>
    <t>Counts, labels, and license undocumented; Quark drive hosting limits accessibility; paper status unresolved</t>
  </si>
  <si>
    <t>https://github.com/FXBIOVELSY/NightInspect-dataset</t>
  </si>
  <si>
    <t>Compared_All_Platforms_TH_v3.0.xlsx!All_Datasets row 28 (DS-027)</t>
  </si>
  <si>
    <t>DS-028</t>
  </si>
  <si>
    <t>Pavementscapes</t>
  </si>
  <si>
    <t>semantic segmentation; instance segmentation</t>
  </si>
  <si>
    <t>Road inspection imagery</t>
  </si>
  <si>
    <t>15 pavement classes; six damage classes</t>
  </si>
  <si>
    <t>Pixel-level labels</t>
  </si>
  <si>
    <t>UNK</t>
  </si>
  <si>
    <t>4000</t>
  </si>
  <si>
    <t>Road environment: Roadway</t>
  </si>
  <si>
    <t>A usable public data-access route and license were not verified from GitHub; dataset remains pending despite detailed paper metadata.</t>
  </si>
  <si>
    <t>GitHub; Other official / repository</t>
  </si>
  <si>
    <t>https://github.com/tongzheng1992/Pavementscapes</t>
  </si>
  <si>
    <t>Compared_All_Platforms_TH_v3.0.xlsx!All_Datasets row 29 (DS-028)</t>
  </si>
  <si>
    <t>DS-029</t>
  </si>
  <si>
    <t>PaveSeg Dataset</t>
  </si>
  <si>
    <t>2025 publication context; repository date not verified; PaveSeg</t>
  </si>
  <si>
    <t>Crack, pothole, sealed crack, patch, alligator crack, utility cover, expansion joint; undamaged background.</t>
  </si>
  <si>
    <t>Expert grayscale pixel masks (seven foreground classes)</t>
  </si>
  <si>
    <t>Noncommercial full-data access; preview license not clearly specified.</t>
  </si>
  <si>
    <t>Partial public release</t>
  </si>
  <si>
    <t>2,400 described; 100 images/masks publicly previewed</t>
  </si>
  <si>
    <t>Not specified in accessed repository.</t>
  </si>
  <si>
    <t>FuturePave</t>
  </si>
  <si>
    <t>Do not describe all 2,400 as freely downloadable. Public preview is useful; full availability needs confirmation.</t>
  </si>
  <si>
    <t>DS-029; D029</t>
  </si>
  <si>
    <t>Same dataset</t>
  </si>
  <si>
    <t>https://github.com/FuturePave/PaveSeg-Dataset</t>
  </si>
  <si>
    <t>Compared_All_Platforms_TH_v3.0.xlsx!All_Datasets row 30 (DS-029); AV_Pavement_Dataset_Inventory.xlsx!Datasets row 35 (D029)</t>
  </si>
  <si>
    <t>DS-030</t>
  </si>
  <si>
    <t>PID (Pavement Image Dataset)</t>
  </si>
  <si>
    <t>Original paired-view release</t>
  </si>
  <si>
    <t>object detection; classification; distress density estimation [GPT] | object detection; classification [Test_Batch]</t>
  </si>
  <si>
    <t>Google Street View API [GPT] | Google Street View imagery; top-down pavement imagery [Test_Batch]</t>
  </si>
  <si>
    <t>Nine pavement distress categories [GPT] | nine manually annotated pavement categories [Test_Batch]</t>
  </si>
  <si>
    <t>bounding boxes; paired wide-view and top-down images</t>
  </si>
  <si>
    <t>Direct_Download [GPT] | Metadata_Only [Test_Batch]</t>
  </si>
  <si>
    <t>7237</t>
  </si>
  <si>
    <t>United States; 22 pavement sections; Road environment: Interstate and U.S. highways [GPT] | Roadway [Test_Batch]</t>
  </si>
  <si>
    <t>Google Street View dependence; U.S.-only coverage; top-down images are paired but only wide views are bounding-box annotated [GPT] | Public data route and reuse rights for source imagery were not verified; GitHub evidence is secondary. [Test_Batch]</t>
  </si>
  <si>
    <t>https://github.com/Nan2020/PID-Pavement-Image-Dataset</t>
  </si>
  <si>
    <t>Compared_All_Platforms_TH_v3.0.xlsx!All_Datasets row 31 (DS-030)</t>
  </si>
  <si>
    <t>DS-031</t>
  </si>
  <si>
    <t>Pothole Detection Dataset (1,243 images)</t>
  </si>
  <si>
    <t>Web-collected road images</t>
  </si>
  <si>
    <t>pothole bounding box</t>
  </si>
  <si>
    <t>YOLO TXT</t>
  </si>
  <si>
    <t>1243</t>
  </si>
  <si>
    <t>Web-sourced images have weak provenance, unknown collection conditions, unresolved release year, and no formal dataset license.</t>
  </si>
  <si>
    <t>https://github.com/jaygala24/pothole-detection</t>
  </si>
  <si>
    <t>Compared_All_Platforms_TH_v3.0.xlsx!All_Datasets row 32 (DS-031)</t>
  </si>
  <si>
    <t>DS-032</t>
  </si>
  <si>
    <t>R2S100K Road-Region Segmentation Dataset</t>
  </si>
  <si>
    <t>2023 preprint; 2025 journal; R2S100K — Road-Region Segmentation</t>
  </si>
  <si>
    <t>14 road-region classes including distress, wet surface, puddle, gravel, boggy, earthen, concrete patches and speed breakers.</t>
  </si>
  <si>
    <t>Pixel-level semantic segmentation for 14,000 images</t>
  </si>
  <si>
    <t>Not specified in accessed repository; request terms with access.</t>
  </si>
  <si>
    <t>Request access</t>
  </si>
  <si>
    <t>100,000 images total; 14,000 labeled, 86,000 unlabeled described; over 1,000 km</t>
  </si>
  <si>
    <t>Geography not verified from accessed project/repository.</t>
  </si>
  <si>
    <t>Muhammad Atif Butt and collaborators</t>
  </si>
  <si>
    <t>High-value combined distress/surface-state benchmark, but not an unrestricted instant download. Access to all 100k is not confirmed.</t>
  </si>
  <si>
    <t>DS-032; D008</t>
  </si>
  <si>
    <t>https://github.com/moatifbutt/r2s100k</t>
  </si>
  <si>
    <t>Compared_All_Platforms_TH_v3.0.xlsx!All_Datasets row 33 (DS-032); AV_Pavement_Dataset_Inventory.xlsx!Datasets row 14 (D008)</t>
  </si>
  <si>
    <t>DS-033</t>
  </si>
  <si>
    <t>RCD-IIUM Road Crack Detection Dataset</t>
  </si>
  <si>
    <t>instance segmentation; object detection</t>
  </si>
  <si>
    <t>Digital camera</t>
  </si>
  <si>
    <t>crack instance</t>
  </si>
  <si>
    <t>Roboflow segmentation TXT</t>
  </si>
  <si>
    <t>Malaysia; Selangor; Kuala Lumpur; Road environment: Urban</t>
  </si>
  <si>
    <t>Image count, exact resolution, license, and acquisition conditions are not reported in the repository summary.</t>
  </si>
  <si>
    <t>https://github.com/ArselanAshraf/RCD-IIUM-Road-Crack-Detection-Dataset-</t>
  </si>
  <si>
    <t>Compared_All_Platforms_TH_v3.0.xlsx!All_Datasets row 34 (DS-033)</t>
  </si>
  <si>
    <t>DS-034</t>
  </si>
  <si>
    <t>RDD2020: Road Damage Dataset 2020</t>
  </si>
  <si>
    <t>RDD2020 (Mendeley v1) [Claude] | 2 [Claude/GPT] | RDD2020 / canonical public version [GPT] | V1 [GPT/Test_Batch]</t>
  </si>
  <si>
    <t>Object detection;Classification [Claude/Test_Batch] | Detection; Classification [Claude] | Object_Detection [GPT] | Object detection;Classification;Benchmarking [GPT] | object detection; classification; transfer learning; cross-country generalization [GPT]</t>
  </si>
  <si>
    <t>Vehicle-mounted smartphone [Claude/GPT] | Smartphone or vehicle-mounted camera; country-specific collection protocols [GPT] | Smartphone-based vehicle collection [GPT] | Smartphone mounted on vehicle [Test_Batch]</t>
  </si>
  <si>
    <t>Japanese road-damage code taxonomy D00/D10/D20/D40 [Claude] | 4 damage classes; more than 31000 annotated damage instances [Claude] | D00 longitudinal crack; D10 transverse crack; D20 alligator crack; D40 pothole; more than 31,000 instances [GPT] | D00 longitudinal crack;D10 transverse crack;D20 alligator crack;D40 pothole [GPT] | D00; D10; D20; D40 [GPT/Test_Batch]</t>
  </si>
  <si>
    <t>PASCAL VOC XML [Claude/GPT/Test_Batch] | Pascal VOC XML; image files [GPT] | Bounding-box annotations;format NR on landing page [GPT]</t>
  </si>
  <si>
    <t>CC BY-SA 4.0 (images, per repository README) [Claude] | CC BY-NC 3.0 [Claude/GPT] | CC BY 4.0 [GPT]</t>
  </si>
  <si>
    <t>26336 [Claude/GPT] | 26620 [Test_Batch]</t>
  </si>
  <si>
    <t>Japan;India;Czech Republic [Claude/Test_Batch] | India; Japan; Czech Republic [Claude/GPT]; Multiple municipalities (Japan);Gurugram region (India);Czech municipalities — per data article [Claude] | Multiple cities/regions in the three participating countries [GPT] | Multiple cities and road networks [GPT]; Road environment: Urban and rural public roads [Claude] | Urban road; Rural road; Highway [Claude] | Mixed [GPT] | Urban;interurban;multi-country roads [GPT] | Urban; rural; interurban [GPT] | Urban; highway [Test_Batch]</t>
  </si>
  <si>
    <t>Superseded by RDD2022 for multi-country coverage; image count not re-verified from primary source in this batch (recorded NR); no sensor metadata [Claude] | CC BY-NC 3.0 blocks commercial deployment and some agency use; annotation format, image resolution and collection dates not stated on the canonical record; superseded in practice by RDD2022, which is not hosted on Mendeley Data [Claude] | Country-specific imaging protocols and image resolutions vary; collection dates and engineering-condition indicators are incompletely documented. [GPT] | No PCI/IRI or maintenance records; non-commercial license; collection dates and sensor metadata not reported on landing page [GPT] | Four-class taxonomy; heterogeneous country image specifications; limited engineering sensor metadata [GPT] | Limited sensor metadata and no reported PCI, IRI, or maintenance linkage. [Test_Batch]</t>
  </si>
  <si>
    <t>Successive RDD releases (DS-037, DS-038, DS-034, DS-035)</t>
  </si>
  <si>
    <t>https://data.mendeley.com/datasets/5ty2wb6gvg/1</t>
  </si>
  <si>
    <t>Compared_All_Platforms_TH_v3.0.xlsx!All_Datasets row 35 (DS-034)</t>
  </si>
  <si>
    <t>RDD2022: Multi-National Road Damage Dataset (CRDDC 2022)</t>
  </si>
  <si>
    <t>Longitudinal crack D00, transverse crack D10, alligator crack D20, pothole D40.</t>
  </si>
  <si>
    <t>PASCAL VOC XML bounding boxes for train; test imagery only</t>
  </si>
  <si>
    <t>Author repository states images CC BY-SA 4.0; verify release-specific repository terms.</t>
  </si>
  <si>
    <t>47,420 images from six countries</t>
  </si>
  <si>
    <t>Japan, India, Czech Republic, Norway, United States, China</t>
  </si>
  <si>
    <t>Sekimoto Lab / Deeksha Arya, Hiroya Maeda and collaborators</t>
  </si>
  <si>
    <t>Strong defect-detection baseline. RDD2020/2019/2018 downloads remain on same official page; overlapping family releases grouped to avoid inflated counts.</t>
  </si>
  <si>
    <t>DS-035; D019</t>
  </si>
  <si>
    <t>Successive RDD releases (DS-037, DS-038, DS-034, DS-035); Derived/compiled RDD family (DS-035, DS-072, DS-095, DS-099, DS-132, DS-162, DS-104, DS-105)</t>
  </si>
  <si>
    <t>Other official / repository; GitHub; Kaggle</t>
  </si>
  <si>
    <t>https://figshare.com/articles/dataset/RDD2022_-_The_multi-national_Road_Damage_Dataset_released_through_CRDDC_2022/21431547/1</t>
  </si>
  <si>
    <t>https://arxiv.org/abs/2209.08538</t>
  </si>
  <si>
    <t>Compared_All_Platforms_TH_v3.0.xlsx!All_Datasets row 36 (DS-035); AV_Pavement_Dataset_Inventory.xlsx!Datasets row 25 (D019)</t>
  </si>
  <si>
    <t>DS-036</t>
  </si>
  <si>
    <t>RDDC2024-ID (Crowdsourced Road Damage Detection Dataset - Indonesia)</t>
  </si>
  <si>
    <t>v1 (2024)</t>
  </si>
  <si>
    <t>NR (crowdsourced imagery)</t>
  </si>
  <si>
    <t>Five classes (0-4) incl. 'Other'</t>
  </si>
  <si>
    <t>9000</t>
  </si>
  <si>
    <t>Indonesia; Various locations throughout Indonesia; Road environment: Public roads (nationwide crowdsourced)</t>
  </si>
  <si>
    <t>Image count stated as 'over 9,000' (recorded as 9000 minimum); no license or data paper; single Google Drive archive (link liveness not independently re-tested)</t>
  </si>
  <si>
    <t>https://github.com/endurancechallengeindonesia/RDDC2024-ID</t>
  </si>
  <si>
    <t>Compared_All_Platforms_TH_v3.0.xlsx!All_Datasets row 37 (DS-036)</t>
  </si>
  <si>
    <t>DS-037</t>
  </si>
  <si>
    <t>Road Damage Dataset 2018 (RDD2018)</t>
  </si>
  <si>
    <t>v1 [GPT] | 2018 [Test_Batch]</t>
  </si>
  <si>
    <t>object detection; classification; mobile inference [GPT] | object detection; classification [Test_Batch]</t>
  </si>
  <si>
    <t>Smartphone mounted on car [GPT] | Smartphone mounted on vehicle [Test_Batch]</t>
  </si>
  <si>
    <t>Eight road-damage types [GPT] | D00; D01; D10; D11; D20; D40; D43; D44 [Test_Batch]</t>
  </si>
  <si>
    <t>Pascal VOC XML</t>
  </si>
  <si>
    <t>CC BY-SA 4.0 (images); MIT (repository code) [GPT] | CC BY-SA 4.0 [Test_Batch]</t>
  </si>
  <si>
    <t>9053</t>
  </si>
  <si>
    <t>Japan; Adachi; Chiba; Muroran; Ichihara; Sumida; Nagakute; Numazu; Road environment: Urban; municipal roads [GPT] | Urban; highway [Test_Batch]</t>
  </si>
  <si>
    <t>Single-country municipal coverage; no documented GPS/IMU/PCI/IRI package [GPT] | Single-country original release; no reported engineering condition indices or rich vehicle-sensor metadata. [Test_Batch]</t>
  </si>
  <si>
    <t>https://github.com/sekilab/RoadDamageDetector</t>
  </si>
  <si>
    <t>Compared_All_Platforms_TH_v3.0.xlsx!All_Datasets row 38 (DS-037)</t>
  </si>
  <si>
    <t>DS-038</t>
  </si>
  <si>
    <t>Road Damage Dataset 2019 (RDD2019)</t>
  </si>
  <si>
    <t>2019</t>
  </si>
  <si>
    <t>object detection; data augmentation [GPT] | object detection; classification [Test_Batch]</t>
  </si>
  <si>
    <t>Vehicle-mounted smartphone; synthetic augmentation pipeline [GPT] | Smartphone mounted on vehicle [Test_Batch]</t>
  </si>
  <si>
    <t>Pascal VOC-compatible road damage labels [GPT] | D00; D10; D20; D40 [Test_Batch]</t>
  </si>
  <si>
    <t>Japan; Road environment: Municipal roads [GPT] | Urban; highway [Test_Batch]</t>
  </si>
  <si>
    <t>Synthetic-augmented version; exact real/synthetic composition and license not resolved [GPT] | Version-specific image count, license, and detailed collection conditions were not located in the official README. [Test_Batch]</t>
  </si>
  <si>
    <t>Compared_All_Platforms_TH_v3.0.xlsx!All_Datasets row 39 (DS-038)</t>
  </si>
  <si>
    <t>DS-039</t>
  </si>
  <si>
    <t>RoadRutting Dataset (sekilab)</t>
  </si>
  <si>
    <t>1</t>
  </si>
  <si>
    <t>Detection; Segmentation [Claude] | object detection; segmentation [Test_Batch]</t>
  </si>
  <si>
    <t>Object-level and pixel-level annotations for road rutting [Claude] | rutting object; rutting pixel mask [Test_Batch]</t>
  </si>
  <si>
    <t>Bounding boxes; pixel masks</t>
  </si>
  <si>
    <t>949</t>
  </si>
  <si>
    <t>Country, acquisition platform, resolution and collection dates are all unreported; single distress type; 949 images; annotation formats not enumerated on the record [Claude] | Small, single-distress dataset; collection location, resolution, license, and sensor metadata are not documented. [Test_Batch]</t>
  </si>
  <si>
    <t>Mendeley Data</t>
  </si>
  <si>
    <t>https://data.mendeley.com/datasets/v8mbnvx8pv/1</t>
  </si>
  <si>
    <t>Compared_All_Platforms_TH_v3.0.xlsx!All_Datasets row 40 (DS-039)</t>
  </si>
  <si>
    <t>DS-040</t>
  </si>
  <si>
    <t>RTK — Road Traversing Knowledge (701-image segmentation release)</t>
  </si>
  <si>
    <t>2020 paper; 2023 repository release; RTK — Road Traversing Knowledge (segmentation)</t>
  </si>
  <si>
    <t>Driving research</t>
  </si>
  <si>
    <t>12 semantic classes including road materials, potholes, cracks, puddles, patches and road markings/fixtures.</t>
  </si>
  <si>
    <t>Dense pixel-level segmentation</t>
  </si>
  <si>
    <t>CC BY 4.0 for this Mendeley release.</t>
  </si>
  <si>
    <t>701 images (352×288): 561 train / 140 validation</t>
  </si>
  <si>
    <t>Santa Catarina, Brazil</t>
  </si>
  <si>
    <t>Thiago Rateke, Aldo von Wangenheim, Rafael Toledo / UFSC</t>
  </si>
  <si>
    <t>This row is the 701-image segmentation release, not the larger RTK material/quality classification collection. Daylight and good weather only.</t>
  </si>
  <si>
    <t>DS-040; D006</t>
  </si>
  <si>
    <t>Subset and parent sequence release (DS-040, DS-181); Stereo pothole / compiled ancestry (DS-043, DS-157, DS-079, DS-040)</t>
  </si>
  <si>
    <t>Mendeley Data; GitHub; Kaggle</t>
  </si>
  <si>
    <t>https://data.mendeley.com/datasets/hssswvmjwf/1</t>
  </si>
  <si>
    <t>Compared_All_Platforms_TH_v3.0.xlsx!All_Datasets row 41 (DS-040); AV_Pavement_Dataset_Inventory.xlsx!Datasets row 12 (D006)</t>
  </si>
  <si>
    <t>DS-041</t>
  </si>
  <si>
    <t>SEU Asphalt Pavement Crack Dataset (transverse/longitudinal/net cracks)</t>
  </si>
  <si>
    <t>Images to be made public 'upon receipt of the article'; dataset-versus-paper status unresolved</t>
  </si>
  <si>
    <t>https://github.com/SEUxia/Asphalt-pavement-crack-dataset</t>
  </si>
  <si>
    <t>Compared_All_Platforms_TH_v3.0.xlsx!All_Datasets row 42 (DS-041)</t>
  </si>
  <si>
    <t>DS-042</t>
  </si>
  <si>
    <t>SoV Pothole Dataset</t>
  </si>
  <si>
    <t>object detection; depth-assisted pothole detection</t>
  </si>
  <si>
    <t>Person-mounted ZED 2 stereo camera</t>
  </si>
  <si>
    <t>pothole; drain</t>
  </si>
  <si>
    <t>Left RGB; right RGB; depth; annotations</t>
  </si>
  <si>
    <t>447</t>
  </si>
  <si>
    <t>Small, person-mounted capture rather than vehicle-mounted CAV collection; location and license are not clearly reported.</t>
  </si>
  <si>
    <t>https://github.com/achireistefan/Pothole-Detection</t>
  </si>
  <si>
    <t>Compared_All_Platforms_TH_v3.0.xlsx!All_Datasets row 43 (DS-042)</t>
  </si>
  <si>
    <t>DS-043</t>
  </si>
  <si>
    <t>Stereo Pothole Datasets</t>
  </si>
  <si>
    <t>semantic segmentation; pothole detection; 3D reconstruction</t>
  </si>
  <si>
    <t>Stereo camera system</t>
  </si>
  <si>
    <t>pothole pixel mask</t>
  </si>
  <si>
    <t>RGB images; disparity maps; pixel labels; point clouds</t>
  </si>
  <si>
    <t>Repository does not clearly report image count, resolution, location, license, or collection conditions.</t>
  </si>
  <si>
    <t>Stereo pothole / compiled ancestry (DS-043, DS-157, DS-079, DS-040)</t>
  </si>
  <si>
    <t>https://github.com/ruirangerfan/stereo_pothole_datasets</t>
  </si>
  <si>
    <t>Compared_All_Platforms_TH_v3.0.xlsx!All_Datasets row 44 (DS-043)</t>
  </si>
  <si>
    <t>DS-044</t>
  </si>
  <si>
    <t>SUT-Crack (Sharif University of Technology Crack Dataset)</t>
  </si>
  <si>
    <t>Mendeley Data v6 [Claude] | 6 [Claude/CodeX]</t>
  </si>
  <si>
    <t>Classification;Object detection;Semantic segmentation [Claude] | Classification; Detection; Segmentation [Claude/CodeX] | classification; object detection [Test_Batch]</t>
  </si>
  <si>
    <t>Fixed-height camera (672 mm above pavement surface) [Claude] | Camera at a fixed height of 672 mm above the pavement surface [Claude] | Fixed-height camera, 672 mm above pavement surface [CodeX] | Fixed-height road camera [Test_Batch]</t>
  </si>
  <si>
    <t>Crack ground truth for segmentation/detection; with-crack vs without-crack for classification crops [Claude] | Annotations supporting classification, object detection and segmentation; per-image geotags with latitude and longitude [Claude] | crack; non-crack; localization labels [Test_Batch]</t>
  </si>
  <si>
    <t>Image crops; full-size images; geotag metadata</t>
  </si>
  <si>
    <t>NR (Mendeley record license not re-verified in this batch) [Claude] | CC BY 4.0 [Claude/CodeX]</t>
  </si>
  <si>
    <t>130 (segmentation/detection) + 25,563 (classification) per 15_SUT_Crack.xlsx; source records: 130 / NR</t>
  </si>
  <si>
    <t>Iran [Claude] | NR (depositor affiliation: Sharif University of Technology) [Claude]; Tehran (Sharif University of Technology); Road environment: Asphalt pavements incl. oil stains, shadows, varied lighting [Claude] | Urban road [Claude] | Roadway [Test_Batch]</t>
  </si>
  <si>
    <t>Small base-image count (130); fixed-height acquisition differs from vehicle-mounted CAV viewpoint [Claude] | Image count and resolution are not stated on the canonical record; country of collection is not stated and was not confirmed from an authoritative source; annotation file formats not enumerated; six versions exist with no changelog, so version-to-version differences are opaque [Claude] | Image count, label taxonomy, annotation format, country, and collection dates NR on landing page [CodeX] | Only 130 unique source images; release date, geography, license, and exact localization annotation schema are unresolved. [Test_Batch]</t>
  </si>
  <si>
    <t>https://data.mendeley.com/datasets/gsbmknrhkv/6</t>
  </si>
  <si>
    <t>Compared_All_Platforms_TH_v3.0.xlsx!All_Datasets row 45 (DS-044)</t>
  </si>
  <si>
    <t>DS-045</t>
  </si>
  <si>
    <t>UAPD (UAV Asphalt Pavement Distress Dataset)</t>
  </si>
  <si>
    <t>v1 (public release 2022)</t>
  </si>
  <si>
    <t>Object detection;Semantic segmentation (companion work) [Claude] | object detection; segmentation [Test_Batch]</t>
  </si>
  <si>
    <t>UAV with high-resolution camera [Claude] | UAV high-resolution camera [Test_Batch]</t>
  </si>
  <si>
    <t>Six distress categories [Claude] | transverse crack; longitudinal crack; oblique crack; alligator crack; pothole; repair [Test_Batch]</t>
  </si>
  <si>
    <t>3151</t>
  </si>
  <si>
    <t>China; Road environment: Asphalt pavements (UAV survey) [Claude] | Roadway [Test_Batch]</t>
  </si>
  <si>
    <t>Annotation format and geographic coverage not stated in README; Google Drive hosting (link liveness not independently re-tested) [Claude] | Single acquisition mode and geography; formal data license and synchronized navigation metadata are not reported. [Test_Batch]</t>
  </si>
  <si>
    <t>https://github.com/tantantetetao/UAPD-Pavement-Distress-Dataset</t>
  </si>
  <si>
    <t>Compared_All_Platforms_TH_v3.0.xlsx!All_Datasets row 46 (DS-045)</t>
  </si>
  <si>
    <t>DS-046</t>
  </si>
  <si>
    <t>UAV-CrackX (UAV pavement crack segmentation, x4/x8/x16 magnifications)</t>
  </si>
  <si>
    <t>1,500-image release (1,200 annotated)</t>
  </si>
  <si>
    <t>Semantic segmentation;Cross-resolution domain adaptation</t>
  </si>
  <si>
    <t>UAV (50 m altitude, x4/x8/x16 magnification levels)</t>
  </si>
  <si>
    <t>Grayscale masks (0 = pavement, 1 = crack); 1,200 annotated images (400 per magnification)</t>
  </si>
  <si>
    <t>Grayscale mask images</t>
  </si>
  <si>
    <t>1500</t>
  </si>
  <si>
    <t>NR (Chang'an University group); Road environment: Pavements surveyed by UAV at 50 m altitude</t>
  </si>
  <si>
    <t>No public download route found in repository (no data files or hosting links); benchmark submission portal only (vlp.chd.edu.cn) — access route unresolved; contact author</t>
  </si>
  <si>
    <t>https://github.com/SHAN-JH/UAV-CrackX-Datasets</t>
  </si>
  <si>
    <t>Compared_All_Platforms_TH_v3.0.xlsx!All_Datasets row 47 (DS-046)</t>
  </si>
  <si>
    <t>Long-Term Pavement Performance (LTPP)</t>
  </si>
  <si>
    <t>Survey vehicle (photographic/film distress surveys); manual field surveys [Claude] | Photographic survey;manual survey;survey vehicle;field instrumentation [GPT]</t>
  </si>
  <si>
    <t>LTPP Distress Identification Manual (FHWA-RD-03-031): distress type, severity, and extent [Claude] | Distress type;severity;quantity;extent [GPT]</t>
  </si>
  <si>
    <t>Relational database tables; distress map and distress image files (PDF) per section survey [Claude] | Relational tables;distress maps;photographs;videos [GPT]</t>
  </si>
  <si>
    <t>UNK [Claude] | Direct_Download [GPT]</t>
  </si>
  <si>
    <t>United States; Canada; 2,500+ in-service test sections across U.S. states and Canadian provinces [Claude] | Multiple U.S. states and Canadian provinces [GPT]; Road environment: In-service highways; asphalt-surfaced and concrete-surfaced test sections [Claude] | In-service highway test sections [GPT]</t>
  </si>
  <si>
    <t>Imagery not packaged as a CV-ready corpus (distress maps/images distributed per section via viewer and Ancillary Data download); image count and resolution not reported; older surveys are film-derived; labels are section-level engineering measures, not pixel/bounding-box annotations; bulk-download authorization requirements unverified; collection ongoing since 1990 (start month not reported); catalog license field points to 'unknown-license' [Claude] | Exact image count, exact active section count, image resolution, per-image label linkage, and named license are not reported in the Data.gov record. FHWA sources conflict on whether collection began in 1989 or 1990, so the exact collection month is UNK. Photographic and manual survey methods require method-aware use. [GPT]</t>
  </si>
  <si>
    <t>Other official / repository; Data.gov</t>
  </si>
  <si>
    <t>https://infopave.fhwa.dot.gov/Data/StandardDataRelease</t>
  </si>
  <si>
    <t>https://infopave.fhwa.dot.gov/InfoPave_Repository/files/FHWA-HRT-21-038.pdf</t>
  </si>
  <si>
    <t>Compared_All_Platforms_TH_v3.0.xlsx!All_Datasets row 48 (DS-047)</t>
  </si>
  <si>
    <t>DS-048</t>
  </si>
  <si>
    <t>Long-Term Pavement Performance (LTPP) - Non-LTPP Data Access Collection</t>
  </si>
  <si>
    <t>Non-LTPP access collection including C-LTPP; formal version NR</t>
  </si>
  <si>
    <t>ATOM/XML access point;underlying formats NR</t>
  </si>
  <si>
    <t>Road environment: In-service pavement sections</t>
  </si>
  <si>
    <t>The Data.gov title contains the spelling 'Non-LTTP' while the description says the access point includes C-LTPP. Dataset boundaries, image-bearing content, label linkage, downloadable file behavior, and license remain unresolved; therefore the record is not scored or ranked.</t>
  </si>
  <si>
    <t>Other official / repository</t>
  </si>
  <si>
    <t>https://infopave.fhwa.dot.gov/?Goto=NON-LTPP</t>
  </si>
  <si>
    <t>Compared_All_Platforms_TH_v3.0.xlsx!All_Datasets row 49 (DS-048)</t>
  </si>
  <si>
    <t>DS-049</t>
  </si>
  <si>
    <t>A Curated RGB Dataset for Real-Time Road Damage Detection using YOLO</t>
  </si>
  <si>
    <t>2</t>
  </si>
  <si>
    <t>Detection</t>
  </si>
  <si>
    <t>3 classes as YOLO bounding boxes</t>
  </si>
  <si>
    <t>YOLO TXT with normalised coordinates</t>
  </si>
  <si>
    <t>1075 (914 train / 161 validation)</t>
  </si>
  <si>
    <t>No country, region, capture device or collection date is reported; no test split, only train and validation; images resized and padded to 640x640, so original resolution is lost; provenance of the 'curated' images is not stated, so overlap with existing public datasets cannot be ruled out; no peer-reviewed data paper located</t>
  </si>
  <si>
    <t>https://data.mendeley.com/datasets/s3k75x9zf4/2</t>
  </si>
  <si>
    <t>Compared_All_Platforms_TH_v3.0.xlsx!All_Datasets row 50 (DS-049)</t>
  </si>
  <si>
    <t>DS-050</t>
  </si>
  <si>
    <t>A Real-World Road Dataset For Manhole and Speed Breaker Detection in Bangladesh</t>
  </si>
  <si>
    <t>Classification; Detection</t>
  </si>
  <si>
    <t>5 folder classes: Uncovered_Manhole; Square_Manhole; Speed_Breaker; Good_Manhole; Broken_Manhole</t>
  </si>
  <si>
    <t>Folder-based class labels</t>
  </si>
  <si>
    <t>Bangladesh; Road environment: Urban road</t>
  </si>
  <si>
    <t>The subject is road furniture condition (manhole covers and speed breakers) rather than pavement distress, so it does not support pavement-condition modelling; no counts, resolution, device or date reported; only the Broken_Manhole and Uncovered_Manhole classes carry any condition meaning</t>
  </si>
  <si>
    <t>https://data.mendeley.com/datasets/7zzcmv2wz7/1</t>
  </si>
  <si>
    <t>Compared_All_Platforms_TH_v3.0.xlsx!All_Datasets row 51 (DS-050)</t>
  </si>
  <si>
    <t>DS-051</t>
  </si>
  <si>
    <t>An Annotated Water-Filled, and Dry Potholes Dataset for Deep Learning Applications</t>
  </si>
  <si>
    <t>Object detection;Object recognition;Classification</t>
  </si>
  <si>
    <t>Dashcam/front-rear vehicle videos; still-image acquisition NR</t>
  </si>
  <si>
    <t>Pothole bounding boxes; water state indicated by dataset scope</t>
  </si>
  <si>
    <t>Pascal VOC XML;YOLO TXT;images;dashcam MP4</t>
  </si>
  <si>
    <t>United Kingdom; Road environment: Outdoor road; water-filled and dry potholes</t>
  </si>
  <si>
    <t>Image count, resolution, collection geography, annotation procedure, and quality control not reported on landing page</t>
  </si>
  <si>
    <t>https://data.mendeley.com/datasets/tp95cdvgm8/1</t>
  </si>
  <si>
    <t>Compared_All_Platforms_TH_v3.0.xlsx!All_Datasets row 52 (DS-051)</t>
  </si>
  <si>
    <t>DS-052</t>
  </si>
  <si>
    <t>Asphalt Crack Dataset</t>
  </si>
  <si>
    <t>Camera (model not stated)</t>
  </si>
  <si>
    <t>Binary image-level labels: crack; non-crack</t>
  </si>
  <si>
    <t>400</t>
  </si>
  <si>
    <t>Two-sentence record with no country, device, resolution, date or annotation detail; only 400 images with binary presence labels; oldest record retained in this batch and superseded in every respect by later crack datasets</t>
  </si>
  <si>
    <t>https://data.mendeley.com/datasets/xnzhj3x8v4/2</t>
  </si>
  <si>
    <t>Compared_All_Platforms_TH_v3.0.xlsx!All_Datasets row 53 (DS-052)</t>
  </si>
  <si>
    <t>DS-053</t>
  </si>
  <si>
    <t>Asphalt Cracked and Uncracked Image Dataset</t>
  </si>
  <si>
    <t>Vehicle-mounted enclosed camera rig suspended from a towbar-mounted bicycle carrier (fixed height, 30 fps)</t>
  </si>
  <si>
    <t>Binary image-level labels: cracked; uncracked</t>
  </si>
  <si>
    <t>2000 at 1440x1440; more than 8000 at 360x360; more than 3000 at 720x720</t>
  </si>
  <si>
    <t>Road environment: Urban road; Rural road</t>
  </si>
  <si>
    <t>Binary image-level labels only, with no distress typing, localisation or severity; country and route not reported; the 360x360 and 720x720 subsets are crops of the 1440x1440 set, so the three subsets are not independent; the referenced Construction and Building Materials paper is not identified by DOI on the record</t>
  </si>
  <si>
    <t>https://data.mendeley.com/datasets/88kdyyc73h/1</t>
  </si>
  <si>
    <t>Compared_All_Platforms_TH_v3.0.xlsx!All_Datasets row 54 (DS-053)</t>
  </si>
  <si>
    <t>DS-054</t>
  </si>
  <si>
    <t>Attain: Inclusive Annotated Pavement Distress Types and Severity Dataset</t>
  </si>
  <si>
    <t>Detection; Classification [Claude] | Object detection;Classification [GPT]</t>
  </si>
  <si>
    <t>Vehicle-mounted smartphone (front and rear windshield) [Claude] | Vehicle-mounted smartphones on front and rear windshields [GPT]</t>
  </si>
  <si>
    <t>10 distress classes with three severity levels (low; medium; high); 19761 annotated distress instances [Claude] | Ten pavement-distress categories reported; 19,761 instances [GPT]</t>
  </si>
  <si>
    <t>YOLO; Pascal VOC XML; Polygon text</t>
  </si>
  <si>
    <t>2293</t>
  </si>
  <si>
    <t>Iran; Tehran; Road environment: Urban road; Arterial [Claude] | Road pavement [GPT]</t>
  </si>
  <si>
    <t>Single-city collection (Tehran) limits geographic transfer; no GPS, IMU or depth channel; per-image acquisition dates not reported; no inter-annotator agreement statistic; class distribution highly imbalanced (Block crack n=61 vs Linear crack n=9019) [Claude] | Image resolution, annotation format, geography details, and quality-control procedure not reported on landing page [GPT]</t>
  </si>
  <si>
    <t>https://data.mendeley.com/datasets/nykrzdm74f/1</t>
  </si>
  <si>
    <t>Compared_All_Platforms_TH_v3.0.xlsx!All_Datasets row 55 (DS-054)</t>
  </si>
  <si>
    <t>DS-055</t>
  </si>
  <si>
    <t>Bandung Pothole Image Dataset (BPID)</t>
  </si>
  <si>
    <t>Annotated potholes; high-contrast tree shadows retained as hard negatives</t>
  </si>
  <si>
    <t>50</t>
  </si>
  <si>
    <t>Indonesia; Bandung City, West Java; Road environment: Urban road</t>
  </si>
  <si>
    <t>Only 50 images, so it is usable as an out-of-distribution test set and not for training; single distress class; camera, resolution, annotation format and collection dates all unreported; no peer-reviewed data paper located</t>
  </si>
  <si>
    <t>https://data.mendeley.com/datasets/rgymy6dwdd/1</t>
  </si>
  <si>
    <t>Compared_All_Platforms_TH_v3.0.xlsx!All_Datasets row 56 (DS-055)</t>
  </si>
  <si>
    <t>DS-056</t>
  </si>
  <si>
    <t>Bangladesh Road Damage Detection Dataset</t>
  </si>
  <si>
    <t>Detection [Claude] | Object detection [GPT]</t>
  </si>
  <si>
    <t>Three mobile-device cameras</t>
  </si>
  <si>
    <t>Single class named 'pothole' covering potholes, broken road surfaces and visible cracks; undamaged road images included as negatives [Claude] | Single unified damage class 'pothole'; normal road negatives [GPT]</t>
  </si>
  <si>
    <t>YOLOv8 [Claude] | YOLOv8;train/validation/test [GPT]</t>
  </si>
  <si>
    <t>Bangladesh; Multiple roads; exact regions NR; Road environment: Highway;urban road;rural path</t>
  </si>
  <si>
    <t>Three distinct distress mechanisms are collapsed into a single class labelled 'pothole', which makes the labels semantically inconsistent with every other road-damage taxonomy; no image count, resolution, device or date reported; no peer-reviewed data paper located [Claude] | All damage types collapsed into one class; image count and QC not reported; recent dataset with limited reuse evidence [GPT]</t>
  </si>
  <si>
    <t>https://data.mendeley.com/datasets/ktnx66vtmc/1</t>
  </si>
  <si>
    <t>Compared_All_Platforms_TH_v3.0.xlsx!All_Datasets row 57 (DS-056)</t>
  </si>
  <si>
    <t>DS-057</t>
  </si>
  <si>
    <t>BDRoad-Sense: Benchmark Dataset for Road Surface Detection and Safety Enhancement</t>
  </si>
  <si>
    <t>3 [Claude] | 1 [GPT]</t>
  </si>
  <si>
    <t>Classification; Detection [Claude] | Multi-class classification;Benchmarking [GPT]</t>
  </si>
  <si>
    <t>Four different smartphone cameras (handheld field survey) [Claude] | Four smartphone cameras [GPT]</t>
  </si>
  <si>
    <t>5 classes: Major Damage; Minor Damage; Normal Road; Manhole; Speed Breaker. Accompanying CSV records image path, class label, location, area type and device [Claude] | Five image-level classes [GPT]</t>
  </si>
  <si>
    <t>NR (CSV metadata file accompanies the images) [Claude] | JPG;structured class dataset [GPT]</t>
  </si>
  <si>
    <t>6350 original; 9107 after augmentation [Claude] | 12687 [GPT]</t>
  </si>
  <si>
    <t>Bangladesh; Sylhet District (rural and urban) [Claude] | Sylhet District [GPT]; Road environment: Urban road; Rural road [Claude] | Rural;urban roads [GPT]</t>
  </si>
  <si>
    <t>2757 of the 9107 released images are augmentations (brightness, contrast and blur simulation) rather than independent captures, so effective sample size is 6350; annotation file format is not stated; damage severity is only two-level; no peer-reviewed data paper located [Claude] | Nearly half the final images are augmented; severity classes are broad; no license visible in retrieved record; limited reuse due to recent release [GPT]</t>
  </si>
  <si>
    <t>https://data.mendeley.com/datasets/z3nx8n396g/3</t>
  </si>
  <si>
    <t>Compared_All_Platforms_TH_v3.0.xlsx!All_Datasets row 58 (DS-057)</t>
  </si>
  <si>
    <t>DS-058</t>
  </si>
  <si>
    <t>BDRS2025: Road Surface Image and Video Datasets from Bangladesh</t>
  </si>
  <si>
    <t>Classification; Detection; Segmentation</t>
  </si>
  <si>
    <t>Smartphone (natural driving environments)</t>
  </si>
  <si>
    <t>5 categories: pothole; crack; speed breaker; zebra crossing; manhole cover. Average of about 500 annotated images per class</t>
  </si>
  <si>
    <t>2685 images and 147 videos</t>
  </si>
  <si>
    <t>Bangladesh; Dhaka; Chandpur; Lakshmipur; Road environment: Urban road; Rural road</t>
  </si>
  <si>
    <t>Only two of the five classes are pavement distress; annotation format and resolution are unreported; collection dates not stated; the claim of suitability for segmentation is not backed by released masks; no peer-reviewed data paper located</t>
  </si>
  <si>
    <t>https://data.mendeley.com/datasets/n6cvjnx3b6/1</t>
  </si>
  <si>
    <t>Compared_All_Platforms_TH_v3.0.xlsx!All_Datasets row 59 (DS-058)</t>
  </si>
  <si>
    <t>DS-059</t>
  </si>
  <si>
    <t>CoCG Road Condition - Detection Dataset (CoCGRCDD)</t>
  </si>
  <si>
    <t>Vehicle-mounted USB Logitech Brio camera on the car radiator grille</t>
  </si>
  <si>
    <t>4 defect classes plus per-frame scene attributes: shadow; painting; outlandish object; path milling; grain or binder defect; manhole</t>
  </si>
  <si>
    <t>MS COCO (annotations/instances.json)</t>
  </si>
  <si>
    <t>2110 video frames (325 defect-free)</t>
  </si>
  <si>
    <t>Poland; Road environment: Urban road; Rural road</t>
  </si>
  <si>
    <t>Single camera on a single vehicle in one country; image resolution, collection dates and route not reported; no severity grading; frames are shared with CoCGRCOBB, so the two records must not be pooled as independent samples</t>
  </si>
  <si>
    <t>Same frames; new annotations (DS-059, DS-060)</t>
  </si>
  <si>
    <t>https://data.mendeley.com/datasets/snyyfknw56/1</t>
  </si>
  <si>
    <t>Compared_All_Platforms_TH_v3.0.xlsx!All_Datasets row 60 (DS-059)</t>
  </si>
  <si>
    <t>DS-060</t>
  </si>
  <si>
    <t>CoCG Road Condition - Oriented Bounding Boxes (CoCGRCOBB)</t>
  </si>
  <si>
    <t>3 defect classes plus per-frame scene attributes: shadow; painting; outlandish object; path milling; grain or binder defect; manhole</t>
  </si>
  <si>
    <t>MS COCO oriented bounding boxes (OBB_annotations.json)</t>
  </si>
  <si>
    <t>Re-annotation of the same 2110 frames as CoCGRCDD, so it is not an independent sample; merging longitudinal and transverse cracks into C12 removes orientation-specific labels; resolution, dates and route not reported</t>
  </si>
  <si>
    <t>https://data.mendeley.com/datasets/2dfyh84pdf/1</t>
  </si>
  <si>
    <t>Compared_All_Platforms_TH_v3.0.xlsx!All_Datasets row 61 (DS-060)</t>
  </si>
  <si>
    <t>DS-061</t>
  </si>
  <si>
    <t>Concrete &amp; Pavement Crack Dataset (Omoebamije)</t>
  </si>
  <si>
    <t>1 [Claude/CodeX] | Version 1 [Claude]</t>
  </si>
  <si>
    <t>Classification [Claude] | Image classification;Binary crack detection [Claude] | Binary classification;Crack detection [GPT] | Classification; convolutional neural networks (CNNs) for crack detection in concrete [CodeX]</t>
  </si>
  <si>
    <t>DJI Mavic 2 Enterprise drone (elevated surfaces) and smartphone (surfaces below average window height) [Claude] | UAV (DJI Mavic 2 Enterprise);Smartphone [Claude] | DJI Mavic 2 Enterprise UAV;Samsung smartphone [GPT] | DJI Mavic 2 Enterprise drone; smartphone [CodeX]</t>
  </si>
  <si>
    <t>Binary folders: positive (crack); negative (non-crack) [Claude] | Binary class: positive (crack);negative (non-crack) [Claude] | Binary positive crack;negative non-crack [GPT] | Crack; non-crack [CodeX]</t>
  </si>
  <si>
    <t>Folder-based binary class labels [Claude] | Folder-per-class JPEG directories [Claude] | RGB JPEG;positive and negative folders [GPT] | Folder classes [CodeX]</t>
  </si>
  <si>
    <t>CC BY 4.0 [Claude/GPT/CodeX] | CC BY-SA 4.0 [Claude]</t>
  </si>
  <si>
    <t>Direct_Download [Claude/CodeX] | Registration [Claude/GPT]</t>
  </si>
  <si>
    <t>30000</t>
  </si>
  <si>
    <t>Nigeria; Nigerian Army University Biu, Borno State [Claude] | Biu, Borno State (Nigerian Army University Biu) [Claude] | Biu;Borno State [GPT] | Biu, Borno State [CodeX]; Road environment: Mixed: concrete structure surfaces and pavement surfaces [Claude] | Campus concrete and pavement surfaces [GPT] | University campus; concrete and pavement surfaces [CodeX]</t>
  </si>
  <si>
    <t>Concrete structure images and pavement images are pooled with no separating label, so a pavement-only subset cannot be extracted from the documentation; licence conflict between the CC BY 4.0 record field and the 'research purposes only' text; downsized to 227x227, too coarse for fine crack measurement; single site [Claude] | Concrete and pavement images are pooled with no field separating them, so the pavement subset cannot be isolated; licence terms conflict between the metadata field and the description; images downsized to 227x227 lose fine crack detail; binary labels only [Claude] | Concrete and pavement imagery are mixed, and the pavement-only subset is not separately quantified; no localization masks or engineering condition labels are provided. [GPT] | Concrete and pavement records are mixed; description inconsistently calls folders concrete-only; provenance and QA detail limited [CodeX]</t>
  </si>
  <si>
    <t>Mendeley Data; Kaggle</t>
  </si>
  <si>
    <t>https://data.mendeley.com/datasets/429vzbgmbx/1</t>
  </si>
  <si>
    <t>Compared_All_Platforms_TH_v3.0.xlsx!All_Datasets row 62 (DS-061)</t>
  </si>
  <si>
    <t>DS-062</t>
  </si>
  <si>
    <t>CRACK500 with Noisy Annotation Masks</t>
  </si>
  <si>
    <t>Segmentation</t>
  </si>
  <si>
    <t>NR (inherited from CRACK500)</t>
  </si>
  <si>
    <t>Training crack masks deliberately corrupted at four noise levels: 10, 20, 50 and 100 percent of masks replaced by their noisy version</t>
  </si>
  <si>
    <t>Mask image folders named train_crop_mask_(10,20,50,100)pct</t>
  </si>
  <si>
    <t>NR (derived from CRACK500); Road environment: Pavement surface</t>
  </si>
  <si>
    <t>This record contains only corrupted training masks; the training images and the validation and test sets must be obtained separately from https://github.com/fyangneil/pavement-crack-detection, so the Mendeley record is not a standalone dataset; no counts or resolution reported; the referenced SelectSeg article was listed as upcoming at deposit time and no DOI is given</t>
  </si>
  <si>
    <t>Parent and noisy-mask derivative (DS-007, DS-062)</t>
  </si>
  <si>
    <t>https://data.mendeley.com/datasets/wddt4gbttd/1</t>
  </si>
  <si>
    <t>Compared_All_Platforms_TH_v3.0.xlsx!All_Datasets row 63 (DS-062)</t>
  </si>
  <si>
    <t>DS-063</t>
  </si>
  <si>
    <t>CrackAirport: A Dataset for Segmentation of Cracks in Airport Pavements</t>
  </si>
  <si>
    <t>UAV-mounted Sony ILCE-7RM4A camera at 100 feet altitude</t>
  </si>
  <si>
    <t>Crack segmentation annotations; scenes include aircraft, T-hangars, vegetation, airport markings and signs, and traces of previous maintenance</t>
  </si>
  <si>
    <t>2226</t>
  </si>
  <si>
    <t>United States; Local airports in Tennessee; Road environment: Airport pavement (runway, taxiway and apron environment)</t>
  </si>
  <si>
    <t>Airport pavement rather than roadway, so distress mix and traffic loading differ from highway pavement and CAV transfer is limited; single class; images with very few crack pixels were deliberately removed, which biases the crack-pixel prior away from real operational distributions; collection dates not reported; annotation format not stated</t>
  </si>
  <si>
    <t>https://data.mendeley.com/datasets/3v5r2fxf89/1</t>
  </si>
  <si>
    <t>Compared_All_Platforms_TH_v3.0.xlsx!All_Datasets row 64 (DS-063)</t>
  </si>
  <si>
    <t>DS-064</t>
  </si>
  <si>
    <t>Dataset for Drone-based Inspection of Road Pavement Structures for Cracks</t>
  </si>
  <si>
    <t>Version 1 [Claude] | 1 [Claude]</t>
  </si>
  <si>
    <t>Semantic segmentation;Crack characterisation [Claude] | Detection; Segmentation [Claude]</t>
  </si>
  <si>
    <t>UAV (DJI MINI 2, 12 MP camera, 83-degree field of view, six passes at varying altitude and horizontal speed) [Claude] | UAV (DJI MINI 2, 12 MP camera, 83 degree field of view, continuous recording, six passes at different altitudes and horizontal speeds) [Claude]</t>
  </si>
  <si>
    <t>Crack regions, with physical length and width measurements taken for some cracks and road landmarks to support crack characterisation [Claude] | UNK - physical length and width measurements were taken for some cracks and road landmarks for crack characterisation evaluation, but it is not documented whether image-level annotations, boxes or masks are included [Claude]</t>
  </si>
  <si>
    <t>CC BY-SA 4.0 [Claude] | CC BY 4.0 [Claude]</t>
  </si>
  <si>
    <t>Metadata_Only [Claude] | Direct_Download [Claude]</t>
  </si>
  <si>
    <t>Canada; Montmorency Forest laboratory, Universite Laval, north of Quebec City [Claude] | Montmorency Forest laboratory experimental road, north of Quebec City [Claude]; Road environment: Experimental road, 386 m [Claude] | Experimental road (386 m), used for testing pavement paints and laying techniques [Claude]</t>
  </si>
  <si>
    <t>The Kaggle record is only about 100 kB and functions as a pointer: the imagery itself must be obtained from the Mendeley Data record, so Kaggle access is metadata only; single 386 m experimental road painted for test purposes, which limits representativeness; image counts and annotation format not stated [Claude] | Pending: it is unresolved whether AI-usable image annotations are included or only post-hoc physical crack measurements; frame and video counts are not reported; the associated paper is referenced but not identified by DOI on the record [Claude]</t>
  </si>
  <si>
    <t>https://data.mendeley.com/datasets/csd32bm8zx/1</t>
  </si>
  <si>
    <t>Compared_All_Platforms_TH_v3.0.xlsx!All_Datasets row 65 (DS-064)</t>
  </si>
  <si>
    <t>DS-065</t>
  </si>
  <si>
    <t>Dataset of Unpaved and Paved Road Surface with Seasons</t>
  </si>
  <si>
    <t>2022 (v2); Unpaved and Paved Road Surface with Seasons</t>
  </si>
  <si>
    <t>Images + videos</t>
  </si>
  <si>
    <t>Paved/unpaved and seasonal/road-condition folders including potholes, uneven road, speed breakers and water presence.</t>
  </si>
  <si>
    <t>Folder/category labels; object boxes/masks not verified</t>
  </si>
  <si>
    <t>8,484 images; repository states 13 videos, associated paper states 10</t>
  </si>
  <si>
    <t>Nashik and Mumbai, India</t>
  </si>
  <si>
    <t>Sonali Bhutad and Kailas Patil</t>
  </si>
  <si>
    <t>Includes rotated augmentation (4,242 original + 4,242 rotated per paper). Video-count discrepancy preserved. Auxiliary imagery rather than strict AV-footage match.</t>
  </si>
  <si>
    <t>DS-065; D034</t>
  </si>
  <si>
    <t>https://data.mendeley.com/datasets/tj2m7zz4rg/2</t>
  </si>
  <si>
    <t>Compared_All_Platforms_TH_v3.0.xlsx!All_Datasets row 66 (DS-065); AV_Pavement_Dataset_Inventory.xlsx!Datasets row 40 (D034)</t>
  </si>
  <si>
    <t>DS-066</t>
  </si>
  <si>
    <t>FCDD: A High-Resolution Unstructured Environment Dataset with Multiple Sand Roads</t>
  </si>
  <si>
    <t>Vehicle-mounted 4K camera</t>
  </si>
  <si>
    <t>17 semantic classes including road surfaces, markings, cat's eyes, cracks, potholes, vehicles, people, animals and obstacles</t>
  </si>
  <si>
    <t>Pixel-level semantic masks</t>
  </si>
  <si>
    <t>500 pixel-level annotated images (400 train / 100 validation)</t>
  </si>
  <si>
    <t>Brazil; Florianopolis coastal route (12.2 km), Santa Catarina; Road environment: Coastal route: asphalt road; dirt road; soft sand; hard sand; wet sand</t>
  </si>
  <si>
    <t>Pavement distress is a minor part of the label space (2 of 17 classes) inside a driving-scene segmentation dataset, so distress-instance counts are not reported; only 500 annotated images; single coastal route; collection dates not reported</t>
  </si>
  <si>
    <t>https://data.mendeley.com/datasets/7wr6hxk54h/1</t>
  </si>
  <si>
    <t>Compared_All_Platforms_TH_v3.0.xlsx!All_Datasets row 67 (DS-066)</t>
  </si>
  <si>
    <t>DS-067</t>
  </si>
  <si>
    <t>HighRPD: High-Altitude Drone Dataset of Road Pavement Distress</t>
  </si>
  <si>
    <t>Detection [Claude] | Object detection;YOLO benchmarking [GPT] | object detection; classification [Test_Batch]</t>
  </si>
  <si>
    <t>UAV (DJI M300 RTK with Zenmuse P1, 35 mm lens, 50 m flight height) [Claude] | UAV at 50 m altitude [GPT] | UAV or drone [Test_Batch]</t>
  </si>
  <si>
    <t>3 classes; 12365 line annotations; 8239 block annotations; 1412 pit annotations [Claude] | Class 0 line;class 1 block;class 2 pit [GPT] | line; block; pit [Test_Batch]</t>
  </si>
  <si>
    <t>YOLO TXT (class, normalised centre x, centre y, width, height) [Claude] | YOLO TXT bounding boxes;JPG [GPT]</t>
  </si>
  <si>
    <t>11696</t>
  </si>
  <si>
    <t>China; Shanxi Province (37.768N 112.772E to 37.771N 112.762E) [Claude] | Shanxi [Test_Batch]; Road environment: Highway [Claude/Test_Batch] | Road pavement; aerial perspective [GPT]</t>
  </si>
  <si>
    <t>Single highway corridor of roughly 1 km, so scene diversity is narrow; nadir UAV viewpoint at 50 m does not match a vehicle-mounted camera geometry; collection dates, weather and lighting not reported; per-tile geo-referencing not released despite RTK platform [Claude] | Aerial viewpoint differs from typical CAV forward-facing imagery; broad distress taxonomy; no engineering condition indices [GPT] | Limited taxonomy and geography; license, navigation metadata, and engineering condition indicators were not found. [Test_Batch]</t>
  </si>
  <si>
    <t>https://data.mendeley.com/datasets/sywswj7djj/1</t>
  </si>
  <si>
    <t>Compared_All_Platforms_TH_v3.0.xlsx!All_Datasets row 68 (DS-067)</t>
  </si>
  <si>
    <t>DS-068</t>
  </si>
  <si>
    <t>IROSCD: Indonesia Road Surface Classification Dataset</t>
  </si>
  <si>
    <t>4 image-level classes: Normal Road; Damaged Road; Bumpy Road; Wet Road</t>
  </si>
  <si>
    <t>Indonesia; Various urban and rural regions across Indonesia; Road environment: Urban road; Rural road</t>
  </si>
  <si>
    <t>No image count, per-class count, resolution or capture date is reported; the four classes conflate distinct distress mechanisms (cracks, potholes, bumps) into a single 'Damaged Road' label, so it cannot support distress-type modelling; deposited 2026-07-27, very recent and unvalidated</t>
  </si>
  <si>
    <t>https://data.mendeley.com/datasets/ftcrvjz92c/1</t>
  </si>
  <si>
    <t>Compared_All_Platforms_TH_v3.0.xlsx!All_Datasets row 69 (DS-068)</t>
  </si>
  <si>
    <t>DS-069</t>
  </si>
  <si>
    <t>Multi-Weather Pothole Detection (MWPD)</t>
  </si>
  <si>
    <t>2 [Claude] | 1 [Claude] | Version 1 [Claude]</t>
  </si>
  <si>
    <t>Detection [Claude] | Object detection [Claude]</t>
  </si>
  <si>
    <t>Pothole bounding boxes [Claude] | Pothole bounding boxes; augmentation applied via Roboflow (scaling, shifting, shearing, cropping, rotation, colour perturbation, contrast adjustment, noise addition, brightness adjustment) [Claude] | Single class: pothole, with bounding-box annotations [Claude]</t>
  </si>
  <si>
    <t>CC BY 4.0 [Claude] | CC0: Public Domain [Claude]</t>
  </si>
  <si>
    <t>Direct_Download [Claude] | Registration [Claude]</t>
  </si>
  <si>
    <t>NR (depositor affiliation: American International University Bangladesh)</t>
  </si>
  <si>
    <t>No image count, resolution, capture device, country or date is reported; single distress class; a near-identical record by the same authors exists at 10.17632/d4n32gbmk4.1 (logged as MDL-038, Pending) and the relationship between the two is undocumented [Claude] | Pending: same title, same three authors and same institution as MDL-031 (10.17632/s5hx9n2jc3.2, deposited three months earlier), with a description that is identical except for an added sentence on Roboflow augmentation. Neither record references the other. Mendeley Data does not expose a file manifest to non-interactive retrieval, so it could not be confirmed whether this is a duplicate deposit, an augmented derivative, or a distinct collection [Claude] | Lighting and weather strata are stated but no per-stratum counts, image count, resolution, country or capture device are given; annotation format not specified; no provenance for the source imagery [Claude]</t>
  </si>
  <si>
    <t>https://data.mendeley.com/datasets/s5hx9n2jc3/2</t>
  </si>
  <si>
    <t>Compared_All_Platforms_TH_v3.0.xlsx!All_Datasets row 70 (DS-069)</t>
  </si>
  <si>
    <t>DS-070</t>
  </si>
  <si>
    <t>Multiclass Road Surface Damage Classification Dataset: Computer Vision</t>
  </si>
  <si>
    <t>3 image-level classes with per-class counts</t>
  </si>
  <si>
    <t>1530 (Surface erosion 651; Crack 478; Pothole 401)</t>
  </si>
  <si>
    <t>No country, region, capture device or collection date is reported; image-level labels only, with no localisation or severity; the 80/10/10 split is described as the intended workflow rather than as a shipped split; shares depositors with MDL-024 and provenance overlap cannot be ruled out</t>
  </si>
  <si>
    <t>https://data.mendeley.com/datasets/697w4jkr2x/2</t>
  </si>
  <si>
    <t>Compared_All_Platforms_TH_v3.0.xlsx!All_Datasets row 71 (DS-070)</t>
  </si>
  <si>
    <t>DS-071</t>
  </si>
  <si>
    <t>Multimodal (Image + Point Cloud) Crack Segmentation Dataset</t>
  </si>
  <si>
    <t>1 [Claude] | Version 1 [Claude]</t>
  </si>
  <si>
    <t>Segmentation [Claude] | Semantic segmentation;Multimodal fusion [Claude]</t>
  </si>
  <si>
    <t>Intel RealSense L515 LiDAR camera (synchronous image and point cloud capture) [Claude] | LiDAR camera (Intel RealSense L515), synchronous image and point-cloud capture [Claude]</t>
  </si>
  <si>
    <t>Crack segmentation across varied material, illumination, surface contamination and occlusion conditions (label format not documented) [Claude] | Crack segmentation over paired image and point-cloud data;class list not enumerated on the record [Claude]</t>
  </si>
  <si>
    <t>CC BY 4.0 [Claude] | CC BY-NC-SA 4.0 [Claude]</t>
  </si>
  <si>
    <t>Road environment: Mixed: building surfaces; underground coal mine roadway surrounding rock; pavement [Claude] | Building surfaces;Underground coal mine roadways;Pavement [Claude]</t>
  </si>
  <si>
    <t>Pavement is only one of three scene types alongside building surfaces and mine roadway rock, and the pavement subset is not separately identified or counted; no image, frame or point-cloud counts; no annotation format; no country or date; no peer-reviewed data paper located [Claude] | This is the only Kaggle record found that pairs imagery with LiDAR point clouds for crack analysis, but pavement is one of three scene types (alongside building surfaces and coal mine roadways) and the record gives no counts, so the pavement fraction of the 38.7 GB is unknown. Annotation format and per-scene splits are also unstated, leaving eligibility unresolved [Claude]</t>
  </si>
  <si>
    <t>https://data.mendeley.com/datasets/zs3t38sxds/1</t>
  </si>
  <si>
    <t>Compared_All_Platforms_TH_v3.0.xlsx!All_Datasets row 72 (DS-071)</t>
  </si>
  <si>
    <t>DS-072</t>
  </si>
  <si>
    <t>N-RDD2024: Road Damage and Defects — v5</t>
  </si>
  <si>
    <t>2024 (v5); N-RDD2024 — Road damage and defects</t>
  </si>
  <si>
    <t>D00 longitudinal crack; D10 transverse crack; D20 alligator crack; D30 repaired crack; D40 pothole; D50 pedestrian-crossing blur; D60 lane-line blur; D70 manhole cover; D80 patch; D90 rutting</t>
  </si>
  <si>
    <t>Object-detection labels; verify archive format before training</t>
  </si>
  <si>
    <t>Image count not independently confirmed from v5 landing page.</t>
  </si>
  <si>
    <t>Includes RDD2022's six-country imagery; exact v5 geographic totals unverified.</t>
  </si>
  <si>
    <t>Ömer Kaya and Muhammed Yasin Çodur / Erzurum Technical University</t>
  </si>
  <si>
    <t>Derivative overlap with RDD2022; not all classes indicate defects (e.g., manhole cover). Expanded distress vocabulary useful.</t>
  </si>
  <si>
    <t>DS-072; D018</t>
  </si>
  <si>
    <t>Same version represented in legacy family row</t>
  </si>
  <si>
    <t>Derived/compiled RDD family (DS-035, DS-072, DS-095, DS-099, DS-132, DS-162, DS-104, DS-105)</t>
  </si>
  <si>
    <t>Legacy DS-072 preferred URL was /3 although Dataset_Version and DOI fields also included /5. Current canonical review is v5; legacy checks must not be silently treated as v5 payload verification.</t>
  </si>
  <si>
    <t>https://data.mendeley.com/datasets/27c8pwsd6v/5</t>
  </si>
  <si>
    <t>Compared_All_Platforms_TH_v3.0.xlsx!All_Datasets row 73 (DS-072); AV_Pavement_Dataset_Inventory.xlsx!Datasets row 24 (D018)</t>
  </si>
  <si>
    <t>DS-073</t>
  </si>
  <si>
    <t>PathCare: A Dataset for Road Fault Diagnosis</t>
  </si>
  <si>
    <t>Instance segmentation;Classification</t>
  </si>
  <si>
    <t>Vehicle-mounted GoPro Hero 9</t>
  </si>
  <si>
    <t>Three classes: crack;pothole;uneven surface</t>
  </si>
  <si>
    <t>Roboflow annotations; exact export format NR</t>
  </si>
  <si>
    <t>386</t>
  </si>
  <si>
    <t>Pakistan; Road environment: Various road types; 28-km route</t>
  </si>
  <si>
    <t>Small image set; performance claim lacks independent validation in landing-page evidence; license not visible in retrieved record</t>
  </si>
  <si>
    <t>https://data.mendeley.com/datasets/6p52w7d5xd/2</t>
  </si>
  <si>
    <t>Compared_All_Platforms_TH_v3.0.xlsx!All_Datasets row 74 (DS-073)</t>
  </si>
  <si>
    <t>DS-074</t>
  </si>
  <si>
    <t>PaveCrack1300: UAV-Acquired Pavement Crack Segmentation Dataset</t>
  </si>
  <si>
    <t>UAV (DJI Mini 4 Pro) [Claude] | DJI Mini 4 Pro UAV [CodeX]</t>
  </si>
  <si>
    <t>Binary pixel masks (crack = 255, background = 0); mean crack pixel occupancy 10.80 percent, median 8.61 percent, range 4.03 to 56.14 percent [Claude] | Crack pixels; background [CodeX]</t>
  </si>
  <si>
    <t>JPEG RGB images with paired binary PNG masks [Claude] | Binary PNG mask [CodeX]</t>
  </si>
  <si>
    <t>1300 image-mask pairs [Claude] | 1300 [CodeX]</t>
  </si>
  <si>
    <t>China; Shenyang (Shenyang Jianzhu University campus and surrounding road network) [Claude] | Shenyang [CodeX]; Road environment: Campus road; Urban road [Claude] | University campus roads; surrounding road network [CodeX]</t>
  </si>
  <si>
    <t>Single class (crack) with no distress typing or severity; one campus and its immediate road network; 1300 pairs is small for segmentation pretraining; collection dates, weather and flight altitude not reported; no peer-reviewed data paper located [Claude] | Single-city collection; binary crack-only labels; road segment count and collection conditions NR [CodeX]</t>
  </si>
  <si>
    <t>https://data.mendeley.com/datasets/8b27pdcxv7/1</t>
  </si>
  <si>
    <t>Compared_All_Platforms_TH_v3.0.xlsx!All_Datasets row 75 (DS-074)</t>
  </si>
  <si>
    <t>DS-075</t>
  </si>
  <si>
    <t>PaveDistress: Comprehensive Dataset of Pavement Distresses</t>
  </si>
  <si>
    <t>Detection; Classification; Segmentation [Claude] | classification; object detection; segmentation; distress measurement [GPT]</t>
  </si>
  <si>
    <t>Specialised pavement inspection vehicle [Claude] | Specialized pavement inspection vehicle; Basler raL2048-80km line-scan camera; infrared laser-assisted lighting [GPT]</t>
  </si>
  <si>
    <t>Category folders for transverse, longitudinal and map cracks, patches, potholes and defect-free background images [Claude] | background; crack; patch; pothole; other; crack subtypes [GPT]</t>
  </si>
  <si>
    <t>folder-level classes; fine-grained annotation format NR</t>
  </si>
  <si>
    <t>China; S315 highway [Claude] | S315 highway, Bayanhaote-Erkehashiha segment [GPT]; Road environment: Highway [Claude] | Highway asphalt pavement [GPT]</t>
  </si>
  <si>
    <t>No image count is stated on the canonical record or recoverable without downloading; annotation format and annotation method are not documented; collection dates not reported; single highway corridor [Claude] | Total image count and exact annotation schema not found; potholes are reported as limited; single highway segment [GPT]</t>
  </si>
  <si>
    <t>https://data.mendeley.com/datasets/f46zt2g83x/1</t>
  </si>
  <si>
    <t>Compared_All_Platforms_TH_v3.0.xlsx!All_Datasets row 76 (DS-075)</t>
  </si>
  <si>
    <t>DS-076</t>
  </si>
  <si>
    <t>Pavement Distress Dataset (Liu)</t>
  </si>
  <si>
    <t>10544 total: 6200 asphalt pavement; 4344 concrete pavement; plus a 212-image complex background subset drawn from the asphalt test set</t>
  </si>
  <si>
    <t>NR (depositor affiliation: Wuhan University of Science and Technology)</t>
  </si>
  <si>
    <t>The record documents nothing beyond three image counts: no distress taxonomy, no annotation format, no evidence that labels exist at all, no resolution, no country, no capture device and no associated publication. Cannot be treated as an annotated dataset without downloading and inspecting the archive</t>
  </si>
  <si>
    <t>https://data.mendeley.com/datasets/cbm6dkvggn/1</t>
  </si>
  <si>
    <t>Compared_All_Platforms_TH_v3.0.xlsx!All_Datasets row 77 (DS-076)</t>
  </si>
  <si>
    <t>DS-077</t>
  </si>
  <si>
    <t>PavementDamagesG-7</t>
  </si>
  <si>
    <t>3</t>
  </si>
  <si>
    <t>Segmentation; Classification</t>
  </si>
  <si>
    <t>StereoLabs ZED 2i stereo camera</t>
  </si>
  <si>
    <t>7 pixel-wise mask classes: longitudinal/transverse crack; alligator cracking; pothole; pavement marking; drains; patching; background or no damage</t>
  </si>
  <si>
    <t>RGB JPG images with pixel-wise PNG masks, one RGB colour code per damage class</t>
  </si>
  <si>
    <t>Colombia; Cali; Road environment: Urban road (flexible pavement)</t>
  </si>
  <si>
    <t>No image count is reported anywhere on the record, so dataset scale is unknown; although a ZED 2i stereo camera was used it is not stated whether depth or disparity data are included; three versions with no changelog; no peer-reviewed data paper located</t>
  </si>
  <si>
    <t>https://data.mendeley.com/datasets/yb65trwbd8/3</t>
  </si>
  <si>
    <t>Compared_All_Platforms_TH_v3.0.xlsx!All_Datasets row 78 (DS-077)</t>
  </si>
  <si>
    <t>DS-078</t>
  </si>
  <si>
    <t>PDD: A Pixel-Level Road Pavement Deformation Dataset for Semantic Segmentation of Road Surface Distresses</t>
  </si>
  <si>
    <t>Vehicle-mounted Logitech C925e webcam; Intel RealSense D455 RGB-D camera; GoPro HERO10; handheld Samsung Galaxy A55 smartphone</t>
  </si>
  <si>
    <t>5 deformation classes with polygon boundaries</t>
  </si>
  <si>
    <t>YOLO segmentation (polygon)</t>
  </si>
  <si>
    <t>CC BY-NC 3.0</t>
  </si>
  <si>
    <t>6332</t>
  </si>
  <si>
    <t>Indonesia; Lampung Province (Bandar Lampung City; South Lampung; East Lampung; Central Lampung; Metro City; Pesawaran Regency); Road environment: Urban road; Rural road</t>
  </si>
  <si>
    <t>CC BY-NC 3.0 blocks commercial reuse; no associated peer-reviewed data paper located, so counts rest on the depositor description alone; although an Intel RealSense D455 RGB-D camera was used, it is not stated whether depth frames are included in the release; cracking classes are absent (deformation distresses only)</t>
  </si>
  <si>
    <t>https://data.mendeley.com/datasets/fgtjn9kjkd/1</t>
  </si>
  <si>
    <t>Compared_All_Platforms_TH_v3.0.xlsx!All_Datasets row 79 (DS-078)</t>
  </si>
  <si>
    <t>DS-079</t>
  </si>
  <si>
    <t>Pothole Mix</t>
  </si>
  <si>
    <t>2022 (v2); Pothole Mix / SHREC 2022</t>
  </si>
  <si>
    <t>Crack and pothole image masks; 359 video-mask clips generated from disparity by CV processing.</t>
  </si>
  <si>
    <t>Semantic image masks; RGB-D videos; imperfect algorithmic video masks</t>
  </si>
  <si>
    <t>CC BY-NC 3.0 (v2); underlying component licenses also matter.</t>
  </si>
  <si>
    <t>4,340 image-mask pairs; 797 RGB/disparity clip pairs; 359 mask clips</t>
  </si>
  <si>
    <t>Mixed source datasets; RGB-D near-ground road capture.</t>
  </si>
  <si>
    <t>CNR IMATI / Andrea Ranieri, Elia Moscoso Thompson, Silvia Biasotti</t>
  </si>
  <si>
    <t>Compilation overlaps Crack500, GAPs384, EdmCrack600, Pothole-600 and other data. Video masks are not fully manual ground truth; avoid leakage when combining sources.</t>
  </si>
  <si>
    <t>DS-079; D030</t>
  </si>
  <si>
    <t>https://data.mendeley.com/datasets/kfth5g2xk3/2</t>
  </si>
  <si>
    <t>Compared_All_Platforms_TH_v3.0.xlsx!All_Datasets row 80 (DS-079); AV_Pavement_Dataset_Inventory.xlsx!Datasets row 36 (D030)</t>
  </si>
  <si>
    <t>DS-080</t>
  </si>
  <si>
    <t>Pothole Videos</t>
  </si>
  <si>
    <t>2024 (v3); Pothole Videos</t>
  </si>
  <si>
    <t>Video / sequences</t>
  </si>
  <si>
    <t>Pothole segmentation.</t>
  </si>
  <si>
    <t>Paired RGB/mask videos; manual first-frame mask propagated with tracking</t>
  </si>
  <si>
    <t>619 clips, 48 frames each</t>
  </si>
  <si>
    <t>Hulu Sungai Tengah, Indonesia</t>
  </si>
  <si>
    <t>Muhammad Ihsan, Agus Harjoko, Muhammad Alfian Amrizal / Universitas Gadjah Mada</t>
  </si>
  <si>
    <t>Camera about 130 cm above road; very different perspective from AV dashcams. Masks partly propagated automatically; not all independently hand-drawn.</t>
  </si>
  <si>
    <t>DS-080; D031</t>
  </si>
  <si>
    <t>https://data.mendeley.com/datasets/5bwfg4v4cd/3</t>
  </si>
  <si>
    <t>Compared_All_Platforms_TH_v3.0.xlsx!All_Datasets row 81 (DS-080); AV_Pavement_Dataset_Inventory.xlsx!Datasets row 37 (D031)</t>
  </si>
  <si>
    <t>DS-081</t>
  </si>
  <si>
    <t>Road crack detection based on YOLO - SW algorithm</t>
  </si>
  <si>
    <t>Pending: the entire description is the two words 'Algorithm research'. It could not be determined whether the deposit contains road imagery, annotations, model code or results, so dataset-versus-code status is unresolved</t>
  </si>
  <si>
    <t>https://data.mendeley.com/datasets/8wpk4c4n2m/2</t>
  </si>
  <si>
    <t>Compared_All_Platforms_TH_v3.0.xlsx!All_Datasets row 82 (DS-081)</t>
  </si>
  <si>
    <t>DS-082</t>
  </si>
  <si>
    <t>RoadDamageVision: Annotated Dataset of Road Damage Images</t>
  </si>
  <si>
    <t>UAV (drone), model not stated</t>
  </si>
  <si>
    <t>6 classes; 7647 labelled road damage instances; D40 is the most common at 3566 instances and occurs mainly in the Spanish imagery, while D10 and D20 appear only in the Chinese imagery</t>
  </si>
  <si>
    <t>Bounding boxes with class labels (format standardised, file format not stated)</t>
  </si>
  <si>
    <t>China; Spain; Urban, suburban and rural settings; Road environment: Urban road; Suburban road; Rural road</t>
  </si>
  <si>
    <t>Image count is not reported, only the 7647 instance count; severe class-by-country confounding (D10 and D20 exist only in the Chinese subset, D40 mainly in the Spanish subset) means naive training will learn country rather than distress; drone model, altitude, resolution and dates unreported; three versions with no changelog</t>
  </si>
  <si>
    <t>https://data.mendeley.com/datasets/ypm4h4z25c/3</t>
  </si>
  <si>
    <t>Compared_All_Platforms_TH_v3.0.xlsx!All_Datasets row 83 (DS-082)</t>
  </si>
  <si>
    <t>DS-083</t>
  </si>
  <si>
    <t>RSD-BD: Road Surface Damage Image Dataset from Major Cities of Bangladesh</t>
  </si>
  <si>
    <t>Classification [Claude] | Classification;Benchmarking;Severity assessment (potential use) [GPT]</t>
  </si>
  <si>
    <t>Camera platform NR</t>
  </si>
  <si>
    <t>3 balanced image-level classes of 500 images each [Claude] | 500 asphalt-damage;500 crack;500 pothole images [GPT]</t>
  </si>
  <si>
    <t>JPG images in class folders [Claude] | JPG;class folders or structure NR [GPT]</t>
  </si>
  <si>
    <t>1500 (500 per class) [Claude] | 1500 [GPT]</t>
  </si>
  <si>
    <t>Bangladesh; Dhaka; Mymensingh; Chattogram; Road environment: Urban road; Semi-urban road [Claude] | Urban;semi-urban roads [GPT]</t>
  </si>
  <si>
    <t>Image-level classification labels only, with no localisation, severity or annotation files; capture device and collection dates unreported; exact resolutions not enumerated; the 'Asphalt Damage' class is not defined against a standard distress taxonomy [Claude] | Annotation method, exact image resolution, license, and collection platform not reported in retrieved authoritative evidence [GPT]</t>
  </si>
  <si>
    <t>https://data.mendeley.com/datasets/745n5wnt7v/1</t>
  </si>
  <si>
    <t>Compared_All_Platforms_TH_v3.0.xlsx!All_Datasets row 84 (DS-083)</t>
  </si>
  <si>
    <t>SDNET2018 (Structural Defects Network 2018)</t>
  </si>
  <si>
    <t>Image classification;Crack detection benchmarking [Claude] | Binary classification;Crack detection [GPT] | classification [Test_Batch]</t>
  </si>
  <si>
    <t>Handheld digital camera (16 MP Nikon) [Claude] | 16 MP Nikon digital camera [GPT] | Digital camera [Test_Batch]</t>
  </si>
  <si>
    <t>Binary sub-image label: Cracked;Non-cracked [Claude] | Pavement subset: 2,608 cracked and 21,726 uncracked subimages [GPT] | cracked; non-cracked; pavement; bridge deck; wall [Test_Batch]</t>
  </si>
  <si>
    <t>Folder-per-class image directories [Claude] | JPEG subimages;C or U binary labels [GPT] | Folder labels [Test_Batch]</t>
  </si>
  <si>
    <t>Other (specified in description) [Claude] | CC BY 4.0 [GPT]</t>
  </si>
  <si>
    <t>Registration [Claude/GPT] | Direct_Download [Test_Batch]</t>
  </si>
  <si>
    <t>56092 [Claude/Test_Batch] | 24334 [GPT]</t>
  </si>
  <si>
    <t>United States; Logan, Utah (Utah State University campus) [Claude] | Utah State University campus;Logan;Utah [GPT]; Road environment: Campus roads and sidewalks (pavement subset);bridge decks;building walls [Claude] | Roads and sidewalks;concrete pavement [GPT] | Pavement; bridge deck; wall [Test_Batch]</t>
  </si>
  <si>
    <t>Only 104 of the 230 source photographs are pavement (the remainder are bridge decks and walls), so the pavement subset must be separated before use; labels are binary crack/non-crack with no distress typing; sub-image labels are known to be noisy near crack boundaries; close-range handheld geometry is unlike vehicle-mounted survey imagery; licence terms are not restated on the Kaggle record [Claude] | Kaggle is a mirror of a broader concrete dataset containing bridge-deck, wall, and pavement images; this record describes only the separable pavement subset and provides no distress type or severity labels beyond crack presence. [GPT] | Concrete-focused mixed-structure dataset; pavement subset is not the entire corpus and labels are binary rather than pavement-engineering distress classes. [Test_Batch]</t>
  </si>
  <si>
    <t>https://digitalcommons.usu.edu/all_datasets/48/</t>
  </si>
  <si>
    <t>https://doi.org/10.1016/j.dib.2018.11.015</t>
  </si>
  <si>
    <t>Compared_All_Platforms_TH_v3.0.xlsx!All_Datasets row 85 (DS-084)</t>
  </si>
  <si>
    <t>DS-085</t>
  </si>
  <si>
    <t>TRIB Crack Dataset</t>
  </si>
  <si>
    <t>Detection; Classification</t>
  </si>
  <si>
    <t>Professional digital camera held 100 cm above the road surface</t>
  </si>
  <si>
    <t>UNK - crack types and artefacts (oil stains, road markings, leaves) are described in prose, but no annotation files, masks or label format are documented</t>
  </si>
  <si>
    <t>137 original RGB images, tiled to 256x256 patches with augmentation</t>
  </si>
  <si>
    <t>Romania; Bucharest (7 streets); Road environment: Urban road</t>
  </si>
  <si>
    <t>It is not documented whether any annotation files are included, so AI usability is unresolved; only 137 original images; original capture resolution not stated; the released tiles are augmented, so tiles are not independent samples</t>
  </si>
  <si>
    <t>https://data.mendeley.com/datasets/gd5t95rv5t/1</t>
  </si>
  <si>
    <t>Compared_All_Platforms_TH_v3.0.xlsx!All_Datasets row 86 (DS-085)</t>
  </si>
  <si>
    <t>DS-086</t>
  </si>
  <si>
    <t>UAV Dataset for Automated Road Surface Degradation Detection in Real-World Conditions</t>
  </si>
  <si>
    <t>UAV (drone) and ground-based cameras [Claude] | UAV; ground-based camera [CodeX]</t>
  </si>
  <si>
    <t>8 pavement distress classes as bounding boxes [Claude] | Eight road-anomaly classes [CodeX]</t>
  </si>
  <si>
    <t>YOLO TXT (class_id, x_center, y_center, width, height) [Claude] | YOLO TXT bounding boxes (class_id x_center y_center width height)) [CodeX]</t>
  </si>
  <si>
    <t>11024 (8306 train / 2012 validation / 706 test) [Claude] | 11024 [CodeX]</t>
  </si>
  <si>
    <t>Road environment: Urban road; Rural road [Claude] | Urban; rural [CodeX]</t>
  </si>
  <si>
    <t>No country, region or collection date is reported anywhere on the record, which blocks any geographic transfer assessment; the record title and the internal dataset name (RoadAnomaly-YOLO) disagree; images are uniformly resized to 640x640 so original capture resolution is lost; per-class instance counts not reported; no peer-reviewed data paper located [Claude] | Country, exact locations, road segment count, QA protocol, and evaluation metrics NR [CodeX]</t>
  </si>
  <si>
    <t>https://data.mendeley.com/datasets/c6f2b7mx9t/1</t>
  </si>
  <si>
    <t>Compared_All_Platforms_TH_v3.0.xlsx!All_Datasets row 87 (DS-086)</t>
  </si>
  <si>
    <t>DS-087</t>
  </si>
  <si>
    <t>BLACrack</t>
  </si>
  <si>
    <t>pre-release / request-access version</t>
  </si>
  <si>
    <t>Semantic_Segmentation</t>
  </si>
  <si>
    <t>High-speed pavement inspection vehicle; line-scan camera</t>
  </si>
  <si>
    <t>Pixel-level crack masks; bright-light, low-light, and alligator-crack subsets</t>
  </si>
  <si>
    <t>Image files; binary masks</t>
  </si>
  <si>
    <t>CC BY-NC-SA 4.0</t>
  </si>
  <si>
    <t>Request_Required</t>
  </si>
  <si>
    <t>730</t>
  </si>
  <si>
    <t>China; Liaoning Province; Road environment: Highway</t>
  </si>
  <si>
    <t>The HF repository contains metadata rather than the full image corpus; the data card states public release is contingent on paper acceptance and early access is request-based.</t>
  </si>
  <si>
    <t>Hugging Face</t>
  </si>
  <si>
    <t>https://huggingface.co/datasets/lambert1862/BLACrack</t>
  </si>
  <si>
    <t>Compared_All_Platforms_TH_v3.0.xlsx!All_Datasets row 88 (DS-087)</t>
  </si>
  <si>
    <t>DS-088</t>
  </si>
  <si>
    <t>Chrisathy/LCSD (Low-light Crack Segmentation Dataset)</t>
  </si>
  <si>
    <t>main</t>
  </si>
  <si>
    <t>Semantic segmentation; few-shot segmentation</t>
  </si>
  <si>
    <t>UAV (per CrackNex paper context)</t>
  </si>
  <si>
    <t>Binary crack segmentation masks; 102 well-lit train / 41 low-light test</t>
  </si>
  <si>
    <t>Image masks</t>
  </si>
  <si>
    <t>Apache-2.0</t>
  </si>
  <si>
    <t>143</t>
  </si>
  <si>
    <t>Road environment: UNK (UAV inspection surfaces; pavement share unresolved)</t>
  </si>
  <si>
    <t>Pending: whether imagery is pavement/road surface versus general concrete structures is unresolved from the card; very small; no collection context</t>
  </si>
  <si>
    <t>https://huggingface.co/datasets/Chrisathy/LCSD</t>
  </si>
  <si>
    <t>Compared_All_Platforms_TH_v3.0.xlsx!All_Datasets row 89 (DS-088)</t>
  </si>
  <si>
    <t>DS-089</t>
  </si>
  <si>
    <t>crack</t>
  </si>
  <si>
    <t>Hugging Face main</t>
  </si>
  <si>
    <t>Crack segmentation labels indicated by Hub task metadata; exact taxonomy NR</t>
  </si>
  <si>
    <t>Image files; mask/label structure NR</t>
  </si>
  <si>
    <t>3380</t>
  </si>
  <si>
    <t>Dataset page content could not be fully verified; pavement specificity, provenance, collection date, license, annotation format, and quality control remain unresolved.</t>
  </si>
  <si>
    <t>https://huggingface.co/datasets/Mr-Perfectuz/crack</t>
  </si>
  <si>
    <t>Compared_All_Platforms_TH_v3.0.xlsx!All_Datasets row 90 (DS-089)</t>
  </si>
  <si>
    <t>DS-090</t>
  </si>
  <si>
    <t>CrackBlock600k</t>
  </si>
  <si>
    <t>November 2025 release</t>
  </si>
  <si>
    <t>Semantic_Segmentation;Image_Classification;Label_Noise_Mitigation [Claude] | Image_Classification; Semantic_Segmentation [GPT]</t>
  </si>
  <si>
    <t>Survey_Vehicle [Claude] | CiCS I inspection vehicle; fixed line-scan camera; approximately 30 km/h [GPT]</t>
  </si>
  <si>
    <t>Block-level binary label: 1 = crack present, 0 = no crack (600,000 1000x1000 patches) [Claude] | Crack/non-crack patch labels; pixel-level crack masks reported for supported tasks [GPT]</t>
  </si>
  <si>
    <t>PNG_Mask;Block_Label_Map [Claude] | Image patches; segmentation masks; metadata files [GPT]</t>
  </si>
  <si>
    <t>CC-BY-4.0</t>
  </si>
  <si>
    <t>50000 [Claude] | 600000 [GPT]</t>
  </si>
  <si>
    <t>China; Zhejiang Province; Road environment: Highway</t>
  </si>
  <si>
    <t>Grayscale only and single distress class (crack); block-level binary labels are coarse relative to pixel masks; ~51 GB across six RAR parts requires non-standard extraction tooling; description states source images are 2000x3000 standardized to 2200x3400 while the structure section states 3400x2200, an unresolved internal inconsistency [Claude] | Geographically concentrated; overlapping patches may inflate nominal sample count; license metadata conflict; no engineering-condition indicators or auxiliary sensors reported. [GPT]</t>
  </si>
  <si>
    <t>v3 snapshot with fresh D4 evidence</t>
  </si>
  <si>
    <t>Zenodo; Hugging Face</t>
  </si>
  <si>
    <t>https://zenodo.org/records/17636238</t>
  </si>
  <si>
    <t>Compared_All_Platforms_TH_v3.0.xlsx!All_Datasets row 91 (DS-090)</t>
  </si>
  <si>
    <t>DS-091</t>
  </si>
  <si>
    <t>fcakyon/crack-instance-segmentation</t>
  </si>
  <si>
    <t>main (parquet updated 2023-08)</t>
  </si>
  <si>
    <t>Image segmentation</t>
  </si>
  <si>
    <t>Crack instances (Roboflow export; full and mini subsets)</t>
  </si>
  <si>
    <t>COCO JSON (roboflow2huggingface)</t>
  </si>
  <si>
    <t>Pending: label taxonomy, image count, license, and pavement-vs-wall surface domain unresolved; &lt;1K images; auto-generated card only</t>
  </si>
  <si>
    <t>https://huggingface.co/datasets/fcakyon/crack-instance-segmentation</t>
  </si>
  <si>
    <t>Compared_All_Platforms_TH_v3.0.xlsx!All_Datasets row 92 (DS-091)</t>
  </si>
  <si>
    <t>DS-092</t>
  </si>
  <si>
    <t>global-potholes-dataset</t>
  </si>
  <si>
    <t>Hugging Face sample / actively updated release</t>
  </si>
  <si>
    <t>Object_Detection; Geospatial_Condition_Mapping</t>
  </si>
  <si>
    <t>Mapillary street-level imagery</t>
  </si>
  <si>
    <t>Geolocated pothole detections generated by Outerview AI; latitude/longitude and related record metadata</t>
  </si>
  <si>
    <t>Parquet; CSV; GeoJSON; image ZIP</t>
  </si>
  <si>
    <t>29000</t>
  </si>
  <si>
    <t>Multiple; Global; Road environment: Mixed</t>
  </si>
  <si>
    <t>The Hub release is a sample relative to the claimed multi-million-record collection; labels are AI-generated; independent annotation validation and image-level provenance are incomplete.</t>
  </si>
  <si>
    <t>Mapillary image source family (DS-195, DS-196, DS-092)</t>
  </si>
  <si>
    <t>https://huggingface.co/datasets/Outerview/global-potholes-dataset</t>
  </si>
  <si>
    <t>Compared_All_Platforms_TH_v3.0.xlsx!All_Datasets row 93 (DS-092)</t>
  </si>
  <si>
    <t>DS-093</t>
  </si>
  <si>
    <t>keremberke/pothole-segmentation (Roboflow export)</t>
  </si>
  <si>
    <t>HF export of Roboflow IMACS Pothole Detection v4 [Claude] | Roboflow export dated 2023-01-15 [GPT]</t>
  </si>
  <si>
    <t>Image segmentation; object detection [Claude] | Instance_Segmentation [GPT]</t>
  </si>
  <si>
    <t>Single class: pothole [Claude] | Single pothole class with pixel/instance segmentation annotations [GPT]</t>
  </si>
  <si>
    <t>COCO JSON (polygon) [Claude] | COCO JSON; image files [GPT]</t>
  </si>
  <si>
    <t>90</t>
  </si>
  <si>
    <t>Road environment: Mixed urban/rural street-view scenes (per sample images) [Claude] | Mixed [GPT]</t>
  </si>
  <si>
    <t>Very small (90 images); single distress class; no collection context, geography, or sensor metadata; Roboflow re-export rather than original release [Claude] | Very small dataset; acquisition location, camera platform, image resolution, and labeling quality controls are not adequately documented. [GPT]</t>
  </si>
  <si>
    <t>Similar labels; different upstream projects (DS-093, DS-094, DS-153)</t>
  </si>
  <si>
    <t>https://huggingface.co/datasets/keremberke/pothole-segmentation</t>
  </si>
  <si>
    <t>Compared_All_Platforms_TH_v3.0.xlsx!All_Datasets row 94 (DS-093)</t>
  </si>
  <si>
    <t>DS-094</t>
  </si>
  <si>
    <t>manot/pothole-segmentation2</t>
  </si>
  <si>
    <t>Pothole annotations (Roboflow export)</t>
  </si>
  <si>
    <t>COCO JSON with bounding boxes in exposed loader; do not infer masks from repository name</t>
  </si>
  <si>
    <t>CC BY 4.0 (loader declaration; upstream rights not separately audited)</t>
  </si>
  <si>
    <t>Auto-generated loading script only; &lt;1K images; license and image count not reported; another Roboflow pothole export overlapping in scope with DSHF-001 family but different source project</t>
  </si>
  <si>
    <t>https://huggingface.co/datasets/manot/pothole-segmentation2</t>
  </si>
  <si>
    <t>Compared_All_Platforms_TH_v3.0.xlsx!All_Datasets row 95 (DS-094)</t>
  </si>
  <si>
    <t>DS-095</t>
  </si>
  <si>
    <t>n-rdd2024-distilled-frdc</t>
  </si>
  <si>
    <t>distilled FRDC pseudo-label release</t>
  </si>
  <si>
    <t>Object_Detection; Knowledge_Distillation</t>
  </si>
  <si>
    <t>Source-dependent road imagery</t>
  </si>
  <si>
    <t>Ten-class pseudo-label taxonomy documented in the repository configuration</t>
  </si>
  <si>
    <t>YOLO text annotations; image files</t>
  </si>
  <si>
    <t>Multiple; Source-dependent; Road environment: Mixed</t>
  </si>
  <si>
    <t>Pseudo-labeled derivative; exact source-image provenance, license, label error rate, and manual validation are incompletely documented.</t>
  </si>
  <si>
    <t>https://huggingface.co/datasets/TamAko783/n-rdd2024-distilled-frdc</t>
  </si>
  <si>
    <t>Compared_All_Platforms_TH_v3.0.xlsx!All_Datasets row 96 (DS-095)</t>
  </si>
  <si>
    <t>PaveBench</t>
  </si>
  <si>
    <t>Longitudinal/transverse/alligator cracks, patch, pothole, negative; VQA also covers severity and maintenance.</t>
  </si>
  <si>
    <t>Class labels, COCO-style boxes, masks, JSONL question-answer dialogues</t>
  </si>
  <si>
    <t>20,124 visual images; 32,160 QA pairs</t>
  </si>
  <si>
    <t>Liaoning Province, China</t>
  </si>
  <si>
    <t>Multi-Modal Learning Group / Dexiang Li and collaborators</t>
  </si>
  <si>
    <t>Distinct from driver-view camera imagery. Detection/segmentation merge longitudinal and transverse into linear crack. Very useful distress annotations but not strict AV footage. Paper posted 2026-04-03 (before review cutoff).</t>
  </si>
  <si>
    <t>DS-096; D028</t>
  </si>
  <si>
    <t>https://huggingface.co/datasets/MML-Group/PaveBench</t>
  </si>
  <si>
    <t>https://arxiv.org/abs/2604.02804</t>
  </si>
  <si>
    <t>Compared_All_Platforms_TH_v3.0.xlsx!All_Datasets row 97 (DS-096); AV_Pavement_Dataset_Inventory.xlsx!Datasets row 34 (D028)</t>
  </si>
  <si>
    <t>DS-097</t>
  </si>
  <si>
    <t>Road Issues Detection Dataset (Programmer-RD-AI)</t>
  </si>
  <si>
    <t>c0c9c37 [Claude] | Version 2 [Claude] | 1.0 [GPT]</t>
  </si>
  <si>
    <t>Image classification; object detection (stated); multi-label classification (stated) [Claude] | Image classification;Object detection;Multi-label classification [Claude] | Image_Classification [GPT] | Classification;Object detection [GPT]</t>
  </si>
  <si>
    <t>Compiled from multiple public repositories [GPT] | Composite from multiple public repositories; acquisition platforms vary [GPT]</t>
  </si>
  <si>
    <t>7 folder classes: Broken Road Sign; Damaged Road; Pothole; Illegal Parking; Mixed; Littering; Vandalism [Claude] | Folder-level classes: Pothole Issues;Damaged Road issues;Broken Road Sign Issues;Illegal Parking Issues;Mixed Issues;Littering Garbage on Public Places Issues [Claude] | Seven source-derived road-issue categories; pavement distress is only part of the taxonomy [GPT] | Seven broad issue categories including pothole and damaged road; other classes include non-pavement issues [GPT]</t>
  </si>
  <si>
    <t>Imagefolder (class-per-directory) [Claude] | Folder-per-class image directories [Claude] | JPEG images; image-folder labels [GPT] | JPG images organized by issue category; object-level annotation format NR [GPT]</t>
  </si>
  <si>
    <t>CC0-1.0 [Claude] | MIT [Claude] | CC0 1.0 [GPT]</t>
  </si>
  <si>
    <t>Direct_Download [Claude/GPT] | Registration [Claude/GPT]</t>
  </si>
  <si>
    <t>9660</t>
  </si>
  <si>
    <t>Multiple [GPT] | Multi-source [GPT]; Road environment: Urban streets and public spaces [Claude] | Urban [Claude] | Mixed [GPT] | Urban road and street scenes [GPT]</t>
  </si>
  <si>
    <t>Composite of third-party sources with mixed non-pavement classes (signs, parking, litter, vandalism); image-level labels only; no provenance/geography per image; no bounding boxes despite stated detection use [Claude] | Only two of the six folders are pavement-condition classes; the remainder cover signage, parking and litter, so the usable subset is a fraction of the 9,660 images; the constituent source datasets are not itemised; labels are folder-level with no bounding boxes or masks despite the object-detection claim; resolution stated only as 'high-resolution' [Claude] | Mixed road-issue scope; coarse image-level labels; heterogeneous provenance and collection conditions; some categories are not pavement-condition labels. [GPT] | Broad multi-issue composite rather than a pavement-specific benchmark; source overlap, geographic coverage, label consistency, and object-level ground truth are unresolved. [GPT]</t>
  </si>
  <si>
    <t>Hugging Face; Kaggle</t>
  </si>
  <si>
    <t>https://huggingface.co/datasets/Programmer-RD-AI/road-issues-detection-dataset</t>
  </si>
  <si>
    <t>Compared_All_Platforms_TH_v3.0.xlsx!All_Datasets row 98 (DS-097)</t>
  </si>
  <si>
    <t>DS-098</t>
  </si>
  <si>
    <t>road-damage-classification</t>
  </si>
  <si>
    <t>Image_Classification</t>
  </si>
  <si>
    <t>Exact label taxonomy NR</t>
  </si>
  <si>
    <t>ImageFolder; image files</t>
  </si>
  <si>
    <t>No substantive data card; gated contact-sharing access; sample count, provenance, labels, date, geographic coverage, and license remain unresolved.</t>
  </si>
  <si>
    <t>https://huggingface.co/datasets/Emanyaser/road-damage-classification</t>
  </si>
  <si>
    <t>Compared_All_Platforms_TH_v3.0.xlsx!All_Datasets row 99 (DS-098)</t>
  </si>
  <si>
    <t>DS-099</t>
  </si>
  <si>
    <t>Road_Damage_Detection_USA</t>
  </si>
  <si>
    <t>Filtered USA subset / Hugging Face release</t>
  </si>
  <si>
    <t>Object_Detection</t>
  </si>
  <si>
    <t>Vehicle-mounted camera</t>
  </si>
  <si>
    <t>Four RDD-style object classes; 4,805 source images reduced to 3,844 after filtering</t>
  </si>
  <si>
    <t>CC BY-SA 4.0</t>
  </si>
  <si>
    <t>3844</t>
  </si>
  <si>
    <t>United States; Multiple urban and rural locations; Road environment: Mixed</t>
  </si>
  <si>
    <t>Derived subset rather than an independent acquisition; limited geographic and collection metadata; source-license inheritance needs confirmation.</t>
  </si>
  <si>
    <t>https://huggingface.co/datasets/cvtechniques/Road_Damage_Detection_USA</t>
  </si>
  <si>
    <t>Compared_All_Platforms_TH_v3.0.xlsx!All_Datasets row 100 (DS-099)</t>
  </si>
  <si>
    <t>DS-100</t>
  </si>
  <si>
    <t>RSCD — Road Surface Classification Dataset (original release; HF alias)</t>
  </si>
  <si>
    <t>2022–2023; RSCD — Road Surface Classification Dataset</t>
  </si>
  <si>
    <t>27 combinations of surface material, moisture/snow/ice state, and smooth/slight/severe unevenness.</t>
  </si>
  <si>
    <t>Image classification; class folders and test labels</t>
  </si>
  <si>
    <t>CC BY-NC (original provider); HF MIT claim conflicts, original terms govern chosen release</t>
  </si>
  <si>
    <t>About 1 million patches; about 700 km</t>
  </si>
  <si>
    <t>Beijing, China</t>
  </si>
  <si>
    <t>Tsinghua University / Tong Zhao et al.</t>
  </si>
  <si>
    <t>Strongest broad condition-label set. Friction categories are visual surface states, not measured coefficients. Snow/ice samples lack material/unevenness labels; mud/gravel lack unevenness labels.</t>
  </si>
  <si>
    <t>DS-100; D004</t>
  </si>
  <si>
    <t>Probable mirror/alias</t>
  </si>
  <si>
    <t>HF claims MIT and about 1,028,000 images; original provider specifies CC BY-NC and ~960k/~20k/~50k train/validation/test. Do not transfer the HF MIT label to the original dataset. Mirror provenance/payload equivalence remains unverified.</t>
  </si>
  <si>
    <t>Other official / repository; Hugging Face</t>
  </si>
  <si>
    <t>https://thu-rsxd.com/rscd/</t>
  </si>
  <si>
    <t>https://thu-rsxd.com/dxhdiefb/</t>
  </si>
  <si>
    <t>Compared_All_Platforms_TH_v3.0.xlsx!All_Datasets row 101 (DS-100); AV_Pavement_Dataset_Inventory.xlsx!Datasets row 10 (D004)</t>
  </si>
  <si>
    <t>DS-101</t>
  </si>
  <si>
    <t>Ryukijano/Pothole-detection-Yolov8</t>
  </si>
  <si>
    <t>main [Claude] | Hugging Face main [GPT]</t>
  </si>
  <si>
    <t>Object detection [Claude] | Object_Detection [GPT]</t>
  </si>
  <si>
    <t>Pothole labels in YOLOv8 format (per repo name) [Claude] | Object-detection labels are present, but class definitions and provenance are not documented in a data card [GPT]</t>
  </si>
  <si>
    <t>YOLO TXT (per repo name) [Claude] | Image files; text labels [GPT]</t>
  </si>
  <si>
    <t>OpenRAIL</t>
  </si>
  <si>
    <t>880</t>
  </si>
  <si>
    <t>Dataset card empty (default placeholder text); license, count, provenance, and release year not reported; supplementary only [Claude] | Empty or minimal README; no reliable source dataset identity, acquisition geography, collection date, annotation method, or image-license chain. [GPT]</t>
  </si>
  <si>
    <t>https://huggingface.co/datasets/Ryukijano/Pothole-detection-Yolov8</t>
  </si>
  <si>
    <t>Compared_All_Platforms_TH_v3.0.xlsx!All_Datasets row 102 (DS-101)</t>
  </si>
  <si>
    <t>DS-102</t>
  </si>
  <si>
    <t>SVRDD (Street View Road Damage Dataset)</t>
  </si>
  <si>
    <t>Zenodo record 10100129 [GPT] | YOLO conversion of SVRDD [GPT]</t>
  </si>
  <si>
    <t>object detection; urban road damage mapping [GPT] | Object_Detection [GPT]</t>
  </si>
  <si>
    <t>Baidu street-view imaging system [GPT] | Baidu Street View imagery [GPT]</t>
  </si>
  <si>
    <t>Six road-damage categories; 20,804 annotated instances [GPT] | Seven object classes; 20,804 labeled objects; train/validation/test split 6,000/1,000/1,000 [GPT]</t>
  </si>
  <si>
    <t>bounding boxes; exact file schema NR [GPT] | YOLO text annotations; JSON metadata; image files [GPT]</t>
  </si>
  <si>
    <t>8000</t>
  </si>
  <si>
    <t>China; Beijing: Dongcheng; Xicheng; Haidian; Chaoyang; Fengtai [GPT] | Five districts of Beijing [GPT]; Road environment: Urban street network [GPT] | Urban_Road [GPT]</t>
  </si>
  <si>
    <t>Single-city coverage; class imbalance; street-view licensing/reuse context should be reviewed [GPT] | Single metropolitan area; Street View image age and capture conditions are not consistently documented; no PCI, IRI, IMU, or maintenance records. [GPT]</t>
  </si>
  <si>
    <t>https://zenodo.org/records/10100129</t>
  </si>
  <si>
    <t>Compared_All_Platforms_TH_v3.0.xlsx!All_Datasets row 103 (DS-102)</t>
  </si>
  <si>
    <t>DS-103</t>
  </si>
  <si>
    <t>taroii/pothole-detection</t>
  </si>
  <si>
    <t>Pothole detection labels (per repo name/task)</t>
  </si>
  <si>
    <t>Dataset card empty (default placeholder text); license, count, provenance, and release year not reported; retained as supplementary because identity and access route are clear</t>
  </si>
  <si>
    <t>https://huggingface.co/datasets/taroii/pothole-detection</t>
  </si>
  <si>
    <t>Compared_All_Platforms_TH_v3.0.xlsx!All_Datasets row 104 (DS-103)</t>
  </si>
  <si>
    <t>DS-104</t>
  </si>
  <si>
    <t>Unified Road Defect Dataset</t>
  </si>
  <si>
    <t>main / 30,186-image merged release</t>
  </si>
  <si>
    <t>Vehicle-mounted camera; UAV/drone; source-dependent platforms</t>
  </si>
  <si>
    <t>Unified five-class road-defect taxonomy mapped from RDD2022; UAV-PDD2023; RoadDamageVision</t>
  </si>
  <si>
    <t>Mixed (CC BY-SA 4.0; CC BY 4.0)</t>
  </si>
  <si>
    <t>30186</t>
  </si>
  <si>
    <t>Multiple; China; Japan; India; Czech Republic; Norway; United States; other source-covered countries; Road environment: Mixed</t>
  </si>
  <si>
    <t>Mixed licenses and acquisition protocols; source-specific collection dates and environmental conditions are incomplete; auxiliary engineering indicators are not distributed.</t>
  </si>
  <si>
    <t>https://huggingface.co/datasets/TamAko783/Unified_Road_Defect_Dataset</t>
  </si>
  <si>
    <t>Compared_All_Platforms_TH_v3.0.xlsx!All_Datasets row 105 (DS-104)</t>
  </si>
  <si>
    <t>DS-105</t>
  </si>
  <si>
    <t>Unified_Road_Defect_FRDC_Pseudolabeled_v2</t>
  </si>
  <si>
    <t>v2</t>
  </si>
  <si>
    <t>Object_Detection; Pseudo_Labeling</t>
  </si>
  <si>
    <t>Pseudo-label ensemble aligned with the Unified Road Defect Dataset taxonomy</t>
  </si>
  <si>
    <t>Multiple; Same geographic coverage as Unified Road Defect Dataset; Road environment: Mixed</t>
  </si>
  <si>
    <t>Synthetic/pseudo-label derivative rather than independent ground truth; label uncertainty and license inheritance require explicit downstream review.</t>
  </si>
  <si>
    <t>https://huggingface.co/datasets/TamAko783/Unified_Road_Defect_FRDC_Pseudolabeled_v2</t>
  </si>
  <si>
    <t>Compared_All_Platforms_TH_v3.0.xlsx!All_Datasets row 106 (DS-105)</t>
  </si>
  <si>
    <t>DS-106</t>
  </si>
  <si>
    <t>varcoder/crack-segmentation-dataset</t>
  </si>
  <si>
    <t>main (commits Jul 2023)</t>
  </si>
  <si>
    <t>Semantic segmentation</t>
  </si>
  <si>
    <t>Binary crack masks (image + label mask per viewer schema)</t>
  </si>
  <si>
    <t>Parquet (image, label mask)</t>
  </si>
  <si>
    <t>11298</t>
  </si>
  <si>
    <t>No dataset card ('More Information needed'); no license, provenance, or collection context; likely aggregation of existing crack datasets but composition undocumented; unsuitable for primary ranking</t>
  </si>
  <si>
    <t>https://huggingface.co/datasets/varcoder/crack-segmentation-dataset</t>
  </si>
  <si>
    <t>Compared_All_Platforms_TH_v3.0.xlsx!All_Datasets row 107 (DS-106)</t>
  </si>
  <si>
    <t>DS-107</t>
  </si>
  <si>
    <t>A test data used in A Unified 3D Visualization of Surface and Subsurface Pavement Distress by Fusing Video and Ground-Penetrating Radar Data</t>
  </si>
  <si>
    <t>Multimodal_Fusion;3D_Visualization</t>
  </si>
  <si>
    <t>Vehicle_Mounted_Camera;GPR</t>
  </si>
  <si>
    <t>MP4_Video;GPR_ARD;TXT</t>
  </si>
  <si>
    <t>The Zenodo description field is completely empty - all interpretation rests on the record title and file names; it is a single-swath demonstration sample rather than a training corpus; no annotations, no class list, no geography and no acquisition parameters; one filename uses non-ASCII characters that may complicate automated extraction</t>
  </si>
  <si>
    <t>Zenodo</t>
  </si>
  <si>
    <t>https://zenodo.org/records/18241476</t>
  </si>
  <si>
    <t>Compared_All_Platforms_TH_v3.0.xlsx!All_Datasets row 108 (DS-107)</t>
  </si>
  <si>
    <t>DS-108</t>
  </si>
  <si>
    <t>Asphalt Pavement Crack Segmentation Dataset for Mobile Road Distress Assessment</t>
  </si>
  <si>
    <t>Semantic_Segmentation;Edge_Deployment</t>
  </si>
  <si>
    <t>Vehicle_Mounted_Camera;Smartphone_Handheld</t>
  </si>
  <si>
    <t>Binary pixel mask: crack/distress pixels vs background</t>
  </si>
  <si>
    <t>PNG_Mask</t>
  </si>
  <si>
    <t>2209</t>
  </si>
  <si>
    <t>Country and collection site not reported; binary masks only, so no distress-type discrimination; no reported performance value for the DeepLabV3 model named in the record</t>
  </si>
  <si>
    <t>https://zenodo.org/records/20040434</t>
  </si>
  <si>
    <t>Compared_All_Platforms_TH_v3.0.xlsx!All_Datasets row 109 (DS-108)</t>
  </si>
  <si>
    <t>DS-109</t>
  </si>
  <si>
    <t>BD-PaveSurface: Multi-Weather Pavement Surface Image Dataset (Bangladesh)</t>
  </si>
  <si>
    <t>1.0 [Claude] | v1 [GPT]</t>
  </si>
  <si>
    <t>Image_Classification [Claude] | Classification;Pavement condition assessment [GPT]</t>
  </si>
  <si>
    <t>Smartphone_Handheld [Claude] | Camera platform NR [GPT]</t>
  </si>
  <si>
    <t>3 image-level classes: Crack;Pothole;Good [Claude] | Crack;pothole;good pavement condition [GPT]</t>
  </si>
  <si>
    <t>Folder_Class_Labels</t>
  </si>
  <si>
    <t>21000</t>
  </si>
  <si>
    <t>Bangladesh; National Highways N5 and N6; Road environment: Highway [Claude] | National highways;multi-weather pavement surface [GPT]</t>
  </si>
  <si>
    <t>Image-level class labels only - no bounding boxes or masks, so it cannot support detection or segmentation; 12,000 of the 21,000 images are augmentations of the 9,000 raw images, so effective independent sample size is 9,000; 41.35 GB single archive; per-split counts not reported; handheld capture not representative of vehicle-mounted sensing [Claude] | Recent record with limited reuse evidence; image count, resolution, sensor, annotation method, quality control, and license were not verified in accessible authoritative text. [GPT]</t>
  </si>
  <si>
    <t>https://zenodo.org/records/18735883</t>
  </si>
  <si>
    <t>Compared_All_Platforms_TH_v3.0.xlsx!All_Datasets row 110 (DS-109)</t>
  </si>
  <si>
    <t>DS-110</t>
  </si>
  <si>
    <t>BR-AsPavDam - Brazilian Asphalt Pavement Damage Dataset</t>
  </si>
  <si>
    <t>Vehicle_Mounted_Camera</t>
  </si>
  <si>
    <t>DNIT guideline classes: Fissures;Shoving;Ravelling;Pothole;Patch</t>
  </si>
  <si>
    <t>YOLO_TXT_BBox</t>
  </si>
  <si>
    <t>Brazil; Cascavel, Parana; Road environment: Urban</t>
  </si>
  <si>
    <t>Image count not reported in record; single city; author-declared class imbalance and weather/location bias; best-model architecture not named alongside the reported mAP@50</t>
  </si>
  <si>
    <t>https://zenodo.org/records/16291115</t>
  </si>
  <si>
    <t>Compared_All_Platforms_TH_v3.0.xlsx!All_Datasets row 111 (DS-110)</t>
  </si>
  <si>
    <t>DS-111</t>
  </si>
  <si>
    <t>CAMBER Road Survey Video 1 and Route 1</t>
  </si>
  <si>
    <t>Zenodo 18704114, v1.0, 19 February 2026; Video 1 and Route 1 only</t>
  </si>
  <si>
    <t>Object_Detection;Geo_Referenced_Defect_Mapping [Claude] | Object detection; GPS-based mapping [CodeX]</t>
  </si>
  <si>
    <t>Smartphone_Handheld;Vehicle_Mounted_Camera [Claude] | Mobile device [CodeX]</t>
  </si>
  <si>
    <t>YOLOv8 detection classes: manhole;pothole;speedbreaker;potholes (note the duplicated pothole/potholes class label in the source record) [Claude] | Model-detected classes [CodeX]</t>
  </si>
  <si>
    <t>CSV_Detection_Results [Claude] | MP4; CSV; GPX [CodeX]</t>
  </si>
  <si>
    <t>CC-BY-4.0 [Claude] | Creative Commons Attribution 4.0 International [CodeX]</t>
  </si>
  <si>
    <t>Metadata_Only [Claude] | Restricted [CodeX]</t>
  </si>
  <si>
    <t>0.93-hour, 10.90-km survey. Two metadata files; payload via external/requested route.</t>
  </si>
  <si>
    <t>European road networks (CAMBER project, Horizon Europe GA 101156387); Road environment: Road survey route</t>
  </si>
  <si>
    <t>The Zenodo records are DOI landing pages only - each contains just 1-2 small metadata .txt files and the data payload is reachable only through expiring S3 presigned URLs, so long-term access is not assured; labels are unverified automatic YOLOv8 outputs rather than human ground truth; the class list duplicates pothole as both 'pothole' and 'potholes'; 66 sibling records were collapsed into this single row and are itemised in the Exclusion_Log [Claude] | Files restricted; linked S3 URLs are expired; location and data volume unresolved. [CodeX] Assessment covers Video 1 documentation only. Do not generalize the grade to all 67 sibling records.</t>
  </si>
  <si>
    <t>https://zenodo.org/records/18704114</t>
  </si>
  <si>
    <t>Compared_All_Platforms_TH_v3.0.xlsx!All_Datasets row 112 (DS-111)</t>
  </si>
  <si>
    <t>DS-112</t>
  </si>
  <si>
    <t>CUPAC - The Coventry University Public Road Data Set for Automated Cars</t>
  </si>
  <si>
    <t>Unlabeled-13</t>
  </si>
  <si>
    <t>CUPAC Zenodo 3383693 v1, 3 October 2019</t>
  </si>
  <si>
    <t>Unlabeled camera/sensor footage for representation learning or adding pavement labels</t>
  </si>
  <si>
    <t>Vehicle_Mounted_Camera;MLS;Smartphone_Handheld</t>
  </si>
  <si>
    <t>NR - no pavement distress taxonomy; the release targets vehicle dynamics and environmental perception rather than distress labelling</t>
  </si>
  <si>
    <t>United Kingdom; Coventry; Road environment: Urban</t>
  </si>
  <si>
    <t>No pavement distress or condition annotations - road surface condition is described as a varied capture circumstance rather than a labelled target, which is why this is Supplementary; approximately 112 GB across four RAR archives; 2019 collection sits near the start of the project year range Unlabeled-13 is the declared use profile. Sensor measurements can support other tasks requiring a separate prespecified profile.</t>
  </si>
  <si>
    <t>https://zenodo.org/records/3383693</t>
  </si>
  <si>
    <t>Compared_All_Platforms_TH_v3.0.xlsx!All_Datasets row 113 (DS-112)</t>
  </si>
  <si>
    <t>DS-113</t>
  </si>
  <si>
    <t>Dataset for: Asphalt pavement fatigue crack severity classification by infrared thermography and deep learning</t>
  </si>
  <si>
    <t>Image_Classification;Severity_Assessment;Multimodal_Fusion</t>
  </si>
  <si>
    <t>Severity-level labels defined in 00-Label_meaning.txt with image-to-label mappings in 01-All_label.txt</t>
  </si>
  <si>
    <t>TXT_Label_File</t>
  </si>
  <si>
    <t>United States</t>
  </si>
  <si>
    <t>Image count, resolution and collection geography not reported in the Zenodo record; severity classification only, no localization; performance figures live in the journal article rather than the data record</t>
  </si>
  <si>
    <t>https://zenodo.org/records/11625865</t>
  </si>
  <si>
    <t>Compared_All_Platforms_TH_v3.0.xlsx!All_Datasets row 114 (DS-113)</t>
  </si>
  <si>
    <t>DS-114</t>
  </si>
  <si>
    <t>Dataset for: Deep learning and infrared thermography for asphalt pavement crack severity classification</t>
  </si>
  <si>
    <t>Image count, resolution and collection geography not reported in the Zenodo record; severity classification only, no localization; substantial content overlap with ZEN-014 is possible but is not documented by either record, so the two are retained separately</t>
  </si>
  <si>
    <t>https://zenodo.org/records/11625820</t>
  </si>
  <si>
    <t>Compared_All_Platforms_TH_v3.0.xlsx!All_Datasets row 115 (DS-114)</t>
  </si>
  <si>
    <t>DS-115</t>
  </si>
  <si>
    <t>Ecuador Pavement Damage Dataset (EPDD)</t>
  </si>
  <si>
    <t>Object_Detection;Transfer_Learning</t>
  </si>
  <si>
    <t>Smartphone_Handheld;Vehicle_Mounted_Camera</t>
  </si>
  <si>
    <t>6 classes, IDs 0-5: Pothole;Block Crack;Longitudinal Crack;Transverse Crack;Patching;Alligator Crack</t>
  </si>
  <si>
    <t>1295</t>
  </si>
  <si>
    <t>Ecuador; Ambato;Quito;Loja;Santo Domingo;Manta;Puyo;Zamora; Road environment: Urban</t>
  </si>
  <si>
    <t>Small (1,295 images); train/validation split only, no held-out test split; 4 downloads at search date; capture device model and resolution not reported</t>
  </si>
  <si>
    <t>https://zenodo.org/records/20454801</t>
  </si>
  <si>
    <t>Compared_All_Platforms_TH_v3.0.xlsx!All_Datasets row 116 (DS-115)</t>
  </si>
  <si>
    <t>DS-116</t>
  </si>
  <si>
    <t>Flexible Pavement Distress Image Dataset Featuring Alligator Cracks and Edge Failures from National Highway N6, Bangladesh Part 1</t>
  </si>
  <si>
    <t>Part 1</t>
  </si>
  <si>
    <t>Smartphone_Handheld</t>
  </si>
  <si>
    <t>3 image-level classes: alligator cracking;edge breaking;normal pavement</t>
  </si>
  <si>
    <t>24000</t>
  </si>
  <si>
    <t>Bangladesh; Pabna District, National Highway N6; Road environment: Urban;Highway</t>
  </si>
  <si>
    <t>Image-level labels only, no localization; half the images (12,000) are augmentations, so effective independent sample size is 12,000; 14.33 GB single archive; Part 1 and Part 2 carry near-identical descriptions each claiming 24,000 images with no stated relationship between the two, leaving the combined extent ambiguous</t>
  </si>
  <si>
    <t>https://zenodo.org/records/18072573</t>
  </si>
  <si>
    <t>Compared_All_Platforms_TH_v3.0.xlsx!All_Datasets row 117 (DS-116)</t>
  </si>
  <si>
    <t>DS-117</t>
  </si>
  <si>
    <t>Flexible Pavement Distress Image Dataset Featuring Alligator Cracks and Edge Failures from National Highway N6, Bangladesh Part 2</t>
  </si>
  <si>
    <t>Part 2</t>
  </si>
  <si>
    <t>Image-level labels only, no localization; half the images are augmentations; 48.98 GB single archive is the heaviest download in this batch; description is near-identical to Part 1 and also claims 24,000 images, so the relationship between the two parts and the true combined total is unresolved</t>
  </si>
  <si>
    <t>https://zenodo.org/records/18114226</t>
  </si>
  <si>
    <t>Compared_All_Platforms_TH_v3.0.xlsx!All_Datasets row 118 (DS-117)</t>
  </si>
  <si>
    <t>DS-118</t>
  </si>
  <si>
    <t>Forest Roads Rindbach</t>
  </si>
  <si>
    <t>Condition_Indicator_Extraction;Trafficability_Analysis</t>
  </si>
  <si>
    <t>Tabular condition survey and bearing-capacity measurements under dry and wet conditions, joined to 5 m road segments</t>
  </si>
  <si>
    <t>CSV;GeoPackage;GeoTIFF</t>
  </si>
  <si>
    <t>Austria; Rindbach, Upper Austria; Road environment: Forest_Road</t>
  </si>
  <si>
    <t>Unpaved forest roads rather than asphalt or concrete pavement, so transfer to highway pavement distress work is weak; condition data are tabular field surveys joined to segments, not image annotations - the photogrammetry images are inputs to a DTM rather than a labelled image corpus; single catchment</t>
  </si>
  <si>
    <t>https://zenodo.org/records/17189667</t>
  </si>
  <si>
    <t>Compared_All_Platforms_TH_v3.0.xlsx!All_Datasets row 119 (DS-118)</t>
  </si>
  <si>
    <t>DS-119</t>
  </si>
  <si>
    <t>Fused Image dataset for convolutional neural Network-based crack Detection (FIND)</t>
  </si>
  <si>
    <t>Semantic segmentation;Multimodal image fusion</t>
  </si>
  <si>
    <t>3D pavement imaging system; exact platform NR</t>
  </si>
  <si>
    <t>Raw intensity image;raw range image;filtered range image;fused image;ground-truth crack map</t>
  </si>
  <si>
    <t>2500</t>
  </si>
  <si>
    <t>Road environment: Pavement surface crack imagery</t>
  </si>
  <si>
    <t>Geographic coverage, acquisition conditions, annotation workflow, quality control, license, and exact sensor specifications are not reported in accessible record text.</t>
  </si>
  <si>
    <t>https://zenodo.org/records/6383044</t>
  </si>
  <si>
    <t>https://doi.org/10.5281/zenodo.6383044</t>
  </si>
  <si>
    <t>Compared_All_Platforms_TH_v3.0.xlsx!All_Datasets row 120 (DS-119)</t>
  </si>
  <si>
    <t>DS-120</t>
  </si>
  <si>
    <t>High-Resolution Pavement Rutting Dataset (HPRD): Transverse Profiles, Lane Edges, and Multi-Algorithm Rut Depths for Asphalt Roads</t>
  </si>
  <si>
    <t>1.0.0</t>
  </si>
  <si>
    <t>Regression;Rut_Depth_Estimation;Algorithm_Benchmarking</t>
  </si>
  <si>
    <t>Survey_Vehicle</t>
  </si>
  <si>
    <t>Per-profile left and right rut depth from three algorithms: AASHTO PP 69-14 five-point;wire model;1.83 m straight-edge</t>
  </si>
  <si>
    <t>NPZ_Grid;NPY_Array;CSV</t>
  </si>
  <si>
    <t>Hong Kong SAR; Road sections H01-H04 and U01-U06; Road environment: Highway;Urban</t>
  </si>
  <si>
    <t>No data files are accessible - the Zenodo record exposes zero files and documents no request route; the image-bearing component is reflected-light intensity and range grids from a line laser system rather than conventional camera imagery; rutting only, no cracking or other distress types; the underlying study's DOI is not given</t>
  </si>
  <si>
    <t>https://zenodo.org/records/20727180</t>
  </si>
  <si>
    <t>Compared_All_Platforms_TH_v3.0.xlsx!All_Datasets row 121 (DS-120)</t>
  </si>
  <si>
    <t>DS-121</t>
  </si>
  <si>
    <t>IRD-Dataset</t>
  </si>
  <si>
    <t>Object_Detection;Instance_Segmentation;Semantic_Segmentation;Image_Classification;GPS_Based_Road_Mapping</t>
  </si>
  <si>
    <t>Dashcam;UAV;Smartphone_Handheld</t>
  </si>
  <si>
    <t>D00_LongitudinalCrack;D10_TransverseCrack;D20_AlligatorCrack;D40_Pothole;SpeedBump</t>
  </si>
  <si>
    <t>YOLO_TXT_BBox;YOLO_Polygon;PNG_Mask</t>
  </si>
  <si>
    <t>4352</t>
  </si>
  <si>
    <t>Iraq; Baghdad; Road environment: Urban</t>
  </si>
  <si>
    <t>Single city (Baghdad); no official train/val/test split provided; no citing publications identified as of search date; image resolution not reported</t>
  </si>
  <si>
    <t>https://zenodo.org/records/21370736</t>
  </si>
  <si>
    <t>Compared_All_Platforms_TH_v3.0.xlsx!All_Datasets row 122 (DS-121)</t>
  </si>
  <si>
    <t>DS-122</t>
  </si>
  <si>
    <t>IRDD: Iraqi Road Damage Dataset for Deep Learning-Based Road Damage Detection</t>
  </si>
  <si>
    <t>v1.0</t>
  </si>
  <si>
    <t>Object_Detection;Domain_Adaptation</t>
  </si>
  <si>
    <t>Dashcam</t>
  </si>
  <si>
    <t>D00;D10;D20;D40 (RDD2022-consistent taxonomy)</t>
  </si>
  <si>
    <t>YOLO_OBB</t>
  </si>
  <si>
    <t>8479</t>
  </si>
  <si>
    <t>Iraq; Wasit Governorate; Road environment: Mixed</t>
  </si>
  <si>
    <t>Single governorate; single sensor type; no GPS metadata reported; 11 downloads as of search date; no peer-reviewed data paper linked</t>
  </si>
  <si>
    <t>https://zenodo.org/records/21167531</t>
  </si>
  <si>
    <t>Compared_All_Platforms_TH_v3.0.xlsx!All_Datasets row 123 (DS-122)</t>
  </si>
  <si>
    <t>DS-123</t>
  </si>
  <si>
    <t>Major South African highway binary crack dataset</t>
  </si>
  <si>
    <t>Binary classification;Transfer learning</t>
  </si>
  <si>
    <t>High-definition road-survey video imagery; extraction platform NR</t>
  </si>
  <si>
    <t>Binary positive crack;negative crack-free</t>
  </si>
  <si>
    <t>Image samples; exact file format NR</t>
  </si>
  <si>
    <t>14000</t>
  </si>
  <si>
    <t>South Africa; Major highway; exact route NR; Road environment: Flexible highway pavement</t>
  </si>
  <si>
    <t>Binary labels do not localize or classify crack types; exact acquisition hardware, image resolution, geographic route, license, and collection conditions are not reported on the record.</t>
  </si>
  <si>
    <t>https://zenodo.org/records/7795975</t>
  </si>
  <si>
    <t>Compared_All_Platforms_TH_v3.0.xlsx!All_Datasets row 124 (DS-123)</t>
  </si>
  <si>
    <t>DS-124</t>
  </si>
  <si>
    <t>Mobile Laser Scanning for Road Pavement Distress Detection, Dataset</t>
  </si>
  <si>
    <t>1.0</t>
  </si>
  <si>
    <t>Point_Cloud_Segmentation;Distress_Detection</t>
  </si>
  <si>
    <t>MLS</t>
  </si>
  <si>
    <t>Manual point-level annotations (Class 3) on five 10 m validation sections</t>
  </si>
  <si>
    <t>LAZ_Point_Cloud</t>
  </si>
  <si>
    <t>CC-BY-NC-SA-4.0</t>
  </si>
  <si>
    <t>Finland; Kirkkonummi</t>
  </si>
  <si>
    <t>No image or image-bearing component - the release is LAZ point clouds only, which fails the project's primary modality rule and is the sole reason for Supplementary rather than Primary classification; only 250 m of road in total; CC-BY-NC-SA licence blocks commercial reuse; the collection year (2019) precedes the 2026 release</t>
  </si>
  <si>
    <t>https://zenodo.org/records/19267189</t>
  </si>
  <si>
    <t>Compared_All_Platforms_TH_v3.0.xlsx!All_Datasets row 125 (DS-124)</t>
  </si>
  <si>
    <t>DS-125</t>
  </si>
  <si>
    <t>Multilevel classification of road pavement</t>
  </si>
  <si>
    <t>Pothole road;crack road;normal road</t>
  </si>
  <si>
    <t>India; Road environment: Road pavement</t>
  </si>
  <si>
    <t>Files are restricted; dataset size, image properties, annotations, acquisition context, license, and quality control cannot be verified.</t>
  </si>
  <si>
    <t>https://zenodo.org/records/15229291</t>
  </si>
  <si>
    <t>Compared_All_Platforms_TH_v3.0.xlsx!All_Datasets row 126 (DS-125)</t>
  </si>
  <si>
    <t>DS-126</t>
  </si>
  <si>
    <t>Pavdistress: Selected Images for Detection and Recognition of Asphalt Pavement Distresses (Morocco)</t>
  </si>
  <si>
    <t>Image_Classification;Object_Detection [Claude] | Object detection; Image classification [CodeX]</t>
  </si>
  <si>
    <t>Survey_Vehicle [Claude] | Road inspection vehicle [CodeX]</t>
  </si>
  <si>
    <t>5 categories: edge cracks;longitudinal cracks;potholes;transverse cracks;road markings [Claude] | Five named road-damage classes [CodeX]</t>
  </si>
  <si>
    <t>YOLO</t>
  </si>
  <si>
    <t>8696</t>
  </si>
  <si>
    <t>Morocco; Eastern Region; Road environment: Road surface</t>
  </si>
  <si>
    <t>Annotation format and annotation method are not stated anywhere in the record; no README, no splits, no checksums, no resolution; annotation quality cannot be verified without downloading and inspecting the 532 MB archive [Claude] | Resource type is Photo rather than Dataset; no annotation format, image resolution, or QA procedure reported. [CodeX]</t>
  </si>
  <si>
    <t>https://zenodo.org/records/18208073</t>
  </si>
  <si>
    <t>Compared_All_Platforms_TH_v3.0.xlsx!All_Datasets row 127 (DS-126)</t>
  </si>
  <si>
    <t>DS-127</t>
  </si>
  <si>
    <t>PavSurface: A reference dataset for the recognition of asphalt pavement distress by an intelligent vehicle</t>
  </si>
  <si>
    <t>Image_Classification;Object_Detection</t>
  </si>
  <si>
    <t>6 deterioration categories: longitudinal cracks;transverse cracks;crocodile skin cracks;potholes;repairs;spalling</t>
  </si>
  <si>
    <t>10000</t>
  </si>
  <si>
    <t>Country and collection site not reported; annotation format not stated; no README, no splits, no checksums; distributed as RAR requiring non-standard extraction; 0 downloads at search date</t>
  </si>
  <si>
    <t>https://zenodo.org/records/20581123</t>
  </si>
  <si>
    <t>Compared_All_Platforms_TH_v3.0.xlsx!All_Datasets row 128 (DS-127)</t>
  </si>
  <si>
    <t>DS-128</t>
  </si>
  <si>
    <t>Road Condition Image Dataset</t>
  </si>
  <si>
    <t>Anomaly_Detection</t>
  </si>
  <si>
    <t>MLS;Vehicle_Mounted_Camera</t>
  </si>
  <si>
    <t>No license declared, so reuse terms are legally undetermined; the record is a two-sentence description with no class list, no counts, no annotation format and no geography; distress labels are not evidenced on the record and usage is deferred entirely to an external GitHub repository</t>
  </si>
  <si>
    <t>https://zenodo.org/records/7681876</t>
  </si>
  <si>
    <t>Compared_All_Platforms_TH_v3.0.xlsx!All_Datasets row 129 (DS-128)</t>
  </si>
  <si>
    <t>DS-129</t>
  </si>
  <si>
    <t>Road Damage Dataset: Potholes, Cracks and Manholes (Arcioni)</t>
  </si>
  <si>
    <t>Version 4</t>
  </si>
  <si>
    <t>Object_Detection;Instance_Segmentation;Oriented_Bounding_Box_Detection [Claude] | Object detection;Cross-device generalisation [Claude] | Object detection;Benchmarking [GPT]</t>
  </si>
  <si>
    <t>Vehicle_Mounted_Camera;Smartphone_Handheld [Claude] | Vehicle-mounted action camera (GoPro HERO7);Handheld smartphone (Samsung Galaxy A14, stationary capture) [Claude] | Vehicle-mounted GoPro HERO7;stationary Samsung Galaxy A14 smartphone [GPT]</t>
  </si>
  <si>
    <t>Class 0 = Pothole; Class 1 = Crack; Class 2 = Manhole [Claude] | 3-class YOLO taxonomy: class 0 pothole;class 1 crack;class 2 manhole [Claude] | Three YOLO object classes: pothole;crack;manhole [GPT]</t>
  </si>
  <si>
    <t>YOLO_TXT_BBox;YOLO_Polygon;COCO_JSON [Claude] | YOLO TXT [Claude] | YOLO annotations;images [GPT]</t>
  </si>
  <si>
    <t>CC-BY-4.0 [Claude] | MIT [Claude] | MIT License [GPT]</t>
  </si>
  <si>
    <t>Direct_Download [Claude] | Registration [Claude/GPT]</t>
  </si>
  <si>
    <t>2000</t>
  </si>
  <si>
    <t>Italy; Rome;Sacrofano; Road environment: Urban;Suburban;Rural [Claude] | Urban;Rural [Claude] | Urban and suburban roads [GPT]</t>
  </si>
  <si>
    <t>Image count not reported; low capture resolution (640x360) limits fine crack detail; no explicit train/val/test split; no quantified inter-annotator agreement [Claude] | Image count stated only as '2,000+' in the subtitle while the record lists 6,031 files; annotation protocol and inter-annotator checks not described; single metropolitan region [Claude] | Kaggle is a mirror of the Zenodo dataset; the exact image count, annotation quality control, collection dates, and sensor metadata are not reported in accessible evidence. [GPT]</t>
  </si>
  <si>
    <t>Possible mirror; identity unresolved (DS-129, DS-170)</t>
  </si>
  <si>
    <t>Zenodo; Kaggle</t>
  </si>
  <si>
    <t>https://zenodo.org/records/18528034</t>
  </si>
  <si>
    <t>Compared_All_Platforms_TH_v3.0.xlsx!All_Datasets row 130 (DS-129)</t>
  </si>
  <si>
    <t>DS-130</t>
  </si>
  <si>
    <t>RoadAb-India 2026: A Multi-Layer Road Abnormality Dataset with Object Annotations, Severity Labels, and Geospatial Context</t>
  </si>
  <si>
    <t>Object_Detection;Multi_Label_Classification;Severity_Prediction;Metadata_Aware_Learning</t>
  </si>
  <si>
    <t>6 abnormality classes plus 4 metadata layers (Layer 0 raw image; Layer 1 object annotation; Layer 2 semantic; Layer 3 geospatial and road context)</t>
  </si>
  <si>
    <t>Normalized_BBox</t>
  </si>
  <si>
    <t>2074</t>
  </si>
  <si>
    <t>India; Tamil Nadu;Delhi;Maharashtra; Road environment: Urban;Residential;Rural;Highway</t>
  </si>
  <si>
    <t>No data files are accessible - the Zenodo record exposes zero files and documents no request route, so every content claim is unverifiable; 0 downloads; classified Supplementary solely on access grounds despite unusually rich documented metadata design</t>
  </si>
  <si>
    <t>https://zenodo.org/records/21701636</t>
  </si>
  <si>
    <t>Compared_All_Platforms_TH_v3.0.xlsx!All_Datasets row 131 (DS-130)</t>
  </si>
  <si>
    <t>DS-131</t>
  </si>
  <si>
    <t>RoadDefects-ISeg: Dataset for Instance Segmentation of Road Surface Defects</t>
  </si>
  <si>
    <t>Instance_Segmentation [Claude] | Instance segmentation;Object detection [GPT]</t>
  </si>
  <si>
    <t>Composite from Roboflow and Kaggle source datasets</t>
  </si>
  <si>
    <t>4 classes at 250 images each: Crack;Lane;Pothole;Speed_Breaker [Claude] | Four balanced classes;250 images per class [GPT]</t>
  </si>
  <si>
    <t>YOLO_Polygon [Claude] | YOLO segmentation labels;train/validation/test split [GPT]</t>
  </si>
  <si>
    <t>CC-BY-4.0 [Claude] | CC BY 4.0 [GPT]</t>
  </si>
  <si>
    <t>1000</t>
  </si>
  <si>
    <t>Multi-source; Road environment: Mixed road imagery from public source datasets</t>
  </si>
  <si>
    <t>Aggregated from third-party Roboflow Universe and Kaggle sources, so acquisition geography, devices, dates and conditions are entirely undocumented; small (1,000 images); the stated CC-BY-4.0 license and the record's research-and-academic-use-only statement are in tension; Lane and Speed_Breaker are not pavement distresses [Claude] | Composite derivative mixing defects with lane and speed-breaker objects; provenance, duplication, geographic coverage, and source-license compatibility require detailed audit. [GPT]</t>
  </si>
  <si>
    <t>https://zenodo.org/records/17194814</t>
  </si>
  <si>
    <t>Compared_All_Platforms_TH_v3.0.xlsx!All_Datasets row 132 (DS-131)</t>
  </si>
  <si>
    <t>DS-132</t>
  </si>
  <si>
    <t>UAV Road Defect Segmentation Dataset (RDD2022-derived)</t>
  </si>
  <si>
    <t>Semantic_Segmentation;Contour_Extraction [Claude] | Semantic segmentation [GPT] | Semantic segmentation; Contour extraction; downstream geospatial road inspection workflows using UAV imagery [CodeX]</t>
  </si>
  <si>
    <t>Derived from smartphone/vehicle road imagery; UAV wording in title is not treated as acquisition evidence [GPT] | UAV [CodeX]</t>
  </si>
  <si>
    <t>Binary pixel mask for crack-like road surface defects [Claude] | Pixel-level defect masks; exact classes NR [GPT] | Binary segmentation masks [CodeX]</t>
  </si>
  <si>
    <t>PNG_Mask [Claude] | Pixel-level masks; exact file format NR [GPT] | JPG; PNG [CodeX]</t>
  </si>
  <si>
    <t>Multi-country; inherited from RDD2022; Road environment: Road surface imagery derived from RDD2022 [GPT] | Road surface [CodeX]</t>
  </si>
  <si>
    <t>Only 400 images; the title asserts UAV imagery while the description states derivation from RDD2022, which is a vehicle-mounted and smartphone-collected benchmark - this contradiction is unresolved and Acquisition_Platform is therefore recorded as UNK; binary masks only; geography inherited from RDD2022 but not stated [Claude] | Derivative dataset with unresolved overlap, class mapping, image count, license compatibility, and provenance details; title may imply UAV data although source imagery is RDD2022-derived. [GPT] | Derived subset; geographic provenance, defect taxonomy, resolution, and QA process not stated in canonical record. [CodeX]</t>
  </si>
  <si>
    <t>https://zenodo.org/records/17952339</t>
  </si>
  <si>
    <t>Compared_All_Platforms_TH_v3.0.xlsx!All_Datasets row 133 (DS-132)</t>
  </si>
  <si>
    <t>DS-133</t>
  </si>
  <si>
    <t>UAV-7Band-Road-Site-Orthomosaics</t>
  </si>
  <si>
    <t>Material_Classification;Spectral_Feature_Analysis</t>
  </si>
  <si>
    <t>UAV</t>
  </si>
  <si>
    <t>Site-level material and condition labels only: A1 asphalt good;A2 asphalt poor;A3 asphalt poor with drainage ditch;C1 concrete;CB1 concrete block;SB1 stone block</t>
  </si>
  <si>
    <t>GeoTIFF</t>
  </si>
  <si>
    <t>6</t>
  </si>
  <si>
    <t>Poland</t>
  </si>
  <si>
    <t>Condition information exists only as a coarse good/poor label attached to each of six whole sites - there are no distress annotations, no per-pixel or per-object labels and no condition index, so it cannot train or evaluate distress detection; six orthomosaics is a very small sample</t>
  </si>
  <si>
    <t>https://zenodo.org/records/20687211</t>
  </si>
  <si>
    <t>Compared_All_Platforms_TH_v3.0.xlsx!All_Datasets row 134 (DS-133)</t>
  </si>
  <si>
    <t>DS-134</t>
  </si>
  <si>
    <t>UAV-Based Imagery for Road Damage Detection (Poland)</t>
  </si>
  <si>
    <t>1.0 [Claude/CodeX] | v1 [GPT]</t>
  </si>
  <si>
    <t>Object_Detection [Claude] | Object detection;Holdout evaluation [GPT] | Object detection [CodeX]</t>
  </si>
  <si>
    <t>UAV [Claude/CodeX] | UAV at approximately 70 m;orthophotomosaic generation [GPT]</t>
  </si>
  <si>
    <t>Object classes as proposed in the UAPD Pavement Distress Dataset [Claude] | UAPD-derived object classes [GPT] | UAPD-proposed classes [CodeX]</t>
  </si>
  <si>
    <t>PASCAL_VOC_XML;YOLO_TXT_BBox [Claude] | PASCAL VOC XML;YOLO TXT;GeoTIFF orthophotomosaics [GPT] | PASCAL VOC; YOLO [CodeX]</t>
  </si>
  <si>
    <t>99</t>
  </si>
  <si>
    <t>Poland; Poznan [Claude] | Poznań [GPT/CodeX]; Road environment: Urban roads;three road areas [GPT] | Road surface [CodeX]</t>
  </si>
  <si>
    <t>Only 99 labelled patches from three road sections in a single city - far too small for training, usable mainly as a holdout or evaluation set; specific UAPD class list not enumerated in the record; 70 m nadir viewpoint is remote from vehicle-level CAV sensing [Claude] | Small labeled holdout set; exact distress class counts and license are not reported in accessible indexed evidence; aerial viewpoint limits direct transfer to forward-facing CAV imagery. [GPT] | Small labeled-patch count; class breakdown and QA procedure not reported; holdout use stated. [CodeX]</t>
  </si>
  <si>
    <t>https://zenodo.org/records/11473582</t>
  </si>
  <si>
    <t>Compared_All_Platforms_TH_v3.0.xlsx!All_Datasets row 135 (DS-134)</t>
  </si>
  <si>
    <t>UAV-PDD2023: Benchmark Dataset for Pavement Distress Detection Based on UAV Images</t>
  </si>
  <si>
    <t>Object_Detection;Image_Classification [Claude] | Object detection;Classification;Benchmarking [GPT] | Object detection; Image classification [CodeX] | object detection [Test_Batch]</t>
  </si>
  <si>
    <t>UAV [Claude/CodeX] | UAV at 30 m altitude [GPT] | UAV at approximately 30 m altitude [Test_Batch]</t>
  </si>
  <si>
    <t>LC;TC;AC;OC;RP;PH (11,158 annotated instances) [Claude] | LC;TC;AC;OC;RP;PH; 11,158 annotated instances [GPT] | Six named damage classes; Longitudinal cracks (LC), Transverse cracks (TC), Alligator cracks (AC), Oblique cracks (OC), Repair (RP), and Potholes (PH). [CodeX] | LC; TC; AC; OC; Repair; Pothole [Test_Batch]</t>
  </si>
  <si>
    <t>PASCAL_VOC_XML [Claude] | PASCAL VOC;images and XML annotations [GPT] | PASCAL VOC [CodeX] | Pascal VOC XML [Test_Batch]</t>
  </si>
  <si>
    <t>2440</t>
  </si>
  <si>
    <t>China; Road environment: Municipal road pavement [GPT] | Road surface [CodeX] | Roadway [Test_Batch]</t>
  </si>
  <si>
    <t>Country and collection site not stated in the record; single fixed UAV altitude (30 m); no train/val/test split, no checksums, no quality-control statement; nadir UAV viewpoint differs substantially from vehicle-level CAV sensing [Claude] | License is not displayed in the accessible record text; image resolution, collection geography, dates, and annotation quality-control procedure are not reported. [GPT] | No image resolution, collection location, or QA procedure reported on canonical record. [CodeX] | Modest size and UAV-only viewpoint; no road-condition index or synchronized navigation metadata reported. [Test_Batch]</t>
  </si>
  <si>
    <t>Parent and segmentation derivative (DS-135, DS-175)</t>
  </si>
  <si>
    <t>https://zenodo.org/records/8429208</t>
  </si>
  <si>
    <t>https://doi.org/10.1016/j.dib.2023.109692</t>
  </si>
  <si>
    <t>Compared_All_Platforms_TH_v3.0.xlsx!All_Datasets row 136 (DS-135)</t>
  </si>
  <si>
    <t>DS-136</t>
  </si>
  <si>
    <t>Weakly-Supervised Crack Detection Dataset</t>
  </si>
  <si>
    <t>Weakly supervised crack detection;Semantic segmentation</t>
  </si>
  <si>
    <t>Derived annotations for existing datasets</t>
  </si>
  <si>
    <t>Rough crack annotations for weak supervision</t>
  </si>
  <si>
    <t>Rough ground-truth annotations; exact format NR</t>
  </si>
  <si>
    <t>Multi-source; Road environment: Mixed crack-image source datasets</t>
  </si>
  <si>
    <t>Derived annotation package rather than an independently collected road dataset; underlying dataset identities, overlap, licensing, image counts, and pavement-only scope require file-level audit.</t>
  </si>
  <si>
    <t>https://zenodo.org/records/4244084</t>
  </si>
  <si>
    <t>Compared_All_Platforms_TH_v3.0.xlsx!All_Datasets row 137 (DS-136)</t>
  </si>
  <si>
    <t>DS-137</t>
  </si>
  <si>
    <t>Weather Adverse Road Defect Semantic Segmentation</t>
  </si>
  <si>
    <t>1.0 [Claude] | Version 3 [Claude]</t>
  </si>
  <si>
    <t>Semantic_Segmentation;Instance_Segmentation;Robustness_Benchmarking [Claude] | Semantic segmentation;Instance segmentation;Robustness benchmarking [Claude]</t>
  </si>
  <si>
    <t>Vehicle_Mounted_Camera [Claude] | Action camera (GoPro), video frames [Claude]</t>
  </si>
  <si>
    <t>9 class IDs: 0 bg;1 cracks;2 cracks_alligator;3 cracks_severe;4 edge_cracks;5 fretting;6 pothole;7 manhole;8 pole_shadow [Claude] | 9-class semantic taxonomy: 0 bg;1 cracks;2 cracks_alligator;3 cracks_severe;4 edge_cracks;5 fretting;6 pothole;7 manhole;8 pole_shadow [Claude]</t>
  </si>
  <si>
    <t>PNG_Mask;Instance_Mask [Claude] | Single-channel grayscale semantic masks (class IDs);grayscale instance masks (object IDs);RGB preview masks;metadata.csv [Claude]</t>
  </si>
  <si>
    <t>CC-BY-4.0 [Claude] | Apache 2.0 [Claude]</t>
  </si>
  <si>
    <t>Image count and country not reported; positioned by its authors as an inference and robustness benchmark from a Master's thesis rather than a training corpus; 1 download at search date; no published evaluation results accompany the record [Claude] | Described by the author as an inference/robustness benchmark for a Master's thesis rather than a training corpus; country, city and collection dates are not stated; image count is not given (record lists 1,341 files); faces/plates anonymised, which alters pixel content; almost no reuse to date [Claude]</t>
  </si>
  <si>
    <t>https://zenodo.org/records/20365503</t>
  </si>
  <si>
    <t>Compared_All_Platforms_TH_v3.0.xlsx!All_Datasets row 138 (DS-137)</t>
  </si>
  <si>
    <t>DS-138</t>
  </si>
  <si>
    <t>Annotated Potholes Image Dataset</t>
  </si>
  <si>
    <t>Version 1</t>
  </si>
  <si>
    <t>Bounding-box pothole annotations with COCO-style size categories (Small &lt;=1024 px2;Medium 1024-9216 px2;Large &gt;9216 px2) computed after resizing to 300x300</t>
  </si>
  <si>
    <t>Pascal VOC XML with splits.json defining an 80/20 train/test split</t>
  </si>
  <si>
    <t>Database: Open Database, Contents: Database Contents</t>
  </si>
  <si>
    <t>Image provenance, country, sensor and collection dates are entirely undocumented; size categories describe bounding-box area, not physical distress severity; no update since 2020</t>
  </si>
  <si>
    <t>Possible shared MakeML source (DS-138, DS-149)</t>
  </si>
  <si>
    <t>Kaggle</t>
  </si>
  <si>
    <t>https://www.kaggle.com/datasets/chitholian/annotated-potholes-dataset</t>
  </si>
  <si>
    <t>Compared_All_Platforms_TH_v3.0.xlsx!All_Datasets row 139 (DS-138)</t>
  </si>
  <si>
    <t>DS-139</t>
  </si>
  <si>
    <t>Annotated Potholes with Severity Levels</t>
  </si>
  <si>
    <t>Object detection;Severity classification</t>
  </si>
  <si>
    <t>Mixed source imagery; acquisition platform NR</t>
  </si>
  <si>
    <t>Three severity classes defined by risk to road users: minor_pothole;medium_pothole;major_pothole [Claude] | Minor pothole;Medium pothole;Major pothole;1,887 annotated objects [GPT]</t>
  </si>
  <si>
    <t>Pascal VOC XML [Claude] | PASCAL VOC XML bounding boxes [GPT]</t>
  </si>
  <si>
    <t>Database: Open Database, Contents: Database Contents [Claude] | Open Database License; Database Contents License [GPT]</t>
  </si>
  <si>
    <t>717</t>
  </si>
  <si>
    <t>Road environment: Road potholes</t>
  </si>
  <si>
    <t>Enhanced derivative of chitholian/annotated-potholes-dataset, so it inherits that dataset's undocumented image provenance; severity definitions are qualitative; country and collection dates unknown [Claude] | Derived from an earlier 665-image collection; the same pothole may appear from multiple angles, which can cause train-test leakage. Geography and acquisition conditions are not documented. [GPT]</t>
  </si>
  <si>
    <t>https://www.kaggle.com/datasets/idanbaru/annotated-potholes-with-severity-levels</t>
  </si>
  <si>
    <t>Compared_All_Platforms_TH_v3.0.xlsx!All_Datasets row 140 (DS-139)</t>
  </si>
  <si>
    <t>DS-140</t>
  </si>
  <si>
    <t>Asphalt Cracks</t>
  </si>
  <si>
    <t>Unknown</t>
  </si>
  <si>
    <t>An 11.6 GB record with no description, no subtitle, no tags and no licence. Only the title indicates asphalt cracks. Whether labels or ground truth exist at all cannot be determined from the record, so eligibility is unresolved</t>
  </si>
  <si>
    <t>https://www.kaggle.com/datasets/abrahamanderson/asphalt-cracks</t>
  </si>
  <si>
    <t>Compared_All_Platforms_TH_v3.0.xlsx!All_Datasets row 141 (DS-140)</t>
  </si>
  <si>
    <t>DS-141</t>
  </si>
  <si>
    <t>CDAC-DAI Pavement Distress Detection</t>
  </si>
  <si>
    <t>detection</t>
  </si>
  <si>
    <t>Registration [Claude] | Direct_Download [CodeX]</t>
  </si>
  <si>
    <t>29700</t>
  </si>
  <si>
    <t>The record carries no description, no subtitle, no tags and no licence; only the title associates it with C-DAC and pavement distress detection. Nothing about the label schema, geography, sensor or rights can be verified without downloading and inspecting the 59,431 files, so eligibility is unresolved [Claude] | No description, unknown license, and no visible label/taxonomy, modality, provenance, collection, or QC documentation despite a public download control and 59.4k files. [CodeX]</t>
  </si>
  <si>
    <t>https://www.kaggle.com/datasets/shubhamadsul97/cdac-dai-pavement-distress-detection</t>
  </si>
  <si>
    <t>Compared_All_Platforms_TH_v3.0.xlsx!All_Datasets row 142 (DS-141)</t>
  </si>
  <si>
    <t>DS-142</t>
  </si>
  <si>
    <t>CombinedCrack</t>
  </si>
  <si>
    <t>Binary crack segmentation masks over asphalt and other surfaces</t>
  </si>
  <si>
    <t>Paired image and mask directories with train/validation/test folders</t>
  </si>
  <si>
    <t>MIT</t>
  </si>
  <si>
    <t>Aggregate of four sources with differing capture geometry and licensing; asphalt and tile surfaces are mixed with no field distinguishing them; per-source counts and the licence status of each constituent are not stated; image count given only as 'over 1,000'</t>
  </si>
  <si>
    <t>https://www.kaggle.com/datasets/aryanbadiee/combinedcrack</t>
  </si>
  <si>
    <t>Compared_All_Platforms_TH_v3.0.xlsx!All_Datasets row 143 (DS-142)</t>
  </si>
  <si>
    <t>DS-143</t>
  </si>
  <si>
    <t>Custom Multitask Indian Road Dataset (CMIRD)</t>
  </si>
  <si>
    <t>Object detection;Segmentation;Lane understanding</t>
  </si>
  <si>
    <t>Dashboard-mounted action camera (GoPro Hero7) on a vehicle</t>
  </si>
  <si>
    <t>Multi-task annotations over unstructured road scenes covering road surface deterioration, lane markings and heterogeneous traffic; the per-task label schema is not enumerated on the record</t>
  </si>
  <si>
    <t>India; Thiruvananthapuram, Kerala;Nagercoil, Tamil Nadu; Road environment: Urban;Semi-urban;Unstructured road networks</t>
  </si>
  <si>
    <t>Published 2026-06 with minimal uptake; the annotation schema, per-task label counts, image counts and resolution are not stated; non-commercial licence; distress labels are embedded in a broader driving-scene taxonomy</t>
  </si>
  <si>
    <t>https://www.kaggle.com/datasets/ammanaveen/custom-multitask-indian-road-dataset-cmird</t>
  </si>
  <si>
    <t>Compared_All_Platforms_TH_v3.0.xlsx!All_Datasets row 144 (DS-143)</t>
  </si>
  <si>
    <t>DS-144</t>
  </si>
  <si>
    <t>Highway Surface Crack Detection</t>
  </si>
  <si>
    <t>Crack detection;Classification</t>
  </si>
  <si>
    <t>Crack detection, recognition and classification labels;class list not enumerated on the record</t>
  </si>
  <si>
    <t>CC0: Public Domain</t>
  </si>
  <si>
    <t>Road environment: Highways</t>
  </si>
  <si>
    <t>Only the 80/20 train-test split is documented; image counts, resolution, class names, annotation format, country and capture device are all absent; 26 MB total suggests a very small set</t>
  </si>
  <si>
    <t>https://www.kaggle.com/datasets/ziya07/highway-surface-crack-detection</t>
  </si>
  <si>
    <t>Compared_All_Platforms_TH_v3.0.xlsx!All_Datasets row 145 (DS-144)</t>
  </si>
  <si>
    <t>DS-145</t>
  </si>
  <si>
    <t>IIT Goa Pothole Detection &amp; Classification Dataset (RoadSense)</t>
  </si>
  <si>
    <t>Version 2</t>
  </si>
  <si>
    <t>Image classification;Threat-level assessment</t>
  </si>
  <si>
    <t>Aggregated from open-source datasets on Kaggle and GitHub</t>
  </si>
  <si>
    <t>Pothole presence plus threat-level classification</t>
  </si>
  <si>
    <t>Aggregation of other public datasets, so it overlaps other records in this workbook and its constituent sources are not itemised; threat-level class definitions are not given; risk of train/test contamination when combined with its source datasets</t>
  </si>
  <si>
    <t>https://www.kaggle.com/datasets/srajanchourasia/pothole-dataset</t>
  </si>
  <si>
    <t>Compared_All_Platforms_TH_v3.0.xlsx!All_Datasets row 146 (DS-145)</t>
  </si>
  <si>
    <t>DS-146</t>
  </si>
  <si>
    <t>Intersecting-Crack-Analysis</t>
  </si>
  <si>
    <t>Semantic segmentation;Crack feature extraction</t>
  </si>
  <si>
    <t>Segmentation labels for intersecting cracks in asphalt pavement, released alongside feature-extraction source code</t>
  </si>
  <si>
    <t>China; NR (Xinjiang Agricultural University research centre)</t>
  </si>
  <si>
    <t>Licence declarations conflict between the Kaggle field and the description; image counts, resolution and acquisition method are not stated; the associated paper is named in the description but no DOI or URL is given; narrow scope (intersecting cracks only); no reuse to date</t>
  </si>
  <si>
    <t>https://www.kaggle.com/datasets/abdukeram/intersecting-crack-analysis</t>
  </si>
  <si>
    <t>Compared_All_Platforms_TH_v3.0.xlsx!All_Datasets row 147 (DS-146)</t>
  </si>
  <si>
    <t>DS-147</t>
  </si>
  <si>
    <t>MIIA Pothole Image Classification Challenge</t>
  </si>
  <si>
    <t>Binary classification;Benchmarking</t>
  </si>
  <si>
    <t>Vehicle dashboard camera; exact device NR</t>
  </si>
  <si>
    <t>Binary pothole;no pothole;4,026 training images and 1,650 test images</t>
  </si>
  <si>
    <t>Train and test image folders; exact image format NR</t>
  </si>
  <si>
    <t>5676</t>
  </si>
  <si>
    <t>South Africa; Road environment: Road scenes</t>
  </si>
  <si>
    <t>Binary labels do not localize potholes or quantify severity; sensor, resolution, route, collection dates, and license are not reported.</t>
  </si>
  <si>
    <t>Possible shared South African source (DS-147, DS-167)</t>
  </si>
  <si>
    <t>https://www.kaggle.com/datasets/salimhammadi07/miia-pothole-image-classification-challenge</t>
  </si>
  <si>
    <t>Compared_All_Platforms_TH_v3.0.xlsx!All_Datasets row 148 (DS-147)</t>
  </si>
  <si>
    <t>DS-148</t>
  </si>
  <si>
    <t>Post-Earthquake Asphalt Crack Classification</t>
  </si>
  <si>
    <t>Image classification</t>
  </si>
  <si>
    <t>Handheld professional camera (Canon, 24 MP)</t>
  </si>
  <si>
    <t>Image-level crack classes for post-earthquake asphalt deformation; the class list is not enumerated on the record</t>
  </si>
  <si>
    <t>528</t>
  </si>
  <si>
    <t>Turkiye; Kahramanmaras;Hatay;Malatya;Adiyaman;Gaziantep provinces; Road environment: Highways</t>
  </si>
  <si>
    <t>Small (528 images) and specific to seismic damage following the 2023 Kahramanmaras earthquakes rather than routine traffic- and weather-driven deterioration; class names and split are not stated; handheld close-range geometry</t>
  </si>
  <si>
    <t>https://www.kaggle.com/datasets/bandisr/post-earthquake-asphalt-crack-classification</t>
  </si>
  <si>
    <t>Compared_All_Platforms_TH_v3.0.xlsx!All_Datasets row 149 (DS-148)</t>
  </si>
  <si>
    <t>DS-149</t>
  </si>
  <si>
    <t>Pothole Detection (MakeML potholes mirror)</t>
  </si>
  <si>
    <t>Single class: pothole</t>
  </si>
  <si>
    <t>Other (specified in description)</t>
  </si>
  <si>
    <t>665</t>
  </si>
  <si>
    <t>Small single-class dataset described by its author as a proof of concept; source imagery provenance, country and capture conditions are undocumented; no update since 2020</t>
  </si>
  <si>
    <t>https://www.kaggle.com/datasets/andrewmvd/pothole-detection</t>
  </si>
  <si>
    <t>Compared_All_Platforms_TH_v3.0.xlsx!All_Datasets row 150 (DS-149)</t>
  </si>
  <si>
    <t>DS-150</t>
  </si>
  <si>
    <t>Pothole Detection Dataset (Kumar)</t>
  </si>
  <si>
    <t>Web-scraped imagery</t>
  </si>
  <si>
    <t>Two image-level folders: normal (smooth roads from different angles);potholes</t>
  </si>
  <si>
    <t>Folder-per-class image directories</t>
  </si>
  <si>
    <t>Author states the images were scraped from the internet for a college project, so provenance, geography and rights are unresolved despite the CC0 label; only binary folder labels with no bounding boxes or masks; heavily reused (13,597 downloads, 46 notebooks) despite this, which propagates the provenance problem</t>
  </si>
  <si>
    <t>https://www.kaggle.com/datasets/atulyakumar98/pothole-detection-dataset</t>
  </si>
  <si>
    <t>Compared_All_Platforms_TH_v3.0.xlsx!All_Datasets row 151 (DS-150)</t>
  </si>
  <si>
    <t>DS-151</t>
  </si>
  <si>
    <t>Pothole Detection Dataset: YOLOv11 Optimized</t>
  </si>
  <si>
    <t>Sourced via Roboflow Universe</t>
  </si>
  <si>
    <t>Single class: pothole, normalised YOLO bounding boxes</t>
  </si>
  <si>
    <t>YOLO TXT (YOLO11 layout)</t>
  </si>
  <si>
    <t>Attribution 4.0 International (CC BY 4.0)</t>
  </si>
  <si>
    <t>3900</t>
  </si>
  <si>
    <t>Repackaged from Roboflow Universe with no itemised source attribution, so overlap with other pothole datasets cannot be ruled out; image count given only as '3,900+'; country, capture device and dates absent; author designates it for educational and research use</t>
  </si>
  <si>
    <t>https://www.kaggle.com/datasets/muskanverma24/pothole-detection-dataset-yolov11-optimized</t>
  </si>
  <si>
    <t>Compared_All_Platforms_TH_v3.0.xlsx!All_Datasets row 152 (DS-151)</t>
  </si>
  <si>
    <t>DS-152</t>
  </si>
  <si>
    <t>Pothole Image Segmentation Dataset (Kesharwani)</t>
  </si>
  <si>
    <t>Single class: pothole, with polygon segmentation masks</t>
  </si>
  <si>
    <t>YOLOv8 segmentation TXT</t>
  </si>
  <si>
    <t>Apache 2.0</t>
  </si>
  <si>
    <t>1986</t>
  </si>
  <si>
    <t>Source imagery provenance, country and capture device are undocumented; single class; no test split (1,590 train / 381 validation only); minimal reuse to date</t>
  </si>
  <si>
    <t>https://www.kaggle.com/datasets/raunakkesharwani/pothole-image-segmentation-dataset</t>
  </si>
  <si>
    <t>Compared_All_Platforms_TH_v3.0.xlsx!All_Datasets row 153 (DS-152)</t>
  </si>
  <si>
    <t>DS-153</t>
  </si>
  <si>
    <t>Pothole Image Segmentation Dataset (Nekouei)</t>
  </si>
  <si>
    <t>Instance segmentation [Claude] | Semantic segmentation;Object detection [GPT]</t>
  </si>
  <si>
    <t>Sourced via Roboflow Universe [Claude] | Composite or Roboflow-sourced imagery; acquisition platform NR [GPT]</t>
  </si>
  <si>
    <t>Single class: pothole, with polygon segmentation masks [Claude] | Pothole segmentation class [GPT]</t>
  </si>
  <si>
    <t>YOLOv8 segmentation TXT [Claude] | YOLOv8 segmentation format [GPT]</t>
  </si>
  <si>
    <t>780</t>
  </si>
  <si>
    <t>Only 780 images of which 720 are the augmented training split derived from a smaller set of source images; source imagery provenance, country and capture device are undocumented; single class [Claude] | Derived and augmented collection; original image provenance, geography, acquisition conditions, license, and independent annotation quality are incompletely documented. [GPT]</t>
  </si>
  <si>
    <t>https://www.kaggle.com/datasets/farzadnekouei/pothole-image-segmentation-dataset</t>
  </si>
  <si>
    <t>Compared_All_Platforms_TH_v3.0.xlsx!All_Datasets row 154 (DS-153)</t>
  </si>
  <si>
    <t>DS-154</t>
  </si>
  <si>
    <t>Pothole Patrol Normalized Dataset (KHADDA MASTER)</t>
  </si>
  <si>
    <t>Instance segmentation;Damage volume estimation</t>
  </si>
  <si>
    <t>Instance-segmentation polygons for potholes and road degradation, intended to support repair-volume estimation</t>
  </si>
  <si>
    <t>COCO JSON polygon annotations</t>
  </si>
  <si>
    <t>2100</t>
  </si>
  <si>
    <t>Pakistan; Lahore; Road environment: Urban streets</t>
  </si>
  <si>
    <t>The stated 2,100+ image count is after augmentation (horizontal flips, +/-15 degree rotations, +/-15 percent brightness), so the number of independent scenes is smaller and unstated; no camera or collection-date information; almost no reuse to date</t>
  </si>
  <si>
    <t>https://www.kaggle.com/datasets/abdulrahmanksaeed/pothole-patrol-normalized-dataset</t>
  </si>
  <si>
    <t>Compared_All_Platforms_TH_v3.0.xlsx!All_Datasets row 155 (DS-154)</t>
  </si>
  <si>
    <t>DS-155</t>
  </si>
  <si>
    <t>Pothole Severity Classification</t>
  </si>
  <si>
    <t>classification; detection</t>
  </si>
  <si>
    <t>vehicle-mounted inspection context described; actual platform UNK</t>
  </si>
  <si>
    <t>pothole</t>
  </si>
  <si>
    <t>classification</t>
  </si>
  <si>
    <t>517</t>
  </si>
  <si>
    <t>Road environment: road</t>
  </si>
  <si>
    <t>Source is a hackathon derivative; license and label schema are unknown. The page describes vision and 2D/3D concepts but does not document the delivered image/video labels, geographic coverage, or sensor data.</t>
  </si>
  <si>
    <t>https://www.kaggle.com/datasets/gracehephzibahm/pothole-severity-classification</t>
  </si>
  <si>
    <t>Compared_All_Platforms_TH_v3.0.xlsx!All_Datasets row 156 (DS-155)</t>
  </si>
  <si>
    <t>DS-156</t>
  </si>
  <si>
    <t>Pothole, Cracks and Open Manhole</t>
  </si>
  <si>
    <t>Composite or augmented image collection; acquisition platform NR</t>
  </si>
  <si>
    <t>Three classes: pothole;crack;open manhole</t>
  </si>
  <si>
    <t>YOLO TXT;COCO JSON;train and validation folders</t>
  </si>
  <si>
    <t>2700</t>
  </si>
  <si>
    <t>Road environment: Road scenes</t>
  </si>
  <si>
    <t>Augmentation and source provenance are incompletely documented; geographic scope, original image count, acquisition platform, license, and annotation QC are unresolved.</t>
  </si>
  <si>
    <t>https://www.kaggle.com/datasets/sabidrahman/pothole-cracks-and-openmanhole</t>
  </si>
  <si>
    <t>Compared_All_Platforms_TH_v3.0.xlsx!All_Datasets row 157 (DS-156)</t>
  </si>
  <si>
    <t>Pothole vs surrounding road/background.</t>
  </si>
  <si>
    <t>Pixel-level segmentation masks; RGB and transformed disparity</t>
  </si>
  <si>
    <t>Not stated on project page; verify terms on chosen download.</t>
  </si>
  <si>
    <t>600 samples</t>
  </si>
  <si>
    <t>Not specified in accessed project page.</t>
  </si>
  <si>
    <t>Rui Fan and collaborators / HKUST research group</t>
  </si>
  <si>
    <t>ZED stereo capture. Do not confuse with the separate older 67-group stereo-pothole dataset. Useful auxiliary supervision; strict AV-footage criterion unconfirmed.</t>
  </si>
  <si>
    <t>DS-157; D032</t>
  </si>
  <si>
    <t>Same dataset, authorized mirror</t>
  </si>
  <si>
    <t>Other official / repository; Kaggle</t>
  </si>
  <si>
    <t>https://sites.google.com/view/pothole-600/dataset</t>
  </si>
  <si>
    <t>https://arxiv.org/abs/2008.06840</t>
  </si>
  <si>
    <t>Compared_All_Platforms_TH_v3.0.xlsx!All_Datasets row 158 (DS-157); AV_Pavement_Dataset_Inventory.xlsx!Datasets row 38 (D032)</t>
  </si>
  <si>
    <t>DS-158</t>
  </si>
  <si>
    <t>Potholes or Cracks on Road Image Dataset</t>
  </si>
  <si>
    <t>Object detection;Classification</t>
  </si>
  <si>
    <t>Crowdsourced mobile-phone cameras</t>
  </si>
  <si>
    <t>Pothole and crack object classes</t>
  </si>
  <si>
    <t>COCO JSON;YOLO;PASCAL VOC;TFRecord</t>
  </si>
  <si>
    <t>Multi-country or multi-location; exact countries NR; More than 2,000 locations reported; Road environment: Road surfaces;crowdsourced locations</t>
  </si>
  <si>
    <t>Only a public sample is clearly accessible; exact sample count is not reported, and the relationship between the Kaggle sample and the commercially available larger dataset is unresolved.</t>
  </si>
  <si>
    <t>https://www.kaggle.com/datasets/dataclusterlabs/potholes-or-cracks-on-road-image-dataset</t>
  </si>
  <si>
    <t>Compared_All_Platforms_TH_v3.0.xlsx!All_Datasets row 159 (DS-158)</t>
  </si>
  <si>
    <t>DS-159</t>
  </si>
  <si>
    <t>PothRGBD: RGB and Depth Images of Potholes</t>
  </si>
  <si>
    <t>Instance segmentation;Depth-aware measurement;Real-time embedded detection;Model benchmarking</t>
  </si>
  <si>
    <t>Depth camera (Intel RealSense D415)</t>
  </si>
  <si>
    <t>Single-class pothole segmentation with YOLOv8-style polygon labels</t>
  </si>
  <si>
    <t>Country, city and collection dates are not stated; single-sensor single-class dataset; the cited paper reports model results but no metric value is asserted on the Kaggle record</t>
  </si>
  <si>
    <t>https://www.kaggle.com/datasets/mahyeks/pothrgbd-rgb-and-depth-images-of-potholes</t>
  </si>
  <si>
    <t>Compared_All_Platforms_TH_v3.0.xlsx!All_Datasets row 160 (DS-159)</t>
  </si>
  <si>
    <t>PVS - Passive Vehicular Sensors Datasets</t>
  </si>
  <si>
    <t>Good/regular/bad roughness by vehicle side; asphalt/cobblestone/dirt; paved/unpaved; speed-bump classes.</t>
  </si>
  <si>
    <t>One-hot sample labels in dataset_labels.csv; align sensor labels with video.</t>
  </si>
  <si>
    <t>CC BY-NC-ND 4.0 per author repository</t>
  </si>
  <si>
    <t>Account / terms</t>
  </si>
  <si>
    <t>9 runs from 3 vehicles and 3 scenarios; each run about 10.7–13.8 km.</t>
  </si>
  <si>
    <t>Brazil</t>
  </si>
  <si>
    <t>Jeferson Menegazzo and Aldo von Wangenheim / UFSC</t>
  </si>
  <si>
    <t>Useful video + roughness baseline. Labels are qualitative; do not treat as measured PCI or IRI. No pothole-specific label established in listed schema.</t>
  </si>
  <si>
    <t>DS-160; D003</t>
  </si>
  <si>
    <t>https://github.com/jefmenegazzo/Intelligent-Vehicle-Perception-Based-on-Inertial-Sensing-and-Artificial-Intelligence</t>
  </si>
  <si>
    <t>https://doi.org/10.1109/SBESC51047.2020.9277846</t>
  </si>
  <si>
    <t>Compared_All_Platforms_TH_v3.0.xlsx!All_Datasets row 161 (DS-160); AV_Pavement_Dataset_Inventory.xlsx!Datasets row 9 (D003)</t>
  </si>
  <si>
    <t>DS-161</t>
  </si>
  <si>
    <t>RAD (Road Anomaly Detection)</t>
  </si>
  <si>
    <t>Version 3</t>
  </si>
  <si>
    <t>Object detection;Road anomaly detection</t>
  </si>
  <si>
    <t>Multi-class taxonomy spanning road damage (potholes;cracks;protrusions;manholes), unsurfaced roads, speed bumps, LMVs, HMVs and pedestrians</t>
  </si>
  <si>
    <t>11800</t>
  </si>
  <si>
    <t>India</t>
  </si>
  <si>
    <t>Annotation format, image resolution and per-class counts are not stated; 'road scenarios' count (371) refers to raw video scenarios rather than surveyed road segments; distress classes are mixed with traffic-object classes in a single taxonomy</t>
  </si>
  <si>
    <t>https://www.kaggle.com/datasets/rohitsuresh15/radroad-anomaly-detection</t>
  </si>
  <si>
    <t>Compared_All_Platforms_TH_v3.0.xlsx!All_Datasets row 162 (DS-161)</t>
  </si>
  <si>
    <t>DS-162</t>
  </si>
  <si>
    <t>RDD2022ES (RDD2022 Extended Severity)</t>
  </si>
  <si>
    <t>Each of the four RDD2022 classes split into two severity levels, giving 8 severity-encoded classes</t>
  </si>
  <si>
    <t>Derivative of RDD2022 kept as a separate row because the label taxonomy is materially different; severity thresholds are not defined on the record; non-commercial licence restricts reuse; image counts and country breakdown not stated</t>
  </si>
  <si>
    <t>https://www.kaggle.com/datasets/juusos/rdd2022es</t>
  </si>
  <si>
    <t>Compared_All_Platforms_TH_v3.0.xlsx!All_Datasets row 163 (DS-162)</t>
  </si>
  <si>
    <t>DS-163</t>
  </si>
  <si>
    <t>Road Crack Dataset (Aydin)</t>
  </si>
  <si>
    <t>Semantic segmentation;Road damage detection;Infrastructure inspection</t>
  </si>
  <si>
    <t>Three semantic classes: Concrete Crack;Construction Joints;Drilling</t>
  </si>
  <si>
    <t>Two of the three classes (construction joints, drilling) are surface features rather than distresses, so distress-only training requires relabelling; image counts, resolution, country, capture device and mask format are not stated; small (49 MB / 871 files)</t>
  </si>
  <si>
    <t>https://www.kaggle.com/datasets/rukiyeaydn/road-crack-dataset</t>
  </si>
  <si>
    <t>Compared_All_Platforms_TH_v3.0.xlsx!All_Datasets row 164 (DS-163)</t>
  </si>
  <si>
    <t>DS-164</t>
  </si>
  <si>
    <t>Road Damage</t>
  </si>
  <si>
    <t>Xiaomi Redmi Note 8 smartphone</t>
  </si>
  <si>
    <t>Four bounding-box classes;6,999 labeled objects</t>
  </si>
  <si>
    <t>Bounding-box annotations;YOLOv3 format reported by dataset documentation</t>
  </si>
  <si>
    <t>CC0 1.0</t>
  </si>
  <si>
    <t>3321</t>
  </si>
  <si>
    <t>Road environment: Road surface</t>
  </si>
  <si>
    <t>Geographic coverage, collection dates, environmental conditions, and annotation quality-control procedures are not reported.</t>
  </si>
  <si>
    <t>https://www.kaggle.com/datasets/alvarobasily/road-damage</t>
  </si>
  <si>
    <t>Compared_All_Platforms_TH_v3.0.xlsx!All_Datasets row 165 (DS-164)</t>
  </si>
  <si>
    <t>DS-165</t>
  </si>
  <si>
    <t>Road Defect Classification Dataset</t>
  </si>
  <si>
    <t>No description, subtitle or tags; only the title indicates road defect classification. Class list, provenance, geography and image counts are unverifiable from the record, so eligibility is unresolved</t>
  </si>
  <si>
    <t>https://www.kaggle.com/datasets/yuzhang0211/road-defect-classification-dataset</t>
  </si>
  <si>
    <t>Compared_All_Platforms_TH_v3.0.xlsx!All_Datasets row 166 (DS-165)</t>
  </si>
  <si>
    <t>DS-166</t>
  </si>
  <si>
    <t>Road Defects Images</t>
  </si>
  <si>
    <t>Crack detection</t>
  </si>
  <si>
    <t>Mobile phone camera</t>
  </si>
  <si>
    <t>UNK - the label schema is not described on the record</t>
  </si>
  <si>
    <t>The description states the purpose and capture device but not the label schema, annotation format, image count, resolution, country or dates; no notebooks or publications linked; described as a non-augmented base set with no companion augmented release documented</t>
  </si>
  <si>
    <t>https://www.kaggle.com/datasets/patelmihir/road-defects-nonaugmented</t>
  </si>
  <si>
    <t>Compared_All_Platforms_TH_v3.0.xlsx!All_Datasets row 167 (DS-166)</t>
  </si>
  <si>
    <t>DS-167</t>
  </si>
  <si>
    <t>Road Pothole Images for Pothole detection</t>
  </si>
  <si>
    <t>Vehicle-mounted camera (real-world road footage)</t>
  </si>
  <si>
    <t>Positive (pothole present) and negative (no pothole) image sets with per-pothole bounding boxes</t>
  </si>
  <si>
    <t>CSV bounding boxes (image_id, num_potholes, x, y, w, h)</t>
  </si>
  <si>
    <t>South Africa</t>
  </si>
  <si>
    <t>Underlying imagery was captured in 2015, before the project window, and only the Kaggle re-release falls inside it; image count, resolution and collection dates are not stated; single distress class; CC0 designation on Kaggle may not match the original authors' terms</t>
  </si>
  <si>
    <t>https://www.kaggle.com/datasets/sovitrath/road-pothole-images-for-pothole-detection</t>
  </si>
  <si>
    <t>Compared_All_Platforms_TH_v3.0.xlsx!All_Datasets row 168 (DS-167)</t>
  </si>
  <si>
    <t>DS-168</t>
  </si>
  <si>
    <t>Road Quality Dataset</t>
  </si>
  <si>
    <t>Multimodal classification;Anomaly detection;Severity assessment</t>
  </si>
  <si>
    <t>Vehicle-mounted dashboard webcam;smartphone or embedded IMU and GPS sensors</t>
  </si>
  <si>
    <t>Anomaly type: no_anomaly;manhole;depression;bump;crack;severity: small;medium;high;transversity metadata</t>
  </si>
  <si>
    <t>JPEG images;pickled synchronized sensor data and labels</t>
  </si>
  <si>
    <t>Apache License 2.0</t>
  </si>
  <si>
    <t>Road environment: Urban vehicle runs</t>
  </si>
  <si>
    <t>Image and road-segment counts, geographic coverage, camera resolution, collection dates, and labeling quality-control process are not reported in accessible evidence.</t>
  </si>
  <si>
    <t>https://www.kaggle.com/datasets/nickkotarelas/road-quality-dataset</t>
  </si>
  <si>
    <t>Compared_All_Platforms_TH_v3.0.xlsx!All_Datasets row 169 (DS-168)</t>
  </si>
  <si>
    <t>DS-169</t>
  </si>
  <si>
    <t>Road Surface Dataset (DatasetJalan)</t>
  </si>
  <si>
    <t>Road damage condition classes for image classification; the class list is not enumerated on the record</t>
  </si>
  <si>
    <t>Indonesia; Airmadidi, North Sulawesi</t>
  </si>
  <si>
    <t>Described by its author as a student educational dataset; class names, image counts, resolution and capture device are not stated; single small locality</t>
  </si>
  <si>
    <t>https://www.kaggle.com/datasets/angelikafarahmanoppo/road-surface-dataset-datasetjalan</t>
  </si>
  <si>
    <t>Compared_All_Platforms_TH_v3.0.xlsx!All_Datasets row 170 (DS-169)</t>
  </si>
  <si>
    <t>DS-170</t>
  </si>
  <si>
    <t>Road Surface Recognition Dataset</t>
  </si>
  <si>
    <t>Object detection;Road condition assessment</t>
  </si>
  <si>
    <t>Action camera;Smartphone</t>
  </si>
  <si>
    <t>Three classes: Pothole;Crack;Manhole</t>
  </si>
  <si>
    <t>128k; (2009 with YOLO labels, others with classfication labels)</t>
  </si>
  <si>
    <t>Road environment: Urban;Rural</t>
  </si>
  <si>
    <t>The class list (pothole, crack, manhole), the 640x360 resolution, the urban/rural framing, the action-camera-plus-smartphone capture story and the explicit 'manholes as a distinct class' selling point all match KG-002 (Arcioni) closely enough that this may be a redistribution rather than an independent collection, but the record names no source, country or date. Identity and duplication status must be resolved before it can be included or excluded</t>
  </si>
  <si>
    <t>https://www.kaggle.com/datasets/zara2099/road-surface-recognition-dataset</t>
  </si>
  <si>
    <t>Compared_All_Platforms_TH_v3.0.xlsx!All_Datasets row 171 (DS-170)</t>
  </si>
  <si>
    <t>DS-171</t>
  </si>
  <si>
    <t>Road_Condition/Alert_Dataset</t>
  </si>
  <si>
    <t>Image classification;Road condition and alert classification</t>
  </si>
  <si>
    <t>Web-scraped imagery (collected via SerpAPI search queries)</t>
  </si>
  <si>
    <t>Five image-level classes: Potholes;Clean_Roads;Smooth_Roads;Blocked_Roads;Traffic_Roads</t>
  </si>
  <si>
    <t>Imagery is web-scraped rather than field-collected, so geography, sensor, date and licensing of the underlying photographs are unknown and possibly inconsistent with the Apache 2.0 label; augmentation is mixed into the released set; classes mix pavement condition with traffic state</t>
  </si>
  <si>
    <t>https://www.kaggle.com/datasets/saadkhan0/road-conditionalert-dataset</t>
  </si>
  <si>
    <t>Compared_All_Platforms_TH_v3.0.xlsx!All_Datasets row 172 (DS-171)</t>
  </si>
  <si>
    <t>DS-172</t>
  </si>
  <si>
    <t>Roads and Bridges Cracks (YOLOv8 Format)</t>
  </si>
  <si>
    <t>Object detection;Infrastructure health monitoring</t>
  </si>
  <si>
    <t>Bounding-box crack annotations in YOLOv8 format;class list not enumerated on the record</t>
  </si>
  <si>
    <t>YOLOv8 TXT</t>
  </si>
  <si>
    <t>Road environment: Asphalt roads;Concrete bridges</t>
  </si>
  <si>
    <t>Road and bridge imagery are pooled with no field separating them; image counts, resolution, class names, provenance and capture device are not stated</t>
  </si>
  <si>
    <t>https://www.kaggle.com/datasets/danishghaffar786/roads-and-bridges-cracks-yolov8-format</t>
  </si>
  <si>
    <t>Compared_All_Platforms_TH_v3.0.xlsx!All_Datasets row 173 (DS-172)</t>
  </si>
  <si>
    <t>DS-173</t>
  </si>
  <si>
    <t>RoadScan-MA (Moroccan Road Damage Dataset, Meknes)</t>
  </si>
  <si>
    <t>Dashcam (vehicle-mounted)</t>
  </si>
  <si>
    <t>Five classes: linear_crack;alligator_crack;minor_pothole;medium_pothole;major_pothole</t>
  </si>
  <si>
    <t>Morocco; Meknes; Road environment: Urban</t>
  </si>
  <si>
    <t>Image count stated only as a range (200-500), which is too imprecise for planning; licence conflict between metadata and description; CLAHE preprocessing has been baked into the released images, altering their radiometry; student final-year project with three downloads and no independent validation</t>
  </si>
  <si>
    <t>https://www.kaggle.com/datasets/mohamedaminebelasri7/roadscan-dataset</t>
  </si>
  <si>
    <t>Compared_All_Platforms_TH_v3.0.xlsx!All_Datasets row 174 (DS-173)</t>
  </si>
  <si>
    <t>DS-174</t>
  </si>
  <si>
    <t>STU_CamCrack792</t>
  </si>
  <si>
    <t>Semantic segmentation;Crack-type-specific evaluation;Domain generalisation</t>
  </si>
  <si>
    <t>Camera mounted on a mobile robot arm approximately 1.0 m above the pavement (Microsoft LifeCam Studio)</t>
  </si>
  <si>
    <t>Binary pixel mask (crack=255;background=0) with four documented crack-type groupings: common (transverse/longitudinal);intersecting;block;alligator</t>
  </si>
  <si>
    <t>Binary PNG mask, one mask per image with matching filename</t>
  </si>
  <si>
    <t>792</t>
  </si>
  <si>
    <t>China; Shantou University campus, Guangdong; Road environment: Campus roads</t>
  </si>
  <si>
    <t>Small dataset limited to one university campus; close-range robot-arm viewpoint differs from vehicle-mounted survey geometry; no linked publication or notebooks; non-commercial licence</t>
  </si>
  <si>
    <t>https://www.kaggle.com/datasets/guijiezhu/stu-camcrack792</t>
  </si>
  <si>
    <t>Compared_All_Platforms_TH_v3.0.xlsx!All_Datasets row 175 (DS-174)</t>
  </si>
  <si>
    <t>DS-175</t>
  </si>
  <si>
    <t>UAV-SEG-2025 / Enhanced UAV-PDD (Segmented Pavement Distress Dataset)</t>
  </si>
  <si>
    <t>Semantic segmentation;Distress quantification;Maintenance planning [Claude] | Semantic segmentation;Object detection [GPT] | segmentation; detection [CodeX]</t>
  </si>
  <si>
    <t>UAV [Claude/CodeX] | UAV; inherited from UAV-PDD source data [GPT]</t>
  </si>
  <si>
    <t>Pixel-level pavement distress segmentation masks; specific class list not stated on the record [Claude] | Six pixel-level segmentation classes [GPT] | PASCAL VOC XML annotations; pixel-level segmentation masks described [CodeX]</t>
  </si>
  <si>
    <t>Segmentation masks;YOLO-compatible derivative representation [GPT] | PASCAL VOC XML [CodeX]</t>
  </si>
  <si>
    <t>Attribution 4.0 International (CC BY 4.0) [Claude/CodeX] | CC BY 4.0 [GPT]</t>
  </si>
  <si>
    <t>Registration [Claude/GPT] | Direct_Download [CodeX]</t>
  </si>
  <si>
    <t>2426</t>
  </si>
  <si>
    <t>China; Road environment: Municipal road pavement; aerial imagery</t>
  </si>
  <si>
    <t>Enhanced derivative of UAVPDD0223; distress class list, image counts, resolution and country of collection are not stated on the Kaggle record; the enhancement procedure that produced the masks is not documented [Claude] | Derived from an existing UAV pavement dataset; source overlap, exact version mapping, mask-generation process, and independent annotation QC require file-level audit. [GPT] | Kaggle page reports enhanced derivation from UAVPDD0223; geographic coverage, image count, taxonomy detail, collection conditions, and QC are NR; annotation description conflicts with listed PASCAL VOC XML. [CodeX]</t>
  </si>
  <si>
    <t>https://www.kaggle.com/datasets/patelravi07/enhanced-uav-pdd</t>
  </si>
  <si>
    <t>Compared_All_Platforms_TH_v3.0.xlsx!All_Datasets row 176 (DS-175)</t>
  </si>
  <si>
    <t>DS-176</t>
  </si>
  <si>
    <t>WARD — Weather-Aware Road Surface Condition Monitoring</t>
  </si>
  <si>
    <t>ICIAP 2025; proceedings 2026; WARD — Weather-Aware Road Surface Condition Monitoring</t>
  </si>
  <si>
    <t>Surface state</t>
  </si>
  <si>
    <t>Dry; wet; snow</t>
  </si>
  <si>
    <t>Image/sequence classification</t>
  </si>
  <si>
    <t>Unverified; inspect released terms before use</t>
  </si>
  <si>
    <t>Availability uncertain</t>
  </si>
  <si>
    <t>54,952 images; 1,854 sequences</t>
  </si>
  <si>
    <t>Czechia; recordings across one year</t>
  </si>
  <si>
    <t>Soňa Nesnídalová, Tomáš Kerepecký, Adam Novozámský / Czech Academy of Sciences</t>
  </si>
  <si>
    <t>Promising surface-state resource, flagged for access follow-up rather than counted as tested download. No crack/pothole annotations reported.</t>
  </si>
  <si>
    <t>DS-176; D022</t>
  </si>
  <si>
    <t>AV inventory did not resolve direct archive endpoint; v3 lists the author Kaggle page. A listed page does not verify successful archive download.</t>
  </si>
  <si>
    <t>Kaggle; Other official / repository</t>
  </si>
  <si>
    <t>https://www.kaggle.com/datasets/adamnovozmsk/ward-weather-aware-road-dataset</t>
  </si>
  <si>
    <t>Compared_All_Platforms_TH_v3.0.xlsx!All_Datasets row 177 (DS-176); AV_Pavement_Dataset_Inventory.xlsx!Datasets row 28 (D022)</t>
  </si>
  <si>
    <t>DS-177</t>
  </si>
  <si>
    <t>AEL Road Crack Dataset</t>
  </si>
  <si>
    <t>AEL</t>
  </si>
  <si>
    <t>crack detection; segmentation</t>
  </si>
  <si>
    <t>Multiple image-acquisition systems</t>
  </si>
  <si>
    <t>crack ground truth</t>
  </si>
  <si>
    <t>68</t>
  </si>
  <si>
    <t>Legacy, very small dataset; licensing, geographic coverage, resolution, and modern data-card documentation are incomplete.</t>
  </si>
  <si>
    <t>https://www.irit.fr/~Sylvie.Chambon/Crack_Detection_Database.html</t>
  </si>
  <si>
    <t>Compared_All_Platforms_TH_v3.0.xlsx!All_Datasets row 178 (DS-177)</t>
  </si>
  <si>
    <t>DS-178</t>
  </si>
  <si>
    <t>NATIX Edge Case Driving Dataset</t>
  </si>
  <si>
    <t>2026; NATIX Edge Case Driving Dataset</t>
  </si>
  <si>
    <t>Tesla owner cameras</t>
  </si>
  <si>
    <t>Road surface deterioration among event categories; VLM-generated descriptions, not engineered distress/severity ground truth</t>
  </si>
  <si>
    <t>JSON event start/end times, labels and VLM evidence/context</t>
  </si>
  <si>
    <t>NATIX Data RAIL-NC; noncommercial; no redistribution; limited term</t>
  </si>
  <si>
    <t>20 minutes; 21 events; 86 MP4 clips; 3.31 GB stated</t>
  </si>
  <si>
    <t>Six US states</t>
  </si>
  <si>
    <t>NATIX; crowdsourced Tesla dashcams (not Tesla Inc.)</t>
  </si>
  <si>
    <t>Small, potentially useful Tesla-related starting point. Inspect and manually validate the deterioration events. Weather metadata is best-effort. Same capture family and formats as NATIX Multi-Camera.</t>
  </si>
  <si>
    <t>D001</t>
  </si>
  <si>
    <t>New distinct dataset/release</t>
  </si>
  <si>
    <t>Shared capture family; distinct NATIX subsets (DS-178, DS-217, DS-218)</t>
  </si>
  <si>
    <t>https://huggingface.co/datasets/natix-network-org/natix-edge-case-driving-dataset</t>
  </si>
  <si>
    <t>AV_Pavement_Dataset_Inventory.xlsx!Datasets row 7 (D001)</t>
  </si>
  <si>
    <t>DS-179</t>
  </si>
  <si>
    <t>M2S-RoAD</t>
  </si>
  <si>
    <t>2025; M2S-RoAD</t>
  </si>
  <si>
    <t>Pothole, water-filled pothole, crack, corrugation, rutting, slippage, drain, bump, manhole.</t>
  </si>
  <si>
    <t>Manual LabelMe polygons / semantic segmentation; labels can be projected to point clouds.</t>
  </si>
  <si>
    <t>CC BY-NC-ND 4.0 on dataset repository</t>
  </si>
  <si>
    <t>1,071 annotated images; 43,911 point clouds. Repository storage 385 GB across TAR (114 GB) and ZIP (271 GB) archives.</t>
  </si>
  <si>
    <t>New South Wales, Australia</t>
  </si>
  <si>
    <t>University of Sydney, Australian Centre for Robotics</t>
  </si>
  <si>
    <t>Strong multimodal damage candidate. Paper initially said release pending; author GitHub now links files. Release consists of selected labeled frames, not proven continuously labeled video. Storage total does not represent unique data or a requirement to download both archives. Drains/manholes can be road features without damage.</t>
  </si>
  <si>
    <t>D002</t>
  </si>
  <si>
    <t>https://huggingface.co/datasets/DarrylT/M2S-RoAD</t>
  </si>
  <si>
    <t>https://arxiv.org/html/2504.10123v1</t>
  </si>
  <si>
    <t>AV_Pavement_Dataset_Inventory.xlsx!Datasets row 8 (D002)</t>
  </si>
  <si>
    <t>DS-180</t>
  </si>
  <si>
    <t>AD Winter Driving Dataset — MCity-WSPI Physics</t>
  </si>
  <si>
    <t>2026; AD Winter Driving Dataset — MCity-WSPI Physics</t>
  </si>
  <si>
    <t>MARWIS dry/wet/snow/ice class; optical friction estimate, pavement temperature, ice fraction and water-film height.</t>
  </si>
  <si>
    <t>Synchronized CSV row per image filename; numeric measurements and condition category</t>
  </si>
  <si>
    <t>CC BY 4.0 per Hugging Face data card and GitHub metadata license</t>
  </si>
  <si>
    <t>MCity-WSPI image folder 140 GB on Hugging Face; exact frame count unverified</t>
  </si>
  <si>
    <t>MCity / Michigan, USA</t>
  </si>
  <si>
    <t>AD Assurance Lab / Western Michigan University / MCity</t>
  </si>
  <si>
    <t>Optical friction estimates are sensor-derived, not direct tire-friction ground truth. Separate REVA/MI-Snow1000 module supplies lane labels. GitHub organization dates repository update to Aug 9, 2026; README's 85 GB total is older than current file listing.</t>
  </si>
  <si>
    <t>D005</t>
  </si>
  <si>
    <t>https://huggingface.co/datasets/AD-Assurance-Lab/winter-driving-dataset</t>
  </si>
  <si>
    <t>https://github.com/AD-Assurance-Lab/dataset--winter-driving--main</t>
  </si>
  <si>
    <t>AV_Pavement_Dataset_Inventory.xlsx!Datasets row 11 (D005)</t>
  </si>
  <si>
    <t>DS-181</t>
  </si>
  <si>
    <t>RTK — full driving sequences and surface quality classification</t>
  </si>
  <si>
    <t>2019 (capture 2016–2017); RTK — full driving sequences and surface quality classification</t>
  </si>
  <si>
    <t>Asphalt, other paved, unpaved; visual surface quality good/regular/bad (no good-unpaved class).</t>
  </si>
  <si>
    <t>Class-separated frame folders; sequential numbering per collection/surface class</t>
  </si>
  <si>
    <t>Not clearly stated for full release; verify author terms. Do not transfer segmentation-subset license.</t>
  </si>
  <si>
    <t>77,547 frames total; 62,662 surface-type labels; 6,297 surface-quality labels</t>
  </si>
  <si>
    <t>Águas Mornas and Santo Amaro da Imperatriz, Santa Catarina, Brazil</t>
  </si>
  <si>
    <t>LAPIX / Federal University of Santa Catarina (UFSC)</t>
  </si>
  <si>
    <t>Companion to the 701-image RTK segmentation subset; overlapping collection, not independent footage. Only 6,297 frames have quality labels; 62,662 is surface-type count. Archive contents not downloaded.</t>
  </si>
  <si>
    <t>D007</t>
  </si>
  <si>
    <t>Subset and parent sequence release (DS-040, DS-181)</t>
  </si>
  <si>
    <t>https://lapix.ufsc.br/pesquisas/projeto-veiculo-autonomo/datasets/?lang=en</t>
  </si>
  <si>
    <t>https://doi.org/10.22456/2175-2745.91522</t>
  </si>
  <si>
    <t>AV_Pavement_Dataset_Inventory.xlsx!Datasets row 13 (D007)</t>
  </si>
  <si>
    <t>DS-182</t>
  </si>
  <si>
    <t>LATAM Urban Driving Dataset — public pothole sample</t>
  </si>
  <si>
    <t>Not stated; LATAM Urban Driving Dataset — public pothole sample</t>
  </si>
  <si>
    <t>562 pothole bounding boxes plus vehicle and lane-marking classes.</t>
  </si>
  <si>
    <t>JSONL boxes; model-assisted annotation with human review; high-confidence unambiguous detections auto-approved.</t>
  </si>
  <si>
    <t>CC BY-NC 4.0 for public sample</t>
  </si>
  <si>
    <t>641 frames, 896×504; 1,557 total boxes; larger 16,012-frame session is commercial.</t>
  </si>
  <si>
    <t>State of Mexico, Mexico; night / low visibility</t>
  </si>
  <si>
    <t>YSI Labs</t>
  </si>
  <si>
    <t>Small single-scenario sample. No enabled IMU. New provider dataset; label accuracy and train/test independence need inspection.</t>
  </si>
  <si>
    <t>D009</t>
  </si>
  <si>
    <t>https://huggingface.co/datasets/ysilabs/latam-urban-driving-sample</t>
  </si>
  <si>
    <t>AV_Pavement_Dataset_Inventory.xlsx!Datasets row 15 (D009)</t>
  </si>
  <si>
    <t>Zenseact Open Dataset (ZOD: Frames, Sequences, Drives)</t>
  </si>
  <si>
    <t>Images + sequences</t>
  </si>
  <si>
    <t>AV research fleet</t>
  </si>
  <si>
    <t>Binary wetness and snow_coverage labels for Frames; ego-road and debris masks; no cracks/potholes/PCI</t>
  </si>
  <si>
    <t>Scene-level binary classification; 2D road polygons</t>
  </si>
  <si>
    <t>100,000 Frames; 1,473 Sequences; 29 Drives</t>
  </si>
  <si>
    <t>14 European countries</t>
  </si>
  <si>
    <t>Zenseact</t>
  </si>
  <si>
    <t>Strong surface-state match. Surface labels are confirmed for Frames. Sequence page lists only central-keyframe object/lane/sign/ego-road labels, so do not assume surface labels for every video frame. https://zod.zenseact.com/sequences/</t>
  </si>
  <si>
    <t>D010</t>
  </si>
  <si>
    <t>https://zod.zenseact.com/frames/</t>
  </si>
  <si>
    <t>https://arxiv.org/abs/2305.02008</t>
  </si>
  <si>
    <t>AV_Pavement_Dataset_Inventory.xlsx!Datasets row 16 (D010)</t>
  </si>
  <si>
    <t>DS-184</t>
  </si>
  <si>
    <t>Seeing Through Fog (DENSE dataset family)</t>
  </si>
  <si>
    <t>2020; Seeing Through Fog (DENSE dataset family)</t>
  </si>
  <si>
    <t>Drivable-path tags: dry, wet, slushy, full snow coverage; separate weather tags</t>
  </si>
  <si>
    <t>Frame/scene tags plus KITTI-style 2D/3D object boxes</t>
  </si>
  <si>
    <t>Research and teaching only; no commercial use or redistribution</t>
  </si>
  <si>
    <t>12,000 road samples; 1,500 fog-chamber samples</t>
  </si>
  <si>
    <t>Northern Europe</t>
  </si>
  <si>
    <t>Mercedes-Benz / Ulm University / Princeton / DENSE consortium</t>
  </si>
  <si>
    <t>Useful direct surface-state labels, not structural pavement distress. DENSE and SeeingThroughFog are not independent footage collections. Terms: https://github.com/princeton-computational-imaging/SeeingThroughFog/blob/master/terms_of_use.txt</t>
  </si>
  <si>
    <t>D011</t>
  </si>
  <si>
    <t>https://www.uni-ulm.de/en/in/institute-of-measurement-control-and-microtechnology/research/data-sets/dense-datasets/</t>
  </si>
  <si>
    <t>https://www.cs.princeton.edu/~fheide/AdverseWeatherFusion/figures/AdverseWeatherFusion_Supplement.pdf</t>
  </si>
  <si>
    <t>AV_Pavement_Dataset_Inventory.xlsx!Datasets row 17 (D011)</t>
  </si>
  <si>
    <t>DS-185</t>
  </si>
  <si>
    <t>RoadSaW — Road Surface and Wetness</t>
  </si>
  <si>
    <t>2022; RoadSaW — Road Surface and Wetness</t>
  </si>
  <si>
    <t>Truck research</t>
  </si>
  <si>
    <t>Asphalt, concrete, cobblestone × four wetness levels (dry/damp/wet/very wet), with sensor-measured water film.</t>
  </si>
  <si>
    <t>Patch classification; measurement-derived wetness categories</t>
  </si>
  <si>
    <t>12 balanced classes; 3 patch sizes × 4 distances; download size varies by subset</t>
  </si>
  <si>
    <t>Test track; exact location not verified in accessed dataset page.</t>
  </si>
  <si>
    <t>VISCODA GmbH / Cordes et al.</t>
  </si>
  <si>
    <t>Especially relevant to truck research, but not Aurora data. Surface wetness/material labels, not structural pavement distress.</t>
  </si>
  <si>
    <t>D012</t>
  </si>
  <si>
    <t>Related surface-state datasets (DS-185, DS-186)</t>
  </si>
  <si>
    <t>https://www.viscoda.com/index.php/en/downloads-en/roadsaw-dataset</t>
  </si>
  <si>
    <t>https://openaccess.thecvf.com/content/CVPR2022W/WAD/papers/Cordes_RoadSaW_A_Large-Scale_Dataset_for_Camera-Based_Road_Surface_and_Wetness_CVPRW_2022_paper.pdf</t>
  </si>
  <si>
    <t>AV_Pavement_Dataset_Inventory.xlsx!Datasets row 18 (D012)</t>
  </si>
  <si>
    <t>DS-186</t>
  </si>
  <si>
    <t>RoadSC — Road Snow Coverage</t>
  </si>
  <si>
    <t>2023; RoadSC — Road Snow Coverage</t>
  </si>
  <si>
    <t>Fresh fallen, fully packed, and partially covering snow.</t>
  </si>
  <si>
    <t>Three-class image classification</t>
  </si>
  <si>
    <t>30,253 images per snow class (90,759 total); smaller balanced 2,138-per-class variant</t>
  </si>
  <si>
    <t>Not verified in provider page.</t>
  </si>
  <si>
    <t>VISCODA GmbH / Cordes and Broszio</t>
  </si>
  <si>
    <t>Compatible with RoadSaW for 15 combined categories. Snow-state labels do not establish damage underneath snow.</t>
  </si>
  <si>
    <t>D013</t>
  </si>
  <si>
    <t>https://www.viscoda.com/index.php/en/downloads-en/roadsc-dataset</t>
  </si>
  <si>
    <t>AV_Pavement_Dataset_Inventory.xlsx!Datasets row 19 (D013)</t>
  </si>
  <si>
    <t>DS-187</t>
  </si>
  <si>
    <t>SAVeD — Social media-based ADAS-equipped Vehicle event Dataset</t>
  </si>
  <si>
    <t>2025 preprint / 2026 TRB; SAVeD — Social media-based ADAS-equipped Vehicle event Dataset</t>
  </si>
  <si>
    <t>ADAS event footage</t>
  </si>
  <si>
    <t>Dry, wet, snow/ice road surface at the event; separate weather and road-grade labels.</t>
  </si>
  <si>
    <t>Event-level categorical variables; schema public, full annotation files by request.</t>
  </si>
  <si>
    <t>Educational/research use only; commercial use prohibited; respect source-video rights.</t>
  </si>
  <si>
    <t>2,119 first-person videos per paper; full data by request.</t>
  </si>
  <si>
    <t>Multiple locations; location field in event data</t>
  </si>
  <si>
    <t>Shaoyan Zhai / University of Central Florida</t>
  </si>
  <si>
    <t>Close ADAS + surface-state match, but request-only. Event-selected footage is unsuitable for estimating routine-road prevalence. No crack or pothole segmentation claimed.</t>
  </si>
  <si>
    <t>D014</t>
  </si>
  <si>
    <t>https://github.com/ShaoyanZhai2001/SAVeD</t>
  </si>
  <si>
    <t>https://arxiv.org/abs/2512.17724</t>
  </si>
  <si>
    <t>AV_Pavement_Dataset_Inventory.xlsx!Datasets row 20 (D014)</t>
  </si>
  <si>
    <t>DS-188</t>
  </si>
  <si>
    <t>RoadSens-4M</t>
  </si>
  <si>
    <t>2026; RoadSens-4M</t>
  </si>
  <si>
    <t>Bump, pothole and normal road events with start/end timestamps.</t>
  </si>
  <si>
    <t>Temporal event CSV, synchronized sensor CSV and video references; not pixel masks.</t>
  </si>
  <si>
    <t>Dataset license not independently confirmed; check Figshare and video terms.</t>
  </si>
  <si>
    <t>103 sessions; about 2.86 h video; 1,034,526 sensor rows. Dataset name is not a frame count.</t>
  </si>
  <si>
    <t>Rajshahi, Bangladesh</t>
  </si>
  <si>
    <t>Khandakar, Michelson, Rabbani et al.</t>
  </si>
  <si>
    <t>Useful for temporal pavement-event / vehicle-response research. Paper metadata verified online; underlying archives and all video permissions were not tested.</t>
  </si>
  <si>
    <t>D015</t>
  </si>
  <si>
    <t>https://doi.org/10.6084/m9.figshare.30341143.v3</t>
  </si>
  <si>
    <t>https://doi.org/10.1038/s41597-026-07072-y</t>
  </si>
  <si>
    <t>AV_Pavement_Dataset_Inventory.xlsx!Datasets row 21 (D015)</t>
  </si>
  <si>
    <t>DS-189</t>
  </si>
  <si>
    <t>RSRD — Road Surface Reconstruction Dataset</t>
  </si>
  <si>
    <t>2023–2024; RSRD — Road Surface Reconstruction Dataset</t>
  </si>
  <si>
    <t>Surface geometry</t>
  </si>
  <si>
    <t>Ground-truth road depth/disparity and 3D geometry on even/uneven asphalt and concrete; no general crack/pothole class labels in main release.</t>
  </si>
  <si>
    <t>JPG stereo images, PNG depth/disparity, PCD point clouds</t>
  </si>
  <si>
    <t>CC BY-NC per official download page; code separately MIT.</t>
  </si>
  <si>
    <t>2,793 dense pairs (about 2,800 on website) plus about 13,000 sparse pairs</t>
  </si>
  <si>
    <t>Qingdao, China</t>
  </si>
  <si>
    <t>Tsinghua University / Tong Zhao and colleagues</t>
  </si>
  <si>
    <t>Useful for roughness/reconstruction research; geometric supervision must not be mistaken for distress or standardized IRI/PCI labels.</t>
  </si>
  <si>
    <t>D016</t>
  </si>
  <si>
    <t>Parent and labeled point-cloud subset (DS-189, DS-233)</t>
  </si>
  <si>
    <t>https://thu-rsxd.com/rsrd/</t>
  </si>
  <si>
    <t>AV_Pavement_Dataset_Inventory.xlsx!Datasets row 22 (D016)</t>
  </si>
  <si>
    <t>DS-190</t>
  </si>
  <si>
    <t>HRP4K — High-Resolution Perspective-View Pothole</t>
  </si>
  <si>
    <t>2026; HRP4K — High-Resolution Perspective-View Pothole</t>
  </si>
  <si>
    <t>Pothole boxes, plus pothole-absent negatives.</t>
  </si>
  <si>
    <t>YOLO TXT and COCO JSON bounding boxes</t>
  </si>
  <si>
    <t>CC BY 4.0 reported for Zenodo; verify record before reuse.</t>
  </si>
  <si>
    <t>6,003 images; 7,217 potholes; 4,003 positive and 2,000 negative images</t>
  </si>
  <si>
    <t>Hangzhou, Huzhou, Jiaxing, China; about 1,100 km</t>
  </si>
  <si>
    <t>Hanshen Chen, Zhoulin Tu, Yu Zhao, Jianfeng Ye</t>
  </si>
  <si>
    <t>NLM dataset catalog dates corrected Zenodo v1.01 to Aug 2026 (DOI 10.5281/zenodo.21941931), before cutoff; exact day and archive contents not independently verified because primary record fetch failed. Strong forward-view candidate.</t>
  </si>
  <si>
    <t>D017</t>
  </si>
  <si>
    <t>https://github.com/hanshenChen/HRP4K</t>
  </si>
  <si>
    <t>https://doi.org/10.1038/s41597-026-07317-w</t>
  </si>
  <si>
    <t>AV_Pavement_Dataset_Inventory.xlsx!Datasets row 23 (D017)</t>
  </si>
  <si>
    <t>DS-191</t>
  </si>
  <si>
    <t>RELLIS-3D</t>
  </si>
  <si>
    <t>2020; RELLIS-3D</t>
  </si>
  <si>
    <t>Surface type / terrain</t>
  </si>
  <si>
    <t>Off-road robot</t>
  </si>
  <si>
    <t>Terrain classes including mud, puddle, deep water and rubble; 20 classes including void.</t>
  </si>
  <si>
    <t>Semantic image and LiDAR labels; sparse annotated frames within full streams.</t>
  </si>
  <si>
    <t>CC BY-NC-SA 3.0</t>
  </si>
  <si>
    <t>6,235 annotated images and 13,556 annotated LiDAR scans.</t>
  </si>
  <si>
    <t>Texas A&amp;M RELLIS Campus, Texas, USA</t>
  </si>
  <si>
    <t>Texas A&amp;M Unmanned Systems Lab / US Army Research Laboratory</t>
  </si>
  <si>
    <t>Supplemental terrain-condition resource. Labels describe traversability-relevant surfaces, not engineered pavement distress severity.</t>
  </si>
  <si>
    <t>D020</t>
  </si>
  <si>
    <t>https://github.com/unmannedlab/RELLIS-3D</t>
  </si>
  <si>
    <t>https://unmannedlab.org/research/RELLIS-3D</t>
  </si>
  <si>
    <t>AV_Pavement_Dataset_Inventory.xlsx!Datasets row 26 (D020)</t>
  </si>
  <si>
    <t>DS-192</t>
  </si>
  <si>
    <t>ROAD — Road surface Observation and Analysis Dataset</t>
  </si>
  <si>
    <t>2026; ROAD — Road surface Observation and Analysis Dataset</t>
  </si>
  <si>
    <t>Asphalt, Belgian blocks and off-road; surface material labels, not crack/pothole condition grades.</t>
  </si>
  <si>
    <t>Frame-level classes annotated with CVAT; dual annotation and engineering review.</t>
  </si>
  <si>
    <t>Dataset terms supplied on request; paper license does not establish data license.</t>
  </si>
  <si>
    <t>10 h 40 min multimodal; 13 h 34 min vision-only (1,465,200 frames); 53 min synthetic.</t>
  </si>
  <si>
    <t>Brazil / Latin America; synthetic BeamNG.tech subset</t>
  </si>
  <si>
    <t>UFPE Voxar Labs with Volkswagen / Stellantis collaborators</t>
  </si>
  <si>
    <t>Material-only complement. Keep synthetic subset separate in evaluation; public website does not provide a direct open archive.</t>
  </si>
  <si>
    <t>D021</t>
  </si>
  <si>
    <t>https://road-dataset.github.io/</t>
  </si>
  <si>
    <t>https://arxiv.org/html/2601.20847v1</t>
  </si>
  <si>
    <t>AV_Pavement_Dataset_Inventory.xlsx!Datasets row 27 (D021)</t>
  </si>
  <si>
    <t>DS-193</t>
  </si>
  <si>
    <t>GAPs 10m — pavement segmentation</t>
  </si>
  <si>
    <t>2021; GAPs 10m — pavement segmentation</t>
  </si>
  <si>
    <t>Pixel-level distress/object classes including cracks, potholes, patches, joints, markings and fixtures.</t>
  </si>
  <si>
    <t>Expert semantic segmentation</t>
  </si>
  <si>
    <t>Academic use only; provider permission.</t>
  </si>
  <si>
    <t>20 images, 5030×11505; 200 m of road; 18 available classes of 22 defined</t>
  </si>
  <si>
    <t>Germany</t>
  </si>
  <si>
    <t>TU Ilmenau and partners</t>
  </si>
  <si>
    <t>Related GAPs release with different annotation task. Raveling, bleeding, manhole and induction-loop classes are absent from public images.</t>
  </si>
  <si>
    <t>D025</t>
  </si>
  <si>
    <t>GAPs family; distinct releases (DS-018, DS-193, DS-194)</t>
  </si>
  <si>
    <t>https://www.tu-ilmenau.de/fileadmin/Bereiche/IA/neurob/Datasets/Request-Gaps3.pdf</t>
  </si>
  <si>
    <t>https://www.tu-ilmenau.de/universitaet/fakultaeten/fakultaet-informatik-und-automatisierung/profil/institute-und-fachgebiete/institut-fuer-technische-informatik-und-ingenieurinformatik/fachgebiet-neuroinformatik-und-kognitive-robotik/data-sets-code/german-asphalt-pavement-distress-dataset-gaps</t>
  </si>
  <si>
    <t>AV_Pavement_Dataset_Inventory.xlsx!Datasets row 31 (D025)</t>
  </si>
  <si>
    <t>DS-194</t>
  </si>
  <si>
    <t>GAPs v2 — German Asphalt Pavement Distress</t>
  </si>
  <si>
    <t>2019 (v1 2017); GAPs v2 — German Asphalt Pavement Distress</t>
  </si>
  <si>
    <t>Crack, pothole, inlaid/applied patch, open joint; intact surface. Bleeding class absent in collected imagery.</t>
  </si>
  <si>
    <t>Expert bounding boxes; classification patches</t>
  </si>
  <si>
    <t>Academic use only by provider permission; not unrestricted open data.</t>
  </si>
  <si>
    <t>2,468 grayscale 1920×1080 images; multiple patch datasets</t>
  </si>
  <si>
    <t>German federal roads</t>
  </si>
  <si>
    <t>TU Ilmenau / Neuroinformatics and Cognitive Robotics Lab</t>
  </si>
  <si>
    <t>v1 grouped with v2; specialized survey view. Access process verified; archive contents not downloaded.</t>
  </si>
  <si>
    <t>D026</t>
  </si>
  <si>
    <t>https://www.tu-ilmenau.de/fileadmin/Bereiche/IA/neurob/Publikationen/conferences_int/2019/Stricker-IJCNN-2019.pdf</t>
  </si>
  <si>
    <t>AV_Pavement_Dataset_Inventory.xlsx!Datasets row 32 (D026)</t>
  </si>
  <si>
    <t>DS-195</t>
  </si>
  <si>
    <t>Mapillary Vistas</t>
  </si>
  <si>
    <t>2017; v2 extension; Mapillary Vistas</t>
  </si>
  <si>
    <t>Street imagery</t>
  </si>
  <si>
    <t>Pothole semantic class; also road, snow, water, manhole and other scene classes</t>
  </si>
  <si>
    <t>Pixel-level semantic masks; pothole is a semantic class, not an instance class in verified v1 taxonomy</t>
  </si>
  <si>
    <t>Use dataset-specific research terms; do not assume general Mapillary imagery CC BY-SA applies to Vistas</t>
  </si>
  <si>
    <t>25,000 high-resolution images in original release</t>
  </si>
  <si>
    <t>Worldwide</t>
  </si>
  <si>
    <t>Mapillary / Meta</t>
  </si>
  <si>
    <t>Direct pothole label verified in Meta's v1 taxonomy. Class frequency and v2-specific label IDs require checking downloaded config. Original paper: https://openaccess.thecvf.com/content_iccv_2017/html/Neuhold_The_Mapillary_Vistas_ICCV_2017_paper.html</t>
  </si>
  <si>
    <t>D027</t>
  </si>
  <si>
    <t>https://www.mapillary.com/dataset/vistas</t>
  </si>
  <si>
    <t>https://github.com/facebookresearch/Mask2Former/blob/main/mask2former/data/datasets/register_mapillary_vistas.py</t>
  </si>
  <si>
    <t>AV_Pavement_Dataset_Inventory.xlsx!Datasets row 33 (D027)</t>
  </si>
  <si>
    <t>DS-196</t>
  </si>
  <si>
    <t>StreetSurfaceVis</t>
  </si>
  <si>
    <t>2024 dataset; 2025 paper; StreetSurfaceVis</t>
  </si>
  <si>
    <t>Five materials (asphalt/concrete/paving stones/sett/unpaved) and quality excellent/good/intermediate/bad/very bad.</t>
  </si>
  <si>
    <t>Image-level CSV labels with coordinates, capture time and Mapillary IDs</t>
  </si>
  <si>
    <t>CC BY-SA; comply with Mapillary terms and attribution.</t>
  </si>
  <si>
    <t>9,122 images; multiple image resolutions</t>
  </si>
  <si>
    <t>Mostly Germany</t>
  </si>
  <si>
    <t>SurfaceAI / HTW Berlin</t>
  </si>
  <si>
    <t>Good for overall surface-quality labels, including sidewalks/cycleways. Quality is human visual ordinal assessment, not PCI/IRI; labels concern focal road area.</t>
  </si>
  <si>
    <t>D033</t>
  </si>
  <si>
    <t>https://zenodo.org/records/11449977</t>
  </si>
  <si>
    <t>https://pmc.ncbi.nlm.nih.gov/articles/PMC11739464/</t>
  </si>
  <si>
    <t>AV_Pavement_Dataset_Inventory.xlsx!Datasets row 39 (D033)</t>
  </si>
  <si>
    <t>DS-197</t>
  </si>
  <si>
    <t>A2D2 (Audi Autonomous Driving Dataset)</t>
  </si>
  <si>
    <t>2019; paper 2020; A2D2 (Audi Autonomous Driving Dataset)</t>
  </si>
  <si>
    <t>No pavement labels</t>
  </si>
  <si>
    <t>No pavement distress/surface-state labels documented; road and other semantic classes</t>
  </si>
  <si>
    <t>Image/point-cloud semantic labels; 3D boxes; unannotated sequences</t>
  </si>
  <si>
    <t>CC BY-ND 4.0</t>
  </si>
  <si>
    <t>41,277 annotated frames; 392,556 sequential unannotated frames</t>
  </si>
  <si>
    <t>Three cities in southern Germany</t>
  </si>
  <si>
    <t>Audi</t>
  </si>
  <si>
    <t>Distinct labeled nonsequential and unlabeled sequential sets. NoDerivatives terms warrant reviewing how new labels/derived images will be shared. Paper: https://arxiv.org/abs/2004.06320</t>
  </si>
  <si>
    <t>D035</t>
  </si>
  <si>
    <t>https://a2d2-dataset.github.io/</t>
  </si>
  <si>
    <t>https://registry.opendata.aws/aev-a2d2/</t>
  </si>
  <si>
    <t>AV_Pavement_Dataset_Inventory.xlsx!Datasets row 41 (D035)</t>
  </si>
  <si>
    <t>DS-198</t>
  </si>
  <si>
    <t>ACDC (Adverse Conditions Dataset with Correspondences)</t>
  </si>
  <si>
    <t>2021; later panoptic extension; ACDC (Adverse Conditions Dataset with Correspondences)</t>
  </si>
  <si>
    <t>Fog/night/rain/snow domain labels; road semantic masks, not pavement distress/surface-state measurements</t>
  </si>
  <si>
    <t>Pixel semantic/panoptic masks and uncertainty masks</t>
  </si>
  <si>
    <t>Custom noncommercial research license; no redistribution</t>
  </si>
  <si>
    <t>4,006 adverse images; 1,503 labeled normal counterparts in expanded annotation set</t>
  </si>
  <si>
    <t>Switzerland</t>
  </si>
  <si>
    <t>ETH Zurich / collaborators</t>
  </si>
  <si>
    <t>Rain/snow are scene domains, not explicit wetness/snow-coverage pavement annotations. License: https://acdc.vision.ee.ethz.ch/license</t>
  </si>
  <si>
    <t>D036</t>
  </si>
  <si>
    <t>https://acdc.vision.ee.ethz.ch/</t>
  </si>
  <si>
    <t>https://arxiv.org/abs/2104.13395</t>
  </si>
  <si>
    <t>AV_Pavement_Dataset_Inventory.xlsx!Datasets row 42 (D036)</t>
  </si>
  <si>
    <t>DS-199</t>
  </si>
  <si>
    <t>aiMotive Multimodal Dataset</t>
  </si>
  <si>
    <t>2022; paper 2023; aiMotive Multimodal Dataset</t>
  </si>
  <si>
    <t>No pavement distress/surface-state labels documented; 3D objects across day/night/rain</t>
  </si>
  <si>
    <t>3D bounding boxes with consistent temporal IDs</t>
  </si>
  <si>
    <t>Noncommercial research only</t>
  </si>
  <si>
    <t>176 scenes; approximately 85 GB</t>
  </si>
  <si>
    <t>Highway, urban and suburban locations; see paper for acquisition regions</t>
  </si>
  <si>
    <t>aiMotive</t>
  </si>
  <si>
    <t>Useful highway footage and long-range object labels; 'rain' is not pavement wetness ground truth.</t>
  </si>
  <si>
    <t>D037</t>
  </si>
  <si>
    <t>https://github.com/aimotive/aimotive_dataset</t>
  </si>
  <si>
    <t>https://arxiv.org/abs/2211.09445</t>
  </si>
  <si>
    <t>AV_Pavement_Dataset_Inventory.xlsx!Datasets row 43 (D037)</t>
  </si>
  <si>
    <t>DS-200</t>
  </si>
  <si>
    <t>ApolloScape Scene Parsing</t>
  </si>
  <si>
    <t>2018; ApolloScape Scene Parsing</t>
  </si>
  <si>
    <t>Scene/road semantics and 28 lane-marking types; no pavement distress/surface-state labels documented</t>
  </si>
  <si>
    <t>Pixel and instance masks; lane masks; depth/pose files</t>
  </si>
  <si>
    <t>Educational use only per official scene-parsing README; commercial use prohibited</t>
  </si>
  <si>
    <t>146,997 scene-parsing frames</t>
  </si>
  <si>
    <t>China</t>
  </si>
  <si>
    <t>Baidu Apollo</t>
  </si>
  <si>
    <t>Select Scene Parsing imagery. Trajectory-only sub-datasets do not satisfy camera requirement; lane types do not indicate pavement health.</t>
  </si>
  <si>
    <t>D038</t>
  </si>
  <si>
    <t>https://apolloscapeauto.github.io/dataset-api/</t>
  </si>
  <si>
    <t>https://github.com/ApolloScapeAuto/dataset-api/blob/master/scene_parsing/README.md</t>
  </si>
  <si>
    <t>AV_Pavement_Dataset_Inventory.xlsx!Datasets row 44 (D038)</t>
  </si>
  <si>
    <t>DS-201</t>
  </si>
  <si>
    <t>Argoverse 1.1 3D Tracking / Stereo</t>
  </si>
  <si>
    <t>2019; Argoverse 1.1 3D Tracking / Stereo</t>
  </si>
  <si>
    <t>No pavement distress/surface-state labels documented; 3D objects, maps and stereo disparity</t>
  </si>
  <si>
    <t>Timestamped images, JSON object tracks, HD maps</t>
  </si>
  <si>
    <t>CC BY-NC-SA 4.0; code MIT</t>
  </si>
  <si>
    <t>113 annotated tracking scenes; stereo data also provided</t>
  </si>
  <si>
    <t>Miami and Pittsburgh, USA</t>
  </si>
  <si>
    <t>Argo AI</t>
  </si>
  <si>
    <t>Select tracking/stereo files. The much larger motion-forecasting release is trajectories, not a comparable raw camera release.</t>
  </si>
  <si>
    <t>D039</t>
  </si>
  <si>
    <t>Argoverse family; distinct releases/tasks (DS-201, DS-202, DS-203)</t>
  </si>
  <si>
    <t>https://www.argoverse.org/av1.html</t>
  </si>
  <si>
    <t>AV_Pavement_Dataset_Inventory.xlsx!Datasets row 45 (D039)</t>
  </si>
  <si>
    <t>DS-202</t>
  </si>
  <si>
    <t>Argoverse 2 Map Change</t>
  </si>
  <si>
    <t>2023; Argoverse 2 Map Change</t>
  </si>
  <si>
    <t>Map change labels, including repainted lanes/new crosswalks; no pavement distress severity</t>
  </si>
  <si>
    <t>Temporal annotations identifying a map change within 30 m</t>
  </si>
  <si>
    <t>1,000 scenarios; 200 with real map changes</t>
  </si>
  <si>
    <t>Six US cities in Argoverse 2</t>
  </si>
  <si>
    <t>Useful if 'pavement condition' includes changed markings; map mismatch is not a crack/pothole or lane-marking wear label. Avoid summing overlapping Argoverse-family material as independent miles.</t>
  </si>
  <si>
    <t>D040</t>
  </si>
  <si>
    <t>https://www.argoverse.org/av2.html</t>
  </si>
  <si>
    <t>AV_Pavement_Dataset_Inventory.xlsx!Datasets row 46 (D040)</t>
  </si>
  <si>
    <t>DS-203</t>
  </si>
  <si>
    <t>Argoverse 2 Sensor</t>
  </si>
  <si>
    <t>2022; Argoverse 2 Sensor</t>
  </si>
  <si>
    <t>No pavement distress/surface-state labels documented; road maps and 3D objects</t>
  </si>
  <si>
    <t>Camera image sequences, 3D object annotations, HD maps</t>
  </si>
  <si>
    <t>1,000 approximately 15-second scenes; 4.2 hours; about 1 TB extracted</t>
  </si>
  <si>
    <t>Austin, Detroit, Miami, Pittsburgh, Palo Alto, Washington DC</t>
  </si>
  <si>
    <t>Do not confuse with AV2 Lidar or Motion Forecasting datasets, which do not supply the same camera content.</t>
  </si>
  <si>
    <t>D041</t>
  </si>
  <si>
    <t>https://argoverse.github.io/user-guide/datasets/sensor.html</t>
  </si>
  <si>
    <t>AV_Pavement_Dataset_Inventory.xlsx!Datasets row 47 (D041)</t>
  </si>
  <si>
    <t>DS-204</t>
  </si>
  <si>
    <t>Aurora Multi-Sensor Dataset / Pit30M</t>
  </si>
  <si>
    <t>2020 paper; 2023 public release; Aurora Multi-Sensor Dataset / Pit30M</t>
  </si>
  <si>
    <t>Weather metadata and semantic segmentation; no pavement distress/severity annotations documented</t>
  </si>
  <si>
    <t>Images, LiDAR, localization ground truth and metadata; Python SDK</t>
  </si>
  <si>
    <t>CC BY-NC-SA 4.0; intended for noncommercial academic use</t>
  </si>
  <si>
    <t>More than 30 million image/LiDAR frames (paper)</t>
  </si>
  <si>
    <t>Pittsburgh metropolitan area, USA; captured January 2017-February 2018</t>
  </si>
  <si>
    <t>Aurora (via Uber ATG) and University of Toronto</t>
  </si>
  <si>
    <t>Deduplicated: Aurora Multi-Sensor and Pit30M are the same release family. Does not fill the request for Aurora truck-camera data.</t>
  </si>
  <si>
    <t>D042</t>
  </si>
  <si>
    <t>https://pit30m.github.io/</t>
  </si>
  <si>
    <t>https://github.com/awslabs/open-data-registry/blob/main/datasets/aurora_msds.yaml</t>
  </si>
  <si>
    <t>AV_Pavement_Dataset_Inventory.xlsx!Datasets row 48 (D042)</t>
  </si>
  <si>
    <t>DS-205</t>
  </si>
  <si>
    <t>BDD100K</t>
  </si>
  <si>
    <t>2018; paper 2020; BDD100K</t>
  </si>
  <si>
    <t>Weather/time/scene tags, drivable areas and lanes; no direct pavement distress labels in standard tasks</t>
  </si>
  <si>
    <t>JSON labels; road/lane masks; object detection and tracking</t>
  </si>
  <si>
    <t>Dataset-specific BDD100K terms; verify before downloading/reusing</t>
  </si>
  <si>
    <t>100,000 videos; over 1,000 hours</t>
  </si>
  <si>
    <t>UC Berkeley / Nexar</t>
  </si>
  <si>
    <t>Weather such as rainy/snowy does not directly establish road wetness or distress. Bulk download availability was not validated.</t>
  </si>
  <si>
    <t>D043</t>
  </si>
  <si>
    <t>https://github.com/bdd100k/bdd100k</t>
  </si>
  <si>
    <t>https://bair.berkeley.edu/blog/2018/05/30/bdd/</t>
  </si>
  <si>
    <t>AV_Pavement_Dataset_Inventory.xlsx!Datasets row 49 (D043)</t>
  </si>
  <si>
    <t>DS-206</t>
  </si>
  <si>
    <t>Boreas / Boreas Road Trip (Boreas-RT)</t>
  </si>
  <si>
    <t>2021–2023; Boreas-RT 2026; Boreas / Boreas Road Trip (Boreas-RT)</t>
  </si>
  <si>
    <t>No pavement distress/surface-state labels documented; seasonal/weather coverage and pose/object annotations</t>
  </si>
  <si>
    <t>Timestamped sensor files, poses; Boreas 3D object boxes</t>
  </si>
  <si>
    <t>CC BY 4.0 for both datasets</t>
  </si>
  <si>
    <t>Original Boreas over 350 km; RT is separate multi-route extension</t>
  </si>
  <si>
    <t>Canada</t>
  </si>
  <si>
    <t>University of Toronto UTIAS ASRL</t>
  </si>
  <si>
    <t>All-weather imagery supports manual pavement labeling. Sensors are timestamped rather than strictly simultaneous. License: https://github.com/utiasASRL/pyboreas/blob/master/DATA_LICENSE.md</t>
  </si>
  <si>
    <t>D044</t>
  </si>
  <si>
    <t>https://www.boreas.utias.utoronto.ca/</t>
  </si>
  <si>
    <t>https://github.com/utiasASRL/pyboreas</t>
  </si>
  <si>
    <t>AV_Pavement_Dataset_Inventory.xlsx!Datasets row 50 (D044)</t>
  </si>
  <si>
    <t>DS-207</t>
  </si>
  <si>
    <t>Canadian Adverse Driving Conditions (CADC) / CADC+</t>
  </si>
  <si>
    <t>2020; CADC+ 2025; Canadian Adverse Driving Conditions (CADC) / CADC+</t>
  </si>
  <si>
    <t>Winter/weather domains and 3D objects; direct pavement distress or measured friction labels not documented</t>
  </si>
  <si>
    <t>Timestamped images and 3D object boxes/tracks</t>
  </si>
  <si>
    <t>CADC CC BY-NC 4.0; confirm CADC+ package terms separately</t>
  </si>
  <si>
    <t>Original CADC 7,000 synchronized frames (56,000 camera images)</t>
  </si>
  <si>
    <t>Waterloo region, Canada</t>
  </si>
  <si>
    <t>University of Waterloo / University of Toronto</t>
  </si>
  <si>
    <t>Snow-focused collection is useful, but do not relabel snowy weather as snow-covered pavement automatically. Extension: https://uwaterloo.ca/waterloo-intelligent-systems-engineering-lab/cadc-plus</t>
  </si>
  <si>
    <t>D045</t>
  </si>
  <si>
    <t>https://github.com/mpitropov/cadc_devkit</t>
  </si>
  <si>
    <t>https://arxiv.org/abs/2001.10117</t>
  </si>
  <si>
    <t>AV_Pavement_Dataset_Inventory.xlsx!Datasets row 51 (D045)</t>
  </si>
  <si>
    <t>DS-208</t>
  </si>
  <si>
    <t>Cityscapes</t>
  </si>
  <si>
    <t>2016; Cityscapes</t>
  </si>
  <si>
    <t>Road/sidewalk/lane-related scene semantics; no pavement distress or surface-state labels</t>
  </si>
  <si>
    <t>Pixel semantic, instance and panoptic annotations</t>
  </si>
  <si>
    <t>Custom noncommercial research terms</t>
  </si>
  <si>
    <t>5,000 finely labeled plus 20,000 coarsely labeled frames; 50 cities</t>
  </si>
  <si>
    <t>European cities, predominantly Germany</t>
  </si>
  <si>
    <t>Daimler / Max Planck Institute / TU Darmstadt</t>
  </si>
  <si>
    <t>Use image-sequence downloads for temporal footage; most dense labels are selected keyframes only.</t>
  </si>
  <si>
    <t>D046</t>
  </si>
  <si>
    <t>https://www.cityscapes-dataset.com/</t>
  </si>
  <si>
    <t>AV_Pavement_Dataset_Inventory.xlsx!Datasets row 52 (D046)</t>
  </si>
  <si>
    <t>DS-209</t>
  </si>
  <si>
    <t>comma10k</t>
  </si>
  <si>
    <t>2020; comma10k</t>
  </si>
  <si>
    <t>Road, lane markings and undrivable masks; no crack/pothole/surface-state labels</t>
  </si>
  <si>
    <t>PNG semantic segmentation masks</t>
  </si>
  <si>
    <t>MIT, explicitly stated for dataset</t>
  </si>
  <si>
    <t>10,000 original road-facing images plus later extensions</t>
  </si>
  <si>
    <t>Crowdsourced fleet; diverse locations</t>
  </si>
  <si>
    <t>comma.ai and public annotators</t>
  </si>
  <si>
    <t>Use exterior imgs/imgs2 sets; imgsd is driver-facing. Still images, not continuous footage. Newer set annotation completeness varies.</t>
  </si>
  <si>
    <t>D047</t>
  </si>
  <si>
    <t>https://github.com/commaai/comma10k</t>
  </si>
  <si>
    <t>AV_Pavement_Dataset_Inventory.xlsx!Datasets row 53 (D047)</t>
  </si>
  <si>
    <t>DS-210</t>
  </si>
  <si>
    <t>comma2k19</t>
  </si>
  <si>
    <t>2018; comma2k19</t>
  </si>
  <si>
    <t>No pavement distress/surface-state labels supplied</t>
  </si>
  <si>
    <t>Unlabeled video; Cap'n Proto raw logs and NumPy pose arrays</t>
  </si>
  <si>
    <t>Repository MIT; review downloaded data notices</t>
  </si>
  <si>
    <t>2,019 one-minute segments; over 33 hours; approximately 100 GB</t>
  </si>
  <si>
    <t>California I-280, San Jose–San Francisco corridor</t>
  </si>
  <si>
    <t>comma.ai</t>
  </si>
  <si>
    <t>Strong semi-autonomous/ADAS context, but not Tesla/Rivian. Highway-focused. Windows extraction needs documented filename workaround.</t>
  </si>
  <si>
    <t>D048</t>
  </si>
  <si>
    <t>https://github.com/commaai/comma2k19</t>
  </si>
  <si>
    <t>AV_Pavement_Dataset_Inventory.xlsx!Datasets row 54 (D048)</t>
  </si>
  <si>
    <t>DS-211</t>
  </si>
  <si>
    <t>D2-City</t>
  </si>
  <si>
    <t>2019; D2-City</t>
  </si>
  <si>
    <t>Traffic/scene/weather diversity; no pavement distress/surface-state labels verified</t>
  </si>
  <si>
    <t>Object detection/tracking annotations</t>
  </si>
  <si>
    <t>Original dataset terms must be obtained; not verified</t>
  </si>
  <si>
    <t>More than 10,000 video clips</t>
  </si>
  <si>
    <t>DiDi</t>
  </si>
  <si>
    <t>Historical lead rather than confirmed accessible download. Do not use unrelated third-party 'D2-City' metadata as provenance.</t>
  </si>
  <si>
    <t>D049</t>
  </si>
  <si>
    <t>https://arxiv.org/abs/1904.01975</t>
  </si>
  <si>
    <t>AV_Pavement_Dataset_Inventory.xlsx!Datasets row 55 (D049)</t>
  </si>
  <si>
    <t>DS-212</t>
  </si>
  <si>
    <t>Ford Multi-AV Seasonal Dataset</t>
  </si>
  <si>
    <t>2020 (captured 2017–2018); Ford Multi-AV Seasonal Dataset</t>
  </si>
  <si>
    <t>No pavement distress/surface-state labels documented; seasonal variation, construction and weather</t>
  </si>
  <si>
    <t>ROS bags, PNGs, YAML calibration, pose/map files</t>
  </si>
  <si>
    <t>CC BY-NC-SA 4.0; noncommercial academic use</t>
  </si>
  <si>
    <t>Multiple dated multi-vehicle logs; download per date/vehicle</t>
  </si>
  <si>
    <t>Michigan, USA; airport/freeway/city/campus/suburbs</t>
  </si>
  <si>
    <t>Ford</t>
  </si>
  <si>
    <t>Especially clear capture-mode disclosure: AV platform does not mean engaged autonomy. Front dash camera 5 MP at 6 Hz; other cameras 15 Hz.</t>
  </si>
  <si>
    <t>D050</t>
  </si>
  <si>
    <t>https://avdata.ford.com/home/default.aspx</t>
  </si>
  <si>
    <t>https://avdata.ford.com/data/default.aspx</t>
  </si>
  <si>
    <t>AV_Pavement_Dataset_Inventory.xlsx!Datasets row 56 (D050)</t>
  </si>
  <si>
    <t>DS-213</t>
  </si>
  <si>
    <t>India Driving Dataset (IDD)</t>
  </si>
  <si>
    <t>2018–2019; India Driving Dataset (IDD)</t>
  </si>
  <si>
    <t>Road/drivable-fallback semantics distinguish some muddy roadside regions; no distress severity labels</t>
  </si>
  <si>
    <t>Hierarchical pixel semantic masks; separate object boxes</t>
  </si>
  <si>
    <t>Dataset-specific terms visible at download; not verified without login</t>
  </si>
  <si>
    <t>10,003 segmentation images; 46,588 detection images</t>
  </si>
  <si>
    <t>Hyderabad, Bangalore and outskirts, India</t>
  </si>
  <si>
    <t>IIIT Hyderabad / Intel / collaborators</t>
  </si>
  <si>
    <t>Useful rough/unstructured road appearances. Drivable-fallback labels are not equivalent to pothole/crack or surface-material annotations.</t>
  </si>
  <si>
    <t>D051</t>
  </si>
  <si>
    <t>https://idd.insaan.iiit.ac.in/dataset/details/</t>
  </si>
  <si>
    <t>AV_Pavement_Dataset_Inventory.xlsx!Datasets row 57 (D051)</t>
  </si>
  <si>
    <t>DS-214</t>
  </si>
  <si>
    <t>KITTI Raw (with KITTI benchmark family)</t>
  </si>
  <si>
    <t>2012; KITTI Raw (with KITTI benchmark family)</t>
  </si>
  <si>
    <t>No pavement distress/surface-state labels documented; raw object tracklets and separate road benchmark masks</t>
  </si>
  <si>
    <t>PNG imagery; XML tracklets; calibration and poses</t>
  </si>
  <si>
    <t>CC BY-NC-SA 3.0 dataset terms</t>
  </si>
  <si>
    <t>Multiple city/residential/road/campus sequences; subset-dependent size</t>
  </si>
  <si>
    <t>Karlsruhe area, Germany</t>
  </si>
  <si>
    <t>Karlsruhe Institute of Technology / Toyota Technological Institute at Chicago</t>
  </si>
  <si>
    <t>KITTI road masks identify road/drivable regions, not road damage. Existing benchmark derivatives often reuse raw sequences.</t>
  </si>
  <si>
    <t>D052</t>
  </si>
  <si>
    <t>KITTI family; distinct acquisitions (DS-214, DS-215)</t>
  </si>
  <si>
    <t>https://www.cvlibs.net/datasets/kitti/raw_data.php</t>
  </si>
  <si>
    <t>AV_Pavement_Dataset_Inventory.xlsx!Datasets row 58 (D052)</t>
  </si>
  <si>
    <t>DS-215</t>
  </si>
  <si>
    <t>KITTI-360</t>
  </si>
  <si>
    <t>2020; paper 2022; KITTI-360</t>
  </si>
  <si>
    <t>No pavement distress/surface-state labels documented; dense semantic road/scene labels</t>
  </si>
  <si>
    <t>2D/3D semantic and instance labels; bounding primitives</t>
  </si>
  <si>
    <t>Over 320k images; 73.7 km; about 100k laser scans</t>
  </si>
  <si>
    <t>Karlsruhe suburbs, Germany</t>
  </si>
  <si>
    <t>Autonomous Vision Group / KIT / collaborators</t>
  </si>
  <si>
    <t>Distinct acquisition from KITTI Raw. Image sequence and geolocation useful for creating new pavement annotations.</t>
  </si>
  <si>
    <t>D053</t>
  </si>
  <si>
    <t>https://www.cvlibs.net/datasets/kitti-360/</t>
  </si>
  <si>
    <t>AV_Pavement_Dataset_Inventory.xlsx!Datasets row 59 (D053)</t>
  </si>
  <si>
    <t>DS-216</t>
  </si>
  <si>
    <t>MAN TruckScenes</t>
  </si>
  <si>
    <t>2024; MAN TruckScenes</t>
  </si>
  <si>
    <t>34 scene tags include weather/lighting/area; no pavement distress or severity labels documented</t>
  </si>
  <si>
    <t>JPEG sequences; nuScenes-style JSON; 3D boxes, tracking and scene tags</t>
  </si>
  <si>
    <t>747 scenes of about 20 seconds; boxes at 2 Hz</t>
  </si>
  <si>
    <t>Germany; highways, terminals, rural and urban roads</t>
  </si>
  <si>
    <t>MAN Truck &amp; Bus and Technical University of Munich</t>
  </si>
  <si>
    <t>Strong real truck alternative to Aurora. Rain and snow coverage does not imply wet/icy pavement ground truth. Paper: https://arxiv.org/abs/2407.07462</t>
  </si>
  <si>
    <t>D054</t>
  </si>
  <si>
    <t>https://www.man.eu/truckscenes</t>
  </si>
  <si>
    <t>https://registry.opendata.aws/man-truckscenes/</t>
  </si>
  <si>
    <t>AV_Pavement_Dataset_Inventory.xlsx!Datasets row 60 (D054)</t>
  </si>
  <si>
    <t>DS-217</t>
  </si>
  <si>
    <t>NATIX Multi-Camera Driving Dataset</t>
  </si>
  <si>
    <t>2026; NATIX Multi-Camera Driving Dataset</t>
  </si>
  <si>
    <t>None documented; weather and OSM road-type metadata are not pavement condition</t>
  </si>
  <si>
    <t>GPS CSV, camera calibration and JSON trip metadata</t>
  </si>
  <si>
    <t>First public release: 100 hours; planned expansion is not counted</t>
  </si>
  <si>
    <t>Multiple countries; US and Switzerland in release documentation</t>
  </si>
  <si>
    <t>NATIX; Tesla owners (not Tesla Inc.)</t>
  </si>
  <si>
    <t>Consumer GPS may omit frame rows. A useful pool for adding pavement labels; Tesla is the vehicle/camera source, not the publisher.</t>
  </si>
  <si>
    <t>D055</t>
  </si>
  <si>
    <t>https://huggingface.co/datasets/natix-network-org/natix-multi-camera-driving-dataset</t>
  </si>
  <si>
    <t>AV_Pavement_Dataset_Inventory.xlsx!Datasets row 61 (D055)</t>
  </si>
  <si>
    <t>DS-218</t>
  </si>
  <si>
    <t>NATIX Safety Critical Driving Events Dataset</t>
  </si>
  <si>
    <t>2026; NATIX Safety Critical Driving Events Dataset</t>
  </si>
  <si>
    <t>None documented; harsh braking/acceleration/turning are vehicle behavior events</t>
  </si>
  <si>
    <t>JSON telemetry-detected events; GPS, brake and Autopilot state</t>
  </si>
  <si>
    <t>32 minutes; 24 trips; 45 events; 178 MP4 clips; 7.68 GB stated</t>
  </si>
  <si>
    <t>Ten US states</t>
  </si>
  <si>
    <t>NATIX; Tesla-dashcam capture ecosystem</t>
  </si>
  <si>
    <t>Released September 17, 2026. Event timing is approximate. Braking events must not be interpreted as pavement defects without inspecting and labeling the footage.</t>
  </si>
  <si>
    <t>D056</t>
  </si>
  <si>
    <t>https://huggingface.co/datasets/natix-network-org/natix-safety-critical-driving-events-dataset</t>
  </si>
  <si>
    <t>https://www.natix.network/blog/natix-safety-critical-driving-events-dataset-with-vehicle-telemetry</t>
  </si>
  <si>
    <t>AV_Pavement_Dataset_Inventory.xlsx!Datasets row 62 (D056)</t>
  </si>
  <si>
    <t>DS-219</t>
  </si>
  <si>
    <t>nuImages</t>
  </si>
  <si>
    <t>2020; nuImages</t>
  </si>
  <si>
    <t>No pavement distress/surface-state labels documented; road/background segmentation only</t>
  </si>
  <si>
    <t>2D object boxes, instance masks, background semantic masks</t>
  </si>
  <si>
    <t>Noncommercial dataset terms; commercial licensing by request</t>
  </si>
  <si>
    <t>93k annotated images; about 1.1 million unannotated images; 93k clips</t>
  </si>
  <si>
    <t>Boston, USA; Singapore</t>
  </si>
  <si>
    <t>Motional</t>
  </si>
  <si>
    <t>Useful companion to nuScenes for image models; dataset size is distinct from nuScenes. Six-second clips are delivered as sampled imagery rather than necessarily encoded videos.</t>
  </si>
  <si>
    <t>D057</t>
  </si>
  <si>
    <t>Motional family; distinct datasets (DS-219, DS-220, DS-221)</t>
  </si>
  <si>
    <t>https://www.nuscenes.org/nuimages</t>
  </si>
  <si>
    <t>https://www.nuscenes.org/</t>
  </si>
  <si>
    <t>AV_Pavement_Dataset_Inventory.xlsx!Datasets row 63 (D057)</t>
  </si>
  <si>
    <t>DS-220</t>
  </si>
  <si>
    <t>nuPlan (raw sensor release)</t>
  </si>
  <si>
    <t>2021; sensor release 2023; nuPlan (raw sensor release)</t>
  </si>
  <si>
    <t>No pavement distress/surface-state labels documented; HD road geometry, object tracks, scenario types</t>
  </si>
  <si>
    <t>Sensor blobs plus database metadata/auto-labeled tracks</t>
  </si>
  <si>
    <t>120 hours released raw sensor data; 1,200 hours total planning data</t>
  </si>
  <si>
    <t>Boston, Pittsburgh, Las Vegas; Singapore</t>
  </si>
  <si>
    <t>Do not count all 1,200 planning hours as available camera footage. Current homepage explicitly states 120h sensor release.</t>
  </si>
  <si>
    <t>D058</t>
  </si>
  <si>
    <t>https://www.nuscenes.org/nuplan</t>
  </si>
  <si>
    <t>AV_Pavement_Dataset_Inventory.xlsx!Datasets row 64 (D058)</t>
  </si>
  <si>
    <t>DS-221</t>
  </si>
  <si>
    <t>nuScenes</t>
  </si>
  <si>
    <t>2019; nuScenes</t>
  </si>
  <si>
    <t>No pavement distress or surface-state labels documented; object boxes and road/drivable-area semantics</t>
  </si>
  <si>
    <t>JSON metadata and 3D objects; lidar semantic labels; map layers</t>
  </si>
  <si>
    <t>1,000 x 20-second scenes; approximately 1.4 million camera images</t>
  </si>
  <si>
    <t>Motional (formerly nuTonomy)</t>
  </si>
  <si>
    <t>Scene descriptions/weather diversity can guide sampling; road class does not measure pavement health. Annotation density differs from image frame rate.</t>
  </si>
  <si>
    <t>D059</t>
  </si>
  <si>
    <t>https://www.nuscenes.org/nuscenes</t>
  </si>
  <si>
    <t>https://www.nuscenes.org/data-format</t>
  </si>
  <si>
    <t>AV_Pavement_Dataset_Inventory.xlsx!Datasets row 65 (D059)</t>
  </si>
  <si>
    <t>DS-222</t>
  </si>
  <si>
    <t>NVIDIA PhysicalAI Autonomous Vehicles</t>
  </si>
  <si>
    <t>2025; updated 2026; NVIDIA PhysicalAI Autonomous Vehicles</t>
  </si>
  <si>
    <t>No pavement distress or validated surface-state labels documented in reviewed card; captions/reasoning/road labels are not PCI</t>
  </si>
  <si>
    <t>MP4 camera clips, sensor archives, calibration and ego-motion metadata</t>
  </si>
  <si>
    <t>Custom NVIDIA AV Dataset License; internal AV/ADAS development using NVIDIA technology; redistribution restrictions</t>
  </si>
  <si>
    <t>1,700 hours; 306,152 x 20-second clips</t>
  </si>
  <si>
    <t>25 countries; 2,500+ cities</t>
  </si>
  <si>
    <t>NVIDIA</t>
  </si>
  <si>
    <t>Very large recent source. Commercial/noncommercial AV use subject to terms; not a general-purpose open license. Do not assume similarly named synthetic/NuRec releases are original footage.</t>
  </si>
  <si>
    <t>D060</t>
  </si>
  <si>
    <t>https://huggingface.co/datasets/nvidia/PhysicalAI-Autonomous-Vehicles</t>
  </si>
  <si>
    <t>AV_Pavement_Dataset_Inventory.xlsx!Datasets row 66 (D060)</t>
  </si>
  <si>
    <t>DS-223</t>
  </si>
  <si>
    <t>ONCE (One Million Scenes)</t>
  </si>
  <si>
    <t>2021; ONCE (One Million Scenes)</t>
  </si>
  <si>
    <t>No pavement distress/surface-state labels documented; object annotations and later 3D lane extension</t>
  </si>
  <si>
    <t>3D object boxes; JSON scene data</t>
  </si>
  <si>
    <t>Dataset-specific terms; license not verified from accessible download page</t>
  </si>
  <si>
    <t>1 million lidar scenes; 7 million camera images; 144 hours</t>
  </si>
  <si>
    <t>200 square km of driving regions in China</t>
  </si>
  <si>
    <t>Huawei</t>
  </si>
  <si>
    <t>Weather diversity is not a surface-condition label. Only about 15k scenes have object labels; most data unannotated.</t>
  </si>
  <si>
    <t>D061</t>
  </si>
  <si>
    <t>https://once-for-auto-driving.github.io/index.html</t>
  </si>
  <si>
    <t>https://once-for-auto-driving.github.io/download.html</t>
  </si>
  <si>
    <t>AV_Pavement_Dataset_Inventory.xlsx!Datasets row 67 (D061)</t>
  </si>
  <si>
    <t>DS-224</t>
  </si>
  <si>
    <t>OpenDV-YouTube / OpenDV-2K suite</t>
  </si>
  <si>
    <t>2024; OpenDV-YouTube / OpenDV-2K suite</t>
  </si>
  <si>
    <t>Web driving videos</t>
  </si>
  <si>
    <t>Generated language annotations; no structured verified pavement condition labels</t>
  </si>
  <si>
    <t>Video URLs, extracted frames and language annotations</t>
  </si>
  <si>
    <t>Underlying YouTube/source-dataset terms; repository Apache-2.0 does not relicense videos</t>
  </si>
  <si>
    <t>Source-video links</t>
  </si>
  <si>
    <t>Over 1,700h released YouTube portion; 25h mini; paper's combined OpenDV-2K suite 2,059h</t>
  </si>
  <si>
    <t>244+ cities in 40 countries (YouTube portion)</t>
  </si>
  <si>
    <t>OpenDriveLab / GenAD authors; source video creators</t>
  </si>
  <si>
    <t>Not a downloadable OEM AV fleet dataset. Full suite includes reused public datasets; authors do not release annotations for its other sampled source datasets. Avoid double-counting underlying footage.</t>
  </si>
  <si>
    <t>D062</t>
  </si>
  <si>
    <t>https://github.com/OpenDriveLab/DriveAGI</t>
  </si>
  <si>
    <t>AV_Pavement_Dataset_Inventory.xlsx!Datasets row 68 (D062)</t>
  </si>
  <si>
    <t>DS-225</t>
  </si>
  <si>
    <t>Oxford RobotCar / Radar RobotCar</t>
  </si>
  <si>
    <t>2016–2017; radar extension 2019; Oxford RobotCar / Radar RobotCar</t>
  </si>
  <si>
    <t>No pavement distress/surface-state labels documented; repeated seasons, weather and roadworks</t>
  </si>
  <si>
    <t>Timestamped images/sensors, calibration, ground-truth poses</t>
  </si>
  <si>
    <t>CC BY-NC-SA 4.0 plus access terms; academic noncommercial robotics research</t>
  </si>
  <si>
    <t>Original: over 100 repetitions of route, about 1,000 km; radar extension 4.7 TB</t>
  </si>
  <si>
    <t>Oxford, UK</t>
  </si>
  <si>
    <t>University of Oxford Robotics Institute</t>
  </si>
  <si>
    <t>Useful repeat-route footage. Current access page rejects nonacademic email registrations; do not call this unrestricted open data. Radar extension: https://oxford-robotics-institute.github.io/radar-robotcar-dataset/datasets</t>
  </si>
  <si>
    <t>D063</t>
  </si>
  <si>
    <t>https://robotcar-dataset.robots.ox.ac.uk/</t>
  </si>
  <si>
    <t>https://mrgdatashare.robots.ox.ac.uk/register/</t>
  </si>
  <si>
    <t>AV_Pavement_Dataset_Inventory.xlsx!Datasets row 69 (D063)</t>
  </si>
  <si>
    <t>DS-226</t>
  </si>
  <si>
    <t>PandaSet</t>
  </si>
  <si>
    <t>2019; paper 2021; PandaSet</t>
  </si>
  <si>
    <t>No pavement distress/surface-state labels documented; object and lidar semantic labels</t>
  </si>
  <si>
    <t>JPEG sequences; 3D cuboids and point semantic classes</t>
  </si>
  <si>
    <t>Paper describes no-cost commercial license; obtain actual dataset terms with authorized copy</t>
  </si>
  <si>
    <t>100+ eight-second scenes; 80 frames per sensor sequence</t>
  </si>
  <si>
    <t>San Francisco Bay Area, USA</t>
  </si>
  <si>
    <t>Hesai / Scale AI</t>
  </si>
  <si>
    <t>Do not equate working devkit with verified working bulk download. Contact provider or confirm authorized mirror and data license.</t>
  </si>
  <si>
    <t>D064</t>
  </si>
  <si>
    <t>https://github.com/scaleapi/pandaset-devkit</t>
  </si>
  <si>
    <t>https://arxiv.org/abs/2112.12610</t>
  </si>
  <si>
    <t>AV_Pavement_Dataset_Inventory.xlsx!Datasets row 70 (D064)</t>
  </si>
  <si>
    <t>DS-227</t>
  </si>
  <si>
    <t>RADIATE</t>
  </si>
  <si>
    <t>2020–2021; RADIATE</t>
  </si>
  <si>
    <t>Weather/scenario categories; object annotations; no pavement distress/surface-state labels documented</t>
  </si>
  <si>
    <t>Radar-domain object boxes/tracks plus calibrated camera frames</t>
  </si>
  <si>
    <t>About 3 hours; over 200k annotated object instances</t>
  </si>
  <si>
    <t>UK</t>
  </si>
  <si>
    <t>Heriot-Watt University</t>
  </si>
  <si>
    <t>Camera streams are included even though benchmark centers on radar. Heavy snow/fog may make pavement invisible; inspect subset suitability.</t>
  </si>
  <si>
    <t>D065</t>
  </si>
  <si>
    <t>https://pro.hw.ac.uk/radiate/</t>
  </si>
  <si>
    <t>https://pro.hw.ac.uk/radiate/doc/dataset/</t>
  </si>
  <si>
    <t>AV_Pavement_Dataset_Inventory.xlsx!Datasets row 71 (D065)</t>
  </si>
  <si>
    <t>DS-228</t>
  </si>
  <si>
    <t>TruckDrive</t>
  </si>
  <si>
    <t>2026; TruckDrive</t>
  </si>
  <si>
    <t>No pavement-condition labels documented; object/scene annotations and depth supervision</t>
  </si>
  <si>
    <t>Camera/LiDAR/radar archives; annotations and poses via devkit</t>
  </si>
  <si>
    <t>Torc custom noncommercial/commercial license files; check applicable terms</t>
  </si>
  <si>
    <t>475k synchronized samples; 165k annotated frames; 3,828 sequences, 15-25 seconds each</t>
  </si>
  <si>
    <t>US public roads; licensed material excludes Illinois and California footage</t>
  </si>
  <si>
    <t>Torc Robotics and Princeton University</t>
  </si>
  <si>
    <t>CVPR 2026. Useful current real truck camera dataset. Object annotation ranges reach 1,000 m in 2D and 400 m in 3D; not pavement labels.</t>
  </si>
  <si>
    <t>D066</t>
  </si>
  <si>
    <t>https://huggingface.co/datasets/Torc-Robotics/TruckDrive</t>
  </si>
  <si>
    <t>AV_Pavement_Dataset_Inventory.xlsx!Datasets row 72 (D066)</t>
  </si>
  <si>
    <t>DS-229</t>
  </si>
  <si>
    <t>TuSimple Lane Detection Benchmark</t>
  </si>
  <si>
    <t>2017; TuSimple Lane Detection Benchmark</t>
  </si>
  <si>
    <t>None; lane marking geometry only, not marking quality or pavement condition</t>
  </si>
  <si>
    <t>JSON lane polylines on last frame of each clip</t>
  </si>
  <si>
    <t>Confirm dataset terms with provider/mirror; code license does not establish data rights</t>
  </si>
  <si>
    <t>3,626 training clips + 2,782 test clips</t>
  </si>
  <si>
    <t>Highway driving; precise geography not specified on cited official readme</t>
  </si>
  <si>
    <t>TuSimple</t>
  </si>
  <si>
    <t>Repository-endorsed mirror: https://www.kaggle.com/datasets/manideep1108/tusimple . Includes sequence context but labels only final frame.</t>
  </si>
  <si>
    <t>D067</t>
  </si>
  <si>
    <t>https://github.com/TuSimple/tusimple-benchmark/issues/3</t>
  </si>
  <si>
    <t>https://github.com/TuSimple/tusimple-benchmark/blob/master/doc/lane_detection/readme.md</t>
  </si>
  <si>
    <t>AV_Pavement_Dataset_Inventory.xlsx!Datasets row 73 (D067)</t>
  </si>
  <si>
    <t>DS-230</t>
  </si>
  <si>
    <t>Waymo Open Dataset - End-to-End Driving</t>
  </si>
  <si>
    <t>2025; Waymo Open Dataset - End-to-End Driving</t>
  </si>
  <si>
    <t>No pavement distress labels; construction/debris scenario clusters are related context</t>
  </si>
  <si>
    <t>TFRecord; ego states, route commands, future trajectories and rater feedback</t>
  </si>
  <si>
    <t>Waymo Dataset License; noncommercial research restrictions</t>
  </si>
  <si>
    <t>Detailed data page: 4,021 segments (2,037 train / 479 validation / 1,505 test)</t>
  </si>
  <si>
    <t>Multiple US cities</t>
  </si>
  <si>
    <t>Waymo</t>
  </si>
  <si>
    <t>Official overview instead advertises 5,000 segments. Detailed split counts are retained here; verify the downloaded version manifest. No per-segment autonomy-state label.</t>
  </si>
  <si>
    <t>D068</t>
  </si>
  <si>
    <t>Waymo family; distinct tasks/releases (DS-230, DS-231)</t>
  </si>
  <si>
    <t>https://waymo.com/open/download/</t>
  </si>
  <si>
    <t>https://waymo.com/intl/fil/open/data/e2e/</t>
  </si>
  <si>
    <t>AV_Pavement_Dataset_Inventory.xlsx!Datasets row 74 (D068)</t>
  </si>
  <si>
    <t>DS-231</t>
  </si>
  <si>
    <t>Waymo Open Dataset - Perception</t>
  </si>
  <si>
    <t>2019; expanded releases through 2024; Waymo Open Dataset - Perception</t>
  </si>
  <si>
    <t>No crack/pothole/roughness/wetness labels documented. Road/lane semantic classes and mapped speed bumps available</t>
  </si>
  <si>
    <t>2D/3D boxes; panoptic segmentation subset; Parquet or TFRecord; map polylines/polygons</t>
  </si>
  <si>
    <t>Waymo Dataset License; noncommercial research restrictions; not the code's Apache license</t>
  </si>
  <si>
    <t>2,030 segments; camera panoptic labels on 100k images / 2,860 temporal sequences</t>
  </si>
  <si>
    <t>US cities including San Francisco, Phoenix and Mountain View</t>
  </si>
  <si>
    <t>Road segmentation identifies road area, not pavement condition. See https://waymo.com/open/faq/ for mixed driving modes. Maps require the compatible v1 release.</t>
  </si>
  <si>
    <t>D069</t>
  </si>
  <si>
    <t>https://waymo.com/intl/it/open/data/perception/</t>
  </si>
  <si>
    <t>AV_Pavement_Dataset_Inventory.xlsx!Datasets row 75 (D069)</t>
  </si>
  <si>
    <t>DS-232</t>
  </si>
  <si>
    <t>TruckV2X</t>
  </si>
  <si>
    <t>2025; TruckV2X</t>
  </si>
  <si>
    <t>Synthetic sequences</t>
  </si>
  <si>
    <t>Simulation</t>
  </si>
  <si>
    <t>No pavement-condition labels documented; object boxes/IDs/velocities</t>
  </si>
  <si>
    <t>JPEG, PCD and YAML; OpenCOOD-compatible structure</t>
  </si>
  <si>
    <t>MIT per dataset card</t>
  </si>
  <si>
    <t>64 scenarios; about 1 million camera images; 149.6 GB</t>
  </si>
  <si>
    <t>Simulated CARLA towns</t>
  </si>
  <si>
    <t>Tsinghua University and FAW Jiefang researchers</t>
  </si>
  <si>
    <t>Synthetic only; not real AV footage. Included as a clearly labeled truck-research supplement.</t>
  </si>
  <si>
    <t>D070</t>
  </si>
  <si>
    <t>https://huggingface.co/datasets/XieTenghu1/TruckV2X</t>
  </si>
  <si>
    <t>https://arxiv.org/html/2507.09505v1</t>
  </si>
  <si>
    <t>AV_Pavement_Dataset_Inventory.xlsx!Datasets row 76 (D070)</t>
  </si>
  <si>
    <t>DS-233</t>
  </si>
  <si>
    <t>RSRD-seg — road unevenness segmentation subset</t>
  </si>
  <si>
    <t>2024; RSRD-seg — road unevenness segmentation subset</t>
  </si>
  <si>
    <t>Point clouds only</t>
  </si>
  <si>
    <t>Irregular bumps/potholes (joint foreground label 1).</t>
  </si>
  <si>
    <t>Point-level labels in PCD; complete scans and tire-path patches</t>
  </si>
  <si>
    <t>CC BY-NC per official download page.</t>
  </si>
  <si>
    <t>63 labeled point clouds; 710 cropped road point-cloud patches</t>
  </si>
  <si>
    <t>Qingdao, China (parent RSRD)</t>
  </si>
  <si>
    <t>Subset, not independent data. Point labels are not camera pixel masks; verify correspondence before pairing with parent imagery.</t>
  </si>
  <si>
    <t>D071</t>
  </si>
  <si>
    <t>https://thu-rsxd.com/rsrd_segmentation/</t>
  </si>
  <si>
    <t>AV_Pavement_Dataset_Inventory.xlsx!Datasets row 77 (D071)</t>
  </si>
  <si>
    <t>Scoring settings</t>
  </si>
  <si>
    <t>Weights sum to 1 within each profile. Do not compare scores across the two profiles.</t>
  </si>
  <si>
    <t>Domain</t>
  </si>
  <si>
    <t>Definition</t>
  </si>
  <si>
    <t>Labeled weight</t>
  </si>
  <si>
    <t>Labeled checks</t>
  </si>
  <si>
    <t>Unlabeled weight</t>
  </si>
  <si>
    <t>Unlabeled checks</t>
  </si>
  <si>
    <t>A</t>
  </si>
  <si>
    <t>Access</t>
  </si>
  <si>
    <t>L</t>
  </si>
  <si>
    <t>Annotation evidence</t>
  </si>
  <si>
    <t>D</t>
  </si>
  <si>
    <t>Documentation</t>
  </si>
  <si>
    <t>C</t>
  </si>
  <si>
    <t>Sample accounting</t>
  </si>
  <si>
    <t>R</t>
  </si>
  <si>
    <t>Collection context</t>
  </si>
  <si>
    <t>M</t>
  </si>
  <si>
    <t>Acquisition details</t>
  </si>
  <si>
    <t>Weight validation</t>
  </si>
  <si>
    <t>Labeled sum</t>
  </si>
  <si>
    <t>Unlabeled sum</t>
  </si>
  <si>
    <t>Failure cutoff</t>
  </si>
  <si>
    <t>Strictly greater than 95% confirmed N. Unknowns stay in the denominator.</t>
  </si>
  <si>
    <t>Profile policy</t>
  </si>
  <si>
    <t>Labeled-16: six equally weighted domains. Unlabeled-13: remove L cohort-wide and use five equally weighted domains.</t>
  </si>
  <si>
    <t>Scope</t>
  </si>
  <si>
    <t>Documentation only. V and E task modules receive no common core weight.</t>
  </si>
  <si>
    <t>Manual review inputs</t>
  </si>
  <si>
    <t>Amber cells are editable. Grey L cells are outside the unlabeled profile. Enter per-check URLs, locators and evidence in MCDM_Checks.</t>
  </si>
  <si>
    <t>Human reviewer</t>
  </si>
  <si>
    <t>Human date</t>
  </si>
  <si>
    <t>Release confirmed</t>
  </si>
  <si>
    <t>Reviewer note</t>
  </si>
  <si>
    <t>A1</t>
  </si>
  <si>
    <t>A2</t>
  </si>
  <si>
    <t>A3</t>
  </si>
  <si>
    <t>L1</t>
  </si>
  <si>
    <t>L2</t>
  </si>
  <si>
    <t>L4</t>
  </si>
  <si>
    <t>D1</t>
  </si>
  <si>
    <t>D2</t>
  </si>
  <si>
    <t>D4</t>
  </si>
  <si>
    <t>C1</t>
  </si>
  <si>
    <t>C2</t>
  </si>
  <si>
    <t>R1</t>
  </si>
  <si>
    <t>R2</t>
  </si>
  <si>
    <t>M1</t>
  </si>
  <si>
    <t>M2</t>
  </si>
  <si>
    <t>M5</t>
  </si>
  <si>
    <t>G1 identity</t>
  </si>
  <si>
    <t>G2 task fit</t>
  </si>
  <si>
    <t>G3 rights</t>
  </si>
  <si>
    <t>G3 retrieval</t>
  </si>
  <si>
    <t>G4 leakage</t>
  </si>
  <si>
    <t>Gate evidence</t>
  </si>
  <si>
    <t>Intended task</t>
  </si>
  <si>
    <t>Human review status</t>
  </si>
  <si>
    <t>Evidence ledger</t>
  </si>
  <si>
    <t>Documentation grades</t>
  </si>
  <si>
    <t>Lower and upper bounds describe documentation evidence. A high score does not establish payload quality, lawful reuse or task suitability.</t>
  </si>
  <si>
    <t>Human review</t>
  </si>
  <si>
    <t>A lower /5</t>
  </si>
  <si>
    <t>A upper /5</t>
  </si>
  <si>
    <t>A resolved</t>
  </si>
  <si>
    <t>L lower /5</t>
  </si>
  <si>
    <t>L upper /5</t>
  </si>
  <si>
    <t>L resolved</t>
  </si>
  <si>
    <t>D lower /5</t>
  </si>
  <si>
    <t>D upper /5</t>
  </si>
  <si>
    <t>D resolved</t>
  </si>
  <si>
    <t>C lower /5</t>
  </si>
  <si>
    <t>C upper /5</t>
  </si>
  <si>
    <t>C resolved</t>
  </si>
  <si>
    <t>R lower /5</t>
  </si>
  <si>
    <t>R upper /5</t>
  </si>
  <si>
    <t>R resolved</t>
  </si>
  <si>
    <t>M lower /5</t>
  </si>
  <si>
    <t>M upper /5</t>
  </si>
  <si>
    <t>M resolved</t>
  </si>
  <si>
    <t>G1 inventory</t>
  </si>
  <si>
    <t>G2 task</t>
  </si>
  <si>
    <t>G3 reuse</t>
  </si>
  <si>
    <t>G4 benchmark</t>
  </si>
  <si>
    <t>Weight status</t>
  </si>
  <si>
    <t>Check-key coverage</t>
  </si>
  <si>
    <t>Core evidence ledger</t>
  </si>
  <si>
    <t>Blank human states retain provisional AI evidence. Entered human states require reviewer, date, confirmed release, URL, locator and evidence.</t>
  </si>
  <si>
    <t>Dataset-check key</t>
  </si>
  <si>
    <t>Check ID</t>
  </si>
  <si>
    <t>Applicable (1/0)</t>
  </si>
  <si>
    <t>AI state</t>
  </si>
  <si>
    <t>Human state</t>
  </si>
  <si>
    <t>Human evidence status</t>
  </si>
  <si>
    <t>Effective state</t>
  </si>
  <si>
    <t>AI source URL</t>
  </si>
  <si>
    <t>AI locator</t>
  </si>
  <si>
    <t>AI evidence summary</t>
  </si>
  <si>
    <t>AI rationale</t>
  </si>
  <si>
    <t>AI evidence basis</t>
  </si>
  <si>
    <t>AI assessment date</t>
  </si>
  <si>
    <t>Human source URL</t>
  </si>
  <si>
    <t>Human locator</t>
  </si>
  <si>
    <t>Human evidence / adjudication</t>
  </si>
  <si>
    <t>Manual row index</t>
  </si>
  <si>
    <t>Legacy AI state</t>
  </si>
  <si>
    <t>DS-001|A1</t>
  </si>
  <si>
    <t>Y</t>
  </si>
  <si>
    <t>MCDM_Grades!AR2; MCDM_Grades!AT2; All_Datasets!DH2; All_Datasets!D2; All_Datasets!L2</t>
  </si>
  <si>
    <t>Official repository exposes JPG files and file hashes. No README or complete label definition was found; filenames alone do not establish an annotation protocol.</t>
  </si>
  <si>
    <t>A dataset-specific stable repository/deposit and the assessed release are identified; this is inventory identity, not verified retrieval.</t>
  </si>
  <si>
    <t>prior_source_snapshot (reported primary documentation; not independently reverified this run)</t>
  </si>
  <si>
    <t>Historical state retained in source workbook</t>
  </si>
  <si>
    <t>DS-001|A2</t>
  </si>
  <si>
    <t>MCDM_Grades!AR2; MCDM_Grades!AT2; All_Datasets!DH2; All_Datasets!CJ2; All_Datasets!CM2</t>
  </si>
  <si>
    <t>The saved evidence describes the release access/download or request route; registration/restrictions do not reduce credit.</t>
  </si>
  <si>
    <t>DS-001|A3</t>
  </si>
  <si>
    <t>U</t>
  </si>
  <si>
    <t>MCDM_Grades!AR2; MCDM_Grades!AT2; All_Datasets!DH2</t>
  </si>
  <si>
    <t>Release-specific data terms are not established; code-license tags, missing terms and unspecified licenses are insufficient.</t>
  </si>
  <si>
    <t>DS-001|L1</t>
  </si>
  <si>
    <t>MCDM_Grades!AR2; MCDM_Grades!AT2; All_Datasets!DH2; All_Datasets!BJ2; All_Datasets!BH2</t>
  </si>
  <si>
    <t>Complete delivered target meaning/schema is not established for the assessed release; an intended task or title alone is insufficient.</t>
  </si>
  <si>
    <t>DS-001|L2</t>
  </si>
  <si>
    <t>MCDM_Grades!AR2; MCDM_Grades!AT2; All_Datasets!DH2; All_Datasets!BJ2; All_Datasets!BN2</t>
  </si>
  <si>
    <t>The source packet does not jointly establish a target encoding and basic labeling/measurement procedure.</t>
  </si>
  <si>
    <t>DS-001|L4</t>
  </si>
  <si>
    <t>No concrete target-review/correction/verification practice is established; multiple annotators, publication, file availability or generic quality claims alone do not qualify.</t>
  </si>
  <si>
    <t>DS-001|D1</t>
  </si>
  <si>
    <t>MCDM_Grades!AR2; MCDM_Grades!AT2; All_Datasets!DH2; All_Datasets!BN2; All_Datasets!BJ2</t>
  </si>
  <si>
    <t>File meanings, relevant units/missing codes or image-to-target mapping remain insufficiently documented.</t>
  </si>
  <si>
    <t>DS-001|D2</t>
  </si>
  <si>
    <t>MCDM_Grades!AR2; MCDM_Grades!AT2; All_Datasets!DH2; All_Datasets!CR2</t>
  </si>
  <si>
    <t>The collector/compiler and collection method or specific parent lineage remain insufficiently established.</t>
  </si>
  <si>
    <t>DS-001|D4</t>
  </si>
  <si>
    <t>MCDM_Grades!AR2; MCDM_Grades!AT2; All_Datasets!DH2; All_Datasets!CQ2</t>
  </si>
  <si>
    <t>No dataset-specific author-reported use boundary, exclusion or limitation is established; reviewer criticism of missing metadata does not qualify.</t>
  </si>
  <si>
    <t>DS-001|C1</t>
  </si>
  <si>
    <t>The exact released sample count and its unit remain unreported or not verified against the selected release.</t>
  </si>
  <si>
    <t>DS-001|C2</t>
  </si>
  <si>
    <t>MCDM_Grades!AR2; MCDM_Grades!AT2; All_Datasets!DH2; All_Datasets!BJ2</t>
  </si>
  <si>
    <t>Quantitative task-relevant class, outcome or subset accounting is not established; a total/class-list alone is insufficient.</t>
  </si>
  <si>
    <t>DS-001|R1</t>
  </si>
  <si>
    <t>MCDM_Grades!AR2; MCDM_Grades!AT2; All_Datasets!DH2; All_Datasets!AS2</t>
  </si>
  <si>
    <t>Collection geography/site, pavement context or capture setting is missing or unresolved; author affiliation is not collection geography.</t>
  </si>
  <si>
    <t>DS-001|R2</t>
  </si>
  <si>
    <t>Relevant collection variation or a meaningful explicit collection boundary is not established.</t>
  </si>
  <si>
    <t>DS-001|M1</t>
  </si>
  <si>
    <t>Collection platform/sensor or data-generation method is unreported or only inferred from the title.</t>
  </si>
  <si>
    <t>DS-001|M2</t>
  </si>
  <si>
    <t>Task-relevant resolution/sampling/measurement units are absent or only generically described; physical scale does not substitute for unspecified image dimensions in the image profile.</t>
  </si>
  <si>
    <t>DS-001|M5</t>
  </si>
  <si>
    <t>No concrete transformations or explicit unprocessed-data statement are established.</t>
  </si>
  <si>
    <t>DS-002|A1</t>
  </si>
  <si>
    <t>MCDM_Grades!AR3; MCDM_Grades!AT3; All_Datasets!DH3; All_Datasets!D3; All_Datasets!L3</t>
  </si>
  <si>
    <t>README identifies DSWMamba and links one Google Drive archive. It names examples but not the full six-class taxonomy; inventory segmentation versus detection claims remain unresolved.</t>
  </si>
  <si>
    <t>DS-002|A2</t>
  </si>
  <si>
    <t>MCDM_Grades!AR3; MCDM_Grades!AT3; All_Datasets!DH3; All_Datasets!CJ3; All_Datasets!CM3</t>
  </si>
  <si>
    <t>DS-002|A3</t>
  </si>
  <si>
    <t>MCDM_Grades!AR3; MCDM_Grades!AT3; All_Datasets!DH3</t>
  </si>
  <si>
    <t>DS-002|L1</t>
  </si>
  <si>
    <t>X</t>
  </si>
  <si>
    <t>MCDM_Grades!AR3; MCDM_Grades!AT3; All_Datasets!DH3; All_Datasets!BJ3; All_Datasets!BH3</t>
  </si>
  <si>
    <t>Saved primary review records a six-class dataset but full taxonomy and segmentation-versus-detection claims conflict.</t>
  </si>
  <si>
    <t>DS-002|L2</t>
  </si>
  <si>
    <t>MCDM_Grades!AR3; MCDM_Grades!AT3; All_Datasets!DH3; All_Datasets!BJ3; All_Datasets!BN3; All_Datasets!BY3</t>
  </si>
  <si>
    <t>DS-002|L4</t>
  </si>
  <si>
    <t>DS-002|D1</t>
  </si>
  <si>
    <t>MCDM_Grades!AR3; MCDM_Grades!AT3; All_Datasets!DH3; All_Datasets!BN3; All_Datasets!BO3; All_Datasets!BJ3</t>
  </si>
  <si>
    <t>DS-002|D2</t>
  </si>
  <si>
    <t>MCDM_Grades!AR3; MCDM_Grades!AT3; All_Datasets!DH3; All_Datasets!CR3</t>
  </si>
  <si>
    <t>DS-002|D4</t>
  </si>
  <si>
    <t>MCDM_Grades!AR3; MCDM_Grades!AT3; All_Datasets!DH3; All_Datasets!CQ3</t>
  </si>
  <si>
    <t>DS-002|C1</t>
  </si>
  <si>
    <t>DS-002|C2</t>
  </si>
  <si>
    <t>MCDM_Grades!AR3; MCDM_Grades!AT3; All_Datasets!DH3; All_Datasets!BJ3</t>
  </si>
  <si>
    <t>DS-002|R1</t>
  </si>
  <si>
    <t>MCDM_Grades!AR3; MCDM_Grades!AT3; All_Datasets!DH3; All_Datasets!AS3</t>
  </si>
  <si>
    <t>DS-002|R2</t>
  </si>
  <si>
    <t>DS-002|M1</t>
  </si>
  <si>
    <t>DS-002|M2</t>
  </si>
  <si>
    <t>DS-002|M5</t>
  </si>
  <si>
    <t>MCDM_Grades!AR3; MCDM_Grades!AT3; All_Datasets!DH3; All_Datasets!BY3; All_Datasets!CQ3</t>
  </si>
  <si>
    <t>DS-003|A1</t>
  </si>
  <si>
    <t>MCDM_Grades!AR4; MCDM_Grades!AT4; All_Datasets!DH4; All_Datasets!D4; All_Datasets!L4</t>
  </si>
  <si>
    <t>CiCS-Data parts 1–5 are identifiable repository archives with hashes. No README, annotation schema or collection protocol was available.</t>
  </si>
  <si>
    <t>DS-003|A2</t>
  </si>
  <si>
    <t>MCDM_Grades!AR4; MCDM_Grades!AT4; All_Datasets!DH4; All_Datasets!CJ4; All_Datasets!CM4</t>
  </si>
  <si>
    <t>DS-003|A3</t>
  </si>
  <si>
    <t>MCDM_Grades!AR4; MCDM_Grades!AT4; All_Datasets!DH4</t>
  </si>
  <si>
    <t>DS-003|L1</t>
  </si>
  <si>
    <t>MCDM_Grades!AR4; MCDM_Grades!AT4; All_Datasets!DH4; All_Datasets!BH4</t>
  </si>
  <si>
    <t>DS-003|L2</t>
  </si>
  <si>
    <t>DS-003|L4</t>
  </si>
  <si>
    <t>DS-003|D1</t>
  </si>
  <si>
    <t>DS-003|D2</t>
  </si>
  <si>
    <t>MCDM_Grades!AR4; MCDM_Grades!AT4; All_Datasets!DH4; All_Datasets!CR4</t>
  </si>
  <si>
    <t>DS-003|D4</t>
  </si>
  <si>
    <t>MCDM_Grades!AR4; MCDM_Grades!AT4; All_Datasets!DH4; All_Datasets!CQ4</t>
  </si>
  <si>
    <t>DS-003|C1</t>
  </si>
  <si>
    <t>DS-003|C2</t>
  </si>
  <si>
    <t>DS-003|R1</t>
  </si>
  <si>
    <t>MCDM_Grades!AR4; MCDM_Grades!AT4; All_Datasets!DH4; All_Datasets!AS4</t>
  </si>
  <si>
    <t>DS-003|R2</t>
  </si>
  <si>
    <t>DS-003|M1</t>
  </si>
  <si>
    <t>DS-003|M2</t>
  </si>
  <si>
    <t>DS-003|M5</t>
  </si>
  <si>
    <t>DS-004|A1</t>
  </si>
  <si>
    <t>MCDM_Grades!AR5; MCDM_Grades!AT5; All_Datasets!DH5; All_Datasets!D5; All_Datasets!L5</t>
  </si>
  <si>
    <t>README Overview and Annotations describe onboard camera images, crack boxes with coordinate fields and binary crack masks; Baidu URL and code are supplied. Physical scale and reliability remain unreported.</t>
  </si>
  <si>
    <t>DS-004|A2</t>
  </si>
  <si>
    <t>MCDM_Grades!AR5; MCDM_Grades!AT5; All_Datasets!DH5; All_Datasets!CJ5; All_Datasets!CM5</t>
  </si>
  <si>
    <t>DS-004|A3</t>
  </si>
  <si>
    <t>MCDM_Grades!AR5; MCDM_Grades!AT5; All_Datasets!DH5</t>
  </si>
  <si>
    <t>DS-004|L1</t>
  </si>
  <si>
    <t>MCDM_Grades!AR5; MCDM_Grades!AT5; All_Datasets!DH5; All_Datasets!BJ5; All_Datasets!BH5</t>
  </si>
  <si>
    <t>The saved source describes the available targets and their meaning for this released task; no quality premium is assigned to boxes or masks.</t>
  </si>
  <si>
    <t>DS-004|L2</t>
  </si>
  <si>
    <t>MCDM_Grades!AR5; MCDM_Grades!AT5; All_Datasets!DH5; All_Datasets!BJ5; All_Datasets!BN5</t>
  </si>
  <si>
    <t>DS-004|L4</t>
  </si>
  <si>
    <t>DS-004|D1</t>
  </si>
  <si>
    <t>MCDM_Grades!AR5; MCDM_Grades!AT5; All_Datasets!DH5; All_Datasets!BN5; All_Datasets!BO5; All_Datasets!BJ5</t>
  </si>
  <si>
    <t>The recorded package structure, format and target mapping provide file-interpretation evidence; payload correctness remains untested.</t>
  </si>
  <si>
    <t>DS-004|D2</t>
  </si>
  <si>
    <t>MCDM_Grades!AR5; MCDM_Grades!AT5; All_Datasets!DH5; All_Datasets!CR5; All_Datasets!AU5</t>
  </si>
  <si>
    <t>DS-004|D4</t>
  </si>
  <si>
    <t>MCDM_Grades!AR5; MCDM_Grades!AT5; All_Datasets!DH5; All_Datasets!CQ5</t>
  </si>
  <si>
    <t>DS-004|C1</t>
  </si>
  <si>
    <t>MCDM_Grades!AR5; MCDM_Grades!AT5; All_Datasets!DH5; All_Datasets!AC5; All_Datasets!AF5</t>
  </si>
  <si>
    <t>The saved evidence reports a released count with a stated observation unit; this does not establish independent captures.</t>
  </si>
  <si>
    <t>DS-004|C2</t>
  </si>
  <si>
    <t>MCDM_Grades!AR5; MCDM_Grades!AT5; All_Datasets!DH5; All_Datasets!AC5; All_Datasets!BJ5</t>
  </si>
  <si>
    <t>DS-004|R1</t>
  </si>
  <si>
    <t>MCDM_Grades!AR5; MCDM_Grades!AT5; All_Datasets!DH5; All_Datasets!AS5; All_Datasets!AU5</t>
  </si>
  <si>
    <t>DS-004|R2</t>
  </si>
  <si>
    <t>DS-004|M1</t>
  </si>
  <si>
    <t>MCDM_Grades!AR5; MCDM_Grades!AT5; All_Datasets!DH5; All_Datasets!AU5; All_Datasets!AW5</t>
  </si>
  <si>
    <t>A useful collection platform, sensor or generation/derivation method is identified.</t>
  </si>
  <si>
    <t>DS-004|M2</t>
  </si>
  <si>
    <t>DS-004|M5</t>
  </si>
  <si>
    <t>DS-005|A1</t>
  </si>
  <si>
    <t>https://github.com/DearCaat/CQU-BPDD</t>
  </si>
  <si>
    <t>Datasets!B29; Datasets!L29; Datasets!S29; Datasets!T29</t>
  </si>
  <si>
    <t>Dataset / release family: CQU-BPDD — Bituminous Pavement Distress | Release / paper year: 2020–2021 | Dataset / download: Dataset / download | Evidence / paper: Source evidence</t>
  </si>
  <si>
    <t>Named release/family is linked to an official dataset/download or evidence page; no file retrieval is implied.</t>
  </si>
  <si>
    <t>prior_source_snapshot (source-specific AV inventory summaries; not independently reverified this run)</t>
  </si>
  <si>
    <t>DS-005|A2</t>
  </si>
  <si>
    <t>Datasets!F29; Datasets!Q29</t>
  </si>
  <si>
    <t>Access status: Public links | Access instructions: Author repository links public Hugging Face archive (~24.1 GB).</t>
  </si>
  <si>
    <t>A documented download or request route is stated. Account/terms requirements do not lower documentation credit.</t>
  </si>
  <si>
    <t>DS-005|A3</t>
  </si>
  <si>
    <t>Datasets!P29</t>
  </si>
  <si>
    <t>License / use terms: CC BY-NC 4.0 on author-associated dataset card.</t>
  </si>
  <si>
    <t>Dataset-specific terms are explicitly summarized; upstream component rights and intended-use compatibility remain separate.</t>
  </si>
  <si>
    <t>DS-005|L1</t>
  </si>
  <si>
    <t>Datasets!H29; Datasets!O29</t>
  </si>
  <si>
    <t>Pavement labels: Transverse, longitudinal, massive and alligator crack; crack pouring; raveling; repair; normal. | Label format: Image/patch classification</t>
  </si>
  <si>
    <t>Available target meanings are described for the dataset task. General AV targets are not represented as pavement-condition labels.</t>
  </si>
  <si>
    <t>DS-005|L2</t>
  </si>
  <si>
    <t>Label encoding and assignment/measurement procedure are not both established.</t>
  </si>
  <si>
    <t>DS-005|L4</t>
  </si>
  <si>
    <t>Datasets!O29; Datasets!R29</t>
  </si>
  <si>
    <t>Label format: Image/patch classification | Limits and pairing notes: Count discrepancy retained. Strong distress classification data but specialized top-down survey imagery, not conventional AV forward footage.</t>
  </si>
  <si>
    <t>Concrete label-review/verification/correction practice is not established by the saved summary.</t>
  </si>
  <si>
    <t>DS-005|D1</t>
  </si>
  <si>
    <t>Datasets!O29; Datasets!I29</t>
  </si>
  <si>
    <t>Label format: Image/patch classification | Camera / footage details: 1200×900 road-surface stills, each representing about 2×3 m.</t>
  </si>
  <si>
    <t>Input-to-target mapping/field semantics or relevant units remain insufficiently specified.</t>
  </si>
  <si>
    <t>DS-005|D2</t>
  </si>
  <si>
    <t>Datasets!K29; Datasets!E29; Datasets!I29; Datasets!R29</t>
  </si>
  <si>
    <t>Publisher: Chongqing University / Wenhao Tang, Sheng Huang and collaborators | Capture context: Human-driven survey | Camera / footage details: 1200×900 road-surface stills, each representing about 2×3 m. | Limits and pairing notes: Count discrepancy retained. Strong distress classification data but specialized top-down survey imagery, not conventional AV forward footage.</t>
  </si>
  <si>
    <t>Publisher/collector or compiler and a useful collection/generation method or parent source are described.</t>
  </si>
  <si>
    <t>DS-005|D4</t>
  </si>
  <si>
    <t>Datasets!R29; Datasets!H29</t>
  </si>
  <si>
    <t>Limits and pairing notes: Count discrepancy retained. Strong distress classification data but specialized top-down survey imagery, not conventional AV forward footage. | Pavement labels: Transverse, longitudinal, massive and alligator crack; crack pouring; raveling; repair; normal.</t>
  </si>
  <si>
    <t>The source summary records an explicit released-scope boundary, exclusion or intended-use limitation. Reviewer recommendations do not themselves earn credit.</t>
  </si>
  <si>
    <t>DS-005|C1</t>
  </si>
  <si>
    <t>Datasets!M29</t>
  </si>
  <si>
    <t>Reported size: 60,056 images in current dataset card; paper abstract says 60,059</t>
  </si>
  <si>
    <t>Current card reports 60,056 images while the paper abstract states 60,059; resolve exact-release count rather than average.</t>
  </si>
  <si>
    <t>DS-005|C2</t>
  </si>
  <si>
    <t>Datasets!M29; Datasets!H29</t>
  </si>
  <si>
    <t>Reported size: 60,056 images in current dataset card; paper abstract says 60,059 | Pavement labels: Transverse, longitudinal, massive and alligator crack; crack pouring; raveling; repair; normal.</t>
  </si>
  <si>
    <t>Task-relevant quantitative class/subset distribution is not established in the saved summary.</t>
  </si>
  <si>
    <t>DS-005|R1</t>
  </si>
  <si>
    <t>Datasets!N29; Datasets!E29; Datasets!I29</t>
  </si>
  <si>
    <t>Geography: Southern China highways | Capture context: Human-driven survey | Camera / footage details: 1200×900 road-surface stills, each representing about 2×3 m.</t>
  </si>
  <si>
    <t>Geography/site scope and the road/capture context are jointly described.</t>
  </si>
  <si>
    <t>DS-005|R2</t>
  </si>
  <si>
    <t>Datasets!N29; Datasets!E29; Datasets!I29; Datasets!R29</t>
  </si>
  <si>
    <t>Geography: Southern China highways | Capture context: Human-driven survey | Camera / footage details: 1200×900 road-surface stills, each representing about 2×3 m. | Limits and pairing notes: Count discrepancy retained. Strong distress classification data but specialized top-down survey imagery, not conventional AV forward footage.</t>
  </si>
  <si>
    <t>Meaningful variation or an explicitly bounded collection context is described; a broad domain does not inherently earn more points.</t>
  </si>
  <si>
    <t>DS-005|M1</t>
  </si>
  <si>
    <t>Datasets!E29; Datasets!I29; Datasets!K29</t>
  </si>
  <si>
    <t>Capture context: Human-driven survey | Camera / footage details: 1200×900 road-surface stills, each representing about 2×3 m. | Publisher: Chongqing University / Wenhao Tang, Sheng Huang and collaborators</t>
  </si>
  <si>
    <t>Camera/sensor, capture platform or synthetic/data-generation method is documented.</t>
  </si>
  <si>
    <t>DS-005|M2</t>
  </si>
  <si>
    <t>Datasets!I29; Datasets!M29</t>
  </si>
  <si>
    <t>Camera / footage details: 1200×900 road-surface stills, each representing about 2×3 m. | Reported size: 60,056 images in current dataset card; paper abstract says 60,059</t>
  </si>
  <si>
    <t>The summary reports task-relevant image dimensions/resolution or sampling/measurement representation.</t>
  </si>
  <si>
    <t>DS-005|M5</t>
  </si>
  <si>
    <t>Datasets!I29; Datasets!O29; Datasets!R29</t>
  </si>
  <si>
    <t>Camera / footage details: 1200×900 road-surface stills, each representing about 2×3 m. | Label format: Image/patch classification | Limits and pairing notes: Count discrepancy retained. Strong distress classification data but specialized top-down survey imagery, not conventional AV forward footage.</t>
  </si>
  <si>
    <t>Preprocessing/transformation or an explicit unprocessed-data statement is not established.</t>
  </si>
  <si>
    <t>DS-006|A1</t>
  </si>
  <si>
    <t>MCDM_Grades!AR7; MCDM_Grades!AT7; All_Datasets!DH7; All_Datasets!D7; All_Datasets!L7</t>
  </si>
  <si>
    <t>README states 200 images with five unnamed types, compiled from CRACK500, CFD and author images, cropped to 480×320. The full taxonomy and component rights are unreported.</t>
  </si>
  <si>
    <t>DS-006|A2</t>
  </si>
  <si>
    <t>MCDM_Grades!AR7; MCDM_Grades!AT7; All_Datasets!DH7; All_Datasets!CJ7; All_Datasets!CM7</t>
  </si>
  <si>
    <t>DS-006|A3</t>
  </si>
  <si>
    <t>MCDM_Grades!AR7; MCDM_Grades!AT7; All_Datasets!DH7</t>
  </si>
  <si>
    <t>DS-006|L1</t>
  </si>
  <si>
    <t>MCDM_Grades!AR7; MCDM_Grades!AT7; All_Datasets!DH7; All_Datasets!BJ7; All_Datasets!BH7</t>
  </si>
  <si>
    <t>DS-006|L2</t>
  </si>
  <si>
    <t>MCDM_Grades!AR7; MCDM_Grades!AT7; All_Datasets!DH7; All_Datasets!BJ7; All_Datasets!BN7</t>
  </si>
  <si>
    <t>DS-006|L4</t>
  </si>
  <si>
    <t>DS-006|D1</t>
  </si>
  <si>
    <t>MCDM_Grades!AR7; MCDM_Grades!AT7; All_Datasets!DH7; All_Datasets!BN7; All_Datasets!BJ7</t>
  </si>
  <si>
    <t>DS-006|D2</t>
  </si>
  <si>
    <t>MCDM_Grades!AR7; MCDM_Grades!AT7; All_Datasets!DH7; All_Datasets!CR7; All_Datasets!AU7</t>
  </si>
  <si>
    <t>The source summary identifies collection/compilation provenance and its method or named parent datasets.</t>
  </si>
  <si>
    <t>DS-006|D4</t>
  </si>
  <si>
    <t>MCDM_Grades!AR7; MCDM_Grades!AT7; All_Datasets!DH7; All_Datasets!CQ7</t>
  </si>
  <si>
    <t>DS-006|C1</t>
  </si>
  <si>
    <t>MCDM_Grades!AR7; MCDM_Grades!AT7; All_Datasets!DH7; All_Datasets!AC7; All_Datasets!AF7</t>
  </si>
  <si>
    <t>DS-006|C2</t>
  </si>
  <si>
    <t>MCDM_Grades!AR7; MCDM_Grades!AT7; All_Datasets!DH7; All_Datasets!AC7; All_Datasets!BJ7</t>
  </si>
  <si>
    <t>DS-006|R1</t>
  </si>
  <si>
    <t>MCDM_Grades!AR7; MCDM_Grades!AT7; All_Datasets!DH7; All_Datasets!AS7; All_Datasets!AU7</t>
  </si>
  <si>
    <t>DS-006|R2</t>
  </si>
  <si>
    <t>The source describes collection variation or an explicit restricted scope; breadth itself earns no bonus.</t>
  </si>
  <si>
    <t>DS-006|M1</t>
  </si>
  <si>
    <t>MCDM_Grades!AR7; MCDM_Grades!AT7; All_Datasets!DH7; All_Datasets!AU7</t>
  </si>
  <si>
    <t>DS-006|M2</t>
  </si>
  <si>
    <t>MCDM_Grades!AR7; MCDM_Grades!AT7; All_Datasets!DH7; All_Datasets!AN7</t>
  </si>
  <si>
    <t>Task-relevant image resolution or signal/measurement representation is explicitly reported; image pixels are not physical crack-width accuracy.</t>
  </si>
  <si>
    <t>DS-006|M5</t>
  </si>
  <si>
    <t>MCDM_Grades!AR7; MCDM_Grades!AT7; All_Datasets!DH7; All_Datasets!AN7; All_Datasets!CQ7</t>
  </si>
  <si>
    <t>Preprocessing, cropping, resizing, filtering, fusion or explicit absence of augmentation is documented.</t>
  </si>
  <si>
    <t>DS-007|A1</t>
  </si>
  <si>
    <t>Pavement crack detection: dataset and model</t>
  </si>
  <si>
    <t>Author repository identifies CRACK500 release.</t>
  </si>
  <si>
    <t>AI primary-documentation assessment against the v4 core definition. Human review and payload inspection are pending.</t>
  </si>
  <si>
    <t>Primary documentation opened this run</t>
  </si>
  <si>
    <t>DS-007|A2</t>
  </si>
  <si>
    <t>Opening dataset paragraph / Training</t>
  </si>
  <si>
    <t>Drive, OneDrive and extraction routes documented.</t>
  </si>
  <si>
    <t>DS-007|A3</t>
  </si>
  <si>
    <t>README / repository root</t>
  </si>
  <si>
    <t>Release-specific data license not established.</t>
  </si>
  <si>
    <t>DS-007|L1</t>
  </si>
  <si>
    <t>https://arxiv.org/html/1901.06340</t>
  </si>
  <si>
    <t>IV-B1 CRACK500</t>
  </si>
  <si>
    <t>Pixel-level binary crack maps.</t>
  </si>
  <si>
    <t>DS-007|L2</t>
  </si>
  <si>
    <t>Encoding described; basic annotation procedure insufficiently detailed.</t>
  </si>
  <si>
    <t>DS-007|L4</t>
  </si>
  <si>
    <t>No concrete label-review practice located.</t>
  </si>
  <si>
    <t>DS-007|D1</t>
  </si>
  <si>
    <t>Training / Test</t>
  </si>
  <si>
    <t>List-file workflow exists; exact image-mask mapping unverified.</t>
  </si>
  <si>
    <t>DS-007|D2</t>
  </si>
  <si>
    <t>Author collection on Temple campus using phones.</t>
  </si>
  <si>
    <t>DS-007|D4</t>
  </si>
  <si>
    <t>Only crops exceeding crack-pixel threshold retained.</t>
  </si>
  <si>
    <t>DS-007|C1</t>
  </si>
  <si>
    <t>500 source images; 1,896/348/1,124 retained crops.</t>
  </si>
  <si>
    <t>DS-007|C2</t>
  </si>
  <si>
    <t>250/50/200 original-image split reported.</t>
  </si>
  <si>
    <t>DS-007|R1</t>
  </si>
  <si>
    <t>Temple University main-campus pavement.</t>
  </si>
  <si>
    <t>DS-007|R2</t>
  </si>
  <si>
    <t>Explicit single-campus capture scope.</t>
  </si>
  <si>
    <t>DS-007|M1</t>
  </si>
  <si>
    <t>Cell-phone acquisition.</t>
  </si>
  <si>
    <t>DS-007|M2</t>
  </si>
  <si>
    <t>Original resolution approximately 2,000 by 1,500 pixels.</t>
  </si>
  <si>
    <t>DS-007|M5</t>
  </si>
  <si>
    <t>16 nonoverlapping regions; crack-content filtering.</t>
  </si>
  <si>
    <t>DS-008|A1</t>
  </si>
  <si>
    <t>MCDM_Grades!AR9; MCDM_Grades!AT9; All_Datasets!DH9; All_Datasets!L9</t>
  </si>
  <si>
    <t>CrackForest README defines annotated road cracks, noncommercial research terms and initial version 1.0 dated 2015-09-29. Image/groundTruth folders are listed; calibration and quantitative label reliability are unresolved.</t>
  </si>
  <si>
    <t>DS-008|A2</t>
  </si>
  <si>
    <t>MCDM_Grades!AR9; MCDM_Grades!AT9; All_Datasets!DH9; All_Datasets!CJ9; All_Datasets!CM9</t>
  </si>
  <si>
    <t>DS-008|A3</t>
  </si>
  <si>
    <t>MCDM_Grades!AR9; MCDM_Grades!AT9; All_Datasets!DH9</t>
  </si>
  <si>
    <t>Data terms are explicitly recorded for the selected release. This does not clear upstream-component rights or intended-use compatibility.</t>
  </si>
  <si>
    <t>DS-008|L1</t>
  </si>
  <si>
    <t>MCDM_Grades!AR9; MCDM_Grades!AT9; All_Datasets!DH9; All_Datasets!BJ9; All_Datasets!BH9</t>
  </si>
  <si>
    <t>DS-008|L2</t>
  </si>
  <si>
    <t>MCDM_Grades!AR9; MCDM_Grades!AT9; All_Datasets!DH9; All_Datasets!BJ9; All_Datasets!BN9; All_Datasets!BY9</t>
  </si>
  <si>
    <t>Target encoding and a basic manual/measurement/derived-label procedure are jointly described; detailed annotator manuals are not required.</t>
  </si>
  <si>
    <t>DS-008|L4</t>
  </si>
  <si>
    <t>DS-008|D1</t>
  </si>
  <si>
    <t>MCDM_Grades!AR9; MCDM_Grades!AT9; All_Datasets!DH9; All_Datasets!BN9; All_Datasets!BJ9</t>
  </si>
  <si>
    <t>DS-008|D2</t>
  </si>
  <si>
    <t>MCDM_Grades!AR9; MCDM_Grades!AT9; All_Datasets!DH9; All_Datasets!CR9; All_Datasets!AU9</t>
  </si>
  <si>
    <t>DS-008|D4</t>
  </si>
  <si>
    <t>MCDM_Grades!AR9; MCDM_Grades!AT9; All_Datasets!DH9; All_Datasets!CQ9</t>
  </si>
  <si>
    <t>DS-008|C1</t>
  </si>
  <si>
    <t>MCDM_Grades!AR9; MCDM_Grades!AT9; All_Datasets!DH9; All_Datasets!AC9; All_Datasets!AF9</t>
  </si>
  <si>
    <t>DS-008|C2</t>
  </si>
  <si>
    <t>MCDM_Grades!AR9; MCDM_Grades!AT9; All_Datasets!DH9; All_Datasets!AC9; All_Datasets!BJ9</t>
  </si>
  <si>
    <t>DS-008|R1</t>
  </si>
  <si>
    <t>MCDM_Grades!AR9; MCDM_Grades!AT9; All_Datasets!DH9; All_Datasets!AP9; All_Datasets!AR9; All_Datasets!AS9; All_Datasets!AU9</t>
  </si>
  <si>
    <t>Geography/site scope, pavement context and capture setting are jointly documented in the cited fields/source summary.</t>
  </si>
  <si>
    <t>DS-008|R2</t>
  </si>
  <si>
    <t>MCDM_Grades!AR9; MCDM_Grades!AT9; All_Datasets!DH9; All_Datasets!AS9; All_Datasets!AU9</t>
  </si>
  <si>
    <t>DS-008|M1</t>
  </si>
  <si>
    <t>MCDM_Grades!AR9; MCDM_Grades!AT9; All_Datasets!DH9; All_Datasets!AU9; All_Datasets!AW9</t>
  </si>
  <si>
    <t>DS-008|M2</t>
  </si>
  <si>
    <t>DS-008|M5</t>
  </si>
  <si>
    <t>MCDM_Grades!AR9; MCDM_Grades!AT9; All_Datasets!DH9; All_Datasets!BY9; All_Datasets!CQ9</t>
  </si>
  <si>
    <t>DS-009|A1</t>
  </si>
  <si>
    <t>MCDM_Grades!AR10; MCDM_Grades!AT10; All_Datasets!DH10; All_Datasets!D10; All_Datasets!L10</t>
  </si>
  <si>
    <t>DeepCrack README specifically describes CrackLS315 as 315 laser-illuminated line-camera images with 1 mm sampling and a test role. Pixel dimensions and full split-unit independence are not demonstrated by this description.</t>
  </si>
  <si>
    <t>DS-009|A2</t>
  </si>
  <si>
    <t>MCDM_Grades!AR10; MCDM_Grades!AT10; All_Datasets!DH10; All_Datasets!CJ10; All_Datasets!CM10</t>
  </si>
  <si>
    <t>DS-009|A3</t>
  </si>
  <si>
    <t>MCDM_Grades!AR10; MCDM_Grades!AT10; All_Datasets!DH10</t>
  </si>
  <si>
    <t>DS-009|L1</t>
  </si>
  <si>
    <t>MCDM_Grades!AR10; MCDM_Grades!AT10; All_Datasets!DH10; All_Datasets!BJ10; All_Datasets!BH10</t>
  </si>
  <si>
    <t>DS-009|L2</t>
  </si>
  <si>
    <t>MCDM_Grades!AR10; MCDM_Grades!AT10; All_Datasets!DH10; All_Datasets!BJ10; All_Datasets!BN10; All_Datasets!BY10</t>
  </si>
  <si>
    <t>DS-009|L4</t>
  </si>
  <si>
    <t>DS-009|D1</t>
  </si>
  <si>
    <t>MCDM_Grades!AR10; MCDM_Grades!AT10; All_Datasets!DH10; All_Datasets!BN10; All_Datasets!BO10; All_Datasets!BJ10</t>
  </si>
  <si>
    <t>DS-009|D2</t>
  </si>
  <si>
    <t>MCDM_Grades!AR10; MCDM_Grades!AT10; All_Datasets!DH10; All_Datasets!CR10; All_Datasets!AU10</t>
  </si>
  <si>
    <t>DS-009|D4</t>
  </si>
  <si>
    <t>MCDM_Grades!AR10; MCDM_Grades!AT10; All_Datasets!DH10; All_Datasets!CQ10</t>
  </si>
  <si>
    <t>Dataset-specific intended scope, selection exclusions or collection/annotation limitations are described in the source summary.</t>
  </si>
  <si>
    <t>DS-009|C1</t>
  </si>
  <si>
    <t>MCDM_Grades!AR10; MCDM_Grades!AT10; All_Datasets!DH10; All_Datasets!AC10; All_Datasets!AF10</t>
  </si>
  <si>
    <t>DS-009|C2</t>
  </si>
  <si>
    <t>MCDM_Grades!AR10; MCDM_Grades!AT10; All_Datasets!DH10; All_Datasets!AC10; All_Datasets!BJ10</t>
  </si>
  <si>
    <t>DS-009|R1</t>
  </si>
  <si>
    <t>MCDM_Grades!AR10; MCDM_Grades!AT10; All_Datasets!DH10; All_Datasets!AS10; All_Datasets!AU10</t>
  </si>
  <si>
    <t>DS-009|R2</t>
  </si>
  <si>
    <t>MCDM_Grades!AR10; MCDM_Grades!AT10; All_Datasets!DH10; All_Datasets!AS10; All_Datasets!BF10; All_Datasets!AU10</t>
  </si>
  <si>
    <t>DS-009|M1</t>
  </si>
  <si>
    <t>MCDM_Grades!AR10; MCDM_Grades!AT10; All_Datasets!DH10; All_Datasets!AU10; All_Datasets!AW10; All_Datasets!BD10</t>
  </si>
  <si>
    <t>DS-009|M2</t>
  </si>
  <si>
    <t>MCDM_Grades!AR10; MCDM_Grades!AT10; All_Datasets!DH10; All_Datasets!BD10</t>
  </si>
  <si>
    <t>DS-009|M5</t>
  </si>
  <si>
    <t>MCDM_Grades!AR10; MCDM_Grades!AT10; All_Datasets!DH10; All_Datasets!BY10; All_Datasets!CQ10</t>
  </si>
  <si>
    <t>DS-010|A1</t>
  </si>
  <si>
    <t>MCDM_Grades!AR11; MCDM_Grades!AT11; All_Datasets!DH11; All_Datasets!D11; All_Datasets!L11; All_Datasets!T11</t>
  </si>
  <si>
    <t>Mendeley version 4 identifies DNIT image provenance through a numbered Access to Information protocol, 2014–2017 Brazilian highways, three mask types and CC BY 4.0. Full annotation ambiguity rules, privacy handling and sensor metadata remain incomplete.</t>
  </si>
  <si>
    <t>DS-010|A2</t>
  </si>
  <si>
    <t>MCDM_Grades!AR11; MCDM_Grades!AT11; All_Datasets!DH11; All_Datasets!CJ11; All_Datasets!CM11</t>
  </si>
  <si>
    <t>DS-010|A3</t>
  </si>
  <si>
    <t>MCDM_Grades!AR11; MCDM_Grades!AT11; All_Datasets!DH11; All_Datasets!CK11</t>
  </si>
  <si>
    <t>DS-010|L1</t>
  </si>
  <si>
    <t>MCDM_Grades!AR11; MCDM_Grades!AT11; All_Datasets!DH11; All_Datasets!BJ11; All_Datasets!BH11</t>
  </si>
  <si>
    <t>DS-010|L2</t>
  </si>
  <si>
    <t>MCDM_Grades!AR11; MCDM_Grades!AT11; All_Datasets!DH11; All_Datasets!BJ11; All_Datasets!BN11; All_Datasets!BY11</t>
  </si>
  <si>
    <t>DS-010|L4</t>
  </si>
  <si>
    <t>MCDM_Grades!AR11; MCDM_Grades!AT11; All_Datasets!DH11</t>
  </si>
  <si>
    <t>DS-010|D1</t>
  </si>
  <si>
    <t>MCDM_Grades!AR11; MCDM_Grades!AT11; All_Datasets!DH11; All_Datasets!BN11; All_Datasets!BO11; All_Datasets!BJ11</t>
  </si>
  <si>
    <t>DS-010|D2</t>
  </si>
  <si>
    <t>MCDM_Grades!AR11; MCDM_Grades!AT11; All_Datasets!DH11; All_Datasets!CR11; All_Datasets!AU11</t>
  </si>
  <si>
    <t>DS-010|D4</t>
  </si>
  <si>
    <t>MCDM_Grades!AR11; MCDM_Grades!AT11; All_Datasets!DH11; All_Datasets!CQ11</t>
  </si>
  <si>
    <t>DS-010|C1</t>
  </si>
  <si>
    <t>MCDM_Grades!AR11; MCDM_Grades!AT11; All_Datasets!DH11; All_Datasets!AC11; All_Datasets!AF11</t>
  </si>
  <si>
    <t>DS-010|C2</t>
  </si>
  <si>
    <t>MCDM_Grades!AR11; MCDM_Grades!AT11; All_Datasets!DH11; All_Datasets!AC11; All_Datasets!BJ11</t>
  </si>
  <si>
    <t>DS-010|R1</t>
  </si>
  <si>
    <t>MCDM_Grades!AR11; MCDM_Grades!AT11; All_Datasets!DH11; All_Datasets!AP11; All_Datasets!AR11; All_Datasets!AS11; All_Datasets!AU11</t>
  </si>
  <si>
    <t>DS-010|R2</t>
  </si>
  <si>
    <t>MCDM_Grades!AR11; MCDM_Grades!AT11; All_Datasets!DH11; All_Datasets!AS11; All_Datasets!AU11</t>
  </si>
  <si>
    <t>DS-010|M1</t>
  </si>
  <si>
    <t>MCDM_Grades!AR11; MCDM_Grades!AT11; All_Datasets!DH11; All_Datasets!AU11</t>
  </si>
  <si>
    <t>DS-010|M2</t>
  </si>
  <si>
    <t>DS-010|M5</t>
  </si>
  <si>
    <t>MCDM_Grades!AR11; MCDM_Grades!AT11; All_Datasets!DH11; All_Datasets!BY11; All_Datasets!CQ11</t>
  </si>
  <si>
    <t>DS-011|A1</t>
  </si>
  <si>
    <t>https://github.com/Dhananjay42/crackseg9k</t>
  </si>
  <si>
    <t>About / Dataset citation</t>
  </si>
  <si>
    <t>V4 and dataset DOI explicitly identified.</t>
  </si>
  <si>
    <t>DS-011|A2</t>
  </si>
  <si>
    <t>About</t>
  </si>
  <si>
    <t>Download both V4 subfolders instructed.</t>
  </si>
  <si>
    <t>DS-011|A3</t>
  </si>
  <si>
    <t>About / linked deposit</t>
  </si>
  <si>
    <t>Version-matched data terms unavailable in retrieved primary packet.</t>
  </si>
  <si>
    <t>DS-011|L1</t>
  </si>
  <si>
    <t>https://arxiv.org/html/2208.13054</t>
  </si>
  <si>
    <t>3 Dataset</t>
  </si>
  <si>
    <t>Binary crack segmentation and subtype meanings described.</t>
  </si>
  <si>
    <t>DS-011|L2</t>
  </si>
  <si>
    <t>3.2 Dataset Refinement</t>
  </si>
  <si>
    <t>Paper describes procedures; V4 procedure continuity unverified.</t>
  </si>
  <si>
    <t>DS-011|L4</t>
  </si>
  <si>
    <t>Earlier mask correction described; V4 continuity unresolved.</t>
  </si>
  <si>
    <t>DS-011|D1</t>
  </si>
  <si>
    <t>Two-part archive known; V4 image-label mapping unverified.</t>
  </si>
  <si>
    <t>DS-011|D2</t>
  </si>
  <si>
    <t>3.1; Table 1</t>
  </si>
  <si>
    <t>Compiler and constituent parent datasets named.</t>
  </si>
  <si>
    <t>DS-011|D4</t>
  </si>
  <si>
    <t>Mixed structural surfaces and explicit excluded parents.</t>
  </si>
  <si>
    <t>DS-011|C1</t>
  </si>
  <si>
    <t>Current README reports approximately 9,160 images.</t>
  </si>
  <si>
    <t>DS-011|C2</t>
  </si>
  <si>
    <t>Earlier source distribution not confirmed for V4.</t>
  </si>
  <si>
    <t>DS-011|R1</t>
  </si>
  <si>
    <t>3.1</t>
  </si>
  <si>
    <t>Parent collection contexts and sites described.</t>
  </si>
  <si>
    <t>DS-011|R2</t>
  </si>
  <si>
    <t>Mixed surfaces, lighting and crack-type variation.</t>
  </si>
  <si>
    <t>DS-011|M1</t>
  </si>
  <si>
    <t>3.1–3.2</t>
  </si>
  <si>
    <t>Compilation and data-transformation method identified.</t>
  </si>
  <si>
    <t>DS-011|M2</t>
  </si>
  <si>
    <t>400-pixel processing documented for paper; V4 match unverified.</t>
  </si>
  <si>
    <t>DS-011|M5</t>
  </si>
  <si>
    <t>Earlier morphological refinements; V4 transformations require confirmation.</t>
  </si>
  <si>
    <t>DS-012|A1</t>
  </si>
  <si>
    <t>MCDM_Grades!AR13; MCDM_Grades!AT13; All_Datasets!DH13; All_Datasets!D13; All_Datasets!L13</t>
  </si>
  <si>
    <t>README gives a Google Drive archive, pixel-level crack targets, smartphone capture and shadow/wet/night/grooved backgrounds. No collection geography, formal license or source-unit split audit is supplied.</t>
  </si>
  <si>
    <t>DS-012|A2</t>
  </si>
  <si>
    <t>MCDM_Grades!AR13; MCDM_Grades!AT13; All_Datasets!DH13; All_Datasets!CJ13; All_Datasets!CM13</t>
  </si>
  <si>
    <t>DS-012|A3</t>
  </si>
  <si>
    <t>MCDM_Grades!AR13; MCDM_Grades!AT13; All_Datasets!DH13</t>
  </si>
  <si>
    <t>DS-012|L1</t>
  </si>
  <si>
    <t>MCDM_Grades!AR13; MCDM_Grades!AT13; All_Datasets!DH13; All_Datasets!BJ13; All_Datasets!BH13</t>
  </si>
  <si>
    <t>DS-012|L2</t>
  </si>
  <si>
    <t>MCDM_Grades!AR13; MCDM_Grades!AT13; All_Datasets!DH13; All_Datasets!BJ13; All_Datasets!BN13</t>
  </si>
  <si>
    <t>DS-012|L4</t>
  </si>
  <si>
    <t>DS-012|D1</t>
  </si>
  <si>
    <t>MCDM_Grades!AR13; MCDM_Grades!AT13; All_Datasets!DH13; All_Datasets!BN13; All_Datasets!BO13; All_Datasets!BJ13</t>
  </si>
  <si>
    <t>DS-012|D2</t>
  </si>
  <si>
    <t>MCDM_Grades!AR13; MCDM_Grades!AT13; All_Datasets!DH13; All_Datasets!CR13; All_Datasets!AU13</t>
  </si>
  <si>
    <t>DS-012|D4</t>
  </si>
  <si>
    <t>MCDM_Grades!AR13; MCDM_Grades!AT13; All_Datasets!DH13; All_Datasets!CQ13</t>
  </si>
  <si>
    <t>DS-012|C1</t>
  </si>
  <si>
    <t>MCDM_Grades!AR13; MCDM_Grades!AT13; All_Datasets!DH13; All_Datasets!AC13; All_Datasets!AF13</t>
  </si>
  <si>
    <t>DS-012|C2</t>
  </si>
  <si>
    <t>MCDM_Grades!AR13; MCDM_Grades!AT13; All_Datasets!DH13; All_Datasets!AC13; All_Datasets!BJ13</t>
  </si>
  <si>
    <t>DS-012|R1</t>
  </si>
  <si>
    <t>MCDM_Grades!AR13; MCDM_Grades!AT13; All_Datasets!DH13; All_Datasets!AS13; All_Datasets!AU13</t>
  </si>
  <si>
    <t>DS-012|R2</t>
  </si>
  <si>
    <t>MCDM_Grades!AR13; MCDM_Grades!AT13; All_Datasets!DH13; All_Datasets!AS13; All_Datasets!BE13; All_Datasets!BF13; All_Datasets!AU13</t>
  </si>
  <si>
    <t>DS-012|M1</t>
  </si>
  <si>
    <t>MCDM_Grades!AR13; MCDM_Grades!AT13; All_Datasets!DH13; All_Datasets!AU13</t>
  </si>
  <si>
    <t>DS-012|M2</t>
  </si>
  <si>
    <t>DS-012|M5</t>
  </si>
  <si>
    <t>DS-013|A1</t>
  </si>
  <si>
    <t>MCDM_Grades!AR14; MCDM_Grades!AT14; All_Datasets!DH14; All_Datasets!D14; All_Datasets!L14</t>
  </si>
  <si>
    <t>DeepCrack README identifies 260 original images expanded to 35,100 by rotations/flips/crops, an explicit CrackTree parent and training role, with an area-array visible-light camera. Independent route counts are not reported.</t>
  </si>
  <si>
    <t>DS-013|A2</t>
  </si>
  <si>
    <t>MCDM_Grades!AR14; MCDM_Grades!AT14; All_Datasets!DH14; All_Datasets!CJ14; All_Datasets!CM14</t>
  </si>
  <si>
    <t>DS-013|A3</t>
  </si>
  <si>
    <t>MCDM_Grades!AR14; MCDM_Grades!AT14; All_Datasets!DH14</t>
  </si>
  <si>
    <t>DS-013|L1</t>
  </si>
  <si>
    <t>MCDM_Grades!AR14; MCDM_Grades!AT14; All_Datasets!DH14; All_Datasets!BJ14; All_Datasets!BH14</t>
  </si>
  <si>
    <t>DS-013|L2</t>
  </si>
  <si>
    <t>MCDM_Grades!AR14; MCDM_Grades!AT14; All_Datasets!DH14; All_Datasets!BJ14; All_Datasets!BN14; All_Datasets!BY14</t>
  </si>
  <si>
    <t>DS-013|L4</t>
  </si>
  <si>
    <t>DS-013|D1</t>
  </si>
  <si>
    <t>MCDM_Grades!AR14; MCDM_Grades!AT14; All_Datasets!DH14; All_Datasets!BN14; All_Datasets!BO14; All_Datasets!BJ14</t>
  </si>
  <si>
    <t>DS-013|D2</t>
  </si>
  <si>
    <t>MCDM_Grades!AR14; MCDM_Grades!AT14; All_Datasets!DH14; All_Datasets!CR14; All_Datasets!AU14</t>
  </si>
  <si>
    <t>DS-013|D4</t>
  </si>
  <si>
    <t>MCDM_Grades!AR14; MCDM_Grades!AT14; All_Datasets!DH14; All_Datasets!CQ14</t>
  </si>
  <si>
    <t>DS-013|C1</t>
  </si>
  <si>
    <t>MCDM_Grades!AR14; MCDM_Grades!AT14; All_Datasets!DH14; All_Datasets!AC14; All_Datasets!AF14</t>
  </si>
  <si>
    <t>DS-013|C2</t>
  </si>
  <si>
    <t>MCDM_Grades!AR14; MCDM_Grades!AT14; All_Datasets!DH14; All_Datasets!AC14; All_Datasets!BJ14</t>
  </si>
  <si>
    <t>DS-013|R1</t>
  </si>
  <si>
    <t>MCDM_Grades!AR14; MCDM_Grades!AT14; All_Datasets!DH14; All_Datasets!AS14; All_Datasets!AU14</t>
  </si>
  <si>
    <t>DS-013|R2</t>
  </si>
  <si>
    <t>DS-013|M1</t>
  </si>
  <si>
    <t>MCDM_Grades!AR14; MCDM_Grades!AT14; All_Datasets!DH14; All_Datasets!AU14; All_Datasets!AW14</t>
  </si>
  <si>
    <t>DS-013|M2</t>
  </si>
  <si>
    <t>DS-013|M5</t>
  </si>
  <si>
    <t>MCDM_Grades!AR14; MCDM_Grades!AT14; All_Datasets!DH14; All_Datasets!BY14; All_Datasets!CQ14</t>
  </si>
  <si>
    <t>DS-014|A1</t>
  </si>
  <si>
    <t>MCDM_Grades!AR15; MCDM_Grades!AT15; All_Datasets!DH15; All_Datasets!D15; All_Datasets!L15</t>
  </si>
  <si>
    <t>DeepCrack README identifies 100 CRKWH pavement images, a test role and line-array visible-light capture at 1 mm ground sampling. Full pixel geometry and field calibration are not established.</t>
  </si>
  <si>
    <t>DS-014|A2</t>
  </si>
  <si>
    <t>MCDM_Grades!AR15; MCDM_Grades!AT15; All_Datasets!DH15; All_Datasets!CJ15; All_Datasets!CM15</t>
  </si>
  <si>
    <t>DS-014|A3</t>
  </si>
  <si>
    <t>MCDM_Grades!AR15; MCDM_Grades!AT15; All_Datasets!DH15</t>
  </si>
  <si>
    <t>DS-014|L1</t>
  </si>
  <si>
    <t>MCDM_Grades!AR15; MCDM_Grades!AT15; All_Datasets!DH15; All_Datasets!BJ15; All_Datasets!BH15</t>
  </si>
  <si>
    <t>DS-014|L2</t>
  </si>
  <si>
    <t>MCDM_Grades!AR15; MCDM_Grades!AT15; All_Datasets!DH15; All_Datasets!BJ15; All_Datasets!BN15; All_Datasets!BY15</t>
  </si>
  <si>
    <t>DS-014|L4</t>
  </si>
  <si>
    <t>DS-014|D1</t>
  </si>
  <si>
    <t>MCDM_Grades!AR15; MCDM_Grades!AT15; All_Datasets!DH15; All_Datasets!BN15; All_Datasets!BO15; All_Datasets!BJ15</t>
  </si>
  <si>
    <t>DS-014|D2</t>
  </si>
  <si>
    <t>MCDM_Grades!AR15; MCDM_Grades!AT15; All_Datasets!DH15; All_Datasets!CR15; All_Datasets!AU15</t>
  </si>
  <si>
    <t>DS-014|D4</t>
  </si>
  <si>
    <t>MCDM_Grades!AR15; MCDM_Grades!AT15; All_Datasets!DH15; All_Datasets!CQ15</t>
  </si>
  <si>
    <t>DS-014|C1</t>
  </si>
  <si>
    <t>MCDM_Grades!AR15; MCDM_Grades!AT15; All_Datasets!DH15; All_Datasets!AC15; All_Datasets!AF15</t>
  </si>
  <si>
    <t>DS-014|C2</t>
  </si>
  <si>
    <t>MCDM_Grades!AR15; MCDM_Grades!AT15; All_Datasets!DH15; All_Datasets!AC15; All_Datasets!BJ15</t>
  </si>
  <si>
    <t>DS-014|R1</t>
  </si>
  <si>
    <t>MCDM_Grades!AR15; MCDM_Grades!AT15; All_Datasets!DH15; All_Datasets!AS15; All_Datasets!AU15</t>
  </si>
  <si>
    <t>DS-014|R2</t>
  </si>
  <si>
    <t>DS-014|M1</t>
  </si>
  <si>
    <t>MCDM_Grades!AR15; MCDM_Grades!AT15; All_Datasets!DH15; All_Datasets!AU15; All_Datasets!AW15</t>
  </si>
  <si>
    <t>DS-014|M2</t>
  </si>
  <si>
    <t>DS-014|M5</t>
  </si>
  <si>
    <t>MCDM_Grades!AR15; MCDM_Grades!AT15; All_Datasets!DH15; All_Datasets!BY15; All_Datasets!CQ15</t>
  </si>
  <si>
    <t>DS-015|A1</t>
  </si>
  <si>
    <t>MCDM_Grades!AR16; MCDM_Grades!AT16; All_Datasets!DH16; All_Datasets!D16; All_Datasets!L16; All_Datasets!T16</t>
  </si>
  <si>
    <t>CUBIT-Det section defines UAV infrastructure images, three defect classes, pavement share 29%, and a download link/access code. CUBIT-Seg cleaning claims are a different dataset and earn no CUBIT-Det points.</t>
  </si>
  <si>
    <t>DS-015|A2</t>
  </si>
  <si>
    <t>MCDM_Grades!AR16; MCDM_Grades!AT16; All_Datasets!DH16; All_Datasets!CJ16; All_Datasets!CM16</t>
  </si>
  <si>
    <t>DS-015|A3</t>
  </si>
  <si>
    <t>MCDM_Grades!AR16; MCDM_Grades!AT16; All_Datasets!DH16</t>
  </si>
  <si>
    <t>DS-015|L1</t>
  </si>
  <si>
    <t>MCDM_Grades!AR16; MCDM_Grades!AT16; All_Datasets!DH16; All_Datasets!BJ16; All_Datasets!BH16</t>
  </si>
  <si>
    <t>DS-015|L2</t>
  </si>
  <si>
    <t>MCDM_Grades!AR16; MCDM_Grades!AT16; All_Datasets!DH16; All_Datasets!BJ16; All_Datasets!BN16; All_Datasets!BY16</t>
  </si>
  <si>
    <t>DS-015|L4</t>
  </si>
  <si>
    <t>MCDM_Grades!AR16; MCDM_Grades!AT16; All_Datasets!DH16; All_Datasets!BZ16</t>
  </si>
  <si>
    <t>DS-015|D1</t>
  </si>
  <si>
    <t>MCDM_Grades!AR16; MCDM_Grades!AT16; All_Datasets!DH16; All_Datasets!BN16; All_Datasets!BJ16</t>
  </si>
  <si>
    <t>DS-015|D2</t>
  </si>
  <si>
    <t>MCDM_Grades!AR16; MCDM_Grades!AT16; All_Datasets!DH16; All_Datasets!CR16; All_Datasets!AU16</t>
  </si>
  <si>
    <t>DS-015|D4</t>
  </si>
  <si>
    <t>MCDM_Grades!AR16; MCDM_Grades!AT16; All_Datasets!DH16; All_Datasets!CQ16</t>
  </si>
  <si>
    <t>DS-015|C1</t>
  </si>
  <si>
    <t>MCDM_Grades!AR16; MCDM_Grades!AT16; All_Datasets!DH16; All_Datasets!AC16; All_Datasets!AF16</t>
  </si>
  <si>
    <t>DS-015|C2</t>
  </si>
  <si>
    <t>MCDM_Grades!AR16; MCDM_Grades!AT16; All_Datasets!DH16; All_Datasets!AC16; All_Datasets!BJ16</t>
  </si>
  <si>
    <t>The source reports quantitative class/outcome/subset accounting relevant to the documented task. It is not proof of statistical balance or independence.</t>
  </si>
  <si>
    <t>DS-015|R1</t>
  </si>
  <si>
    <t>MCDM_Grades!AR16; MCDM_Grades!AT16; All_Datasets!DH16; All_Datasets!AP16; All_Datasets!AR16; All_Datasets!AS16; All_Datasets!AU16</t>
  </si>
  <si>
    <t>DS-015|R2</t>
  </si>
  <si>
    <t>MCDM_Grades!AR16; MCDM_Grades!AT16; All_Datasets!DH16; All_Datasets!AS16; All_Datasets!BF16; All_Datasets!AU16</t>
  </si>
  <si>
    <t>DS-015|M1</t>
  </si>
  <si>
    <t>MCDM_Grades!AR16; MCDM_Grades!AT16; All_Datasets!DH16; All_Datasets!AU16; All_Datasets!AW16</t>
  </si>
  <si>
    <t>DS-015|M2</t>
  </si>
  <si>
    <t>MCDM_Grades!AR16; MCDM_Grades!AT16; All_Datasets!DH16; All_Datasets!AN16</t>
  </si>
  <si>
    <t>DS-015|M5</t>
  </si>
  <si>
    <t>MCDM_Grades!AR16; MCDM_Grades!AT16; All_Datasets!DH16; All_Datasets!AN16; All_Datasets!BY16; All_Datasets!CQ16</t>
  </si>
  <si>
    <t>DS-016|A1</t>
  </si>
  <si>
    <t>MCDM_Grades!AR17; MCDM_Grades!AT17; All_Datasets!DH17; All_Datasets!D17; All_Datasets!L17; All_Datasets!T17</t>
  </si>
  <si>
    <t>README defines binary train/test annotation folders and restricts use to research/education but says the authors own only part of the original images. Component rights are unresolved. Dataset directory tree hash identifies the repository data snapshot.</t>
  </si>
  <si>
    <t>DS-016|A2</t>
  </si>
  <si>
    <t>MCDM_Grades!AR17; MCDM_Grades!AT17; All_Datasets!DH17; All_Datasets!CJ17; All_Datasets!CM17</t>
  </si>
  <si>
    <t>DS-016|A3</t>
  </si>
  <si>
    <t>MCDM_Grades!AR17; MCDM_Grades!AT17; All_Datasets!DH17</t>
  </si>
  <si>
    <t>DS-016|L1</t>
  </si>
  <si>
    <t>MCDM_Grades!AR17; MCDM_Grades!AT17; All_Datasets!DH17; All_Datasets!BJ17; All_Datasets!BH17</t>
  </si>
  <si>
    <t>DS-016|L2</t>
  </si>
  <si>
    <t>MCDM_Grades!AR17; MCDM_Grades!AT17; All_Datasets!DH17; All_Datasets!BJ17; All_Datasets!BN17; All_Datasets!BY17</t>
  </si>
  <si>
    <t>DS-016|L4</t>
  </si>
  <si>
    <t>DS-016|D1</t>
  </si>
  <si>
    <t>MCDM_Grades!AR17; MCDM_Grades!AT17; All_Datasets!DH17; All_Datasets!BN17; All_Datasets!BO17; All_Datasets!BJ17</t>
  </si>
  <si>
    <t>DS-016|D2</t>
  </si>
  <si>
    <t>MCDM_Grades!AR17; MCDM_Grades!AT17; All_Datasets!DH17; All_Datasets!CR17; All_Datasets!AU17</t>
  </si>
  <si>
    <t>DS-016|D4</t>
  </si>
  <si>
    <t>MCDM_Grades!AR17; MCDM_Grades!AT17; All_Datasets!DH17; All_Datasets!CQ17</t>
  </si>
  <si>
    <t>DS-016|C1</t>
  </si>
  <si>
    <t>MCDM_Grades!AR17; MCDM_Grades!AT17; All_Datasets!DH17; All_Datasets!AC17; All_Datasets!AF17</t>
  </si>
  <si>
    <t>DS-016|C2</t>
  </si>
  <si>
    <t>MCDM_Grades!AR17; MCDM_Grades!AT17; All_Datasets!DH17; All_Datasets!AC17; All_Datasets!BJ17</t>
  </si>
  <si>
    <t>DS-016|R1</t>
  </si>
  <si>
    <t>MCDM_Grades!AR17; MCDM_Grades!AT17; All_Datasets!DH17; All_Datasets!AS17; All_Datasets!AU17</t>
  </si>
  <si>
    <t>DS-016|R2</t>
  </si>
  <si>
    <t>DS-016|M1</t>
  </si>
  <si>
    <t>MCDM_Grades!AR17; MCDM_Grades!AT17; All_Datasets!DH17; All_Datasets!AU17; All_Datasets!AW17</t>
  </si>
  <si>
    <t>DS-016|M2</t>
  </si>
  <si>
    <t>DS-016|M5</t>
  </si>
  <si>
    <t>MCDM_Grades!AR17; MCDM_Grades!AT17; All_Datasets!DH17; All_Datasets!BY17; All_Datasets!CQ17</t>
  </si>
  <si>
    <t>DS-017|A1</t>
  </si>
  <si>
    <t>https://github.com/mqp2259/EdmCrack600/blob/master/README.md</t>
  </si>
  <si>
    <t>Datasets!B30; Datasets!L30; Datasets!S30; Datasets!T30</t>
  </si>
  <si>
    <t>Dataset / release family: EdmCrack600 | Release / paper year: 2020 | Dataset / download: Dataset / download | Evidence / paper: Source evidence</t>
  </si>
  <si>
    <t>DS-017|A2</t>
  </si>
  <si>
    <t>Datasets!F30; Datasets!Q30</t>
  </si>
  <si>
    <t>Access status: Public links | Access instructions: Public author GitHub links Google Drive download.</t>
  </si>
  <si>
    <t>DS-017|A3</t>
  </si>
  <si>
    <t>Datasets!P30</t>
  </si>
  <si>
    <t>License / use terms: Academic use; commercial use prohibited by authors.</t>
  </si>
  <si>
    <t>DS-017|L1</t>
  </si>
  <si>
    <t>Datasets!H30; Datasets!O30</t>
  </si>
  <si>
    <t>Pavement labels: Crack/background. | Label format: Pixel-level masks</t>
  </si>
  <si>
    <t>DS-017|L2</t>
  </si>
  <si>
    <t>DS-017|L4</t>
  </si>
  <si>
    <t>Datasets!O30; Datasets!R30</t>
  </si>
  <si>
    <t>Label format: Pixel-level masks | Limits and pairing notes: Useful supplemental crack segmentation set; also partly reused by Pothole Mix. Do not interpret as verified AV footage.</t>
  </si>
  <si>
    <t>DS-017|D1</t>
  </si>
  <si>
    <t>Datasets!O30; Datasets!I30</t>
  </si>
  <si>
    <t>Label format: Pixel-level masks | Camera / footage details: 600 pavement crack still images; full drive videos not documented.</t>
  </si>
  <si>
    <t>DS-017|D2</t>
  </si>
  <si>
    <t>Datasets!K30; Datasets!E30; Datasets!I30; Datasets!R30</t>
  </si>
  <si>
    <t>Publisher: Qipei Mei, Mustafa Gül and collaborators | Capture context: Other / mixed capture | Camera / footage details: 600 pavement crack still images; full drive videos not documented. | Limits and pairing notes: Useful supplemental crack segmentation set; also partly reused by Pothole Mix. Do not interpret as verified AV footage.</t>
  </si>
  <si>
    <t>DS-017|D4</t>
  </si>
  <si>
    <t>Datasets!R30; Datasets!H30</t>
  </si>
  <si>
    <t>Limits and pairing notes: Useful supplemental crack segmentation set; also partly reused by Pothole Mix. Do not interpret as verified AV footage. | Pavement labels: Crack/background.</t>
  </si>
  <si>
    <t>An author-reported collection boundary/use limitation is not sufficiently established; reviewer caution alone does not qualify.</t>
  </si>
  <si>
    <t>DS-017|C1</t>
  </si>
  <si>
    <t>Datasets!M30</t>
  </si>
  <si>
    <t>Reported size: 600 images</t>
  </si>
  <si>
    <t>Reported count and unit are identified; streams, frames, images and annotations are not assumed independent.</t>
  </si>
  <si>
    <t>DS-017|C2</t>
  </si>
  <si>
    <t>Datasets!M30; Datasets!H30</t>
  </si>
  <si>
    <t>Reported size: 600 images | Pavement labels: Crack/background.</t>
  </si>
  <si>
    <t>DS-017|R1</t>
  </si>
  <si>
    <t>Datasets!N30; Datasets!E30; Datasets!I30</t>
  </si>
  <si>
    <t>Geography: Edmonton, Canada | Capture context: Other / mixed capture | Camera / footage details: 600 pavement crack still images; full drive videos not documented.</t>
  </si>
  <si>
    <t>DS-017|R2</t>
  </si>
  <si>
    <t>Datasets!N30; Datasets!E30; Datasets!I30; Datasets!R30</t>
  </si>
  <si>
    <t>Geography: Edmonton, Canada | Capture context: Other / mixed capture | Camera / footage details: 600 pavement crack still images; full drive videos not documented. | Limits and pairing notes: Useful supplemental crack segmentation set; also partly reused by Pothole Mix. Do not interpret as verified AV footage.</t>
  </si>
  <si>
    <t>Meaningful collection variation or an explicit bounded collection domain is not established.</t>
  </si>
  <si>
    <t>DS-017|M1</t>
  </si>
  <si>
    <t>Datasets!E30; Datasets!I30; Datasets!K30</t>
  </si>
  <si>
    <t>Capture context: Other / mixed capture | Camera / footage details: 600 pavement crack still images; full drive videos not documented. | Publisher: Qipei Mei, Mustafa Gül and collaborators</t>
  </si>
  <si>
    <t>A useful capture/sensor/generation method is not established.</t>
  </si>
  <si>
    <t>DS-017|M2</t>
  </si>
  <si>
    <t>Datasets!I30; Datasets!M30</t>
  </si>
  <si>
    <t>Camera / footage details: 600 pavement crack still images; full drive videos not documented. | Reported size: 600 images</t>
  </si>
  <si>
    <t>Required pixel geometry or sensor sampling/measurement units are not stated for this target representation.</t>
  </si>
  <si>
    <t>DS-017|M5</t>
  </si>
  <si>
    <t>Datasets!I30; Datasets!O30; Datasets!R30</t>
  </si>
  <si>
    <t>Camera / footage details: 600 pavement crack still images; full drive videos not documented. | Label format: Pixel-level masks | Limits and pairing notes: Useful supplemental crack segmentation set; also partly reused by Pothole Mix. Do not interpret as verified AV footage.</t>
  </si>
  <si>
    <t>DS-018|A1</t>
  </si>
  <si>
    <t>MCDM_Grades!AR19; MCDM_Grades!AT19; All_Datasets!DH19; All_Datasets!D19; All_Datasets!L19; All_Datasets!T19</t>
  </si>
  <si>
    <t>FPHB README names GAPs384 and its GAPs parent citation with archive links and crack-map evaluation. CRACK500-specific training steps do not automatically prove a complete GAPs384 evaluation package.</t>
  </si>
  <si>
    <t>DS-018|A2</t>
  </si>
  <si>
    <t>MCDM_Grades!AR19; MCDM_Grades!AT19; All_Datasets!DH19; All_Datasets!CJ19; All_Datasets!CM19</t>
  </si>
  <si>
    <t>DS-018|A3</t>
  </si>
  <si>
    <t>MCDM_Grades!AR19; MCDM_Grades!AT19; All_Datasets!DH19</t>
  </si>
  <si>
    <t>DS-018|L1</t>
  </si>
  <si>
    <t>MCDM_Grades!AR19; MCDM_Grades!AT19; All_Datasets!DH19; All_Datasets!BJ19; All_Datasets!BH19</t>
  </si>
  <si>
    <t>DS-018|L2</t>
  </si>
  <si>
    <t>MCDM_Grades!AR19; MCDM_Grades!AT19; All_Datasets!DH19; All_Datasets!BJ19; All_Datasets!BN19; All_Datasets!BY19</t>
  </si>
  <si>
    <t>DS-018|L4</t>
  </si>
  <si>
    <t>MCDM_Grades!AR19; MCDM_Grades!AT19; All_Datasets!DH19; All_Datasets!BZ19</t>
  </si>
  <si>
    <t>DS-018|D1</t>
  </si>
  <si>
    <t>MCDM_Grades!AR19; MCDM_Grades!AT19; All_Datasets!DH19; All_Datasets!BN19; All_Datasets!BO19; All_Datasets!BJ19</t>
  </si>
  <si>
    <t>DS-018|D2</t>
  </si>
  <si>
    <t>MCDM_Grades!AR19; MCDM_Grades!AT19; All_Datasets!DH19; All_Datasets!CR19; All_Datasets!CV19; All_Datasets!AU19</t>
  </si>
  <si>
    <t>DS-018|D4</t>
  </si>
  <si>
    <t>MCDM_Grades!AR19; MCDM_Grades!AT19; All_Datasets!DH19; All_Datasets!CQ19</t>
  </si>
  <si>
    <t>DS-018|C1</t>
  </si>
  <si>
    <t>MCDM_Grades!AR19; MCDM_Grades!AT19; All_Datasets!DH19; All_Datasets!AC19; All_Datasets!AF19</t>
  </si>
  <si>
    <t>DS-018|C2</t>
  </si>
  <si>
    <t>MCDM_Grades!AR19; MCDM_Grades!AT19; All_Datasets!DH19; All_Datasets!AC19; All_Datasets!BJ19</t>
  </si>
  <si>
    <t>DS-018|R1</t>
  </si>
  <si>
    <t>MCDM_Grades!AR19; MCDM_Grades!AT19; All_Datasets!DH19; All_Datasets!AP19; All_Datasets!AS19; All_Datasets!AU19</t>
  </si>
  <si>
    <t>DS-018|R2</t>
  </si>
  <si>
    <t>MCDM_Grades!AR19; MCDM_Grades!AT19; All_Datasets!DH19; All_Datasets!AS19; All_Datasets!AU19</t>
  </si>
  <si>
    <t>DS-018|M1</t>
  </si>
  <si>
    <t>MCDM_Grades!AR19; MCDM_Grades!AT19; All_Datasets!DH19; All_Datasets!AU19; All_Datasets!AW19</t>
  </si>
  <si>
    <t>DS-018|M2</t>
  </si>
  <si>
    <t>MCDM_Grades!AR19; MCDM_Grades!AT19; All_Datasets!DH19; All_Datasets!AN19</t>
  </si>
  <si>
    <t>DS-018|M5</t>
  </si>
  <si>
    <t>MCDM_Grades!AR19; MCDM_Grades!AT19; All_Datasets!DH19; All_Datasets!AN19; All_Datasets!BY19; All_Datasets!CQ19</t>
  </si>
  <si>
    <t>DS-019|A1</t>
  </si>
  <si>
    <t>MCDM_Grades!AR20; MCDM_Grades!AT20; All_Datasets!DH20; All_Datasets!D20; All_Datasets!L20</t>
  </si>
  <si>
    <t>README explicitly states that only partial images are shown and the complete GeoPave-DroneSet will be released after acceptance. The full release is pending, so the complete-download-route check fails for the requested full dataset.</t>
  </si>
  <si>
    <t>DS-019|A2</t>
  </si>
  <si>
    <t>N</t>
  </si>
  <si>
    <t>MCDM_Grades!AR20; MCDM_Grades!AT20; All_Datasets!DH20; All_Datasets!CJ20; All_Datasets!CM20</t>
  </si>
  <si>
    <t>The saved primary-source review explicitly states the full release/request process is not yet available. This fails the documented route for the complete assessed release; it does not exclude descriptive inventory review.</t>
  </si>
  <si>
    <t>DS-019|A3</t>
  </si>
  <si>
    <t>MCDM_Grades!AR20; MCDM_Grades!AT20; All_Datasets!DH20</t>
  </si>
  <si>
    <t>DS-019|L1</t>
  </si>
  <si>
    <t>MCDM_Grades!AR20; MCDM_Grades!AT20; All_Datasets!DH20; All_Datasets!BJ20; All_Datasets!BH20</t>
  </si>
  <si>
    <t>DS-019|L2</t>
  </si>
  <si>
    <t>MCDM_Grades!AR20; MCDM_Grades!AT20; All_Datasets!DH20; All_Datasets!BJ20</t>
  </si>
  <si>
    <t>DS-019|L4</t>
  </si>
  <si>
    <t>DS-019|D1</t>
  </si>
  <si>
    <t>DS-019|D2</t>
  </si>
  <si>
    <t>MCDM_Grades!AR20; MCDM_Grades!AT20; All_Datasets!DH20; All_Datasets!CR20; All_Datasets!AU20</t>
  </si>
  <si>
    <t>DS-019|D4</t>
  </si>
  <si>
    <t>MCDM_Grades!AR20; MCDM_Grades!AT20; All_Datasets!DH20; All_Datasets!CQ20</t>
  </si>
  <si>
    <t>DS-019|C1</t>
  </si>
  <si>
    <t>DS-019|C2</t>
  </si>
  <si>
    <t>DS-019|R1</t>
  </si>
  <si>
    <t>MCDM_Grades!AR20; MCDM_Grades!AT20; All_Datasets!DH20; All_Datasets!AS20; All_Datasets!AU20</t>
  </si>
  <si>
    <t>DS-019|R2</t>
  </si>
  <si>
    <t>DS-019|M1</t>
  </si>
  <si>
    <t>MCDM_Grades!AR20; MCDM_Grades!AT20; All_Datasets!DH20; All_Datasets!AU20</t>
  </si>
  <si>
    <t>DS-019|M2</t>
  </si>
  <si>
    <t>DS-019|M5</t>
  </si>
  <si>
    <t>DS-020|A1</t>
  </si>
  <si>
    <t>MCDM_Grades!AR21; MCDM_Grades!AT21; All_Datasets!DH21; All_Datasets!L21</t>
  </si>
  <si>
    <t>README names crack and sealed-crack detection, 10,400 images and 202,840 instances from a highway survey vehicle, full and validation archives, and model checkpoints. Class-specific counts, rights and complete repeatable baseline settings remain unresolved.</t>
  </si>
  <si>
    <t>DS-020|A2</t>
  </si>
  <si>
    <t>MCDM_Grades!AR21; MCDM_Grades!AT21; All_Datasets!DH21; All_Datasets!CJ21; All_Datasets!CM21</t>
  </si>
  <si>
    <t>DS-020|A3</t>
  </si>
  <si>
    <t>MCDM_Grades!AR21; MCDM_Grades!AT21; All_Datasets!DH21</t>
  </si>
  <si>
    <t>DS-020|L1</t>
  </si>
  <si>
    <t>MCDM_Grades!AR21; MCDM_Grades!AT21; All_Datasets!DH21; All_Datasets!BJ21; All_Datasets!BH21</t>
  </si>
  <si>
    <t>DS-020|L2</t>
  </si>
  <si>
    <t>MCDM_Grades!AR21; MCDM_Grades!AT21; All_Datasets!DH21; All_Datasets!BJ21; All_Datasets!BY21</t>
  </si>
  <si>
    <t>DS-020|L4</t>
  </si>
  <si>
    <t>DS-020|D1</t>
  </si>
  <si>
    <t>MCDM_Grades!AR21; MCDM_Grades!AT21; All_Datasets!DH21; All_Datasets!BJ21</t>
  </si>
  <si>
    <t>DS-020|D2</t>
  </si>
  <si>
    <t>MCDM_Grades!AR21; MCDM_Grades!AT21; All_Datasets!DH21; All_Datasets!CR21; All_Datasets!AU21</t>
  </si>
  <si>
    <t>DS-020|D4</t>
  </si>
  <si>
    <t>MCDM_Grades!AR21; MCDM_Grades!AT21; All_Datasets!DH21; All_Datasets!CQ21</t>
  </si>
  <si>
    <t>DS-020|C1</t>
  </si>
  <si>
    <t>MCDM_Grades!AR21; MCDM_Grades!AT21; All_Datasets!DH21; All_Datasets!AC21; All_Datasets!AF21</t>
  </si>
  <si>
    <t>DS-020|C2</t>
  </si>
  <si>
    <t>MCDM_Grades!AR21; MCDM_Grades!AT21; All_Datasets!DH21; All_Datasets!AC21; All_Datasets!BJ21</t>
  </si>
  <si>
    <t>DS-020|R1</t>
  </si>
  <si>
    <t>MCDM_Grades!AR21; MCDM_Grades!AT21; All_Datasets!DH21; All_Datasets!AP21; All_Datasets!AS21; All_Datasets!AU21</t>
  </si>
  <si>
    <t>DS-020|R2</t>
  </si>
  <si>
    <t>MCDM_Grades!AR21; MCDM_Grades!AT21; All_Datasets!DH21; All_Datasets!AS21; All_Datasets!AU21</t>
  </si>
  <si>
    <t>DS-020|M1</t>
  </si>
  <si>
    <t>MCDM_Grades!AR21; MCDM_Grades!AT21; All_Datasets!DH21; All_Datasets!AU21</t>
  </si>
  <si>
    <t>DS-020|M2</t>
  </si>
  <si>
    <t>DS-020|M5</t>
  </si>
  <si>
    <t>MCDM_Grades!AR21; MCDM_Grades!AT21; All_Datasets!DH21; All_Datasets!BY21; All_Datasets!CQ21</t>
  </si>
  <si>
    <t>DS-021|A1</t>
  </si>
  <si>
    <t>MCDM_Grades!AR22; MCDM_Grades!AT22; All_Datasets!DH22; All_Datasets!D22; All_Datasets!L22</t>
  </si>
  <si>
    <t>IRRDD README identifies the 2022 release, 25,000 images, four named YOLO damage classes and six archive parts. A split-ratio script is described, but fixed membership and independent capture groups are not established.</t>
  </si>
  <si>
    <t>DS-021|A2</t>
  </si>
  <si>
    <t>MCDM_Grades!AR22; MCDM_Grades!AT22; All_Datasets!DH22; All_Datasets!CJ22; All_Datasets!CM22</t>
  </si>
  <si>
    <t>DS-021|A3</t>
  </si>
  <si>
    <t>MCDM_Grades!AR22; MCDM_Grades!AT22; All_Datasets!DH22</t>
  </si>
  <si>
    <t>DS-021|L1</t>
  </si>
  <si>
    <t>MCDM_Grades!AR22; MCDM_Grades!AT22; All_Datasets!DH22; All_Datasets!BJ22; All_Datasets!BH22</t>
  </si>
  <si>
    <t>DS-021|L2</t>
  </si>
  <si>
    <t>MCDM_Grades!AR22; MCDM_Grades!AT22; All_Datasets!DH22; All_Datasets!BJ22; All_Datasets!BN22</t>
  </si>
  <si>
    <t>DS-021|L4</t>
  </si>
  <si>
    <t>DS-021|D1</t>
  </si>
  <si>
    <t>MCDM_Grades!AR22; MCDM_Grades!AT22; All_Datasets!DH22; All_Datasets!BN22; All_Datasets!BO22; All_Datasets!BJ22</t>
  </si>
  <si>
    <t>DS-021|D2</t>
  </si>
  <si>
    <t>MCDM_Grades!AR22; MCDM_Grades!AT22; All_Datasets!DH22; All_Datasets!CR22</t>
  </si>
  <si>
    <t>DS-021|D4</t>
  </si>
  <si>
    <t>MCDM_Grades!AR22; MCDM_Grades!AT22; All_Datasets!DH22; All_Datasets!CQ22</t>
  </si>
  <si>
    <t>DS-021|C1</t>
  </si>
  <si>
    <t>MCDM_Grades!AR22; MCDM_Grades!AT22; All_Datasets!DH22; All_Datasets!AC22; All_Datasets!AF22</t>
  </si>
  <si>
    <t>DS-021|C2</t>
  </si>
  <si>
    <t>MCDM_Grades!AR22; MCDM_Grades!AT22; All_Datasets!DH22; All_Datasets!AC22; All_Datasets!BJ22</t>
  </si>
  <si>
    <t>DS-021|R1</t>
  </si>
  <si>
    <t>MCDM_Grades!AR22; MCDM_Grades!AT22; All_Datasets!DH22; All_Datasets!AP22; All_Datasets!AS22</t>
  </si>
  <si>
    <t>DS-021|R2</t>
  </si>
  <si>
    <t>MCDM_Grades!AR22; MCDM_Grades!AT22; All_Datasets!DH22; All_Datasets!AS22</t>
  </si>
  <si>
    <t>DS-021|M1</t>
  </si>
  <si>
    <t>DS-021|M2</t>
  </si>
  <si>
    <t>DS-021|M5</t>
  </si>
  <si>
    <t>DS-022|A1</t>
  </si>
  <si>
    <t>MCDM_Grades!AR23; MCDM_Grades!AT23; All_Datasets!DH23; All_Datasets!D23; All_Datasets!L23; All_Datasets!T23</t>
  </si>
  <si>
    <t>Segmentation section names RGB/IRT/fused crack images, morning/noon/dusk counts and related publication. Counts 448 versus 369 remain release-dependent in the inventory; do not transfer severity/detection data from other sections.</t>
  </si>
  <si>
    <t>DS-022|A2</t>
  </si>
  <si>
    <t>MCDM_Grades!AR23; MCDM_Grades!AT23; All_Datasets!DH23; All_Datasets!CJ23; All_Datasets!CM23</t>
  </si>
  <si>
    <t>DS-022|A3</t>
  </si>
  <si>
    <t>MCDM_Grades!AR23; MCDM_Grades!AT23; All_Datasets!DH23</t>
  </si>
  <si>
    <t>DS-022|L1</t>
  </si>
  <si>
    <t>MCDM_Grades!AR23; MCDM_Grades!AT23; All_Datasets!DH23; All_Datasets!BJ23; All_Datasets!BH23</t>
  </si>
  <si>
    <t>DS-022|L2</t>
  </si>
  <si>
    <t>MCDM_Grades!AR23; MCDM_Grades!AT23; All_Datasets!DH23; All_Datasets!BJ23; All_Datasets!BN23; All_Datasets!BY23</t>
  </si>
  <si>
    <t>DS-022|L4</t>
  </si>
  <si>
    <t>MCDM_Grades!AR23; MCDM_Grades!AT23; All_Datasets!DH23; All_Datasets!BZ23</t>
  </si>
  <si>
    <t>DS-022|D1</t>
  </si>
  <si>
    <t>MCDM_Grades!AR23; MCDM_Grades!AT23; All_Datasets!DH23; All_Datasets!BN23; All_Datasets!BO23; All_Datasets!BJ23</t>
  </si>
  <si>
    <t>DS-022|D2</t>
  </si>
  <si>
    <t>MCDM_Grades!AR23; MCDM_Grades!AT23; All_Datasets!DH23; All_Datasets!CR23; All_Datasets!AU23</t>
  </si>
  <si>
    <t>DS-022|D4</t>
  </si>
  <si>
    <t>MCDM_Grades!AR23; MCDM_Grades!AT23; All_Datasets!DH23; All_Datasets!CQ23</t>
  </si>
  <si>
    <t>DS-022|C1</t>
  </si>
  <si>
    <t>MCDM_Grades!AR23; MCDM_Grades!AT23; All_Datasets!DH23; All_Datasets!AC23; All_Datasets!AF23</t>
  </si>
  <si>
    <t>The saved evidence explicitly leaves the 448 versus 369 image count release-dependent; no count selected by averaging.</t>
  </si>
  <si>
    <t>DS-022|C2</t>
  </si>
  <si>
    <t>MCDM_Grades!AR23; MCDM_Grades!AT23; All_Datasets!DH23; All_Datasets!AC23; All_Datasets!BJ23</t>
  </si>
  <si>
    <t>DS-022|R1</t>
  </si>
  <si>
    <t>MCDM_Grades!AR23; MCDM_Grades!AT23; All_Datasets!DH23; All_Datasets!AP23; All_Datasets!AS23; All_Datasets!AU23</t>
  </si>
  <si>
    <t>DS-022|R2</t>
  </si>
  <si>
    <t>MCDM_Grades!AR23; MCDM_Grades!AT23; All_Datasets!DH23; All_Datasets!AS23; All_Datasets!BF23; All_Datasets!AU23</t>
  </si>
  <si>
    <t>DS-022|M1</t>
  </si>
  <si>
    <t>MCDM_Grades!AR23; MCDM_Grades!AT23; All_Datasets!DH23; All_Datasets!AU23; All_Datasets!AW23; All_Datasets!BD23</t>
  </si>
  <si>
    <t>DS-022|M2</t>
  </si>
  <si>
    <t>MCDM_Grades!AR23; MCDM_Grades!AT23; All_Datasets!DH23; All_Datasets!AN23; All_Datasets!BD23</t>
  </si>
  <si>
    <t>DS-022|M5</t>
  </si>
  <si>
    <t>MCDM_Grades!AR23; MCDM_Grades!AT23; All_Datasets!DH23; All_Datasets!AN23; All_Datasets!BY23; All_Datasets!CQ23</t>
  </si>
  <si>
    <t>DS-023|A1</t>
  </si>
  <si>
    <t>MCDM_Grades!AR24; MCDM_Grades!AT24; All_Datasets!DH24; All_Datasets!D24; All_Datasets!L24; All_Datasets!T24</t>
  </si>
  <si>
    <t>The multi-type IRT detection section links its own paper and Zenodo 11638443. The detailed 448-image table concerns the separate segmentation dataset and earns no detection-count points.</t>
  </si>
  <si>
    <t>DS-023|A2</t>
  </si>
  <si>
    <t>MCDM_Grades!AR24; MCDM_Grades!AT24; All_Datasets!DH24; All_Datasets!CJ24; All_Datasets!CM24</t>
  </si>
  <si>
    <t>DS-023|A3</t>
  </si>
  <si>
    <t>MCDM_Grades!AR24; MCDM_Grades!AT24; All_Datasets!DH24</t>
  </si>
  <si>
    <t>DS-023|L1</t>
  </si>
  <si>
    <t>MCDM_Grades!AR24; MCDM_Grades!AT24; All_Datasets!DH24; All_Datasets!BJ24; All_Datasets!BH24</t>
  </si>
  <si>
    <t>DS-023|L2</t>
  </si>
  <si>
    <t>MCDM_Grades!AR24; MCDM_Grades!AT24; All_Datasets!DH24; All_Datasets!BJ24; All_Datasets!BN24; All_Datasets!BY24</t>
  </si>
  <si>
    <t>DS-023|L4</t>
  </si>
  <si>
    <t>MCDM_Grades!AR24; MCDM_Grades!AT24; All_Datasets!DH24; All_Datasets!BZ24</t>
  </si>
  <si>
    <t>DS-023|D1</t>
  </si>
  <si>
    <t>MCDM_Grades!AR24; MCDM_Grades!AT24; All_Datasets!DH24; All_Datasets!BN24; All_Datasets!BO24; All_Datasets!BJ24</t>
  </si>
  <si>
    <t>DS-023|D2</t>
  </si>
  <si>
    <t>MCDM_Grades!AR24; MCDM_Grades!AT24; All_Datasets!DH24; All_Datasets!CR24; All_Datasets!AU24</t>
  </si>
  <si>
    <t>DS-023|D4</t>
  </si>
  <si>
    <t>MCDM_Grades!AR24; MCDM_Grades!AT24; All_Datasets!DH24; All_Datasets!CQ24</t>
  </si>
  <si>
    <t>DS-023|C1</t>
  </si>
  <si>
    <t>DS-023|C2</t>
  </si>
  <si>
    <t>MCDM_Grades!AR24; MCDM_Grades!AT24; All_Datasets!DH24; All_Datasets!BJ24</t>
  </si>
  <si>
    <t>DS-023|R1</t>
  </si>
  <si>
    <t>MCDM_Grades!AR24; MCDM_Grades!AT24; All_Datasets!DH24; All_Datasets!AP24; All_Datasets!AS24; All_Datasets!AU24</t>
  </si>
  <si>
    <t>DS-023|R2</t>
  </si>
  <si>
    <t>MCDM_Grades!AR24; MCDM_Grades!AT24; All_Datasets!DH24; All_Datasets!AS24; All_Datasets!AU24</t>
  </si>
  <si>
    <t>DS-023|M1</t>
  </si>
  <si>
    <t>MCDM_Grades!AR24; MCDM_Grades!AT24; All_Datasets!DH24; All_Datasets!AU24; All_Datasets!AW24; All_Datasets!BD24</t>
  </si>
  <si>
    <t>DS-023|M2</t>
  </si>
  <si>
    <t>MCDM_Grades!AR24; MCDM_Grades!AT24; All_Datasets!DH24; All_Datasets!BD24</t>
  </si>
  <si>
    <t>DS-023|M5</t>
  </si>
  <si>
    <t>MCDM_Grades!AR24; MCDM_Grades!AT24; All_Datasets!DH24; All_Datasets!BY24; All_Datasets!CQ24</t>
  </si>
  <si>
    <t>DS-024|A1</t>
  </si>
  <si>
    <t>MCDM_Grades!AR25; MCDM_Grades!AT25; All_Datasets!DH25; All_Datasets!D25; All_Datasets!L25; All_Datasets!T25</t>
  </si>
  <si>
    <t>Image2PCI README describes top-down Kansas City LCMS imagery, polygon type/severity annotations, JSON folders and an archive. It does not enumerate target classes or establish released measured PCI outcomes and their linkage.</t>
  </si>
  <si>
    <t>DS-024|A2</t>
  </si>
  <si>
    <t>MCDM_Grades!AR25; MCDM_Grades!AT25; All_Datasets!DH25; All_Datasets!CJ25; All_Datasets!CM25</t>
  </si>
  <si>
    <t>DS-024|A3</t>
  </si>
  <si>
    <t>MCDM_Grades!AR25; MCDM_Grades!AT25; All_Datasets!DH25</t>
  </si>
  <si>
    <t>DS-024|L1</t>
  </si>
  <si>
    <t>MCDM_Grades!AR25; MCDM_Grades!AT25; All_Datasets!DH25; All_Datasets!BJ25; All_Datasets!BH25</t>
  </si>
  <si>
    <t>DS-024|L2</t>
  </si>
  <si>
    <t>MCDM_Grades!AR25; MCDM_Grades!AT25; All_Datasets!DH25; All_Datasets!BJ25; All_Datasets!BN25; All_Datasets!BY25</t>
  </si>
  <si>
    <t>DS-024|L4</t>
  </si>
  <si>
    <t>DS-024|D1</t>
  </si>
  <si>
    <t>MCDM_Grades!AR25; MCDM_Grades!AT25; All_Datasets!DH25; All_Datasets!BN25; All_Datasets!BO25; All_Datasets!BJ25</t>
  </si>
  <si>
    <t>DS-024|D2</t>
  </si>
  <si>
    <t>MCDM_Grades!AR25; MCDM_Grades!AT25; All_Datasets!DH25; All_Datasets!CR25; All_Datasets!AU25</t>
  </si>
  <si>
    <t>DS-024|D4</t>
  </si>
  <si>
    <t>MCDM_Grades!AR25; MCDM_Grades!AT25; All_Datasets!DH25; All_Datasets!CQ25</t>
  </si>
  <si>
    <t>DS-024|C1</t>
  </si>
  <si>
    <t>DS-024|C2</t>
  </si>
  <si>
    <t>MCDM_Grades!AR25; MCDM_Grades!AT25; All_Datasets!DH25; All_Datasets!BJ25</t>
  </si>
  <si>
    <t>DS-024|R1</t>
  </si>
  <si>
    <t>MCDM_Grades!AR25; MCDM_Grades!AT25; All_Datasets!DH25; All_Datasets!AP25; All_Datasets!AR25; All_Datasets!AS25; All_Datasets!AU25</t>
  </si>
  <si>
    <t>DS-024|R2</t>
  </si>
  <si>
    <t>MCDM_Grades!AR25; MCDM_Grades!AT25; All_Datasets!DH25; All_Datasets!AS25; All_Datasets!AU25</t>
  </si>
  <si>
    <t>DS-024|M1</t>
  </si>
  <si>
    <t>MCDM_Grades!AR25; MCDM_Grades!AT25; All_Datasets!DH25; All_Datasets!AU25; All_Datasets!BD25</t>
  </si>
  <si>
    <t>DS-024|M2</t>
  </si>
  <si>
    <t>MCDM_Grades!AR25; MCDM_Grades!AT25; All_Datasets!DH25; All_Datasets!BD25</t>
  </si>
  <si>
    <t>DS-024|M5</t>
  </si>
  <si>
    <t>MCDM_Grades!AR25; MCDM_Grades!AT25; All_Datasets!DH25; All_Datasets!BY25; All_Datasets!CQ25</t>
  </si>
  <si>
    <t>DS-025|A1</t>
  </si>
  <si>
    <t>MCDM_Grades!AR26; MCDM_Grades!AT26; All_Datasets!DH26; All_Datasets!D26; All_Datasets!L26</t>
  </si>
  <si>
    <t>LEiS-Data.rar is a named archive in the author repository with a file hash. No README or annotation/collection protocol was found.</t>
  </si>
  <si>
    <t>DS-025|A2</t>
  </si>
  <si>
    <t>MCDM_Grades!AR26; MCDM_Grades!AT26; All_Datasets!DH26; All_Datasets!CJ26; All_Datasets!CM26</t>
  </si>
  <si>
    <t>DS-025|A3</t>
  </si>
  <si>
    <t>MCDM_Grades!AR26; MCDM_Grades!AT26; All_Datasets!DH26</t>
  </si>
  <si>
    <t>DS-025|L1</t>
  </si>
  <si>
    <t>MCDM_Grades!AR26; MCDM_Grades!AT26; All_Datasets!DH26; All_Datasets!BH26</t>
  </si>
  <si>
    <t>DS-025|L2</t>
  </si>
  <si>
    <t>DS-025|L4</t>
  </si>
  <si>
    <t>DS-025|D1</t>
  </si>
  <si>
    <t>DS-025|D2</t>
  </si>
  <si>
    <t>MCDM_Grades!AR26; MCDM_Grades!AT26; All_Datasets!DH26; All_Datasets!CR26</t>
  </si>
  <si>
    <t>DS-025|D4</t>
  </si>
  <si>
    <t>MCDM_Grades!AR26; MCDM_Grades!AT26; All_Datasets!DH26; All_Datasets!CQ26</t>
  </si>
  <si>
    <t>DS-025|C1</t>
  </si>
  <si>
    <t>DS-025|C2</t>
  </si>
  <si>
    <t>DS-025|R1</t>
  </si>
  <si>
    <t>MCDM_Grades!AR26; MCDM_Grades!AT26; All_Datasets!DH26; All_Datasets!AS26</t>
  </si>
  <si>
    <t>DS-025|R2</t>
  </si>
  <si>
    <t>DS-025|M1</t>
  </si>
  <si>
    <t>DS-025|M2</t>
  </si>
  <si>
    <t>DS-025|M5</t>
  </si>
  <si>
    <t>DS-026|A1</t>
  </si>
  <si>
    <t>MCDM_Grades!AR27; MCDM_Grades!AT27; All_Datasets!DH27; All_Datasets!D27; All_Datasets!L27</t>
  </si>
  <si>
    <t>MTPDSD Introduction lists seven mask classes and the vehicle dashboard/rear camera system. Acquisition explicitly says the full data will be made available soon.</t>
  </si>
  <si>
    <t>DS-026|A2</t>
  </si>
  <si>
    <t>MCDM_Grades!AR27; MCDM_Grades!AT27; All_Datasets!DH27; All_Datasets!CJ27; All_Datasets!CM27</t>
  </si>
  <si>
    <t>DS-026|A3</t>
  </si>
  <si>
    <t>MCDM_Grades!AR27; MCDM_Grades!AT27; All_Datasets!DH27</t>
  </si>
  <si>
    <t>DS-026|L1</t>
  </si>
  <si>
    <t>MCDM_Grades!AR27; MCDM_Grades!AT27; All_Datasets!DH27; All_Datasets!BJ27; All_Datasets!BH27</t>
  </si>
  <si>
    <t>DS-026|L2</t>
  </si>
  <si>
    <t>MCDM_Grades!AR27; MCDM_Grades!AT27; All_Datasets!DH27; All_Datasets!BJ27</t>
  </si>
  <si>
    <t>DS-026|L4</t>
  </si>
  <si>
    <t>DS-026|D1</t>
  </si>
  <si>
    <t>DS-026|D2</t>
  </si>
  <si>
    <t>MCDM_Grades!AR27; MCDM_Grades!AT27; All_Datasets!DH27; All_Datasets!CR27; All_Datasets!AU27</t>
  </si>
  <si>
    <t>DS-026|D4</t>
  </si>
  <si>
    <t>MCDM_Grades!AR27; MCDM_Grades!AT27; All_Datasets!DH27; All_Datasets!CQ27</t>
  </si>
  <si>
    <t>DS-026|C1</t>
  </si>
  <si>
    <t>MCDM_Grades!AR27; MCDM_Grades!AT27; All_Datasets!DH27; All_Datasets!AC27; All_Datasets!AF27</t>
  </si>
  <si>
    <t>DS-026|C2</t>
  </si>
  <si>
    <t>MCDM_Grades!AR27; MCDM_Grades!AT27; All_Datasets!DH27; All_Datasets!AC27; All_Datasets!BJ27</t>
  </si>
  <si>
    <t>DS-026|R1</t>
  </si>
  <si>
    <t>MCDM_Grades!AR27; MCDM_Grades!AT27; All_Datasets!DH27; All_Datasets!AS27; All_Datasets!AU27</t>
  </si>
  <si>
    <t>DS-026|R2</t>
  </si>
  <si>
    <t>DS-026|M1</t>
  </si>
  <si>
    <t>MCDM_Grades!AR27; MCDM_Grades!AT27; All_Datasets!DH27; All_Datasets!AU27; All_Datasets!AW27</t>
  </si>
  <si>
    <t>DS-026|M2</t>
  </si>
  <si>
    <t>DS-026|M5</t>
  </si>
  <si>
    <t>DS-027|A1</t>
  </si>
  <si>
    <t>MCDM_Grades!AR28; MCDM_Grades!AT28; All_Datasets!DH28; All_Datasets!D28; All_Datasets!L28</t>
  </si>
  <si>
    <t>NightInspect README identifies the originating paper and a Quark archive with extraction code. Complete label taxonomy, counts, geographic collection context and license remain unreported.</t>
  </si>
  <si>
    <t>DS-027|A2</t>
  </si>
  <si>
    <t>MCDM_Grades!AR28; MCDM_Grades!AT28; All_Datasets!DH28; All_Datasets!CJ28; All_Datasets!CM28</t>
  </si>
  <si>
    <t>DS-027|A3</t>
  </si>
  <si>
    <t>MCDM_Grades!AR28; MCDM_Grades!AT28; All_Datasets!DH28</t>
  </si>
  <si>
    <t>DS-027|L1</t>
  </si>
  <si>
    <t>MCDM_Grades!AR28; MCDM_Grades!AT28; All_Datasets!DH28; All_Datasets!BH28</t>
  </si>
  <si>
    <t>DS-027|L2</t>
  </si>
  <si>
    <t>DS-027|L4</t>
  </si>
  <si>
    <t>DS-027|D1</t>
  </si>
  <si>
    <t>DS-027|D2</t>
  </si>
  <si>
    <t>MCDM_Grades!AR28; MCDM_Grades!AT28; All_Datasets!DH28; All_Datasets!CR28</t>
  </si>
  <si>
    <t>DS-027|D4</t>
  </si>
  <si>
    <t>MCDM_Grades!AR28; MCDM_Grades!AT28; All_Datasets!DH28; All_Datasets!CQ28</t>
  </si>
  <si>
    <t>DS-027|C1</t>
  </si>
  <si>
    <t>DS-027|C2</t>
  </si>
  <si>
    <t>DS-027|R1</t>
  </si>
  <si>
    <t>MCDM_Grades!AR28; MCDM_Grades!AT28; All_Datasets!DH28; All_Datasets!AS28</t>
  </si>
  <si>
    <t>DS-027|R2</t>
  </si>
  <si>
    <t>MCDM_Grades!AR28; MCDM_Grades!AT28; All_Datasets!DH28; All_Datasets!AS28; All_Datasets!BF28</t>
  </si>
  <si>
    <t>DS-027|M1</t>
  </si>
  <si>
    <t>DS-027|M2</t>
  </si>
  <si>
    <t>DS-027|M5</t>
  </si>
  <si>
    <t>DS-028|A1</t>
  </si>
  <si>
    <t>MCDM_Grades!AR29; MCDM_Grades!AT29; All_Datasets!DH29; All_Datasets!L29; All_Datasets!T29</t>
  </si>
  <si>
    <t>Pavementscapes README identifies its data paper, Google Drive folder and TFRecord demonstration notebook. Full taxonomy and complete reproducibility settings were not established by the bounded source review.</t>
  </si>
  <si>
    <t>DS-028|A2</t>
  </si>
  <si>
    <t>MCDM_Grades!AR29; MCDM_Grades!AT29; All_Datasets!DH29</t>
  </si>
  <si>
    <t>DS-028|A3</t>
  </si>
  <si>
    <t>DS-028|L1</t>
  </si>
  <si>
    <t>MCDM_Grades!AR29; MCDM_Grades!AT29; All_Datasets!DH29; All_Datasets!BJ29; All_Datasets!BH29</t>
  </si>
  <si>
    <t>DS-028|L2</t>
  </si>
  <si>
    <t>MCDM_Grades!AR29; MCDM_Grades!AT29; All_Datasets!DH29; All_Datasets!BJ29; All_Datasets!BN29; All_Datasets!BY29</t>
  </si>
  <si>
    <t>DS-028|L4</t>
  </si>
  <si>
    <t>DS-028|D1</t>
  </si>
  <si>
    <t>MCDM_Grades!AR29; MCDM_Grades!AT29; All_Datasets!DH29; All_Datasets!BN29; All_Datasets!BJ29</t>
  </si>
  <si>
    <t>DS-028|D2</t>
  </si>
  <si>
    <t>MCDM_Grades!AR29; MCDM_Grades!AT29; All_Datasets!DH29; All_Datasets!CR29; All_Datasets!AU29</t>
  </si>
  <si>
    <t>DS-028|D4</t>
  </si>
  <si>
    <t>MCDM_Grades!AR29; MCDM_Grades!AT29; All_Datasets!DH29; All_Datasets!CQ29</t>
  </si>
  <si>
    <t>DS-028|C1</t>
  </si>
  <si>
    <t>MCDM_Grades!AR29; MCDM_Grades!AT29; All_Datasets!DH29; All_Datasets!AC29; All_Datasets!AF29</t>
  </si>
  <si>
    <t>DS-028|C2</t>
  </si>
  <si>
    <t>MCDM_Grades!AR29; MCDM_Grades!AT29; All_Datasets!DH29; All_Datasets!AC29; All_Datasets!BJ29</t>
  </si>
  <si>
    <t>DS-028|R1</t>
  </si>
  <si>
    <t>MCDM_Grades!AR29; MCDM_Grades!AT29; All_Datasets!DH29; All_Datasets!AS29; All_Datasets!AU29</t>
  </si>
  <si>
    <t>DS-028|R2</t>
  </si>
  <si>
    <t>DS-028|M1</t>
  </si>
  <si>
    <t>MCDM_Grades!AR29; MCDM_Grades!AT29; All_Datasets!DH29; All_Datasets!AU29</t>
  </si>
  <si>
    <t>DS-028|M2</t>
  </si>
  <si>
    <t>MCDM_Grades!AR29; MCDM_Grades!AT29; All_Datasets!DH29; All_Datasets!AN29</t>
  </si>
  <si>
    <t>DS-028|M5</t>
  </si>
  <si>
    <t>MCDM_Grades!AR29; MCDM_Grades!AT29; All_Datasets!DH29; All_Datasets!AN29; All_Datasets!BY29; All_Datasets!CQ29</t>
  </si>
  <si>
    <t>DS-029|A1</t>
  </si>
  <si>
    <t>Datasets!B35; Datasets!L35; Datasets!S35; Datasets!T35</t>
  </si>
  <si>
    <t>Dataset / release family: PaveSeg | Release / paper year: 2025 publication context; repository date not verified | Dataset / download: Dataset / download | Evidence / paper: Source evidence</t>
  </si>
  <si>
    <t>DS-029|A2</t>
  </si>
  <si>
    <t>Datasets!F35; Datasets!Q35</t>
  </si>
  <si>
    <t>Access status: Partial public release | Access instructions: 100-image preview in GitHub; full noncommercial access application process described as forthcoming.</t>
  </si>
  <si>
    <t>Only the 100-image preview has a route; the application process for the full 2,400-image dataset is expressly forthcoming. Grade the full described release, not the preview alone.</t>
  </si>
  <si>
    <t>DS-029|A3</t>
  </si>
  <si>
    <t>Datasets!P35</t>
  </si>
  <si>
    <t>License / use terms: Noncommercial full-data access; preview license not clearly specified.</t>
  </si>
  <si>
    <t>Exact release-specific data terms were not confirmed in the summary; repository/code terms do not automatically apply to imagery.</t>
  </si>
  <si>
    <t>DS-029|L1</t>
  </si>
  <si>
    <t>Datasets!H35; Datasets!O35</t>
  </si>
  <si>
    <t>Pavement labels: Crack, pothole, sealed crack, patch, alligator crack, utility cover, expansion joint; undamaged background. | Label format: Expert grayscale pixel masks (seven foreground classes)</t>
  </si>
  <si>
    <t>DS-029|L2</t>
  </si>
  <si>
    <t>DS-029|L4</t>
  </si>
  <si>
    <t>Datasets!O35; Datasets!R35</t>
  </si>
  <si>
    <t>Label format: Expert grayscale pixel masks (seven foreground classes) | Limits and pairing notes: Do not describe all 2,400 as freely downloadable. Public preview is useful; full availability needs confirmation.</t>
  </si>
  <si>
    <t>DS-029|D1</t>
  </si>
  <si>
    <t>Datasets!O35; Datasets!I35</t>
  </si>
  <si>
    <t>Label format: Expert grayscale pixel masks (seven foreground classes) | Camera / footage details: High-resolution pavement images; continuous video not documented.</t>
  </si>
  <si>
    <t>Formats and the relationship between input files and target/time/record identifiers are described.</t>
  </si>
  <si>
    <t>DS-029|D2</t>
  </si>
  <si>
    <t>Datasets!K35; Datasets!E35; Datasets!I35; Datasets!R35</t>
  </si>
  <si>
    <t>Publisher: FuturePave | Capture context: Other / mixed capture | Camera / footage details: High-resolution pavement images; continuous video not documented. | Limits and pairing notes: Do not describe all 2,400 as freely downloadable. Public preview is useful; full availability needs confirmation.</t>
  </si>
  <si>
    <t>DS-029|D4</t>
  </si>
  <si>
    <t>Datasets!R35; Datasets!H35</t>
  </si>
  <si>
    <t>Limits and pairing notes: Do not describe all 2,400 as freely downloadable. Public preview is useful; full availability needs confirmation. | Pavement labels: Crack, pothole, sealed crack, patch, alligator crack, utility cover, expansion joint; undamaged background.</t>
  </si>
  <si>
    <t>DS-029|C1</t>
  </si>
  <si>
    <t>Datasets!M35</t>
  </si>
  <si>
    <t>Reported size: 2,400 described; 100 images/masks publicly previewed</t>
  </si>
  <si>
    <t>DS-029|C2</t>
  </si>
  <si>
    <t>Datasets!M35; Datasets!H35</t>
  </si>
  <si>
    <t>Reported size: 2,400 described; 100 images/masks publicly previewed | Pavement labels: Crack, pothole, sealed crack, patch, alligator crack, utility cover, expansion joint; undamaged background.</t>
  </si>
  <si>
    <t>The summary provides relevant class/subset or target-availability counts/proportions, rather than only a grand total.</t>
  </si>
  <si>
    <t>DS-029|R1</t>
  </si>
  <si>
    <t>Datasets!N35; Datasets!E35; Datasets!I35</t>
  </si>
  <si>
    <t>Geography: Not specified in accessed repository. | Capture context: Other / mixed capture | Camera / footage details: High-resolution pavement images; continuous video not documented.</t>
  </si>
  <si>
    <t>DS-029|R2</t>
  </si>
  <si>
    <t>Datasets!N35; Datasets!E35; Datasets!I35; Datasets!R35</t>
  </si>
  <si>
    <t>Geography: Not specified in accessed repository. | Capture context: Other / mixed capture | Camera / footage details: High-resolution pavement images; continuous video not documented. | Limits and pairing notes: Do not describe all 2,400 as freely downloadable. Public preview is useful; full availability needs confirmation.</t>
  </si>
  <si>
    <t>DS-029|M1</t>
  </si>
  <si>
    <t>Datasets!E35; Datasets!I35; Datasets!K35</t>
  </si>
  <si>
    <t>Capture context: Other / mixed capture | Camera / footage details: High-resolution pavement images; continuous video not documented. | Publisher: FuturePave</t>
  </si>
  <si>
    <t>DS-029|M2</t>
  </si>
  <si>
    <t>Datasets!I35; Datasets!M35</t>
  </si>
  <si>
    <t>Camera / footage details: High-resolution pavement images; continuous video not documented. | Reported size: 2,400 described; 100 images/masks publicly previewed</t>
  </si>
  <si>
    <t>DS-029|M5</t>
  </si>
  <si>
    <t>Datasets!I35; Datasets!O35; Datasets!R35</t>
  </si>
  <si>
    <t>Camera / footage details: High-resolution pavement images; continuous video not documented. | Label format: Expert grayscale pixel masks (seven foreground classes) | Limits and pairing notes: Do not describe all 2,400 as freely downloadable. Public preview is useful; full availability needs confirmation.</t>
  </si>
  <si>
    <t>DS-030|A1</t>
  </si>
  <si>
    <t>MCDM_Grades!AR31; MCDM_Grades!AT31; All_Datasets!DH31; All_Datasets!D31; All_Datasets!L31; All_Datasets!T31</t>
  </si>
  <si>
    <t>PID README explains paired wide/top-down Google Street View views, image extraction by a project Python API and four labeled archives. Its nine-class list, external-image rights and measured outcome linkage are not fully documented here.</t>
  </si>
  <si>
    <t>DS-030|A2</t>
  </si>
  <si>
    <t>MCDM_Grades!AR31; MCDM_Grades!AT31; All_Datasets!DH31; All_Datasets!CJ31; All_Datasets!CM31</t>
  </si>
  <si>
    <t>DS-030|A3</t>
  </si>
  <si>
    <t>MCDM_Grades!AR31; MCDM_Grades!AT31; All_Datasets!DH31</t>
  </si>
  <si>
    <t>DS-030|L1</t>
  </si>
  <si>
    <t>MCDM_Grades!AR31; MCDM_Grades!AT31; All_Datasets!DH31; All_Datasets!BJ31; All_Datasets!BH31; All_Datasets!BI31</t>
  </si>
  <si>
    <t>DS-030|L2</t>
  </si>
  <si>
    <t>MCDM_Grades!AR31; MCDM_Grades!AT31; All_Datasets!DH31; All_Datasets!BJ31; All_Datasets!BN31; All_Datasets!BY31</t>
  </si>
  <si>
    <t>DS-030|L4</t>
  </si>
  <si>
    <t>MCDM_Grades!AR31; MCDM_Grades!AT31; All_Datasets!DH31; All_Datasets!BZ31</t>
  </si>
  <si>
    <t>DS-030|D1</t>
  </si>
  <si>
    <t>MCDM_Grades!AR31; MCDM_Grades!AT31; All_Datasets!DH31; All_Datasets!BN31; All_Datasets!BJ31</t>
  </si>
  <si>
    <t>DS-030|D2</t>
  </si>
  <si>
    <t>MCDM_Grades!AR31; MCDM_Grades!AT31; All_Datasets!DH31; All_Datasets!CR31; All_Datasets!AU31</t>
  </si>
  <si>
    <t>DS-030|D4</t>
  </si>
  <si>
    <t>MCDM_Grades!AR31; MCDM_Grades!AT31; All_Datasets!DH31; All_Datasets!CQ31</t>
  </si>
  <si>
    <t>DS-030|C1</t>
  </si>
  <si>
    <t>MCDM_Grades!AR31; MCDM_Grades!AT31; All_Datasets!DH31; All_Datasets!AC31; All_Datasets!AF31; All_Datasets!AG31</t>
  </si>
  <si>
    <t>DS-030|C2</t>
  </si>
  <si>
    <t>MCDM_Grades!AR31; MCDM_Grades!AT31; All_Datasets!DH31; All_Datasets!AC31; All_Datasets!BJ31</t>
  </si>
  <si>
    <t>DS-030|R1</t>
  </si>
  <si>
    <t>MCDM_Grades!AR31; MCDM_Grades!AT31; All_Datasets!DH31; All_Datasets!AP31; All_Datasets!AR31; All_Datasets!AS31; All_Datasets!AU31</t>
  </si>
  <si>
    <t>DS-030|R2</t>
  </si>
  <si>
    <t>MCDM_Grades!AR31; MCDM_Grades!AT31; All_Datasets!DH31; All_Datasets!AS31; All_Datasets!BF31; All_Datasets!AU31</t>
  </si>
  <si>
    <t>DS-030|M1</t>
  </si>
  <si>
    <t>MCDM_Grades!AR31; MCDM_Grades!AT31; All_Datasets!DH31; All_Datasets!AU31</t>
  </si>
  <si>
    <t>DS-030|M2</t>
  </si>
  <si>
    <t>MCDM_Grades!AR31; MCDM_Grades!AT31; All_Datasets!DH31; All_Datasets!AN31</t>
  </si>
  <si>
    <t>DS-030|M5</t>
  </si>
  <si>
    <t>MCDM_Grades!AR31; MCDM_Grades!AT31; All_Datasets!DH31; All_Datasets!AN31; All_Datasets!BY31; All_Datasets!CQ31</t>
  </si>
  <si>
    <t>DS-031|A1</t>
  </si>
  <si>
    <t>MCDM_Grades!AR32; MCDM_Grades!AT32; All_Datasets!DH32; All_Datasets!L32</t>
  </si>
  <si>
    <t>README provides pothole YOLO targets, web-image provenance and a v1.0.0 GitHub release archive. Third-party image rights and independent source grouping remain unresolved.</t>
  </si>
  <si>
    <t>DS-031|A2</t>
  </si>
  <si>
    <t>MCDM_Grades!AR32; MCDM_Grades!AT32; All_Datasets!DH32; All_Datasets!CJ32; All_Datasets!CM32</t>
  </si>
  <si>
    <t>DS-031|A3</t>
  </si>
  <si>
    <t>MCDM_Grades!AR32; MCDM_Grades!AT32; All_Datasets!DH32</t>
  </si>
  <si>
    <t>DS-031|L1</t>
  </si>
  <si>
    <t>MCDM_Grades!AR32; MCDM_Grades!AT32; All_Datasets!DH32; All_Datasets!BJ32; All_Datasets!BH32</t>
  </si>
  <si>
    <t>DS-031|L2</t>
  </si>
  <si>
    <t>MCDM_Grades!AR32; MCDM_Grades!AT32; All_Datasets!DH32; All_Datasets!BJ32; All_Datasets!BN32; All_Datasets!BY32</t>
  </si>
  <si>
    <t>DS-031|L4</t>
  </si>
  <si>
    <t>DS-031|D1</t>
  </si>
  <si>
    <t>MCDM_Grades!AR32; MCDM_Grades!AT32; All_Datasets!DH32; All_Datasets!BN32; All_Datasets!BO32; All_Datasets!BJ32</t>
  </si>
  <si>
    <t>DS-031|D2</t>
  </si>
  <si>
    <t>MCDM_Grades!AR32; MCDM_Grades!AT32; All_Datasets!DH32; All_Datasets!CR32; All_Datasets!AU32</t>
  </si>
  <si>
    <t>DS-031|D4</t>
  </si>
  <si>
    <t>MCDM_Grades!AR32; MCDM_Grades!AT32; All_Datasets!DH32; All_Datasets!CQ32</t>
  </si>
  <si>
    <t>DS-031|C1</t>
  </si>
  <si>
    <t>MCDM_Grades!AR32; MCDM_Grades!AT32; All_Datasets!DH32; All_Datasets!AC32; All_Datasets!AF32</t>
  </si>
  <si>
    <t>DS-031|C2</t>
  </si>
  <si>
    <t>MCDM_Grades!AR32; MCDM_Grades!AT32; All_Datasets!DH32; All_Datasets!AC32; All_Datasets!BJ32</t>
  </si>
  <si>
    <t>DS-031|R1</t>
  </si>
  <si>
    <t>MCDM_Grades!AR32; MCDM_Grades!AT32; All_Datasets!DH32; All_Datasets!AS32; All_Datasets!AU32</t>
  </si>
  <si>
    <t>DS-031|R2</t>
  </si>
  <si>
    <t>DS-031|M1</t>
  </si>
  <si>
    <t>MCDM_Grades!AR32; MCDM_Grades!AT32; All_Datasets!DH32; All_Datasets!AU32</t>
  </si>
  <si>
    <t>DS-031|M2</t>
  </si>
  <si>
    <t>DS-031|M5</t>
  </si>
  <si>
    <t>MCDM_Grades!AR32; MCDM_Grades!AT32; All_Datasets!DH32; All_Datasets!BY32; All_Datasets!CQ32</t>
  </si>
  <si>
    <t>DS-032|A1</t>
  </si>
  <si>
    <t>https://arxiv.org/abs/2308.06393</t>
  </si>
  <si>
    <t>Datasets!B14; Datasets!L14; Datasets!S14; Datasets!T14</t>
  </si>
  <si>
    <t>Dataset / release family: R2S100K — Road-Region Segmentation | Release / paper year: 2023 preprint; 2025 journal | Dataset / download: Dataset / download | Evidence / paper: Source evidence</t>
  </si>
  <si>
    <t>DS-032|A2</t>
  </si>
  <si>
    <t>Datasets!F14; Datasets!Q14</t>
  </si>
  <si>
    <t>Access status: Request access | Access instructions: Authors request email to matifbutt@outlook.com; repository says unlabeled data will be released soon.</t>
  </si>
  <si>
    <t>Email access is described for labeled data, but 86,000 unlabeled images are stated to be forthcoming; full 100k-release route is unresolved.</t>
  </si>
  <si>
    <t>DS-032|A3</t>
  </si>
  <si>
    <t>Datasets!P14</t>
  </si>
  <si>
    <t>License / use terms: Not specified in accessed repository; request terms with access.</t>
  </si>
  <si>
    <t>DS-032|L1</t>
  </si>
  <si>
    <t>Datasets!H14; Datasets!O14</t>
  </si>
  <si>
    <t>Pavement labels: 14 road-region classes including distress, wet surface, puddle, gravel, boggy, earthen, concrete patches and speed breakers. | Label format: Pixel-level semantic segmentation for 14,000 images</t>
  </si>
  <si>
    <t>DS-032|L2</t>
  </si>
  <si>
    <t>DS-032|L4</t>
  </si>
  <si>
    <t>Datasets!O14; Datasets!R14</t>
  </si>
  <si>
    <t>Label format: Pixel-level semantic segmentation for 14,000 images | Limits and pairing notes: High-value combined distress/surface-state benchmark, but not an unrestricted instant download. Access to all 100k is not confirmed.</t>
  </si>
  <si>
    <t>DS-032|D1</t>
  </si>
  <si>
    <t>Datasets!O14; Datasets!I14</t>
  </si>
  <si>
    <t>Label format: Pixel-level semantic segmentation for 14,000 images | Camera / footage details: 100,000 extracted road-video images; continuous videos not stated as released.</t>
  </si>
  <si>
    <t>DS-032|D2</t>
  </si>
  <si>
    <t>Datasets!K14; Datasets!E14; Datasets!I14; Datasets!R14</t>
  </si>
  <si>
    <t>Publisher: Muhammad Atif Butt and collaborators | Capture context: Human-driven survey | Camera / footage details: 100,000 extracted road-video images; continuous videos not stated as released. | Limits and pairing notes: High-value combined distress/surface-state benchmark, but not an unrestricted instant download. Access to all 100k is not confirmed.</t>
  </si>
  <si>
    <t>DS-032|D4</t>
  </si>
  <si>
    <t>Datasets!R14; Datasets!H14</t>
  </si>
  <si>
    <t>Limits and pairing notes: High-value combined distress/surface-state benchmark, but not an unrestricted instant download. Access to all 100k is not confirmed. | Pavement labels: 14 road-region classes including distress, wet surface, puddle, gravel, boggy, earthen, concrete patches and speed breakers.</t>
  </si>
  <si>
    <t>DS-032|C1</t>
  </si>
  <si>
    <t>Datasets!M14</t>
  </si>
  <si>
    <t>Reported size: 100,000 images total; 14,000 labeled, 86,000 unlabeled described; over 1,000 km</t>
  </si>
  <si>
    <t>DS-032|C2</t>
  </si>
  <si>
    <t>Datasets!M14; Datasets!H14</t>
  </si>
  <si>
    <t>Reported size: 100,000 images total; 14,000 labeled, 86,000 unlabeled described; over 1,000 km | Pavement labels: 14 road-region classes including distress, wet surface, puddle, gravel, boggy, earthen, concrete patches and speed breakers.</t>
  </si>
  <si>
    <t>DS-032|R1</t>
  </si>
  <si>
    <t>Datasets!N14; Datasets!E14; Datasets!I14</t>
  </si>
  <si>
    <t>Geography: Geography not verified from accessed project/repository. | Capture context: Human-driven survey | Camera / footage details: 100,000 extracted road-video images; continuous videos not stated as released.</t>
  </si>
  <si>
    <t>Actual collection geography/site and capture context are not jointly established; affiliation is not geography.</t>
  </si>
  <si>
    <t>DS-032|R2</t>
  </si>
  <si>
    <t>Datasets!N14; Datasets!E14; Datasets!I14; Datasets!R14</t>
  </si>
  <si>
    <t>Geography: Geography not verified from accessed project/repository. | Capture context: Human-driven survey | Camera / footage details: 100,000 extracted road-video images; continuous videos not stated as released. | Limits and pairing notes: High-value combined distress/surface-state benchmark, but not an unrestricted instant download. Access to all 100k is not confirmed.</t>
  </si>
  <si>
    <t>DS-032|M1</t>
  </si>
  <si>
    <t>Datasets!E14; Datasets!I14; Datasets!K14</t>
  </si>
  <si>
    <t>Capture context: Human-driven survey | Camera / footage details: 100,000 extracted road-video images; continuous videos not stated as released. | Publisher: Muhammad Atif Butt and collaborators</t>
  </si>
  <si>
    <t>DS-032|M2</t>
  </si>
  <si>
    <t>Datasets!I14; Datasets!M14</t>
  </si>
  <si>
    <t>Camera / footage details: 100,000 extracted road-video images; continuous videos not stated as released. | Reported size: 100,000 images total; 14,000 labeled, 86,000 unlabeled described; over 1,000 km</t>
  </si>
  <si>
    <t>DS-032|M5</t>
  </si>
  <si>
    <t>Datasets!I14; Datasets!O14; Datasets!R14</t>
  </si>
  <si>
    <t>Camera / footage details: 100,000 extracted road-video images; continuous videos not stated as released. | Label format: Pixel-level semantic segmentation for 14,000 images | Limits and pairing notes: High-value combined distress/surface-state benchmark, but not an unrestricted instant download. Access to all 100k is not confirmed.</t>
  </si>
  <si>
    <t>A concrete transformation/patch extraction/projection/reconstruction or data-generation process is described.</t>
  </si>
  <si>
    <t>DS-033|A1</t>
  </si>
  <si>
    <t>MCDM_Grades!AR34; MCDM_Grades!AT34; All_Datasets!DH34; All_Datasets!L34; All_Datasets!T34</t>
  </si>
  <si>
    <t>RCD-IIUM README identifies the university source, Malaysian locations, crack instance masks and segmentation-coordinate text files with a Drive link. No quantitative label audit or complete sensor specification is provided.</t>
  </si>
  <si>
    <t>DS-033|A2</t>
  </si>
  <si>
    <t>MCDM_Grades!AR34; MCDM_Grades!AT34; All_Datasets!DH34; All_Datasets!CJ34; All_Datasets!CM34</t>
  </si>
  <si>
    <t>DS-033|A3</t>
  </si>
  <si>
    <t>MCDM_Grades!AR34; MCDM_Grades!AT34; All_Datasets!DH34</t>
  </si>
  <si>
    <t>DS-033|L1</t>
  </si>
  <si>
    <t>MCDM_Grades!AR34; MCDM_Grades!AT34; All_Datasets!DH34; All_Datasets!BJ34; All_Datasets!BH34</t>
  </si>
  <si>
    <t>DS-033|L2</t>
  </si>
  <si>
    <t>MCDM_Grades!AR34; MCDM_Grades!AT34; All_Datasets!DH34; All_Datasets!BJ34; All_Datasets!BN34; All_Datasets!BY34</t>
  </si>
  <si>
    <t>DS-033|L4</t>
  </si>
  <si>
    <t>MCDM_Grades!AR34; MCDM_Grades!AT34; All_Datasets!DH34; All_Datasets!BZ34</t>
  </si>
  <si>
    <t>DS-033|D1</t>
  </si>
  <si>
    <t>MCDM_Grades!AR34; MCDM_Grades!AT34; All_Datasets!DH34; All_Datasets!BN34; All_Datasets!BO34; All_Datasets!BJ34</t>
  </si>
  <si>
    <t>DS-033|D2</t>
  </si>
  <si>
    <t>MCDM_Grades!AR34; MCDM_Grades!AT34; All_Datasets!DH34; All_Datasets!CR34; All_Datasets!AU34</t>
  </si>
  <si>
    <t>DS-033|D4</t>
  </si>
  <si>
    <t>MCDM_Grades!AR34; MCDM_Grades!AT34; All_Datasets!DH34; All_Datasets!CQ34</t>
  </si>
  <si>
    <t>DS-033|C1</t>
  </si>
  <si>
    <t>DS-033|C2</t>
  </si>
  <si>
    <t>MCDM_Grades!AR34; MCDM_Grades!AT34; All_Datasets!DH34; All_Datasets!BJ34</t>
  </si>
  <si>
    <t>DS-033|R1</t>
  </si>
  <si>
    <t>MCDM_Grades!AR34; MCDM_Grades!AT34; All_Datasets!DH34; All_Datasets!AP34; All_Datasets!AR34; All_Datasets!AS34; All_Datasets!AU34</t>
  </si>
  <si>
    <t>DS-033|R2</t>
  </si>
  <si>
    <t>MCDM_Grades!AR34; MCDM_Grades!AT34; All_Datasets!DH34; All_Datasets!AS34; All_Datasets!AU34</t>
  </si>
  <si>
    <t>DS-033|M1</t>
  </si>
  <si>
    <t>MCDM_Grades!AR34; MCDM_Grades!AT34; All_Datasets!DH34; All_Datasets!AU34; All_Datasets!AW34</t>
  </si>
  <si>
    <t>DS-033|M2</t>
  </si>
  <si>
    <t>DS-033|M5</t>
  </si>
  <si>
    <t>MCDM_Grades!AR34; MCDM_Grades!AT34; All_Datasets!DH34; All_Datasets!BY34; All_Datasets!CQ34</t>
  </si>
  <si>
    <t>DS-034|A1</t>
  </si>
  <si>
    <t>MCDM_Grades!AR35; MCDM_Grades!AT35; All_Datasets!DH35; All_Datasets!D35; All_Datasets!L35; All_Datasets!T35</t>
  </si>
  <si>
    <t>Canonical Mendeley version 1 confirms 26,336 images, four named distress targets, India/Japan/Czech vehicle smartphones and CC BY-NC 3.0. These resolve the mirror count/license discrepancies for this release.</t>
  </si>
  <si>
    <t>DS-034|A2</t>
  </si>
  <si>
    <t>MCDM_Grades!AR35; MCDM_Grades!AT35; All_Datasets!DH35; All_Datasets!CJ35; All_Datasets!CM35</t>
  </si>
  <si>
    <t>DS-034|A3</t>
  </si>
  <si>
    <t>MCDM_Grades!AR35; MCDM_Grades!AT35; All_Datasets!DH35; All_Datasets!CK35</t>
  </si>
  <si>
    <t>DS-034|L1</t>
  </si>
  <si>
    <t>MCDM_Grades!AR35; MCDM_Grades!AT35; All_Datasets!DH35; All_Datasets!BJ35; All_Datasets!BH35</t>
  </si>
  <si>
    <t>DS-034|L2</t>
  </si>
  <si>
    <t>MCDM_Grades!AR35; MCDM_Grades!AT35; All_Datasets!DH35; All_Datasets!BJ35; All_Datasets!BN35; All_Datasets!BY35</t>
  </si>
  <si>
    <t>DS-034|L4</t>
  </si>
  <si>
    <t>MCDM_Grades!AR35; MCDM_Grades!AT35; All_Datasets!DH35; All_Datasets!BZ35</t>
  </si>
  <si>
    <t>DS-034|D1</t>
  </si>
  <si>
    <t>MCDM_Grades!AR35; MCDM_Grades!AT35; All_Datasets!DH35; All_Datasets!BN35; All_Datasets!BO35; All_Datasets!BJ35</t>
  </si>
  <si>
    <t>DS-034|D2</t>
  </si>
  <si>
    <t>MCDM_Grades!AR35; MCDM_Grades!AT35; All_Datasets!DH35; All_Datasets!CR35; All_Datasets!CV35; All_Datasets!AU35</t>
  </si>
  <si>
    <t>DS-034|D4</t>
  </si>
  <si>
    <t>MCDM_Grades!AR35; MCDM_Grades!AT35; All_Datasets!DH35; All_Datasets!CQ35</t>
  </si>
  <si>
    <t>DS-034|C1</t>
  </si>
  <si>
    <t>MCDM_Grades!AR35; MCDM_Grades!AT35; All_Datasets!DH35; All_Datasets!AC35; All_Datasets!AF35</t>
  </si>
  <si>
    <t>DS-034|C2</t>
  </si>
  <si>
    <t>MCDM_Grades!AR35; MCDM_Grades!AT35; All_Datasets!DH35; All_Datasets!AC35; All_Datasets!BJ35</t>
  </si>
  <si>
    <t>DS-034|R1</t>
  </si>
  <si>
    <t>MCDM_Grades!AR35; MCDM_Grades!AT35; All_Datasets!DH35; All_Datasets!AP35; All_Datasets!AR35; All_Datasets!AS35; All_Datasets!AU35</t>
  </si>
  <si>
    <t>DS-034|R2</t>
  </si>
  <si>
    <t>MCDM_Grades!AR35; MCDM_Grades!AT35; All_Datasets!DH35; All_Datasets!AS35; All_Datasets!BE35; All_Datasets!BF35; All_Datasets!AU35</t>
  </si>
  <si>
    <t>DS-034|M1</t>
  </si>
  <si>
    <t>MCDM_Grades!AR35; MCDM_Grades!AT35; All_Datasets!DH35; All_Datasets!AU35; All_Datasets!AW35</t>
  </si>
  <si>
    <t>DS-034|M2</t>
  </si>
  <si>
    <t>MCDM_Grades!AR35; MCDM_Grades!AT35; All_Datasets!DH35; All_Datasets!AN35</t>
  </si>
  <si>
    <t>DS-034|M5</t>
  </si>
  <si>
    <t>MCDM_Grades!AR35; MCDM_Grades!AT35; All_Datasets!DH35; All_Datasets!AN35; All_Datasets!BY35; All_Datasets!CQ35</t>
  </si>
  <si>
    <t>DS-035|A1</t>
  </si>
  <si>
    <t>https://api.figshare.com/v2/articles/21431547/versions/1</t>
  </si>
  <si>
    <t>doi / version</t>
  </si>
  <si>
    <t>Version-specific DOI confirmed by public API.</t>
  </si>
  <si>
    <t>DS-035|A2</t>
  </si>
  <si>
    <t>files</t>
  </si>
  <si>
    <t>Archive, directory structure and label-map links provided.</t>
  </si>
  <si>
    <t>DS-035|A3</t>
  </si>
  <si>
    <t>license</t>
  </si>
  <si>
    <t>Dataset license CC BY 4.0.</t>
  </si>
  <si>
    <t>DS-035|L1</t>
  </si>
  <si>
    <t>https://arxiv.org/pdf/2209.08538</t>
  </si>
  <si>
    <t>Background and Summary / Methods</t>
  </si>
  <si>
    <t>Four damage categories defined.</t>
  </si>
  <si>
    <t>DS-035|L2</t>
  </si>
  <si>
    <t>Annotation; Figures 11–13</t>
  </si>
  <si>
    <t>LabelImg/CVAT boxes encoded as Pascal VOC XML.</t>
  </si>
  <si>
    <t>DS-035|L4</t>
  </si>
  <si>
    <t>Annotation</t>
  </si>
  <si>
    <t>Current-release concrete annotation review not established.</t>
  </si>
  <si>
    <t>DS-035|D1</t>
  </si>
  <si>
    <t>Data Records; Figure 14</t>
  </si>
  <si>
    <t>Country tree and XML-to-image mapping described.</t>
  </si>
  <si>
    <t>DS-035|D2</t>
  </si>
  <si>
    <t>Background and Summary / Image Acquisition</t>
  </si>
  <si>
    <t>Earlier RDD parents and country collectors described.</t>
  </si>
  <si>
    <t>DS-035|D4</t>
  </si>
  <si>
    <t>Background and Summary; pages 3–4</t>
  </si>
  <si>
    <t>Test labels withheld; training-only China drone subset.</t>
  </si>
  <si>
    <t>DS-035|C1</t>
  </si>
  <si>
    <t>description</t>
  </si>
  <si>
    <t>47,420 images distinguished from damage instances.</t>
  </si>
  <si>
    <t>DS-035|C2</t>
  </si>
  <si>
    <t>Figures 4–5</t>
  </si>
  <si>
    <t>Country and class frequencies reported.</t>
  </si>
  <si>
    <t>DS-035|R1</t>
  </si>
  <si>
    <t>Background and Summary; pages 4–6</t>
  </si>
  <si>
    <t>Country/site and road-class coverage described.</t>
  </si>
  <si>
    <t>DS-035|R2</t>
  </si>
  <si>
    <t>Weather, illumination and capture contexts described.</t>
  </si>
  <si>
    <t>DS-035|M1</t>
  </si>
  <si>
    <t>Methods: Image Acquisition</t>
  </si>
  <si>
    <t>Cars, motorbike, drone and Street View identified.</t>
  </si>
  <si>
    <t>DS-035|M2</t>
  </si>
  <si>
    <t>Table 2 / Image Acquisition</t>
  </si>
  <si>
    <t>Subset image resolutions documented.</t>
  </si>
  <si>
    <t>DS-035|M5</t>
  </si>
  <si>
    <t>India resizing and Norway stitching documented.</t>
  </si>
  <si>
    <t>DS-036|A1</t>
  </si>
  <si>
    <t>MCDM_Grades!AR37; MCDM_Grades!AT37; All_Datasets!DH37; All_Datasets!D37; All_Datasets!L37</t>
  </si>
  <si>
    <t>RDDC2024-ID README lists five YOLO classes, class/severity guidance and 44 named contributors, Indonesian crowdsourcing, and a download archive. No measured inter-rater agreement or independent split audit was found.</t>
  </si>
  <si>
    <t>DS-036|A2</t>
  </si>
  <si>
    <t>MCDM_Grades!AR37; MCDM_Grades!AT37; All_Datasets!DH37; All_Datasets!CJ37; All_Datasets!CM37</t>
  </si>
  <si>
    <t>DS-036|A3</t>
  </si>
  <si>
    <t>MCDM_Grades!AR37; MCDM_Grades!AT37; All_Datasets!DH37</t>
  </si>
  <si>
    <t>DS-036|L1</t>
  </si>
  <si>
    <t>MCDM_Grades!AR37; MCDM_Grades!AT37; All_Datasets!DH37; All_Datasets!BJ37; All_Datasets!BH37</t>
  </si>
  <si>
    <t>DS-036|L2</t>
  </si>
  <si>
    <t>MCDM_Grades!AR37; MCDM_Grades!AT37; All_Datasets!DH37; All_Datasets!BJ37; All_Datasets!BN37; All_Datasets!BY37</t>
  </si>
  <si>
    <t>DS-036|L4</t>
  </si>
  <si>
    <t>MCDM_Grades!AR37; MCDM_Grades!AT37; All_Datasets!DH37; All_Datasets!BZ37</t>
  </si>
  <si>
    <t>DS-036|D1</t>
  </si>
  <si>
    <t>MCDM_Grades!AR37; MCDM_Grades!AT37; All_Datasets!DH37; All_Datasets!BN37; All_Datasets!BO37; All_Datasets!BJ37</t>
  </si>
  <si>
    <t>DS-036|D2</t>
  </si>
  <si>
    <t>MCDM_Grades!AR37; MCDM_Grades!AT37; All_Datasets!DH37; All_Datasets!CR37</t>
  </si>
  <si>
    <t>DS-036|D4</t>
  </si>
  <si>
    <t>MCDM_Grades!AR37; MCDM_Grades!AT37; All_Datasets!DH37; All_Datasets!CQ37</t>
  </si>
  <si>
    <t>DS-036|C1</t>
  </si>
  <si>
    <t>MCDM_Grades!AR37; MCDM_Grades!AT37; All_Datasets!DH37; All_Datasets!AC37; All_Datasets!AF37</t>
  </si>
  <si>
    <t>DS-036|C2</t>
  </si>
  <si>
    <t>MCDM_Grades!AR37; MCDM_Grades!AT37; All_Datasets!DH37; All_Datasets!AC37; All_Datasets!BJ37</t>
  </si>
  <si>
    <t>DS-036|R1</t>
  </si>
  <si>
    <t>MCDM_Grades!AR37; MCDM_Grades!AT37; All_Datasets!DH37; All_Datasets!AP37; All_Datasets!AR37; All_Datasets!AS37</t>
  </si>
  <si>
    <t>DS-036|R2</t>
  </si>
  <si>
    <t>MCDM_Grades!AR37; MCDM_Grades!AT37; All_Datasets!DH37; All_Datasets!AS37</t>
  </si>
  <si>
    <t>DS-036|M1</t>
  </si>
  <si>
    <t>DS-036|M2</t>
  </si>
  <si>
    <t>DS-036|M5</t>
  </si>
  <si>
    <t>MCDM_Grades!AR37; MCDM_Grades!AT37; All_Datasets!DH37; All_Datasets!BY37; All_Datasets!CQ37</t>
  </si>
  <si>
    <t>DS-037|A1</t>
  </si>
  <si>
    <t>MCDM_Grades!AR38; MCDM_Grades!AT38; All_Datasets!DH38; All_Datasets!D38; All_Datasets!L38</t>
  </si>
  <si>
    <t>The official RDD2018 section and shared privacy/license statements identify smartphone road-damage data, its original publication, archive, eight-category taxonomy and face/plate blurring. Release-specific label reliability and split-unit independence require further work.</t>
  </si>
  <si>
    <t>DS-037|A2</t>
  </si>
  <si>
    <t>MCDM_Grades!AR38; MCDM_Grades!AT38; All_Datasets!DH38; All_Datasets!CJ38; All_Datasets!CM38</t>
  </si>
  <si>
    <t>DS-037|A3</t>
  </si>
  <si>
    <t>MCDM_Grades!AR38; MCDM_Grades!AT38; All_Datasets!DH38; All_Datasets!CK38</t>
  </si>
  <si>
    <t>DS-037|L1</t>
  </si>
  <si>
    <t>MCDM_Grades!AR38; MCDM_Grades!AT38; All_Datasets!DH38; All_Datasets!BJ38; All_Datasets!BH38</t>
  </si>
  <si>
    <t>DS-037|L2</t>
  </si>
  <si>
    <t>MCDM_Grades!AR38; MCDM_Grades!AT38; All_Datasets!DH38; All_Datasets!BJ38; All_Datasets!BN38; All_Datasets!BY38</t>
  </si>
  <si>
    <t>DS-037|L4</t>
  </si>
  <si>
    <t>MCDM_Grades!AR38; MCDM_Grades!AT38; All_Datasets!DH38; All_Datasets!BZ38</t>
  </si>
  <si>
    <t>DS-037|D1</t>
  </si>
  <si>
    <t>MCDM_Grades!AR38; MCDM_Grades!AT38; All_Datasets!DH38; All_Datasets!BN38; All_Datasets!BO38; All_Datasets!BJ38</t>
  </si>
  <si>
    <t>DS-037|D2</t>
  </si>
  <si>
    <t>MCDM_Grades!AR38; MCDM_Grades!AT38; All_Datasets!DH38; All_Datasets!CR38; All_Datasets!AU38</t>
  </si>
  <si>
    <t>DS-037|D4</t>
  </si>
  <si>
    <t>MCDM_Grades!AR38; MCDM_Grades!AT38; All_Datasets!DH38; All_Datasets!CQ38</t>
  </si>
  <si>
    <t>DS-037|C1</t>
  </si>
  <si>
    <t>MCDM_Grades!AR38; MCDM_Grades!AT38; All_Datasets!DH38; All_Datasets!AC38; All_Datasets!AF38</t>
  </si>
  <si>
    <t>DS-037|C2</t>
  </si>
  <si>
    <t>MCDM_Grades!AR38; MCDM_Grades!AT38; All_Datasets!DH38; All_Datasets!AC38; All_Datasets!BJ38</t>
  </si>
  <si>
    <t>DS-037|R1</t>
  </si>
  <si>
    <t>MCDM_Grades!AR38; MCDM_Grades!AT38; All_Datasets!DH38; All_Datasets!AP38; All_Datasets!AR38; All_Datasets!AS38; All_Datasets!AU38</t>
  </si>
  <si>
    <t>DS-037|R2</t>
  </si>
  <si>
    <t>MCDM_Grades!AR38; MCDM_Grades!AT38; All_Datasets!DH38; All_Datasets!AS38; All_Datasets!BE38; All_Datasets!BF38; All_Datasets!AU38</t>
  </si>
  <si>
    <t>DS-037|M1</t>
  </si>
  <si>
    <t>MCDM_Grades!AR38; MCDM_Grades!AT38; All_Datasets!DH38; All_Datasets!AU38</t>
  </si>
  <si>
    <t>DS-037|M2</t>
  </si>
  <si>
    <t>MCDM_Grades!AR38; MCDM_Grades!AT38; All_Datasets!DH38; All_Datasets!AN38</t>
  </si>
  <si>
    <t>DS-037|M5</t>
  </si>
  <si>
    <t>MCDM_Grades!AR38; MCDM_Grades!AT38; All_Datasets!DH38; All_Datasets!AN38; All_Datasets!BY38; All_Datasets!CQ38</t>
  </si>
  <si>
    <t>DS-038|A1</t>
  </si>
  <si>
    <t>MCDM_Grades!AR39; MCDM_Grades!AT39; All_Datasets!DH39; All_Datasets!D39; All_Datasets!L39</t>
  </si>
  <si>
    <t>RDD2019 section explicitly identifies GAN/Poisson-blended augmentation, Pascal VOC packaging, its paper and release archive. Do not inherit the later four-class taxonomy or assume the exact real/synthetic counts.</t>
  </si>
  <si>
    <t>DS-038|A2</t>
  </si>
  <si>
    <t>MCDM_Grades!AR39; MCDM_Grades!AT39; All_Datasets!DH39; All_Datasets!CJ39; All_Datasets!CM39</t>
  </si>
  <si>
    <t>DS-038|A3</t>
  </si>
  <si>
    <t>MCDM_Grades!AR39; MCDM_Grades!AT39; All_Datasets!DH39</t>
  </si>
  <si>
    <t>DS-038|L1</t>
  </si>
  <si>
    <t>MCDM_Grades!AR39; MCDM_Grades!AT39; All_Datasets!DH39; All_Datasets!BJ39; All_Datasets!BH39</t>
  </si>
  <si>
    <t>DS-038|L2</t>
  </si>
  <si>
    <t>MCDM_Grades!AR39; MCDM_Grades!AT39; All_Datasets!DH39; All_Datasets!BJ39; All_Datasets!BN39; All_Datasets!BY39</t>
  </si>
  <si>
    <t>DS-038|L4</t>
  </si>
  <si>
    <t>DS-038|D1</t>
  </si>
  <si>
    <t>MCDM_Grades!AR39; MCDM_Grades!AT39; All_Datasets!DH39; All_Datasets!BN39; All_Datasets!BO39; All_Datasets!BJ39</t>
  </si>
  <si>
    <t>DS-038|D2</t>
  </si>
  <si>
    <t>MCDM_Grades!AR39; MCDM_Grades!AT39; All_Datasets!DH39; All_Datasets!CR39; All_Datasets!CV39; All_Datasets!AU39</t>
  </si>
  <si>
    <t>DS-038|D4</t>
  </si>
  <si>
    <t>MCDM_Grades!AR39; MCDM_Grades!AT39; All_Datasets!DH39; All_Datasets!CQ39</t>
  </si>
  <si>
    <t>DS-038|C1</t>
  </si>
  <si>
    <t>DS-038|C2</t>
  </si>
  <si>
    <t>MCDM_Grades!AR39; MCDM_Grades!AT39; All_Datasets!DH39; All_Datasets!BJ39</t>
  </si>
  <si>
    <t>DS-038|R1</t>
  </si>
  <si>
    <t>MCDM_Grades!AR39; MCDM_Grades!AT39; All_Datasets!DH39; All_Datasets!AP39; All_Datasets!AS39; All_Datasets!AU39</t>
  </si>
  <si>
    <t>DS-038|R2</t>
  </si>
  <si>
    <t>MCDM_Grades!AR39; MCDM_Grades!AT39; All_Datasets!DH39; All_Datasets!AS39; All_Datasets!AU39</t>
  </si>
  <si>
    <t>DS-038|M1</t>
  </si>
  <si>
    <t>MCDM_Grades!AR39; MCDM_Grades!AT39; All_Datasets!DH39; All_Datasets!AU39</t>
  </si>
  <si>
    <t>DS-038|M2</t>
  </si>
  <si>
    <t>DS-038|M5</t>
  </si>
  <si>
    <t>MCDM_Grades!AR39; MCDM_Grades!AT39; All_Datasets!DH39; All_Datasets!BY39; All_Datasets!CQ39</t>
  </si>
  <si>
    <t>DS-039|A1</t>
  </si>
  <si>
    <t>MCDM_Grades!AR40; MCDM_Grades!AT40; All_Datasets!DH40; All_Datasets!D40; All_Datasets!L40; All_Datasets!T40</t>
  </si>
  <si>
    <t>Mendeley v1 defines rutting boxes and pixel annotations, 949 images, a related paper and CC BY 4.0. Camera, geography, label review and physical rut-depth linkage are unresolved.</t>
  </si>
  <si>
    <t>DS-039|A2</t>
  </si>
  <si>
    <t>MCDM_Grades!AR40; MCDM_Grades!AT40; All_Datasets!DH40; All_Datasets!CJ40; All_Datasets!CM40</t>
  </si>
  <si>
    <t>DS-039|A3</t>
  </si>
  <si>
    <t>MCDM_Grades!AR40; MCDM_Grades!AT40; All_Datasets!DH40; All_Datasets!CK40</t>
  </si>
  <si>
    <t>DS-039|L1</t>
  </si>
  <si>
    <t>MCDM_Grades!AR40; MCDM_Grades!AT40; All_Datasets!DH40; All_Datasets!BJ40; All_Datasets!BH40</t>
  </si>
  <si>
    <t>DS-039|L2</t>
  </si>
  <si>
    <t>MCDM_Grades!AR40; MCDM_Grades!AT40; All_Datasets!DH40; All_Datasets!BJ40; All_Datasets!BN40; All_Datasets!BY40</t>
  </si>
  <si>
    <t>DS-039|L4</t>
  </si>
  <si>
    <t>MCDM_Grades!AR40; MCDM_Grades!AT40; All_Datasets!DH40</t>
  </si>
  <si>
    <t>DS-039|D1</t>
  </si>
  <si>
    <t>MCDM_Grades!AR40; MCDM_Grades!AT40; All_Datasets!DH40; All_Datasets!BN40; All_Datasets!BO40; All_Datasets!BJ40</t>
  </si>
  <si>
    <t>DS-039|D2</t>
  </si>
  <si>
    <t>MCDM_Grades!AR40; MCDM_Grades!AT40; All_Datasets!DH40; All_Datasets!CR40</t>
  </si>
  <si>
    <t>DS-039|D4</t>
  </si>
  <si>
    <t>MCDM_Grades!AR40; MCDM_Grades!AT40; All_Datasets!DH40; All_Datasets!CQ40</t>
  </si>
  <si>
    <t>DS-039|C1</t>
  </si>
  <si>
    <t>MCDM_Grades!AR40; MCDM_Grades!AT40; All_Datasets!DH40; All_Datasets!AC40; All_Datasets!AF40</t>
  </si>
  <si>
    <t>DS-039|C2</t>
  </si>
  <si>
    <t>MCDM_Grades!AR40; MCDM_Grades!AT40; All_Datasets!DH40; All_Datasets!AC40; All_Datasets!BJ40</t>
  </si>
  <si>
    <t>DS-039|R1</t>
  </si>
  <si>
    <t>MCDM_Grades!AR40; MCDM_Grades!AT40; All_Datasets!DH40; All_Datasets!AS40</t>
  </si>
  <si>
    <t>DS-039|R2</t>
  </si>
  <si>
    <t>DS-039|M1</t>
  </si>
  <si>
    <t>DS-039|M2</t>
  </si>
  <si>
    <t>DS-039|M5</t>
  </si>
  <si>
    <t>MCDM_Grades!AR40; MCDM_Grades!AT40; All_Datasets!DH40; All_Datasets!BY40; All_Datasets!CQ40</t>
  </si>
  <si>
    <t>DS-040|A1</t>
  </si>
  <si>
    <t>Datasets!B12; Datasets!L12; Datasets!S12; Datasets!T12</t>
  </si>
  <si>
    <t>Dataset / release family: RTK — Road Traversing Knowledge (segmentation) | Release / paper year: 2020 paper; 2023 repository release | Dataset / download: Dataset / download | Evidence / paper: Source evidence</t>
  </si>
  <si>
    <t>DS-040|A2</t>
  </si>
  <si>
    <t>Datasets!F12; Datasets!Q12</t>
  </si>
  <si>
    <t>Access status: Public links | Access instructions: Public Mendeley dataset.</t>
  </si>
  <si>
    <t>DS-040|A3</t>
  </si>
  <si>
    <t>Datasets!P12</t>
  </si>
  <si>
    <t>License / use terms: CC BY 4.0 for this Mendeley release.</t>
  </si>
  <si>
    <t>DS-040|L1</t>
  </si>
  <si>
    <t>Datasets!H12; Datasets!O12</t>
  </si>
  <si>
    <t>Pavement labels: 12 semantic classes including road materials, potholes, cracks, puddles, patches and road markings/fixtures. | Label format: Dense pixel-level segmentation</t>
  </si>
  <si>
    <t>DS-040|L2</t>
  </si>
  <si>
    <t>DS-040|L4</t>
  </si>
  <si>
    <t>Datasets!O12; Datasets!R12</t>
  </si>
  <si>
    <t>Label format: Dense pixel-level segmentation | Limits and pairing notes: This row is the 701-image segmentation release, not the larger RTK material/quality classification collection. Daylight and good weather only.</t>
  </si>
  <si>
    <t>DS-040|D1</t>
  </si>
  <si>
    <t>Datasets!O12; Datasets!I12</t>
  </si>
  <si>
    <t>Label format: Dense pixel-level segmentation | Camera / footage details: Low-resolution road images captured in driving context; separate RTK collection also contains frame sequences.</t>
  </si>
  <si>
    <t>DS-040|D2</t>
  </si>
  <si>
    <t>Datasets!K12; Datasets!E12; Datasets!I12; Datasets!R12</t>
  </si>
  <si>
    <t>Publisher: Thiago Rateke, Aldo von Wangenheim, Rafael Toledo / UFSC | Capture context: Driving research | Camera / footage details: Low-resolution road images captured in driving context; separate RTK collection also contains frame sequences. | Limits and pairing notes: This row is the 701-image segmentation release, not the larger RTK material/quality classification collection. Daylight and good weather only.</t>
  </si>
  <si>
    <t>DS-040|D4</t>
  </si>
  <si>
    <t>Datasets!R12; Datasets!H12</t>
  </si>
  <si>
    <t>Limits and pairing notes: This row is the 701-image segmentation release, not the larger RTK material/quality classification collection. Daylight and good weather only. | Pavement labels: 12 semantic classes including road materials, potholes, cracks, puddles, patches and road markings/fixtures.</t>
  </si>
  <si>
    <t>DS-040|C1</t>
  </si>
  <si>
    <t>Datasets!M12</t>
  </si>
  <si>
    <t>Reported size: 701 images (352×288): 561 train / 140 validation</t>
  </si>
  <si>
    <t>DS-040|C2</t>
  </si>
  <si>
    <t>Datasets!M12; Datasets!H12</t>
  </si>
  <si>
    <t>Reported size: 701 images (352×288): 561 train / 140 validation | Pavement labels: 12 semantic classes including road materials, potholes, cracks, puddles, patches and road markings/fixtures.</t>
  </si>
  <si>
    <t>DS-040|R1</t>
  </si>
  <si>
    <t>Datasets!N12; Datasets!E12; Datasets!I12</t>
  </si>
  <si>
    <t>Geography: Santa Catarina, Brazil | Capture context: Driving research | Camera / footage details: Low-resolution road images captured in driving context; separate RTK collection also contains frame sequences.</t>
  </si>
  <si>
    <t>DS-040|R2</t>
  </si>
  <si>
    <t>Datasets!N12; Datasets!E12; Datasets!I12; Datasets!R12</t>
  </si>
  <si>
    <t>Geography: Santa Catarina, Brazil | Capture context: Driving research | Camera / footage details: Low-resolution road images captured in driving context; separate RTK collection also contains frame sequences. | Limits and pairing notes: This row is the 701-image segmentation release, not the larger RTK material/quality classification collection. Daylight and good weather only.</t>
  </si>
  <si>
    <t>DS-040|M1</t>
  </si>
  <si>
    <t>Datasets!E12; Datasets!I12; Datasets!K12</t>
  </si>
  <si>
    <t>Capture context: Driving research | Camera / footage details: Low-resolution road images captured in driving context; separate RTK collection also contains frame sequences. | Publisher: Thiago Rateke, Aldo von Wangenheim, Rafael Toledo / UFSC</t>
  </si>
  <si>
    <t>DS-040|M2</t>
  </si>
  <si>
    <t>Datasets!I12; Datasets!M12</t>
  </si>
  <si>
    <t>Camera / footage details: Low-resolution road images captured in driving context; separate RTK collection also contains frame sequences. | Reported size: 701 images (352×288): 561 train / 140 validation</t>
  </si>
  <si>
    <t>DS-040|M5</t>
  </si>
  <si>
    <t>Datasets!I12; Datasets!O12; Datasets!R12</t>
  </si>
  <si>
    <t>Camera / footage details: Low-resolution road images captured in driving context; separate RTK collection also contains frame sequences. | Label format: Dense pixel-level segmentation | Limits and pairing notes: This row is the 701-image segmentation release, not the larger RTK material/quality classification collection. Daylight and good weather only.</t>
  </si>
  <si>
    <t>DS-041|A1</t>
  </si>
  <si>
    <t>MCDM_Grades!AR42; MCDM_Grades!AT42; All_Datasets!DH42; All_Datasets!D42; All_Datasets!L42</t>
  </si>
  <si>
    <t>README names transverse, longitudinal and net cracks but explicitly postpones image publication until the article is received. Complete release access is not established.</t>
  </si>
  <si>
    <t>DS-041|A2</t>
  </si>
  <si>
    <t>MCDM_Grades!AR42; MCDM_Grades!AT42; All_Datasets!DH42; All_Datasets!CJ42; All_Datasets!CM42</t>
  </si>
  <si>
    <t>DS-041|A3</t>
  </si>
  <si>
    <t>MCDM_Grades!AR42; MCDM_Grades!AT42; All_Datasets!DH42</t>
  </si>
  <si>
    <t>DS-041|L1</t>
  </si>
  <si>
    <t>MCDM_Grades!AR42; MCDM_Grades!AT42; All_Datasets!DH42; All_Datasets!BH42</t>
  </si>
  <si>
    <t>DS-041|L2</t>
  </si>
  <si>
    <t>DS-041|L4</t>
  </si>
  <si>
    <t>DS-041|D1</t>
  </si>
  <si>
    <t>DS-041|D2</t>
  </si>
  <si>
    <t>MCDM_Grades!AR42; MCDM_Grades!AT42; All_Datasets!DH42; All_Datasets!CR42</t>
  </si>
  <si>
    <t>DS-041|D4</t>
  </si>
  <si>
    <t>MCDM_Grades!AR42; MCDM_Grades!AT42; All_Datasets!DH42; All_Datasets!CQ42</t>
  </si>
  <si>
    <t>DS-041|C1</t>
  </si>
  <si>
    <t>DS-041|C2</t>
  </si>
  <si>
    <t>DS-041|R1</t>
  </si>
  <si>
    <t>MCDM_Grades!AR42; MCDM_Grades!AT42; All_Datasets!DH42; All_Datasets!AS42</t>
  </si>
  <si>
    <t>DS-041|R2</t>
  </si>
  <si>
    <t>DS-041|M1</t>
  </si>
  <si>
    <t>DS-041|M2</t>
  </si>
  <si>
    <t>DS-041|M5</t>
  </si>
  <si>
    <t>DS-042|A1</t>
  </si>
  <si>
    <t>MCDM_Grades!AR43; MCDM_Grades!AT43; All_Datasets!DH43; All_Datasets!L43</t>
  </si>
  <si>
    <t>SoV README separates 447 original stereo captures from four sequences and a 1,490-image compiled corpus; it lists parent sources, two targets and augmentation. Exact release scope, full download route and component licenses need resolution.</t>
  </si>
  <si>
    <t>DS-042|A2</t>
  </si>
  <si>
    <t>MCDM_Grades!AR43; MCDM_Grades!AT43; All_Datasets!DH43; All_Datasets!CJ43; All_Datasets!CM43</t>
  </si>
  <si>
    <t>A usable route to the assessed release is not established by the available source snapshot.</t>
  </si>
  <si>
    <t>DS-042|A3</t>
  </si>
  <si>
    <t>MCDM_Grades!AR43; MCDM_Grades!AT43; All_Datasets!DH43</t>
  </si>
  <si>
    <t>DS-042|L1</t>
  </si>
  <si>
    <t>MCDM_Grades!AR43; MCDM_Grades!AT43; All_Datasets!DH43; All_Datasets!BJ43; All_Datasets!BH43</t>
  </si>
  <si>
    <t>DS-042|L2</t>
  </si>
  <si>
    <t>MCDM_Grades!AR43; MCDM_Grades!AT43; All_Datasets!DH43; All_Datasets!BJ43; All_Datasets!BN43; All_Datasets!BY43</t>
  </si>
  <si>
    <t>DS-042|L4</t>
  </si>
  <si>
    <t>DS-042|D1</t>
  </si>
  <si>
    <t>MCDM_Grades!AR43; MCDM_Grades!AT43; All_Datasets!DH43; All_Datasets!BN43; All_Datasets!BJ43</t>
  </si>
  <si>
    <t>DS-042|D2</t>
  </si>
  <si>
    <t>MCDM_Grades!AR43; MCDM_Grades!AT43; All_Datasets!DH43; All_Datasets!CR43; All_Datasets!AU43</t>
  </si>
  <si>
    <t>DS-042|D4</t>
  </si>
  <si>
    <t>MCDM_Grades!AR43; MCDM_Grades!AT43; All_Datasets!DH43; All_Datasets!CQ43</t>
  </si>
  <si>
    <t>DS-042|C1</t>
  </si>
  <si>
    <t>MCDM_Grades!AR43; MCDM_Grades!AT43; All_Datasets!DH43; All_Datasets!AC43; All_Datasets!AF43</t>
  </si>
  <si>
    <t>DS-042|C2</t>
  </si>
  <si>
    <t>MCDM_Grades!AR43; MCDM_Grades!AT43; All_Datasets!DH43; All_Datasets!AC43; All_Datasets!BJ43</t>
  </si>
  <si>
    <t>DS-042|R1</t>
  </si>
  <si>
    <t>MCDM_Grades!AR43; MCDM_Grades!AT43; All_Datasets!DH43; All_Datasets!AS43; All_Datasets!AU43</t>
  </si>
  <si>
    <t>DS-042|R2</t>
  </si>
  <si>
    <t>DS-042|M1</t>
  </si>
  <si>
    <t>MCDM_Grades!AR43; MCDM_Grades!AT43; All_Datasets!DH43; All_Datasets!AU43; All_Datasets!AW43; All_Datasets!BD43</t>
  </si>
  <si>
    <t>DS-042|M2</t>
  </si>
  <si>
    <t>MCDM_Grades!AR43; MCDM_Grades!AT43; All_Datasets!DH43; All_Datasets!BD43</t>
  </si>
  <si>
    <t>DS-042|M5</t>
  </si>
  <si>
    <t>MCDM_Grades!AR43; MCDM_Grades!AT43; All_Datasets!DH43; All_Datasets!BY43; All_Datasets!CQ43</t>
  </si>
  <si>
    <t>DS-043|A1</t>
  </si>
  <si>
    <t>MCDM_Grades!AR44; MCDM_Grades!AT44; All_Datasets!DH44; All_Datasets!L44</t>
  </si>
  <si>
    <t>Stereo Pothole README identifies the author/date, RGB/disparity/point-cloud and pixel-label forms, and named frame exclusions. Disparity transformation is documented; complete calibration and image-independent counts are not.</t>
  </si>
  <si>
    <t>DS-043|A2</t>
  </si>
  <si>
    <t>MCDM_Grades!AR44; MCDM_Grades!AT44; All_Datasets!DH44; All_Datasets!CJ44; All_Datasets!CM44</t>
  </si>
  <si>
    <t>DS-043|A3</t>
  </si>
  <si>
    <t>MCDM_Grades!AR44; MCDM_Grades!AT44; All_Datasets!DH44</t>
  </si>
  <si>
    <t>DS-043|L1</t>
  </si>
  <si>
    <t>MCDM_Grades!AR44; MCDM_Grades!AT44; All_Datasets!DH44; All_Datasets!BJ44; All_Datasets!BH44</t>
  </si>
  <si>
    <t>DS-043|L2</t>
  </si>
  <si>
    <t>MCDM_Grades!AR44; MCDM_Grades!AT44; All_Datasets!DH44; All_Datasets!BJ44; All_Datasets!BN44; All_Datasets!BY44</t>
  </si>
  <si>
    <t>DS-043|L4</t>
  </si>
  <si>
    <t>DS-043|D1</t>
  </si>
  <si>
    <t>MCDM_Grades!AR44; MCDM_Grades!AT44; All_Datasets!DH44; All_Datasets!BN44; All_Datasets!BJ44</t>
  </si>
  <si>
    <t>DS-043|D2</t>
  </si>
  <si>
    <t>MCDM_Grades!AR44; MCDM_Grades!AT44; All_Datasets!DH44; All_Datasets!CR44; All_Datasets!AU44</t>
  </si>
  <si>
    <t>DS-043|D4</t>
  </si>
  <si>
    <t>MCDM_Grades!AR44; MCDM_Grades!AT44; All_Datasets!DH44; All_Datasets!CQ44</t>
  </si>
  <si>
    <t>DS-043|C1</t>
  </si>
  <si>
    <t>DS-043|C2</t>
  </si>
  <si>
    <t>MCDM_Grades!AR44; MCDM_Grades!AT44; All_Datasets!DH44; All_Datasets!BJ44</t>
  </si>
  <si>
    <t>DS-043|R1</t>
  </si>
  <si>
    <t>MCDM_Grades!AR44; MCDM_Grades!AT44; All_Datasets!DH44; All_Datasets!AS44; All_Datasets!AU44</t>
  </si>
  <si>
    <t>DS-043|R2</t>
  </si>
  <si>
    <t>DS-043|M1</t>
  </si>
  <si>
    <t>MCDM_Grades!AR44; MCDM_Grades!AT44; All_Datasets!DH44; All_Datasets!AU44; All_Datasets!AW44; All_Datasets!BD44</t>
  </si>
  <si>
    <t>DS-043|M2</t>
  </si>
  <si>
    <t>MCDM_Grades!AR44; MCDM_Grades!AT44; All_Datasets!DH44; All_Datasets!BD44</t>
  </si>
  <si>
    <t>DS-043|M5</t>
  </si>
  <si>
    <t>MCDM_Grades!AR44; MCDM_Grades!AT44; All_Datasets!DH44; All_Datasets!BY44; All_Datasets!CQ44</t>
  </si>
  <si>
    <t>DS-044|A1</t>
  </si>
  <si>
    <t>MCDM_Grades!AR45; MCDM_Grades!AT45; All_Datasets!DH45; All_Datasets!D45; All_Datasets!L45; All_Datasets!T45</t>
  </si>
  <si>
    <t>SUT-Crack v6 confirms CC BY 4.0, crack tasks, 672 mm capture height and per-image latitude/longitude. A camera model, complete scale pair, version changelog and quantitative label audit are not supplied by the landing page.</t>
  </si>
  <si>
    <t>DS-044|A2</t>
  </si>
  <si>
    <t>MCDM_Grades!AR45; MCDM_Grades!AT45; All_Datasets!DH45; All_Datasets!CJ45; All_Datasets!CM45</t>
  </si>
  <si>
    <t>DS-044|A3</t>
  </si>
  <si>
    <t>MCDM_Grades!AR45; MCDM_Grades!AT45; All_Datasets!DH45</t>
  </si>
  <si>
    <t>DS-044|L1</t>
  </si>
  <si>
    <t>MCDM_Grades!AR45; MCDM_Grades!AT45; All_Datasets!DH45; All_Datasets!BJ45; All_Datasets!BH45</t>
  </si>
  <si>
    <t>DS-044|L2</t>
  </si>
  <si>
    <t>MCDM_Grades!AR45; MCDM_Grades!AT45; All_Datasets!DH45; All_Datasets!BJ45; All_Datasets!BN45; All_Datasets!BY45</t>
  </si>
  <si>
    <t>DS-044|L4</t>
  </si>
  <si>
    <t>MCDM_Grades!AR45; MCDM_Grades!AT45; All_Datasets!DH45; All_Datasets!BZ45</t>
  </si>
  <si>
    <t>DS-044|D1</t>
  </si>
  <si>
    <t>MCDM_Grades!AR45; MCDM_Grades!AT45; All_Datasets!DH45; All_Datasets!BN45; All_Datasets!BJ45</t>
  </si>
  <si>
    <t>DS-044|D2</t>
  </si>
  <si>
    <t>MCDM_Grades!AR45; MCDM_Grades!AT45; All_Datasets!DH45; All_Datasets!CR45; All_Datasets!AU45</t>
  </si>
  <si>
    <t>DS-044|D4</t>
  </si>
  <si>
    <t>MCDM_Grades!AR45; MCDM_Grades!AT45; All_Datasets!DH45; All_Datasets!CQ45</t>
  </si>
  <si>
    <t>DS-044|C1</t>
  </si>
  <si>
    <t>MCDM_Grades!AR45; MCDM_Grades!AT45; All_Datasets!DH45; All_Datasets!AC45; All_Datasets!AF45</t>
  </si>
  <si>
    <t>DS-044|C2</t>
  </si>
  <si>
    <t>MCDM_Grades!AR45; MCDM_Grades!AT45; All_Datasets!DH45; All_Datasets!AC45; All_Datasets!BJ45</t>
  </si>
  <si>
    <t>DS-044|R1</t>
  </si>
  <si>
    <t>MCDM_Grades!AR45; MCDM_Grades!AT45; All_Datasets!DH45; All_Datasets!AP45; All_Datasets!AR45; All_Datasets!AS45; All_Datasets!AU45</t>
  </si>
  <si>
    <t>DS-044|R2</t>
  </si>
  <si>
    <t>MCDM_Grades!AR45; MCDM_Grades!AT45; All_Datasets!DH45; All_Datasets!AS45; All_Datasets!BF45; All_Datasets!AU45</t>
  </si>
  <si>
    <t>DS-044|M1</t>
  </si>
  <si>
    <t>MCDM_Grades!AR45; MCDM_Grades!AT45; All_Datasets!DH45; All_Datasets!AU45; All_Datasets!AW45</t>
  </si>
  <si>
    <t>DS-044|M2</t>
  </si>
  <si>
    <t>MCDM_Grades!AR45; MCDM_Grades!AT45; All_Datasets!DH45; All_Datasets!AN45</t>
  </si>
  <si>
    <t>DS-044|M5</t>
  </si>
  <si>
    <t>MCDM_Grades!AR45; MCDM_Grades!AT45; All_Datasets!DH45; All_Datasets!AN45; All_Datasets!BY45; All_Datasets!CQ45</t>
  </si>
  <si>
    <t>DS-045|A1</t>
  </si>
  <si>
    <t>MCDM_Grades!AR46; MCDM_Grades!AT46; All_Datasets!DH46; All_Datasets!D46; All_Datasets!L46</t>
  </si>
  <si>
    <t>UAPD README links UAV pavement detection/segmentation publications and a data route. The segmentation abstract defines crack/pothole/patch; six-class detection details require a separate task subset and further evidence.</t>
  </si>
  <si>
    <t>DS-045|A2</t>
  </si>
  <si>
    <t>MCDM_Grades!AR46; MCDM_Grades!AT46; All_Datasets!DH46; All_Datasets!CJ46; All_Datasets!CM46</t>
  </si>
  <si>
    <t>DS-045|A3</t>
  </si>
  <si>
    <t>MCDM_Grades!AR46; MCDM_Grades!AT46; All_Datasets!DH46</t>
  </si>
  <si>
    <t>DS-045|L1</t>
  </si>
  <si>
    <t>MCDM_Grades!AR46; MCDM_Grades!AT46; All_Datasets!DH46; All_Datasets!BJ46; All_Datasets!BH46</t>
  </si>
  <si>
    <t>DS-045|L2</t>
  </si>
  <si>
    <t>MCDM_Grades!AR46; MCDM_Grades!AT46; All_Datasets!DH46; All_Datasets!BJ46; All_Datasets!BY46</t>
  </si>
  <si>
    <t>DS-045|L4</t>
  </si>
  <si>
    <t>DS-045|D1</t>
  </si>
  <si>
    <t>MCDM_Grades!AR46; MCDM_Grades!AT46; All_Datasets!DH46; All_Datasets!BJ46</t>
  </si>
  <si>
    <t>DS-045|D2</t>
  </si>
  <si>
    <t>MCDM_Grades!AR46; MCDM_Grades!AT46; All_Datasets!DH46; All_Datasets!CR46; All_Datasets!AU46</t>
  </si>
  <si>
    <t>DS-045|D4</t>
  </si>
  <si>
    <t>MCDM_Grades!AR46; MCDM_Grades!AT46; All_Datasets!DH46; All_Datasets!CQ46</t>
  </si>
  <si>
    <t>DS-045|C1</t>
  </si>
  <si>
    <t>MCDM_Grades!AR46; MCDM_Grades!AT46; All_Datasets!DH46; All_Datasets!AC46; All_Datasets!AF46</t>
  </si>
  <si>
    <t>DS-045|C2</t>
  </si>
  <si>
    <t>MCDM_Grades!AR46; MCDM_Grades!AT46; All_Datasets!DH46; All_Datasets!AC46; All_Datasets!BJ46</t>
  </si>
  <si>
    <t>DS-045|R1</t>
  </si>
  <si>
    <t>MCDM_Grades!AR46; MCDM_Grades!AT46; All_Datasets!DH46; All_Datasets!AP46; All_Datasets!AS46; All_Datasets!AU46</t>
  </si>
  <si>
    <t>DS-045|R2</t>
  </si>
  <si>
    <t>MCDM_Grades!AR46; MCDM_Grades!AT46; All_Datasets!DH46; All_Datasets!AS46; All_Datasets!AU46</t>
  </si>
  <si>
    <t>DS-045|M1</t>
  </si>
  <si>
    <t>MCDM_Grades!AR46; MCDM_Grades!AT46; All_Datasets!DH46; All_Datasets!AU46; All_Datasets!AW46</t>
  </si>
  <si>
    <t>DS-045|M2</t>
  </si>
  <si>
    <t>DS-045|M5</t>
  </si>
  <si>
    <t>MCDM_Grades!AR46; MCDM_Grades!AT46; All_Datasets!DH46; All_Datasets!BY46; All_Datasets!CQ46</t>
  </si>
  <si>
    <t>DS-046|A1</t>
  </si>
  <si>
    <t>MCDM_Grades!AR47; MCDM_Grades!AT47; All_Datasets!DH47; All_Datasets!D47; All_Datasets!L47</t>
  </si>
  <si>
    <t>UAV-CrackX README distinguishes three magnifications and 1,200 public labels versus 300 competition test images, defines crack/background masks and 50 m UAV capture. A competition submission portal alone does not establish complete data retrieval.</t>
  </si>
  <si>
    <t>DS-046|A2</t>
  </si>
  <si>
    <t>MCDM_Grades!AR47; MCDM_Grades!AT47; All_Datasets!DH47</t>
  </si>
  <si>
    <t>DS-046|A3</t>
  </si>
  <si>
    <t>DS-046|L1</t>
  </si>
  <si>
    <t>MCDM_Grades!AR47; MCDM_Grades!AT47; All_Datasets!DH47; All_Datasets!BJ47; All_Datasets!BH47</t>
  </si>
  <si>
    <t>DS-046|L2</t>
  </si>
  <si>
    <t>MCDM_Grades!AR47; MCDM_Grades!AT47; All_Datasets!DH47; All_Datasets!BJ47; All_Datasets!BN47</t>
  </si>
  <si>
    <t>DS-046|L4</t>
  </si>
  <si>
    <t>MCDM_Grades!AR47; MCDM_Grades!AT47; All_Datasets!DH47; All_Datasets!BZ47</t>
  </si>
  <si>
    <t>DS-046|D1</t>
  </si>
  <si>
    <t>MCDM_Grades!AR47; MCDM_Grades!AT47; All_Datasets!DH47; All_Datasets!BN47; All_Datasets!BO47; All_Datasets!BJ47</t>
  </si>
  <si>
    <t>DS-046|D2</t>
  </si>
  <si>
    <t>MCDM_Grades!AR47; MCDM_Grades!AT47; All_Datasets!DH47; All_Datasets!CR47; All_Datasets!AU47</t>
  </si>
  <si>
    <t>DS-046|D4</t>
  </si>
  <si>
    <t>MCDM_Grades!AR47; MCDM_Grades!AT47; All_Datasets!DH47; All_Datasets!CQ47</t>
  </si>
  <si>
    <t>DS-046|C1</t>
  </si>
  <si>
    <t>MCDM_Grades!AR47; MCDM_Grades!AT47; All_Datasets!DH47; All_Datasets!AC47; All_Datasets!AF47</t>
  </si>
  <si>
    <t>DS-046|C2</t>
  </si>
  <si>
    <t>MCDM_Grades!AR47; MCDM_Grades!AT47; All_Datasets!DH47; All_Datasets!AC47; All_Datasets!BJ47</t>
  </si>
  <si>
    <t>DS-046|R1</t>
  </si>
  <si>
    <t>MCDM_Grades!AR47; MCDM_Grades!AT47; All_Datasets!DH47; All_Datasets!AU47</t>
  </si>
  <si>
    <t>DS-046|R2</t>
  </si>
  <si>
    <t>DS-046|M1</t>
  </si>
  <si>
    <t>DS-046|M2</t>
  </si>
  <si>
    <t>DS-046|M5</t>
  </si>
  <si>
    <t>DS-047|A1</t>
  </si>
  <si>
    <t>Standard Data Release selector</t>
  </si>
  <si>
    <t>Release selector and historical/current release distinction visible.</t>
  </si>
  <si>
    <t>DS-047|A2</t>
  </si>
  <si>
    <t>View By Topic / State</t>
  </si>
  <si>
    <t>Documented topic/state download routes.</t>
  </si>
  <si>
    <t>DS-047|A3</t>
  </si>
  <si>
    <t>https://catalog.data.gov/dataset/long-term-pavement-performance-ltpp</t>
  </si>
  <si>
    <t>Complete Metadata: license</t>
  </si>
  <si>
    <t>Catalog states government-works terms.</t>
  </si>
  <si>
    <t>DS-047|L1</t>
  </si>
  <si>
    <t>Pavement Monitoring; printed pp. 51 onward</t>
  </si>
  <si>
    <t>Engineering outcomes and distress types defined.</t>
  </si>
  <si>
    <t>DS-047|L2</t>
  </si>
  <si>
    <t>Survey methods and encoding rules documented.</t>
  </si>
  <si>
    <t>DS-047|L4</t>
  </si>
  <si>
    <t>Data Quality; chapter 1</t>
  </si>
  <si>
    <t>Concrete relational and range checks described.</t>
  </si>
  <si>
    <t>DS-047|D1</t>
  </si>
  <si>
    <t>Database metadata / Photographic and Manual Distress</t>
  </si>
  <si>
    <t>LTPPDD units, keys and null-versus-zero rules.</t>
  </si>
  <si>
    <t>DS-047|D2</t>
  </si>
  <si>
    <t>Publisher / Description</t>
  </si>
  <si>
    <t>FHWA program and collection scope identified.</t>
  </si>
  <si>
    <t>DS-047|D4</t>
  </si>
  <si>
    <t>Record-status limitations expressly discussed.</t>
  </si>
  <si>
    <t>DS-047|C1</t>
  </si>
  <si>
    <t>Standard Data Release</t>
  </si>
  <si>
    <t>Exact selected-release section/record counts not yet reconciled.</t>
  </si>
  <si>
    <t>DS-047|C2</t>
  </si>
  <si>
    <t>Selected-release outcome/subset distribution not verified.</t>
  </si>
  <si>
    <t>DS-047|R1</t>
  </si>
  <si>
    <t>Description</t>
  </si>
  <si>
    <t>US/Canada pavement-section program context.</t>
  </si>
  <si>
    <t>DS-047|R2</t>
  </si>
  <si>
    <t>Multiple experimental pavement and rehabilitation designs.</t>
  </si>
  <si>
    <t>DS-047|M1</t>
  </si>
  <si>
    <t>Pavement Monitoring module</t>
  </si>
  <si>
    <t>Manual/photographic survey and measurement methods described.</t>
  </si>
  <si>
    <t>DS-047|M2</t>
  </si>
  <si>
    <t>LTPPDD / longitudinal profile tables</t>
  </si>
  <si>
    <t>Measurement units and relevant representation metadata documented.</t>
  </si>
  <si>
    <t>DS-047|M5</t>
  </si>
  <si>
    <t>Data Quality / computed parameter modules</t>
  </si>
  <si>
    <t>Processing and computed-record methodology documented.</t>
  </si>
  <si>
    <t>DS-048|A1</t>
  </si>
  <si>
    <t>MCDM_Grades!AR49; MCDM_Grades!AT49; All_Datasets!DH49; All_Datasets!D49; All_Datasets!L49; All_Datasets!T49</t>
  </si>
  <si>
    <t>The Non-LTPP collection URL could not be retrieved, and inventory evidence does not resolve one dataset release, label set or download package. All checks remain unresolved; this is not a zero-quality finding.</t>
  </si>
  <si>
    <t>The saved primary-source review was unavailable or could not establish one dataset release; inventory-only claims were not promoted to supported evidence. Release/dataset identity is unresolved or the source evidence was not available.</t>
  </si>
  <si>
    <t>DS-048|A2</t>
  </si>
  <si>
    <t>MCDM_Grades!AR49; MCDM_Grades!AT49; All_Datasets!DH49</t>
  </si>
  <si>
    <t>The saved primary-source review was unavailable or could not establish one dataset release; inventory-only claims were not promoted to supported evidence. A usable route to the assessed release is not established by the available source snapshot.</t>
  </si>
  <si>
    <t>DS-048|A3</t>
  </si>
  <si>
    <t>The saved primary-source review was unavailable or could not establish one dataset release; inventory-only claims were not promoted to supported evidence. Release-specific data terms are not established; code-license tags, missing terms and unspecified licenses are insufficient.</t>
  </si>
  <si>
    <t>DS-048|L1</t>
  </si>
  <si>
    <t>The saved primary-source review was unavailable or could not establish one dataset release; inventory-only claims were not promoted to supported evidence. Complete delivered target meaning/schema is not established for the assessed release; an intended task or title alone is insufficient.</t>
  </si>
  <si>
    <t>DS-048|L2</t>
  </si>
  <si>
    <t>MCDM_Grades!AR49; MCDM_Grades!AT49; All_Datasets!DH49; All_Datasets!BN49</t>
  </si>
  <si>
    <t>The saved primary-source review was unavailable or could not establish one dataset release; inventory-only claims were not promoted to supported evidence. The source packet does not jointly establish a target encoding and basic labeling/measurement procedure.</t>
  </si>
  <si>
    <t>DS-048|L4</t>
  </si>
  <si>
    <t>The saved primary-source review was unavailable or could not establish one dataset release; inventory-only claims were not promoted to supported evidence. No concrete target-review/correction/verification practice is established; multiple annotators, publication, file availability or generic quality claims alone do not qualify.</t>
  </si>
  <si>
    <t>DS-048|D1</t>
  </si>
  <si>
    <t>MCDM_Grades!AR49; MCDM_Grades!AT49; All_Datasets!DH49; All_Datasets!BN49; All_Datasets!BO49</t>
  </si>
  <si>
    <t>The saved primary-source review was unavailable or could not establish one dataset release; inventory-only claims were not promoted to supported evidence. File meanings, relevant units/missing codes or image-to-target mapping remain insufficiently documented.</t>
  </si>
  <si>
    <t>DS-048|D2</t>
  </si>
  <si>
    <t>MCDM_Grades!AR49; MCDM_Grades!AT49; All_Datasets!DH49; All_Datasets!CR49</t>
  </si>
  <si>
    <t>The saved primary-source review was unavailable or could not establish one dataset release; inventory-only claims were not promoted to supported evidence. The collector/compiler and collection method or specific parent lineage remain insufficiently established.</t>
  </si>
  <si>
    <t>DS-048|D4</t>
  </si>
  <si>
    <t>MCDM_Grades!AR49; MCDM_Grades!AT49; All_Datasets!DH49; All_Datasets!CQ49</t>
  </si>
  <si>
    <t>The saved primary-source review was unavailable or could not establish one dataset release; inventory-only claims were not promoted to supported evidence. No dataset-specific author-reported use boundary, exclusion or limitation is established; reviewer criticism of missing metadata does not qualify.</t>
  </si>
  <si>
    <t>DS-048|C1</t>
  </si>
  <si>
    <t>The saved primary-source review was unavailable or could not establish one dataset release; inventory-only claims were not promoted to supported evidence. The exact released sample count and its unit remain unreported or not verified against the selected release.</t>
  </si>
  <si>
    <t>DS-048|C2</t>
  </si>
  <si>
    <t>The saved primary-source review was unavailable or could not establish one dataset release; inventory-only claims were not promoted to supported evidence. Quantitative task-relevant class, outcome or subset accounting is not established; a total/class-list alone is insufficient.</t>
  </si>
  <si>
    <t>DS-048|R1</t>
  </si>
  <si>
    <t>MCDM_Grades!AR49; MCDM_Grades!AT49; All_Datasets!DH49; All_Datasets!AS49</t>
  </si>
  <si>
    <t>The saved primary-source review was unavailable or could not establish one dataset release; inventory-only claims were not promoted to supported evidence. Collection geography/site, pavement context or capture setting is missing or unresolved; author affiliation is not collection geography.</t>
  </si>
  <si>
    <t>DS-048|R2</t>
  </si>
  <si>
    <t>The saved primary-source review was unavailable or could not establish one dataset release; inventory-only claims were not promoted to supported evidence. Relevant collection variation or a meaningful explicit collection boundary is not established.</t>
  </si>
  <si>
    <t>DS-048|M1</t>
  </si>
  <si>
    <t>The saved primary-source review was unavailable or could not establish one dataset release; inventory-only claims were not promoted to supported evidence. Collection platform/sensor or data-generation method is unreported or only inferred from the title.</t>
  </si>
  <si>
    <t>DS-048|M2</t>
  </si>
  <si>
    <t>The saved primary-source review was unavailable or could not establish one dataset release; inventory-only claims were not promoted to supported evidence. Task-relevant resolution/sampling/measurement units are absent or only generically described; physical scale does not substitute for unspecified image dimensions in the image profile.</t>
  </si>
  <si>
    <t>DS-048|M5</t>
  </si>
  <si>
    <t>The saved primary-source review was unavailable or could not establish one dataset release; inventory-only claims were not promoted to supported evidence. No concrete transformations or explicit unprocessed-data statement are established.</t>
  </si>
  <si>
    <t>DS-049|A1</t>
  </si>
  <si>
    <t>MCDM_Grades!AR50; MCDM_Grades!AT50; All_Datasets!DH50; All_Datasets!D50; All_Datasets!L50; All_Datasets!T50</t>
  </si>
  <si>
    <t>Mendeley v2 defines crack/pothole/erosion labels, normalized YOLO coordinates, 914/161 split counts, resizing/padding and CC BY 4.0. Origin, unique capture units and fixed split membership remain unverified.</t>
  </si>
  <si>
    <t>DS-049|A2</t>
  </si>
  <si>
    <t>MCDM_Grades!AR50; MCDM_Grades!AT50; All_Datasets!DH50; All_Datasets!CJ50; All_Datasets!CM50</t>
  </si>
  <si>
    <t>DS-049|A3</t>
  </si>
  <si>
    <t>MCDM_Grades!AR50; MCDM_Grades!AT50; All_Datasets!DH50; All_Datasets!CK50</t>
  </si>
  <si>
    <t>DS-049|L1</t>
  </si>
  <si>
    <t>MCDM_Grades!AR50; MCDM_Grades!AT50; All_Datasets!DH50; All_Datasets!BJ50; All_Datasets!BH50</t>
  </si>
  <si>
    <t>DS-049|L2</t>
  </si>
  <si>
    <t>MCDM_Grades!AR50; MCDM_Grades!AT50; All_Datasets!DH50; All_Datasets!BJ50; All_Datasets!BN50</t>
  </si>
  <si>
    <t>DS-049|L4</t>
  </si>
  <si>
    <t>MCDM_Grades!AR50; MCDM_Grades!AT50; All_Datasets!DH50</t>
  </si>
  <si>
    <t>DS-049|D1</t>
  </si>
  <si>
    <t>MCDM_Grades!AR50; MCDM_Grades!AT50; All_Datasets!DH50; All_Datasets!BN50; All_Datasets!BO50; All_Datasets!BJ50</t>
  </si>
  <si>
    <t>DS-049|D2</t>
  </si>
  <si>
    <t>MCDM_Grades!AR50; MCDM_Grades!AT50; All_Datasets!DH50; All_Datasets!CR50</t>
  </si>
  <si>
    <t>DS-049|D4</t>
  </si>
  <si>
    <t>MCDM_Grades!AR50; MCDM_Grades!AT50; All_Datasets!DH50; All_Datasets!CQ50</t>
  </si>
  <si>
    <t>DS-049|C1</t>
  </si>
  <si>
    <t>MCDM_Grades!AR50; MCDM_Grades!AT50; All_Datasets!DH50; All_Datasets!AC50; All_Datasets!AF50</t>
  </si>
  <si>
    <t>DS-049|C2</t>
  </si>
  <si>
    <t>MCDM_Grades!AR50; MCDM_Grades!AT50; All_Datasets!DH50; All_Datasets!AJ50; All_Datasets!AK50; All_Datasets!AC50; All_Datasets!BJ50</t>
  </si>
  <si>
    <t>DS-049|R1</t>
  </si>
  <si>
    <t>DS-049|R2</t>
  </si>
  <si>
    <t>DS-049|M1</t>
  </si>
  <si>
    <t>DS-049|M2</t>
  </si>
  <si>
    <t>MCDM_Grades!AR50; MCDM_Grades!AT50; All_Datasets!DH50; All_Datasets!AN50</t>
  </si>
  <si>
    <t>DS-049|M5</t>
  </si>
  <si>
    <t>MCDM_Grades!AR50; MCDM_Grades!AT50; All_Datasets!DH50; All_Datasets!AN50; All_Datasets!CQ50</t>
  </si>
  <si>
    <t>DS-050|A1</t>
  </si>
  <si>
    <t>MCDM_Grades!AR51; MCDM_Grades!AT51; All_Datasets!DH51; All_Datasets!D51; All_Datasets!L51; All_Datasets!T51</t>
  </si>
  <si>
    <t>Mendeley v1 defines five manhole/speed-breaker classes and Bangladesh road images under varied conditions with CC BY 4.0. These road-object targets must not be treated as crack masks or measured pavement condition.</t>
  </si>
  <si>
    <t>DS-050|A2</t>
  </si>
  <si>
    <t>MCDM_Grades!AR51; MCDM_Grades!AT51; All_Datasets!DH51; All_Datasets!CJ51; All_Datasets!CM51</t>
  </si>
  <si>
    <t>DS-050|A3</t>
  </si>
  <si>
    <t>MCDM_Grades!AR51; MCDM_Grades!AT51; All_Datasets!DH51; All_Datasets!CK51</t>
  </si>
  <si>
    <t>DS-050|L1</t>
  </si>
  <si>
    <t>MCDM_Grades!AR51; MCDM_Grades!AT51; All_Datasets!DH51; All_Datasets!BJ51; All_Datasets!BH51</t>
  </si>
  <si>
    <t>DS-050|L2</t>
  </si>
  <si>
    <t>MCDM_Grades!AR51; MCDM_Grades!AT51; All_Datasets!DH51; All_Datasets!BJ51; All_Datasets!BN51</t>
  </si>
  <si>
    <t>DS-050|L4</t>
  </si>
  <si>
    <t>MCDM_Grades!AR51; MCDM_Grades!AT51; All_Datasets!DH51</t>
  </si>
  <si>
    <t>DS-050|D1</t>
  </si>
  <si>
    <t>MCDM_Grades!AR51; MCDM_Grades!AT51; All_Datasets!DH51; All_Datasets!BN51; All_Datasets!BJ51</t>
  </si>
  <si>
    <t>DS-050|D2</t>
  </si>
  <si>
    <t>MCDM_Grades!AR51; MCDM_Grades!AT51; All_Datasets!DH51; All_Datasets!CR51</t>
  </si>
  <si>
    <t>DS-050|D4</t>
  </si>
  <si>
    <t>MCDM_Grades!AR51; MCDM_Grades!AT51; All_Datasets!DH51; All_Datasets!CQ51</t>
  </si>
  <si>
    <t>DS-050|C1</t>
  </si>
  <si>
    <t>DS-050|C2</t>
  </si>
  <si>
    <t>MCDM_Grades!AR51; MCDM_Grades!AT51; All_Datasets!DH51; All_Datasets!BJ51</t>
  </si>
  <si>
    <t>DS-050|R1</t>
  </si>
  <si>
    <t>MCDM_Grades!AR51; MCDM_Grades!AT51; All_Datasets!DH51; All_Datasets!AP51; All_Datasets!AS51</t>
  </si>
  <si>
    <t>DS-050|R2</t>
  </si>
  <si>
    <t>MCDM_Grades!AR51; MCDM_Grades!AT51; All_Datasets!DH51; All_Datasets!AS51; All_Datasets!BF51</t>
  </si>
  <si>
    <t>DS-050|M1</t>
  </si>
  <si>
    <t>DS-050|M2</t>
  </si>
  <si>
    <t>DS-050|M5</t>
  </si>
  <si>
    <t>DS-051|A1</t>
  </si>
  <si>
    <t>MCDM_Grades!AR52; MCDM_Grades!AT52; All_Datasets!DH52; All_Datasets!D52; All_Datasets!L52; All_Datasets!T52</t>
  </si>
  <si>
    <t>Mendeley v1 provides VOC/YOLO folders, dry/water-filled pothole targets and dashcam videos with faces/plates blurred. Paths for train/valid must be generated locally; no fixed membership or annotation audit demonstrated.</t>
  </si>
  <si>
    <t>DS-051|A2</t>
  </si>
  <si>
    <t>MCDM_Grades!AR52; MCDM_Grades!AT52; All_Datasets!DH52; All_Datasets!CJ52; All_Datasets!CM52</t>
  </si>
  <si>
    <t>DS-051|A3</t>
  </si>
  <si>
    <t>MCDM_Grades!AR52; MCDM_Grades!AT52; All_Datasets!DH52; All_Datasets!CK52</t>
  </si>
  <si>
    <t>DS-051|L1</t>
  </si>
  <si>
    <t>MCDM_Grades!AR52; MCDM_Grades!AT52; All_Datasets!DH52; All_Datasets!BJ52; All_Datasets!BH52</t>
  </si>
  <si>
    <t>DS-051|L2</t>
  </si>
  <si>
    <t>MCDM_Grades!AR52; MCDM_Grades!AT52; All_Datasets!DH52; All_Datasets!BJ52; All_Datasets!BN52; All_Datasets!BY52</t>
  </si>
  <si>
    <t>DS-051|L4</t>
  </si>
  <si>
    <t>MCDM_Grades!AR52; MCDM_Grades!AT52; All_Datasets!DH52</t>
  </si>
  <si>
    <t>DS-051|D1</t>
  </si>
  <si>
    <t>MCDM_Grades!AR52; MCDM_Grades!AT52; All_Datasets!DH52; All_Datasets!BN52; All_Datasets!BO52; All_Datasets!BJ52</t>
  </si>
  <si>
    <t>DS-051|D2</t>
  </si>
  <si>
    <t>MCDM_Grades!AR52; MCDM_Grades!AT52; All_Datasets!DH52; All_Datasets!CR52; All_Datasets!AU52</t>
  </si>
  <si>
    <t>DS-051|D4</t>
  </si>
  <si>
    <t>MCDM_Grades!AR52; MCDM_Grades!AT52; All_Datasets!DH52; All_Datasets!CQ52</t>
  </si>
  <si>
    <t>DS-051|C1</t>
  </si>
  <si>
    <t>DS-051|C2</t>
  </si>
  <si>
    <t>MCDM_Grades!AR52; MCDM_Grades!AT52; All_Datasets!DH52; All_Datasets!BJ52</t>
  </si>
  <si>
    <t>DS-051|R1</t>
  </si>
  <si>
    <t>MCDM_Grades!AR52; MCDM_Grades!AT52; All_Datasets!DH52; All_Datasets!AP52; All_Datasets!AS52; All_Datasets!AU52</t>
  </si>
  <si>
    <t>DS-051|R2</t>
  </si>
  <si>
    <t>MCDM_Grades!AR52; MCDM_Grades!AT52; All_Datasets!DH52; All_Datasets!AS52; All_Datasets!BE52; All_Datasets!AU52</t>
  </si>
  <si>
    <t>DS-051|M1</t>
  </si>
  <si>
    <t>MCDM_Grades!AR52; MCDM_Grades!AT52; All_Datasets!DH52; All_Datasets!AU52; All_Datasets!AW52</t>
  </si>
  <si>
    <t>DS-051|M2</t>
  </si>
  <si>
    <t>DS-051|M5</t>
  </si>
  <si>
    <t>MCDM_Grades!AR52; MCDM_Grades!AT52; All_Datasets!DH52; All_Datasets!BY52; All_Datasets!CQ52</t>
  </si>
  <si>
    <t>DS-052|A1</t>
  </si>
  <si>
    <t>MCDM_Grades!AR53; MCDM_Grades!AT53; All_Datasets!DH53; All_Datasets!D53; All_Datasets!L53; All_Datasets!T53</t>
  </si>
  <si>
    <t>The v2 page reports 400 camera images and binary crack/non-crack targets. No original-versus-derived accounting, capture groups, class counts or label-review method is documented.</t>
  </si>
  <si>
    <t>DS-052|A2</t>
  </si>
  <si>
    <t>MCDM_Grades!AR53; MCDM_Grades!AT53; All_Datasets!DH53; All_Datasets!CJ53; All_Datasets!CM53</t>
  </si>
  <si>
    <t>DS-052|A3</t>
  </si>
  <si>
    <t>MCDM_Grades!AR53; MCDM_Grades!AT53; All_Datasets!DH53; All_Datasets!CK53</t>
  </si>
  <si>
    <t>DS-052|L1</t>
  </si>
  <si>
    <t>MCDM_Grades!AR53; MCDM_Grades!AT53; All_Datasets!DH53; All_Datasets!BJ53; All_Datasets!BH53</t>
  </si>
  <si>
    <t>DS-052|L2</t>
  </si>
  <si>
    <t>MCDM_Grades!AR53; MCDM_Grades!AT53; All_Datasets!DH53; All_Datasets!BJ53</t>
  </si>
  <si>
    <t>DS-052|L4</t>
  </si>
  <si>
    <t>MCDM_Grades!AR53; MCDM_Grades!AT53; All_Datasets!DH53</t>
  </si>
  <si>
    <t>DS-052|D1</t>
  </si>
  <si>
    <t>DS-052|D2</t>
  </si>
  <si>
    <t>MCDM_Grades!AR53; MCDM_Grades!AT53; All_Datasets!DH53; All_Datasets!CR53; All_Datasets!AU53</t>
  </si>
  <si>
    <t>DS-052|D4</t>
  </si>
  <si>
    <t>MCDM_Grades!AR53; MCDM_Grades!AT53; All_Datasets!DH53; All_Datasets!CQ53</t>
  </si>
  <si>
    <t>DS-052|C1</t>
  </si>
  <si>
    <t>MCDM_Grades!AR53; MCDM_Grades!AT53; All_Datasets!DH53; All_Datasets!AC53; All_Datasets!AF53</t>
  </si>
  <si>
    <t>DS-052|C2</t>
  </si>
  <si>
    <t>MCDM_Grades!AR53; MCDM_Grades!AT53; All_Datasets!DH53; All_Datasets!AC53; All_Datasets!BJ53</t>
  </si>
  <si>
    <t>DS-052|R1</t>
  </si>
  <si>
    <t>MCDM_Grades!AR53; MCDM_Grades!AT53; All_Datasets!DH53; All_Datasets!AU53</t>
  </si>
  <si>
    <t>DS-052|R2</t>
  </si>
  <si>
    <t>DS-052|M1</t>
  </si>
  <si>
    <t>MCDM_Grades!AR53; MCDM_Grades!AT53; All_Datasets!DH53; All_Datasets!AU53; All_Datasets!AW53</t>
  </si>
  <si>
    <t>DS-052|M2</t>
  </si>
  <si>
    <t>DS-052|M5</t>
  </si>
  <si>
    <t>DS-053|A1</t>
  </si>
  <si>
    <t>MCDM_Grades!AR54; MCDM_Grades!AT54; All_Datasets!DH54; All_Datasets!D54; All_Datasets!L54; All_Datasets!T54</t>
  </si>
  <si>
    <t>The v1 description separates 2,000 original 1440-pixel images from 360/720-pixel crops and describes a vehicle camera chamber and processing. A common viewing scale is asserted, but no numerical physical scale is provided here.</t>
  </si>
  <si>
    <t>DS-053|A2</t>
  </si>
  <si>
    <t>MCDM_Grades!AR54; MCDM_Grades!AT54; All_Datasets!DH54; All_Datasets!CJ54; All_Datasets!CM54</t>
  </si>
  <si>
    <t>DS-053|A3</t>
  </si>
  <si>
    <t>MCDM_Grades!AR54; MCDM_Grades!AT54; All_Datasets!DH54; All_Datasets!CK54</t>
  </si>
  <si>
    <t>DS-053|L1</t>
  </si>
  <si>
    <t>MCDM_Grades!AR54; MCDM_Grades!AT54; All_Datasets!DH54; All_Datasets!BJ54; All_Datasets!BH54</t>
  </si>
  <si>
    <t>DS-053|L2</t>
  </si>
  <si>
    <t>MCDM_Grades!AR54; MCDM_Grades!AT54; All_Datasets!DH54; All_Datasets!BJ54; All_Datasets!BN54; All_Datasets!BY54</t>
  </si>
  <si>
    <t>DS-053|L4</t>
  </si>
  <si>
    <t>MCDM_Grades!AR54; MCDM_Grades!AT54; All_Datasets!DH54; All_Datasets!BZ54</t>
  </si>
  <si>
    <t>DS-053|D1</t>
  </si>
  <si>
    <t>MCDM_Grades!AR54; MCDM_Grades!AT54; All_Datasets!DH54; All_Datasets!BN54; All_Datasets!BJ54</t>
  </si>
  <si>
    <t>DS-053|D2</t>
  </si>
  <si>
    <t>MCDM_Grades!AR54; MCDM_Grades!AT54; All_Datasets!DH54; All_Datasets!CR54; All_Datasets!AU54</t>
  </si>
  <si>
    <t>DS-053|D4</t>
  </si>
  <si>
    <t>MCDM_Grades!AR54; MCDM_Grades!AT54; All_Datasets!DH54; All_Datasets!CQ54</t>
  </si>
  <si>
    <t>DS-053|C1</t>
  </si>
  <si>
    <t>MCDM_Grades!AR54; MCDM_Grades!AT54; All_Datasets!DH54; All_Datasets!AC54; All_Datasets!AF54</t>
  </si>
  <si>
    <t>DS-053|C2</t>
  </si>
  <si>
    <t>MCDM_Grades!AR54; MCDM_Grades!AT54; All_Datasets!DH54; All_Datasets!AC54; All_Datasets!BJ54</t>
  </si>
  <si>
    <t>DS-053|R1</t>
  </si>
  <si>
    <t>MCDM_Grades!AR54; MCDM_Grades!AT54; All_Datasets!DH54; All_Datasets!AS54; All_Datasets!AU54</t>
  </si>
  <si>
    <t>DS-053|R2</t>
  </si>
  <si>
    <t>DS-053|M1</t>
  </si>
  <si>
    <t>MCDM_Grades!AR54; MCDM_Grades!AT54; All_Datasets!DH54; All_Datasets!AU54; All_Datasets!AW54</t>
  </si>
  <si>
    <t>DS-053|M2</t>
  </si>
  <si>
    <t>MCDM_Grades!AR54; MCDM_Grades!AT54; All_Datasets!DH54; All_Datasets!AN54</t>
  </si>
  <si>
    <t>DS-053|M5</t>
  </si>
  <si>
    <t>MCDM_Grades!AR54; MCDM_Grades!AT54; All_Datasets!DH54; All_Datasets!AN54; All_Datasets!BY54; All_Datasets!CQ54</t>
  </si>
  <si>
    <t>DS-054|A1</t>
  </si>
  <si>
    <t>MCDM_Grades!AR55; MCDM_Grades!AT55; All_Datasets!DH55; All_Datasets!D55; All_Datasets!L55; All_Datasets!T55</t>
  </si>
  <si>
    <t>Attain v1 names ten distress types, 2,293 images, 19,761 instances and windshield smartphone capture. Manual annotation alone does not establish qualified annotators, correction or measured reliability; severity in the inventory title is not sufficient evidence.</t>
  </si>
  <si>
    <t>DS-054|A2</t>
  </si>
  <si>
    <t>MCDM_Grades!AR55; MCDM_Grades!AT55; All_Datasets!DH55; All_Datasets!CJ55; All_Datasets!CM55</t>
  </si>
  <si>
    <t>DS-054|A3</t>
  </si>
  <si>
    <t>MCDM_Grades!AR55; MCDM_Grades!AT55; All_Datasets!DH55; All_Datasets!CK55</t>
  </si>
  <si>
    <t>DS-054|L1</t>
  </si>
  <si>
    <t>MCDM_Grades!AR55; MCDM_Grades!AT55; All_Datasets!DH55; All_Datasets!BJ55; All_Datasets!BH55</t>
  </si>
  <si>
    <t>DS-054|L2</t>
  </si>
  <si>
    <t>MCDM_Grades!AR55; MCDM_Grades!AT55; All_Datasets!DH55; All_Datasets!BJ55; All_Datasets!BN55; All_Datasets!BY55</t>
  </si>
  <si>
    <t>DS-054|L4</t>
  </si>
  <si>
    <t>MCDM_Grades!AR55; MCDM_Grades!AT55; All_Datasets!DH55; All_Datasets!BZ55</t>
  </si>
  <si>
    <t>DS-054|D1</t>
  </si>
  <si>
    <t>MCDM_Grades!AR55; MCDM_Grades!AT55; All_Datasets!DH55; All_Datasets!BN55; All_Datasets!BO55; All_Datasets!BJ55</t>
  </si>
  <si>
    <t>DS-054|D2</t>
  </si>
  <si>
    <t>MCDM_Grades!AR55; MCDM_Grades!AT55; All_Datasets!DH55; All_Datasets!CR55; All_Datasets!AU55</t>
  </si>
  <si>
    <t>DS-054|D4</t>
  </si>
  <si>
    <t>MCDM_Grades!AR55; MCDM_Grades!AT55; All_Datasets!DH55; All_Datasets!CQ55</t>
  </si>
  <si>
    <t>DS-054|C1</t>
  </si>
  <si>
    <t>MCDM_Grades!AR55; MCDM_Grades!AT55; All_Datasets!DH55; All_Datasets!AC55; All_Datasets!AF55</t>
  </si>
  <si>
    <t>DS-054|C2</t>
  </si>
  <si>
    <t>MCDM_Grades!AR55; MCDM_Grades!AT55; All_Datasets!DH55; All_Datasets!AC55; All_Datasets!BJ55</t>
  </si>
  <si>
    <t>DS-054|R1</t>
  </si>
  <si>
    <t>MCDM_Grades!AR55; MCDM_Grades!AT55; All_Datasets!DH55; All_Datasets!AP55; All_Datasets!AR55; All_Datasets!AS55; All_Datasets!AU55</t>
  </si>
  <si>
    <t>DS-054|R2</t>
  </si>
  <si>
    <t>MCDM_Grades!AR55; MCDM_Grades!AT55; All_Datasets!DH55; All_Datasets!AS55; All_Datasets!AU55</t>
  </si>
  <si>
    <t>DS-054|M1</t>
  </si>
  <si>
    <t>MCDM_Grades!AR55; MCDM_Grades!AT55; All_Datasets!DH55; All_Datasets!AU55</t>
  </si>
  <si>
    <t>DS-054|M2</t>
  </si>
  <si>
    <t>MCDM_Grades!AR55; MCDM_Grades!AT55; All_Datasets!DH55; All_Datasets!AN55</t>
  </si>
  <si>
    <t>DS-054|M5</t>
  </si>
  <si>
    <t>MCDM_Grades!AR55; MCDM_Grades!AT55; All_Datasets!DH55; All_Datasets!AN55; All_Datasets!BY55; All_Datasets!CQ55</t>
  </si>
  <si>
    <t>DS-055|A1</t>
  </si>
  <si>
    <t>MCDM_Grades!AR56; MCDM_Grades!AT56; All_Datasets!DH56; All_Datasets!D56; All_Datasets!L56; All_Datasets!T56</t>
  </si>
  <si>
    <t>BPID v1 describes 50 directly acquired Bandung pothole images across four weather/lighting conditions and an OOD-test purpose. It does not report counts per environment or prove independence from training collections.</t>
  </si>
  <si>
    <t>DS-055|A2</t>
  </si>
  <si>
    <t>MCDM_Grades!AR56; MCDM_Grades!AT56; All_Datasets!DH56; All_Datasets!CJ56; All_Datasets!CM56</t>
  </si>
  <si>
    <t>DS-055|A3</t>
  </si>
  <si>
    <t>MCDM_Grades!AR56; MCDM_Grades!AT56; All_Datasets!DH56; All_Datasets!CK56</t>
  </si>
  <si>
    <t>DS-055|L1</t>
  </si>
  <si>
    <t>MCDM_Grades!AR56; MCDM_Grades!AT56; All_Datasets!DH56; All_Datasets!BJ56; All_Datasets!BH56</t>
  </si>
  <si>
    <t>DS-055|L2</t>
  </si>
  <si>
    <t>MCDM_Grades!AR56; MCDM_Grades!AT56; All_Datasets!DH56; All_Datasets!BJ56</t>
  </si>
  <si>
    <t>DS-055|L4</t>
  </si>
  <si>
    <t>MCDM_Grades!AR56; MCDM_Grades!AT56; All_Datasets!DH56</t>
  </si>
  <si>
    <t>DS-055|D1</t>
  </si>
  <si>
    <t>DS-055|D2</t>
  </si>
  <si>
    <t>MCDM_Grades!AR56; MCDM_Grades!AT56; All_Datasets!DH56; All_Datasets!CR56</t>
  </si>
  <si>
    <t>DS-055|D4</t>
  </si>
  <si>
    <t>MCDM_Grades!AR56; MCDM_Grades!AT56; All_Datasets!DH56; All_Datasets!CQ56</t>
  </si>
  <si>
    <t>DS-055|C1</t>
  </si>
  <si>
    <t>MCDM_Grades!AR56; MCDM_Grades!AT56; All_Datasets!DH56; All_Datasets!AC56; All_Datasets!AF56</t>
  </si>
  <si>
    <t>DS-055|C2</t>
  </si>
  <si>
    <t>MCDM_Grades!AR56; MCDM_Grades!AT56; All_Datasets!DH56; All_Datasets!AC56; All_Datasets!BJ56</t>
  </si>
  <si>
    <t>DS-055|R1</t>
  </si>
  <si>
    <t>MCDM_Grades!AR56; MCDM_Grades!AT56; All_Datasets!DH56; All_Datasets!AP56; All_Datasets!AR56; All_Datasets!AS56</t>
  </si>
  <si>
    <t>DS-055|R2</t>
  </si>
  <si>
    <t>MCDM_Grades!AR56; MCDM_Grades!AT56; All_Datasets!DH56; All_Datasets!AS56; All_Datasets!BE56; All_Datasets!BF56</t>
  </si>
  <si>
    <t>DS-055|M1</t>
  </si>
  <si>
    <t>DS-055|M2</t>
  </si>
  <si>
    <t>DS-055|M5</t>
  </si>
  <si>
    <t>DS-056|A1</t>
  </si>
  <si>
    <t>MCDM_Grades!AR57; MCDM_Grades!AT57; All_Datasets!DH57; All_Datasets!D57; All_Datasets!L57; All_Datasets!T57</t>
  </si>
  <si>
    <t>The v1 source explicitly collapses cracks, broken surfaces and potholes into one class named pothole. Score that broad-damage task only; a pothole-specific target needs relabeling. Three phone cameras and varied Bangladesh roads are documented; inventory four-class claim is superseded.</t>
  </si>
  <si>
    <t>DS-056|A2</t>
  </si>
  <si>
    <t>MCDM_Grades!AR57; MCDM_Grades!AT57; All_Datasets!DH57; All_Datasets!CJ57; All_Datasets!CM57</t>
  </si>
  <si>
    <t>DS-056|A3</t>
  </si>
  <si>
    <t>MCDM_Grades!AR57; MCDM_Grades!AT57; All_Datasets!DH57; All_Datasets!CK57</t>
  </si>
  <si>
    <t>DS-056|L1</t>
  </si>
  <si>
    <t>MCDM_Grades!AR57; MCDM_Grades!AT57; All_Datasets!DH57; All_Datasets!BJ57; All_Datasets!BH57; All_Datasets!BI57</t>
  </si>
  <si>
    <t>DS-056|L2</t>
  </si>
  <si>
    <t>MCDM_Grades!AR57; MCDM_Grades!AT57; All_Datasets!DH57; All_Datasets!BJ57; All_Datasets!BN57; All_Datasets!BY57</t>
  </si>
  <si>
    <t>DS-056|L4</t>
  </si>
  <si>
    <t>MCDM_Grades!AR57; MCDM_Grades!AT57; All_Datasets!DH57</t>
  </si>
  <si>
    <t>DS-056|D1</t>
  </si>
  <si>
    <t>MCDM_Grades!AR57; MCDM_Grades!AT57; All_Datasets!DH57; All_Datasets!BN57; All_Datasets!BO57; All_Datasets!BJ57</t>
  </si>
  <si>
    <t>DS-056|D2</t>
  </si>
  <si>
    <t>MCDM_Grades!AR57; MCDM_Grades!AT57; All_Datasets!DH57; All_Datasets!CR57; All_Datasets!AU57</t>
  </si>
  <si>
    <t>DS-056|D4</t>
  </si>
  <si>
    <t>MCDM_Grades!AR57; MCDM_Grades!AT57; All_Datasets!DH57; All_Datasets!CQ57</t>
  </si>
  <si>
    <t>DS-056|C1</t>
  </si>
  <si>
    <t>DS-056|C2</t>
  </si>
  <si>
    <t>MCDM_Grades!AR57; MCDM_Grades!AT57; All_Datasets!DH57; All_Datasets!BJ57</t>
  </si>
  <si>
    <t>DS-056|R1</t>
  </si>
  <si>
    <t>MCDM_Grades!AR57; MCDM_Grades!AT57; All_Datasets!DH57; All_Datasets!AP57; All_Datasets!AR57; All_Datasets!AS57; All_Datasets!AU57</t>
  </si>
  <si>
    <t>DS-056|R2</t>
  </si>
  <si>
    <t>MCDM_Grades!AR57; MCDM_Grades!AT57; All_Datasets!DH57; All_Datasets!AS57; All_Datasets!BF57; All_Datasets!AU57</t>
  </si>
  <si>
    <t>DS-056|M1</t>
  </si>
  <si>
    <t>MCDM_Grades!AR57; MCDM_Grades!AT57; All_Datasets!DH57; All_Datasets!AU57; All_Datasets!AW57</t>
  </si>
  <si>
    <t>DS-056|M2</t>
  </si>
  <si>
    <t>MCDM_Grades!AR57; MCDM_Grades!AT57; All_Datasets!DH57; All_Datasets!AN57</t>
  </si>
  <si>
    <t>DS-056|M5</t>
  </si>
  <si>
    <t>MCDM_Grades!AR57; MCDM_Grades!AT57; All_Datasets!DH57; All_Datasets!AN57; All_Datasets!BY57; All_Datasets!CQ57</t>
  </si>
  <si>
    <t>DS-057|A1</t>
  </si>
  <si>
    <t>MCDM_Grades!AR58; MCDM_Grades!AT58; All_Datasets!DH58; All_Datasets!D58; All_Datasets!L58; All_Datasets!T58</t>
  </si>
  <si>
    <t>Selected v3 explicitly separates 6,350 collected images from 9,107 augmented images, five classes and Sylhet collection conditions. Do not combine the v1 count with v3. Screening for visual clarity is not a demonstrated label-error correction audit.</t>
  </si>
  <si>
    <t>DS-057|A2</t>
  </si>
  <si>
    <t>MCDM_Grades!AR58; MCDM_Grades!AT58; All_Datasets!DH58; All_Datasets!CJ58; All_Datasets!CM58</t>
  </si>
  <si>
    <t>DS-057|A3</t>
  </si>
  <si>
    <t>MCDM_Grades!AR58; MCDM_Grades!AT58; All_Datasets!DH58; All_Datasets!CK58</t>
  </si>
  <si>
    <t>DS-057|L1</t>
  </si>
  <si>
    <t>MCDM_Grades!AR58; MCDM_Grades!AT58; All_Datasets!DH58; All_Datasets!BJ58; All_Datasets!BH58; All_Datasets!BI58</t>
  </si>
  <si>
    <t>DS-057|L2</t>
  </si>
  <si>
    <t>MCDM_Grades!AR58; MCDM_Grades!AT58; All_Datasets!DH58; All_Datasets!BJ58; All_Datasets!BY58</t>
  </si>
  <si>
    <t>DS-057|L4</t>
  </si>
  <si>
    <t>MCDM_Grades!AR58; MCDM_Grades!AT58; All_Datasets!DH58; All_Datasets!BZ58</t>
  </si>
  <si>
    <t>DS-057|D1</t>
  </si>
  <si>
    <t>MCDM_Grades!AR58; MCDM_Grades!AT58; All_Datasets!DH58; All_Datasets!BJ58</t>
  </si>
  <si>
    <t>DS-057|D2</t>
  </si>
  <si>
    <t>MCDM_Grades!AR58; MCDM_Grades!AT58; All_Datasets!DH58; All_Datasets!CR58; All_Datasets!AU58</t>
  </si>
  <si>
    <t>DS-057|D4</t>
  </si>
  <si>
    <t>MCDM_Grades!AR58; MCDM_Grades!AT58; All_Datasets!DH58; All_Datasets!CQ58</t>
  </si>
  <si>
    <t>DS-057|C1</t>
  </si>
  <si>
    <t>MCDM_Grades!AR58; MCDM_Grades!AT58; All_Datasets!DH58; All_Datasets!AC58; All_Datasets!AF58</t>
  </si>
  <si>
    <t>DS-057|C2</t>
  </si>
  <si>
    <t>MCDM_Grades!AR58; MCDM_Grades!AT58; All_Datasets!DH58; All_Datasets!AC58; All_Datasets!BJ58</t>
  </si>
  <si>
    <t>DS-057|R1</t>
  </si>
  <si>
    <t>MCDM_Grades!AR58; MCDM_Grades!AT58; All_Datasets!DH58; All_Datasets!AP58; All_Datasets!AR58; All_Datasets!AS58; All_Datasets!AU58</t>
  </si>
  <si>
    <t>DS-057|R2</t>
  </si>
  <si>
    <t>MCDM_Grades!AR58; MCDM_Grades!AT58; All_Datasets!DH58; All_Datasets!AS58; All_Datasets!BE58; All_Datasets!BF58; All_Datasets!AU58</t>
  </si>
  <si>
    <t>DS-057|M1</t>
  </si>
  <si>
    <t>MCDM_Grades!AR58; MCDM_Grades!AT58; All_Datasets!DH58; All_Datasets!AU58; All_Datasets!AW58</t>
  </si>
  <si>
    <t>DS-057|M2</t>
  </si>
  <si>
    <t>MCDM_Grades!AR58; MCDM_Grades!AT58; All_Datasets!DH58; All_Datasets!AN58</t>
  </si>
  <si>
    <t>DS-057|M5</t>
  </si>
  <si>
    <t>MCDM_Grades!AR58; MCDM_Grades!AT58; All_Datasets!DH58; All_Datasets!AN58; All_Datasets!BY58; All_Datasets!CQ58</t>
  </si>
  <si>
    <t>DS-058|A1</t>
  </si>
  <si>
    <t>MCDM_Grades!AR59; MCDM_Grades!AT59; All_Datasets!DH59; All_Datasets!D59; All_Datasets!L59; All_Datasets!T59</t>
  </si>
  <si>
    <t>BDRS2025 v1 describes five classes, 2,685 images and 147 videos across three Bangladesh locations and varied conditions. Average class size is not a complete per-class table; image/video overlap and claimed segmentation labels remain unverified.</t>
  </si>
  <si>
    <t>DS-058|A2</t>
  </si>
  <si>
    <t>MCDM_Grades!AR59; MCDM_Grades!AT59; All_Datasets!DH59; All_Datasets!CJ59; All_Datasets!CM59</t>
  </si>
  <si>
    <t>DS-058|A3</t>
  </si>
  <si>
    <t>MCDM_Grades!AR59; MCDM_Grades!AT59; All_Datasets!DH59; All_Datasets!CK59</t>
  </si>
  <si>
    <t>DS-058|L1</t>
  </si>
  <si>
    <t>MCDM_Grades!AR59; MCDM_Grades!AT59; All_Datasets!DH59; All_Datasets!BJ59; All_Datasets!BH59</t>
  </si>
  <si>
    <t>DS-058|L2</t>
  </si>
  <si>
    <t>MCDM_Grades!AR59; MCDM_Grades!AT59; All_Datasets!DH59; All_Datasets!BJ59; All_Datasets!BY59</t>
  </si>
  <si>
    <t>DS-058|L4</t>
  </si>
  <si>
    <t>MCDM_Grades!AR59; MCDM_Grades!AT59; All_Datasets!DH59; All_Datasets!BZ59</t>
  </si>
  <si>
    <t>DS-058|D1</t>
  </si>
  <si>
    <t>MCDM_Grades!AR59; MCDM_Grades!AT59; All_Datasets!DH59; All_Datasets!BJ59</t>
  </si>
  <si>
    <t>DS-058|D2</t>
  </si>
  <si>
    <t>MCDM_Grades!AR59; MCDM_Grades!AT59; All_Datasets!DH59; All_Datasets!CR59; All_Datasets!AU59</t>
  </si>
  <si>
    <t>DS-058|D4</t>
  </si>
  <si>
    <t>MCDM_Grades!AR59; MCDM_Grades!AT59; All_Datasets!DH59; All_Datasets!CQ59</t>
  </si>
  <si>
    <t>DS-058|C1</t>
  </si>
  <si>
    <t>MCDM_Grades!AR59; MCDM_Grades!AT59; All_Datasets!DH59; All_Datasets!AC59; All_Datasets!AD59; All_Datasets!AF59</t>
  </si>
  <si>
    <t>DS-058|C2</t>
  </si>
  <si>
    <t>MCDM_Grades!AR59; MCDM_Grades!AT59; All_Datasets!DH59; All_Datasets!AC59; All_Datasets!BJ59</t>
  </si>
  <si>
    <t>DS-058|R1</t>
  </si>
  <si>
    <t>MCDM_Grades!AR59; MCDM_Grades!AT59; All_Datasets!DH59; All_Datasets!AP59; All_Datasets!AR59; All_Datasets!AS59; All_Datasets!AU59</t>
  </si>
  <si>
    <t>DS-058|R2</t>
  </si>
  <si>
    <t>MCDM_Grades!AR59; MCDM_Grades!AT59; All_Datasets!DH59; All_Datasets!AS59; All_Datasets!BE59; All_Datasets!BF59; All_Datasets!AU59</t>
  </si>
  <si>
    <t>DS-058|M1</t>
  </si>
  <si>
    <t>MCDM_Grades!AR59; MCDM_Grades!AT59; All_Datasets!DH59; All_Datasets!AU59</t>
  </si>
  <si>
    <t>DS-058|M2</t>
  </si>
  <si>
    <t>MCDM_Grades!AR59; MCDM_Grades!AT59; All_Datasets!DH59</t>
  </si>
  <si>
    <t>DS-058|M5</t>
  </si>
  <si>
    <t>MCDM_Grades!AR59; MCDM_Grades!AT59; All_Datasets!DH59; All_Datasets!BY59; All_Datasets!CQ59</t>
  </si>
  <si>
    <t>DS-059|A1</t>
  </si>
  <si>
    <t>MCDM_Grades!AR60; MCDM_Grades!AT60; All_Datasets!DH60; All_Datasets!D60; All_Datasets!L60; All_Datasets!T60</t>
  </si>
  <si>
    <t>CoCGRCDD v1 defines four box classes, COCO paths, 2,110 extracted frames and 325 negatives, plus nuisance tags. No full class-count table or independent capture count is reported. Shares frames with DS-060.</t>
  </si>
  <si>
    <t>DS-059|A2</t>
  </si>
  <si>
    <t>MCDM_Grades!AR60; MCDM_Grades!AT60; All_Datasets!DH60; All_Datasets!CJ60; All_Datasets!CM60</t>
  </si>
  <si>
    <t>DS-059|A3</t>
  </si>
  <si>
    <t>MCDM_Grades!AR60; MCDM_Grades!AT60; All_Datasets!DH60; All_Datasets!CK60</t>
  </si>
  <si>
    <t>DS-059|L1</t>
  </si>
  <si>
    <t>MCDM_Grades!AR60; MCDM_Grades!AT60; All_Datasets!DH60; All_Datasets!BJ60; All_Datasets!BH60</t>
  </si>
  <si>
    <t>DS-059|L2</t>
  </si>
  <si>
    <t>MCDM_Grades!AR60; MCDM_Grades!AT60; All_Datasets!DH60; All_Datasets!BJ60; All_Datasets!BN60; All_Datasets!BY60</t>
  </si>
  <si>
    <t>DS-059|L4</t>
  </si>
  <si>
    <t>MCDM_Grades!AR60; MCDM_Grades!AT60; All_Datasets!DH60; All_Datasets!BZ60</t>
  </si>
  <si>
    <t>DS-059|D1</t>
  </si>
  <si>
    <t>MCDM_Grades!AR60; MCDM_Grades!AT60; All_Datasets!DH60; All_Datasets!BN60; All_Datasets!BO60; All_Datasets!BJ60</t>
  </si>
  <si>
    <t>DS-059|D2</t>
  </si>
  <si>
    <t>MCDM_Grades!AR60; MCDM_Grades!AT60; All_Datasets!DH60; All_Datasets!CR60; All_Datasets!AU60</t>
  </si>
  <si>
    <t>DS-059|D4</t>
  </si>
  <si>
    <t>MCDM_Grades!AR60; MCDM_Grades!AT60; All_Datasets!DH60; All_Datasets!CQ60</t>
  </si>
  <si>
    <t>DS-059|C1</t>
  </si>
  <si>
    <t>MCDM_Grades!AR60; MCDM_Grades!AT60; All_Datasets!DH60; All_Datasets!AC60; All_Datasets!AD60; All_Datasets!AE60; All_Datasets!AF60</t>
  </si>
  <si>
    <t>DS-059|C2</t>
  </si>
  <si>
    <t>MCDM_Grades!AR60; MCDM_Grades!AT60; All_Datasets!DH60; All_Datasets!AC60; All_Datasets!BJ60</t>
  </si>
  <si>
    <t>DS-059|R1</t>
  </si>
  <si>
    <t>MCDM_Grades!AR60; MCDM_Grades!AT60; All_Datasets!DH60; All_Datasets!AP60; All_Datasets!AS60; All_Datasets!AU60</t>
  </si>
  <si>
    <t>DS-059|R2</t>
  </si>
  <si>
    <t>MCDM_Grades!AR60; MCDM_Grades!AT60; All_Datasets!DH60; All_Datasets!AS60; All_Datasets!BF60; All_Datasets!AU60</t>
  </si>
  <si>
    <t>DS-059|M1</t>
  </si>
  <si>
    <t>MCDM_Grades!AR60; MCDM_Grades!AT60; All_Datasets!DH60; All_Datasets!AU60; All_Datasets!AW60</t>
  </si>
  <si>
    <t>DS-059|M2</t>
  </si>
  <si>
    <t>MCDM_Grades!AR60; MCDM_Grades!AT60; All_Datasets!DH60</t>
  </si>
  <si>
    <t>DS-059|M5</t>
  </si>
  <si>
    <t>MCDM_Grades!AR60; MCDM_Grades!AT60; All_Datasets!DH60; All_Datasets!BY60; All_Datasets!CQ60</t>
  </si>
  <si>
    <t>DS-060|A1</t>
  </si>
  <si>
    <t>MCDM_Grades!AR61; MCDM_Grades!AT61; All_Datasets!DH61; All_Datasets!D61; All_Datasets!L61; All_Datasets!T61</t>
  </si>
  <si>
    <t>CoCGRCOBB is an annotation-only derivative of DS-059 with merged single-crack class C12 and oriented boxes. Both the image parent and annotation release are required. The same 2,110 frames must not be counted as new captures.</t>
  </si>
  <si>
    <t>DS-060|A2</t>
  </si>
  <si>
    <t>MCDM_Grades!AR61; MCDM_Grades!AT61; All_Datasets!DH61; All_Datasets!CJ61; All_Datasets!CM61</t>
  </si>
  <si>
    <t>DS-060|A3</t>
  </si>
  <si>
    <t>MCDM_Grades!AR61; MCDM_Grades!AT61; All_Datasets!DH61; All_Datasets!CK61</t>
  </si>
  <si>
    <t>DS-060|L1</t>
  </si>
  <si>
    <t>MCDM_Grades!AR61; MCDM_Grades!AT61; All_Datasets!DH61; All_Datasets!BJ61; All_Datasets!BH61</t>
  </si>
  <si>
    <t>DS-060|L2</t>
  </si>
  <si>
    <t>MCDM_Grades!AR61; MCDM_Grades!AT61; All_Datasets!DH61; All_Datasets!BJ61; All_Datasets!BN61; All_Datasets!BY61</t>
  </si>
  <si>
    <t>DS-060|L4</t>
  </si>
  <si>
    <t>MCDM_Grades!AR61; MCDM_Grades!AT61; All_Datasets!DH61; All_Datasets!BZ61</t>
  </si>
  <si>
    <t>DS-060|D1</t>
  </si>
  <si>
    <t>MCDM_Grades!AR61; MCDM_Grades!AT61; All_Datasets!DH61; All_Datasets!BN61; All_Datasets!BO61; All_Datasets!BJ61</t>
  </si>
  <si>
    <t>DS-060|D2</t>
  </si>
  <si>
    <t>MCDM_Grades!AR61; MCDM_Grades!AT61; All_Datasets!DH61; All_Datasets!CR61; All_Datasets!CV61; All_Datasets!AU61</t>
  </si>
  <si>
    <t>DS-060|D4</t>
  </si>
  <si>
    <t>MCDM_Grades!AR61; MCDM_Grades!AT61; All_Datasets!DH61; All_Datasets!CQ61</t>
  </si>
  <si>
    <t>DS-060|C1</t>
  </si>
  <si>
    <t>MCDM_Grades!AR61; MCDM_Grades!AT61; All_Datasets!DH61; All_Datasets!AC61; All_Datasets!AD61; All_Datasets!AE61; All_Datasets!AF61</t>
  </si>
  <si>
    <t>DS-060|C2</t>
  </si>
  <si>
    <t>MCDM_Grades!AR61; MCDM_Grades!AT61; All_Datasets!DH61; All_Datasets!AC61; All_Datasets!BJ61</t>
  </si>
  <si>
    <t>DS-060|R1</t>
  </si>
  <si>
    <t>MCDM_Grades!AR61; MCDM_Grades!AT61; All_Datasets!DH61; All_Datasets!AP61; All_Datasets!AS61; All_Datasets!AU61</t>
  </si>
  <si>
    <t>DS-060|R2</t>
  </si>
  <si>
    <t>MCDM_Grades!AR61; MCDM_Grades!AT61; All_Datasets!DH61; All_Datasets!AS61; All_Datasets!BF61; All_Datasets!AU61</t>
  </si>
  <si>
    <t>DS-060|M1</t>
  </si>
  <si>
    <t>MCDM_Grades!AR61; MCDM_Grades!AT61; All_Datasets!DH61; All_Datasets!AU61; All_Datasets!AW61</t>
  </si>
  <si>
    <t>DS-060|M2</t>
  </si>
  <si>
    <t>MCDM_Grades!AR61; MCDM_Grades!AT61; All_Datasets!DH61</t>
  </si>
  <si>
    <t>DS-060|M5</t>
  </si>
  <si>
    <t>MCDM_Grades!AR61; MCDM_Grades!AT61; All_Datasets!DH61; All_Datasets!BY61; All_Datasets!CQ61</t>
  </si>
  <si>
    <t>DS-061|A1</t>
  </si>
  <si>
    <t>MCDM_Grades!AR62; MCDM_Grades!AT62; All_Datasets!DH62; All_Datasets!D62; All_Datasets!L62; All_Datasets!T62</t>
  </si>
  <si>
    <t>The v1 source describes mixed campus concrete/pavement imagery, drone/phone interval capture and resizing to 227 pixels. CC BY metadata conflicts with research-only wording; flag terms for clarification even though the present intended use is academic research.</t>
  </si>
  <si>
    <t>DS-061|A2</t>
  </si>
  <si>
    <t>MCDM_Grades!AR62; MCDM_Grades!AT62; All_Datasets!DH62; All_Datasets!CJ62; All_Datasets!CM62</t>
  </si>
  <si>
    <t>DS-061|A3</t>
  </si>
  <si>
    <t>MCDM_Grades!AR62; MCDM_Grades!AT62; All_Datasets!DH62; All_Datasets!CK62</t>
  </si>
  <si>
    <t>CC BY metadata conflicts with research-only terms in the same release description.</t>
  </si>
  <si>
    <t>DS-061|L1</t>
  </si>
  <si>
    <t>MCDM_Grades!AR62; MCDM_Grades!AT62; All_Datasets!DH62; All_Datasets!BJ62; All_Datasets!BH62</t>
  </si>
  <si>
    <t>DS-061|L2</t>
  </si>
  <si>
    <t>MCDM_Grades!AR62; MCDM_Grades!AT62; All_Datasets!DH62; All_Datasets!BJ62; All_Datasets!BN62; All_Datasets!BY62</t>
  </si>
  <si>
    <t>DS-061|L4</t>
  </si>
  <si>
    <t>MCDM_Grades!AR62; MCDM_Grades!AT62; All_Datasets!DH62</t>
  </si>
  <si>
    <t>DS-061|D1</t>
  </si>
  <si>
    <t>MCDM_Grades!AR62; MCDM_Grades!AT62; All_Datasets!DH62; All_Datasets!BN62; All_Datasets!BJ62</t>
  </si>
  <si>
    <t>DS-061|D2</t>
  </si>
  <si>
    <t>MCDM_Grades!AR62; MCDM_Grades!AT62; All_Datasets!DH62; All_Datasets!CR62; All_Datasets!AU62</t>
  </si>
  <si>
    <t>DS-061|D4</t>
  </si>
  <si>
    <t>MCDM_Grades!AR62; MCDM_Grades!AT62; All_Datasets!DH62; All_Datasets!CQ62</t>
  </si>
  <si>
    <t>DS-061|C1</t>
  </si>
  <si>
    <t>MCDM_Grades!AR62; MCDM_Grades!AT62; All_Datasets!DH62; All_Datasets!AC62; All_Datasets!AF62</t>
  </si>
  <si>
    <t>DS-061|C2</t>
  </si>
  <si>
    <t>MCDM_Grades!AR62; MCDM_Grades!AT62; All_Datasets!DH62; All_Datasets!AC62; All_Datasets!BJ62</t>
  </si>
  <si>
    <t>DS-061|R1</t>
  </si>
  <si>
    <t>MCDM_Grades!AR62; MCDM_Grades!AT62; All_Datasets!DH62; All_Datasets!AP62; All_Datasets!AR62; All_Datasets!AS62; All_Datasets!AU62</t>
  </si>
  <si>
    <t>DS-061|R2</t>
  </si>
  <si>
    <t>MCDM_Grades!AR62; MCDM_Grades!AT62; All_Datasets!DH62; All_Datasets!AS62; All_Datasets!BF62; All_Datasets!AU62</t>
  </si>
  <si>
    <t>DS-061|M1</t>
  </si>
  <si>
    <t>MCDM_Grades!AR62; MCDM_Grades!AT62; All_Datasets!DH62; All_Datasets!AU62</t>
  </si>
  <si>
    <t>DS-061|M2</t>
  </si>
  <si>
    <t>MCDM_Grades!AR62; MCDM_Grades!AT62; All_Datasets!DH62; All_Datasets!AN62</t>
  </si>
  <si>
    <t>DS-061|M5</t>
  </si>
  <si>
    <t>MCDM_Grades!AR62; MCDM_Grades!AT62; All_Datasets!DH62; All_Datasets!AN62; All_Datasets!BY62; All_Datasets!CQ62</t>
  </si>
  <si>
    <t>DS-062|A1</t>
  </si>
  <si>
    <t>MCDM_Grades!AR63; MCDM_Grades!AT63; All_Datasets!DH63; All_Datasets!D63; All_Datasets!L63; All_Datasets!T63</t>
  </si>
  <si>
    <t>This release supplies intentionally noisy CRACK500 training masks at 10/20/50/100 percent replacement; original images and evaluation data are separate. Noise is appropriate for the stated robustness task, not automatically evidence of failed annotation quality. Composite image/mask rights need review.</t>
  </si>
  <si>
    <t>DS-062|A2</t>
  </si>
  <si>
    <t>MCDM_Grades!AR63; MCDM_Grades!AT63; All_Datasets!DH63; All_Datasets!CJ63; All_Datasets!CM63</t>
  </si>
  <si>
    <t>DS-062|A3</t>
  </si>
  <si>
    <t>MCDM_Grades!AR63; MCDM_Grades!AT63; All_Datasets!DH63; All_Datasets!CK63</t>
  </si>
  <si>
    <t>DS-062|L1</t>
  </si>
  <si>
    <t>MCDM_Grades!AR63; MCDM_Grades!AT63; All_Datasets!DH63; All_Datasets!BJ63; All_Datasets!BH63</t>
  </si>
  <si>
    <t>DS-062|L2</t>
  </si>
  <si>
    <t>MCDM_Grades!AR63; MCDM_Grades!AT63; All_Datasets!DH63; All_Datasets!BJ63; All_Datasets!BN63; All_Datasets!BY63</t>
  </si>
  <si>
    <t>DS-062|L4</t>
  </si>
  <si>
    <t>MCDM_Grades!AR63; MCDM_Grades!AT63; All_Datasets!DH63; All_Datasets!BZ63</t>
  </si>
  <si>
    <t>DS-062|D1</t>
  </si>
  <si>
    <t>MCDM_Grades!AR63; MCDM_Grades!AT63; All_Datasets!DH63; All_Datasets!BN63; All_Datasets!BO63; All_Datasets!BJ63</t>
  </si>
  <si>
    <t>DS-062|D2</t>
  </si>
  <si>
    <t>MCDM_Grades!AR63; MCDM_Grades!AT63; All_Datasets!DH63; All_Datasets!CR63; All_Datasets!CV63</t>
  </si>
  <si>
    <t>DS-062|D4</t>
  </si>
  <si>
    <t>MCDM_Grades!AR63; MCDM_Grades!AT63; All_Datasets!DH63; All_Datasets!CQ63</t>
  </si>
  <si>
    <t>DS-062|C1</t>
  </si>
  <si>
    <t>MCDM_Grades!AR63; MCDM_Grades!AT63; All_Datasets!DH63</t>
  </si>
  <si>
    <t>DS-062|C2</t>
  </si>
  <si>
    <t>MCDM_Grades!AR63; MCDM_Grades!AT63; All_Datasets!DH63; All_Datasets!BJ63</t>
  </si>
  <si>
    <t>DS-062|R1</t>
  </si>
  <si>
    <t>DS-062|R2</t>
  </si>
  <si>
    <t>DS-062|M1</t>
  </si>
  <si>
    <t>DS-062|M2</t>
  </si>
  <si>
    <t>DS-062|M5</t>
  </si>
  <si>
    <t>MCDM_Grades!AR63; MCDM_Grades!AT63; All_Datasets!DH63; All_Datasets!BY63; All_Datasets!CQ63</t>
  </si>
  <si>
    <t>DS-063|A1</t>
  </si>
  <si>
    <t>MCDM_Grades!AR64; MCDM_Grades!AT64; All_Datasets!DH64; All_Datasets!D64; All_Datasets!L64; All_Datasets!T64</t>
  </si>
  <si>
    <t>CrackAirport v1 documents Tennessee airport UAV imagery, camera/altitude, cropping and exclusion of low-crack patches. This selection changes the crack prevalence. The 2,226 crops do not establish original-image or independent-site counts.</t>
  </si>
  <si>
    <t>DS-063|A2</t>
  </si>
  <si>
    <t>MCDM_Grades!AR64; MCDM_Grades!AT64; All_Datasets!DH64; All_Datasets!CJ64; All_Datasets!CM64</t>
  </si>
  <si>
    <t>DS-063|A3</t>
  </si>
  <si>
    <t>MCDM_Grades!AR64; MCDM_Grades!AT64; All_Datasets!DH64; All_Datasets!CK64</t>
  </si>
  <si>
    <t>DS-063|L1</t>
  </si>
  <si>
    <t>MCDM_Grades!AR64; MCDM_Grades!AT64; All_Datasets!DH64; All_Datasets!BJ64; All_Datasets!BH64</t>
  </si>
  <si>
    <t>DS-063|L2</t>
  </si>
  <si>
    <t>MCDM_Grades!AR64; MCDM_Grades!AT64; All_Datasets!DH64; All_Datasets!BJ64; All_Datasets!BY64</t>
  </si>
  <si>
    <t>DS-063|L4</t>
  </si>
  <si>
    <t>MCDM_Grades!AR64; MCDM_Grades!AT64; All_Datasets!DH64</t>
  </si>
  <si>
    <t>DS-063|D1</t>
  </si>
  <si>
    <t>MCDM_Grades!AR64; MCDM_Grades!AT64; All_Datasets!DH64; All_Datasets!BJ64</t>
  </si>
  <si>
    <t>DS-063|D2</t>
  </si>
  <si>
    <t>MCDM_Grades!AR64; MCDM_Grades!AT64; All_Datasets!DH64; All_Datasets!CR64; All_Datasets!AU64</t>
  </si>
  <si>
    <t>DS-063|D4</t>
  </si>
  <si>
    <t>MCDM_Grades!AR64; MCDM_Grades!AT64; All_Datasets!DH64; All_Datasets!CQ64</t>
  </si>
  <si>
    <t>DS-063|C1</t>
  </si>
  <si>
    <t>MCDM_Grades!AR64; MCDM_Grades!AT64; All_Datasets!DH64; All_Datasets!AC64; All_Datasets!AF64</t>
  </si>
  <si>
    <t>DS-063|C2</t>
  </si>
  <si>
    <t>MCDM_Grades!AR64; MCDM_Grades!AT64; All_Datasets!DH64; All_Datasets!AC64; All_Datasets!BJ64</t>
  </si>
  <si>
    <t>DS-063|R1</t>
  </si>
  <si>
    <t>MCDM_Grades!AR64; MCDM_Grades!AT64; All_Datasets!DH64; All_Datasets!AP64; All_Datasets!AR64; All_Datasets!AS64; All_Datasets!AU64</t>
  </si>
  <si>
    <t>DS-063|R2</t>
  </si>
  <si>
    <t>MCDM_Grades!AR64; MCDM_Grades!AT64; All_Datasets!DH64; All_Datasets!AS64; All_Datasets!AU64</t>
  </si>
  <si>
    <t>DS-063|M1</t>
  </si>
  <si>
    <t>MCDM_Grades!AR64; MCDM_Grades!AT64; All_Datasets!DH64; All_Datasets!AU64; All_Datasets!AW64</t>
  </si>
  <si>
    <t>DS-063|M2</t>
  </si>
  <si>
    <t>MCDM_Grades!AR64; MCDM_Grades!AT64; All_Datasets!DH64; All_Datasets!AN64</t>
  </si>
  <si>
    <t>DS-063|M5</t>
  </si>
  <si>
    <t>MCDM_Grades!AR64; MCDM_Grades!AT64; All_Datasets!DH64; All_Datasets!AN64; All_Datasets!BY64; All_Datasets!CQ64</t>
  </si>
  <si>
    <t>DS-064|A1</t>
  </si>
  <si>
    <t>MCDM_Grades!AR65; MCDM_Grades!AT65; All_Datasets!DH65; All_Datasets!D65; All_Datasets!L65; All_Datasets!T65</t>
  </si>
  <si>
    <t>The source identifies a Quebec experimental road, date, six drone passes and post-capture crack/landmark measurements. Engineering measurements are reported, but units, released linkage, label schema and independent capture accounting need inspection.</t>
  </si>
  <si>
    <t>DS-064|A2</t>
  </si>
  <si>
    <t>MCDM_Grades!AR65; MCDM_Grades!AT65; All_Datasets!DH65; All_Datasets!CJ65; All_Datasets!CM65</t>
  </si>
  <si>
    <t>DS-064|A3</t>
  </si>
  <si>
    <t>MCDM_Grades!AR65; MCDM_Grades!AT65; All_Datasets!DH65; All_Datasets!CK65</t>
  </si>
  <si>
    <t>Saved release-specific inventories disagree between CC BY-SA and CC BY; primary terms need adjudication.</t>
  </si>
  <si>
    <t>DS-064|L1</t>
  </si>
  <si>
    <t>MCDM_Grades!AR65; MCDM_Grades!AT65; All_Datasets!DH65; All_Datasets!BJ65; All_Datasets!BH65</t>
  </si>
  <si>
    <t>DS-064|L2</t>
  </si>
  <si>
    <t>MCDM_Grades!AR65; MCDM_Grades!AT65; All_Datasets!DH65; All_Datasets!BJ65; All_Datasets!BY65</t>
  </si>
  <si>
    <t>DS-064|L4</t>
  </si>
  <si>
    <t>MCDM_Grades!AR65; MCDM_Grades!AT65; All_Datasets!DH65; All_Datasets!BZ65</t>
  </si>
  <si>
    <t>DS-064|D1</t>
  </si>
  <si>
    <t>MCDM_Grades!AR65; MCDM_Grades!AT65; All_Datasets!DH65; All_Datasets!BJ65</t>
  </si>
  <si>
    <t>DS-064|D2</t>
  </si>
  <si>
    <t>MCDM_Grades!AR65; MCDM_Grades!AT65; All_Datasets!DH65; All_Datasets!CR65; All_Datasets!AU65</t>
  </si>
  <si>
    <t>DS-064|D4</t>
  </si>
  <si>
    <t>MCDM_Grades!AR65; MCDM_Grades!AT65; All_Datasets!DH65; All_Datasets!CQ65</t>
  </si>
  <si>
    <t>DS-064|C1</t>
  </si>
  <si>
    <t>MCDM_Grades!AR65; MCDM_Grades!AT65; All_Datasets!DH65; All_Datasets!AG65</t>
  </si>
  <si>
    <t>DS-064|C2</t>
  </si>
  <si>
    <t>DS-064|R1</t>
  </si>
  <si>
    <t>MCDM_Grades!AR65; MCDM_Grades!AT65; All_Datasets!DH65; All_Datasets!AP65; All_Datasets!AR65; All_Datasets!AS65; All_Datasets!AU65</t>
  </si>
  <si>
    <t>DS-064|R2</t>
  </si>
  <si>
    <t>MCDM_Grades!AR65; MCDM_Grades!AT65; All_Datasets!DH65; All_Datasets!AS65; All_Datasets!AU65</t>
  </si>
  <si>
    <t>DS-064|M1</t>
  </si>
  <si>
    <t>MCDM_Grades!AR65; MCDM_Grades!AT65; All_Datasets!DH65; All_Datasets!AU65; All_Datasets!AW65</t>
  </si>
  <si>
    <t>DS-064|M2</t>
  </si>
  <si>
    <t>MCDM_Grades!AR65; MCDM_Grades!AT65; All_Datasets!DH65; All_Datasets!AN65</t>
  </si>
  <si>
    <t>DS-064|M5</t>
  </si>
  <si>
    <t>MCDM_Grades!AR65; MCDM_Grades!AT65; All_Datasets!DH65; All_Datasets!AN65; All_Datasets!BY65; All_Datasets!CQ65</t>
  </si>
  <si>
    <t>DS-065|A1</t>
  </si>
  <si>
    <t>https://pmc.ncbi.nlm.nih.gov/articles/PMC8933537/</t>
  </si>
  <si>
    <t>Datasets!B40; Datasets!L40; Datasets!S40; Datasets!T40</t>
  </si>
  <si>
    <t>Dataset / release family: Unpaved and Paved Road Surface with Seasons | Release / paper year: 2022 (v2) | Dataset / download: Dataset / download | Evidence / paper: Source evidence</t>
  </si>
  <si>
    <t>DS-065|A2</t>
  </si>
  <si>
    <t>Datasets!F40; Datasets!Q40</t>
  </si>
  <si>
    <t>Access status: Public links | Access instructions: Public Mendeley v2.</t>
  </si>
  <si>
    <t>DS-065|A3</t>
  </si>
  <si>
    <t>Datasets!P40</t>
  </si>
  <si>
    <t>License / use terms: CC BY 4.0</t>
  </si>
  <si>
    <t>DS-065|L1</t>
  </si>
  <si>
    <t>Datasets!H40; Datasets!O40</t>
  </si>
  <si>
    <t>Pavement labels: Paved/unpaved and seasonal/road-condition folders including potholes, uneven road, speed breakers and water presence. | Label format: Folder/category labels; object boxes/masks not verified</t>
  </si>
  <si>
    <t>DS-065|L2</t>
  </si>
  <si>
    <t>DS-065|L4</t>
  </si>
  <si>
    <t>Datasets!O40; Datasets!R40</t>
  </si>
  <si>
    <t>Label format: Folder/category labels; object boxes/masks not verified | Limits and pairing notes: Includes rotated augmentation (4,242 original + 4,242 rotated per paper). Video-count discrepancy preserved. Auxiliary imagery rather than strict AV-footage match.</t>
  </si>
  <si>
    <t>DS-065|D1</t>
  </si>
  <si>
    <t>Datasets!O40; Datasets!I40</t>
  </si>
  <si>
    <t>Label format: Folder/category labels; object boxes/masks not verified | Camera / footage details: Top/side-view images and side-view videos taken with rear phone camera.</t>
  </si>
  <si>
    <t>DS-065|D2</t>
  </si>
  <si>
    <t>Datasets!K40; Datasets!E40; Datasets!I40; Datasets!R40</t>
  </si>
  <si>
    <t>Publisher: Sonali Bhutad and Kailas Patil | Capture context: Other / mixed capture | Camera / footage details: Top/side-view images and side-view videos taken with rear phone camera. | Limits and pairing notes: Includes rotated augmentation (4,242 original + 4,242 rotated per paper). Video-count discrepancy preserved. Auxiliary imagery rather than strict AV-footage match.</t>
  </si>
  <si>
    <t>DS-065|D4</t>
  </si>
  <si>
    <t>Datasets!R40; Datasets!H40</t>
  </si>
  <si>
    <t>Limits and pairing notes: Includes rotated augmentation (4,242 original + 4,242 rotated per paper). Video-count discrepancy preserved. Auxiliary imagery rather than strict AV-footage match. | Pavement labels: Paved/unpaved and seasonal/road-condition folders including potholes, uneven road, speed breakers and water presence.</t>
  </si>
  <si>
    <t>DS-065|C1</t>
  </si>
  <si>
    <t>Datasets!M40</t>
  </si>
  <si>
    <t>Reported size: 8,484 images; repository states 13 videos, associated paper states 10</t>
  </si>
  <si>
    <t>Repository says 13 videos while the paper says 10; image totals and video totals must be release-matched.</t>
  </si>
  <si>
    <t>DS-065|C2</t>
  </si>
  <si>
    <t>Datasets!M40; Datasets!H40</t>
  </si>
  <si>
    <t>Reported size: 8,484 images; repository states 13 videos, associated paper states 10 | Pavement labels: Paved/unpaved and seasonal/road-condition folders including potholes, uneven road, speed breakers and water presence.</t>
  </si>
  <si>
    <t>DS-065|R1</t>
  </si>
  <si>
    <t>Datasets!N40; Datasets!E40; Datasets!I40</t>
  </si>
  <si>
    <t>Geography: Nashik and Mumbai, India | Capture context: Other / mixed capture | Camera / footage details: Top/side-view images and side-view videos taken with rear phone camera.</t>
  </si>
  <si>
    <t>DS-065|R2</t>
  </si>
  <si>
    <t>Datasets!N40; Datasets!E40; Datasets!I40; Datasets!R40</t>
  </si>
  <si>
    <t>Geography: Nashik and Mumbai, India | Capture context: Other / mixed capture | Camera / footage details: Top/side-view images and side-view videos taken with rear phone camera. | Limits and pairing notes: Includes rotated augmentation (4,242 original + 4,242 rotated per paper). Video-count discrepancy preserved. Auxiliary imagery rather than strict AV-footage match.</t>
  </si>
  <si>
    <t>DS-065|M1</t>
  </si>
  <si>
    <t>Datasets!E40; Datasets!I40; Datasets!K40</t>
  </si>
  <si>
    <t>Capture context: Other / mixed capture | Camera / footage details: Top/side-view images and side-view videos taken with rear phone camera. | Publisher: Sonali Bhutad and Kailas Patil</t>
  </si>
  <si>
    <t>DS-065|M2</t>
  </si>
  <si>
    <t>Datasets!I40; Datasets!M40</t>
  </si>
  <si>
    <t>Camera / footage details: Top/side-view images and side-view videos taken with rear phone camera. | Reported size: 8,484 images; repository states 13 videos, associated paper states 10</t>
  </si>
  <si>
    <t>DS-065|M5</t>
  </si>
  <si>
    <t>Datasets!I40; Datasets!O40; Datasets!R40</t>
  </si>
  <si>
    <t>Camera / footage details: Top/side-view images and side-view videos taken with rear phone camera. | Label format: Folder/category labels; object boxes/masks not verified | Limits and pairing notes: Includes rotated augmentation (4,242 original + 4,242 rotated per paper). Video-count discrepancy preserved. Auxiliary imagery rather than strict AV-footage match.</t>
  </si>
  <si>
    <t>DS-066|A1</t>
  </si>
  <si>
    <t>MCDM_Grades!AR67; MCDM_Grades!AT67; All_Datasets!DH67; All_Datasets!D67; All_Datasets!L67; All_Datasets!T67</t>
  </si>
  <si>
    <t>FCDD v1 defines 17 segmentation classes, drivable sand distinctions and void background on one coastal route. It describes non-overlapping video segments for a 400/100 split; route/session overlap, exact membership and leakage still need file-level verification.</t>
  </si>
  <si>
    <t>DS-066|A2</t>
  </si>
  <si>
    <t>MCDM_Grades!AR67; MCDM_Grades!AT67; All_Datasets!DH67; All_Datasets!CJ67; All_Datasets!CM67</t>
  </si>
  <si>
    <t>DS-066|A3</t>
  </si>
  <si>
    <t>MCDM_Grades!AR67; MCDM_Grades!AT67; All_Datasets!DH67; All_Datasets!CK67</t>
  </si>
  <si>
    <t>DS-066|L1</t>
  </si>
  <si>
    <t>MCDM_Grades!AR67; MCDM_Grades!AT67; All_Datasets!DH67; All_Datasets!BJ67; All_Datasets!BH67</t>
  </si>
  <si>
    <t>DS-066|L2</t>
  </si>
  <si>
    <t>MCDM_Grades!AR67; MCDM_Grades!AT67; All_Datasets!DH67; All_Datasets!BJ67; All_Datasets!BN67; All_Datasets!BY67</t>
  </si>
  <si>
    <t>DS-066|L4</t>
  </si>
  <si>
    <t>MCDM_Grades!AR67; MCDM_Grades!AT67; All_Datasets!DH67</t>
  </si>
  <si>
    <t>DS-066|D1</t>
  </si>
  <si>
    <t>MCDM_Grades!AR67; MCDM_Grades!AT67; All_Datasets!DH67; All_Datasets!BN67; All_Datasets!BO67; All_Datasets!BJ67</t>
  </si>
  <si>
    <t>DS-066|D2</t>
  </si>
  <si>
    <t>MCDM_Grades!AR67; MCDM_Grades!AT67; All_Datasets!DH67; All_Datasets!CR67; All_Datasets!AU67</t>
  </si>
  <si>
    <t>DS-066|D4</t>
  </si>
  <si>
    <t>MCDM_Grades!AR67; MCDM_Grades!AT67; All_Datasets!DH67; All_Datasets!CQ67</t>
  </si>
  <si>
    <t>DS-066|C1</t>
  </si>
  <si>
    <t>MCDM_Grades!AR67; MCDM_Grades!AT67; All_Datasets!DH67; All_Datasets!AC67; All_Datasets!AF67; All_Datasets!AG67</t>
  </si>
  <si>
    <t>DS-066|C2</t>
  </si>
  <si>
    <t>MCDM_Grades!AR67; MCDM_Grades!AT67; All_Datasets!DH67; All_Datasets!AJ67; All_Datasets!AK67; All_Datasets!AC67; All_Datasets!BJ67</t>
  </si>
  <si>
    <t>DS-066|R1</t>
  </si>
  <si>
    <t>MCDM_Grades!AR67; MCDM_Grades!AT67; All_Datasets!DH67; All_Datasets!AP67; All_Datasets!AR67; All_Datasets!AS67; All_Datasets!AU67</t>
  </si>
  <si>
    <t>DS-066|R2</t>
  </si>
  <si>
    <t>MCDM_Grades!AR67; MCDM_Grades!AT67; All_Datasets!DH67; All_Datasets!AS67; All_Datasets!BE67; All_Datasets!BF67; All_Datasets!AU67</t>
  </si>
  <si>
    <t>DS-066|M1</t>
  </si>
  <si>
    <t>MCDM_Grades!AR67; MCDM_Grades!AT67; All_Datasets!DH67; All_Datasets!AU67; All_Datasets!AW67</t>
  </si>
  <si>
    <t>DS-066|M2</t>
  </si>
  <si>
    <t>MCDM_Grades!AR67; MCDM_Grades!AT67; All_Datasets!DH67; All_Datasets!AN67</t>
  </si>
  <si>
    <t>DS-066|M5</t>
  </si>
  <si>
    <t>MCDM_Grades!AR67; MCDM_Grades!AT67; All_Datasets!DH67; All_Datasets!AN67; All_Datasets!BY67; All_Datasets!CQ67</t>
  </si>
  <si>
    <t>DS-067|A1</t>
  </si>
  <si>
    <t>MCDM_Grades!AR68; MCDM_Grades!AT68; All_Datasets!DH68; All_Datasets!D68; All_Datasets!L68; All_Datasets!T68</t>
  </si>
  <si>
    <t>HighRPD v1 gives YOLO field definitions, 546 original UAV images versus 11,696 crops, all three instance counts, padding and multiple annotation/verification rounds. No measured label reliability or independent split-group counts are shown.</t>
  </si>
  <si>
    <t>DS-067|A2</t>
  </si>
  <si>
    <t>MCDM_Grades!AR68; MCDM_Grades!AT68; All_Datasets!DH68; All_Datasets!CJ68; All_Datasets!CM68</t>
  </si>
  <si>
    <t>DS-067|A3</t>
  </si>
  <si>
    <t>MCDM_Grades!AR68; MCDM_Grades!AT68; All_Datasets!DH68; All_Datasets!CK68</t>
  </si>
  <si>
    <t>DS-067|L1</t>
  </si>
  <si>
    <t>MCDM_Grades!AR68; MCDM_Grades!AT68; All_Datasets!DH68; All_Datasets!BJ68; All_Datasets!BH68</t>
  </si>
  <si>
    <t>DS-067|L2</t>
  </si>
  <si>
    <t>MCDM_Grades!AR68; MCDM_Grades!AT68; All_Datasets!DH68; All_Datasets!BJ68; All_Datasets!BN68; All_Datasets!BY68</t>
  </si>
  <si>
    <t>DS-067|L4</t>
  </si>
  <si>
    <t>MCDM_Grades!AR68; MCDM_Grades!AT68; All_Datasets!DH68; All_Datasets!BZ68</t>
  </si>
  <si>
    <t>A concrete documented review, verification, correction or consensus practice is reported. This is process evidence, not measured accuracy.</t>
  </si>
  <si>
    <t>DS-067|D1</t>
  </si>
  <si>
    <t>MCDM_Grades!AR68; MCDM_Grades!AT68; All_Datasets!DH68; All_Datasets!BN68; All_Datasets!BO68; All_Datasets!BJ68</t>
  </si>
  <si>
    <t>DS-067|D2</t>
  </si>
  <si>
    <t>MCDM_Grades!AR68; MCDM_Grades!AT68; All_Datasets!DH68; All_Datasets!CR68; All_Datasets!AU68</t>
  </si>
  <si>
    <t>DS-067|D4</t>
  </si>
  <si>
    <t>MCDM_Grades!AR68; MCDM_Grades!AT68; All_Datasets!DH68; All_Datasets!CQ68</t>
  </si>
  <si>
    <t>DS-067|C1</t>
  </si>
  <si>
    <t>MCDM_Grades!AR68; MCDM_Grades!AT68; All_Datasets!DH68; All_Datasets!AC68; All_Datasets!AF68</t>
  </si>
  <si>
    <t>DS-067|C2</t>
  </si>
  <si>
    <t>MCDM_Grades!AR68; MCDM_Grades!AT68; All_Datasets!DH68; All_Datasets!AC68; All_Datasets!BJ68</t>
  </si>
  <si>
    <t>DS-067|R1</t>
  </si>
  <si>
    <t>MCDM_Grades!AR68; MCDM_Grades!AT68; All_Datasets!DH68; All_Datasets!AP68; All_Datasets!AR68; All_Datasets!AS68; All_Datasets!AU68</t>
  </si>
  <si>
    <t>DS-067|R2</t>
  </si>
  <si>
    <t>MCDM_Grades!AR68; MCDM_Grades!AT68; All_Datasets!DH68; All_Datasets!AS68; All_Datasets!AU68</t>
  </si>
  <si>
    <t>DS-067|M1</t>
  </si>
  <si>
    <t>MCDM_Grades!AR68; MCDM_Grades!AT68; All_Datasets!DH68; All_Datasets!AU68</t>
  </si>
  <si>
    <t>DS-067|M2</t>
  </si>
  <si>
    <t>MCDM_Grades!AR68; MCDM_Grades!AT68; All_Datasets!DH68; All_Datasets!AN68</t>
  </si>
  <si>
    <t>DS-067|M5</t>
  </si>
  <si>
    <t>MCDM_Grades!AR68; MCDM_Grades!AT68; All_Datasets!DH68; All_Datasets!AN68; All_Datasets!BY68; All_Datasets!CQ68</t>
  </si>
  <si>
    <t>DS-068|A1</t>
  </si>
  <si>
    <t>MCDM_Grades!AR69; MCDM_Grades!AT69; All_Datasets!DH69; All_Datasets!D69; All_Datasets!L69; All_Datasets!T69</t>
  </si>
  <si>
    <t>IROSCD v1 defines normal/damaged/bumpy/wet roads and Indonesian phone collection. Every image was reviewed for consistency, but correction procedures, actual counts and quantitative agreement are not documented on this page.</t>
  </si>
  <si>
    <t>DS-068|A2</t>
  </si>
  <si>
    <t>MCDM_Grades!AR69; MCDM_Grades!AT69; All_Datasets!DH69; All_Datasets!CJ69; All_Datasets!CM69</t>
  </si>
  <si>
    <t>DS-068|A3</t>
  </si>
  <si>
    <t>MCDM_Grades!AR69; MCDM_Grades!AT69; All_Datasets!DH69; All_Datasets!CK69</t>
  </si>
  <si>
    <t>DS-068|L1</t>
  </si>
  <si>
    <t>MCDM_Grades!AR69; MCDM_Grades!AT69; All_Datasets!DH69; All_Datasets!BJ69; All_Datasets!BH69</t>
  </si>
  <si>
    <t>DS-068|L2</t>
  </si>
  <si>
    <t>MCDM_Grades!AR69; MCDM_Grades!AT69; All_Datasets!DH69; All_Datasets!BJ69</t>
  </si>
  <si>
    <t>DS-068|L4</t>
  </si>
  <si>
    <t>MCDM_Grades!AR69; MCDM_Grades!AT69; All_Datasets!DH69</t>
  </si>
  <si>
    <t>The source states every image was reviewed for consistency. This satisfies the revised concrete-review requirement without claiming correction statistics or measured agreement.</t>
  </si>
  <si>
    <t>DS-068|D1</t>
  </si>
  <si>
    <t>DS-068|D2</t>
  </si>
  <si>
    <t>MCDM_Grades!AR69; MCDM_Grades!AT69; All_Datasets!DH69; All_Datasets!CR69; All_Datasets!AU69</t>
  </si>
  <si>
    <t>DS-068|D4</t>
  </si>
  <si>
    <t>MCDM_Grades!AR69; MCDM_Grades!AT69; All_Datasets!DH69; All_Datasets!CQ69</t>
  </si>
  <si>
    <t>DS-068|C1</t>
  </si>
  <si>
    <t>DS-068|C2</t>
  </si>
  <si>
    <t>DS-068|R1</t>
  </si>
  <si>
    <t>MCDM_Grades!AR69; MCDM_Grades!AT69; All_Datasets!DH69; All_Datasets!AP69; All_Datasets!AR69; All_Datasets!AS69; All_Datasets!AU69</t>
  </si>
  <si>
    <t>DS-068|R2</t>
  </si>
  <si>
    <t>MCDM_Grades!AR69; MCDM_Grades!AT69; All_Datasets!DH69; All_Datasets!AS69; All_Datasets!BE69; All_Datasets!AU69</t>
  </si>
  <si>
    <t>DS-068|M1</t>
  </si>
  <si>
    <t>MCDM_Grades!AR69; MCDM_Grades!AT69; All_Datasets!DH69; All_Datasets!AU69</t>
  </si>
  <si>
    <t>DS-068|M2</t>
  </si>
  <si>
    <t>DS-068|M5</t>
  </si>
  <si>
    <t>DS-069|A1</t>
  </si>
  <si>
    <t>MCDM_Grades!AR70; MCDM_Grades!AT70; All_Datasets!DH70; All_Datasets!D70; All_Datasets!L70; All_Datasets!T70</t>
  </si>
  <si>
    <t>The selected MWPD v2 page describes pothole boxes and weather/lighting variation. Geography, count, device and relationship to the other same-title deposit remain unresolved; do not infer independent samples across deposits.</t>
  </si>
  <si>
    <t>DS-069|A2</t>
  </si>
  <si>
    <t>MCDM_Grades!AR70; MCDM_Grades!AT70; All_Datasets!DH70; All_Datasets!CJ70; All_Datasets!CM70</t>
  </si>
  <si>
    <t>DS-069|A3</t>
  </si>
  <si>
    <t>MCDM_Grades!AR70; MCDM_Grades!AT70; All_Datasets!DH70; All_Datasets!CK70</t>
  </si>
  <si>
    <t>Saved source records give CC BY and CC0 for same-title deposits; selected v2 terms need release-specific verification.</t>
  </si>
  <si>
    <t>DS-069|L1</t>
  </si>
  <si>
    <t>MCDM_Grades!AR70; MCDM_Grades!AT70; All_Datasets!DH70; All_Datasets!BJ70; All_Datasets!BH70</t>
  </si>
  <si>
    <t>DS-069|L2</t>
  </si>
  <si>
    <t>MCDM_Grades!AR70; MCDM_Grades!AT70; All_Datasets!DH70; All_Datasets!BJ70; All_Datasets!BY70</t>
  </si>
  <si>
    <t>DS-069|L4</t>
  </si>
  <si>
    <t>MCDM_Grades!AR70; MCDM_Grades!AT70; All_Datasets!DH70</t>
  </si>
  <si>
    <t>DS-069|D1</t>
  </si>
  <si>
    <t>MCDM_Grades!AR70; MCDM_Grades!AT70; All_Datasets!DH70; All_Datasets!BJ70</t>
  </si>
  <si>
    <t>DS-069|D2</t>
  </si>
  <si>
    <t>MCDM_Grades!AR70; MCDM_Grades!AT70; All_Datasets!DH70; All_Datasets!CR70</t>
  </si>
  <si>
    <t>DS-069|D4</t>
  </si>
  <si>
    <t>MCDM_Grades!AR70; MCDM_Grades!AT70; All_Datasets!DH70; All_Datasets!CQ70</t>
  </si>
  <si>
    <t>DS-069|C1</t>
  </si>
  <si>
    <t>DS-069|C2</t>
  </si>
  <si>
    <t>DS-069|R1</t>
  </si>
  <si>
    <t>DS-069|R2</t>
  </si>
  <si>
    <t>MCDM_Grades!AR70; MCDM_Grades!AT70; All_Datasets!DH70; All_Datasets!BE70; All_Datasets!BF70</t>
  </si>
  <si>
    <t>DS-069|M1</t>
  </si>
  <si>
    <t>DS-069|M2</t>
  </si>
  <si>
    <t>DS-069|M5</t>
  </si>
  <si>
    <t>MCDM_Grades!AR70; MCDM_Grades!AT70; All_Datasets!DH70; All_Datasets!BY70; All_Datasets!CQ70</t>
  </si>
  <si>
    <t>DS-070|A1</t>
  </si>
  <si>
    <t>MCDM_Grades!AR71; MCDM_Grades!AT71; All_Datasets!DH71; All_Datasets!D71; All_Datasets!L71; All_Datasets!T71</t>
  </si>
  <si>
    <t>The v2 source defines erosion/crack/pothole, counts 651/478/401 and resizing/normalization. Its typical 80/10/10 workflow is not proof of released split membership or absence of leakage; capture provenance is not established.</t>
  </si>
  <si>
    <t>DS-070|A2</t>
  </si>
  <si>
    <t>MCDM_Grades!AR71; MCDM_Grades!AT71; All_Datasets!DH71; All_Datasets!CJ71; All_Datasets!CM71</t>
  </si>
  <si>
    <t>DS-070|A3</t>
  </si>
  <si>
    <t>MCDM_Grades!AR71; MCDM_Grades!AT71; All_Datasets!DH71; All_Datasets!CK71</t>
  </si>
  <si>
    <t>DS-070|L1</t>
  </si>
  <si>
    <t>MCDM_Grades!AR71; MCDM_Grades!AT71; All_Datasets!DH71; All_Datasets!BJ71; All_Datasets!BH71</t>
  </si>
  <si>
    <t>DS-070|L2</t>
  </si>
  <si>
    <t>MCDM_Grades!AR71; MCDM_Grades!AT71; All_Datasets!DH71; All_Datasets!BJ71; All_Datasets!BN71</t>
  </si>
  <si>
    <t>DS-070|L4</t>
  </si>
  <si>
    <t>MCDM_Grades!AR71; MCDM_Grades!AT71; All_Datasets!DH71</t>
  </si>
  <si>
    <t>DS-070|D1</t>
  </si>
  <si>
    <t>MCDM_Grades!AR71; MCDM_Grades!AT71; All_Datasets!DH71; All_Datasets!BN71; All_Datasets!BJ71</t>
  </si>
  <si>
    <t>DS-070|D2</t>
  </si>
  <si>
    <t>MCDM_Grades!AR71; MCDM_Grades!AT71; All_Datasets!DH71; All_Datasets!CR71</t>
  </si>
  <si>
    <t>DS-070|D4</t>
  </si>
  <si>
    <t>MCDM_Grades!AR71; MCDM_Grades!AT71; All_Datasets!DH71; All_Datasets!CQ71</t>
  </si>
  <si>
    <t>DS-070|C1</t>
  </si>
  <si>
    <t>MCDM_Grades!AR71; MCDM_Grades!AT71; All_Datasets!DH71; All_Datasets!AC71; All_Datasets!AF71</t>
  </si>
  <si>
    <t>DS-070|C2</t>
  </si>
  <si>
    <t>MCDM_Grades!AR71; MCDM_Grades!AT71; All_Datasets!DH71; All_Datasets!AC71; All_Datasets!BJ71</t>
  </si>
  <si>
    <t>DS-070|R1</t>
  </si>
  <si>
    <t>DS-070|R2</t>
  </si>
  <si>
    <t>DS-070|M1</t>
  </si>
  <si>
    <t>DS-070|M2</t>
  </si>
  <si>
    <t>MCDM_Grades!AR71; MCDM_Grades!AT71; All_Datasets!DH71; All_Datasets!AN71</t>
  </si>
  <si>
    <t>DS-070|M5</t>
  </si>
  <si>
    <t>MCDM_Grades!AR71; MCDM_Grades!AT71; All_Datasets!DH71; All_Datasets!AN71; All_Datasets!CQ71</t>
  </si>
  <si>
    <t>DS-071|A1</t>
  </si>
  <si>
    <t>MCDM_Grades!AR72; MCDM_Grades!AT72; All_Datasets!DH72; All_Datasets!D72; All_Datasets!L72; All_Datasets!T72</t>
  </si>
  <si>
    <t>The v1 page identifies RealSense L515 image/point-cloud acquisition across buildings, mines and pavement. Synchronization capability alone does not document calibration or precision; pavement-only sample counts and paired-record schema remain unknown.</t>
  </si>
  <si>
    <t>DS-071|A2</t>
  </si>
  <si>
    <t>MCDM_Grades!AR72; MCDM_Grades!AT72; All_Datasets!DH72; All_Datasets!CJ72; All_Datasets!CM72</t>
  </si>
  <si>
    <t>DS-071|A3</t>
  </si>
  <si>
    <t>MCDM_Grades!AR72; MCDM_Grades!AT72; All_Datasets!DH72; All_Datasets!CK72</t>
  </si>
  <si>
    <t>Saved release records disagree between CC BY and CC BY-NC-SA; resolve exact version terms.</t>
  </si>
  <si>
    <t>DS-071|L1</t>
  </si>
  <si>
    <t>MCDM_Grades!AR72; MCDM_Grades!AT72; All_Datasets!DH72; All_Datasets!BJ72; All_Datasets!BH72</t>
  </si>
  <si>
    <t>DS-071|L2</t>
  </si>
  <si>
    <t>MCDM_Grades!AR72; MCDM_Grades!AT72; All_Datasets!DH72; All_Datasets!BJ72</t>
  </si>
  <si>
    <t>DS-071|L4</t>
  </si>
  <si>
    <t>MCDM_Grades!AR72; MCDM_Grades!AT72; All_Datasets!DH72</t>
  </si>
  <si>
    <t>DS-071|D1</t>
  </si>
  <si>
    <t>DS-071|D2</t>
  </si>
  <si>
    <t>MCDM_Grades!AR72; MCDM_Grades!AT72; All_Datasets!DH72; All_Datasets!CR72; All_Datasets!AU72</t>
  </si>
  <si>
    <t>DS-071|D4</t>
  </si>
  <si>
    <t>MCDM_Grades!AR72; MCDM_Grades!AT72; All_Datasets!DH72; All_Datasets!CQ72</t>
  </si>
  <si>
    <t>DS-071|C1</t>
  </si>
  <si>
    <t>DS-071|C2</t>
  </si>
  <si>
    <t>DS-071|R1</t>
  </si>
  <si>
    <t>MCDM_Grades!AR72; MCDM_Grades!AT72; All_Datasets!DH72; All_Datasets!AS72; All_Datasets!AU72</t>
  </si>
  <si>
    <t>DS-071|R2</t>
  </si>
  <si>
    <t>MCDM_Grades!AR72; MCDM_Grades!AT72; All_Datasets!DH72; All_Datasets!AS72; All_Datasets!BF72; All_Datasets!AU72</t>
  </si>
  <si>
    <t>DS-071|M1</t>
  </si>
  <si>
    <t>MCDM_Grades!AR72; MCDM_Grades!AT72; All_Datasets!DH72; All_Datasets!AU72; All_Datasets!AW72; All_Datasets!BD72</t>
  </si>
  <si>
    <t>DS-071|M2</t>
  </si>
  <si>
    <t>MCDM_Grades!AR72; MCDM_Grades!AT72; All_Datasets!DH72; All_Datasets!BD72</t>
  </si>
  <si>
    <t>DS-071|M5</t>
  </si>
  <si>
    <t>DS-072|A1</t>
  </si>
  <si>
    <t>Datasets!B24; Datasets!L24; Datasets!S24; Datasets!T24</t>
  </si>
  <si>
    <t>Dataset / release family: N-RDD2024 — Road damage and defects | Release / paper year: 2024 (v5) | Dataset / download: Dataset / download | Evidence / paper: Source evidence</t>
  </si>
  <si>
    <t>DS-072|A2</t>
  </si>
  <si>
    <t>Datasets!F24; Datasets!Q24</t>
  </si>
  <si>
    <t>Access status: Public links | Access instructions: Mendeley public training/validation and test files.</t>
  </si>
  <si>
    <t>DS-072|A3</t>
  </si>
  <si>
    <t>Datasets!P24</t>
  </si>
  <si>
    <t>License / use terms: CC BY 4.0 on v5 landing page; consider upstream image terms for inherited RDD data.</t>
  </si>
  <si>
    <t>DS-072|L1</t>
  </si>
  <si>
    <t>Datasets!H24; Datasets!O24</t>
  </si>
  <si>
    <t>Pavement labels: 10 classes: longitudinal/transverse/alligator/repaired cracks, pothole, faded crosswalk/lane marking, manhole, patchy road, rutting. | Label format: Object-detection labels; verify archive format before training</t>
  </si>
  <si>
    <t>DS-072|L2</t>
  </si>
  <si>
    <t>DS-072|L4</t>
  </si>
  <si>
    <t>Datasets!O24; Datasets!R24</t>
  </si>
  <si>
    <t>Label format: Object-detection labels; verify archive format before training | Limits and pairing notes: Derivative overlap with RDD2022; not all classes indicate defects (e.g., manhole cover). Expanded distress vocabulary useful.</t>
  </si>
  <si>
    <t>DS-072|D1</t>
  </si>
  <si>
    <t>Datasets!O24; Datasets!I24</t>
  </si>
  <si>
    <t>Label format: Object-detection labels; verify archive format before training | Camera / footage details: Road images, including inherited RDD sources; continuous video not documented.</t>
  </si>
  <si>
    <t>DS-072|D2</t>
  </si>
  <si>
    <t>Datasets!K24; Datasets!E24; Datasets!I24; Datasets!R24</t>
  </si>
  <si>
    <t>Publisher: Ömer Kaya and Muhammed Yasin Çodur / Erzurum Technical University | Capture context: Human-driven survey | Camera / footage details: Road images, including inherited RDD sources; continuous video not documented. | Limits and pairing notes: Derivative overlap with RDD2022; not all classes indicate defects (e.g., manhole cover). Expanded distress vocabulary useful.</t>
  </si>
  <si>
    <t>DS-072|D4</t>
  </si>
  <si>
    <t>Datasets!R24; Datasets!H24</t>
  </si>
  <si>
    <t>Limits and pairing notes: Derivative overlap with RDD2022; not all classes indicate defects (e.g., manhole cover). Expanded distress vocabulary useful. | Pavement labels: 10 classes: longitudinal/transverse/alligator/repaired cracks, pothole, faded crosswalk/lane marking, manhole, patchy road, rutting.</t>
  </si>
  <si>
    <t>DS-072|C1</t>
  </si>
  <si>
    <t>Datasets!M24</t>
  </si>
  <si>
    <t>Reported size: Image count not independently confirmed from v5 landing page.</t>
  </si>
  <si>
    <t>Released count and its exact unit or release scope remain insufficiently established.</t>
  </si>
  <si>
    <t>DS-072|C2</t>
  </si>
  <si>
    <t>Datasets!M24; Datasets!H24</t>
  </si>
  <si>
    <t>Reported size: Image count not independently confirmed from v5 landing page. | Pavement labels: 10 classes: longitudinal/transverse/alligator/repaired cracks, pothole, faded crosswalk/lane marking, manhole, patchy road, rutting.</t>
  </si>
  <si>
    <t>DS-072|R1</t>
  </si>
  <si>
    <t>Datasets!N24; Datasets!E24; Datasets!I24</t>
  </si>
  <si>
    <t>Geography: Includes RDD2022's six-country imagery; exact v5 geographic totals unverified. | Capture context: Human-driven survey | Camera / footage details: Road images, including inherited RDD sources; continuous video not documented.</t>
  </si>
  <si>
    <t>DS-072|R2</t>
  </si>
  <si>
    <t>Datasets!N24; Datasets!E24; Datasets!I24; Datasets!R24</t>
  </si>
  <si>
    <t>Geography: Includes RDD2022's six-country imagery; exact v5 geographic totals unverified. | Capture context: Human-driven survey | Camera / footage details: Road images, including inherited RDD sources; continuous video not documented. | Limits and pairing notes: Derivative overlap with RDD2022; not all classes indicate defects (e.g., manhole cover). Expanded distress vocabulary useful.</t>
  </si>
  <si>
    <t>DS-072|M1</t>
  </si>
  <si>
    <t>Datasets!E24; Datasets!I24; Datasets!K24</t>
  </si>
  <si>
    <t>Capture context: Human-driven survey | Camera / footage details: Road images, including inherited RDD sources; continuous video not documented. | Publisher: Ömer Kaya and Muhammed Yasin Çodur / Erzurum Technical University</t>
  </si>
  <si>
    <t>DS-072|M2</t>
  </si>
  <si>
    <t>Datasets!I24; Datasets!M24</t>
  </si>
  <si>
    <t>Camera / footage details: Road images, including inherited RDD sources; continuous video not documented. | Reported size: Image count not independently confirmed from v5 landing page.</t>
  </si>
  <si>
    <t>DS-072|M5</t>
  </si>
  <si>
    <t>Datasets!I24; Datasets!O24; Datasets!R24</t>
  </si>
  <si>
    <t>Camera / footage details: Road images, including inherited RDD sources; continuous video not documented. | Label format: Object-detection labels; verify archive format before training | Limits and pairing notes: Derivative overlap with RDD2022; not all classes indicate defects (e.g., manhole cover). Expanded distress vocabulary useful.</t>
  </si>
  <si>
    <t>DS-073|A1</t>
  </si>
  <si>
    <t>MCDM_Grades!AR74; MCDM_Grades!AT74; All_Datasets!DH74; All_Datasets!D74; All_Datasets!L74; All_Datasets!T74</t>
  </si>
  <si>
    <t>PathCare v2 describes GoPro capture, 386 extracted images/four videos, a 28 km drive, three classes and Roboflow annotation. Reported accuracy/mAP without uncertainty, fixed splits or full executable settings earns no V5 point.</t>
  </si>
  <si>
    <t>DS-073|A2</t>
  </si>
  <si>
    <t>MCDM_Grades!AR74; MCDM_Grades!AT74; All_Datasets!DH74; All_Datasets!CJ74; All_Datasets!CM74</t>
  </si>
  <si>
    <t>DS-073|A3</t>
  </si>
  <si>
    <t>MCDM_Grades!AR74; MCDM_Grades!AT74; All_Datasets!DH74</t>
  </si>
  <si>
    <t>DS-073|L1</t>
  </si>
  <si>
    <t>MCDM_Grades!AR74; MCDM_Grades!AT74; All_Datasets!DH74; All_Datasets!BJ74; All_Datasets!BH74</t>
  </si>
  <si>
    <t>DS-073|L2</t>
  </si>
  <si>
    <t>MCDM_Grades!AR74; MCDM_Grades!AT74; All_Datasets!DH74; All_Datasets!BJ74; All_Datasets!BN74; All_Datasets!BY74</t>
  </si>
  <si>
    <t>DS-073|L4</t>
  </si>
  <si>
    <t>MCDM_Grades!AR74; MCDM_Grades!AT74; All_Datasets!DH74; All_Datasets!BZ74</t>
  </si>
  <si>
    <t>DS-073|D1</t>
  </si>
  <si>
    <t>MCDM_Grades!AR74; MCDM_Grades!AT74; All_Datasets!DH74; All_Datasets!BN74; All_Datasets!BJ74</t>
  </si>
  <si>
    <t>DS-073|D2</t>
  </si>
  <si>
    <t>MCDM_Grades!AR74; MCDM_Grades!AT74; All_Datasets!DH74; All_Datasets!CR74; All_Datasets!AU74</t>
  </si>
  <si>
    <t>DS-073|D4</t>
  </si>
  <si>
    <t>MCDM_Grades!AR74; MCDM_Grades!AT74; All_Datasets!DH74; All_Datasets!CQ74</t>
  </si>
  <si>
    <t>DS-073|C1</t>
  </si>
  <si>
    <t>MCDM_Grades!AR74; MCDM_Grades!AT74; All_Datasets!DH74; All_Datasets!AC74; All_Datasets!AF74</t>
  </si>
  <si>
    <t>DS-073|C2</t>
  </si>
  <si>
    <t>MCDM_Grades!AR74; MCDM_Grades!AT74; All_Datasets!DH74; All_Datasets!AC74; All_Datasets!BJ74</t>
  </si>
  <si>
    <t>DS-073|R1</t>
  </si>
  <si>
    <t>MCDM_Grades!AR74; MCDM_Grades!AT74; All_Datasets!DH74; All_Datasets!AP74; All_Datasets!AS74; All_Datasets!AU74</t>
  </si>
  <si>
    <t>DS-073|R2</t>
  </si>
  <si>
    <t>MCDM_Grades!AR74; MCDM_Grades!AT74; All_Datasets!DH74; All_Datasets!AS74; All_Datasets!BF74; All_Datasets!AU74</t>
  </si>
  <si>
    <t>DS-073|M1</t>
  </si>
  <si>
    <t>MCDM_Grades!AR74; MCDM_Grades!AT74; All_Datasets!DH74; All_Datasets!AU74; All_Datasets!AW74</t>
  </si>
  <si>
    <t>DS-073|M2</t>
  </si>
  <si>
    <t>MCDM_Grades!AR74; MCDM_Grades!AT74; All_Datasets!DH74; All_Datasets!AN74</t>
  </si>
  <si>
    <t>DS-073|M5</t>
  </si>
  <si>
    <t>MCDM_Grades!AR74; MCDM_Grades!AT74; All_Datasets!DH74; All_Datasets!AN74; All_Datasets!BY74; All_Datasets!CQ74</t>
  </si>
  <si>
    <t>DS-074|A1</t>
  </si>
  <si>
    <t>MCDM_Grades!AR75; MCDM_Grades!AT75; All_Datasets!DH75; All_Datasets!D75; All_Datasets!L75; All_Datasets!T75</t>
  </si>
  <si>
    <t>PaveCrack1300 v1 defines JPEG/PNG pairs and mask values 255/0, orthorectification, cropping and removal of patches below 4 percent crack pixels. Pixel occupancy is not a count of independent original captures or a label-reliability audit.</t>
  </si>
  <si>
    <t>DS-074|A2</t>
  </si>
  <si>
    <t>MCDM_Grades!AR75; MCDM_Grades!AT75; All_Datasets!DH75; All_Datasets!CJ75; All_Datasets!CM75</t>
  </si>
  <si>
    <t>DS-074|A3</t>
  </si>
  <si>
    <t>MCDM_Grades!AR75; MCDM_Grades!AT75; All_Datasets!DH75; All_Datasets!CK75</t>
  </si>
  <si>
    <t>DS-074|L1</t>
  </si>
  <si>
    <t>MCDM_Grades!AR75; MCDM_Grades!AT75; All_Datasets!DH75; All_Datasets!BJ75; All_Datasets!BH75</t>
  </si>
  <si>
    <t>DS-074|L2</t>
  </si>
  <si>
    <t>MCDM_Grades!AR75; MCDM_Grades!AT75; All_Datasets!DH75; All_Datasets!BJ75; All_Datasets!BN75; All_Datasets!BY75</t>
  </si>
  <si>
    <t>DS-074|L4</t>
  </si>
  <si>
    <t>MCDM_Grades!AR75; MCDM_Grades!AT75; All_Datasets!DH75; All_Datasets!BZ75</t>
  </si>
  <si>
    <t>DS-074|D1</t>
  </si>
  <si>
    <t>MCDM_Grades!AR75; MCDM_Grades!AT75; All_Datasets!DH75; All_Datasets!BN75; All_Datasets!BO75; All_Datasets!BJ75</t>
  </si>
  <si>
    <t>DS-074|D2</t>
  </si>
  <si>
    <t>MCDM_Grades!AR75; MCDM_Grades!AT75; All_Datasets!DH75; All_Datasets!CR75; All_Datasets!AU75</t>
  </si>
  <si>
    <t>DS-074|D4</t>
  </si>
  <si>
    <t>MCDM_Grades!AR75; MCDM_Grades!AT75; All_Datasets!DH75; All_Datasets!CQ75</t>
  </si>
  <si>
    <t>DS-074|C1</t>
  </si>
  <si>
    <t>MCDM_Grades!AR75; MCDM_Grades!AT75; All_Datasets!DH75; All_Datasets!AC75; All_Datasets!AF75</t>
  </si>
  <si>
    <t>DS-074|C2</t>
  </si>
  <si>
    <t>MCDM_Grades!AR75; MCDM_Grades!AT75; All_Datasets!DH75; All_Datasets!AC75; All_Datasets!BJ75</t>
  </si>
  <si>
    <t>DS-074|R1</t>
  </si>
  <si>
    <t>MCDM_Grades!AR75; MCDM_Grades!AT75; All_Datasets!DH75; All_Datasets!AP75; All_Datasets!AR75; All_Datasets!AS75; All_Datasets!AU75</t>
  </si>
  <si>
    <t>DS-074|R2</t>
  </si>
  <si>
    <t>MCDM_Grades!AR75; MCDM_Grades!AT75; All_Datasets!DH75; All_Datasets!AS75; All_Datasets!AU75</t>
  </si>
  <si>
    <t>DS-074|M1</t>
  </si>
  <si>
    <t>MCDM_Grades!AR75; MCDM_Grades!AT75; All_Datasets!DH75; All_Datasets!AU75</t>
  </si>
  <si>
    <t>DS-074|M2</t>
  </si>
  <si>
    <t>MCDM_Grades!AR75; MCDM_Grades!AT75; All_Datasets!DH75; All_Datasets!AN75</t>
  </si>
  <si>
    <t>DS-074|M5</t>
  </si>
  <si>
    <t>MCDM_Grades!AR75; MCDM_Grades!AT75; All_Datasets!DH75; All_Datasets!AN75; All_Datasets!BY75; All_Datasets!CQ75</t>
  </si>
  <si>
    <t>DS-075|A1</t>
  </si>
  <si>
    <t>MCDM_Grades!AR76; MCDM_Grades!AT76; All_Datasets!DH76; All_Datasets!D76; All_Datasets!L76; All_Datasets!T76</t>
  </si>
  <si>
    <t>PaveDistress v1 identifies S315 in China, an inspection vehicle, six target categories and 3854 by 2065 pixels covering 3.9 by 2.1 m. Raw capture counts, annotation quality control and engineering condition outcomes are not supplied on this page.</t>
  </si>
  <si>
    <t>DS-075|A2</t>
  </si>
  <si>
    <t>MCDM_Grades!AR76; MCDM_Grades!AT76; All_Datasets!DH76; All_Datasets!CJ76; All_Datasets!CM76</t>
  </si>
  <si>
    <t>DS-075|A3</t>
  </si>
  <si>
    <t>MCDM_Grades!AR76; MCDM_Grades!AT76; All_Datasets!DH76; All_Datasets!CK76</t>
  </si>
  <si>
    <t>DS-075|L1</t>
  </si>
  <si>
    <t>MCDM_Grades!AR76; MCDM_Grades!AT76; All_Datasets!DH76; All_Datasets!BJ76; All_Datasets!BH76</t>
  </si>
  <si>
    <t>DS-075|L2</t>
  </si>
  <si>
    <t>MCDM_Grades!AR76; MCDM_Grades!AT76; All_Datasets!DH76; All_Datasets!BJ76; All_Datasets!BN76; All_Datasets!BY76</t>
  </si>
  <si>
    <t>DS-075|L4</t>
  </si>
  <si>
    <t>MCDM_Grades!AR76; MCDM_Grades!AT76; All_Datasets!DH76; All_Datasets!BZ76</t>
  </si>
  <si>
    <t>DS-075|D1</t>
  </si>
  <si>
    <t>MCDM_Grades!AR76; MCDM_Grades!AT76; All_Datasets!DH76; All_Datasets!BN76; All_Datasets!BJ76</t>
  </si>
  <si>
    <t>DS-075|D2</t>
  </si>
  <si>
    <t>MCDM_Grades!AR76; MCDM_Grades!AT76; All_Datasets!DH76; All_Datasets!CR76; All_Datasets!AU76</t>
  </si>
  <si>
    <t>DS-075|D4</t>
  </si>
  <si>
    <t>MCDM_Grades!AR76; MCDM_Grades!AT76; All_Datasets!DH76; All_Datasets!CQ76</t>
  </si>
  <si>
    <t>DS-075|C1</t>
  </si>
  <si>
    <t>MCDM_Grades!AR76; MCDM_Grades!AT76; All_Datasets!DH76</t>
  </si>
  <si>
    <t>DS-075|C2</t>
  </si>
  <si>
    <t>MCDM_Grades!AR76; MCDM_Grades!AT76; All_Datasets!DH76; All_Datasets!BJ76</t>
  </si>
  <si>
    <t>DS-075|R1</t>
  </si>
  <si>
    <t>MCDM_Grades!AR76; MCDM_Grades!AT76; All_Datasets!DH76; All_Datasets!AP76; All_Datasets!AR76; All_Datasets!AS76; All_Datasets!AU76</t>
  </si>
  <si>
    <t>DS-075|R2</t>
  </si>
  <si>
    <t>MCDM_Grades!AR76; MCDM_Grades!AT76; All_Datasets!DH76; All_Datasets!AS76; All_Datasets!BE76; All_Datasets!BF76; All_Datasets!AU76</t>
  </si>
  <si>
    <t>DS-075|M1</t>
  </si>
  <si>
    <t>MCDM_Grades!AR76; MCDM_Grades!AT76; All_Datasets!DH76; All_Datasets!AU76; All_Datasets!AW76; All_Datasets!BD76</t>
  </si>
  <si>
    <t>DS-075|M2</t>
  </si>
  <si>
    <t>MCDM_Grades!AR76; MCDM_Grades!AT76; All_Datasets!DH76; All_Datasets!AN76; All_Datasets!BD76</t>
  </si>
  <si>
    <t>DS-075|M5</t>
  </si>
  <si>
    <t>MCDM_Grades!AR76; MCDM_Grades!AT76; All_Datasets!DH76; All_Datasets!AN76; All_Datasets!BY76; All_Datasets!CQ76</t>
  </si>
  <si>
    <t>DS-076|A1</t>
  </si>
  <si>
    <t>MCDM_Grades!AR77; MCDM_Grades!AT77; All_Datasets!DH77; All_Datasets!D77; All_Datasets!L77; All_Datasets!T77</t>
  </si>
  <si>
    <t>The v1 page gives only asphalt/concrete image counts and an overlapping 212-image test subset. Distress labels and annotation availability are unverified; do not count the challenging subset twice.</t>
  </si>
  <si>
    <t>DS-076|A2</t>
  </si>
  <si>
    <t>MCDM_Grades!AR77; MCDM_Grades!AT77; All_Datasets!DH77; All_Datasets!CJ77; All_Datasets!CM77</t>
  </si>
  <si>
    <t>DS-076|A3</t>
  </si>
  <si>
    <t>MCDM_Grades!AR77; MCDM_Grades!AT77; All_Datasets!DH77; All_Datasets!CK77</t>
  </si>
  <si>
    <t>DS-076|L1</t>
  </si>
  <si>
    <t>MCDM_Grades!AR77; MCDM_Grades!AT77; All_Datasets!DH77</t>
  </si>
  <si>
    <t>DS-076|L2</t>
  </si>
  <si>
    <t>DS-076|L4</t>
  </si>
  <si>
    <t>DS-076|D1</t>
  </si>
  <si>
    <t>DS-076|D2</t>
  </si>
  <si>
    <t>MCDM_Grades!AR77; MCDM_Grades!AT77; All_Datasets!DH77; All_Datasets!CR77</t>
  </si>
  <si>
    <t>DS-076|D4</t>
  </si>
  <si>
    <t>MCDM_Grades!AR77; MCDM_Grades!AT77; All_Datasets!DH77; All_Datasets!CQ77</t>
  </si>
  <si>
    <t>DS-076|C1</t>
  </si>
  <si>
    <t>MCDM_Grades!AR77; MCDM_Grades!AT77; All_Datasets!DH77; All_Datasets!AC77; All_Datasets!AF77</t>
  </si>
  <si>
    <t>DS-076|C2</t>
  </si>
  <si>
    <t>MCDM_Grades!AR77; MCDM_Grades!AT77; All_Datasets!DH77; All_Datasets!AC77</t>
  </si>
  <si>
    <t>DS-076|R1</t>
  </si>
  <si>
    <t>DS-076|R2</t>
  </si>
  <si>
    <t>DS-076|M1</t>
  </si>
  <si>
    <t>DS-076|M2</t>
  </si>
  <si>
    <t>DS-076|M5</t>
  </si>
  <si>
    <t>DS-077|A1</t>
  </si>
  <si>
    <t>MCDM_Grades!AR78; MCDM_Grades!AT78; All_Datasets!DH78; All_Datasets!D78; All_Datasets!L78; All_Datasets!T78</t>
  </si>
  <si>
    <t>PavementDamagesG-7 v3 documents Cali 2024-2025, ZED 2i capture and seven PNG mask colors paired with JPG images. Image counts, version changes and released stereo/depth channels are not established.</t>
  </si>
  <si>
    <t>DS-077|A2</t>
  </si>
  <si>
    <t>MCDM_Grades!AR78; MCDM_Grades!AT78; All_Datasets!DH78; All_Datasets!CJ78; All_Datasets!CM78</t>
  </si>
  <si>
    <t>DS-077|A3</t>
  </si>
  <si>
    <t>MCDM_Grades!AR78; MCDM_Grades!AT78; All_Datasets!DH78; All_Datasets!CK78</t>
  </si>
  <si>
    <t>DS-077|L1</t>
  </si>
  <si>
    <t>MCDM_Grades!AR78; MCDM_Grades!AT78; All_Datasets!DH78; All_Datasets!BJ78; All_Datasets!BH78</t>
  </si>
  <si>
    <t>DS-077|L2</t>
  </si>
  <si>
    <t>MCDM_Grades!AR78; MCDM_Grades!AT78; All_Datasets!DH78; All_Datasets!BJ78; All_Datasets!BN78; All_Datasets!BY78</t>
  </si>
  <si>
    <t>DS-077|L4</t>
  </si>
  <si>
    <t>MCDM_Grades!AR78; MCDM_Grades!AT78; All_Datasets!DH78</t>
  </si>
  <si>
    <t>DS-077|D1</t>
  </si>
  <si>
    <t>MCDM_Grades!AR78; MCDM_Grades!AT78; All_Datasets!DH78; All_Datasets!BN78; All_Datasets!BO78; All_Datasets!BJ78</t>
  </si>
  <si>
    <t>DS-077|D2</t>
  </si>
  <si>
    <t>MCDM_Grades!AR78; MCDM_Grades!AT78; All_Datasets!DH78; All_Datasets!CR78; All_Datasets!AU78</t>
  </si>
  <si>
    <t>DS-077|D4</t>
  </si>
  <si>
    <t>MCDM_Grades!AR78; MCDM_Grades!AT78; All_Datasets!DH78; All_Datasets!CQ78</t>
  </si>
  <si>
    <t>DS-077|C1</t>
  </si>
  <si>
    <t>DS-077|C2</t>
  </si>
  <si>
    <t>MCDM_Grades!AR78; MCDM_Grades!AT78; All_Datasets!DH78; All_Datasets!BJ78</t>
  </si>
  <si>
    <t>DS-077|R1</t>
  </si>
  <si>
    <t>MCDM_Grades!AR78; MCDM_Grades!AT78; All_Datasets!DH78; All_Datasets!AP78; All_Datasets!AR78; All_Datasets!AS78; All_Datasets!AU78</t>
  </si>
  <si>
    <t>DS-077|R2</t>
  </si>
  <si>
    <t>MCDM_Grades!AR78; MCDM_Grades!AT78; All_Datasets!DH78; All_Datasets!AS78; All_Datasets!AU78</t>
  </si>
  <si>
    <t>DS-077|M1</t>
  </si>
  <si>
    <t>MCDM_Grades!AR78; MCDM_Grades!AT78; All_Datasets!DH78; All_Datasets!AU78; All_Datasets!AW78; All_Datasets!BD78</t>
  </si>
  <si>
    <t>DS-077|M2</t>
  </si>
  <si>
    <t>MCDM_Grades!AR78; MCDM_Grades!AT78; All_Datasets!DH78; All_Datasets!AN78; All_Datasets!BD78</t>
  </si>
  <si>
    <t>DS-077|M5</t>
  </si>
  <si>
    <t>MCDM_Grades!AR78; MCDM_Grades!AT78; All_Datasets!DH78; All_Datasets!AN78; All_Datasets!BY78; All_Datasets!CQ78</t>
  </si>
  <si>
    <t>DS-078|A1</t>
  </si>
  <si>
    <t>MCDM_Grades!AR79; MCDM_Grades!AT79; All_Datasets!DH79; All_Datasets!D79; All_Datasets!L79; All_Datasets!T79</t>
  </si>
  <si>
    <t>PDD v1 defines five polygon classes, six Lampung locations, 1024-pixel images and approximate 4-8 m coverage. Its 6,332 originals mix interval captures, stills and video frames without separate counts. CC BY-NC permits the chosen noncommercial research use; actual engineering depth/severity measurements are not established.</t>
  </si>
  <si>
    <t>DS-078|A2</t>
  </si>
  <si>
    <t>MCDM_Grades!AR79; MCDM_Grades!AT79; All_Datasets!DH79; All_Datasets!CJ79; All_Datasets!CM79</t>
  </si>
  <si>
    <t>DS-078|A3</t>
  </si>
  <si>
    <t>MCDM_Grades!AR79; MCDM_Grades!AT79; All_Datasets!DH79; All_Datasets!CK79</t>
  </si>
  <si>
    <t>DS-078|L1</t>
  </si>
  <si>
    <t>MCDM_Grades!AR79; MCDM_Grades!AT79; All_Datasets!DH79; All_Datasets!BJ79; All_Datasets!BH79</t>
  </si>
  <si>
    <t>DS-078|L2</t>
  </si>
  <si>
    <t>MCDM_Grades!AR79; MCDM_Grades!AT79; All_Datasets!DH79; All_Datasets!BJ79; All_Datasets!BN79; All_Datasets!BY79</t>
  </si>
  <si>
    <t>DS-078|L4</t>
  </si>
  <si>
    <t>MCDM_Grades!AR79; MCDM_Grades!AT79; All_Datasets!DH79; All_Datasets!BZ79</t>
  </si>
  <si>
    <t>DS-078|D1</t>
  </si>
  <si>
    <t>MCDM_Grades!AR79; MCDM_Grades!AT79; All_Datasets!DH79; All_Datasets!BN79; All_Datasets!BO79; All_Datasets!BJ79</t>
  </si>
  <si>
    <t>DS-078|D2</t>
  </si>
  <si>
    <t>MCDM_Grades!AR79; MCDM_Grades!AT79; All_Datasets!DH79; All_Datasets!CR79; All_Datasets!AU79</t>
  </si>
  <si>
    <t>DS-078|D4</t>
  </si>
  <si>
    <t>MCDM_Grades!AR79; MCDM_Grades!AT79; All_Datasets!DH79; All_Datasets!CQ79</t>
  </si>
  <si>
    <t>DS-078|C1</t>
  </si>
  <si>
    <t>MCDM_Grades!AR79; MCDM_Grades!AT79; All_Datasets!DH79; All_Datasets!AC79; All_Datasets!AF79</t>
  </si>
  <si>
    <t>DS-078|C2</t>
  </si>
  <si>
    <t>MCDM_Grades!AR79; MCDM_Grades!AT79; All_Datasets!DH79; All_Datasets!AC79; All_Datasets!BJ79</t>
  </si>
  <si>
    <t>DS-078|R1</t>
  </si>
  <si>
    <t>MCDM_Grades!AR79; MCDM_Grades!AT79; All_Datasets!DH79; All_Datasets!AP79; All_Datasets!AR79; All_Datasets!AS79; All_Datasets!AU79</t>
  </si>
  <si>
    <t>DS-078|R2</t>
  </si>
  <si>
    <t>MCDM_Grades!AR79; MCDM_Grades!AT79; All_Datasets!DH79; All_Datasets!AS79; All_Datasets!BE79; All_Datasets!BF79; All_Datasets!AU79</t>
  </si>
  <si>
    <t>DS-078|M1</t>
  </si>
  <si>
    <t>MCDM_Grades!AR79; MCDM_Grades!AT79; All_Datasets!DH79; All_Datasets!AU79; All_Datasets!AW79</t>
  </si>
  <si>
    <t>DS-078|M2</t>
  </si>
  <si>
    <t>MCDM_Grades!AR79; MCDM_Grades!AT79; All_Datasets!DH79; All_Datasets!AN79</t>
  </si>
  <si>
    <t>DS-078|M5</t>
  </si>
  <si>
    <t>MCDM_Grades!AR79; MCDM_Grades!AT79; All_Datasets!DH79; All_Datasets!AN79; All_Datasets!BY79; All_Datasets!CQ79</t>
  </si>
  <si>
    <t>DS-079|A1</t>
  </si>
  <si>
    <t>https://arxiv.org/abs/2205.13326</t>
  </si>
  <si>
    <t>Datasets!B36; Datasets!L36; Datasets!S36; Datasets!T36</t>
  </si>
  <si>
    <t>Dataset / release family: Pothole Mix / SHREC 2022 | Release / paper year: 2022 (v2) | Dataset / download: Dataset / download | Evidence / paper: Source evidence</t>
  </si>
  <si>
    <t>DS-079|A2</t>
  </si>
  <si>
    <t>Datasets!F36; Datasets!Q36</t>
  </si>
  <si>
    <t>Access status: Public links | Access instructions: Public Mendeley v2 files.</t>
  </si>
  <si>
    <t>DS-079|A3</t>
  </si>
  <si>
    <t>Datasets!P36</t>
  </si>
  <si>
    <t>License / use terms: CC BY-NC 3.0 (v2); underlying component licenses also matter.</t>
  </si>
  <si>
    <t>DS-079|L1</t>
  </si>
  <si>
    <t>Datasets!H36; Datasets!O36</t>
  </si>
  <si>
    <t>Pavement labels: Crack and pothole image masks; 359 video-mask clips generated from disparity by CV processing. | Label format: Semantic image masks; RGB-D videos; imperfect algorithmic video masks</t>
  </si>
  <si>
    <t>DS-079|L2</t>
  </si>
  <si>
    <t>DS-079|L4</t>
  </si>
  <si>
    <t>Datasets!O36; Datasets!R36</t>
  </si>
  <si>
    <t>Label format: Semantic image masks; RGB-D videos; imperfect algorithmic video masks | Limits and pairing notes: Compilation overlaps Crack500, GAPs384, EdmCrack600, Pothole-600 and other data. Video masks are not fully manual ground truth; avoid leakage when combining sources.</t>
  </si>
  <si>
    <t>DS-079|D1</t>
  </si>
  <si>
    <t>Datasets!O36; Datasets!I36</t>
  </si>
  <si>
    <t>Label format: Semantic image masks; RGB-D videos; imperfect algorithmic video masks | Camera / footage details: Mixed still images and 797 RGB clips with corresponding disparity videos.</t>
  </si>
  <si>
    <t>DS-079|D2</t>
  </si>
  <si>
    <t>Datasets!K36; Datasets!E36; Datasets!I36; Datasets!R36</t>
  </si>
  <si>
    <t>Publisher: CNR IMATI / Andrea Ranieri, Elia Moscoso Thompson, Silvia Biasotti | Capture context: Other / mixed capture | Camera / footage details: Mixed still images and 797 RGB clips with corresponding disparity videos. | Limits and pairing notes: Compilation overlaps Crack500, GAPs384, EdmCrack600, Pothole-600 and other data. Video masks are not fully manual ground truth; avoid leakage when combining sources.</t>
  </si>
  <si>
    <t>DS-079|D4</t>
  </si>
  <si>
    <t>Datasets!R36; Datasets!H36</t>
  </si>
  <si>
    <t>Limits and pairing notes: Compilation overlaps Crack500, GAPs384, EdmCrack600, Pothole-600 and other data. Video masks are not fully manual ground truth; avoid leakage when combining sources. | Pavement labels: Crack and pothole image masks; 359 video-mask clips generated from disparity by CV processing.</t>
  </si>
  <si>
    <t>DS-079|C1</t>
  </si>
  <si>
    <t>Datasets!M36</t>
  </si>
  <si>
    <t>Reported size: 4,340 image-mask pairs; 797 RGB/disparity clip pairs; 359 mask clips</t>
  </si>
  <si>
    <t>DS-079|C2</t>
  </si>
  <si>
    <t>Datasets!M36; Datasets!H36</t>
  </si>
  <si>
    <t>Reported size: 4,340 image-mask pairs; 797 RGB/disparity clip pairs; 359 mask clips | Pavement labels: Crack and pothole image masks; 359 video-mask clips generated from disparity by CV processing.</t>
  </si>
  <si>
    <t>DS-079|R1</t>
  </si>
  <si>
    <t>Datasets!N36; Datasets!E36; Datasets!I36</t>
  </si>
  <si>
    <t>Geography: Mixed source datasets; RGB-D near-ground road capture. | Capture context: Other / mixed capture | Camera / footage details: Mixed still images and 797 RGB clips with corresponding disparity videos.</t>
  </si>
  <si>
    <t>DS-079|R2</t>
  </si>
  <si>
    <t>Datasets!N36; Datasets!E36; Datasets!I36; Datasets!R36</t>
  </si>
  <si>
    <t>Geography: Mixed source datasets; RGB-D near-ground road capture. | Capture context: Other / mixed capture | Camera / footage details: Mixed still images and 797 RGB clips with corresponding disparity videos. | Limits and pairing notes: Compilation overlaps Crack500, GAPs384, EdmCrack600, Pothole-600 and other data. Video masks are not fully manual ground truth; avoid leakage when combining sources.</t>
  </si>
  <si>
    <t>DS-079|M1</t>
  </si>
  <si>
    <t>Datasets!E36; Datasets!I36; Datasets!K36</t>
  </si>
  <si>
    <t>Capture context: Other / mixed capture | Camera / footage details: Mixed still images and 797 RGB clips with corresponding disparity videos. | Publisher: CNR IMATI / Andrea Ranieri, Elia Moscoso Thompson, Silvia Biasotti</t>
  </si>
  <si>
    <t>DS-079|M2</t>
  </si>
  <si>
    <t>Datasets!I36; Datasets!M36</t>
  </si>
  <si>
    <t>Camera / footage details: Mixed still images and 797 RGB clips with corresponding disparity videos. | Reported size: 4,340 image-mask pairs; 797 RGB/disparity clip pairs; 359 mask clips</t>
  </si>
  <si>
    <t>DS-079|M5</t>
  </si>
  <si>
    <t>Datasets!I36; Datasets!O36; Datasets!R36</t>
  </si>
  <si>
    <t>Camera / footage details: Mixed still images and 797 RGB clips with corresponding disparity videos. | Label format: Semantic image masks; RGB-D videos; imperfect algorithmic video masks | Limits and pairing notes: Compilation overlaps Crack500, GAPs384, EdmCrack600, Pothole-600 and other data. Video masks are not fully manual ground truth; avoid leakage when combining sources.</t>
  </si>
  <si>
    <t>DS-080|A1</t>
  </si>
  <si>
    <t>https://pmc.ncbi.nlm.nih.gov/articles/PMC10867608/</t>
  </si>
  <si>
    <t>Datasets!B37; Datasets!L37; Datasets!S37; Datasets!T37</t>
  </si>
  <si>
    <t>Dataset / release family: Pothole Videos | Release / paper year: 2024 (v3) | Dataset / download: Dataset / download | Evidence / paper: Source evidence</t>
  </si>
  <si>
    <t>DS-080|A2</t>
  </si>
  <si>
    <t>Datasets!F37; Datasets!Q37</t>
  </si>
  <si>
    <t>Access status: Public links | Access instructions: Public Mendeley v3.</t>
  </si>
  <si>
    <t>DS-080|A3</t>
  </si>
  <si>
    <t>Datasets!P37</t>
  </si>
  <si>
    <t>DS-080|L1</t>
  </si>
  <si>
    <t>Datasets!H37; Datasets!O37</t>
  </si>
  <si>
    <t>Pavement labels: Pothole segmentation. | Label format: Paired RGB/mask videos; manual first-frame mask propagated with tracking</t>
  </si>
  <si>
    <t>DS-080|L2</t>
  </si>
  <si>
    <t>The target encoding and a basic manual/model/measurement assignment procedure are jointly stated.</t>
  </si>
  <si>
    <t>DS-080|L4</t>
  </si>
  <si>
    <t>Datasets!O37; Datasets!R37</t>
  </si>
  <si>
    <t>Label format: Paired RGB/mask videos; manual first-frame mask propagated with tracking | Limits and pairing notes: Camera about 130 cm above road; very different perspective from AV dashcams. Masks partly propagated automatically; not all independently hand-drawn.</t>
  </si>
  <si>
    <t>DS-080|D1</t>
  </si>
  <si>
    <t>Datasets!O37; Datasets!I37</t>
  </si>
  <si>
    <t>Label format: Paired RGB/mask videos; manual first-frame mask propagated with tracking | Camera / footage details: 619 two-second pothole video clips, each 48 frames at 1080×1080.</t>
  </si>
  <si>
    <t>DS-080|D2</t>
  </si>
  <si>
    <t>Datasets!K37; Datasets!E37; Datasets!I37; Datasets!R37</t>
  </si>
  <si>
    <t>Publisher: Muhammad Ihsan, Agus Harjoko, Muhammad Alfian Amrizal / Universitas Gadjah Mada | Capture context: Other / mixed capture | Camera / footage details: 619 two-second pothole video clips, each 48 frames at 1080×1080. | Limits and pairing notes: Camera about 130 cm above road; very different perspective from AV dashcams. Masks partly propagated automatically; not all independently hand-drawn.</t>
  </si>
  <si>
    <t>DS-080|D4</t>
  </si>
  <si>
    <t>Datasets!R37; Datasets!H37</t>
  </si>
  <si>
    <t>Limits and pairing notes: Camera about 130 cm above road; very different perspective from AV dashcams. Masks partly propagated automatically; not all independently hand-drawn. | Pavement labels: Pothole segmentation.</t>
  </si>
  <si>
    <t>DS-080|C1</t>
  </si>
  <si>
    <t>Datasets!M37</t>
  </si>
  <si>
    <t>Reported size: 619 clips, 48 frames each</t>
  </si>
  <si>
    <t>DS-080|C2</t>
  </si>
  <si>
    <t>Datasets!M37; Datasets!H37</t>
  </si>
  <si>
    <t>Reported size: 619 clips, 48 frames each | Pavement labels: Pothole segmentation.</t>
  </si>
  <si>
    <t>DS-080|R1</t>
  </si>
  <si>
    <t>Datasets!N37; Datasets!E37; Datasets!I37</t>
  </si>
  <si>
    <t>Geography: Hulu Sungai Tengah, Indonesia | Capture context: Other / mixed capture | Camera / footage details: 619 two-second pothole video clips, each 48 frames at 1080×1080.</t>
  </si>
  <si>
    <t>DS-080|R2</t>
  </si>
  <si>
    <t>Datasets!N37; Datasets!E37; Datasets!I37; Datasets!R37</t>
  </si>
  <si>
    <t>Geography: Hulu Sungai Tengah, Indonesia | Capture context: Other / mixed capture | Camera / footage details: 619 two-second pothole video clips, each 48 frames at 1080×1080. | Limits and pairing notes: Camera about 130 cm above road; very different perspective from AV dashcams. Masks partly propagated automatically; not all independently hand-drawn.</t>
  </si>
  <si>
    <t>DS-080|M1</t>
  </si>
  <si>
    <t>Datasets!E37; Datasets!I37; Datasets!K37</t>
  </si>
  <si>
    <t>Capture context: Other / mixed capture | Camera / footage details: 619 two-second pothole video clips, each 48 frames at 1080×1080. | Publisher: Muhammad Ihsan, Agus Harjoko, Muhammad Alfian Amrizal / Universitas Gadjah Mada</t>
  </si>
  <si>
    <t>DS-080|M2</t>
  </si>
  <si>
    <t>Datasets!I37; Datasets!M37</t>
  </si>
  <si>
    <t>Camera / footage details: 619 two-second pothole video clips, each 48 frames at 1080×1080. | Reported size: 619 clips, 48 frames each</t>
  </si>
  <si>
    <t>DS-080|M5</t>
  </si>
  <si>
    <t>Datasets!I37; Datasets!O37; Datasets!R37</t>
  </si>
  <si>
    <t>Camera / footage details: 619 two-second pothole video clips, each 48 frames at 1080×1080. | Label format: Paired RGB/mask videos; manual first-frame mask propagated with tracking | Limits and pairing notes: Camera about 130 cm above road; very different perspective from AV dashcams. Masks partly propagated automatically; not all independently hand-drawn.</t>
  </si>
  <si>
    <t>DS-081|A1</t>
  </si>
  <si>
    <t>MCDM_Grades!AR82; MCDM_Grades!AT82; All_Datasets!DH82; All_Datasets!D82; All_Datasets!L82; All_Datasets!T82</t>
  </si>
  <si>
    <t>The v2 landing page says only Algorithm research. It supplies a deposit and license, but the contents may be code rather than an annotated dataset; dataset identity and task-compatibility gates stay Pending.</t>
  </si>
  <si>
    <t>Release/dataset identity is unresolved or the source evidence was not available.</t>
  </si>
  <si>
    <t>DS-081|A2</t>
  </si>
  <si>
    <t>MCDM_Grades!AR82; MCDM_Grades!AT82; All_Datasets!DH82; All_Datasets!CJ82; All_Datasets!CM82</t>
  </si>
  <si>
    <t>DS-081|A3</t>
  </si>
  <si>
    <t>MCDM_Grades!AR82; MCDM_Grades!AT82; All_Datasets!DH82; All_Datasets!CK82</t>
  </si>
  <si>
    <t>DS-081|L1</t>
  </si>
  <si>
    <t>MCDM_Grades!AR82; MCDM_Grades!AT82; All_Datasets!DH82; All_Datasets!BH82</t>
  </si>
  <si>
    <t>DS-081|L2</t>
  </si>
  <si>
    <t>MCDM_Grades!AR82; MCDM_Grades!AT82; All_Datasets!DH82</t>
  </si>
  <si>
    <t>DS-081|L4</t>
  </si>
  <si>
    <t>DS-081|D1</t>
  </si>
  <si>
    <t>DS-081|D2</t>
  </si>
  <si>
    <t>MCDM_Grades!AR82; MCDM_Grades!AT82; All_Datasets!DH82; All_Datasets!CR82</t>
  </si>
  <si>
    <t>DS-081|D4</t>
  </si>
  <si>
    <t>MCDM_Grades!AR82; MCDM_Grades!AT82; All_Datasets!DH82; All_Datasets!CQ82</t>
  </si>
  <si>
    <t>DS-081|C1</t>
  </si>
  <si>
    <t>DS-081|C2</t>
  </si>
  <si>
    <t>DS-081|R1</t>
  </si>
  <si>
    <t>DS-081|R2</t>
  </si>
  <si>
    <t>DS-081|M1</t>
  </si>
  <si>
    <t>DS-081|M2</t>
  </si>
  <si>
    <t>DS-081|M5</t>
  </si>
  <si>
    <t>DS-082|A1</t>
  </si>
  <si>
    <t>MCDM_Grades!AR83; MCDM_Grades!AT83; All_Datasets!DH83; All_Datasets!D83; All_Datasets!L83; All_Datasets!T83</t>
  </si>
  <si>
    <t>RoadDamageVision v3 documents six box classes in China/Spain UAV imagery and explicitly identifies class-country confounding. Partial instance counts are not a complete class table; the origin of each image and version history need verification.</t>
  </si>
  <si>
    <t>DS-082|A2</t>
  </si>
  <si>
    <t>MCDM_Grades!AR83; MCDM_Grades!AT83; All_Datasets!DH83; All_Datasets!CJ83; All_Datasets!CM83</t>
  </si>
  <si>
    <t>DS-082|A3</t>
  </si>
  <si>
    <t>MCDM_Grades!AR83; MCDM_Grades!AT83; All_Datasets!DH83; All_Datasets!CK83</t>
  </si>
  <si>
    <t>DS-082|L1</t>
  </si>
  <si>
    <t>MCDM_Grades!AR83; MCDM_Grades!AT83; All_Datasets!DH83; All_Datasets!BJ83; All_Datasets!BH83</t>
  </si>
  <si>
    <t>DS-082|L2</t>
  </si>
  <si>
    <t>MCDM_Grades!AR83; MCDM_Grades!AT83; All_Datasets!DH83; All_Datasets!BJ83; All_Datasets!BN83; All_Datasets!BY83</t>
  </si>
  <si>
    <t>DS-082|L4</t>
  </si>
  <si>
    <t>MCDM_Grades!AR83; MCDM_Grades!AT83; All_Datasets!DH83; All_Datasets!BZ83</t>
  </si>
  <si>
    <t>DS-082|D1</t>
  </si>
  <si>
    <t>MCDM_Grades!AR83; MCDM_Grades!AT83; All_Datasets!DH83; All_Datasets!BN83; All_Datasets!BJ83</t>
  </si>
  <si>
    <t>DS-082|D2</t>
  </si>
  <si>
    <t>MCDM_Grades!AR83; MCDM_Grades!AT83; All_Datasets!DH83; All_Datasets!CR83; All_Datasets!AU83</t>
  </si>
  <si>
    <t>DS-082|D4</t>
  </si>
  <si>
    <t>MCDM_Grades!AR83; MCDM_Grades!AT83; All_Datasets!DH83; All_Datasets!CQ83</t>
  </si>
  <si>
    <t>DS-082|C1</t>
  </si>
  <si>
    <t>MCDM_Grades!AR83; MCDM_Grades!AT83; All_Datasets!DH83</t>
  </si>
  <si>
    <t>DS-082|C2</t>
  </si>
  <si>
    <t>MCDM_Grades!AR83; MCDM_Grades!AT83; All_Datasets!DH83; All_Datasets!BJ83</t>
  </si>
  <si>
    <t>DS-082|R1</t>
  </si>
  <si>
    <t>MCDM_Grades!AR83; MCDM_Grades!AT83; All_Datasets!DH83; All_Datasets!AP83; All_Datasets!AR83; All_Datasets!AS83; All_Datasets!AU83</t>
  </si>
  <si>
    <t>DS-082|R2</t>
  </si>
  <si>
    <t>MCDM_Grades!AR83; MCDM_Grades!AT83; All_Datasets!DH83; All_Datasets!AS83; All_Datasets!AU83</t>
  </si>
  <si>
    <t>DS-082|M1</t>
  </si>
  <si>
    <t>MCDM_Grades!AR83; MCDM_Grades!AT83; All_Datasets!DH83; All_Datasets!AU83</t>
  </si>
  <si>
    <t>DS-082|M2</t>
  </si>
  <si>
    <t>DS-082|M5</t>
  </si>
  <si>
    <t>MCDM_Grades!AR83; MCDM_Grades!AT83; All_Datasets!DH83; All_Datasets!BY83; All_Datasets!CQ83</t>
  </si>
  <si>
    <t>DS-083|A1</t>
  </si>
  <si>
    <t>MCDM_Grades!AR84; MCDM_Grades!AT84; All_Datasets!DH84; All_Datasets!D84; All_Datasets!L84; All_Datasets!T84</t>
  </si>
  <si>
    <t>RSD-BD v1 reports 500 images per class in Dhaka, Mymensingh and Chattogram, with varied angles/light. Asphalt Damage remains broad; no engineer-derived condition values or independent capture accounting are shown.</t>
  </si>
  <si>
    <t>DS-083|A2</t>
  </si>
  <si>
    <t>MCDM_Grades!AR84; MCDM_Grades!AT84; All_Datasets!DH84; All_Datasets!CJ84; All_Datasets!CM84</t>
  </si>
  <si>
    <t>DS-083|A3</t>
  </si>
  <si>
    <t>MCDM_Grades!AR84; MCDM_Grades!AT84; All_Datasets!DH84; All_Datasets!CK84</t>
  </si>
  <si>
    <t>DS-083|L1</t>
  </si>
  <si>
    <t>MCDM_Grades!AR84; MCDM_Grades!AT84; All_Datasets!DH84; All_Datasets!BJ84; All_Datasets!BH84</t>
  </si>
  <si>
    <t>DS-083|L2</t>
  </si>
  <si>
    <t>MCDM_Grades!AR84; MCDM_Grades!AT84; All_Datasets!DH84; All_Datasets!BJ84; All_Datasets!BN84</t>
  </si>
  <si>
    <t>DS-083|L4</t>
  </si>
  <si>
    <t>MCDM_Grades!AR84; MCDM_Grades!AT84; All_Datasets!DH84</t>
  </si>
  <si>
    <t>DS-083|D1</t>
  </si>
  <si>
    <t>MCDM_Grades!AR84; MCDM_Grades!AT84; All_Datasets!DH84; All_Datasets!BN84; All_Datasets!BJ84</t>
  </si>
  <si>
    <t>DS-083|D2</t>
  </si>
  <si>
    <t>MCDM_Grades!AR84; MCDM_Grades!AT84; All_Datasets!DH84; All_Datasets!CR84; All_Datasets!AU84</t>
  </si>
  <si>
    <t>DS-083|D4</t>
  </si>
  <si>
    <t>MCDM_Grades!AR84; MCDM_Grades!AT84; All_Datasets!DH84; All_Datasets!CQ84</t>
  </si>
  <si>
    <t>DS-083|C1</t>
  </si>
  <si>
    <t>MCDM_Grades!AR84; MCDM_Grades!AT84; All_Datasets!DH84; All_Datasets!AC84; All_Datasets!AF84</t>
  </si>
  <si>
    <t>DS-083|C2</t>
  </si>
  <si>
    <t>MCDM_Grades!AR84; MCDM_Grades!AT84; All_Datasets!DH84; All_Datasets!AC84; All_Datasets!BJ84</t>
  </si>
  <si>
    <t>DS-083|R1</t>
  </si>
  <si>
    <t>MCDM_Grades!AR84; MCDM_Grades!AT84; All_Datasets!DH84; All_Datasets!AP84; All_Datasets!AR84; All_Datasets!AS84; All_Datasets!AU84</t>
  </si>
  <si>
    <t>DS-083|R2</t>
  </si>
  <si>
    <t>MCDM_Grades!AR84; MCDM_Grades!AT84; All_Datasets!DH84; All_Datasets!AS84; All_Datasets!BF84; All_Datasets!AU84</t>
  </si>
  <si>
    <t>DS-083|M1</t>
  </si>
  <si>
    <t>MCDM_Grades!AR84; MCDM_Grades!AT84; All_Datasets!DH84; All_Datasets!AU84; All_Datasets!AW84</t>
  </si>
  <si>
    <t>DS-083|M2</t>
  </si>
  <si>
    <t>MCDM_Grades!AR84; MCDM_Grades!AT84; All_Datasets!DH84; All_Datasets!AN84</t>
  </si>
  <si>
    <t>DS-083|M5</t>
  </si>
  <si>
    <t>MCDM_Grades!AR84; MCDM_Grades!AT84; All_Datasets!DH84; All_Datasets!AN84; All_Datasets!CQ84</t>
  </si>
  <si>
    <t>DS-084|A1</t>
  </si>
  <si>
    <t>Recommended Citation / DOI</t>
  </si>
  <si>
    <t>Identified USU deposit and DOI.</t>
  </si>
  <si>
    <t>DS-084|A2</t>
  </si>
  <si>
    <t>Additional Files</t>
  </si>
  <si>
    <t>ZIP and ReadMe download route documented.</t>
  </si>
  <si>
    <t>DS-084|A3</t>
  </si>
  <si>
    <t>License</t>
  </si>
  <si>
    <t>Dataset CC BY 4.0 stated.</t>
  </si>
  <si>
    <t>DS-084|L1</t>
  </si>
  <si>
    <t>Methodology</t>
  </si>
  <si>
    <t>C and U mean cracked and uncracked.</t>
  </si>
  <si>
    <t>DS-084|L2</t>
  </si>
  <si>
    <t>Crop generation and binary assignment described.</t>
  </si>
  <si>
    <t>DS-084|L4</t>
  </si>
  <si>
    <t>Concrete label-review procedure not established.</t>
  </si>
  <si>
    <t>DS-084|D1</t>
  </si>
  <si>
    <t>File Format / Additional Files</t>
  </si>
  <si>
    <t>Format listed; full folder-to-label mapping requires ReadMe inspection.</t>
  </si>
  <si>
    <t>DS-084|D2</t>
  </si>
  <si>
    <t>Authors / Methodology</t>
  </si>
  <si>
    <t>USU collectors and camera method identified.</t>
  </si>
  <si>
    <t>DS-084|D4</t>
  </si>
  <si>
    <t>Concrete crack detection and obstructions define intended scope.</t>
  </si>
  <si>
    <t>DS-084|C1</t>
  </si>
  <si>
    <t>Description / Methodology</t>
  </si>
  <si>
    <t>Over 56,000 crops versus 230 source images distinguished.</t>
  </si>
  <si>
    <t>DS-084|C2</t>
  </si>
  <si>
    <t>Source images divided among decks, walls and pavements.</t>
  </si>
  <si>
    <t>DS-084|R1</t>
  </si>
  <si>
    <t>USU campus roads and sidewalks identified.</t>
  </si>
  <si>
    <t>DS-084|R2</t>
  </si>
  <si>
    <t>Shadows, roughness, debris and crack-width variation described.</t>
  </si>
  <si>
    <t>DS-084|M1</t>
  </si>
  <si>
    <t>16 MP Nikon capture described.</t>
  </si>
  <si>
    <t>DS-084|M2</t>
  </si>
  <si>
    <t>256 by 256 pixel crops.</t>
  </si>
  <si>
    <t>DS-084|M5</t>
  </si>
  <si>
    <t>Original images segmented into subimages.</t>
  </si>
  <si>
    <t>DS-085|A1</t>
  </si>
  <si>
    <t>MCDM_Grades!AR86; MCDM_Grades!AT86; All_Datasets!DH86; All_Datasets!D86; All_Datasets!L86; All_Datasets!T86</t>
  </si>
  <si>
    <t>TRIB v1 separates 137 captured images from augmented 256-pixel tiles and describes seven Bucharest streets and three times of day. Naming crack types does not establish released labels; annotation files remain unknown.</t>
  </si>
  <si>
    <t>DS-085|A2</t>
  </si>
  <si>
    <t>MCDM_Grades!AR86; MCDM_Grades!AT86; All_Datasets!DH86; All_Datasets!CJ86; All_Datasets!CM86</t>
  </si>
  <si>
    <t>DS-085|A3</t>
  </si>
  <si>
    <t>MCDM_Grades!AR86; MCDM_Grades!AT86; All_Datasets!DH86; All_Datasets!CK86</t>
  </si>
  <si>
    <t>DS-085|L1</t>
  </si>
  <si>
    <t>MCDM_Grades!AR86; MCDM_Grades!AT86; All_Datasets!DH86; All_Datasets!BH86</t>
  </si>
  <si>
    <t>DS-085|L2</t>
  </si>
  <si>
    <t>MCDM_Grades!AR86; MCDM_Grades!AT86; All_Datasets!DH86</t>
  </si>
  <si>
    <t>DS-085|L4</t>
  </si>
  <si>
    <t>DS-085|D1</t>
  </si>
  <si>
    <t>DS-085|D2</t>
  </si>
  <si>
    <t>MCDM_Grades!AR86; MCDM_Grades!AT86; All_Datasets!DH86; All_Datasets!CR86; All_Datasets!AU86</t>
  </si>
  <si>
    <t>DS-085|D4</t>
  </si>
  <si>
    <t>MCDM_Grades!AR86; MCDM_Grades!AT86; All_Datasets!DH86; All_Datasets!CQ86</t>
  </si>
  <si>
    <t>DS-085|C1</t>
  </si>
  <si>
    <t>MCDM_Grades!AR86; MCDM_Grades!AT86; All_Datasets!DH86; All_Datasets!AC86; All_Datasets!AF86; All_Datasets!AG86</t>
  </si>
  <si>
    <t>DS-085|C2</t>
  </si>
  <si>
    <t>MCDM_Grades!AR86; MCDM_Grades!AT86; All_Datasets!DH86; All_Datasets!AC86</t>
  </si>
  <si>
    <t>DS-085|R1</t>
  </si>
  <si>
    <t>MCDM_Grades!AR86; MCDM_Grades!AT86; All_Datasets!DH86; All_Datasets!AP86; All_Datasets!AR86; All_Datasets!AS86; All_Datasets!AU86</t>
  </si>
  <si>
    <t>DS-085|R2</t>
  </si>
  <si>
    <t>MCDM_Grades!AR86; MCDM_Grades!AT86; All_Datasets!DH86; All_Datasets!AS86; All_Datasets!BF86; All_Datasets!AU86</t>
  </si>
  <si>
    <t>DS-085|M1</t>
  </si>
  <si>
    <t>MCDM_Grades!AR86; MCDM_Grades!AT86; All_Datasets!DH86; All_Datasets!AU86; All_Datasets!AW86</t>
  </si>
  <si>
    <t>DS-085|M2</t>
  </si>
  <si>
    <t>MCDM_Grades!AR86; MCDM_Grades!AT86; All_Datasets!DH86; All_Datasets!AN86</t>
  </si>
  <si>
    <t>DS-085|M5</t>
  </si>
  <si>
    <t>MCDM_Grades!AR86; MCDM_Grades!AT86; All_Datasets!DH86; All_Datasets!AN86; All_Datasets!CQ86</t>
  </si>
  <si>
    <t>DS-086|A1</t>
  </si>
  <si>
    <t>MCDM_Grades!AR87; MCDM_Grades!AT87; All_Datasets!DH87; All_Datasets!D87; All_Datasets!L87; All_Datasets!T87</t>
  </si>
  <si>
    <t>The v1 RoadAnomaly-YOLO description lists eight classes and 11,024 images with split counts. Collection country, independent captures and annotation review are not documented; the differing internal title is retained as an alias issue.</t>
  </si>
  <si>
    <t>DS-086|A2</t>
  </si>
  <si>
    <t>MCDM_Grades!AR87; MCDM_Grades!AT87; All_Datasets!DH87; All_Datasets!CJ87; All_Datasets!CM87</t>
  </si>
  <si>
    <t>DS-086|A3</t>
  </si>
  <si>
    <t>MCDM_Grades!AR87; MCDM_Grades!AT87; All_Datasets!DH87; All_Datasets!CK87</t>
  </si>
  <si>
    <t>DS-086|L1</t>
  </si>
  <si>
    <t>MCDM_Grades!AR87; MCDM_Grades!AT87; All_Datasets!DH87; All_Datasets!BJ87; All_Datasets!BH87</t>
  </si>
  <si>
    <t>DS-086|L2</t>
  </si>
  <si>
    <t>MCDM_Grades!AR87; MCDM_Grades!AT87; All_Datasets!DH87; All_Datasets!BJ87; All_Datasets!BN87; All_Datasets!BY87</t>
  </si>
  <si>
    <t>DS-086|L4</t>
  </si>
  <si>
    <t>MCDM_Grades!AR87; MCDM_Grades!AT87; All_Datasets!DH87</t>
  </si>
  <si>
    <t>DS-086|D1</t>
  </si>
  <si>
    <t>MCDM_Grades!AR87; MCDM_Grades!AT87; All_Datasets!DH87; All_Datasets!BN87; All_Datasets!BO87; All_Datasets!BJ87</t>
  </si>
  <si>
    <t>DS-086|D2</t>
  </si>
  <si>
    <t>MCDM_Grades!AR87; MCDM_Grades!AT87; All_Datasets!DH87; All_Datasets!CR87; All_Datasets!AU87</t>
  </si>
  <si>
    <t>DS-086|D4</t>
  </si>
  <si>
    <t>MCDM_Grades!AR87; MCDM_Grades!AT87; All_Datasets!DH87; All_Datasets!CQ87</t>
  </si>
  <si>
    <t>DS-086|C1</t>
  </si>
  <si>
    <t>MCDM_Grades!AR87; MCDM_Grades!AT87; All_Datasets!DH87; All_Datasets!AC87; All_Datasets!AF87</t>
  </si>
  <si>
    <t>DS-086|C2</t>
  </si>
  <si>
    <t>MCDM_Grades!AR87; MCDM_Grades!AT87; All_Datasets!DH87; All_Datasets!AJ87; All_Datasets!AK87; All_Datasets!AL87; All_Datasets!AC87; All_Datasets!BJ87</t>
  </si>
  <si>
    <t>DS-086|R1</t>
  </si>
  <si>
    <t>MCDM_Grades!AR87; MCDM_Grades!AT87; All_Datasets!DH87; All_Datasets!AS87; All_Datasets!AU87</t>
  </si>
  <si>
    <t>DS-086|R2</t>
  </si>
  <si>
    <t>MCDM_Grades!AR87; MCDM_Grades!AT87; All_Datasets!DH87; All_Datasets!AS87; All_Datasets!BE87; All_Datasets!BF87; All_Datasets!AU87</t>
  </si>
  <si>
    <t>DS-086|M1</t>
  </si>
  <si>
    <t>MCDM_Grades!AR87; MCDM_Grades!AT87; All_Datasets!DH87; All_Datasets!AU87; All_Datasets!AW87</t>
  </si>
  <si>
    <t>DS-086|M2</t>
  </si>
  <si>
    <t>MCDM_Grades!AR87; MCDM_Grades!AT87; All_Datasets!DH87; All_Datasets!AN87</t>
  </si>
  <si>
    <t>DS-086|M5</t>
  </si>
  <si>
    <t>MCDM_Grades!AR87; MCDM_Grades!AT87; All_Datasets!DH87; All_Datasets!AN87; All_Datasets!BY87; All_Datasets!CQ87</t>
  </si>
  <si>
    <t>DS-087|A1</t>
  </si>
  <si>
    <t>MCDM_Grades!AR88; MCDM_Grades!AT88; All_Datasets!DH88; All_Datasets!D88; All_Datasets!L88</t>
  </si>
  <si>
    <t>BLACrack's current card states public release awaits paper acceptance; only metadata/example is in the file list. It describes 730 images and illumination subsets, multiple annotators and consistency selection, but no correction or reliability audit. Prospective licensing is not treated as a released-data license test.</t>
  </si>
  <si>
    <t>DS-087|A2</t>
  </si>
  <si>
    <t>MCDM_Grades!AR88; MCDM_Grades!AT88; All_Datasets!DH88; All_Datasets!CJ88; All_Datasets!CM88</t>
  </si>
  <si>
    <t>DS-087|A3</t>
  </si>
  <si>
    <t>MCDM_Grades!AR88; MCDM_Grades!AT88; All_Datasets!DH88; All_Datasets!CK88</t>
  </si>
  <si>
    <t>DS-087|L1</t>
  </si>
  <si>
    <t>MCDM_Grades!AR88; MCDM_Grades!AT88; All_Datasets!DH88; All_Datasets!BJ88; All_Datasets!BH88</t>
  </si>
  <si>
    <t>DS-087|L2</t>
  </si>
  <si>
    <t>MCDM_Grades!AR88; MCDM_Grades!AT88; All_Datasets!DH88; All_Datasets!BJ88; All_Datasets!BN88; All_Datasets!BY88</t>
  </si>
  <si>
    <t>DS-087|L4</t>
  </si>
  <si>
    <t>MCDM_Grades!AR88; MCDM_Grades!AT88; All_Datasets!DH88; All_Datasets!BZ88</t>
  </si>
  <si>
    <t>Multiple annotators and consistency-based selection are documented; revised L4 requires one concrete review practice, not a separate quantitative error audit.</t>
  </si>
  <si>
    <t>DS-087|D1</t>
  </si>
  <si>
    <t>MCDM_Grades!AR88; MCDM_Grades!AT88; All_Datasets!DH88; All_Datasets!BN88; All_Datasets!BO88; All_Datasets!BJ88</t>
  </si>
  <si>
    <t>DS-087|D2</t>
  </si>
  <si>
    <t>MCDM_Grades!AR88; MCDM_Grades!AT88; All_Datasets!DH88; All_Datasets!CR88; All_Datasets!AU88</t>
  </si>
  <si>
    <t>DS-087|D4</t>
  </si>
  <si>
    <t>MCDM_Grades!AR88; MCDM_Grades!AT88; All_Datasets!DH88; All_Datasets!CQ88</t>
  </si>
  <si>
    <t>DS-087|C1</t>
  </si>
  <si>
    <t>MCDM_Grades!AR88; MCDM_Grades!AT88; All_Datasets!DH88; All_Datasets!AC88; All_Datasets!AF88</t>
  </si>
  <si>
    <t>DS-087|C2</t>
  </si>
  <si>
    <t>MCDM_Grades!AR88; MCDM_Grades!AT88; All_Datasets!DH88; All_Datasets!AC88; All_Datasets!BJ88</t>
  </si>
  <si>
    <t>DS-087|R1</t>
  </si>
  <si>
    <t>MCDM_Grades!AR88; MCDM_Grades!AT88; All_Datasets!DH88; All_Datasets!AP88; All_Datasets!AR88; All_Datasets!AS88; All_Datasets!AU88</t>
  </si>
  <si>
    <t>DS-087|R2</t>
  </si>
  <si>
    <t>MCDM_Grades!AR88; MCDM_Grades!AT88; All_Datasets!DH88; All_Datasets!AS88; All_Datasets!BF88; All_Datasets!AU88</t>
  </si>
  <si>
    <t>DS-087|M1</t>
  </si>
  <si>
    <t>MCDM_Grades!AR88; MCDM_Grades!AT88; All_Datasets!DH88; All_Datasets!AU88; All_Datasets!AW88</t>
  </si>
  <si>
    <t>DS-087|M2</t>
  </si>
  <si>
    <t>MCDM_Grades!AR88; MCDM_Grades!AT88; All_Datasets!DH88; All_Datasets!AN88</t>
  </si>
  <si>
    <t>DS-087|M5</t>
  </si>
  <si>
    <t>MCDM_Grades!AR88; MCDM_Grades!AT88; All_Datasets!DH88; All_Datasets!AN88; All_Datasets!BY88; All_Datasets!CQ88</t>
  </si>
  <si>
    <t>DS-088|A1</t>
  </si>
  <si>
    <t>MCDM_Grades!AR89; MCDM_Grades!AT89; All_Datasets!DH89; All_Datasets!D89; All_Datasets!L89; All_Datasets!T89</t>
  </si>
  <si>
    <t>LCSD has a pinned HF commit and named train/test images with 102 bright and 41 low-light examples. The linked CrackNex paper and code need further inspection for surface domain, annotation reliability and split generation.</t>
  </si>
  <si>
    <t>DS-088|A2</t>
  </si>
  <si>
    <t>MCDM_Grades!AR89; MCDM_Grades!AT89; All_Datasets!DH89; All_Datasets!CJ89; All_Datasets!CM89</t>
  </si>
  <si>
    <t>DS-088|A3</t>
  </si>
  <si>
    <t>MCDM_Grades!AR89; MCDM_Grades!AT89; All_Datasets!DH89; All_Datasets!CK89</t>
  </si>
  <si>
    <t>DS-088|L1</t>
  </si>
  <si>
    <t>MCDM_Grades!AR89; MCDM_Grades!AT89; All_Datasets!DH89; All_Datasets!BJ89; All_Datasets!BH89</t>
  </si>
  <si>
    <t>DS-088|L2</t>
  </si>
  <si>
    <t>MCDM_Grades!AR89; MCDM_Grades!AT89; All_Datasets!DH89; All_Datasets!BJ89; All_Datasets!BN89</t>
  </si>
  <si>
    <t>DS-088|L4</t>
  </si>
  <si>
    <t>MCDM_Grades!AR89; MCDM_Grades!AT89; All_Datasets!DH89</t>
  </si>
  <si>
    <t>DS-088|D1</t>
  </si>
  <si>
    <t>MCDM_Grades!AR89; MCDM_Grades!AT89; All_Datasets!DH89; All_Datasets!BN89; All_Datasets!BO89; All_Datasets!BJ89</t>
  </si>
  <si>
    <t>DS-088|D2</t>
  </si>
  <si>
    <t>MCDM_Grades!AR89; MCDM_Grades!AT89; All_Datasets!DH89; All_Datasets!CR89; All_Datasets!AU89</t>
  </si>
  <si>
    <t>DS-088|D4</t>
  </si>
  <si>
    <t>MCDM_Grades!AR89; MCDM_Grades!AT89; All_Datasets!DH89; All_Datasets!CQ89</t>
  </si>
  <si>
    <t>DS-088|C1</t>
  </si>
  <si>
    <t>MCDM_Grades!AR89; MCDM_Grades!AT89; All_Datasets!DH89; All_Datasets!AC89; All_Datasets!AF89</t>
  </si>
  <si>
    <t>DS-088|C2</t>
  </si>
  <si>
    <t>MCDM_Grades!AR89; MCDM_Grades!AT89; All_Datasets!DH89; All_Datasets!AC89; All_Datasets!BJ89</t>
  </si>
  <si>
    <t>DS-088|R1</t>
  </si>
  <si>
    <t>MCDM_Grades!AR89; MCDM_Grades!AT89; All_Datasets!DH89; All_Datasets!AS89; All_Datasets!AU89</t>
  </si>
  <si>
    <t>DS-088|R2</t>
  </si>
  <si>
    <t>MCDM_Grades!AR89; MCDM_Grades!AT89; All_Datasets!DH89; All_Datasets!AS89; All_Datasets!BF89; All_Datasets!AU89</t>
  </si>
  <si>
    <t>DS-088|M1</t>
  </si>
  <si>
    <t>MCDM_Grades!AR89; MCDM_Grades!AT89; All_Datasets!DH89; All_Datasets!AU89</t>
  </si>
  <si>
    <t>DS-088|M2</t>
  </si>
  <si>
    <t>DS-088|M5</t>
  </si>
  <si>
    <t>DS-089|A1</t>
  </si>
  <si>
    <t>MCDM_Grades!AR90; MCDM_Grades!AT90; All_Datasets!DH90; All_Datasets!D90; All_Datasets!L90</t>
  </si>
  <si>
    <t>The pinned HF mirror identifies Sun520/Rain365/BJN260 parent folders and image/mask/overlay organization. MIT in a mirror card does not establish the upstream image-license chain. Overlays and modalities must not count as extra captures.</t>
  </si>
  <si>
    <t>DS-089|A2</t>
  </si>
  <si>
    <t>MCDM_Grades!AR90; MCDM_Grades!AT90; All_Datasets!DH90; All_Datasets!CJ90; All_Datasets!CM90</t>
  </si>
  <si>
    <t>DS-089|A3</t>
  </si>
  <si>
    <t>MCDM_Grades!AR90; MCDM_Grades!AT90; All_Datasets!DH90</t>
  </si>
  <si>
    <t>DS-089|L1</t>
  </si>
  <si>
    <t>MCDM_Grades!AR90; MCDM_Grades!AT90; All_Datasets!DH90; All_Datasets!BJ90; All_Datasets!BH90</t>
  </si>
  <si>
    <t>DS-089|L2</t>
  </si>
  <si>
    <t>MCDM_Grades!AR90; MCDM_Grades!AT90; All_Datasets!DH90; All_Datasets!BJ90; All_Datasets!BN90</t>
  </si>
  <si>
    <t>DS-089|L4</t>
  </si>
  <si>
    <t>DS-089|D1</t>
  </si>
  <si>
    <t>MCDM_Grades!AR90; MCDM_Grades!AT90; All_Datasets!DH90; All_Datasets!BN90; All_Datasets!BO90; All_Datasets!BJ90</t>
  </si>
  <si>
    <t>DS-089|D2</t>
  </si>
  <si>
    <t>MCDM_Grades!AR90; MCDM_Grades!AT90; All_Datasets!DH90; All_Datasets!CR90</t>
  </si>
  <si>
    <t>DS-089|D4</t>
  </si>
  <si>
    <t>MCDM_Grades!AR90; MCDM_Grades!AT90; All_Datasets!DH90; All_Datasets!CQ90</t>
  </si>
  <si>
    <t>DS-089|C1</t>
  </si>
  <si>
    <t>MCDM_Grades!AR90; MCDM_Grades!AT90; All_Datasets!DH90; All_Datasets!AC90; All_Datasets!AF90</t>
  </si>
  <si>
    <t>DS-089|C2</t>
  </si>
  <si>
    <t>MCDM_Grades!AR90; MCDM_Grades!AT90; All_Datasets!DH90; All_Datasets!AC90; All_Datasets!BJ90</t>
  </si>
  <si>
    <t>DS-089|R1</t>
  </si>
  <si>
    <t>DS-089|R2</t>
  </si>
  <si>
    <t>DS-089|M1</t>
  </si>
  <si>
    <t>DS-089|M2</t>
  </si>
  <si>
    <t>DS-089|M5</t>
  </si>
  <si>
    <t>DS-090|A1</t>
  </si>
  <si>
    <t>MCDM_Grades!AR91; MCDM_Grades!AT91; All_Datasets!DH91; All_Datasets!D91; All_Datasets!L91; All_Datasets!T91</t>
  </si>
  <si>
    <t>CrackBlock600k separates 50,000 highway originals from 600,000 overlapping blocks, defines 0/1 targets and describes manual/expert cross-checking. Multi-part archive checksums pin the release. Pixel-level mask claims versus block labels need payload review; 2000x3000 capture versus 2200x3400 processing is recorded explicitly.</t>
  </si>
  <si>
    <t>DS-090|A2</t>
  </si>
  <si>
    <t>MCDM_Grades!AR91; MCDM_Grades!AT91; All_Datasets!DH91; All_Datasets!CJ91; All_Datasets!CM91</t>
  </si>
  <si>
    <t>DS-090|A3</t>
  </si>
  <si>
    <t>MCDM_Grades!AR91; MCDM_Grades!AT91; All_Datasets!DH91; All_Datasets!CK91</t>
  </si>
  <si>
    <t>DS-090|L1</t>
  </si>
  <si>
    <t>MCDM_Grades!AR91; MCDM_Grades!AT91; All_Datasets!DH91; All_Datasets!BJ91; All_Datasets!BH91</t>
  </si>
  <si>
    <t>Binary block targets 0=no crack and 1=crack are explicitly defined. Pixel-mask availability is a separate unresolved task claim.</t>
  </si>
  <si>
    <t>DS-090|L2</t>
  </si>
  <si>
    <t>MCDM_Grades!AR91; MCDM_Grades!AT91; All_Datasets!DH91; All_Datasets!BJ91; All_Datasets!BN91; All_Datasets!BY91</t>
  </si>
  <si>
    <t>DS-090|L4</t>
  </si>
  <si>
    <t>MCDM_Grades!AR91; MCDM_Grades!AT91; All_Datasets!DH91; All_Datasets!BZ91</t>
  </si>
  <si>
    <t>DS-090|D1</t>
  </si>
  <si>
    <t>MCDM_Grades!AR91; MCDM_Grades!AT91; All_Datasets!DH91; All_Datasets!BN91; All_Datasets!BO91; All_Datasets!BJ91</t>
  </si>
  <si>
    <t>DS-090|D2</t>
  </si>
  <si>
    <t>MCDM_Grades!AR91; MCDM_Grades!AT91; All_Datasets!DH91; All_Datasets!CR91; All_Datasets!AU91</t>
  </si>
  <si>
    <t>DS-090|D4</t>
  </si>
  <si>
    <t>Intended Use</t>
  </si>
  <si>
    <t>Primary deposit states intended use for supervised crack segmentation, comparative backbone evaluation and controlled segmentation experiments.</t>
  </si>
  <si>
    <t>Author-stated intended use satisfies D4. Other criteria retain the source-snapshot basis.</t>
  </si>
  <si>
    <t>DS-090|C1</t>
  </si>
  <si>
    <t>MCDM_Grades!AR91; MCDM_Grades!AT91; All_Datasets!DH91; All_Datasets!AC91; All_Datasets!AF91</t>
  </si>
  <si>
    <t>DS-090|C2</t>
  </si>
  <si>
    <t>MCDM_Grades!AR91; MCDM_Grades!AT91; All_Datasets!DH91; All_Datasets!AC91; All_Datasets!BJ91</t>
  </si>
  <si>
    <t>DS-090|R1</t>
  </si>
  <si>
    <t>MCDM_Grades!AR91; MCDM_Grades!AT91; All_Datasets!DH91; All_Datasets!AP91; All_Datasets!AR91; All_Datasets!AS91; All_Datasets!AU91</t>
  </si>
  <si>
    <t>DS-090|R2</t>
  </si>
  <si>
    <t>MCDM_Grades!AR91; MCDM_Grades!AT91; All_Datasets!DH91; All_Datasets!AS91; All_Datasets!BF91; All_Datasets!AU91</t>
  </si>
  <si>
    <t>DS-090|M1</t>
  </si>
  <si>
    <t>MCDM_Grades!AR91; MCDM_Grades!AT91; All_Datasets!DH91; All_Datasets!AU91; All_Datasets!AW91</t>
  </si>
  <si>
    <t>DS-090|M2</t>
  </si>
  <si>
    <t>MCDM_Grades!AR91; MCDM_Grades!AT91; All_Datasets!DH91; All_Datasets!AN91</t>
  </si>
  <si>
    <t>The later source summary explicitly separates 2000×3000 capture, 2200×3400 standardized images and 1000×1000 blocks; these are representation stages, not averaged dimensions.</t>
  </si>
  <si>
    <t>DS-090|M5</t>
  </si>
  <si>
    <t>MCDM_Grades!AR91; MCDM_Grades!AT91; All_Datasets!DH91; All_Datasets!AN91; All_Datasets!BY91; All_Datasets!CQ91</t>
  </si>
  <si>
    <t>DS-091|A1</t>
  </si>
  <si>
    <t>MCDM_Grades!AR92; MCDM_Grades!AT92; All_Datasets!DH92; All_Datasets!D92; All_Datasets!L92</t>
  </si>
  <si>
    <t>The HF export card reports 433 crack-spall COCO images, Roboflow source version and no augmentation; pinned files identify the package. Pavement specificity and original-image rights remain unresolved despite CC BY on the export.</t>
  </si>
  <si>
    <t>DS-091|A2</t>
  </si>
  <si>
    <t>MCDM_Grades!AR92; MCDM_Grades!AT92; All_Datasets!DH92; All_Datasets!CJ92; All_Datasets!CM92</t>
  </si>
  <si>
    <t>DS-091|A3</t>
  </si>
  <si>
    <t>MCDM_Grades!AR92; MCDM_Grades!AT92; All_Datasets!DH92</t>
  </si>
  <si>
    <t>DS-091|L1</t>
  </si>
  <si>
    <t>MCDM_Grades!AR92; MCDM_Grades!AT92; All_Datasets!DH92; All_Datasets!BJ92; All_Datasets!BH92</t>
  </si>
  <si>
    <t>DS-091|L2</t>
  </si>
  <si>
    <t>MCDM_Grades!AR92; MCDM_Grades!AT92; All_Datasets!DH92; All_Datasets!BJ92; All_Datasets!BN92; All_Datasets!BY92</t>
  </si>
  <si>
    <t>DS-091|L4</t>
  </si>
  <si>
    <t>DS-091|D1</t>
  </si>
  <si>
    <t>MCDM_Grades!AR92; MCDM_Grades!AT92; All_Datasets!DH92; All_Datasets!BN92; All_Datasets!BO92; All_Datasets!BJ92</t>
  </si>
  <si>
    <t>DS-091|D2</t>
  </si>
  <si>
    <t>MCDM_Grades!AR92; MCDM_Grades!AT92; All_Datasets!DH92; All_Datasets!CR92</t>
  </si>
  <si>
    <t>DS-091|D4</t>
  </si>
  <si>
    <t>MCDM_Grades!AR92; MCDM_Grades!AT92; All_Datasets!DH92; All_Datasets!CQ92</t>
  </si>
  <si>
    <t>DS-091|C1</t>
  </si>
  <si>
    <t>DS-091|C2</t>
  </si>
  <si>
    <t>MCDM_Grades!AR92; MCDM_Grades!AT92; All_Datasets!DH92; All_Datasets!BJ92</t>
  </si>
  <si>
    <t>DS-091|R1</t>
  </si>
  <si>
    <t>DS-091|R2</t>
  </si>
  <si>
    <t>DS-091|M1</t>
  </si>
  <si>
    <t>DS-091|M2</t>
  </si>
  <si>
    <t>DS-091|M5</t>
  </si>
  <si>
    <t>MCDM_Grades!AR92; MCDM_Grades!AT92; All_Datasets!DH92; All_Datasets!BY92; All_Datasets!CQ92</t>
  </si>
  <si>
    <t>DS-092|A1</t>
  </si>
  <si>
    <t>MCDM_Grades!AR93; MCDM_Grades!AT93; All_Datasets!DH93; All_Datasets!D93; All_Datasets!L93</t>
  </si>
  <si>
    <t>Outerview describes a 29,000-location subset of 3M+ AI-detected Mapillary potholes with IDs and coordinates. Treat locations as record units, not independent images or survey-grade engineering measurements. Full imagery rights and human verification of AI detections remain unresolved.</t>
  </si>
  <si>
    <t>DS-092|A2</t>
  </si>
  <si>
    <t>MCDM_Grades!AR93; MCDM_Grades!AT93; All_Datasets!DH93; All_Datasets!CJ93; All_Datasets!CM93</t>
  </si>
  <si>
    <t>DS-092|A3</t>
  </si>
  <si>
    <t>MCDM_Grades!AR93; MCDM_Grades!AT93; All_Datasets!DH93; All_Datasets!CK93</t>
  </si>
  <si>
    <t>DS-092|L1</t>
  </si>
  <si>
    <t>MCDM_Grades!AR93; MCDM_Grades!AT93; All_Datasets!DH93; All_Datasets!BJ93; All_Datasets!BH93</t>
  </si>
  <si>
    <t>DS-092|L2</t>
  </si>
  <si>
    <t>MCDM_Grades!AR93; MCDM_Grades!AT93; All_Datasets!DH93; All_Datasets!BJ93; All_Datasets!BN93; All_Datasets!BY93</t>
  </si>
  <si>
    <t>DS-092|L4</t>
  </si>
  <si>
    <t>MCDM_Grades!AR93; MCDM_Grades!AT93; All_Datasets!DH93; All_Datasets!BZ93</t>
  </si>
  <si>
    <t>DS-092|D1</t>
  </si>
  <si>
    <t>MCDM_Grades!AR93; MCDM_Grades!AT93; All_Datasets!DH93; All_Datasets!BN93; All_Datasets!BO93; All_Datasets!BJ93</t>
  </si>
  <si>
    <t>DS-092|D2</t>
  </si>
  <si>
    <t>MCDM_Grades!AR93; MCDM_Grades!AT93; All_Datasets!DH93; All_Datasets!CR93; All_Datasets!CV93; All_Datasets!AU93</t>
  </si>
  <si>
    <t>DS-092|D4</t>
  </si>
  <si>
    <t>MCDM_Grades!AR93; MCDM_Grades!AT93; All_Datasets!DH93; All_Datasets!CQ93</t>
  </si>
  <si>
    <t>DS-092|C1</t>
  </si>
  <si>
    <t>MCDM_Grades!AR93; MCDM_Grades!AT93; All_Datasets!DH93; All_Datasets!AC93; All_Datasets!AF93</t>
  </si>
  <si>
    <t>DS-092|C2</t>
  </si>
  <si>
    <t>MCDM_Grades!AR93; MCDM_Grades!AT93; All_Datasets!DH93; All_Datasets!AC93; All_Datasets!BJ93</t>
  </si>
  <si>
    <t>DS-092|R1</t>
  </si>
  <si>
    <t>MCDM_Grades!AR93; MCDM_Grades!AT93; All_Datasets!DH93; All_Datasets!AP93; All_Datasets!AR93; All_Datasets!AS93; All_Datasets!AU93</t>
  </si>
  <si>
    <t>DS-092|R2</t>
  </si>
  <si>
    <t>MCDM_Grades!AR93; MCDM_Grades!AT93; All_Datasets!DH93; All_Datasets!AS93; All_Datasets!BE93; All_Datasets!BF93; All_Datasets!AU93</t>
  </si>
  <si>
    <t>DS-092|M1</t>
  </si>
  <si>
    <t>MCDM_Grades!AR93; MCDM_Grades!AT93; All_Datasets!DH93; All_Datasets!AU93</t>
  </si>
  <si>
    <t>DS-092|M2</t>
  </si>
  <si>
    <t>MCDM_Grades!AR93; MCDM_Grades!AT93; All_Datasets!DH93</t>
  </si>
  <si>
    <t>DS-092|M5</t>
  </si>
  <si>
    <t>MCDM_Grades!AR93; MCDM_Grades!AT93; All_Datasets!DH93; All_Datasets!BY93; All_Datasets!CQ93</t>
  </si>
  <si>
    <t>DS-093|A1</t>
  </si>
  <si>
    <t>MCDM_Grades!AR94; MCDM_Grades!AT94; All_Datasets!DH94; All_Datasets!D94; All_Datasets!L94</t>
  </si>
  <si>
    <t>Pinned HF Roboflow v4 export describes 90 pothole COCO images and no augmentation. Export terms alone do not resolve original photo rights; a packaged split is not evidence of capture-group separation.</t>
  </si>
  <si>
    <t>DS-093|A2</t>
  </si>
  <si>
    <t>MCDM_Grades!AR94; MCDM_Grades!AT94; All_Datasets!DH94; All_Datasets!CJ94; All_Datasets!CM94</t>
  </si>
  <si>
    <t>DS-093|A3</t>
  </si>
  <si>
    <t>MCDM_Grades!AR94; MCDM_Grades!AT94; All_Datasets!DH94; All_Datasets!CK94</t>
  </si>
  <si>
    <t>DS-093|L1</t>
  </si>
  <si>
    <t>MCDM_Grades!AR94; MCDM_Grades!AT94; All_Datasets!DH94; All_Datasets!BJ94; All_Datasets!BH94</t>
  </si>
  <si>
    <t>DS-093|L2</t>
  </si>
  <si>
    <t>MCDM_Grades!AR94; MCDM_Grades!AT94; All_Datasets!DH94; All_Datasets!BJ94; All_Datasets!BN94; All_Datasets!BY94</t>
  </si>
  <si>
    <t>DS-093|L4</t>
  </si>
  <si>
    <t>MCDM_Grades!AR94; MCDM_Grades!AT94; All_Datasets!DH94; All_Datasets!BZ94</t>
  </si>
  <si>
    <t>DS-093|D1</t>
  </si>
  <si>
    <t>MCDM_Grades!AR94; MCDM_Grades!AT94; All_Datasets!DH94; All_Datasets!BN94; All_Datasets!BO94; All_Datasets!BJ94</t>
  </si>
  <si>
    <t>DS-093|D2</t>
  </si>
  <si>
    <t>MCDM_Grades!AR94; MCDM_Grades!AT94; All_Datasets!DH94; All_Datasets!CR94; All_Datasets!CV94</t>
  </si>
  <si>
    <t>DS-093|D4</t>
  </si>
  <si>
    <t>MCDM_Grades!AR94; MCDM_Grades!AT94; All_Datasets!DH94; All_Datasets!CQ94</t>
  </si>
  <si>
    <t>DS-093|C1</t>
  </si>
  <si>
    <t>MCDM_Grades!AR94; MCDM_Grades!AT94; All_Datasets!DH94; All_Datasets!AC94; All_Datasets!AF94</t>
  </si>
  <si>
    <t>DS-093|C2</t>
  </si>
  <si>
    <t>MCDM_Grades!AR94; MCDM_Grades!AT94; All_Datasets!DH94; All_Datasets!AC94; All_Datasets!BJ94</t>
  </si>
  <si>
    <t>DS-093|R1</t>
  </si>
  <si>
    <t>MCDM_Grades!AR94; MCDM_Grades!AT94; All_Datasets!DH94; All_Datasets!AS94</t>
  </si>
  <si>
    <t>DS-093|R2</t>
  </si>
  <si>
    <t>DS-093|M1</t>
  </si>
  <si>
    <t>MCDM_Grades!AR94; MCDM_Grades!AT94; All_Datasets!DH94</t>
  </si>
  <si>
    <t>DS-093|M2</t>
  </si>
  <si>
    <t>MCDM_Grades!AR94; MCDM_Grades!AT94; All_Datasets!DH94; All_Datasets!AN94</t>
  </si>
  <si>
    <t>DS-093|M5</t>
  </si>
  <si>
    <t>MCDM_Grades!AR94; MCDM_Grades!AT94; All_Datasets!DH94; All_Datasets!AN94; All_Datasets!BY94; All_Datasets!CQ94</t>
  </si>
  <si>
    <t>DS-094|A1</t>
  </si>
  <si>
    <t>MCDM_Grades!AR95; MCDM_Grades!AT95; All_Datasets!DH95; All_Datasets!D95; All_Datasets!L95</t>
  </si>
  <si>
    <t>Pinned HF Roboflow v2 export reports 665 pothole COCO images, auto-orientation, EXIF stripping and 640-pixel stretching. The name segmentation2 and object-detection tag require actual mask inspection before segmentation use.</t>
  </si>
  <si>
    <t>DS-094|A2</t>
  </si>
  <si>
    <t>MCDM_Grades!AR95; MCDM_Grades!AT95; All_Datasets!DH95; All_Datasets!CJ95; All_Datasets!CM95</t>
  </si>
  <si>
    <t>DS-094|A3</t>
  </si>
  <si>
    <t>MCDM_Grades!AR95; MCDM_Grades!AT95; All_Datasets!DH95</t>
  </si>
  <si>
    <t>DS-094|L1</t>
  </si>
  <si>
    <t>MCDM_Grades!AR95; MCDM_Grades!AT95; All_Datasets!DH95; All_Datasets!BJ95; All_Datasets!BH95</t>
  </si>
  <si>
    <t>DS-094|L2</t>
  </si>
  <si>
    <t>MCDM_Grades!AR95; MCDM_Grades!AT95; All_Datasets!DH95; All_Datasets!BJ95; All_Datasets!BN95; All_Datasets!BY95</t>
  </si>
  <si>
    <t>DS-094|L4</t>
  </si>
  <si>
    <t>DS-094|D1</t>
  </si>
  <si>
    <t>MCDM_Grades!AR95; MCDM_Grades!AT95; All_Datasets!DH95; All_Datasets!BN95; All_Datasets!BO95; All_Datasets!BJ95</t>
  </si>
  <si>
    <t>DS-094|D2</t>
  </si>
  <si>
    <t>MCDM_Grades!AR95; MCDM_Grades!AT95; All_Datasets!DH95; All_Datasets!CR95</t>
  </si>
  <si>
    <t>DS-094|D4</t>
  </si>
  <si>
    <t>MCDM_Grades!AR95; MCDM_Grades!AT95; All_Datasets!DH95; All_Datasets!CQ95</t>
  </si>
  <si>
    <t>DS-094|C1</t>
  </si>
  <si>
    <t>DS-094|C2</t>
  </si>
  <si>
    <t>MCDM_Grades!AR95; MCDM_Grades!AT95; All_Datasets!DH95; All_Datasets!BJ95</t>
  </si>
  <si>
    <t>DS-094|R1</t>
  </si>
  <si>
    <t>DS-094|R2</t>
  </si>
  <si>
    <t>DS-094|M1</t>
  </si>
  <si>
    <t>DS-094|M2</t>
  </si>
  <si>
    <t>DS-094|M5</t>
  </si>
  <si>
    <t>MCDM_Grades!AR95; MCDM_Grades!AT95; All_Datasets!DH95; All_Datasets!BY95; All_Datasets!CQ95</t>
  </si>
  <si>
    <t>DS-095|A1</t>
  </si>
  <si>
    <t>MCDM_Grades!AR96; MCDM_Grades!AT96; All_Datasets!DH96; All_Datasets!D96; All_Datasets!L96</t>
  </si>
  <si>
    <t>FRDC-distilled N-RDD2024 retains six human classes and replaces four with teacher consensus. The card identifies parents, teachers and train/validation roles. Apache metadata does not resolve inherited image terms; pseudo-label quality and ancestral overlap remain untested.</t>
  </si>
  <si>
    <t>DS-095|A2</t>
  </si>
  <si>
    <t>MCDM_Grades!AR96; MCDM_Grades!AT96; All_Datasets!DH96; All_Datasets!CJ96; All_Datasets!CM96</t>
  </si>
  <si>
    <t>DS-095|A3</t>
  </si>
  <si>
    <t>MCDM_Grades!AR96; MCDM_Grades!AT96; All_Datasets!DH96</t>
  </si>
  <si>
    <t>DS-095|L1</t>
  </si>
  <si>
    <t>MCDM_Grades!AR96; MCDM_Grades!AT96; All_Datasets!DH96; All_Datasets!BJ96; All_Datasets!BH96</t>
  </si>
  <si>
    <t>DS-095|L2</t>
  </si>
  <si>
    <t>MCDM_Grades!AR96; MCDM_Grades!AT96; All_Datasets!DH96; All_Datasets!BJ96; All_Datasets!BN96; All_Datasets!BY96</t>
  </si>
  <si>
    <t>DS-095|L4</t>
  </si>
  <si>
    <t>MCDM_Grades!AR96; MCDM_Grades!AT96; All_Datasets!DH96; All_Datasets!BZ96</t>
  </si>
  <si>
    <t>DS-095|D1</t>
  </si>
  <si>
    <t>MCDM_Grades!AR96; MCDM_Grades!AT96; All_Datasets!DH96; All_Datasets!BN96; All_Datasets!BO96; All_Datasets!BJ96</t>
  </si>
  <si>
    <t>DS-095|D2</t>
  </si>
  <si>
    <t>MCDM_Grades!AR96; MCDM_Grades!AT96; All_Datasets!DH96; All_Datasets!CR96; All_Datasets!CV96; All_Datasets!AU96</t>
  </si>
  <si>
    <t>DS-095|D4</t>
  </si>
  <si>
    <t>MCDM_Grades!AR96; MCDM_Grades!AT96; All_Datasets!DH96; All_Datasets!CQ96</t>
  </si>
  <si>
    <t>DS-095|C1</t>
  </si>
  <si>
    <t>DS-095|C2</t>
  </si>
  <si>
    <t>MCDM_Grades!AR96; MCDM_Grades!AT96; All_Datasets!DH96; All_Datasets!BJ96</t>
  </si>
  <si>
    <t>DS-095|R1</t>
  </si>
  <si>
    <t>MCDM_Grades!AR96; MCDM_Grades!AT96; All_Datasets!DH96; All_Datasets!AP96; All_Datasets!AR96; All_Datasets!AS96; All_Datasets!AU96</t>
  </si>
  <si>
    <t>DS-095|R2</t>
  </si>
  <si>
    <t>MCDM_Grades!AR96; MCDM_Grades!AT96; All_Datasets!DH96; All_Datasets!AS96; All_Datasets!BE96; All_Datasets!BF96; All_Datasets!AU96</t>
  </si>
  <si>
    <t>DS-095|M1</t>
  </si>
  <si>
    <t>MCDM_Grades!AR96; MCDM_Grades!AT96; All_Datasets!DH96; All_Datasets!AU96</t>
  </si>
  <si>
    <t>DS-095|M2</t>
  </si>
  <si>
    <t>DS-095|M5</t>
  </si>
  <si>
    <t>MCDM_Grades!AR96; MCDM_Grades!AT96; All_Datasets!DH96; All_Datasets!BY96; All_Datasets!CQ96</t>
  </si>
  <si>
    <t>DS-096|A1</t>
  </si>
  <si>
    <t>Dataset card / Files</t>
  </si>
  <si>
    <t>Named author release identifiable.</t>
  </si>
  <si>
    <t>DS-096|A2</t>
  </si>
  <si>
    <t>Files / Dataset Tree</t>
  </si>
  <si>
    <t>Public file routes and task directories.</t>
  </si>
  <si>
    <t>DS-096|A3</t>
  </si>
  <si>
    <t>License metadata</t>
  </si>
  <si>
    <t>Dataset CC BY-NC-SA 4.0 stated.</t>
  </si>
  <si>
    <t>DS-096|L1</t>
  </si>
  <si>
    <t>Multi-Task Visual Perception / Benchmark</t>
  </si>
  <si>
    <t>Task-specific categories and mergers explained.</t>
  </si>
  <si>
    <t>DS-096|L2</t>
  </si>
  <si>
    <t>https://arxiv.org/html/2604.02804v1</t>
  </si>
  <si>
    <t>3.2–3.3</t>
  </si>
  <si>
    <t>LabelMe, expert masks and structured QA procedure described.</t>
  </si>
  <si>
    <t>DS-096|L4</t>
  </si>
  <si>
    <t>Cross-validation, expert verification and QA correction described.</t>
  </si>
  <si>
    <t>DS-096|D1</t>
  </si>
  <si>
    <t>Dataset Tree</t>
  </si>
  <si>
    <t>Image/mask, JSON detection and JSONL QA structure explained.</t>
  </si>
  <si>
    <t>DS-096|D2</t>
  </si>
  <si>
    <t>Liaoning inspection-vehicle collection described.</t>
  </si>
  <si>
    <t>DS-096|D4</t>
  </si>
  <si>
    <t>3.2 / 3.4</t>
  </si>
  <si>
    <t>Hard distractors and long-tailed class imbalance documented.</t>
  </si>
  <si>
    <t>DS-096|C1</t>
  </si>
  <si>
    <t>About the Dataset</t>
  </si>
  <si>
    <t>20,124 images; 32,160 QA pairs separately reported.</t>
  </si>
  <si>
    <t>DS-096|C2</t>
  </si>
  <si>
    <t>3.4; Figure 4</t>
  </si>
  <si>
    <t>Class and QA-subtask distributions reported.</t>
  </si>
  <si>
    <t>DS-096|R1</t>
  </si>
  <si>
    <t>Liaoning highway inspection setting.</t>
  </si>
  <si>
    <t>DS-096|R2</t>
  </si>
  <si>
    <t>Shadows, stains and lighting variation described.</t>
  </si>
  <si>
    <t>DS-096|M1</t>
  </si>
  <si>
    <t>Inspection vehicle and line-scan camera.</t>
  </si>
  <si>
    <t>DS-096|M2</t>
  </si>
  <si>
    <t>512 by 512 pixels for visual tasks.</t>
  </si>
  <si>
    <t>DS-096|M5</t>
  </si>
  <si>
    <t>Denoising, sharpening, contrast and histogram processing described.</t>
  </si>
  <si>
    <t>DS-097|A1</t>
  </si>
  <si>
    <t>MCDM_Grades!AR98; MCDM_Grades!AT98; All_Datasets!DH98; All_Datasets!D98; All_Datasets!L98; All_Datasets!T98</t>
  </si>
  <si>
    <t>The current primary HF page/API did not provide retrievable evidence. Inventory-only claims cannot resolve the 40 checks; retain an Unrated interval and request release documentation during human review.</t>
  </si>
  <si>
    <t>DS-097|A2</t>
  </si>
  <si>
    <t>MCDM_Grades!AR98; MCDM_Grades!AT98; All_Datasets!DH98; All_Datasets!CJ98; All_Datasets!CM98</t>
  </si>
  <si>
    <t>DS-097|A3</t>
  </si>
  <si>
    <t>MCDM_Grades!AR98; MCDM_Grades!AT98; All_Datasets!DH98; All_Datasets!CK98</t>
  </si>
  <si>
    <t>DS-097|L1</t>
  </si>
  <si>
    <t>MCDM_Grades!AR98; MCDM_Grades!AT98; All_Datasets!DH98; All_Datasets!BJ98; All_Datasets!BH98</t>
  </si>
  <si>
    <t>DS-097|L2</t>
  </si>
  <si>
    <t>MCDM_Grades!AR98; MCDM_Grades!AT98; All_Datasets!DH98; All_Datasets!BJ98; All_Datasets!BN98; All_Datasets!BY98</t>
  </si>
  <si>
    <t>DS-097|L4</t>
  </si>
  <si>
    <t>MCDM_Grades!AR98; MCDM_Grades!AT98; All_Datasets!DH98</t>
  </si>
  <si>
    <t>DS-097|D1</t>
  </si>
  <si>
    <t>MCDM_Grades!AR98; MCDM_Grades!AT98; All_Datasets!DH98; All_Datasets!BN98; All_Datasets!BJ98</t>
  </si>
  <si>
    <t>DS-097|D2</t>
  </si>
  <si>
    <t>MCDM_Grades!AR98; MCDM_Grades!AT98; All_Datasets!DH98; All_Datasets!CR98; All_Datasets!AU98</t>
  </si>
  <si>
    <t>DS-097|D4</t>
  </si>
  <si>
    <t>MCDM_Grades!AR98; MCDM_Grades!AT98; All_Datasets!DH98; All_Datasets!CQ98</t>
  </si>
  <si>
    <t>DS-097|C1</t>
  </si>
  <si>
    <t>MCDM_Grades!AR98; MCDM_Grades!AT98; All_Datasets!DH98; All_Datasets!AC98; All_Datasets!AF98</t>
  </si>
  <si>
    <t>DS-097|C2</t>
  </si>
  <si>
    <t>MCDM_Grades!AR98; MCDM_Grades!AT98; All_Datasets!DH98; All_Datasets!AC98; All_Datasets!BJ98</t>
  </si>
  <si>
    <t>DS-097|R1</t>
  </si>
  <si>
    <t>MCDM_Grades!AR98; MCDM_Grades!AT98; All_Datasets!DH98; All_Datasets!AP98; All_Datasets!AS98; All_Datasets!AU98</t>
  </si>
  <si>
    <t>DS-097|R2</t>
  </si>
  <si>
    <t>MCDM_Grades!AR98; MCDM_Grades!AT98; All_Datasets!DH98; All_Datasets!AS98; All_Datasets!BE98; All_Datasets!BF98; All_Datasets!AU98</t>
  </si>
  <si>
    <t>DS-097|M1</t>
  </si>
  <si>
    <t>MCDM_Grades!AR98; MCDM_Grades!AT98; All_Datasets!DH98; All_Datasets!AU98</t>
  </si>
  <si>
    <t>DS-097|M2</t>
  </si>
  <si>
    <t>MCDM_Grades!AR98; MCDM_Grades!AT98; All_Datasets!DH98; All_Datasets!AN98</t>
  </si>
  <si>
    <t>DS-097|M5</t>
  </si>
  <si>
    <t>MCDM_Grades!AR98; MCDM_Grades!AT98; All_Datasets!DH98; All_Datasets!AN98; All_Datasets!BY98; All_Datasets!CQ98</t>
  </si>
  <si>
    <t>DS-098|A1</t>
  </si>
  <si>
    <t>MCDM_Grades!AR99; MCDM_Grades!AT99; All_Datasets!DH99; All_Datasets!D99; All_Datasets!L99</t>
  </si>
  <si>
    <t>HF identifies a pinned potholes.zip and requires login/contact-sharing consent; no substantive card or visible terms were available. No consent was submitted and no file opened. A documented gate earns access-route credit but does not clear retrieval or reuse eligibility.</t>
  </si>
  <si>
    <t>DS-098|A2</t>
  </si>
  <si>
    <t>MCDM_Grades!AR99; MCDM_Grades!AT99; All_Datasets!DH99; All_Datasets!CJ99; All_Datasets!CM99</t>
  </si>
  <si>
    <t>DS-098|A3</t>
  </si>
  <si>
    <t>MCDM_Grades!AR99; MCDM_Grades!AT99; All_Datasets!DH99</t>
  </si>
  <si>
    <t>DS-098|L1</t>
  </si>
  <si>
    <t>MCDM_Grades!AR99; MCDM_Grades!AT99; All_Datasets!DH99; All_Datasets!BJ99; All_Datasets!BH99</t>
  </si>
  <si>
    <t>DS-098|L2</t>
  </si>
  <si>
    <t>MCDM_Grades!AR99; MCDM_Grades!AT99; All_Datasets!DH99; All_Datasets!BJ99; All_Datasets!BN99</t>
  </si>
  <si>
    <t>DS-098|L4</t>
  </si>
  <si>
    <t>DS-098|D1</t>
  </si>
  <si>
    <t>MCDM_Grades!AR99; MCDM_Grades!AT99; All_Datasets!DH99; All_Datasets!BN99; All_Datasets!BJ99</t>
  </si>
  <si>
    <t>DS-098|D2</t>
  </si>
  <si>
    <t>MCDM_Grades!AR99; MCDM_Grades!AT99; All_Datasets!DH99; All_Datasets!CR99</t>
  </si>
  <si>
    <t>DS-098|D4</t>
  </si>
  <si>
    <t>MCDM_Grades!AR99; MCDM_Grades!AT99; All_Datasets!DH99; All_Datasets!CQ99</t>
  </si>
  <si>
    <t>DS-098|C1</t>
  </si>
  <si>
    <t>DS-098|C2</t>
  </si>
  <si>
    <t>MCDM_Grades!AR99; MCDM_Grades!AT99; All_Datasets!DH99; All_Datasets!BJ99</t>
  </si>
  <si>
    <t>DS-098|R1</t>
  </si>
  <si>
    <t>DS-098|R2</t>
  </si>
  <si>
    <t>DS-098|M1</t>
  </si>
  <si>
    <t>DS-098|M2</t>
  </si>
  <si>
    <t>DS-098|M5</t>
  </si>
  <si>
    <t>DS-099|A1</t>
  </si>
  <si>
    <t>MCDM_Grades!AR100; MCDM_Grades!AT100; All_Datasets!DH100; All_Datasets!D100; All_Datasets!L100</t>
  </si>
  <si>
    <t>The HF card primarily describes a YOLOv11 model and filtered USA subset. It gives class counts, filtering and biases, but attributes a multinational 47k corpus to a 2018 paper inconsistently with RDD2022. Exact dataset release, payload availability and provenance remain unresolved; reported model performance is not label reliability.</t>
  </si>
  <si>
    <t>DS-099|A2</t>
  </si>
  <si>
    <t>MCDM_Grades!AR100; MCDM_Grades!AT100; All_Datasets!DH100; All_Datasets!CJ100; All_Datasets!CM100</t>
  </si>
  <si>
    <t>DS-099|A3</t>
  </si>
  <si>
    <t>MCDM_Grades!AR100; MCDM_Grades!AT100; All_Datasets!DH100; All_Datasets!CK100</t>
  </si>
  <si>
    <t>DS-099|L1</t>
  </si>
  <si>
    <t>MCDM_Grades!AR100; MCDM_Grades!AT100; All_Datasets!DH100; All_Datasets!BJ100; All_Datasets!BH100</t>
  </si>
  <si>
    <t>DS-099|L2</t>
  </si>
  <si>
    <t>MCDM_Grades!AR100; MCDM_Grades!AT100; All_Datasets!DH100; All_Datasets!BJ100; All_Datasets!BN100; All_Datasets!BY100</t>
  </si>
  <si>
    <t>DS-099|L4</t>
  </si>
  <si>
    <t>MCDM_Grades!AR100; MCDM_Grades!AT100; All_Datasets!DH100; All_Datasets!BZ100</t>
  </si>
  <si>
    <t>DS-099|D1</t>
  </si>
  <si>
    <t>MCDM_Grades!AR100; MCDM_Grades!AT100; All_Datasets!DH100; All_Datasets!BN100; All_Datasets!BO100; All_Datasets!BJ100</t>
  </si>
  <si>
    <t>DS-099|D2</t>
  </si>
  <si>
    <t>MCDM_Grades!AR100; MCDM_Grades!AT100; All_Datasets!DH100; All_Datasets!CR100; All_Datasets!CV100; All_Datasets!AU100</t>
  </si>
  <si>
    <t>DS-099|D4</t>
  </si>
  <si>
    <t>MCDM_Grades!AR100; MCDM_Grades!AT100; All_Datasets!DH100; All_Datasets!CQ100</t>
  </si>
  <si>
    <t>DS-099|C1</t>
  </si>
  <si>
    <t>MCDM_Grades!AR100; MCDM_Grades!AT100; All_Datasets!DH100; All_Datasets!AC100; All_Datasets!AF100</t>
  </si>
  <si>
    <t>DS-099|C2</t>
  </si>
  <si>
    <t>MCDM_Grades!AR100; MCDM_Grades!AT100; All_Datasets!DH100; All_Datasets!AC100; All_Datasets!BJ100</t>
  </si>
  <si>
    <t>DS-099|R1</t>
  </si>
  <si>
    <t>MCDM_Grades!AR100; MCDM_Grades!AT100; All_Datasets!DH100; All_Datasets!AP100; All_Datasets!AR100; All_Datasets!AS100; All_Datasets!AU100</t>
  </si>
  <si>
    <t>DS-099|R2</t>
  </si>
  <si>
    <t>MCDM_Grades!AR100; MCDM_Grades!AT100; All_Datasets!DH100; All_Datasets!AS100; All_Datasets!BE100; All_Datasets!BF100; All_Datasets!AU100</t>
  </si>
  <si>
    <t>DS-099|M1</t>
  </si>
  <si>
    <t>MCDM_Grades!AR100; MCDM_Grades!AT100; All_Datasets!DH100; All_Datasets!AU100; All_Datasets!AW100</t>
  </si>
  <si>
    <t>DS-099|M2</t>
  </si>
  <si>
    <t>MCDM_Grades!AR100; MCDM_Grades!AT100; All_Datasets!DH100</t>
  </si>
  <si>
    <t>DS-099|M5</t>
  </si>
  <si>
    <t>MCDM_Grades!AR100; MCDM_Grades!AT100; All_Datasets!DH100; All_Datasets!BY100; All_Datasets!CQ100</t>
  </si>
  <si>
    <t>DS-100|A1</t>
  </si>
  <si>
    <t>Datasets!B10; Datasets!L10; Datasets!S10; Datasets!T10</t>
  </si>
  <si>
    <t>Dataset / release family: RSCD — Road Surface Classification Dataset | Release / paper year: 2022–2023 | Dataset / download: Dataset / download | Evidence / paper: Source evidence</t>
  </si>
  <si>
    <t>DS-100|A2</t>
  </si>
  <si>
    <t>Datasets!F10; Datasets!Q10</t>
  </si>
  <si>
    <t>Access status: Public links | Access instructions: Official download page links 13.92 GB archive.</t>
  </si>
  <si>
    <t>DS-100|A3</t>
  </si>
  <si>
    <t>Datasets!P10</t>
  </si>
  <si>
    <t>License / use terms: CC BY-NC per current official download page; do not infer dataset license from MIT code repository.</t>
  </si>
  <si>
    <t>DS-100|L1</t>
  </si>
  <si>
    <t>Datasets!H10; Datasets!O10</t>
  </si>
  <si>
    <t>Pavement labels: 27 combinations of surface material, moisture/snow/ice state, and smooth/slight/severe unevenness. | Label format: Image classification; class folders and test labels</t>
  </si>
  <si>
    <t>DS-100|L2</t>
  </si>
  <si>
    <t>DS-100|L4</t>
  </si>
  <si>
    <t>Datasets!O10; Datasets!R10</t>
  </si>
  <si>
    <t>Label format: Image classification; class folders and test labels | Limits and pairing notes: Strongest broad condition-label set. Friction categories are visual surface states, not measured coefficients. Snow/ice samples lack material/unevenness labels; mud/gravel lack unevenness labels.</t>
  </si>
  <si>
    <t>DS-100|D1</t>
  </si>
  <si>
    <t>Datasets!O10; Datasets!I10</t>
  </si>
  <si>
    <t>Label format: Image classification; class folders and test labels | Camera / footage details: Vehicle-captured road patches (360×240); original full driving videos not documented as downloadable.</t>
  </si>
  <si>
    <t>DS-100|D2</t>
  </si>
  <si>
    <t>Datasets!K10; Datasets!E10; Datasets!I10; Datasets!R10</t>
  </si>
  <si>
    <t>Publisher: Tsinghua University / Tong Zhao and colleagues | Capture context: Driving research | Camera / footage details: Vehicle-captured road patches (360×240); original full driving videos not documented as downloadable. | Limits and pairing notes: Strongest broad condition-label set. Friction categories are visual surface states, not measured coefficients. Snow/ice samples lack material/unevenness labels; mud/gravel lack unevenness labels.</t>
  </si>
  <si>
    <t>DS-100|D4</t>
  </si>
  <si>
    <t>Datasets!R10; Datasets!H10</t>
  </si>
  <si>
    <t>Limits and pairing notes: Strongest broad condition-label set. Friction categories are visual surface states, not measured coefficients. Snow/ice samples lack material/unevenness labels; mud/gravel lack unevenness labels. | Pavement labels: 27 combinations of surface material, moisture/snow/ice state, and smooth/slight/severe unevenness.</t>
  </si>
  <si>
    <t>DS-100|C1</t>
  </si>
  <si>
    <t>Datasets!M10</t>
  </si>
  <si>
    <t>Reported size: About 1 million patches; about 700 km</t>
  </si>
  <si>
    <t>DS-100|C2</t>
  </si>
  <si>
    <t>Datasets!M10; Datasets!H10</t>
  </si>
  <si>
    <t>Reported size: About 1 million patches; about 700 km | Pavement labels: 27 combinations of surface material, moisture/snow/ice state, and smooth/slight/severe unevenness.</t>
  </si>
  <si>
    <t>DS-100|R1</t>
  </si>
  <si>
    <t>Datasets!N10; Datasets!E10; Datasets!I10</t>
  </si>
  <si>
    <t>Geography: Beijing, China | Capture context: Driving research | Camera / footage details: Vehicle-captured road patches (360×240); original full driving videos not documented as downloadable.</t>
  </si>
  <si>
    <t>DS-100|R2</t>
  </si>
  <si>
    <t>Datasets!N10; Datasets!E10; Datasets!I10; Datasets!R10</t>
  </si>
  <si>
    <t>Geography: Beijing, China | Capture context: Driving research | Camera / footage details: Vehicle-captured road patches (360×240); original full driving videos not documented as downloadable. | Limits and pairing notes: Strongest broad condition-label set. Friction categories are visual surface states, not measured coefficients. Snow/ice samples lack material/unevenness labels; mud/gravel lack unevenness labels.</t>
  </si>
  <si>
    <t>DS-100|M1</t>
  </si>
  <si>
    <t>Datasets!E10; Datasets!I10; Datasets!K10</t>
  </si>
  <si>
    <t>Capture context: Driving research | Camera / footage details: Vehicle-captured road patches (360×240); original full driving videos not documented as downloadable. | Publisher: Tsinghua University / Tong Zhao and colleagues</t>
  </si>
  <si>
    <t>DS-100|M2</t>
  </si>
  <si>
    <t>Datasets!I10; Datasets!M10</t>
  </si>
  <si>
    <t>Camera / footage details: Vehicle-captured road patches (360×240); original full driving videos not documented as downloadable. | Reported size: About 1 million patches; about 700 km</t>
  </si>
  <si>
    <t>DS-100|M5</t>
  </si>
  <si>
    <t>Datasets!I10; Datasets!O10; Datasets!R10</t>
  </si>
  <si>
    <t>Camera / footage details: Vehicle-captured road patches (360×240); original full driving videos not documented as downloadable. | Label format: Image classification; class folders and test labels | Limits and pairing notes: Strongest broad condition-label set. Friction categories are visual surface states, not measured coefficients. Snow/ice samples lack material/unevenness labels; mud/gravel lack unevenness labels.</t>
  </si>
  <si>
    <t>DS-101|A1</t>
  </si>
  <si>
    <t>MCDM_Grades!AR102; MCDM_Grades!AT102; All_Datasets!DH102; All_Datasets!D102; All_Datasets!L102</t>
  </si>
  <si>
    <t>The HF commit and file list identify a Roboflow-style package, but the card only supplies generic OpenRAIL and object-detection tags. Exact data terms, class definitions and original acquisition remain unresolved.</t>
  </si>
  <si>
    <t>DS-101|A2</t>
  </si>
  <si>
    <t>MCDM_Grades!AR102; MCDM_Grades!AT102; All_Datasets!DH102; All_Datasets!CJ102; All_Datasets!CM102</t>
  </si>
  <si>
    <t>DS-101|A3</t>
  </si>
  <si>
    <t>MCDM_Grades!AR102; MCDM_Grades!AT102; All_Datasets!DH102; All_Datasets!CK102</t>
  </si>
  <si>
    <t>DS-101|L1</t>
  </si>
  <si>
    <t>MCDM_Grades!AR102; MCDM_Grades!AT102; All_Datasets!DH102; All_Datasets!BJ102; All_Datasets!BH102</t>
  </si>
  <si>
    <t>DS-101|L2</t>
  </si>
  <si>
    <t>MCDM_Grades!AR102; MCDM_Grades!AT102; All_Datasets!DH102; All_Datasets!BJ102; All_Datasets!BN102</t>
  </si>
  <si>
    <t>DS-101|L4</t>
  </si>
  <si>
    <t>MCDM_Grades!AR102; MCDM_Grades!AT102; All_Datasets!DH102</t>
  </si>
  <si>
    <t>DS-101|D1</t>
  </si>
  <si>
    <t>MCDM_Grades!AR102; MCDM_Grades!AT102; All_Datasets!DH102; All_Datasets!BN102; All_Datasets!BO102; All_Datasets!BJ102</t>
  </si>
  <si>
    <t>DS-101|D2</t>
  </si>
  <si>
    <t>MCDM_Grades!AR102; MCDM_Grades!AT102; All_Datasets!DH102; All_Datasets!CR102</t>
  </si>
  <si>
    <t>DS-101|D4</t>
  </si>
  <si>
    <t>MCDM_Grades!AR102; MCDM_Grades!AT102; All_Datasets!DH102; All_Datasets!CQ102</t>
  </si>
  <si>
    <t>DS-101|C1</t>
  </si>
  <si>
    <t>MCDM_Grades!AR102; MCDM_Grades!AT102; All_Datasets!DH102; All_Datasets!AC102; All_Datasets!AF102</t>
  </si>
  <si>
    <t>DS-101|C2</t>
  </si>
  <si>
    <t>MCDM_Grades!AR102; MCDM_Grades!AT102; All_Datasets!DH102; All_Datasets!AC102; All_Datasets!BJ102</t>
  </si>
  <si>
    <t>DS-101|R1</t>
  </si>
  <si>
    <t>DS-101|R2</t>
  </si>
  <si>
    <t>DS-101|M1</t>
  </si>
  <si>
    <t>DS-101|M2</t>
  </si>
  <si>
    <t>DS-101|M5</t>
  </si>
  <si>
    <t>DS-102|A1</t>
  </si>
  <si>
    <t>MCDM_Grades!AR103; MCDM_Grades!AT103; All_Datasets!DH103; All_Datasets!D103; All_Datasets!L103; All_Datasets!T103</t>
  </si>
  <si>
    <t>Zenodo SVRDD provides YOLO/VOC archive checksums and explicitly requires Baidu imagery terms in addition to CC BY. The short release description does not define targets or prove this use is permitted under the complete terms chain.</t>
  </si>
  <si>
    <t>DS-102|A2</t>
  </si>
  <si>
    <t>MCDM_Grades!AR103; MCDM_Grades!AT103; All_Datasets!DH103; All_Datasets!CJ103; All_Datasets!CM103</t>
  </si>
  <si>
    <t>DS-102|A3</t>
  </si>
  <si>
    <t>MCDM_Grades!AR103; MCDM_Grades!AT103; All_Datasets!DH103; All_Datasets!CK103</t>
  </si>
  <si>
    <t>DS-102|L1</t>
  </si>
  <si>
    <t>MCDM_Grades!AR103; MCDM_Grades!AT103; All_Datasets!DH103; All_Datasets!BJ103; All_Datasets!BH103</t>
  </si>
  <si>
    <t>DS-102|L2</t>
  </si>
  <si>
    <t>MCDM_Grades!AR103; MCDM_Grades!AT103; All_Datasets!DH103; All_Datasets!BJ103; All_Datasets!BN103; All_Datasets!BY103</t>
  </si>
  <si>
    <t>DS-102|L4</t>
  </si>
  <si>
    <t>MCDM_Grades!AR103; MCDM_Grades!AT103; All_Datasets!DH103; All_Datasets!BZ103</t>
  </si>
  <si>
    <t>DS-102|D1</t>
  </si>
  <si>
    <t>MCDM_Grades!AR103; MCDM_Grades!AT103; All_Datasets!DH103; All_Datasets!BN103; All_Datasets!BO103; All_Datasets!BJ103</t>
  </si>
  <si>
    <t>DS-102|D2</t>
  </si>
  <si>
    <t>MCDM_Grades!AR103; MCDM_Grades!AT103; All_Datasets!DH103; All_Datasets!CR103; All_Datasets!AU103</t>
  </si>
  <si>
    <t>DS-102|D4</t>
  </si>
  <si>
    <t>MCDM_Grades!AR103; MCDM_Grades!AT103; All_Datasets!DH103; All_Datasets!CQ103</t>
  </si>
  <si>
    <t>DS-102|C1</t>
  </si>
  <si>
    <t>MCDM_Grades!AR103; MCDM_Grades!AT103; All_Datasets!DH103; All_Datasets!AC103; All_Datasets!AF103</t>
  </si>
  <si>
    <t>DS-102|C2</t>
  </si>
  <si>
    <t>MCDM_Grades!AR103; MCDM_Grades!AT103; All_Datasets!DH103; All_Datasets!AC103; All_Datasets!BJ103</t>
  </si>
  <si>
    <t>DS-102|R1</t>
  </si>
  <si>
    <t>MCDM_Grades!AR103; MCDM_Grades!AT103; All_Datasets!DH103; All_Datasets!AP103; All_Datasets!AR103; All_Datasets!AS103; All_Datasets!AU103</t>
  </si>
  <si>
    <t>DS-102|R2</t>
  </si>
  <si>
    <t>MCDM_Grades!AR103; MCDM_Grades!AT103; All_Datasets!DH103; All_Datasets!AS103; All_Datasets!BF103; All_Datasets!AU103</t>
  </si>
  <si>
    <t>DS-102|M1</t>
  </si>
  <si>
    <t>MCDM_Grades!AR103; MCDM_Grades!AT103; All_Datasets!DH103; All_Datasets!AU103</t>
  </si>
  <si>
    <t>DS-102|M2</t>
  </si>
  <si>
    <t>MCDM_Grades!AR103; MCDM_Grades!AT103; All_Datasets!DH103; All_Datasets!AN103</t>
  </si>
  <si>
    <t>DS-102|M5</t>
  </si>
  <si>
    <t>MCDM_Grades!AR103; MCDM_Grades!AT103; All_Datasets!DH103; All_Datasets!AN103; All_Datasets!BY103; All_Datasets!CQ103</t>
  </si>
  <si>
    <t>DS-103|A1</t>
  </si>
  <si>
    <t>MCDM_Grades!AR104; MCDM_Grades!AT104; All_Datasets!DH104; All_Datasets!D104; All_Datasets!L104</t>
  </si>
  <si>
    <t>HF exposes 437 image-classification rows in train/validation/test and pothole/no-pothole labels, with pinned per-image paths. No substantive card or license is present. Object-detection boxes and independent split grouping are not established.</t>
  </si>
  <si>
    <t>DS-103|A2</t>
  </si>
  <si>
    <t>MCDM_Grades!AR104; MCDM_Grades!AT104; All_Datasets!DH104; All_Datasets!CJ104; All_Datasets!CM104</t>
  </si>
  <si>
    <t>DS-103|A3</t>
  </si>
  <si>
    <t>MCDM_Grades!AR104; MCDM_Grades!AT104; All_Datasets!DH104</t>
  </si>
  <si>
    <t>DS-103|L1</t>
  </si>
  <si>
    <t>MCDM_Grades!AR104; MCDM_Grades!AT104; All_Datasets!DH104; All_Datasets!BJ104; All_Datasets!BH104</t>
  </si>
  <si>
    <t>DS-103|L2</t>
  </si>
  <si>
    <t>MCDM_Grades!AR104; MCDM_Grades!AT104; All_Datasets!DH104; All_Datasets!BJ104</t>
  </si>
  <si>
    <t>DS-103|L4</t>
  </si>
  <si>
    <t>DS-103|D1</t>
  </si>
  <si>
    <t>DS-103|D2</t>
  </si>
  <si>
    <t>MCDM_Grades!AR104; MCDM_Grades!AT104; All_Datasets!DH104; All_Datasets!CR104</t>
  </si>
  <si>
    <t>DS-103|D4</t>
  </si>
  <si>
    <t>MCDM_Grades!AR104; MCDM_Grades!AT104; All_Datasets!DH104; All_Datasets!CQ104</t>
  </si>
  <si>
    <t>DS-103|C1</t>
  </si>
  <si>
    <t>DS-103|C2</t>
  </si>
  <si>
    <t>DS-103|R1</t>
  </si>
  <si>
    <t>DS-103|R2</t>
  </si>
  <si>
    <t>DS-103|M1</t>
  </si>
  <si>
    <t>DS-103|M2</t>
  </si>
  <si>
    <t>DS-103|M5</t>
  </si>
  <si>
    <t>DS-104|A1</t>
  </si>
  <si>
    <t>MCDM_Grades!AR105; MCDM_Grades!AT105; All_Datasets!DH105; All_Datasets!D105; All_Datasets!L105</t>
  </si>
  <si>
    <t>Retain the Unified Road Defect worked-example assignments in rubric v2.0. Current HF card again confirms mixed-source rights, source prefixes and derivative status; complete license and leakage audits remain pending. The card reports 30,186 images and 75,765 instances from RDD2022, UAV-PDD2023 and RoadDamageVision. It uses four classes and source-prefixed filenames. Class/source statistics support C2; provenance, source lineage, limitations and locatable documentation support D2–D5. Mapping/filtering descriptions support M5, but do not establish full annotation guidelines or reliability. A repository revision plus file listing supports V1. Mixed-source license compatibility and overlap with parent datasets remain unresolved. Viewer image/label rows are not an independent image count.</t>
  </si>
  <si>
    <t>DS-104|A2</t>
  </si>
  <si>
    <t>MCDM_Grades!AR105; MCDM_Grades!AT105; All_Datasets!DH105; All_Datasets!CJ105; All_Datasets!CM105</t>
  </si>
  <si>
    <t>DS-104|A3</t>
  </si>
  <si>
    <t>MCDM_Grades!AR105; MCDM_Grades!AT105; All_Datasets!DH105; All_Datasets!CK105</t>
  </si>
  <si>
    <t>DS-104|L1</t>
  </si>
  <si>
    <t>MCDM_Grades!AR105; MCDM_Grades!AT105; All_Datasets!DH105; All_Datasets!BJ105; All_Datasets!BH105</t>
  </si>
  <si>
    <t>DS-104|L2</t>
  </si>
  <si>
    <t>MCDM_Grades!AR105; MCDM_Grades!AT105; All_Datasets!DH105; All_Datasets!BJ105; All_Datasets!BN105; All_Datasets!BY105</t>
  </si>
  <si>
    <t>DS-104|L4</t>
  </si>
  <si>
    <t>MCDM_Grades!AR105; MCDM_Grades!AT105; All_Datasets!DH105; All_Datasets!BZ105</t>
  </si>
  <si>
    <t>Recorded class-remapping plus duplicate/format checking is concrete annotation-package verification; semantic accuracy remains untested.</t>
  </si>
  <si>
    <t>DS-104|D1</t>
  </si>
  <si>
    <t>MCDM_Grades!AR105; MCDM_Grades!AT105; All_Datasets!DH105; All_Datasets!BN105; All_Datasets!BO105; All_Datasets!BJ105</t>
  </si>
  <si>
    <t>DS-104|D2</t>
  </si>
  <si>
    <t>MCDM_Grades!AR105; MCDM_Grades!AT105; All_Datasets!DH105; All_Datasets!CR105; All_Datasets!CV105; All_Datasets!AU105</t>
  </si>
  <si>
    <t>DS-104|D4</t>
  </si>
  <si>
    <t>MCDM_Grades!AR105; MCDM_Grades!AT105; All_Datasets!DH105; All_Datasets!CQ105</t>
  </si>
  <si>
    <t>DS-104|C1</t>
  </si>
  <si>
    <t>MCDM_Grades!AR105; MCDM_Grades!AT105; All_Datasets!DH105; All_Datasets!AC105; All_Datasets!AF105</t>
  </si>
  <si>
    <t>DS-104|C2</t>
  </si>
  <si>
    <t>MCDM_Grades!AR105; MCDM_Grades!AT105; All_Datasets!DH105; All_Datasets!AC105; All_Datasets!BJ105</t>
  </si>
  <si>
    <t>DS-104|R1</t>
  </si>
  <si>
    <t>MCDM_Grades!AR105; MCDM_Grades!AT105; All_Datasets!DH105; All_Datasets!AP105; All_Datasets!AR105; All_Datasets!AS105; All_Datasets!AU105</t>
  </si>
  <si>
    <t>DS-104|R2</t>
  </si>
  <si>
    <t>MCDM_Grades!AR105; MCDM_Grades!AT105; All_Datasets!DH105; All_Datasets!AS105; All_Datasets!BE105; All_Datasets!BF105; All_Datasets!AU105</t>
  </si>
  <si>
    <t>DS-104|M1</t>
  </si>
  <si>
    <t>MCDM_Grades!AR105; MCDM_Grades!AT105; All_Datasets!DH105; All_Datasets!AU105; All_Datasets!AW105</t>
  </si>
  <si>
    <t>DS-104|M2</t>
  </si>
  <si>
    <t>MCDM_Grades!AR105; MCDM_Grades!AT105; All_Datasets!DH105; All_Datasets!AN105</t>
  </si>
  <si>
    <t>DS-104|M5</t>
  </si>
  <si>
    <t>MCDM_Grades!AR105; MCDM_Grades!AT105; All_Datasets!DH105; All_Datasets!AN105; All_Datasets!BY105; All_Datasets!CQ105</t>
  </si>
  <si>
    <t>DS-105|A1</t>
  </si>
  <si>
    <t>MCDM_Grades!AR106; MCDM_Grades!AT106; All_Datasets!DH106; All_Datasets!D106; All_Datasets!L106</t>
  </si>
  <si>
    <t>FRDC Pseudolabeled v2 explicitly adds teacher-labeled RDD2022 test images to training while keeping its own validation set. It must not be evaluated on those original RDD test images. Teacher consensus is not a human reliability audit; this task's split gate remains Pending.</t>
  </si>
  <si>
    <t>DS-105|A2</t>
  </si>
  <si>
    <t>MCDM_Grades!AR106; MCDM_Grades!AT106; All_Datasets!DH106; All_Datasets!CJ106; All_Datasets!CM106</t>
  </si>
  <si>
    <t>DS-105|A3</t>
  </si>
  <si>
    <t>MCDM_Grades!AR106; MCDM_Grades!AT106; All_Datasets!DH106</t>
  </si>
  <si>
    <t>DS-105|L1</t>
  </si>
  <si>
    <t>MCDM_Grades!AR106; MCDM_Grades!AT106; All_Datasets!DH106; All_Datasets!BJ106; All_Datasets!BH106</t>
  </si>
  <si>
    <t>DS-105|L2</t>
  </si>
  <si>
    <t>MCDM_Grades!AR106; MCDM_Grades!AT106; All_Datasets!DH106; All_Datasets!BJ106; All_Datasets!BN106; All_Datasets!BY106</t>
  </si>
  <si>
    <t>DS-105|L4</t>
  </si>
  <si>
    <t>MCDM_Grades!AR106; MCDM_Grades!AT106; All_Datasets!DH106; All_Datasets!BZ106</t>
  </si>
  <si>
    <t>DS-105|D1</t>
  </si>
  <si>
    <t>MCDM_Grades!AR106; MCDM_Grades!AT106; All_Datasets!DH106; All_Datasets!BN106; All_Datasets!BO106; All_Datasets!BJ106</t>
  </si>
  <si>
    <t>DS-105|D2</t>
  </si>
  <si>
    <t>MCDM_Grades!AR106; MCDM_Grades!AT106; All_Datasets!DH106; All_Datasets!CR106; All_Datasets!CV106; All_Datasets!AU106</t>
  </si>
  <si>
    <t>DS-105|D4</t>
  </si>
  <si>
    <t>MCDM_Grades!AR106; MCDM_Grades!AT106; All_Datasets!DH106; All_Datasets!CQ106</t>
  </si>
  <si>
    <t>DS-105|C1</t>
  </si>
  <si>
    <t>MCDM_Grades!AR106; MCDM_Grades!AT106; All_Datasets!DH106; All_Datasets!AC106; All_Datasets!AF106</t>
  </si>
  <si>
    <t>DS-105|C2</t>
  </si>
  <si>
    <t>MCDM_Grades!AR106; MCDM_Grades!AT106; All_Datasets!DH106; All_Datasets!AC106; All_Datasets!BJ106</t>
  </si>
  <si>
    <t>DS-105|R1</t>
  </si>
  <si>
    <t>MCDM_Grades!AR106; MCDM_Grades!AT106; All_Datasets!DH106; All_Datasets!AP106; All_Datasets!AR106; All_Datasets!AS106; All_Datasets!AU106</t>
  </si>
  <si>
    <t>DS-105|R2</t>
  </si>
  <si>
    <t>MCDM_Grades!AR106; MCDM_Grades!AT106; All_Datasets!DH106; All_Datasets!AS106; All_Datasets!BE106; All_Datasets!BF106; All_Datasets!AU106</t>
  </si>
  <si>
    <t>DS-105|M1</t>
  </si>
  <si>
    <t>MCDM_Grades!AR106; MCDM_Grades!AT106; All_Datasets!DH106; All_Datasets!AU106; All_Datasets!AW106</t>
  </si>
  <si>
    <t>DS-105|M2</t>
  </si>
  <si>
    <t>MCDM_Grades!AR106; MCDM_Grades!AT106; All_Datasets!DH106; All_Datasets!AN106</t>
  </si>
  <si>
    <t>DS-105|M5</t>
  </si>
  <si>
    <t>MCDM_Grades!AR106; MCDM_Grades!AT106; All_Datasets!DH106; All_Datasets!AN106; All_Datasets!BY106; All_Datasets!CQ106</t>
  </si>
  <si>
    <t>DS-106|A1</t>
  </si>
  <si>
    <t>MCDM_Grades!AR107; MCDM_Grades!AT107; All_Datasets!DH107; All_Datasets!D107; All_Datasets!L107</t>
  </si>
  <si>
    <t>A pinned HF parquet package reports image/image features and 9,603 train plus 1,695 test records, but the card is a placeholder. Parent sources, license, mask semantics and independent capture units remain unknown.</t>
  </si>
  <si>
    <t>DS-106|A2</t>
  </si>
  <si>
    <t>MCDM_Grades!AR107; MCDM_Grades!AT107; All_Datasets!DH107; All_Datasets!CJ107; All_Datasets!CM107</t>
  </si>
  <si>
    <t>DS-106|A3</t>
  </si>
  <si>
    <t>MCDM_Grades!AR107; MCDM_Grades!AT107; All_Datasets!DH107</t>
  </si>
  <si>
    <t>DS-106|L1</t>
  </si>
  <si>
    <t>MCDM_Grades!AR107; MCDM_Grades!AT107; All_Datasets!DH107; All_Datasets!BJ107; All_Datasets!BH107</t>
  </si>
  <si>
    <t>DS-106|L2</t>
  </si>
  <si>
    <t>MCDM_Grades!AR107; MCDM_Grades!AT107; All_Datasets!DH107; All_Datasets!BJ107; All_Datasets!BN107</t>
  </si>
  <si>
    <t>DS-106|L4</t>
  </si>
  <si>
    <t>DS-106|D1</t>
  </si>
  <si>
    <t>MCDM_Grades!AR107; MCDM_Grades!AT107; All_Datasets!DH107; All_Datasets!BN107; All_Datasets!BO107; All_Datasets!BJ107</t>
  </si>
  <si>
    <t>DS-106|D2</t>
  </si>
  <si>
    <t>MCDM_Grades!AR107; MCDM_Grades!AT107; All_Datasets!DH107; All_Datasets!CR107; All_Datasets!CV107</t>
  </si>
  <si>
    <t>DS-106|D4</t>
  </si>
  <si>
    <t>MCDM_Grades!AR107; MCDM_Grades!AT107; All_Datasets!DH107; All_Datasets!CQ107</t>
  </si>
  <si>
    <t>DS-106|C1</t>
  </si>
  <si>
    <t>MCDM_Grades!AR107; MCDM_Grades!AT107; All_Datasets!DH107; All_Datasets!AC107; All_Datasets!AF107</t>
  </si>
  <si>
    <t>DS-106|C2</t>
  </si>
  <si>
    <t>MCDM_Grades!AR107; MCDM_Grades!AT107; All_Datasets!DH107; All_Datasets!AC107; All_Datasets!BJ107</t>
  </si>
  <si>
    <t>DS-106|R1</t>
  </si>
  <si>
    <t>DS-106|R2</t>
  </si>
  <si>
    <t>DS-106|M1</t>
  </si>
  <si>
    <t>DS-106|M2</t>
  </si>
  <si>
    <t>DS-106|M5</t>
  </si>
  <si>
    <t>DS-107|A1</t>
  </si>
  <si>
    <t>MCDM_Grades!AR108; MCDM_Grades!AT108; All_Datasets!DH108; All_Datasets!L108; All_Datasets!T108</t>
  </si>
  <si>
    <t>Zenodo API identifies an open CC BY release with checksummed GPR/video-processing demonstration files, but its description is empty. Filename/title hints do not verify pavement labels, alignment or engineering measurements.</t>
  </si>
  <si>
    <t>DS-107|A2</t>
  </si>
  <si>
    <t>MCDM_Grades!AR108; MCDM_Grades!AT108; All_Datasets!DH108; All_Datasets!CJ108; All_Datasets!CM108</t>
  </si>
  <si>
    <t>DS-107|A3</t>
  </si>
  <si>
    <t>MCDM_Grades!AR108; MCDM_Grades!AT108; All_Datasets!DH108; All_Datasets!CK108</t>
  </si>
  <si>
    <t>DS-107|L1</t>
  </si>
  <si>
    <t>MCDM_Grades!AR108; MCDM_Grades!AT108; All_Datasets!DH108; All_Datasets!BH108</t>
  </si>
  <si>
    <t>DS-107|L2</t>
  </si>
  <si>
    <t>MCDM_Grades!AR108; MCDM_Grades!AT108; All_Datasets!DH108; All_Datasets!BN108</t>
  </si>
  <si>
    <t>DS-107|L4</t>
  </si>
  <si>
    <t>MCDM_Grades!AR108; MCDM_Grades!AT108; All_Datasets!DH108</t>
  </si>
  <si>
    <t>DS-107|D1</t>
  </si>
  <si>
    <t>MCDM_Grades!AR108; MCDM_Grades!AT108; All_Datasets!DH108; All_Datasets!BN108; All_Datasets!BO108</t>
  </si>
  <si>
    <t>DS-107|D2</t>
  </si>
  <si>
    <t>MCDM_Grades!AR108; MCDM_Grades!AT108; All_Datasets!DH108; All_Datasets!CR108; All_Datasets!AU108</t>
  </si>
  <si>
    <t>DS-107|D4</t>
  </si>
  <si>
    <t>MCDM_Grades!AR108; MCDM_Grades!AT108; All_Datasets!DH108; All_Datasets!CQ108</t>
  </si>
  <si>
    <t>DS-107|C1</t>
  </si>
  <si>
    <t>MCDM_Grades!AR108; MCDM_Grades!AT108; All_Datasets!DH108; All_Datasets!AG108</t>
  </si>
  <si>
    <t>DS-107|C2</t>
  </si>
  <si>
    <t>DS-107|R1</t>
  </si>
  <si>
    <t>MCDM_Grades!AR108; MCDM_Grades!AT108; All_Datasets!DH108; All_Datasets!AU108</t>
  </si>
  <si>
    <t>DS-107|R2</t>
  </si>
  <si>
    <t>DS-107|M1</t>
  </si>
  <si>
    <t>MCDM_Grades!AR108; MCDM_Grades!AT108; All_Datasets!DH108; All_Datasets!AU108; All_Datasets!AW108; All_Datasets!BD108</t>
  </si>
  <si>
    <t>DS-107|M2</t>
  </si>
  <si>
    <t>MCDM_Grades!AR108; MCDM_Grades!AT108; All_Datasets!DH108; All_Datasets!BD108</t>
  </si>
  <si>
    <t>DS-107|M5</t>
  </si>
  <si>
    <t>DS-108|A1</t>
  </si>
  <si>
    <t>MCDM_Grades!AR109; MCDM_Grades!AT109; All_Datasets!DH109; All_Datasets!L109; All_Datasets!T109</t>
  </si>
  <si>
    <t>The checksummed Zenodo release describes 2,209 binary image-mask pairs and handheld/vehicle capture mixed with other sources. It supplies split counts; complete source identities, rights and independent sample grouping remain unresolved.</t>
  </si>
  <si>
    <t>DS-108|A2</t>
  </si>
  <si>
    <t>MCDM_Grades!AR109; MCDM_Grades!AT109; All_Datasets!DH109; All_Datasets!CJ109; All_Datasets!CM109</t>
  </si>
  <si>
    <t>DS-108|A3</t>
  </si>
  <si>
    <t>MCDM_Grades!AR109; MCDM_Grades!AT109; All_Datasets!DH109; All_Datasets!CK109</t>
  </si>
  <si>
    <t>DS-108|L1</t>
  </si>
  <si>
    <t>MCDM_Grades!AR109; MCDM_Grades!AT109; All_Datasets!DH109; All_Datasets!BJ109; All_Datasets!BH109</t>
  </si>
  <si>
    <t>DS-108|L2</t>
  </si>
  <si>
    <t>MCDM_Grades!AR109; MCDM_Grades!AT109; All_Datasets!DH109; All_Datasets!BJ109; All_Datasets!BN109; All_Datasets!BY109</t>
  </si>
  <si>
    <t>DS-108|L4</t>
  </si>
  <si>
    <t>MCDM_Grades!AR109; MCDM_Grades!AT109; All_Datasets!DH109; All_Datasets!BZ109</t>
  </si>
  <si>
    <t>DS-108|D1</t>
  </si>
  <si>
    <t>MCDM_Grades!AR109; MCDM_Grades!AT109; All_Datasets!DH109; All_Datasets!BN109; All_Datasets!BO109; All_Datasets!BJ109</t>
  </si>
  <si>
    <t>DS-108|D2</t>
  </si>
  <si>
    <t>MCDM_Grades!AR109; MCDM_Grades!AT109; All_Datasets!DH109; All_Datasets!CR109; All_Datasets!AU109</t>
  </si>
  <si>
    <t>DS-108|D4</t>
  </si>
  <si>
    <t>MCDM_Grades!AR109; MCDM_Grades!AT109; All_Datasets!DH109; All_Datasets!CQ109</t>
  </si>
  <si>
    <t>DS-108|C1</t>
  </si>
  <si>
    <t>MCDM_Grades!AR109; MCDM_Grades!AT109; All_Datasets!DH109; All_Datasets!AC109; All_Datasets!AF109</t>
  </si>
  <si>
    <t>DS-108|C2</t>
  </si>
  <si>
    <t>MCDM_Grades!AR109; MCDM_Grades!AT109; All_Datasets!DH109; All_Datasets!AC109; All_Datasets!BJ109</t>
  </si>
  <si>
    <t>DS-108|R1</t>
  </si>
  <si>
    <t>MCDM_Grades!AR109; MCDM_Grades!AT109; All_Datasets!DH109; All_Datasets!AU109</t>
  </si>
  <si>
    <t>DS-108|R2</t>
  </si>
  <si>
    <t>MCDM_Grades!AR109; MCDM_Grades!AT109; All_Datasets!DH109; All_Datasets!BF109; All_Datasets!AU109</t>
  </si>
  <si>
    <t>DS-108|M1</t>
  </si>
  <si>
    <t>MCDM_Grades!AR109; MCDM_Grades!AT109; All_Datasets!DH109; All_Datasets!AU109; All_Datasets!AW109</t>
  </si>
  <si>
    <t>DS-108|M2</t>
  </si>
  <si>
    <t>MCDM_Grades!AR109; MCDM_Grades!AT109; All_Datasets!DH109</t>
  </si>
  <si>
    <t>DS-108|M5</t>
  </si>
  <si>
    <t>MCDM_Grades!AR109; MCDM_Grades!AT109; All_Datasets!DH109; All_Datasets!BY109; All_Datasets!CQ109</t>
  </si>
  <si>
    <t>DS-109|A1</t>
  </si>
  <si>
    <t>MCDM_Grades!AR110; MCDM_Grades!AT110; All_Datasets!DH110; All_Datasets!D110; All_Datasets!L110; All_Datasets!T110</t>
  </si>
  <si>
    <t>BD-PaveSurface v1 separates 9,000 raw from 12,000 augmented images, with equal class counts and N5/N6 Bangladesh seasonal phone acquisition. Augmentation operators, split membership and parent-aware leakage checks remain to be inspected.</t>
  </si>
  <si>
    <t>DS-109|A2</t>
  </si>
  <si>
    <t>MCDM_Grades!AR110; MCDM_Grades!AT110; All_Datasets!DH110; All_Datasets!CJ110; All_Datasets!CM110</t>
  </si>
  <si>
    <t>DS-109|A3</t>
  </si>
  <si>
    <t>MCDM_Grades!AR110; MCDM_Grades!AT110; All_Datasets!DH110; All_Datasets!CK110</t>
  </si>
  <si>
    <t>DS-109|L1</t>
  </si>
  <si>
    <t>MCDM_Grades!AR110; MCDM_Grades!AT110; All_Datasets!DH110; All_Datasets!BJ110; All_Datasets!BH110; All_Datasets!BI110</t>
  </si>
  <si>
    <t>DS-109|L2</t>
  </si>
  <si>
    <t>MCDM_Grades!AR110; MCDM_Grades!AT110; All_Datasets!DH110; All_Datasets!BJ110; All_Datasets!BN110; All_Datasets!BY110</t>
  </si>
  <si>
    <t>DS-109|L4</t>
  </si>
  <si>
    <t>MCDM_Grades!AR110; MCDM_Grades!AT110; All_Datasets!DH110; All_Datasets!BZ110</t>
  </si>
  <si>
    <t>DS-109|D1</t>
  </si>
  <si>
    <t>MCDM_Grades!AR110; MCDM_Grades!AT110; All_Datasets!DH110; All_Datasets!BN110; All_Datasets!BJ110</t>
  </si>
  <si>
    <t>DS-109|D2</t>
  </si>
  <si>
    <t>MCDM_Grades!AR110; MCDM_Grades!AT110; All_Datasets!DH110; All_Datasets!CR110; All_Datasets!AU110</t>
  </si>
  <si>
    <t>DS-109|D4</t>
  </si>
  <si>
    <t>MCDM_Grades!AR110; MCDM_Grades!AT110; All_Datasets!DH110; All_Datasets!CQ110</t>
  </si>
  <si>
    <t>DS-109|C1</t>
  </si>
  <si>
    <t>MCDM_Grades!AR110; MCDM_Grades!AT110; All_Datasets!DH110; All_Datasets!AC110; All_Datasets!AF110</t>
  </si>
  <si>
    <t>DS-109|C2</t>
  </si>
  <si>
    <t>MCDM_Grades!AR110; MCDM_Grades!AT110; All_Datasets!DH110; All_Datasets!AC110; All_Datasets!BJ110</t>
  </si>
  <si>
    <t>DS-109|R1</t>
  </si>
  <si>
    <t>MCDM_Grades!AR110; MCDM_Grades!AT110; All_Datasets!DH110; All_Datasets!AP110; All_Datasets!AR110; All_Datasets!AS110; All_Datasets!AU110</t>
  </si>
  <si>
    <t>DS-109|R2</t>
  </si>
  <si>
    <t>MCDM_Grades!AR110; MCDM_Grades!AT110; All_Datasets!DH110; All_Datasets!AS110; All_Datasets!BE110; All_Datasets!BF110; All_Datasets!AU110</t>
  </si>
  <si>
    <t>DS-109|M1</t>
  </si>
  <si>
    <t>MCDM_Grades!AR110; MCDM_Grades!AT110; All_Datasets!DH110; All_Datasets!AU110; All_Datasets!AW110</t>
  </si>
  <si>
    <t>DS-109|M2</t>
  </si>
  <si>
    <t>MCDM_Grades!AR110; MCDM_Grades!AT110; All_Datasets!DH110</t>
  </si>
  <si>
    <t>DS-109|M5</t>
  </si>
  <si>
    <t>MCDM_Grades!AR110; MCDM_Grades!AT110; All_Datasets!DH110; All_Datasets!BY110; All_Datasets!CQ110</t>
  </si>
  <si>
    <t>DS-110|A1</t>
  </si>
  <si>
    <t>MCDM_Grades!AR111; MCDM_Grades!AT111; All_Datasets!DH111; All_Datasets!L111; All_Datasets!T111</t>
  </si>
  <si>
    <t>BR-AsPavDam's Zenodo source describes five DNIT-based classes, technical committee consensus, iPhone bumper capture, normalized YOLO schema, processing and class/weather/location bias. A benchmark mAP alone does not provide uncertainty or prove runnable reproduction; actual condition measurements remain unresolved.</t>
  </si>
  <si>
    <t>DS-110|A2</t>
  </si>
  <si>
    <t>MCDM_Grades!AR111; MCDM_Grades!AT111; All_Datasets!DH111; All_Datasets!CJ111; All_Datasets!CM111</t>
  </si>
  <si>
    <t>DS-110|A3</t>
  </si>
  <si>
    <t>MCDM_Grades!AR111; MCDM_Grades!AT111; All_Datasets!DH111; All_Datasets!CK111</t>
  </si>
  <si>
    <t>DS-110|L1</t>
  </si>
  <si>
    <t>MCDM_Grades!AR111; MCDM_Grades!AT111; All_Datasets!DH111; All_Datasets!BJ111; All_Datasets!BH111</t>
  </si>
  <si>
    <t>DS-110|L2</t>
  </si>
  <si>
    <t>MCDM_Grades!AR111; MCDM_Grades!AT111; All_Datasets!DH111; All_Datasets!BJ111; All_Datasets!BN111; All_Datasets!BY111</t>
  </si>
  <si>
    <t>DS-110|L4</t>
  </si>
  <si>
    <t>MCDM_Grades!AR111; MCDM_Grades!AT111; All_Datasets!DH111; All_Datasets!BZ111</t>
  </si>
  <si>
    <t>DS-110|D1</t>
  </si>
  <si>
    <t>MCDM_Grades!AR111; MCDM_Grades!AT111; All_Datasets!DH111; All_Datasets!BN111; All_Datasets!BO111; All_Datasets!BJ111</t>
  </si>
  <si>
    <t>DS-110|D2</t>
  </si>
  <si>
    <t>MCDM_Grades!AR111; MCDM_Grades!AT111; All_Datasets!DH111; All_Datasets!CR111; All_Datasets!AU111</t>
  </si>
  <si>
    <t>DS-110|D4</t>
  </si>
  <si>
    <t>MCDM_Grades!AR111; MCDM_Grades!AT111; All_Datasets!DH111; All_Datasets!CQ111</t>
  </si>
  <si>
    <t>DS-110|C1</t>
  </si>
  <si>
    <t>MCDM_Grades!AR111; MCDM_Grades!AT111; All_Datasets!DH111</t>
  </si>
  <si>
    <t>DS-110|C2</t>
  </si>
  <si>
    <t>MCDM_Grades!AR111; MCDM_Grades!AT111; All_Datasets!DH111; All_Datasets!BJ111</t>
  </si>
  <si>
    <t>DS-110|R1</t>
  </si>
  <si>
    <t>MCDM_Grades!AR111; MCDM_Grades!AT111; All_Datasets!DH111; All_Datasets!AP111; All_Datasets!AR111; All_Datasets!AS111; All_Datasets!AU111</t>
  </si>
  <si>
    <t>DS-110|R2</t>
  </si>
  <si>
    <t>MCDM_Grades!AR111; MCDM_Grades!AT111; All_Datasets!DH111; All_Datasets!AS111; All_Datasets!BF111; All_Datasets!AU111</t>
  </si>
  <si>
    <t>DS-110|M1</t>
  </si>
  <si>
    <t>MCDM_Grades!AR111; MCDM_Grades!AT111; All_Datasets!DH111; All_Datasets!AU111; All_Datasets!AW111</t>
  </si>
  <si>
    <t>DS-110|M2</t>
  </si>
  <si>
    <t>MCDM_Grades!AR111; MCDM_Grades!AT111; All_Datasets!DH111; All_Datasets!AN111</t>
  </si>
  <si>
    <t>DS-110|M5</t>
  </si>
  <si>
    <t>MCDM_Grades!AR111; MCDM_Grades!AT111; All_Datasets!DH111; All_Datasets!AN111; All_Datasets!BY111; All_Datasets!CQ111</t>
  </si>
  <si>
    <t>DS-111|A1</t>
  </si>
  <si>
    <t>Description / Files; Video 1 and Route 1</t>
  </si>
  <si>
    <t>Named Video 1 and Route 1 deposit, version 1.0.</t>
  </si>
  <si>
    <t>Assess this single pinned release only; the sibling series is unassessed.</t>
  </si>
  <si>
    <t>DS-111|A2</t>
  </si>
  <si>
    <t>External links and contact/request access route stated.</t>
  </si>
  <si>
    <t>DS-111|A3</t>
  </si>
  <si>
    <t>Release-specific data terms not established in this review.</t>
  </si>
  <si>
    <t>DS-111|L1</t>
  </si>
  <si>
    <t>YOLO class names and pseudolabel outputs described.</t>
  </si>
  <si>
    <t>DS-111|L2</t>
  </si>
  <si>
    <t>CSV and model settings do not establish the exact target encoding and full annotation procedure.</t>
  </si>
  <si>
    <t>DS-111|L4</t>
  </si>
  <si>
    <t>Concrete label QA practice not established.</t>
  </si>
  <si>
    <t>DS-111|D1</t>
  </si>
  <si>
    <t>Complete file/label correspondence not established.</t>
  </si>
  <si>
    <t>DS-111|D2</t>
  </si>
  <si>
    <t>CAMBER collection and processing provenance identified.</t>
  </si>
  <si>
    <t>DS-111|D4</t>
  </si>
  <si>
    <t>Intended road survey use and processing status Pending stated.</t>
  </si>
  <si>
    <t>DS-111|C1</t>
  </si>
  <si>
    <t>One named 0.93-hour, 10.90-km video/route unit is described. This is not 67 independent samples.</t>
  </si>
  <si>
    <t>DS-111|C2</t>
  </si>
  <si>
    <t>Class/subset numeric distribution not established.</t>
  </si>
  <si>
    <t>DS-111|R1</t>
  </si>
  <si>
    <t>WGS84 coordinate convention does not identify actual collection geography and setting.</t>
  </si>
  <si>
    <t>DS-111|R2</t>
  </si>
  <si>
    <t>One route and duration delimit the observed collection.</t>
  </si>
  <si>
    <t>DS-111|M1</t>
  </si>
  <si>
    <t>Mobile-device video capture described.</t>
  </si>
  <si>
    <t>DS-111|M2</t>
  </si>
  <si>
    <t>Required native image resolution not established.</t>
  </si>
  <si>
    <t>DS-111|M5</t>
  </si>
  <si>
    <t>YOLO and GPS processing workflow described.</t>
  </si>
  <si>
    <t>DS-112|A1</t>
  </si>
  <si>
    <t>MCDM_Grades!AR113; MCDM_Grades!AT113; All_Datasets!DH113; All_Datasets!L113; All_Datasets!T113</t>
  </si>
  <si>
    <t>CUPAC's checksummed archives contain Coventry vehicle sensing under day/night and varied weather. The landing page does not establish pavement distress targets; autonomous-driving context alone cannot earn label or engineering-outcome points.</t>
  </si>
  <si>
    <t>DS-112|A2</t>
  </si>
  <si>
    <t>MCDM_Grades!AR113; MCDM_Grades!AT113; All_Datasets!DH113; All_Datasets!CJ113; All_Datasets!CM113</t>
  </si>
  <si>
    <t>DS-112|A3</t>
  </si>
  <si>
    <t>MCDM_Grades!AR113; MCDM_Grades!AT113; All_Datasets!DH113; All_Datasets!CK113</t>
  </si>
  <si>
    <t>DS-112|L1</t>
  </si>
  <si>
    <t>N/A</t>
  </si>
  <si>
    <t>MCDM_Grades!AR113; MCDM_Grades!AT113; All_Datasets!DH113</t>
  </si>
  <si>
    <t>Autonomous-driving sensing is documented, but released task targets or measured outcomes are not sufficiently identified in this source packet; no absent-label failure is inferred.</t>
  </si>
  <si>
    <t>DS-112|L2</t>
  </si>
  <si>
    <t>DS-112|L4</t>
  </si>
  <si>
    <t>MCDM_Grades!AR113; MCDM_Grades!AT113; All_Datasets!DH113; All_Datasets!BZ113</t>
  </si>
  <si>
    <t>DS-112|D1</t>
  </si>
  <si>
    <t>DS-112|D2</t>
  </si>
  <si>
    <t>MCDM_Grades!AR113; MCDM_Grades!AT113; All_Datasets!DH113; All_Datasets!CR113; All_Datasets!AU113</t>
  </si>
  <si>
    <t>DS-112|D4</t>
  </si>
  <si>
    <t>MCDM_Grades!AR113; MCDM_Grades!AT113; All_Datasets!DH113; All_Datasets!CQ113</t>
  </si>
  <si>
    <t>DS-112|C1</t>
  </si>
  <si>
    <t>DS-112|C2</t>
  </si>
  <si>
    <t>DS-112|R1</t>
  </si>
  <si>
    <t>MCDM_Grades!AR113; MCDM_Grades!AT113; All_Datasets!DH113; All_Datasets!AP113; All_Datasets!AR113; All_Datasets!AS113; All_Datasets!AU113</t>
  </si>
  <si>
    <t>DS-112|R2</t>
  </si>
  <si>
    <t>MCDM_Grades!AR113; MCDM_Grades!AT113; All_Datasets!DH113; All_Datasets!AS113; All_Datasets!BE113; All_Datasets!BF113; All_Datasets!AU113</t>
  </si>
  <si>
    <t>DS-112|M1</t>
  </si>
  <si>
    <t>MCDM_Grades!AR113; MCDM_Grades!AT113; All_Datasets!DH113; All_Datasets!AU113; All_Datasets!AW113; All_Datasets!BD113</t>
  </si>
  <si>
    <t>DS-112|M2</t>
  </si>
  <si>
    <t>MCDM_Grades!AR113; MCDM_Grades!AT113; All_Datasets!DH113; All_Datasets!BD113</t>
  </si>
  <si>
    <t>DS-112|M5</t>
  </si>
  <si>
    <t>DS-113|A1</t>
  </si>
  <si>
    <t>MCDM_Grades!AR114; MCDM_Grades!AT114; All_Datasets!DH114; All_Datasets!L114; All_Datasets!T114</t>
  </si>
  <si>
    <t>The fatigue-severity release identifies visible/infrared/fused folders and image-to-severity TXT lists. Fusion is 50/50; actual severity thresholds, measurement operators, calibration and spatial linkage are not established by the file descriptions.</t>
  </si>
  <si>
    <t>DS-113|A2</t>
  </si>
  <si>
    <t>MCDM_Grades!AR114; MCDM_Grades!AT114; All_Datasets!DH114; All_Datasets!CJ114; All_Datasets!CM114</t>
  </si>
  <si>
    <t>DS-113|A3</t>
  </si>
  <si>
    <t>MCDM_Grades!AR114; MCDM_Grades!AT114; All_Datasets!DH114; All_Datasets!CK114</t>
  </si>
  <si>
    <t>DS-113|L1</t>
  </si>
  <si>
    <t>MCDM_Grades!AR114; MCDM_Grades!AT114; All_Datasets!DH114; All_Datasets!BJ114; All_Datasets!BH114</t>
  </si>
  <si>
    <t>DS-113|L2</t>
  </si>
  <si>
    <t>MCDM_Grades!AR114; MCDM_Grades!AT114; All_Datasets!DH114; All_Datasets!BJ114; All_Datasets!BN114; All_Datasets!BY114</t>
  </si>
  <si>
    <t>DS-113|L4</t>
  </si>
  <si>
    <t>MCDM_Grades!AR114; MCDM_Grades!AT114; All_Datasets!DH114; All_Datasets!BZ114</t>
  </si>
  <si>
    <t>DS-113|D1</t>
  </si>
  <si>
    <t>MCDM_Grades!AR114; MCDM_Grades!AT114; All_Datasets!DH114; All_Datasets!BN114; All_Datasets!BO114; All_Datasets!BJ114</t>
  </si>
  <si>
    <t>DS-113|D2</t>
  </si>
  <si>
    <t>MCDM_Grades!AR114; MCDM_Grades!AT114; All_Datasets!DH114; All_Datasets!CR114; All_Datasets!AU114</t>
  </si>
  <si>
    <t>DS-113|D4</t>
  </si>
  <si>
    <t>MCDM_Grades!AR114; MCDM_Grades!AT114; All_Datasets!DH114; All_Datasets!CQ114</t>
  </si>
  <si>
    <t>DS-113|C1</t>
  </si>
  <si>
    <t>MCDM_Grades!AR114; MCDM_Grades!AT114; All_Datasets!DH114</t>
  </si>
  <si>
    <t>DS-113|C2</t>
  </si>
  <si>
    <t>MCDM_Grades!AR114; MCDM_Grades!AT114; All_Datasets!DH114; All_Datasets!BJ114</t>
  </si>
  <si>
    <t>DS-113|R1</t>
  </si>
  <si>
    <t>MCDM_Grades!AR114; MCDM_Grades!AT114; All_Datasets!DH114; All_Datasets!AP114; All_Datasets!AS114; All_Datasets!AU114</t>
  </si>
  <si>
    <t>DS-113|R2</t>
  </si>
  <si>
    <t>MCDM_Grades!AR114; MCDM_Grades!AT114; All_Datasets!DH114; All_Datasets!AS114; All_Datasets!AU114</t>
  </si>
  <si>
    <t>DS-113|M1</t>
  </si>
  <si>
    <t>MCDM_Grades!AR114; MCDM_Grades!AT114; All_Datasets!DH114; All_Datasets!AU114; All_Datasets!AW114</t>
  </si>
  <si>
    <t>DS-113|M2</t>
  </si>
  <si>
    <t>DS-113|M5</t>
  </si>
  <si>
    <t>MCDM_Grades!AR114; MCDM_Grades!AT114; All_Datasets!DH114; All_Datasets!BY114; All_Datasets!CQ114</t>
  </si>
  <si>
    <t>DS-114|A1</t>
  </si>
  <si>
    <t>MCDM_Grades!AR115; MCDM_Grades!AT115; All_Datasets!DH115; All_Datasets!L115; All_Datasets!T115</t>
  </si>
  <si>
    <t>The crack-severity release describes four ordinal labels, visible/IR/fused inputs and ground-truth/split lists. Labels without measurement definitions do not earn Engineering Value. Potential overlap with DS-113 needs a parent-image audit.</t>
  </si>
  <si>
    <t>DS-114|A2</t>
  </si>
  <si>
    <t>MCDM_Grades!AR115; MCDM_Grades!AT115; All_Datasets!DH115; All_Datasets!CJ115; All_Datasets!CM115</t>
  </si>
  <si>
    <t>DS-114|A3</t>
  </si>
  <si>
    <t>MCDM_Grades!AR115; MCDM_Grades!AT115; All_Datasets!DH115; All_Datasets!CK115</t>
  </si>
  <si>
    <t>DS-114|L1</t>
  </si>
  <si>
    <t>MCDM_Grades!AR115; MCDM_Grades!AT115; All_Datasets!DH115; All_Datasets!BJ115; All_Datasets!BH115</t>
  </si>
  <si>
    <t>DS-114|L2</t>
  </si>
  <si>
    <t>MCDM_Grades!AR115; MCDM_Grades!AT115; All_Datasets!DH115; All_Datasets!BJ115; All_Datasets!BN115; All_Datasets!BY115</t>
  </si>
  <si>
    <t>DS-114|L4</t>
  </si>
  <si>
    <t>MCDM_Grades!AR115; MCDM_Grades!AT115; All_Datasets!DH115; All_Datasets!BZ115</t>
  </si>
  <si>
    <t>DS-114|D1</t>
  </si>
  <si>
    <t>MCDM_Grades!AR115; MCDM_Grades!AT115; All_Datasets!DH115; All_Datasets!BN115; All_Datasets!BO115; All_Datasets!BJ115</t>
  </si>
  <si>
    <t>DS-114|D2</t>
  </si>
  <si>
    <t>MCDM_Grades!AR115; MCDM_Grades!AT115; All_Datasets!DH115; All_Datasets!CR115; All_Datasets!AU115</t>
  </si>
  <si>
    <t>DS-114|D4</t>
  </si>
  <si>
    <t>MCDM_Grades!AR115; MCDM_Grades!AT115; All_Datasets!DH115; All_Datasets!CQ115</t>
  </si>
  <si>
    <t>DS-114|C1</t>
  </si>
  <si>
    <t>MCDM_Grades!AR115; MCDM_Grades!AT115; All_Datasets!DH115</t>
  </si>
  <si>
    <t>DS-114|C2</t>
  </si>
  <si>
    <t>MCDM_Grades!AR115; MCDM_Grades!AT115; All_Datasets!DH115; All_Datasets!BJ115</t>
  </si>
  <si>
    <t>DS-114|R1</t>
  </si>
  <si>
    <t>MCDM_Grades!AR115; MCDM_Grades!AT115; All_Datasets!DH115; All_Datasets!AP115; All_Datasets!AS115; All_Datasets!AU115</t>
  </si>
  <si>
    <t>DS-114|R2</t>
  </si>
  <si>
    <t>MCDM_Grades!AR115; MCDM_Grades!AT115; All_Datasets!DH115; All_Datasets!AS115; All_Datasets!AU115</t>
  </si>
  <si>
    <t>DS-114|M1</t>
  </si>
  <si>
    <t>MCDM_Grades!AR115; MCDM_Grades!AT115; All_Datasets!DH115; All_Datasets!AU115; All_Datasets!AW115</t>
  </si>
  <si>
    <t>DS-114|M2</t>
  </si>
  <si>
    <t>DS-114|M5</t>
  </si>
  <si>
    <t>MCDM_Grades!AR115; MCDM_Grades!AT115; All_Datasets!DH115; All_Datasets!BY115; All_Datasets!CQ115</t>
  </si>
  <si>
    <t>DS-115|A1</t>
  </si>
  <si>
    <t>MCDM_Grades!AR116; MCDM_Grades!AT116; All_Datasets!DH116; All_Datasets!L116; All_Datasets!T116</t>
  </si>
  <si>
    <t>EPDD primary evidence remained inaccessible through direct fetch and web fallback. Keep inventory claims unverified and all checks unresolved until an exact release and documentation can be inspected.</t>
  </si>
  <si>
    <t>DS-115|A2</t>
  </si>
  <si>
    <t>MCDM_Grades!AR116; MCDM_Grades!AT116; All_Datasets!DH116; All_Datasets!CJ116; All_Datasets!CM116</t>
  </si>
  <si>
    <t>DS-115|A3</t>
  </si>
  <si>
    <t>MCDM_Grades!AR116; MCDM_Grades!AT116; All_Datasets!DH116; All_Datasets!CK116</t>
  </si>
  <si>
    <t>DS-115|L1</t>
  </si>
  <si>
    <t>MCDM_Grades!AR116; MCDM_Grades!AT116; All_Datasets!DH116; All_Datasets!BJ116; All_Datasets!BH116</t>
  </si>
  <si>
    <t>DS-115|L2</t>
  </si>
  <si>
    <t>MCDM_Grades!AR116; MCDM_Grades!AT116; All_Datasets!DH116; All_Datasets!BJ116; All_Datasets!BN116; All_Datasets!BY116</t>
  </si>
  <si>
    <t>DS-115|L4</t>
  </si>
  <si>
    <t>MCDM_Grades!AR116; MCDM_Grades!AT116; All_Datasets!DH116; All_Datasets!BZ116</t>
  </si>
  <si>
    <t>DS-115|D1</t>
  </si>
  <si>
    <t>MCDM_Grades!AR116; MCDM_Grades!AT116; All_Datasets!DH116; All_Datasets!BN116; All_Datasets!BO116; All_Datasets!BJ116</t>
  </si>
  <si>
    <t>DS-115|D2</t>
  </si>
  <si>
    <t>MCDM_Grades!AR116; MCDM_Grades!AT116; All_Datasets!DH116; All_Datasets!CR116; All_Datasets!AU116</t>
  </si>
  <si>
    <t>DS-115|D4</t>
  </si>
  <si>
    <t>MCDM_Grades!AR116; MCDM_Grades!AT116; All_Datasets!DH116; All_Datasets!CQ116</t>
  </si>
  <si>
    <t>DS-115|C1</t>
  </si>
  <si>
    <t>MCDM_Grades!AR116; MCDM_Grades!AT116; All_Datasets!DH116; All_Datasets!AC116; All_Datasets!AF116</t>
  </si>
  <si>
    <t>DS-115|C2</t>
  </si>
  <si>
    <t>MCDM_Grades!AR116; MCDM_Grades!AT116; All_Datasets!DH116; All_Datasets!AC116; All_Datasets!BJ116</t>
  </si>
  <si>
    <t>DS-115|R1</t>
  </si>
  <si>
    <t>MCDM_Grades!AR116; MCDM_Grades!AT116; All_Datasets!DH116; All_Datasets!AP116; All_Datasets!AR116; All_Datasets!AS116; All_Datasets!AU116</t>
  </si>
  <si>
    <t>DS-115|R2</t>
  </si>
  <si>
    <t>MCDM_Grades!AR116; MCDM_Grades!AT116; All_Datasets!DH116; All_Datasets!AS116; All_Datasets!AU116</t>
  </si>
  <si>
    <t>DS-115|M1</t>
  </si>
  <si>
    <t>MCDM_Grades!AR116; MCDM_Grades!AT116; All_Datasets!DH116; All_Datasets!AU116; All_Datasets!AW116</t>
  </si>
  <si>
    <t>DS-115|M2</t>
  </si>
  <si>
    <t>MCDM_Grades!AR116; MCDM_Grades!AT116; All_Datasets!DH116</t>
  </si>
  <si>
    <t>DS-115|M5</t>
  </si>
  <si>
    <t>MCDM_Grades!AR116; MCDM_Grades!AT116; All_Datasets!DH116; All_Datasets!BY116; All_Datasets!CQ116</t>
  </si>
  <si>
    <t>DS-116|A1</t>
  </si>
  <si>
    <t>MCDM_Grades!AR117; MCDM_Grades!AT117; All_Datasets!DH117; All_Datasets!D117; All_Datasets!L117; All_Datasets!T117</t>
  </si>
  <si>
    <t>N6 Part 1 reports 12,000 raw plus 12,000 augmented images. Part 2 repeats the same totals and description without explaining allocation, so counts for this exact part are conflicted. Both parts have distinct archive checksums; inspect before pooling.</t>
  </si>
  <si>
    <t>DS-116|A2</t>
  </si>
  <si>
    <t>MCDM_Grades!AR117; MCDM_Grades!AT117; All_Datasets!DH117; All_Datasets!CJ117; All_Datasets!CM117</t>
  </si>
  <si>
    <t>DS-116|A3</t>
  </si>
  <si>
    <t>MCDM_Grades!AR117; MCDM_Grades!AT117; All_Datasets!DH117; All_Datasets!CK117</t>
  </si>
  <si>
    <t>DS-116|L1</t>
  </si>
  <si>
    <t>MCDM_Grades!AR117; MCDM_Grades!AT117; All_Datasets!DH117; All_Datasets!BJ117; All_Datasets!BH117; All_Datasets!BI117</t>
  </si>
  <si>
    <t>DS-116|L2</t>
  </si>
  <si>
    <t>MCDM_Grades!AR117; MCDM_Grades!AT117; All_Datasets!DH117; All_Datasets!BJ117; All_Datasets!BN117; All_Datasets!BY117</t>
  </si>
  <si>
    <t>DS-116|L4</t>
  </si>
  <si>
    <t>MCDM_Grades!AR117; MCDM_Grades!AT117; All_Datasets!DH117; All_Datasets!BZ117</t>
  </si>
  <si>
    <t>DS-116|D1</t>
  </si>
  <si>
    <t>MCDM_Grades!AR117; MCDM_Grades!AT117; All_Datasets!DH117; All_Datasets!BN117; All_Datasets!BJ117</t>
  </si>
  <si>
    <t>DS-116|D2</t>
  </si>
  <si>
    <t>MCDM_Grades!AR117; MCDM_Grades!AT117; All_Datasets!DH117; All_Datasets!CR117; All_Datasets!AU117</t>
  </si>
  <si>
    <t>DS-116|D4</t>
  </si>
  <si>
    <t>MCDM_Grades!AR117; MCDM_Grades!AT117; All_Datasets!DH117; All_Datasets!CQ117</t>
  </si>
  <si>
    <t>DS-116|C1</t>
  </si>
  <si>
    <t>MCDM_Grades!AR117; MCDM_Grades!AT117; All_Datasets!DH117; All_Datasets!AC117; All_Datasets!AF117</t>
  </si>
  <si>
    <t>Part 1 and Part 2 repeat the same totals without allocation; the count for this exact part remains contradicted.</t>
  </si>
  <si>
    <t>DS-116|C2</t>
  </si>
  <si>
    <t>MCDM_Grades!AR117; MCDM_Grades!AT117; All_Datasets!DH117; All_Datasets!AC117; All_Datasets!BJ117</t>
  </si>
  <si>
    <t>DS-116|R1</t>
  </si>
  <si>
    <t>MCDM_Grades!AR117; MCDM_Grades!AT117; All_Datasets!DH117; All_Datasets!AP117; All_Datasets!AR117; All_Datasets!AS117; All_Datasets!AU117</t>
  </si>
  <si>
    <t>DS-116|R2</t>
  </si>
  <si>
    <t>MCDM_Grades!AR117; MCDM_Grades!AT117; All_Datasets!DH117; All_Datasets!AS117; All_Datasets!BF117; All_Datasets!AU117</t>
  </si>
  <si>
    <t>DS-116|M1</t>
  </si>
  <si>
    <t>MCDM_Grades!AR117; MCDM_Grades!AT117; All_Datasets!DH117; All_Datasets!AU117</t>
  </si>
  <si>
    <t>DS-116|M2</t>
  </si>
  <si>
    <t>MCDM_Grades!AR117; MCDM_Grades!AT117; All_Datasets!DH117</t>
  </si>
  <si>
    <t>DS-116|M5</t>
  </si>
  <si>
    <t>MCDM_Grades!AR117; MCDM_Grades!AT117; All_Datasets!DH117; All_Datasets!BY117; All_Datasets!CQ117</t>
  </si>
  <si>
    <t>DS-117|A1</t>
  </si>
  <si>
    <t>MCDM_Grades!AR118; MCDM_Grades!AT118; All_Datasets!DH118; All_Datasets!D118; All_Datasets!L118; All_Datasets!T118</t>
  </si>
  <si>
    <t>N6 Part 2 repeats Part 1's 24,000-image description despite a different archive. Raw-versus-augmented totals for this individual part are unresolved; do not sum the two descriptions as independent captures.</t>
  </si>
  <si>
    <t>DS-117|A2</t>
  </si>
  <si>
    <t>MCDM_Grades!AR118; MCDM_Grades!AT118; All_Datasets!DH118; All_Datasets!CJ118; All_Datasets!CM118</t>
  </si>
  <si>
    <t>DS-117|A3</t>
  </si>
  <si>
    <t>MCDM_Grades!AR118; MCDM_Grades!AT118; All_Datasets!DH118; All_Datasets!CK118</t>
  </si>
  <si>
    <t>DS-117|L1</t>
  </si>
  <si>
    <t>MCDM_Grades!AR118; MCDM_Grades!AT118; All_Datasets!DH118; All_Datasets!BJ118; All_Datasets!BH118; All_Datasets!BI118</t>
  </si>
  <si>
    <t>DS-117|L2</t>
  </si>
  <si>
    <t>MCDM_Grades!AR118; MCDM_Grades!AT118; All_Datasets!DH118; All_Datasets!BJ118; All_Datasets!BN118; All_Datasets!BY118</t>
  </si>
  <si>
    <t>DS-117|L4</t>
  </si>
  <si>
    <t>MCDM_Grades!AR118; MCDM_Grades!AT118; All_Datasets!DH118; All_Datasets!BZ118</t>
  </si>
  <si>
    <t>DS-117|D1</t>
  </si>
  <si>
    <t>MCDM_Grades!AR118; MCDM_Grades!AT118; All_Datasets!DH118; All_Datasets!BN118; All_Datasets!BJ118</t>
  </si>
  <si>
    <t>DS-117|D2</t>
  </si>
  <si>
    <t>MCDM_Grades!AR118; MCDM_Grades!AT118; All_Datasets!DH118; All_Datasets!CR118; All_Datasets!AU118</t>
  </si>
  <si>
    <t>DS-117|D4</t>
  </si>
  <si>
    <t>MCDM_Grades!AR118; MCDM_Grades!AT118; All_Datasets!DH118; All_Datasets!CQ118</t>
  </si>
  <si>
    <t>DS-117|C1</t>
  </si>
  <si>
    <t>MCDM_Grades!AR118; MCDM_Grades!AT118; All_Datasets!DH118; All_Datasets!AC118; All_Datasets!AF118</t>
  </si>
  <si>
    <t>Part 2 and Part 1 repeat the same totals without allocation; the count for this exact part remains contradicted.</t>
  </si>
  <si>
    <t>DS-117|C2</t>
  </si>
  <si>
    <t>MCDM_Grades!AR118; MCDM_Grades!AT118; All_Datasets!DH118; All_Datasets!AC118; All_Datasets!BJ118</t>
  </si>
  <si>
    <t>DS-117|R1</t>
  </si>
  <si>
    <t>MCDM_Grades!AR118; MCDM_Grades!AT118; All_Datasets!DH118; All_Datasets!AP118; All_Datasets!AR118; All_Datasets!AS118; All_Datasets!AU118</t>
  </si>
  <si>
    <t>DS-117|R2</t>
  </si>
  <si>
    <t>MCDM_Grades!AR118; MCDM_Grades!AT118; All_Datasets!DH118; All_Datasets!AS118; All_Datasets!BF118; All_Datasets!AU118</t>
  </si>
  <si>
    <t>DS-117|M1</t>
  </si>
  <si>
    <t>MCDM_Grades!AR118; MCDM_Grades!AT118; All_Datasets!DH118; All_Datasets!AU118</t>
  </si>
  <si>
    <t>DS-117|M2</t>
  </si>
  <si>
    <t>MCDM_Grades!AR118; MCDM_Grades!AT118; All_Datasets!DH118</t>
  </si>
  <si>
    <t>DS-117|M5</t>
  </si>
  <si>
    <t>MCDM_Grades!AR118; MCDM_Grades!AT118; All_Datasets!DH118; All_Datasets!BY118; All_Datasets!CQ118</t>
  </si>
  <si>
    <t>DS-118|A1</t>
  </si>
  <si>
    <t>MCDM_Grades!AR119; MCDM_Grades!AT119; All_Datasets!DH119; All_Datasets!L119; All_Datasets!T119</t>
  </si>
  <si>
    <t>Web fallback verifies Forest Roads Rindbach v1: linked road-section surveys, bearing-capacity tables, geospatial files, scripts and supplementary photogrammetry. GNSS is unprocessed and archive coverage is partial. Rights and precise outcome units/linkage need README review; this is a forest-road task, not a highway crack benchmark.</t>
  </si>
  <si>
    <t>DS-118|A2</t>
  </si>
  <si>
    <t>MCDM_Grades!AR119; MCDM_Grades!AT119; All_Datasets!DH119; All_Datasets!CJ119; All_Datasets!CM119</t>
  </si>
  <si>
    <t>DS-118|A3</t>
  </si>
  <si>
    <t>MCDM_Grades!AR119; MCDM_Grades!AT119; All_Datasets!DH119; All_Datasets!CK119</t>
  </si>
  <si>
    <t>DS-118|L1</t>
  </si>
  <si>
    <t>MCDM_Grades!AR119; MCDM_Grades!AT119; All_Datasets!DH119; All_Datasets!BJ119; All_Datasets!BH119; All_Datasets!BI119</t>
  </si>
  <si>
    <t>DS-118|L2</t>
  </si>
  <si>
    <t>MCDM_Grades!AR119; MCDM_Grades!AT119; All_Datasets!DH119; All_Datasets!BJ119; All_Datasets!BN119; All_Datasets!BY119</t>
  </si>
  <si>
    <t>DS-118|L4</t>
  </si>
  <si>
    <t>MCDM_Grades!AR119; MCDM_Grades!AT119; All_Datasets!DH119; All_Datasets!BZ119</t>
  </si>
  <si>
    <t>DS-118|D1</t>
  </si>
  <si>
    <t>MCDM_Grades!AR119; MCDM_Grades!AT119; All_Datasets!DH119; All_Datasets!BN119; All_Datasets!BJ119</t>
  </si>
  <si>
    <t>DS-118|D2</t>
  </si>
  <si>
    <t>MCDM_Grades!AR119; MCDM_Grades!AT119; All_Datasets!DH119; All_Datasets!CR119; All_Datasets!AU119</t>
  </si>
  <si>
    <t>DS-118|D4</t>
  </si>
  <si>
    <t>MCDM_Grades!AR119; MCDM_Grades!AT119; All_Datasets!DH119; All_Datasets!CQ119</t>
  </si>
  <si>
    <t>DS-118|C1</t>
  </si>
  <si>
    <t>MCDM_Grades!AR119; MCDM_Grades!AT119; All_Datasets!DH119</t>
  </si>
  <si>
    <t>DS-118|C2</t>
  </si>
  <si>
    <t>MCDM_Grades!AR119; MCDM_Grades!AT119; All_Datasets!DH119; All_Datasets!BJ119</t>
  </si>
  <si>
    <t>DS-118|R1</t>
  </si>
  <si>
    <t>MCDM_Grades!AR119; MCDM_Grades!AT119; All_Datasets!DH119; All_Datasets!AP119; All_Datasets!AR119; All_Datasets!AS119; All_Datasets!AU119</t>
  </si>
  <si>
    <t>DS-118|R2</t>
  </si>
  <si>
    <t>MCDM_Grades!AR119; MCDM_Grades!AT119; All_Datasets!DH119; All_Datasets!AS119; All_Datasets!BE119; All_Datasets!AU119</t>
  </si>
  <si>
    <t>DS-118|M1</t>
  </si>
  <si>
    <t>MCDM_Grades!AR119; MCDM_Grades!AT119; All_Datasets!DH119; All_Datasets!AU119; All_Datasets!AW119</t>
  </si>
  <si>
    <t>DS-118|M2</t>
  </si>
  <si>
    <t>MCDM_Grades!AR119; MCDM_Grades!AT119; All_Datasets!DH119; All_Datasets!AN119</t>
  </si>
  <si>
    <t>DS-118|M5</t>
  </si>
  <si>
    <t>MCDM_Grades!AR119; MCDM_Grades!AT119; All_Datasets!DH119; All_Datasets!AN119; All_Datasets!BY119; All_Datasets!CQ119</t>
  </si>
  <si>
    <t>DS-119|A1</t>
  </si>
  <si>
    <t>MCDM_Grades!AR120; MCDM_Grades!AT120; All_Datasets!DH120; All_Datasets!D120; All_Datasets!L120; All_Datasets!T120</t>
  </si>
  <si>
    <t>Retain FIND primary-documentation assignments from the rubric v2.0 worked example. The current direct retrieval failed; no new sample download or label/leakage validation is claimed. The deposit provides 2,500 256 × 256 patches with masks in four paired forms: intensity, raw range, filtered range and fusion. CC BY 4.0 resolves the atlas’s missing license field for this record. Laser acquisition, pixel correspondence and filtering/fusion support M1/M4/M5. The 2,500 patches are not independently verified source scans, and four forms are not 10,000 independent scenes. Provenance and locatable deposit documentation support D2/D5. Exact acquisition-group counts, annotation reliability, independent splits and measured engineering links remain U.</t>
  </si>
  <si>
    <t>DS-119|A2</t>
  </si>
  <si>
    <t>MCDM_Grades!AR120; MCDM_Grades!AT120; All_Datasets!DH120; All_Datasets!CJ120; All_Datasets!CM120</t>
  </si>
  <si>
    <t>DS-119|A3</t>
  </si>
  <si>
    <t>MCDM_Grades!AR120; MCDM_Grades!AT120; All_Datasets!DH120</t>
  </si>
  <si>
    <t>DS-119|L1</t>
  </si>
  <si>
    <t>MCDM_Grades!AR120; MCDM_Grades!AT120; All_Datasets!DH120; All_Datasets!BJ120; All_Datasets!BH120</t>
  </si>
  <si>
    <t>DS-119|L2</t>
  </si>
  <si>
    <t>MCDM_Grades!AR120; MCDM_Grades!AT120; All_Datasets!DH120; All_Datasets!BJ120; All_Datasets!BN120; All_Datasets!BY120</t>
  </si>
  <si>
    <t>DS-119|L4</t>
  </si>
  <si>
    <t>DS-119|D1</t>
  </si>
  <si>
    <t>MCDM_Grades!AR120; MCDM_Grades!AT120; All_Datasets!DH120; All_Datasets!BN120; All_Datasets!BJ120</t>
  </si>
  <si>
    <t>DS-119|D2</t>
  </si>
  <si>
    <t>MCDM_Grades!AR120; MCDM_Grades!AT120; All_Datasets!DH120; All_Datasets!CR120; All_Datasets!AU120</t>
  </si>
  <si>
    <t>DS-119|D4</t>
  </si>
  <si>
    <t>MCDM_Grades!AR120; MCDM_Grades!AT120; All_Datasets!DH120; All_Datasets!CQ120</t>
  </si>
  <si>
    <t>DS-119|C1</t>
  </si>
  <si>
    <t>MCDM_Grades!AR120; MCDM_Grades!AT120; All_Datasets!DH120; All_Datasets!AC120; All_Datasets!AF120</t>
  </si>
  <si>
    <t>DS-119|C2</t>
  </si>
  <si>
    <t>MCDM_Grades!AR120; MCDM_Grades!AT120; All_Datasets!DH120; All_Datasets!AC120; All_Datasets!BJ120</t>
  </si>
  <si>
    <t>DS-119|R1</t>
  </si>
  <si>
    <t>MCDM_Grades!AR120; MCDM_Grades!AT120; All_Datasets!DH120; All_Datasets!AS120; All_Datasets!AU120</t>
  </si>
  <si>
    <t>DS-119|R2</t>
  </si>
  <si>
    <t>DS-119|M1</t>
  </si>
  <si>
    <t>MCDM_Grades!AR120; MCDM_Grades!AT120; All_Datasets!DH120; All_Datasets!AU120</t>
  </si>
  <si>
    <t>DS-119|M2</t>
  </si>
  <si>
    <t>MCDM_Grades!AR120; MCDM_Grades!AT120; All_Datasets!DH120; All_Datasets!AN120</t>
  </si>
  <si>
    <t>DS-119|M5</t>
  </si>
  <si>
    <t>MCDM_Grades!AR120; MCDM_Grades!AT120; All_Datasets!DH120; All_Datasets!AN120; All_Datasets!BY120; All_Datasets!CQ120</t>
  </si>
  <si>
    <t>DS-120|A1</t>
  </si>
  <si>
    <t>MCDM_Grades!AR121; MCDM_Grades!AT121; All_Datasets!DH121; All_Datasets!D121; All_Datasets!L121; All_Datasets!T121</t>
  </si>
  <si>
    <t>HPRD primary page/API and web fallback were unavailable. The engineering-rich title and inventory description do not establish released measurements or access. All 40 checks remain unresolved.</t>
  </si>
  <si>
    <t>DS-120|A2</t>
  </si>
  <si>
    <t>MCDM_Grades!AR121; MCDM_Grades!AT121; All_Datasets!DH121; All_Datasets!CJ121; All_Datasets!CM121</t>
  </si>
  <si>
    <t>DS-120|A3</t>
  </si>
  <si>
    <t>MCDM_Grades!AR121; MCDM_Grades!AT121; All_Datasets!DH121; All_Datasets!CK121</t>
  </si>
  <si>
    <t>DS-120|L1</t>
  </si>
  <si>
    <t>MCDM_Grades!AR121; MCDM_Grades!AT121; All_Datasets!DH121; All_Datasets!BJ121; All_Datasets!BH121</t>
  </si>
  <si>
    <t>DS-120|L2</t>
  </si>
  <si>
    <t>MCDM_Grades!AR121; MCDM_Grades!AT121; All_Datasets!DH121; All_Datasets!BJ121; All_Datasets!BN121; All_Datasets!BY121</t>
  </si>
  <si>
    <t>DS-120|L4</t>
  </si>
  <si>
    <t>MCDM_Grades!AR121; MCDM_Grades!AT121; All_Datasets!DH121; All_Datasets!BZ121</t>
  </si>
  <si>
    <t>DS-120|D1</t>
  </si>
  <si>
    <t>MCDM_Grades!AR121; MCDM_Grades!AT121; All_Datasets!DH121; All_Datasets!BN121; All_Datasets!BJ121</t>
  </si>
  <si>
    <t>DS-120|D2</t>
  </si>
  <si>
    <t>MCDM_Grades!AR121; MCDM_Grades!AT121; All_Datasets!DH121; All_Datasets!CR121; All_Datasets!AU121</t>
  </si>
  <si>
    <t>DS-120|D4</t>
  </si>
  <si>
    <t>MCDM_Grades!AR121; MCDM_Grades!AT121; All_Datasets!DH121; All_Datasets!CQ121</t>
  </si>
  <si>
    <t>DS-120|C1</t>
  </si>
  <si>
    <t>MCDM_Grades!AR121; MCDM_Grades!AT121; All_Datasets!DH121; All_Datasets!AG121</t>
  </si>
  <si>
    <t>DS-120|C2</t>
  </si>
  <si>
    <t>MCDM_Grades!AR121; MCDM_Grades!AT121; All_Datasets!DH121; All_Datasets!BJ121</t>
  </si>
  <si>
    <t>DS-120|R1</t>
  </si>
  <si>
    <t>MCDM_Grades!AR121; MCDM_Grades!AT121; All_Datasets!DH121; All_Datasets!AP121; All_Datasets!AR121; All_Datasets!AS121; All_Datasets!AU121</t>
  </si>
  <si>
    <t>DS-120|R2</t>
  </si>
  <si>
    <t>MCDM_Grades!AR121; MCDM_Grades!AT121; All_Datasets!DH121; All_Datasets!AS121; All_Datasets!AU121</t>
  </si>
  <si>
    <t>DS-120|M1</t>
  </si>
  <si>
    <t>MCDM_Grades!AR121; MCDM_Grades!AT121; All_Datasets!DH121; All_Datasets!AU121</t>
  </si>
  <si>
    <t>DS-120|M2</t>
  </si>
  <si>
    <t>MCDM_Grades!AR121; MCDM_Grades!AT121; All_Datasets!DH121; All_Datasets!AN121</t>
  </si>
  <si>
    <t>DS-120|M5</t>
  </si>
  <si>
    <t>MCDM_Grades!AR121; MCDM_Grades!AT121; All_Datasets!DH121; All_Datasets!AN121; All_Datasets!BY121; All_Datasets!CQ121</t>
  </si>
  <si>
    <t>DS-121|A1</t>
  </si>
  <si>
    <t>MCDM_Grades!AR122; MCDM_Grades!AT122; All_Datasets!DH122; All_Datasets!D122; All_Datasets!L122; All_Datasets!T122</t>
  </si>
  <si>
    <t>IRD v1.0.0 identifies Baghdad dashcam/drone/mobile images, multiple annotation encodings, GPS metadata and per-file checksums. Public anonymized is stated without a detailed privacy procedure. Full five-class semantics, independent capture counts and split rules need README inspection.</t>
  </si>
  <si>
    <t>DS-121|A2</t>
  </si>
  <si>
    <t>MCDM_Grades!AR122; MCDM_Grades!AT122; All_Datasets!DH122; All_Datasets!CJ122; All_Datasets!CM122</t>
  </si>
  <si>
    <t>DS-121|A3</t>
  </si>
  <si>
    <t>MCDM_Grades!AR122; MCDM_Grades!AT122; All_Datasets!DH122; All_Datasets!CK122</t>
  </si>
  <si>
    <t>DS-121|L1</t>
  </si>
  <si>
    <t>MCDM_Grades!AR122; MCDM_Grades!AT122; All_Datasets!DH122; All_Datasets!BJ122; All_Datasets!BH122</t>
  </si>
  <si>
    <t>DS-121|L2</t>
  </si>
  <si>
    <t>MCDM_Grades!AR122; MCDM_Grades!AT122; All_Datasets!DH122; All_Datasets!BJ122; All_Datasets!BN122; All_Datasets!BY122</t>
  </si>
  <si>
    <t>DS-121|L4</t>
  </si>
  <si>
    <t>MCDM_Grades!AR122; MCDM_Grades!AT122; All_Datasets!DH122; All_Datasets!BZ122</t>
  </si>
  <si>
    <t>DS-121|D1</t>
  </si>
  <si>
    <t>MCDM_Grades!AR122; MCDM_Grades!AT122; All_Datasets!DH122; All_Datasets!BN122; All_Datasets!BO122; All_Datasets!BJ122</t>
  </si>
  <si>
    <t>DS-121|D2</t>
  </si>
  <si>
    <t>MCDM_Grades!AR122; MCDM_Grades!AT122; All_Datasets!DH122; All_Datasets!CR122; All_Datasets!AU122</t>
  </si>
  <si>
    <t>DS-121|D4</t>
  </si>
  <si>
    <t>MCDM_Grades!AR122; MCDM_Grades!AT122; All_Datasets!DH122; All_Datasets!CQ122</t>
  </si>
  <si>
    <t>DS-121|C1</t>
  </si>
  <si>
    <t>MCDM_Grades!AR122; MCDM_Grades!AT122; All_Datasets!DH122; All_Datasets!AC122; All_Datasets!AF122</t>
  </si>
  <si>
    <t>DS-121|C2</t>
  </si>
  <si>
    <t>MCDM_Grades!AR122; MCDM_Grades!AT122; All_Datasets!DH122; All_Datasets!AC122; All_Datasets!BJ122</t>
  </si>
  <si>
    <t>DS-121|R1</t>
  </si>
  <si>
    <t>MCDM_Grades!AR122; MCDM_Grades!AT122; All_Datasets!DH122; All_Datasets!AP122; All_Datasets!AR122; All_Datasets!AS122; All_Datasets!AU122</t>
  </si>
  <si>
    <t>DS-121|R2</t>
  </si>
  <si>
    <t>MCDM_Grades!AR122; MCDM_Grades!AT122; All_Datasets!DH122; All_Datasets!AS122; All_Datasets!AU122</t>
  </si>
  <si>
    <t>DS-121|M1</t>
  </si>
  <si>
    <t>MCDM_Grades!AR122; MCDM_Grades!AT122; All_Datasets!DH122; All_Datasets!AU122; All_Datasets!AW122</t>
  </si>
  <si>
    <t>DS-121|M2</t>
  </si>
  <si>
    <t>MCDM_Grades!AR122; MCDM_Grades!AT122; All_Datasets!DH122</t>
  </si>
  <si>
    <t>DS-121|M5</t>
  </si>
  <si>
    <t>MCDM_Grades!AR122; MCDM_Grades!AT122; All_Datasets!DH122; All_Datasets!BY122; All_Datasets!CQ122</t>
  </si>
  <si>
    <t>DS-122|A1</t>
  </si>
  <si>
    <t>MCDM_Grades!AR123; MCDM_Grades!AT123; All_Datasets!DH123; All_Datasets!D123; All_Datasets!L123; All_Datasets!T123</t>
  </si>
  <si>
    <t>IRDD defines four normalized OBB classes and automated integrity/coordinate checks with stratified splits. Total 8,479 differs from split sum 8,478; independent capture count is unknown. Syntax validation is not semantic label reliability, and stratification alone does not prove leakage prevention.</t>
  </si>
  <si>
    <t>DS-122|A2</t>
  </si>
  <si>
    <t>MCDM_Grades!AR123; MCDM_Grades!AT123; All_Datasets!DH123; All_Datasets!CJ123; All_Datasets!CM123</t>
  </si>
  <si>
    <t>DS-122|A3</t>
  </si>
  <si>
    <t>MCDM_Grades!AR123; MCDM_Grades!AT123; All_Datasets!DH123; All_Datasets!CK123</t>
  </si>
  <si>
    <t>DS-122|L1</t>
  </si>
  <si>
    <t>MCDM_Grades!AR123; MCDM_Grades!AT123; All_Datasets!DH123; All_Datasets!BJ123; All_Datasets!BH123</t>
  </si>
  <si>
    <t>DS-122|L2</t>
  </si>
  <si>
    <t>MCDM_Grades!AR123; MCDM_Grades!AT123; All_Datasets!DH123; All_Datasets!BJ123; All_Datasets!BN123; All_Datasets!BY123</t>
  </si>
  <si>
    <t>DS-122|L4</t>
  </si>
  <si>
    <t>MCDM_Grades!AR123; MCDM_Grades!AT123; All_Datasets!DH123; All_Datasets!BZ123</t>
  </si>
  <si>
    <t>Automated image integrity, label-format, class-ID and coordinate-range checks are concrete verification; they do not establish semantic label accuracy.</t>
  </si>
  <si>
    <t>DS-122|D1</t>
  </si>
  <si>
    <t>MCDM_Grades!AR123; MCDM_Grades!AT123; All_Datasets!DH123; All_Datasets!BN123; All_Datasets!BO123; All_Datasets!BJ123</t>
  </si>
  <si>
    <t>DS-122|D2</t>
  </si>
  <si>
    <t>MCDM_Grades!AR123; MCDM_Grades!AT123; All_Datasets!DH123; All_Datasets!CR123; All_Datasets!AU123</t>
  </si>
  <si>
    <t>DS-122|D4</t>
  </si>
  <si>
    <t>MCDM_Grades!AR123; MCDM_Grades!AT123; All_Datasets!DH123; All_Datasets!CQ123</t>
  </si>
  <si>
    <t>DS-122|C1</t>
  </si>
  <si>
    <t>MCDM_Grades!AR123; MCDM_Grades!AT123; All_Datasets!DH123; All_Datasets!AC123; All_Datasets!AF123</t>
  </si>
  <si>
    <t>Reported total 8,479 differs from split sum 8,478; resolve the one-record discrepancy.</t>
  </si>
  <si>
    <t>DS-122|C2</t>
  </si>
  <si>
    <t>MCDM_Grades!AR123; MCDM_Grades!AT123; All_Datasets!DH123; All_Datasets!AC123; All_Datasets!BJ123</t>
  </si>
  <si>
    <t>DS-122|R1</t>
  </si>
  <si>
    <t>MCDM_Grades!AR123; MCDM_Grades!AT123; All_Datasets!DH123; All_Datasets!AP123; All_Datasets!AR123; All_Datasets!AS123; All_Datasets!AU123</t>
  </si>
  <si>
    <t>DS-122|R2</t>
  </si>
  <si>
    <t>MCDM_Grades!AR123; MCDM_Grades!AT123; All_Datasets!DH123; All_Datasets!AS123; All_Datasets!AU123</t>
  </si>
  <si>
    <t>DS-122|M1</t>
  </si>
  <si>
    <t>MCDM_Grades!AR123; MCDM_Grades!AT123; All_Datasets!DH123; All_Datasets!AU123; All_Datasets!AW123</t>
  </si>
  <si>
    <t>DS-122|M2</t>
  </si>
  <si>
    <t>MCDM_Grades!AR123; MCDM_Grades!AT123; All_Datasets!DH123</t>
  </si>
  <si>
    <t>DS-122|M5</t>
  </si>
  <si>
    <t>MCDM_Grades!AR123; MCDM_Grades!AT123; All_Datasets!DH123; All_Datasets!BY123; All_Datasets!CQ123</t>
  </si>
  <si>
    <t>DS-123|A1</t>
  </si>
  <si>
    <t>MCDM_Grades!AR124; MCDM_Grades!AT124; All_Datasets!DH124; All_Datasets!D124; All_Datasets!L124; All_Datasets!T124</t>
  </si>
  <si>
    <t>The South African highway release states binary crack targets on flexible pavement and supplies an archive checksum. Exact route, capture equipment, count and annotation review remain unknown.</t>
  </si>
  <si>
    <t>DS-123|A2</t>
  </si>
  <si>
    <t>MCDM_Grades!AR124; MCDM_Grades!AT124; All_Datasets!DH124; All_Datasets!CJ124; All_Datasets!CM124</t>
  </si>
  <si>
    <t>DS-123|A3</t>
  </si>
  <si>
    <t>MCDM_Grades!AR124; MCDM_Grades!AT124; All_Datasets!DH124</t>
  </si>
  <si>
    <t>DS-123|L1</t>
  </si>
  <si>
    <t>MCDM_Grades!AR124; MCDM_Grades!AT124; All_Datasets!DH124; All_Datasets!BJ124; All_Datasets!BH124</t>
  </si>
  <si>
    <t>DS-123|L2</t>
  </si>
  <si>
    <t>MCDM_Grades!AR124; MCDM_Grades!AT124; All_Datasets!DH124; All_Datasets!BJ124; All_Datasets!BN124; All_Datasets!BY124</t>
  </si>
  <si>
    <t>DS-123|L4</t>
  </si>
  <si>
    <t>MCDM_Grades!AR124; MCDM_Grades!AT124; All_Datasets!DH124; All_Datasets!BZ124</t>
  </si>
  <si>
    <t>DS-123|D1</t>
  </si>
  <si>
    <t>MCDM_Grades!AR124; MCDM_Grades!AT124; All_Datasets!DH124; All_Datasets!BN124; All_Datasets!BJ124</t>
  </si>
  <si>
    <t>DS-123|D2</t>
  </si>
  <si>
    <t>MCDM_Grades!AR124; MCDM_Grades!AT124; All_Datasets!DH124; All_Datasets!CR124; All_Datasets!AU124</t>
  </si>
  <si>
    <t>DS-123|D4</t>
  </si>
  <si>
    <t>MCDM_Grades!AR124; MCDM_Grades!AT124; All_Datasets!DH124; All_Datasets!CQ124</t>
  </si>
  <si>
    <t>DS-123|C1</t>
  </si>
  <si>
    <t>MCDM_Grades!AR124; MCDM_Grades!AT124; All_Datasets!DH124; All_Datasets!AC124; All_Datasets!AF124</t>
  </si>
  <si>
    <t>DS-123|C2</t>
  </si>
  <si>
    <t>MCDM_Grades!AR124; MCDM_Grades!AT124; All_Datasets!DH124; All_Datasets!AC124; All_Datasets!BJ124</t>
  </si>
  <si>
    <t>DS-123|R1</t>
  </si>
  <si>
    <t>MCDM_Grades!AR124; MCDM_Grades!AT124; All_Datasets!DH124; All_Datasets!AP124; All_Datasets!AR124; All_Datasets!AS124; All_Datasets!AU124</t>
  </si>
  <si>
    <t>DS-123|R2</t>
  </si>
  <si>
    <t>MCDM_Grades!AR124; MCDM_Grades!AT124; All_Datasets!DH124; All_Datasets!AS124; All_Datasets!AU124</t>
  </si>
  <si>
    <t>DS-123|M1</t>
  </si>
  <si>
    <t>MCDM_Grades!AR124; MCDM_Grades!AT124; All_Datasets!DH124; All_Datasets!AU124</t>
  </si>
  <si>
    <t>DS-123|M2</t>
  </si>
  <si>
    <t>DS-123|M5</t>
  </si>
  <si>
    <t>MCDM_Grades!AR124; MCDM_Grades!AT124; All_Datasets!DH124; All_Datasets!BY124; All_Datasets!CQ124</t>
  </si>
  <si>
    <t>DS-124|A1</t>
  </si>
  <si>
    <t>MCDM_Grades!AR125; MCDM_Grades!AT125; All_Datasets!DH125; All_Datasets!D125; All_Datasets!L125; All_Datasets!T125</t>
  </si>
  <si>
    <t>MLS v1 identifies Finland 2019, paired reference/conventional scanners, five 10 m validation sections and twenty 10 m continuity sections. These are section units, not 25 independent road sites. Class 3 meaning, precision and engineering outcome units require README/paper inspection; point-cloud use must match the selected task.</t>
  </si>
  <si>
    <t>DS-124|A2</t>
  </si>
  <si>
    <t>MCDM_Grades!AR125; MCDM_Grades!AT125; All_Datasets!DH125; All_Datasets!CJ125; All_Datasets!CM125</t>
  </si>
  <si>
    <t>DS-124|A3</t>
  </si>
  <si>
    <t>MCDM_Grades!AR125; MCDM_Grades!AT125; All_Datasets!DH125; All_Datasets!CK125</t>
  </si>
  <si>
    <t>DS-124|L1</t>
  </si>
  <si>
    <t>MCDM_Grades!AR125; MCDM_Grades!AT125; All_Datasets!DH125; All_Datasets!BJ125; All_Datasets!BH125</t>
  </si>
  <si>
    <t>DS-124|L2</t>
  </si>
  <si>
    <t>MCDM_Grades!AR125; MCDM_Grades!AT125; All_Datasets!DH125; All_Datasets!BJ125; All_Datasets!BN125; All_Datasets!BY125</t>
  </si>
  <si>
    <t>DS-124|L4</t>
  </si>
  <si>
    <t>MCDM_Grades!AR125; MCDM_Grades!AT125; All_Datasets!DH125; All_Datasets!BZ125</t>
  </si>
  <si>
    <t>DS-124|D1</t>
  </si>
  <si>
    <t>MCDM_Grades!AR125; MCDM_Grades!AT125; All_Datasets!DH125; All_Datasets!BN125; All_Datasets!BJ125</t>
  </si>
  <si>
    <t>DS-124|D2</t>
  </si>
  <si>
    <t>MCDM_Grades!AR125; MCDM_Grades!AT125; All_Datasets!DH125; All_Datasets!CR125; All_Datasets!AU125</t>
  </si>
  <si>
    <t>DS-124|D4</t>
  </si>
  <si>
    <t>MCDM_Grades!AR125; MCDM_Grades!AT125; All_Datasets!DH125; All_Datasets!CQ125</t>
  </si>
  <si>
    <t>DS-124|C1</t>
  </si>
  <si>
    <t>MCDM_Grades!AR125; MCDM_Grades!AT125; All_Datasets!DH125; All_Datasets!AG125</t>
  </si>
  <si>
    <t>DS-124|C2</t>
  </si>
  <si>
    <t>MCDM_Grades!AR125; MCDM_Grades!AT125; All_Datasets!DH125; All_Datasets!BJ125</t>
  </si>
  <si>
    <t>DS-124|R1</t>
  </si>
  <si>
    <t>MCDM_Grades!AR125; MCDM_Grades!AT125; All_Datasets!DH125; All_Datasets!AP125; All_Datasets!AR125; All_Datasets!AS125; All_Datasets!AU125</t>
  </si>
  <si>
    <t>DS-124|R2</t>
  </si>
  <si>
    <t>MCDM_Grades!AR125; MCDM_Grades!AT125; All_Datasets!DH125; All_Datasets!AS125; All_Datasets!AU125</t>
  </si>
  <si>
    <t>DS-124|M1</t>
  </si>
  <si>
    <t>MCDM_Grades!AR125; MCDM_Grades!AT125; All_Datasets!DH125; All_Datasets!AU125; All_Datasets!BD125</t>
  </si>
  <si>
    <t>DS-124|M2</t>
  </si>
  <si>
    <t>MCDM_Grades!AR125; MCDM_Grades!AT125; All_Datasets!DH125; All_Datasets!BD125</t>
  </si>
  <si>
    <t>DS-124|M5</t>
  </si>
  <si>
    <t>MCDM_Grades!AR125; MCDM_Grades!AT125; All_Datasets!DH125; All_Datasets!BY125; All_Datasets!CQ125</t>
  </si>
  <si>
    <t>DS-125|A1</t>
  </si>
  <si>
    <t>MCDM_Grades!AR126; MCDM_Grades!AT126; All_Datasets!DH126; All_Datasets!D126; All_Datasets!L126; All_Datasets!T126</t>
  </si>
  <si>
    <t>Zenodo API confirms a restricted CC BY deposit, but the description is only its title and no files are exposed. A working access/request route, labels and release contents remain unverified.</t>
  </si>
  <si>
    <t>DS-125|A2</t>
  </si>
  <si>
    <t>MCDM_Grades!AR126; MCDM_Grades!AT126; All_Datasets!DH126; All_Datasets!CJ126; All_Datasets!CM126</t>
  </si>
  <si>
    <t>DS-125|A3</t>
  </si>
  <si>
    <t>MCDM_Grades!AR126; MCDM_Grades!AT126; All_Datasets!DH126</t>
  </si>
  <si>
    <t>DS-125|L1</t>
  </si>
  <si>
    <t>MCDM_Grades!AR126; MCDM_Grades!AT126; All_Datasets!DH126; All_Datasets!BJ126; All_Datasets!BH126; All_Datasets!BI126</t>
  </si>
  <si>
    <t>DS-125|L2</t>
  </si>
  <si>
    <t>MCDM_Grades!AR126; MCDM_Grades!AT126; All_Datasets!DH126; All_Datasets!BJ126</t>
  </si>
  <si>
    <t>DS-125|L4</t>
  </si>
  <si>
    <t>DS-125|D1</t>
  </si>
  <si>
    <t>DS-125|D2</t>
  </si>
  <si>
    <t>MCDM_Grades!AR126; MCDM_Grades!AT126; All_Datasets!DH126; All_Datasets!CR126</t>
  </si>
  <si>
    <t>DS-125|D4</t>
  </si>
  <si>
    <t>MCDM_Grades!AR126; MCDM_Grades!AT126; All_Datasets!DH126; All_Datasets!CQ126</t>
  </si>
  <si>
    <t>DS-125|C1</t>
  </si>
  <si>
    <t>DS-125|C2</t>
  </si>
  <si>
    <t>DS-125|R1</t>
  </si>
  <si>
    <t>MCDM_Grades!AR126; MCDM_Grades!AT126; All_Datasets!DH126; All_Datasets!AP126; All_Datasets!AS126</t>
  </si>
  <si>
    <t>DS-125|R2</t>
  </si>
  <si>
    <t>MCDM_Grades!AR126; MCDM_Grades!AT126; All_Datasets!DH126; All_Datasets!AS126</t>
  </si>
  <si>
    <t>DS-125|M1</t>
  </si>
  <si>
    <t>DS-125|M2</t>
  </si>
  <si>
    <t>DS-125|M5</t>
  </si>
  <si>
    <t>DS-126|A1</t>
  </si>
  <si>
    <t>MCDM_Grades!AR127; MCDM_Grades!AT127; All_Datasets!DH127; All_Datasets!L127; All_Datasets!T127</t>
  </si>
  <si>
    <t>Morocco Pavdistress describes 8,696 images from an inspection vehicle and five target classes; the API supplies an archive checksum, correcting the legacy no-checksum claim. Independent units and labeling protocol remain unresolved.</t>
  </si>
  <si>
    <t>DS-126|A2</t>
  </si>
  <si>
    <t>MCDM_Grades!AR127; MCDM_Grades!AT127; All_Datasets!DH127; All_Datasets!CJ127; All_Datasets!CM127</t>
  </si>
  <si>
    <t>DS-126|A3</t>
  </si>
  <si>
    <t>MCDM_Grades!AR127; MCDM_Grades!AT127; All_Datasets!DH127; All_Datasets!CK127</t>
  </si>
  <si>
    <t>DS-126|L1</t>
  </si>
  <si>
    <t>MCDM_Grades!AR127; MCDM_Grades!AT127; All_Datasets!DH127; All_Datasets!BJ127; All_Datasets!BH127</t>
  </si>
  <si>
    <t>DS-126|L2</t>
  </si>
  <si>
    <t>MCDM_Grades!AR127; MCDM_Grades!AT127; All_Datasets!DH127; All_Datasets!BJ127; All_Datasets!BN127</t>
  </si>
  <si>
    <t>DS-126|L4</t>
  </si>
  <si>
    <t>MCDM_Grades!AR127; MCDM_Grades!AT127; All_Datasets!DH127</t>
  </si>
  <si>
    <t>DS-126|D1</t>
  </si>
  <si>
    <t>MCDM_Grades!AR127; MCDM_Grades!AT127; All_Datasets!DH127; All_Datasets!BN127; All_Datasets!BO127; All_Datasets!BJ127</t>
  </si>
  <si>
    <t>DS-126|D2</t>
  </si>
  <si>
    <t>MCDM_Grades!AR127; MCDM_Grades!AT127; All_Datasets!DH127; All_Datasets!CR127; All_Datasets!AU127</t>
  </si>
  <si>
    <t>DS-126|D4</t>
  </si>
  <si>
    <t>MCDM_Grades!AR127; MCDM_Grades!AT127; All_Datasets!DH127; All_Datasets!CQ127</t>
  </si>
  <si>
    <t>DS-126|C1</t>
  </si>
  <si>
    <t>MCDM_Grades!AR127; MCDM_Grades!AT127; All_Datasets!DH127; All_Datasets!AC127; All_Datasets!AF127</t>
  </si>
  <si>
    <t>DS-126|C2</t>
  </si>
  <si>
    <t>MCDM_Grades!AR127; MCDM_Grades!AT127; All_Datasets!DH127; All_Datasets!AC127; All_Datasets!BJ127</t>
  </si>
  <si>
    <t>DS-126|R1</t>
  </si>
  <si>
    <t>MCDM_Grades!AR127; MCDM_Grades!AT127; All_Datasets!DH127; All_Datasets!AP127; All_Datasets!AR127; All_Datasets!AS127; All_Datasets!AU127</t>
  </si>
  <si>
    <t>DS-126|R2</t>
  </si>
  <si>
    <t>MCDM_Grades!AR127; MCDM_Grades!AT127; All_Datasets!DH127; All_Datasets!AS127; All_Datasets!AU127</t>
  </si>
  <si>
    <t>DS-126|M1</t>
  </si>
  <si>
    <t>MCDM_Grades!AR127; MCDM_Grades!AT127; All_Datasets!DH127; All_Datasets!AU127</t>
  </si>
  <si>
    <t>DS-126|M2</t>
  </si>
  <si>
    <t>DS-126|M5</t>
  </si>
  <si>
    <t>DS-127|A1</t>
  </si>
  <si>
    <t>MCDM_Grades!AR128; MCDM_Grades!AT128; All_Datasets!DH128; All_Datasets!D128; All_Datasets!L128; All_Datasets!T128</t>
  </si>
  <si>
    <t>PavSurface v1 describes 10,000 images, six distress categories and an onboard camera/strobe system; the archive is checksummed. Country, independent capture units, precise label schema and actual PMS measurements are not established.</t>
  </si>
  <si>
    <t>DS-127|A2</t>
  </si>
  <si>
    <t>MCDM_Grades!AR128; MCDM_Grades!AT128; All_Datasets!DH128; All_Datasets!CJ128; All_Datasets!CM128</t>
  </si>
  <si>
    <t>DS-127|A3</t>
  </si>
  <si>
    <t>MCDM_Grades!AR128; MCDM_Grades!AT128; All_Datasets!DH128; All_Datasets!CK128</t>
  </si>
  <si>
    <t>DS-127|L1</t>
  </si>
  <si>
    <t>MCDM_Grades!AR128; MCDM_Grades!AT128; All_Datasets!DH128; All_Datasets!BJ128; All_Datasets!BH128</t>
  </si>
  <si>
    <t>DS-127|L2</t>
  </si>
  <si>
    <t>MCDM_Grades!AR128; MCDM_Grades!AT128; All_Datasets!DH128; All_Datasets!BJ128; All_Datasets!BY128</t>
  </si>
  <si>
    <t>DS-127|L4</t>
  </si>
  <si>
    <t>MCDM_Grades!AR128; MCDM_Grades!AT128; All_Datasets!DH128; All_Datasets!BZ128</t>
  </si>
  <si>
    <t>DS-127|D1</t>
  </si>
  <si>
    <t>MCDM_Grades!AR128; MCDM_Grades!AT128; All_Datasets!DH128; All_Datasets!BJ128</t>
  </si>
  <si>
    <t>DS-127|D2</t>
  </si>
  <si>
    <t>MCDM_Grades!AR128; MCDM_Grades!AT128; All_Datasets!DH128; All_Datasets!CR128; All_Datasets!AU128</t>
  </si>
  <si>
    <t>DS-127|D4</t>
  </si>
  <si>
    <t>MCDM_Grades!AR128; MCDM_Grades!AT128; All_Datasets!DH128; All_Datasets!CQ128</t>
  </si>
  <si>
    <t>DS-127|C1</t>
  </si>
  <si>
    <t>MCDM_Grades!AR128; MCDM_Grades!AT128; All_Datasets!DH128; All_Datasets!AC128; All_Datasets!AF128</t>
  </si>
  <si>
    <t>DS-127|C2</t>
  </si>
  <si>
    <t>MCDM_Grades!AR128; MCDM_Grades!AT128; All_Datasets!DH128; All_Datasets!AC128; All_Datasets!BJ128</t>
  </si>
  <si>
    <t>DS-127|R1</t>
  </si>
  <si>
    <t>MCDM_Grades!AR128; MCDM_Grades!AT128; All_Datasets!DH128; All_Datasets!AU128</t>
  </si>
  <si>
    <t>DS-127|R2</t>
  </si>
  <si>
    <t>MCDM_Grades!AR128; MCDM_Grades!AT128; All_Datasets!DH128; All_Datasets!BE128; All_Datasets!BF128; All_Datasets!AU128</t>
  </si>
  <si>
    <t>DS-127|M1</t>
  </si>
  <si>
    <t>MCDM_Grades!AR128; MCDM_Grades!AT128; All_Datasets!DH128; All_Datasets!AU128; All_Datasets!AW128</t>
  </si>
  <si>
    <t>DS-127|M2</t>
  </si>
  <si>
    <t>MCDM_Grades!AR128; MCDM_Grades!AT128; All_Datasets!DH128</t>
  </si>
  <si>
    <t>DS-127|M5</t>
  </si>
  <si>
    <t>MCDM_Grades!AR128; MCDM_Grades!AT128; All_Datasets!DH128; All_Datasets!BY128; All_Datasets!CQ128</t>
  </si>
  <si>
    <t>DS-128|A1</t>
  </si>
  <si>
    <t>MCDM_Grades!AR129; MCDM_Grades!AT129; All_Datasets!DH129; All_Datasets!L129; All_Datasets!T129</t>
  </si>
  <si>
    <t>Road Condition Image Dataset provides checksummed image archives, with camera captures and LiDAR-rendered images from a mapping vehicle. No license or pavement target schema is established; the linked code needs review before test-readiness credit.</t>
  </si>
  <si>
    <t>DS-128|A2</t>
  </si>
  <si>
    <t>MCDM_Grades!AR129; MCDM_Grades!AT129; All_Datasets!DH129; All_Datasets!CJ129; All_Datasets!CM129</t>
  </si>
  <si>
    <t>DS-128|A3</t>
  </si>
  <si>
    <t>MCDM_Grades!AR129; MCDM_Grades!AT129; All_Datasets!DH129</t>
  </si>
  <si>
    <t>DS-128|L1</t>
  </si>
  <si>
    <t>DS-128|L2</t>
  </si>
  <si>
    <t>DS-128|L4</t>
  </si>
  <si>
    <t>DS-128|D1</t>
  </si>
  <si>
    <t>DS-128|D2</t>
  </si>
  <si>
    <t>MCDM_Grades!AR129; MCDM_Grades!AT129; All_Datasets!DH129; All_Datasets!CR129; All_Datasets!AU129</t>
  </si>
  <si>
    <t>DS-128|D4</t>
  </si>
  <si>
    <t>MCDM_Grades!AR129; MCDM_Grades!AT129; All_Datasets!DH129; All_Datasets!CQ129</t>
  </si>
  <si>
    <t>DS-128|C1</t>
  </si>
  <si>
    <t>DS-128|C2</t>
  </si>
  <si>
    <t>DS-128|R1</t>
  </si>
  <si>
    <t>MCDM_Grades!AR129; MCDM_Grades!AT129; All_Datasets!DH129; All_Datasets!AU129</t>
  </si>
  <si>
    <t>DS-128|R2</t>
  </si>
  <si>
    <t>DS-128|M1</t>
  </si>
  <si>
    <t>MCDM_Grades!AR129; MCDM_Grades!AT129; All_Datasets!DH129; All_Datasets!AU129; All_Datasets!AW129; All_Datasets!BD129</t>
  </si>
  <si>
    <t>DS-128|M2</t>
  </si>
  <si>
    <t>MCDM_Grades!AR129; MCDM_Grades!AT129; All_Datasets!DH129; All_Datasets!BD129</t>
  </si>
  <si>
    <t>DS-128|M5</t>
  </si>
  <si>
    <t>DS-129|A1</t>
  </si>
  <si>
    <t>MCDM_Grades!AR130; MCDM_Grades!AT130; All_Datasets!DH130; All_Datasets!D130; All_Datasets!L130; All_Datasets!T130</t>
  </si>
  <si>
    <t>Arcioni's Zenodo release specifies three classes, polygon/YOLO/COCO coordinates, conversion scripts and Italian GoPro/phone capture. Use canonical CC BY rather than the conflicting mirror MIT assertion. Counts, QA and fixed group splits remain unresolved.</t>
  </si>
  <si>
    <t>DS-129|A2</t>
  </si>
  <si>
    <t>MCDM_Grades!AR130; MCDM_Grades!AT130; All_Datasets!DH130; All_Datasets!CJ130; All_Datasets!CM130</t>
  </si>
  <si>
    <t>DS-129|A3</t>
  </si>
  <si>
    <t>MCDM_Grades!AR130; MCDM_Grades!AT130; All_Datasets!DH130; All_Datasets!CK130</t>
  </si>
  <si>
    <t>DS-129|L1</t>
  </si>
  <si>
    <t>MCDM_Grades!AR130; MCDM_Grades!AT130; All_Datasets!DH130; All_Datasets!BJ130; All_Datasets!BH130</t>
  </si>
  <si>
    <t>DS-129|L2</t>
  </si>
  <si>
    <t>MCDM_Grades!AR130; MCDM_Grades!AT130; All_Datasets!DH130; All_Datasets!BJ130; All_Datasets!BN130; All_Datasets!BY130</t>
  </si>
  <si>
    <t>DS-129|L4</t>
  </si>
  <si>
    <t>MCDM_Grades!AR130; MCDM_Grades!AT130; All_Datasets!DH130; All_Datasets!BZ130</t>
  </si>
  <si>
    <t>DS-129|D1</t>
  </si>
  <si>
    <t>MCDM_Grades!AR130; MCDM_Grades!AT130; All_Datasets!DH130; All_Datasets!BN130; All_Datasets!BO130; All_Datasets!BJ130</t>
  </si>
  <si>
    <t>DS-129|D2</t>
  </si>
  <si>
    <t>MCDM_Grades!AR130; MCDM_Grades!AT130; All_Datasets!DH130; All_Datasets!CR130; All_Datasets!AU130</t>
  </si>
  <si>
    <t>DS-129|D4</t>
  </si>
  <si>
    <t>MCDM_Grades!AR130; MCDM_Grades!AT130; All_Datasets!DH130; All_Datasets!CQ130</t>
  </si>
  <si>
    <t>DS-129|C1</t>
  </si>
  <si>
    <t>MCDM_Grades!AR130; MCDM_Grades!AT130; All_Datasets!DH130; All_Datasets!AC130; All_Datasets!AF130</t>
  </si>
  <si>
    <t>DS-129|C2</t>
  </si>
  <si>
    <t>MCDM_Grades!AR130; MCDM_Grades!AT130; All_Datasets!DH130; All_Datasets!AC130; All_Datasets!BJ130</t>
  </si>
  <si>
    <t>DS-129|R1</t>
  </si>
  <si>
    <t>MCDM_Grades!AR130; MCDM_Grades!AT130; All_Datasets!DH130; All_Datasets!AP130; All_Datasets!AR130; All_Datasets!AS130; All_Datasets!AU130</t>
  </si>
  <si>
    <t>DS-129|R2</t>
  </si>
  <si>
    <t>MCDM_Grades!AR130; MCDM_Grades!AT130; All_Datasets!DH130; All_Datasets!AS130; All_Datasets!BE130; All_Datasets!BF130; All_Datasets!AU130</t>
  </si>
  <si>
    <t>DS-129|M1</t>
  </si>
  <si>
    <t>MCDM_Grades!AR130; MCDM_Grades!AT130; All_Datasets!DH130; All_Datasets!AU130; All_Datasets!AW130</t>
  </si>
  <si>
    <t>DS-129|M2</t>
  </si>
  <si>
    <t>MCDM_Grades!AR130; MCDM_Grades!AT130; All_Datasets!DH130; All_Datasets!AN130</t>
  </si>
  <si>
    <t>DS-129|M5</t>
  </si>
  <si>
    <t>MCDM_Grades!AR130; MCDM_Grades!AT130; All_Datasets!DH130; All_Datasets!AN130; All_Datasets!BY130; All_Datasets!CQ130</t>
  </si>
  <si>
    <t>DS-130|A1</t>
  </si>
  <si>
    <t>MCDM_Grades!AR131; MCDM_Grades!AT131; All_Datasets!DH131; All_Datasets!D131; All_Datasets!L131; All_Datasets!T131</t>
  </si>
  <si>
    <t>RoadAb-India v1.0.0 describes four linked metadata layers, six abnormality classes, negatives and repeated-view grouping. Files are restricted with no usable request route shown. Documentation assertions do not prove payload availability, fixed membership or successful leakage checks; qualitative severity lacks a verified engineering measurement method.</t>
  </si>
  <si>
    <t>DS-130|A2</t>
  </si>
  <si>
    <t>MCDM_Grades!AR131; MCDM_Grades!AT131; All_Datasets!DH131; All_Datasets!CJ131; All_Datasets!CM131</t>
  </si>
  <si>
    <t>DS-130|A3</t>
  </si>
  <si>
    <t>MCDM_Grades!AR131; MCDM_Grades!AT131; All_Datasets!DH131; All_Datasets!CK131</t>
  </si>
  <si>
    <t>DS-130|L1</t>
  </si>
  <si>
    <t>MCDM_Grades!AR131; MCDM_Grades!AT131; All_Datasets!DH131; All_Datasets!BJ131; All_Datasets!BH131; All_Datasets!BI131</t>
  </si>
  <si>
    <t>DS-130|L2</t>
  </si>
  <si>
    <t>MCDM_Grades!AR131; MCDM_Grades!AT131; All_Datasets!DH131; All_Datasets!BJ131; All_Datasets!BN131</t>
  </si>
  <si>
    <t>DS-130|L4</t>
  </si>
  <si>
    <t>MCDM_Grades!AR131; MCDM_Grades!AT131; All_Datasets!DH131; All_Datasets!BZ131</t>
  </si>
  <si>
    <t>DS-130|D1</t>
  </si>
  <si>
    <t>MCDM_Grades!AR131; MCDM_Grades!AT131; All_Datasets!DH131; All_Datasets!BN131; All_Datasets!BJ131</t>
  </si>
  <si>
    <t>DS-130|D2</t>
  </si>
  <si>
    <t>MCDM_Grades!AR131; MCDM_Grades!AT131; All_Datasets!DH131; All_Datasets!CR131</t>
  </si>
  <si>
    <t>DS-130|D4</t>
  </si>
  <si>
    <t>MCDM_Grades!AR131; MCDM_Grades!AT131; All_Datasets!DH131; All_Datasets!CQ131</t>
  </si>
  <si>
    <t>DS-130|C1</t>
  </si>
  <si>
    <t>MCDM_Grades!AR131; MCDM_Grades!AT131; All_Datasets!DH131; All_Datasets!AC131; All_Datasets!AF131</t>
  </si>
  <si>
    <t>DS-130|C2</t>
  </si>
  <si>
    <t>MCDM_Grades!AR131; MCDM_Grades!AT131; All_Datasets!DH131; All_Datasets!AC131; All_Datasets!BJ131</t>
  </si>
  <si>
    <t>DS-130|R1</t>
  </si>
  <si>
    <t>MCDM_Grades!AR131; MCDM_Grades!AT131; All_Datasets!DH131; All_Datasets!AP131; All_Datasets!AR131; All_Datasets!AS131</t>
  </si>
  <si>
    <t>DS-130|R2</t>
  </si>
  <si>
    <t>MCDM_Grades!AR131; MCDM_Grades!AT131; All_Datasets!DH131; All_Datasets!AS131; All_Datasets!BE131; All_Datasets!BF131</t>
  </si>
  <si>
    <t>DS-130|M1</t>
  </si>
  <si>
    <t>MCDM_Grades!AR131; MCDM_Grades!AT131; All_Datasets!DH131</t>
  </si>
  <si>
    <t>DS-130|M2</t>
  </si>
  <si>
    <t>DS-130|M5</t>
  </si>
  <si>
    <t>DS-131|A1</t>
  </si>
  <si>
    <t>MCDM_Grades!AR132; MCDM_Grades!AT132; All_Datasets!DH132; All_Datasets!D132; All_Datasets!L132; All_Datasets!T132</t>
  </si>
  <si>
    <t>RoadDefects-ISeg manually reannotates four named parent datasets, 250 images per class, into segmentation. CC BY terms conflict with research-only wording; original component licenses need verification. Lane and speed-breaker targets are not distress measurements.</t>
  </si>
  <si>
    <t>DS-131|A2</t>
  </si>
  <si>
    <t>MCDM_Grades!AR132; MCDM_Grades!AT132; All_Datasets!DH132; All_Datasets!CJ132; All_Datasets!CM132</t>
  </si>
  <si>
    <t>DS-131|A3</t>
  </si>
  <si>
    <t>MCDM_Grades!AR132; MCDM_Grades!AT132; All_Datasets!DH132; All_Datasets!CK132</t>
  </si>
  <si>
    <t>CC BY metadata conflicts with research-only wording; retain conflict while component terms are separately checked.</t>
  </si>
  <si>
    <t>DS-131|L1</t>
  </si>
  <si>
    <t>MCDM_Grades!AR132; MCDM_Grades!AT132; All_Datasets!DH132; All_Datasets!BJ132; All_Datasets!BH132</t>
  </si>
  <si>
    <t>DS-131|L2</t>
  </si>
  <si>
    <t>MCDM_Grades!AR132; MCDM_Grades!AT132; All_Datasets!DH132; All_Datasets!BJ132; All_Datasets!BN132; All_Datasets!BY132</t>
  </si>
  <si>
    <t>DS-131|L4</t>
  </si>
  <si>
    <t>MCDM_Grades!AR132; MCDM_Grades!AT132; All_Datasets!DH132; All_Datasets!BZ132</t>
  </si>
  <si>
    <t>DS-131|D1</t>
  </si>
  <si>
    <t>MCDM_Grades!AR132; MCDM_Grades!AT132; All_Datasets!DH132; All_Datasets!BN132; All_Datasets!BO132; All_Datasets!BJ132</t>
  </si>
  <si>
    <t>DS-131|D2</t>
  </si>
  <si>
    <t>MCDM_Grades!AR132; MCDM_Grades!AT132; All_Datasets!DH132; All_Datasets!CR132; All_Datasets!CV132; All_Datasets!AU132</t>
  </si>
  <si>
    <t>DS-131|D4</t>
  </si>
  <si>
    <t>MCDM_Grades!AR132; MCDM_Grades!AT132; All_Datasets!DH132; All_Datasets!CQ132</t>
  </si>
  <si>
    <t>DS-131|C1</t>
  </si>
  <si>
    <t>MCDM_Grades!AR132; MCDM_Grades!AT132; All_Datasets!DH132; All_Datasets!AC132; All_Datasets!AF132</t>
  </si>
  <si>
    <t>DS-131|C2</t>
  </si>
  <si>
    <t>MCDM_Grades!AR132; MCDM_Grades!AT132; All_Datasets!DH132; All_Datasets!AC132; All_Datasets!BJ132</t>
  </si>
  <si>
    <t>DS-131|R1</t>
  </si>
  <si>
    <t>MCDM_Grades!AR132; MCDM_Grades!AT132; All_Datasets!DH132; All_Datasets!AP132; All_Datasets!AS132; All_Datasets!AU132</t>
  </si>
  <si>
    <t>DS-131|R2</t>
  </si>
  <si>
    <t>MCDM_Grades!AR132; MCDM_Grades!AT132; All_Datasets!DH132; All_Datasets!AS132; All_Datasets!AU132</t>
  </si>
  <si>
    <t>DS-131|M1</t>
  </si>
  <si>
    <t>MCDM_Grades!AR132; MCDM_Grades!AT132; All_Datasets!DH132; All_Datasets!AU132</t>
  </si>
  <si>
    <t>DS-131|M2</t>
  </si>
  <si>
    <t>MCDM_Grades!AR132; MCDM_Grades!AT132; All_Datasets!DH132</t>
  </si>
  <si>
    <t>DS-131|M5</t>
  </si>
  <si>
    <t>MCDM_Grades!AR132; MCDM_Grades!AT132; All_Datasets!DH132; All_Datasets!BY132; All_Datasets!CQ132</t>
  </si>
  <si>
    <t>DS-132|A1</t>
  </si>
  <si>
    <t>MCDM_Grades!AR133; MCDM_Grades!AT133; All_Datasets!DH133; All_Datasets!D133; All_Datasets!L133; All_Datasets!T133</t>
  </si>
  <si>
    <t>The 400-image RDD2022 derivative provides binary JPG/PNG pairs and a fixed-seed 320/60/20 split. Seed value and exact membership were not inspected. UAV provenance is unconfirmed; RDD2022 includes aerial imagery, so derivation alone is not a contradiction.</t>
  </si>
  <si>
    <t>DS-132|A2</t>
  </si>
  <si>
    <t>MCDM_Grades!AR133; MCDM_Grades!AT133; All_Datasets!DH133; All_Datasets!CJ133; All_Datasets!CM133</t>
  </si>
  <si>
    <t>DS-132|A3</t>
  </si>
  <si>
    <t>MCDM_Grades!AR133; MCDM_Grades!AT133; All_Datasets!DH133; All_Datasets!CK133</t>
  </si>
  <si>
    <t>DS-132|L1</t>
  </si>
  <si>
    <t>MCDM_Grades!AR133; MCDM_Grades!AT133; All_Datasets!DH133; All_Datasets!BJ133; All_Datasets!BH133</t>
  </si>
  <si>
    <t>DS-132|L2</t>
  </si>
  <si>
    <t>MCDM_Grades!AR133; MCDM_Grades!AT133; All_Datasets!DH133; All_Datasets!BJ133; All_Datasets!BN133; All_Datasets!BY133</t>
  </si>
  <si>
    <t>DS-132|L4</t>
  </si>
  <si>
    <t>MCDM_Grades!AR133; MCDM_Grades!AT133; All_Datasets!DH133; All_Datasets!BZ133</t>
  </si>
  <si>
    <t>DS-132|D1</t>
  </si>
  <si>
    <t>MCDM_Grades!AR133; MCDM_Grades!AT133; All_Datasets!DH133; All_Datasets!BN133; All_Datasets!BO133; All_Datasets!BJ133</t>
  </si>
  <si>
    <t>DS-132|D2</t>
  </si>
  <si>
    <t>MCDM_Grades!AR133; MCDM_Grades!AT133; All_Datasets!DH133; All_Datasets!CR133; All_Datasets!CV133; All_Datasets!AU133</t>
  </si>
  <si>
    <t>DS-132|D4</t>
  </si>
  <si>
    <t>MCDM_Grades!AR133; MCDM_Grades!AT133; All_Datasets!DH133; All_Datasets!CQ133</t>
  </si>
  <si>
    <t>DS-132|C1</t>
  </si>
  <si>
    <t>MCDM_Grades!AR133; MCDM_Grades!AT133; All_Datasets!DH133; All_Datasets!AC133; All_Datasets!AF133</t>
  </si>
  <si>
    <t>DS-132|C2</t>
  </si>
  <si>
    <t>MCDM_Grades!AR133; MCDM_Grades!AT133; All_Datasets!DH133; All_Datasets!AC133; All_Datasets!BJ133</t>
  </si>
  <si>
    <t>DS-132|R1</t>
  </si>
  <si>
    <t>MCDM_Grades!AR133; MCDM_Grades!AT133; All_Datasets!DH133; All_Datasets!AP133; All_Datasets!AS133; All_Datasets!AU133</t>
  </si>
  <si>
    <t>DS-132|R2</t>
  </si>
  <si>
    <t>MCDM_Grades!AR133; MCDM_Grades!AT133; All_Datasets!DH133; All_Datasets!AS133; All_Datasets!AU133</t>
  </si>
  <si>
    <t>DS-132|M1</t>
  </si>
  <si>
    <t>MCDM_Grades!AR133; MCDM_Grades!AT133; All_Datasets!DH133; All_Datasets!AU133</t>
  </si>
  <si>
    <t>DS-132|M2</t>
  </si>
  <si>
    <t>MCDM_Grades!AR133; MCDM_Grades!AT133; All_Datasets!DH133</t>
  </si>
  <si>
    <t>DS-132|M5</t>
  </si>
  <si>
    <t>MCDM_Grades!AR133; MCDM_Grades!AT133; All_Datasets!DH133; All_Datasets!BY133; All_Datasets!CQ133</t>
  </si>
  <si>
    <t>DS-133|A1</t>
  </si>
  <si>
    <t>MCDM_Grades!AR134; MCDM_Grades!AT134; All_Datasets!DH134; All_Datasets!L134; All_Datasets!T134</t>
  </si>
  <si>
    <t>Six georeferenced orthomosaics have explicit material/whole-site condition labels and spectral bands. Count sites once, not bands or pixels. They do not provide per-distress labels or calibrated condition indices.</t>
  </si>
  <si>
    <t>DS-133|A2</t>
  </si>
  <si>
    <t>MCDM_Grades!AR134; MCDM_Grades!AT134; All_Datasets!DH134; All_Datasets!CJ134; All_Datasets!CM134</t>
  </si>
  <si>
    <t>DS-133|A3</t>
  </si>
  <si>
    <t>MCDM_Grades!AR134; MCDM_Grades!AT134; All_Datasets!DH134; All_Datasets!CK134</t>
  </si>
  <si>
    <t>DS-133|L1</t>
  </si>
  <si>
    <t>MCDM_Grades!AR134; MCDM_Grades!AT134; All_Datasets!DH134; All_Datasets!BJ134; All_Datasets!BH134; All_Datasets!BI134</t>
  </si>
  <si>
    <t>DS-133|L2</t>
  </si>
  <si>
    <t>MCDM_Grades!AR134; MCDM_Grades!AT134; All_Datasets!DH134; All_Datasets!BJ134; All_Datasets!BN134; All_Datasets!BY134</t>
  </si>
  <si>
    <t>DS-133|L4</t>
  </si>
  <si>
    <t>MCDM_Grades!AR134; MCDM_Grades!AT134; All_Datasets!DH134</t>
  </si>
  <si>
    <t>DS-133|D1</t>
  </si>
  <si>
    <t>MCDM_Grades!AR134; MCDM_Grades!AT134; All_Datasets!DH134; All_Datasets!BN134; All_Datasets!BJ134</t>
  </si>
  <si>
    <t>DS-133|D2</t>
  </si>
  <si>
    <t>MCDM_Grades!AR134; MCDM_Grades!AT134; All_Datasets!DH134; All_Datasets!CR134; All_Datasets!AU134</t>
  </si>
  <si>
    <t>DS-133|D4</t>
  </si>
  <si>
    <t>MCDM_Grades!AR134; MCDM_Grades!AT134; All_Datasets!DH134; All_Datasets!CQ134</t>
  </si>
  <si>
    <t>DS-133|C1</t>
  </si>
  <si>
    <t>MCDM_Grades!AR134; MCDM_Grades!AT134; All_Datasets!DH134; All_Datasets!AC134; All_Datasets!AF134; All_Datasets!AG134</t>
  </si>
  <si>
    <t>DS-133|C2</t>
  </si>
  <si>
    <t>MCDM_Grades!AR134; MCDM_Grades!AT134; All_Datasets!DH134; All_Datasets!AC134; All_Datasets!BJ134</t>
  </si>
  <si>
    <t>DS-133|R1</t>
  </si>
  <si>
    <t>MCDM_Grades!AR134; MCDM_Grades!AT134; All_Datasets!DH134; All_Datasets!AP134; All_Datasets!AS134; All_Datasets!AU134</t>
  </si>
  <si>
    <t>DS-133|R2</t>
  </si>
  <si>
    <t>MCDM_Grades!AR134; MCDM_Grades!AT134; All_Datasets!DH134; All_Datasets!AS134; All_Datasets!AU134</t>
  </si>
  <si>
    <t>DS-133|M1</t>
  </si>
  <si>
    <t>MCDM_Grades!AR134; MCDM_Grades!AT134; All_Datasets!DH134; All_Datasets!AU134</t>
  </si>
  <si>
    <t>DS-133|M2</t>
  </si>
  <si>
    <t>DS-133|M5</t>
  </si>
  <si>
    <t>MCDM_Grades!AR134; MCDM_Grades!AT134; All_Datasets!DH134; All_Datasets!BY134; All_Datasets!CQ134</t>
  </si>
  <si>
    <t>DS-134|A1</t>
  </si>
  <si>
    <t>MCDM_Grades!AR135; MCDM_Grades!AT135; All_Datasets!DH135; All_Datasets!D135; All_Datasets!L135; All_Datasets!T135</t>
  </si>
  <si>
    <t>The Poland holdout provides three road orthomosaics and 99 derived patches, 2.54 cm/pixel scale and selection exclusions. UAPD is named as label source but the exact released class list needs inspection. Holdout use alone does not meet a preset generalization tolerance.</t>
  </si>
  <si>
    <t>DS-134|A2</t>
  </si>
  <si>
    <t>MCDM_Grades!AR135; MCDM_Grades!AT135; All_Datasets!DH135; All_Datasets!CJ135; All_Datasets!CM135</t>
  </si>
  <si>
    <t>DS-134|A3</t>
  </si>
  <si>
    <t>MCDM_Grades!AR135; MCDM_Grades!AT135; All_Datasets!DH135; All_Datasets!CK135</t>
  </si>
  <si>
    <t>DS-134|L1</t>
  </si>
  <si>
    <t>MCDM_Grades!AR135; MCDM_Grades!AT135; All_Datasets!DH135; All_Datasets!BJ135; All_Datasets!BH135</t>
  </si>
  <si>
    <t>DS-134|L2</t>
  </si>
  <si>
    <t>MCDM_Grades!AR135; MCDM_Grades!AT135; All_Datasets!DH135; All_Datasets!BJ135; All_Datasets!BN135; All_Datasets!BY135</t>
  </si>
  <si>
    <t>DS-134|L4</t>
  </si>
  <si>
    <t>MCDM_Grades!AR135; MCDM_Grades!AT135; All_Datasets!DH135; All_Datasets!BZ135</t>
  </si>
  <si>
    <t>DS-134|D1</t>
  </si>
  <si>
    <t>MCDM_Grades!AR135; MCDM_Grades!AT135; All_Datasets!DH135; All_Datasets!BN135; All_Datasets!BO135; All_Datasets!BJ135</t>
  </si>
  <si>
    <t>DS-134|D2</t>
  </si>
  <si>
    <t>MCDM_Grades!AR135; MCDM_Grades!AT135; All_Datasets!DH135; All_Datasets!CR135; All_Datasets!AU135</t>
  </si>
  <si>
    <t>DS-134|D4</t>
  </si>
  <si>
    <t>MCDM_Grades!AR135; MCDM_Grades!AT135; All_Datasets!DH135; All_Datasets!CQ135</t>
  </si>
  <si>
    <t>DS-134|C1</t>
  </si>
  <si>
    <t>MCDM_Grades!AR135; MCDM_Grades!AT135; All_Datasets!DH135; All_Datasets!AC135; All_Datasets!AF135; All_Datasets!AG135</t>
  </si>
  <si>
    <t>DS-134|C2</t>
  </si>
  <si>
    <t>MCDM_Grades!AR135; MCDM_Grades!AT135; All_Datasets!DH135; All_Datasets!AC135; All_Datasets!BJ135</t>
  </si>
  <si>
    <t>DS-134|R1</t>
  </si>
  <si>
    <t>MCDM_Grades!AR135; MCDM_Grades!AT135; All_Datasets!DH135; All_Datasets!AP135; All_Datasets!AR135; All_Datasets!AS135; All_Datasets!AU135</t>
  </si>
  <si>
    <t>DS-134|R2</t>
  </si>
  <si>
    <t>MCDM_Grades!AR135; MCDM_Grades!AT135; All_Datasets!DH135; All_Datasets!AS135; All_Datasets!AU135</t>
  </si>
  <si>
    <t>DS-134|M1</t>
  </si>
  <si>
    <t>MCDM_Grades!AR135; MCDM_Grades!AT135; All_Datasets!DH135; All_Datasets!AU135</t>
  </si>
  <si>
    <t>DS-134|M2</t>
  </si>
  <si>
    <t>MCDM_Grades!AR135; MCDM_Grades!AT135; All_Datasets!DH135; All_Datasets!AN135</t>
  </si>
  <si>
    <t>DS-134|M5</t>
  </si>
  <si>
    <t>MCDM_Grades!AR135; MCDM_Grades!AT135; All_Datasets!DH135; All_Datasets!AN135; All_Datasets!BY135; All_Datasets!CQ135</t>
  </si>
  <si>
    <t>DS-135|A1</t>
  </si>
  <si>
    <t>Title / Version / DOI</t>
  </si>
  <si>
    <t>Zenodo v4 and immutable record identified.</t>
  </si>
  <si>
    <t>DS-135|A2</t>
  </si>
  <si>
    <t>Files</t>
  </si>
  <si>
    <t>2.1 GB archive route and checksum documented.</t>
  </si>
  <si>
    <t>DS-135|A3</t>
  </si>
  <si>
    <t>https://zenodo.org/api/records/8429208</t>
  </si>
  <si>
    <t>metadata.license</t>
  </si>
  <si>
    <t>cc-by-4.0 data license verified.</t>
  </si>
  <si>
    <t>DS-135|L1</t>
  </si>
  <si>
    <t>https://pmc.ncbi.nlm.nih.gov/articles/PMC10630617/</t>
  </si>
  <si>
    <t>2 Data Description</t>
  </si>
  <si>
    <t>Six distress definitions provided.</t>
  </si>
  <si>
    <t>DS-135|L2</t>
  </si>
  <si>
    <t>2–3; Figure 3</t>
  </si>
  <si>
    <t>Labelme procedure and VOC XML fields explained.</t>
  </si>
  <si>
    <t>DS-135|L4</t>
  </si>
  <si>
    <t>2 Data Description; Figure 4</t>
  </si>
  <si>
    <t>Box overlays checked against crack positions and boundaries.</t>
  </si>
  <si>
    <t>DS-135|D1</t>
  </si>
  <si>
    <t>2 Data Description; Figures 2–3</t>
  </si>
  <si>
    <t>Folders, filename mapping and XML fields explained.</t>
  </si>
  <si>
    <t>DS-135|D2</t>
  </si>
  <si>
    <t>Specifications / 3 Methods</t>
  </si>
  <si>
    <t>Authors and UAV collection method identified.</t>
  </si>
  <si>
    <t>DS-135|D4</t>
  </si>
  <si>
    <t>Value of the Data / 3 Methods</t>
  </si>
  <si>
    <t>Intended UAV detection use and altitude constraint described.</t>
  </si>
  <si>
    <t>DS-135|C1</t>
  </si>
  <si>
    <t>2,440 images and 11,158 boxes distinguished.</t>
  </si>
  <si>
    <t>DS-135|C2</t>
  </si>
  <si>
    <t>Test/trainval and training/validation proportions reported.</t>
  </si>
  <si>
    <t>DS-135|R1</t>
  </si>
  <si>
    <t>Specifications Table</t>
  </si>
  <si>
    <t>Tianjin, China; road types and capture setting.</t>
  </si>
  <si>
    <t>DS-135|R2</t>
  </si>
  <si>
    <t>Clear/post-rain and three road classes.</t>
  </si>
  <si>
    <t>DS-135|M1</t>
  </si>
  <si>
    <t>DJI camera and 30-m UAV capture.</t>
  </si>
  <si>
    <t>DS-135|M2</t>
  </si>
  <si>
    <t>2–3 Methods</t>
  </si>
  <si>
    <t>2,592 by 1,944 pixel released images.</t>
  </si>
  <si>
    <t>DS-135|M5</t>
  </si>
  <si>
    <t>3 Methods</t>
  </si>
  <si>
    <t>Quarter-cropping, screening and mirroring documented.</t>
  </si>
  <si>
    <t>DS-136|A1</t>
  </si>
  <si>
    <t>MCDM_Grades!AR137; MCDM_Grades!AT137; All_Datasets!DH137; All_Datasets!D137; All_Datasets!L137; All_Datasets!T137</t>
  </si>
  <si>
    <t>Hitachi weak-supervision package supplies rough/dilated masks for Aigle, CFD and DeepCrack plus a pretrained model. It is an annotation derivative; complete image-source terms and parent-aware evaluation must be checked. Rough labels suit its stated training task.</t>
  </si>
  <si>
    <t>DS-136|A2</t>
  </si>
  <si>
    <t>MCDM_Grades!AR137; MCDM_Grades!AT137; All_Datasets!DH137; All_Datasets!CJ137; All_Datasets!CM137</t>
  </si>
  <si>
    <t>DS-136|A3</t>
  </si>
  <si>
    <t>MCDM_Grades!AR137; MCDM_Grades!AT137; All_Datasets!DH137</t>
  </si>
  <si>
    <t>DS-136|L1</t>
  </si>
  <si>
    <t>MCDM_Grades!AR137; MCDM_Grades!AT137; All_Datasets!DH137; All_Datasets!BJ137; All_Datasets!BH137</t>
  </si>
  <si>
    <t>DS-136|L2</t>
  </si>
  <si>
    <t>MCDM_Grades!AR137; MCDM_Grades!AT137; All_Datasets!DH137; All_Datasets!BJ137; All_Datasets!BN137; All_Datasets!BY137</t>
  </si>
  <si>
    <t>DS-136|L4</t>
  </si>
  <si>
    <t>DS-136|D1</t>
  </si>
  <si>
    <t>MCDM_Grades!AR137; MCDM_Grades!AT137; All_Datasets!DH137; All_Datasets!BN137; All_Datasets!BJ137</t>
  </si>
  <si>
    <t>DS-136|D2</t>
  </si>
  <si>
    <t>MCDM_Grades!AR137; MCDM_Grades!AT137; All_Datasets!DH137; All_Datasets!CR137; All_Datasets!CV137; All_Datasets!AU137</t>
  </si>
  <si>
    <t>DS-136|D4</t>
  </si>
  <si>
    <t>MCDM_Grades!AR137; MCDM_Grades!AT137; All_Datasets!DH137; All_Datasets!CQ137</t>
  </si>
  <si>
    <t>DS-136|C1</t>
  </si>
  <si>
    <t>DS-136|C2</t>
  </si>
  <si>
    <t>MCDM_Grades!AR137; MCDM_Grades!AT137; All_Datasets!DH137; All_Datasets!BJ137</t>
  </si>
  <si>
    <t>DS-136|R1</t>
  </si>
  <si>
    <t>MCDM_Grades!AR137; MCDM_Grades!AT137; All_Datasets!DH137; All_Datasets!AP137; All_Datasets!AS137; All_Datasets!AU137</t>
  </si>
  <si>
    <t>DS-136|R2</t>
  </si>
  <si>
    <t>MCDM_Grades!AR137; MCDM_Grades!AT137; All_Datasets!DH137; All_Datasets!AS137; All_Datasets!AU137</t>
  </si>
  <si>
    <t>DS-136|M1</t>
  </si>
  <si>
    <t>MCDM_Grades!AR137; MCDM_Grades!AT137; All_Datasets!DH137; All_Datasets!AU137</t>
  </si>
  <si>
    <t>DS-136|M2</t>
  </si>
  <si>
    <t>DS-136|M5</t>
  </si>
  <si>
    <t>MCDM_Grades!AR137; MCDM_Grades!AT137; All_Datasets!DH137; All_Datasets!BY137; All_Datasets!CQ137</t>
  </si>
  <si>
    <t>DS-137|A1</t>
  </si>
  <si>
    <t>MCDM_Grades!AR138; MCDM_Grades!AT138; All_Datasets!DH138; All_Datasets!D138; All_Datasets!L138; All_Datasets!T138</t>
  </si>
  <si>
    <t>The adverse-weather release defines mask values, instance IDs, nine classes and metadata sequence IDs across dry/wet/mixed frames. Anonymization is asserted but no full privacy process is supplied. Sequence IDs enable an audit; they do not demonstrate that one was performed.</t>
  </si>
  <si>
    <t>DS-137|A2</t>
  </si>
  <si>
    <t>MCDM_Grades!AR138; MCDM_Grades!AT138; All_Datasets!DH138; All_Datasets!CJ138; All_Datasets!CM138</t>
  </si>
  <si>
    <t>DS-137|A3</t>
  </si>
  <si>
    <t>MCDM_Grades!AR138; MCDM_Grades!AT138; All_Datasets!DH138; All_Datasets!CK138</t>
  </si>
  <si>
    <t>Saved source records give both CC BY and Apache for this release; no definitive data-terms resolution is recorded.</t>
  </si>
  <si>
    <t>DS-137|L1</t>
  </si>
  <si>
    <t>MCDM_Grades!AR138; MCDM_Grades!AT138; All_Datasets!DH138; All_Datasets!BJ138; All_Datasets!BH138</t>
  </si>
  <si>
    <t>DS-137|L2</t>
  </si>
  <si>
    <t>MCDM_Grades!AR138; MCDM_Grades!AT138; All_Datasets!DH138; All_Datasets!BJ138; All_Datasets!BN138; All_Datasets!BY138</t>
  </si>
  <si>
    <t>DS-137|L4</t>
  </si>
  <si>
    <t>MCDM_Grades!AR138; MCDM_Grades!AT138; All_Datasets!DH138; All_Datasets!BZ138</t>
  </si>
  <si>
    <t>DS-137|D1</t>
  </si>
  <si>
    <t>MCDM_Grades!AR138; MCDM_Grades!AT138; All_Datasets!DH138; All_Datasets!BN138; All_Datasets!BO138; All_Datasets!BJ138</t>
  </si>
  <si>
    <t>DS-137|D2</t>
  </si>
  <si>
    <t>MCDM_Grades!AR138; MCDM_Grades!AT138; All_Datasets!DH138; All_Datasets!CR138; All_Datasets!AU138</t>
  </si>
  <si>
    <t>DS-137|D4</t>
  </si>
  <si>
    <t>MCDM_Grades!AR138; MCDM_Grades!AT138; All_Datasets!DH138; All_Datasets!CQ138</t>
  </si>
  <si>
    <t>DS-137|C1</t>
  </si>
  <si>
    <t>MCDM_Grades!AR138; MCDM_Grades!AT138; All_Datasets!DH138</t>
  </si>
  <si>
    <t>DS-137|C2</t>
  </si>
  <si>
    <t>MCDM_Grades!AR138; MCDM_Grades!AT138; All_Datasets!DH138; All_Datasets!BJ138</t>
  </si>
  <si>
    <t>DS-137|R1</t>
  </si>
  <si>
    <t>MCDM_Grades!AR138; MCDM_Grades!AT138; All_Datasets!DH138; All_Datasets!AU138</t>
  </si>
  <si>
    <t>DS-137|R2</t>
  </si>
  <si>
    <t>MCDM_Grades!AR138; MCDM_Grades!AT138; All_Datasets!DH138; All_Datasets!BE138; All_Datasets!AU138</t>
  </si>
  <si>
    <t>DS-137|M1</t>
  </si>
  <si>
    <t>MCDM_Grades!AR138; MCDM_Grades!AT138; All_Datasets!DH138; All_Datasets!AU138; All_Datasets!AW138</t>
  </si>
  <si>
    <t>DS-137|M2</t>
  </si>
  <si>
    <t>DS-137|M5</t>
  </si>
  <si>
    <t>MCDM_Grades!AR138; MCDM_Grades!AT138; All_Datasets!DH138; All_Datasets!BY138; All_Datasets!CQ138</t>
  </si>
  <si>
    <t>DS-138|A1</t>
  </si>
  <si>
    <t>MCDM_Grades!AR139; MCDM_Grades!AT139; All_Datasets!DH139; All_Datasets!D139; All_Datasets!L139</t>
  </si>
  <si>
    <t>Kaggle v1 provides pothole XML annotation paths and a split filename list. Pixel box-area categories after 300-pixel resizing are not physical severity. ODbL/DbCL terms are identified in API metadata; independent source rights and split-generation rule remain unresolved.</t>
  </si>
  <si>
    <t>DS-138|A2</t>
  </si>
  <si>
    <t>MCDM_Grades!AR139; MCDM_Grades!AT139; All_Datasets!DH139; All_Datasets!CJ139; All_Datasets!CM139</t>
  </si>
  <si>
    <t>DS-138|A3</t>
  </si>
  <si>
    <t>MCDM_Grades!AR139; MCDM_Grades!AT139; All_Datasets!DH139; All_Datasets!CK139</t>
  </si>
  <si>
    <t>DS-138|L1</t>
  </si>
  <si>
    <t>MCDM_Grades!AR139; MCDM_Grades!AT139; All_Datasets!DH139; All_Datasets!BJ139; All_Datasets!BH139</t>
  </si>
  <si>
    <t>DS-138|L2</t>
  </si>
  <si>
    <t>MCDM_Grades!AR139; MCDM_Grades!AT139; All_Datasets!DH139; All_Datasets!BJ139; All_Datasets!BN139</t>
  </si>
  <si>
    <t>DS-138|L4</t>
  </si>
  <si>
    <t>MCDM_Grades!AR139; MCDM_Grades!AT139; All_Datasets!DH139</t>
  </si>
  <si>
    <t>DS-138|D1</t>
  </si>
  <si>
    <t>MCDM_Grades!AR139; MCDM_Grades!AT139; All_Datasets!DH139; All_Datasets!BN139; All_Datasets!BO139; All_Datasets!BJ139</t>
  </si>
  <si>
    <t>DS-138|D2</t>
  </si>
  <si>
    <t>MCDM_Grades!AR139; MCDM_Grades!AT139; All_Datasets!DH139; All_Datasets!CR139</t>
  </si>
  <si>
    <t>DS-138|D4</t>
  </si>
  <si>
    <t>MCDM_Grades!AR139; MCDM_Grades!AT139; All_Datasets!DH139; All_Datasets!CQ139</t>
  </si>
  <si>
    <t>DS-138|C1</t>
  </si>
  <si>
    <t>DS-138|C2</t>
  </si>
  <si>
    <t>MCDM_Grades!AR139; MCDM_Grades!AT139; All_Datasets!DH139; All_Datasets!BJ139</t>
  </si>
  <si>
    <t>DS-138|R1</t>
  </si>
  <si>
    <t>DS-138|R2</t>
  </si>
  <si>
    <t>DS-138|M1</t>
  </si>
  <si>
    <t>DS-138|M2</t>
  </si>
  <si>
    <t>DS-138|M5</t>
  </si>
  <si>
    <t>DS-139|A1</t>
  </si>
  <si>
    <t>MCDM_Grades!AR140; MCDM_Grades!AT140; All_Datasets!DH140; All_Datasets!D140; All_Datasets!L140</t>
  </si>
  <si>
    <t>This severity derivative identifies 665 parent plus 52 added images, corrected boxes and class counts. It acknowledges repeated views and potential leakage; severity assignment mixes scripts and manual work. Qualitative threat classes do not establish measured depth or a standard condition survey.</t>
  </si>
  <si>
    <t>DS-139|A2</t>
  </si>
  <si>
    <t>MCDM_Grades!AR140; MCDM_Grades!AT140; All_Datasets!DH140; All_Datasets!CJ140; All_Datasets!CM140</t>
  </si>
  <si>
    <t>DS-139|A3</t>
  </si>
  <si>
    <t>MCDM_Grades!AR140; MCDM_Grades!AT140; All_Datasets!DH140; All_Datasets!CK140</t>
  </si>
  <si>
    <t>DS-139|L1</t>
  </si>
  <si>
    <t>MCDM_Grades!AR140; MCDM_Grades!AT140; All_Datasets!DH140; All_Datasets!BJ140; All_Datasets!BH140</t>
  </si>
  <si>
    <t>DS-139|L2</t>
  </si>
  <si>
    <t>MCDM_Grades!AR140; MCDM_Grades!AT140; All_Datasets!DH140; All_Datasets!BJ140; All_Datasets!BN140; All_Datasets!BY140</t>
  </si>
  <si>
    <t>DS-139|L4</t>
  </si>
  <si>
    <t>MCDM_Grades!AR140; MCDM_Grades!AT140; All_Datasets!DH140; All_Datasets!BZ140</t>
  </si>
  <si>
    <t>DS-139|D1</t>
  </si>
  <si>
    <t>MCDM_Grades!AR140; MCDM_Grades!AT140; All_Datasets!DH140; All_Datasets!BN140; All_Datasets!BO140; All_Datasets!BJ140</t>
  </si>
  <si>
    <t>DS-139|D2</t>
  </si>
  <si>
    <t>MCDM_Grades!AR140; MCDM_Grades!AT140; All_Datasets!DH140; All_Datasets!CR140; All_Datasets!AU140</t>
  </si>
  <si>
    <t>DS-139|D4</t>
  </si>
  <si>
    <t>MCDM_Grades!AR140; MCDM_Grades!AT140; All_Datasets!DH140; All_Datasets!CQ140</t>
  </si>
  <si>
    <t>DS-139|C1</t>
  </si>
  <si>
    <t>MCDM_Grades!AR140; MCDM_Grades!AT140; All_Datasets!DH140; All_Datasets!AC140; All_Datasets!AF140</t>
  </si>
  <si>
    <t>DS-139|C2</t>
  </si>
  <si>
    <t>MCDM_Grades!AR140; MCDM_Grades!AT140; All_Datasets!DH140; All_Datasets!AC140; All_Datasets!BJ140</t>
  </si>
  <si>
    <t>DS-139|R1</t>
  </si>
  <si>
    <t>MCDM_Grades!AR140; MCDM_Grades!AT140; All_Datasets!DH140; All_Datasets!AS140; All_Datasets!AU140</t>
  </si>
  <si>
    <t>DS-139|R2</t>
  </si>
  <si>
    <t>DS-139|M1</t>
  </si>
  <si>
    <t>MCDM_Grades!AR140; MCDM_Grades!AT140; All_Datasets!DH140; All_Datasets!AU140</t>
  </si>
  <si>
    <t>DS-139|M2</t>
  </si>
  <si>
    <t>MCDM_Grades!AR140; MCDM_Grades!AT140; All_Datasets!DH140</t>
  </si>
  <si>
    <t>DS-139|M5</t>
  </si>
  <si>
    <t>MCDM_Grades!AR140; MCDM_Grades!AT140; All_Datasets!DH140; All_Datasets!BY140; All_Datasets!CQ140</t>
  </si>
  <si>
    <t>DS-140|A1</t>
  </si>
  <si>
    <t>MCDM_Grades!AR141; MCDM_Grades!AT141; All_Datasets!DH141; All_Datasets!D141; All_Datasets!L141</t>
  </si>
  <si>
    <t>Kaggle API confirms the Asphalt Cracks v1 record but its description and license are empty/Unknown. The title and archive size do not verify labels, sample count or pavement task eligibility.</t>
  </si>
  <si>
    <t>DS-140|A2</t>
  </si>
  <si>
    <t>MCDM_Grades!AR141; MCDM_Grades!AT141; All_Datasets!DH141; All_Datasets!CJ141; All_Datasets!CM141</t>
  </si>
  <si>
    <t>DS-140|A3</t>
  </si>
  <si>
    <t>MCDM_Grades!AR141; MCDM_Grades!AT141; All_Datasets!DH141</t>
  </si>
  <si>
    <t>DS-140|L1</t>
  </si>
  <si>
    <t>MCDM_Grades!AR141; MCDM_Grades!AT141; All_Datasets!DH141; All_Datasets!BH141</t>
  </si>
  <si>
    <t>DS-140|L2</t>
  </si>
  <si>
    <t>DS-140|L4</t>
  </si>
  <si>
    <t>DS-140|D1</t>
  </si>
  <si>
    <t>DS-140|D2</t>
  </si>
  <si>
    <t>MCDM_Grades!AR141; MCDM_Grades!AT141; All_Datasets!DH141; All_Datasets!CR141</t>
  </si>
  <si>
    <t>DS-140|D4</t>
  </si>
  <si>
    <t>MCDM_Grades!AR141; MCDM_Grades!AT141; All_Datasets!DH141; All_Datasets!CQ141</t>
  </si>
  <si>
    <t>DS-140|C1</t>
  </si>
  <si>
    <t>DS-140|C2</t>
  </si>
  <si>
    <t>DS-140|R1</t>
  </si>
  <si>
    <t>DS-140|R2</t>
  </si>
  <si>
    <t>DS-140|M1</t>
  </si>
  <si>
    <t>DS-140|M2</t>
  </si>
  <si>
    <t>DS-140|M5</t>
  </si>
  <si>
    <t>DS-141|A1</t>
  </si>
  <si>
    <t>MCDM_Grades!AR142; MCDM_Grades!AT142; All_Datasets!DH142; All_Datasets!D142; All_Datasets!L142</t>
  </si>
  <si>
    <t>The CDAC-DAI Kaggle record exists but provides no substantive description or known license. Do not infer image counts from file counts, or a verified institution/annotation scheme from the title.</t>
  </si>
  <si>
    <t>DS-141|A2</t>
  </si>
  <si>
    <t>MCDM_Grades!AR142; MCDM_Grades!AT142; All_Datasets!DH142; All_Datasets!CJ142; All_Datasets!CM142</t>
  </si>
  <si>
    <t>DS-141|A3</t>
  </si>
  <si>
    <t>MCDM_Grades!AR142; MCDM_Grades!AT142; All_Datasets!DH142</t>
  </si>
  <si>
    <t>DS-141|L1</t>
  </si>
  <si>
    <t>MCDM_Grades!AR142; MCDM_Grades!AT142; All_Datasets!DH142; All_Datasets!BH142</t>
  </si>
  <si>
    <t>DS-141|L2</t>
  </si>
  <si>
    <t>DS-141|L4</t>
  </si>
  <si>
    <t>DS-141|D1</t>
  </si>
  <si>
    <t>DS-141|D2</t>
  </si>
  <si>
    <t>MCDM_Grades!AR142; MCDM_Grades!AT142; All_Datasets!DH142; All_Datasets!CR142</t>
  </si>
  <si>
    <t>DS-141|D4</t>
  </si>
  <si>
    <t>MCDM_Grades!AR142; MCDM_Grades!AT142; All_Datasets!DH142; All_Datasets!CQ142</t>
  </si>
  <si>
    <t>DS-141|C1</t>
  </si>
  <si>
    <t>MCDM_Grades!AR142; MCDM_Grades!AT142; All_Datasets!DH142; All_Datasets!AC142; All_Datasets!AF142</t>
  </si>
  <si>
    <t>DS-141|C2</t>
  </si>
  <si>
    <t>MCDM_Grades!AR142; MCDM_Grades!AT142; All_Datasets!DH142; All_Datasets!AC142</t>
  </si>
  <si>
    <t>DS-141|R1</t>
  </si>
  <si>
    <t>DS-141|R2</t>
  </si>
  <si>
    <t>DS-141|M1</t>
  </si>
  <si>
    <t>DS-141|M2</t>
  </si>
  <si>
    <t>DS-141|M5</t>
  </si>
  <si>
    <t>DS-142|A1</t>
  </si>
  <si>
    <t>MCDM_Grades!AR143; MCDM_Grades!AT143; All_Datasets!DH143; All_Datasets!D143; All_Datasets!L143</t>
  </si>
  <si>
    <t>CombinedCrack names four constituent sources and image/mask folders; MIT metadata does not resolve upstream licenses. Mixed asphalt/tile images and unspecified per-source counts prevent independent-sample and domain-fit confirmation.</t>
  </si>
  <si>
    <t>DS-142|A2</t>
  </si>
  <si>
    <t>MCDM_Grades!AR143; MCDM_Grades!AT143; All_Datasets!DH143; All_Datasets!CJ143; All_Datasets!CM143</t>
  </si>
  <si>
    <t>DS-142|A3</t>
  </si>
  <si>
    <t>MCDM_Grades!AR143; MCDM_Grades!AT143; All_Datasets!DH143; All_Datasets!CK143</t>
  </si>
  <si>
    <t>DS-142|L1</t>
  </si>
  <si>
    <t>MCDM_Grades!AR143; MCDM_Grades!AT143; All_Datasets!DH143; All_Datasets!BJ143; All_Datasets!BH143</t>
  </si>
  <si>
    <t>DS-142|L2</t>
  </si>
  <si>
    <t>MCDM_Grades!AR143; MCDM_Grades!AT143; All_Datasets!DH143; All_Datasets!BJ143; All_Datasets!BN143; All_Datasets!BY143</t>
  </si>
  <si>
    <t>DS-142|L4</t>
  </si>
  <si>
    <t>MCDM_Grades!AR143; MCDM_Grades!AT143; All_Datasets!DH143</t>
  </si>
  <si>
    <t>DS-142|D1</t>
  </si>
  <si>
    <t>MCDM_Grades!AR143; MCDM_Grades!AT143; All_Datasets!DH143; All_Datasets!BN143; All_Datasets!BO143; All_Datasets!BJ143</t>
  </si>
  <si>
    <t>DS-142|D2</t>
  </si>
  <si>
    <t>MCDM_Grades!AR143; MCDM_Grades!AT143; All_Datasets!DH143; All_Datasets!CR143; All_Datasets!CV143</t>
  </si>
  <si>
    <t>DS-142|D4</t>
  </si>
  <si>
    <t>MCDM_Grades!AR143; MCDM_Grades!AT143; All_Datasets!DH143; All_Datasets!CQ143</t>
  </si>
  <si>
    <t>DS-142|C1</t>
  </si>
  <si>
    <t>MCDM_Grades!AR143; MCDM_Grades!AT143; All_Datasets!DH143; All_Datasets!AC143; All_Datasets!AF143</t>
  </si>
  <si>
    <t>DS-142|C2</t>
  </si>
  <si>
    <t>MCDM_Grades!AR143; MCDM_Grades!AT143; All_Datasets!DH143; All_Datasets!AC143; All_Datasets!BJ143</t>
  </si>
  <si>
    <t>DS-142|R1</t>
  </si>
  <si>
    <t>DS-142|R2</t>
  </si>
  <si>
    <t>DS-142|M1</t>
  </si>
  <si>
    <t>DS-142|M2</t>
  </si>
  <si>
    <t>DS-142|M5</t>
  </si>
  <si>
    <t>MCDM_Grades!AR143; MCDM_Grades!AT143; All_Datasets!DH143; All_Datasets!BY143; All_Datasets!CQ143</t>
  </si>
  <si>
    <t>DS-143|A1</t>
  </si>
  <si>
    <t>MCDM_Grades!AR144; MCDM_Grades!AT144; All_Datasets!DH144; All_Datasets!D144; All_Datasets!L144</t>
  </si>
  <si>
    <t>CMIRD describes 3,350 GoPro frames, three tasks and three trained annotators with repeated cross-checking and consensus on ambiguity. It explicitly lacks formal agreement metrics. CC BY-NC-SA fits the selected academic use; exact groups and external testing remain unresolved.</t>
  </si>
  <si>
    <t>DS-143|A2</t>
  </si>
  <si>
    <t>MCDM_Grades!AR144; MCDM_Grades!AT144; All_Datasets!DH144; All_Datasets!CJ144; All_Datasets!CM144</t>
  </si>
  <si>
    <t>DS-143|A3</t>
  </si>
  <si>
    <t>MCDM_Grades!AR144; MCDM_Grades!AT144; All_Datasets!DH144; All_Datasets!CK144</t>
  </si>
  <si>
    <t>DS-143|L1</t>
  </si>
  <si>
    <t>MCDM_Grades!AR144; MCDM_Grades!AT144; All_Datasets!DH144; All_Datasets!BJ144; All_Datasets!BH144</t>
  </si>
  <si>
    <t>Three tasks are named, but the per-task target schema is not enumerated in the bounded source record.</t>
  </si>
  <si>
    <t>DS-143|L2</t>
  </si>
  <si>
    <t>MCDM_Grades!AR144; MCDM_Grades!AT144; All_Datasets!DH144; All_Datasets!BJ144</t>
  </si>
  <si>
    <t>DS-143|L4</t>
  </si>
  <si>
    <t>MCDM_Grades!AR144; MCDM_Grades!AT144; All_Datasets!DH144</t>
  </si>
  <si>
    <t>DS-143|D1</t>
  </si>
  <si>
    <t>DS-143|D2</t>
  </si>
  <si>
    <t>MCDM_Grades!AR144; MCDM_Grades!AT144; All_Datasets!DH144; All_Datasets!CR144; All_Datasets!AU144</t>
  </si>
  <si>
    <t>DS-143|D4</t>
  </si>
  <si>
    <t>MCDM_Grades!AR144; MCDM_Grades!AT144; All_Datasets!DH144; All_Datasets!CQ144</t>
  </si>
  <si>
    <t>DS-143|C1</t>
  </si>
  <si>
    <t>DS-143|C2</t>
  </si>
  <si>
    <t>DS-143|R1</t>
  </si>
  <si>
    <t>MCDM_Grades!AR144; MCDM_Grades!AT144; All_Datasets!DH144; All_Datasets!AP144; All_Datasets!AR144; All_Datasets!AS144; All_Datasets!AU144</t>
  </si>
  <si>
    <t>DS-143|R2</t>
  </si>
  <si>
    <t>MCDM_Grades!AR144; MCDM_Grades!AT144; All_Datasets!DH144; All_Datasets!AS144; All_Datasets!AU144</t>
  </si>
  <si>
    <t>DS-143|M1</t>
  </si>
  <si>
    <t>MCDM_Grades!AR144; MCDM_Grades!AT144; All_Datasets!DH144; All_Datasets!AU144; All_Datasets!AW144</t>
  </si>
  <si>
    <t>DS-143|M2</t>
  </si>
  <si>
    <t>DS-143|M5</t>
  </si>
  <si>
    <t>DS-144|A1</t>
  </si>
  <si>
    <t>MCDM_Grades!AR145; MCDM_Grades!AT145; All_Datasets!DH145; All_Datasets!D145; All_Datasets!L145</t>
  </si>
  <si>
    <t>Highway Surface Crack Detection v1 gives a general purpose and 80/20 split claim, with CC0 in API metadata. Exact targets, counts, collection origin and fixed membership are not established; task claims do not prove labeled data quality.</t>
  </si>
  <si>
    <t>DS-144|A2</t>
  </si>
  <si>
    <t>MCDM_Grades!AR145; MCDM_Grades!AT145; All_Datasets!DH145; All_Datasets!CJ145; All_Datasets!CM145</t>
  </si>
  <si>
    <t>DS-144|A3</t>
  </si>
  <si>
    <t>MCDM_Grades!AR145; MCDM_Grades!AT145; All_Datasets!DH145; All_Datasets!CK145</t>
  </si>
  <si>
    <t>DS-144|L1</t>
  </si>
  <si>
    <t>MCDM_Grades!AR145; MCDM_Grades!AT145; All_Datasets!DH145; All_Datasets!BJ145; All_Datasets!BH145</t>
  </si>
  <si>
    <t>DS-144|L2</t>
  </si>
  <si>
    <t>MCDM_Grades!AR145; MCDM_Grades!AT145; All_Datasets!DH145; All_Datasets!BJ145</t>
  </si>
  <si>
    <t>DS-144|L4</t>
  </si>
  <si>
    <t>MCDM_Grades!AR145; MCDM_Grades!AT145; All_Datasets!DH145</t>
  </si>
  <si>
    <t>DS-144|D1</t>
  </si>
  <si>
    <t>DS-144|D2</t>
  </si>
  <si>
    <t>MCDM_Grades!AR145; MCDM_Grades!AT145; All_Datasets!DH145; All_Datasets!CR145</t>
  </si>
  <si>
    <t>DS-144|D4</t>
  </si>
  <si>
    <t>MCDM_Grades!AR145; MCDM_Grades!AT145; All_Datasets!DH145; All_Datasets!CQ145</t>
  </si>
  <si>
    <t>DS-144|C1</t>
  </si>
  <si>
    <t>DS-144|C2</t>
  </si>
  <si>
    <t>DS-144|R1</t>
  </si>
  <si>
    <t>MCDM_Grades!AR145; MCDM_Grades!AT145; All_Datasets!DH145; All_Datasets!AS145</t>
  </si>
  <si>
    <t>DS-144|R2</t>
  </si>
  <si>
    <t>MCDM_Grades!AR145; MCDM_Grades!AT145; All_Datasets!DH145; All_Datasets!AS145; All_Datasets!BE145; All_Datasets!BF145</t>
  </si>
  <si>
    <t>DS-144|M1</t>
  </si>
  <si>
    <t>DS-144|M2</t>
  </si>
  <si>
    <t>DS-144|M5</t>
  </si>
  <si>
    <t>DS-145|A1</t>
  </si>
  <si>
    <t>MCDM_Grades!AR146; MCDM_Grades!AT146; All_Datasets!DH146; All_Datasets!D146; All_Datasets!L146</t>
  </si>
  <si>
    <t>RoadSense is a 30k-plus compilation claiming CC0 source selection but without an itemized source chain. General refinement statements do not document label-error correction or threat-level thresholds. Do not count the aggregate as independent of its sources.</t>
  </si>
  <si>
    <t>DS-145|A2</t>
  </si>
  <si>
    <t>MCDM_Grades!AR146; MCDM_Grades!AT146; All_Datasets!DH146; All_Datasets!CJ146; All_Datasets!CM146</t>
  </si>
  <si>
    <t>DS-145|A3</t>
  </si>
  <si>
    <t>MCDM_Grades!AR146; MCDM_Grades!AT146; All_Datasets!DH146; All_Datasets!CK146</t>
  </si>
  <si>
    <t>DS-145|L1</t>
  </si>
  <si>
    <t>MCDM_Grades!AR146; MCDM_Grades!AT146; All_Datasets!DH146; All_Datasets!BJ146; All_Datasets!BH146</t>
  </si>
  <si>
    <t>DS-145|L2</t>
  </si>
  <si>
    <t>MCDM_Grades!AR146; MCDM_Grades!AT146; All_Datasets!DH146; All_Datasets!BJ146; All_Datasets!BY146</t>
  </si>
  <si>
    <t>DS-145|L4</t>
  </si>
  <si>
    <t>MCDM_Grades!AR146; MCDM_Grades!AT146; All_Datasets!DH146; All_Datasets!BZ146</t>
  </si>
  <si>
    <t>DS-145|D1</t>
  </si>
  <si>
    <t>MCDM_Grades!AR146; MCDM_Grades!AT146; All_Datasets!DH146; All_Datasets!BJ146</t>
  </si>
  <si>
    <t>DS-145|D2</t>
  </si>
  <si>
    <t>MCDM_Grades!AR146; MCDM_Grades!AT146; All_Datasets!DH146; All_Datasets!CR146; All_Datasets!CV146; All_Datasets!AU146</t>
  </si>
  <si>
    <t>DS-145|D4</t>
  </si>
  <si>
    <t>MCDM_Grades!AR146; MCDM_Grades!AT146; All_Datasets!DH146; All_Datasets!CQ146</t>
  </si>
  <si>
    <t>DS-145|C1</t>
  </si>
  <si>
    <t>MCDM_Grades!AR146; MCDM_Grades!AT146; All_Datasets!DH146; All_Datasets!AC146; All_Datasets!AF146</t>
  </si>
  <si>
    <t>DS-145|C2</t>
  </si>
  <si>
    <t>MCDM_Grades!AR146; MCDM_Grades!AT146; All_Datasets!DH146; All_Datasets!AC146; All_Datasets!BJ146</t>
  </si>
  <si>
    <t>DS-145|R1</t>
  </si>
  <si>
    <t>MCDM_Grades!AR146; MCDM_Grades!AT146; All_Datasets!DH146; All_Datasets!AU146</t>
  </si>
  <si>
    <t>DS-145|R2</t>
  </si>
  <si>
    <t>MCDM_Grades!AR146; MCDM_Grades!AT146; All_Datasets!DH146; All_Datasets!BE146; All_Datasets!BF146; All_Datasets!AU146</t>
  </si>
  <si>
    <t>DS-145|M1</t>
  </si>
  <si>
    <t>DS-145|M2</t>
  </si>
  <si>
    <t>MCDM_Grades!AR146; MCDM_Grades!AT146; All_Datasets!DH146</t>
  </si>
  <si>
    <t>DS-145|M5</t>
  </si>
  <si>
    <t>MCDM_Grades!AR146; MCDM_Grades!AT146; All_Datasets!DH146; All_Datasets!BY146; All_Datasets!CQ146</t>
  </si>
  <si>
    <t>DS-146|A1</t>
  </si>
  <si>
    <t>MCDM_Grades!AR147; MCDM_Grades!AT147; All_Datasets!DH147; All_Datasets!D147; All_Datasets!L147</t>
  </si>
  <si>
    <t>Intersecting-Crack-Analysis provides a 732-image JSON/TXT task description, paper DOI and Baidu access route; API metadata says CC0. The current description does not reproduce the inventory's alleged license conflict, so no X is assigned without conflicting terms.</t>
  </si>
  <si>
    <t>DS-146|A2</t>
  </si>
  <si>
    <t>MCDM_Grades!AR147; MCDM_Grades!AT147; All_Datasets!DH147; All_Datasets!CJ147; All_Datasets!CM147</t>
  </si>
  <si>
    <t>DS-146|A3</t>
  </si>
  <si>
    <t>MCDM_Grades!AR147; MCDM_Grades!AT147; All_Datasets!DH147; All_Datasets!CK147</t>
  </si>
  <si>
    <t>DS-146|L1</t>
  </si>
  <si>
    <t>MCDM_Grades!AR147; MCDM_Grades!AT147; All_Datasets!DH147; All_Datasets!BJ147; All_Datasets!BH147</t>
  </si>
  <si>
    <t>DS-146|L2</t>
  </si>
  <si>
    <t>MCDM_Grades!AR147; MCDM_Grades!AT147; All_Datasets!DH147; All_Datasets!BJ147</t>
  </si>
  <si>
    <t>JSON/TXT and segmentation are named but a basic labeling procedure is not established.</t>
  </si>
  <si>
    <t>DS-146|L4</t>
  </si>
  <si>
    <t>MCDM_Grades!AR147; MCDM_Grades!AT147; All_Datasets!DH147</t>
  </si>
  <si>
    <t>DS-146|D1</t>
  </si>
  <si>
    <t>DS-146|D2</t>
  </si>
  <si>
    <t>MCDM_Grades!AR147; MCDM_Grades!AT147; All_Datasets!DH147; All_Datasets!CR147</t>
  </si>
  <si>
    <t>DS-146|D4</t>
  </si>
  <si>
    <t>MCDM_Grades!AR147; MCDM_Grades!AT147; All_Datasets!DH147; All_Datasets!CQ147</t>
  </si>
  <si>
    <t>DS-146|C1</t>
  </si>
  <si>
    <t>DS-146|C2</t>
  </si>
  <si>
    <t>DS-146|R1</t>
  </si>
  <si>
    <t>MCDM_Grades!AR147; MCDM_Grades!AT147; All_Datasets!DH147; All_Datasets!AP147; All_Datasets!AS147</t>
  </si>
  <si>
    <t>DS-146|R2</t>
  </si>
  <si>
    <t>MCDM_Grades!AR147; MCDM_Grades!AT147; All_Datasets!DH147; All_Datasets!AS147</t>
  </si>
  <si>
    <t>DS-146|M1</t>
  </si>
  <si>
    <t>DS-146|M2</t>
  </si>
  <si>
    <t>DS-146|M5</t>
  </si>
  <si>
    <t>DS-147|A1</t>
  </si>
  <si>
    <t>MCDM_Grades!AR148; MCDM_Grades!AT148; All_Datasets!DH148; All_Datasets!L148</t>
  </si>
  <si>
    <t>MIIA export documents South African pothole/no-pothole labels, 4,026 train and 1,650 unlabeled test images, IDs and CSV fields. Unknown license and source-package identity prevent reuse clearance; challenge packaging does not prove independent splits.</t>
  </si>
  <si>
    <t>DS-147|A2</t>
  </si>
  <si>
    <t>MCDM_Grades!AR148; MCDM_Grades!AT148; All_Datasets!DH148; All_Datasets!CJ148; All_Datasets!CM148</t>
  </si>
  <si>
    <t>DS-147|A3</t>
  </si>
  <si>
    <t>MCDM_Grades!AR148; MCDM_Grades!AT148; All_Datasets!DH148</t>
  </si>
  <si>
    <t>DS-147|L1</t>
  </si>
  <si>
    <t>MCDM_Grades!AR148; MCDM_Grades!AT148; All_Datasets!DH148; All_Datasets!BJ148; All_Datasets!BH148</t>
  </si>
  <si>
    <t>DS-147|L2</t>
  </si>
  <si>
    <t>MCDM_Grades!AR148; MCDM_Grades!AT148; All_Datasets!DH148; All_Datasets!BJ148; All_Datasets!BN148; All_Datasets!BY148</t>
  </si>
  <si>
    <t>DS-147|L4</t>
  </si>
  <si>
    <t>MCDM_Grades!AR148; MCDM_Grades!AT148; All_Datasets!DH148; All_Datasets!BZ148</t>
  </si>
  <si>
    <t>DS-147|D1</t>
  </si>
  <si>
    <t>MCDM_Grades!AR148; MCDM_Grades!AT148; All_Datasets!DH148; All_Datasets!BN148; All_Datasets!BJ148</t>
  </si>
  <si>
    <t>DS-147|D2</t>
  </si>
  <si>
    <t>MCDM_Grades!AR148; MCDM_Grades!AT148; All_Datasets!DH148; All_Datasets!CR148; All_Datasets!AU148</t>
  </si>
  <si>
    <t>DS-147|D4</t>
  </si>
  <si>
    <t>MCDM_Grades!AR148; MCDM_Grades!AT148; All_Datasets!DH148; All_Datasets!CQ148</t>
  </si>
  <si>
    <t>DS-147|C1</t>
  </si>
  <si>
    <t>MCDM_Grades!AR148; MCDM_Grades!AT148; All_Datasets!DH148; All_Datasets!AC148; All_Datasets!AF148</t>
  </si>
  <si>
    <t>DS-147|C2</t>
  </si>
  <si>
    <t>MCDM_Grades!AR148; MCDM_Grades!AT148; All_Datasets!DH148; All_Datasets!AC148; All_Datasets!BJ148</t>
  </si>
  <si>
    <t>DS-147|R1</t>
  </si>
  <si>
    <t>MCDM_Grades!AR148; MCDM_Grades!AT148; All_Datasets!DH148; All_Datasets!AP148; All_Datasets!AS148; All_Datasets!AU148</t>
  </si>
  <si>
    <t>DS-147|R2</t>
  </si>
  <si>
    <t>MCDM_Grades!AR148; MCDM_Grades!AT148; All_Datasets!DH148; All_Datasets!AS148; All_Datasets!AU148</t>
  </si>
  <si>
    <t>DS-147|M1</t>
  </si>
  <si>
    <t>MCDM_Grades!AR148; MCDM_Grades!AT148; All_Datasets!DH148; All_Datasets!AU148; All_Datasets!AW148</t>
  </si>
  <si>
    <t>DS-147|M2</t>
  </si>
  <si>
    <t>DS-147|M5</t>
  </si>
  <si>
    <t>MCDM_Grades!AR148; MCDM_Grades!AT148; All_Datasets!DH148; All_Datasets!BY148; All_Datasets!CQ148</t>
  </si>
  <si>
    <t>DS-148|A1</t>
  </si>
  <si>
    <t>MCDM_Grades!AR149; MCDM_Grades!AT149; All_Datasets!DH149; All_Datasets!D149; All_Datasets!L149</t>
  </si>
  <si>
    <t>Post-earthquake Turkey dataset separates 528 collected images from 518 retained images and gives 225 major/293 minor labels. Maintenance urgency is qualitative; no objective width/depth/severity thresholds or engineering validation are established.</t>
  </si>
  <si>
    <t>DS-148|A2</t>
  </si>
  <si>
    <t>MCDM_Grades!AR149; MCDM_Grades!AT149; All_Datasets!DH149; All_Datasets!CJ149; All_Datasets!CM149</t>
  </si>
  <si>
    <t>DS-148|A3</t>
  </si>
  <si>
    <t>MCDM_Grades!AR149; MCDM_Grades!AT149; All_Datasets!DH149; All_Datasets!CK149</t>
  </si>
  <si>
    <t>DS-148|L1</t>
  </si>
  <si>
    <t>MCDM_Grades!AR149; MCDM_Grades!AT149; All_Datasets!DH149; All_Datasets!BJ149; All_Datasets!BH149</t>
  </si>
  <si>
    <t>DS-148|L2</t>
  </si>
  <si>
    <t>MCDM_Grades!AR149; MCDM_Grades!AT149; All_Datasets!DH149; All_Datasets!BJ149; All_Datasets!BY149</t>
  </si>
  <si>
    <t>DS-148|L4</t>
  </si>
  <si>
    <t>MCDM_Grades!AR149; MCDM_Grades!AT149; All_Datasets!DH149; All_Datasets!BZ149</t>
  </si>
  <si>
    <t>DS-148|D1</t>
  </si>
  <si>
    <t>MCDM_Grades!AR149; MCDM_Grades!AT149; All_Datasets!DH149; All_Datasets!BJ149</t>
  </si>
  <si>
    <t>DS-148|D2</t>
  </si>
  <si>
    <t>MCDM_Grades!AR149; MCDM_Grades!AT149; All_Datasets!DH149; All_Datasets!CR149; All_Datasets!AU149</t>
  </si>
  <si>
    <t>DS-148|D4</t>
  </si>
  <si>
    <t>MCDM_Grades!AR149; MCDM_Grades!AT149; All_Datasets!DH149; All_Datasets!CQ149</t>
  </si>
  <si>
    <t>DS-148|C1</t>
  </si>
  <si>
    <t>MCDM_Grades!AR149; MCDM_Grades!AT149; All_Datasets!DH149; All_Datasets!AC149; All_Datasets!AF149</t>
  </si>
  <si>
    <t>DS-148|C2</t>
  </si>
  <si>
    <t>MCDM_Grades!AR149; MCDM_Grades!AT149; All_Datasets!DH149; All_Datasets!AC149; All_Datasets!BJ149</t>
  </si>
  <si>
    <t>DS-148|R1</t>
  </si>
  <si>
    <t>MCDM_Grades!AR149; MCDM_Grades!AT149; All_Datasets!DH149; All_Datasets!AP149; All_Datasets!AR149; All_Datasets!AS149; All_Datasets!AU149</t>
  </si>
  <si>
    <t>DS-148|R2</t>
  </si>
  <si>
    <t>MCDM_Grades!AR149; MCDM_Grades!AT149; All_Datasets!DH149; All_Datasets!AS149; All_Datasets!AU149</t>
  </si>
  <si>
    <t>DS-148|M1</t>
  </si>
  <si>
    <t>MCDM_Grades!AR149; MCDM_Grades!AT149; All_Datasets!DH149; All_Datasets!AU149; All_Datasets!AW149</t>
  </si>
  <si>
    <t>DS-148|M2</t>
  </si>
  <si>
    <t>MCDM_Grades!AR149; MCDM_Grades!AT149; All_Datasets!DH149</t>
  </si>
  <si>
    <t>DS-148|M5</t>
  </si>
  <si>
    <t>MCDM_Grades!AR149; MCDM_Grades!AT149; All_Datasets!DH149; All_Datasets!BY149; All_Datasets!CQ149</t>
  </si>
  <si>
    <t>DS-149|A1</t>
  </si>
  <si>
    <t>MCDM_Grades!AR150; MCDM_Grades!AT150; All_Datasets!DH150; All_Datasets!D150; All_Datasets!L150</t>
  </si>
  <si>
    <t>MakeML mirror describes 665 pothole VOC images and proof-of-concept use. DbCL is linked, but original image provenance and full rights chain are unresolved. It overlaps the commonly reused 665-image pothole family.</t>
  </si>
  <si>
    <t>DS-149|A2</t>
  </si>
  <si>
    <t>MCDM_Grades!AR150; MCDM_Grades!AT150; All_Datasets!DH150; All_Datasets!CJ150; All_Datasets!CM150</t>
  </si>
  <si>
    <t>DS-149|A3</t>
  </si>
  <si>
    <t>MCDM_Grades!AR150; MCDM_Grades!AT150; All_Datasets!DH150; All_Datasets!CK150</t>
  </si>
  <si>
    <t>DS-149|L1</t>
  </si>
  <si>
    <t>MCDM_Grades!AR150; MCDM_Grades!AT150; All_Datasets!DH150; All_Datasets!BJ150; All_Datasets!BH150</t>
  </si>
  <si>
    <t>DS-149|L2</t>
  </si>
  <si>
    <t>MCDM_Grades!AR150; MCDM_Grades!AT150; All_Datasets!DH150; All_Datasets!BJ150; All_Datasets!BN150</t>
  </si>
  <si>
    <t>DS-149|L4</t>
  </si>
  <si>
    <t>MCDM_Grades!AR150; MCDM_Grades!AT150; All_Datasets!DH150</t>
  </si>
  <si>
    <t>DS-149|D1</t>
  </si>
  <si>
    <t>MCDM_Grades!AR150; MCDM_Grades!AT150; All_Datasets!DH150; All_Datasets!BN150; All_Datasets!BO150; All_Datasets!BJ150</t>
  </si>
  <si>
    <t>DS-149|D2</t>
  </si>
  <si>
    <t>MCDM_Grades!AR150; MCDM_Grades!AT150; All_Datasets!DH150; All_Datasets!CR150; All_Datasets!CV150</t>
  </si>
  <si>
    <t>DS-149|D4</t>
  </si>
  <si>
    <t>MCDM_Grades!AR150; MCDM_Grades!AT150; All_Datasets!DH150; All_Datasets!CQ150</t>
  </si>
  <si>
    <t>DS-149|C1</t>
  </si>
  <si>
    <t>MCDM_Grades!AR150; MCDM_Grades!AT150; All_Datasets!DH150; All_Datasets!AC150; All_Datasets!AF150</t>
  </si>
  <si>
    <t>DS-149|C2</t>
  </si>
  <si>
    <t>MCDM_Grades!AR150; MCDM_Grades!AT150; All_Datasets!DH150; All_Datasets!AC150; All_Datasets!BJ150</t>
  </si>
  <si>
    <t>DS-149|R1</t>
  </si>
  <si>
    <t>DS-149|R2</t>
  </si>
  <si>
    <t>DS-149|M1</t>
  </si>
  <si>
    <t>DS-149|M2</t>
  </si>
  <si>
    <t>DS-149|M5</t>
  </si>
  <si>
    <t>DS-150|A1</t>
  </si>
  <si>
    <t>MCDM_Grades!AR151; MCDM_Grades!AT151; All_Datasets!DH151; All_Datasets!D151; All_Datasets!L151</t>
  </si>
  <si>
    <t>Kumar explicitly scraped internet photos for a college project and provides normal/pothole folders. CC0 on this mirror does not settle rights to scraped photographs; source locations, originals and capture groups remain unknown.</t>
  </si>
  <si>
    <t>DS-150|A2</t>
  </si>
  <si>
    <t>MCDM_Grades!AR151; MCDM_Grades!AT151; All_Datasets!DH151; All_Datasets!CJ151; All_Datasets!CM151</t>
  </si>
  <si>
    <t>DS-150|A3</t>
  </si>
  <si>
    <t>MCDM_Grades!AR151; MCDM_Grades!AT151; All_Datasets!DH151; All_Datasets!CK151</t>
  </si>
  <si>
    <t>DS-150|L1</t>
  </si>
  <si>
    <t>MCDM_Grades!AR151; MCDM_Grades!AT151; All_Datasets!DH151; All_Datasets!BJ151; All_Datasets!BH151</t>
  </si>
  <si>
    <t>DS-150|L2</t>
  </si>
  <si>
    <t>MCDM_Grades!AR151; MCDM_Grades!AT151; All_Datasets!DH151; All_Datasets!BJ151; All_Datasets!BN151</t>
  </si>
  <si>
    <t>DS-150|L4</t>
  </si>
  <si>
    <t>MCDM_Grades!AR151; MCDM_Grades!AT151; All_Datasets!DH151</t>
  </si>
  <si>
    <t>DS-150|D1</t>
  </si>
  <si>
    <t>MCDM_Grades!AR151; MCDM_Grades!AT151; All_Datasets!DH151; All_Datasets!BN151; All_Datasets!BJ151</t>
  </si>
  <si>
    <t>DS-150|D2</t>
  </si>
  <si>
    <t>MCDM_Grades!AR151; MCDM_Grades!AT151; All_Datasets!DH151; All_Datasets!CR151; All_Datasets!CV151; All_Datasets!AU151</t>
  </si>
  <si>
    <t>DS-150|D4</t>
  </si>
  <si>
    <t>MCDM_Grades!AR151; MCDM_Grades!AT151; All_Datasets!DH151; All_Datasets!CQ151</t>
  </si>
  <si>
    <t>DS-150|C1</t>
  </si>
  <si>
    <t>DS-150|C2</t>
  </si>
  <si>
    <t>MCDM_Grades!AR151; MCDM_Grades!AT151; All_Datasets!DH151; All_Datasets!BJ151</t>
  </si>
  <si>
    <t>DS-150|R1</t>
  </si>
  <si>
    <t>MCDM_Grades!AR151; MCDM_Grades!AT151; All_Datasets!DH151; All_Datasets!AU151</t>
  </si>
  <si>
    <t>DS-150|R2</t>
  </si>
  <si>
    <t>DS-150|M1</t>
  </si>
  <si>
    <t>DS-150|M2</t>
  </si>
  <si>
    <t>DS-150|M5</t>
  </si>
  <si>
    <t>DS-151|A1</t>
  </si>
  <si>
    <t>MCDM_Grades!AR152; MCDM_Grades!AT152; All_Datasets!DH152; All_Datasets!D152; All_Datasets!L152</t>
  </si>
  <si>
    <t>YOLOv11 Optimized describes a Roboflow-sourced pothole package and three splits without identifying the exact parent project. Published CC BY does not resolve upstream terms. No split rule or annotation audit is demonstrated.</t>
  </si>
  <si>
    <t>DS-151|A2</t>
  </si>
  <si>
    <t>MCDM_Grades!AR152; MCDM_Grades!AT152; All_Datasets!DH152; All_Datasets!CJ152; All_Datasets!CM152</t>
  </si>
  <si>
    <t>DS-151|A3</t>
  </si>
  <si>
    <t>MCDM_Grades!AR152; MCDM_Grades!AT152; All_Datasets!DH152; All_Datasets!CK152</t>
  </si>
  <si>
    <t>DS-151|L1</t>
  </si>
  <si>
    <t>MCDM_Grades!AR152; MCDM_Grades!AT152; All_Datasets!DH152; All_Datasets!BJ152; All_Datasets!BH152</t>
  </si>
  <si>
    <t>DS-151|L2</t>
  </si>
  <si>
    <t>MCDM_Grades!AR152; MCDM_Grades!AT152; All_Datasets!DH152; All_Datasets!BJ152; All_Datasets!BN152</t>
  </si>
  <si>
    <t>DS-151|L4</t>
  </si>
  <si>
    <t>MCDM_Grades!AR152; MCDM_Grades!AT152; All_Datasets!DH152; All_Datasets!BZ152</t>
  </si>
  <si>
    <t>DS-151|D1</t>
  </si>
  <si>
    <t>MCDM_Grades!AR152; MCDM_Grades!AT152; All_Datasets!DH152; All_Datasets!BN152; All_Datasets!BO152; All_Datasets!BJ152</t>
  </si>
  <si>
    <t>DS-151|D2</t>
  </si>
  <si>
    <t>MCDM_Grades!AR152; MCDM_Grades!AT152; All_Datasets!DH152; All_Datasets!CR152; All_Datasets!AU152</t>
  </si>
  <si>
    <t>DS-151|D4</t>
  </si>
  <si>
    <t>MCDM_Grades!AR152; MCDM_Grades!AT152; All_Datasets!DH152; All_Datasets!CQ152</t>
  </si>
  <si>
    <t>DS-151|C1</t>
  </si>
  <si>
    <t>MCDM_Grades!AR152; MCDM_Grades!AT152; All_Datasets!DH152; All_Datasets!AC152; All_Datasets!AF152</t>
  </si>
  <si>
    <t>DS-151|C2</t>
  </si>
  <si>
    <t>MCDM_Grades!AR152; MCDM_Grades!AT152; All_Datasets!DH152; All_Datasets!AC152; All_Datasets!BJ152</t>
  </si>
  <si>
    <t>DS-151|R1</t>
  </si>
  <si>
    <t>MCDM_Grades!AR152; MCDM_Grades!AT152; All_Datasets!DH152; All_Datasets!AU152</t>
  </si>
  <si>
    <t>DS-151|R2</t>
  </si>
  <si>
    <t>MCDM_Grades!AR152; MCDM_Grades!AT152; All_Datasets!DH152; All_Datasets!BF152; All_Datasets!AU152</t>
  </si>
  <si>
    <t>DS-151|M1</t>
  </si>
  <si>
    <t>DS-151|M2</t>
  </si>
  <si>
    <t>MCDM_Grades!AR152; MCDM_Grades!AT152; All_Datasets!DH152</t>
  </si>
  <si>
    <t>DS-151|M5</t>
  </si>
  <si>
    <t>DS-152|A1</t>
  </si>
  <si>
    <t>MCDM_Grades!AR153; MCDM_Grades!AT153; All_Datasets!DH153; All_Datasets!D153; All_Datasets!L153</t>
  </si>
  <si>
    <t>Kesharwani v1 describes YOLO segmentation, auto-orientation and resizing under Apache 2.0. Claimed total 1,986 differs from train/validation sum 1,971. No originals accounting, source license chain or fixed test set was verified.</t>
  </si>
  <si>
    <t>DS-152|A2</t>
  </si>
  <si>
    <t>MCDM_Grades!AR153; MCDM_Grades!AT153; All_Datasets!DH153; All_Datasets!CJ153; All_Datasets!CM153</t>
  </si>
  <si>
    <t>DS-152|A3</t>
  </si>
  <si>
    <t>MCDM_Grades!AR153; MCDM_Grades!AT153; All_Datasets!DH153; All_Datasets!CK153</t>
  </si>
  <si>
    <t>DS-152|L1</t>
  </si>
  <si>
    <t>MCDM_Grades!AR153; MCDM_Grades!AT153; All_Datasets!DH153; All_Datasets!BJ153; All_Datasets!BH153</t>
  </si>
  <si>
    <t>DS-152|L2</t>
  </si>
  <si>
    <t>MCDM_Grades!AR153; MCDM_Grades!AT153; All_Datasets!DH153; All_Datasets!BJ153; All_Datasets!BN153</t>
  </si>
  <si>
    <t>DS-152|L4</t>
  </si>
  <si>
    <t>MCDM_Grades!AR153; MCDM_Grades!AT153; All_Datasets!DH153; All_Datasets!BZ153</t>
  </si>
  <si>
    <t>DS-152|D1</t>
  </si>
  <si>
    <t>MCDM_Grades!AR153; MCDM_Grades!AT153; All_Datasets!DH153; All_Datasets!BN153; All_Datasets!BO153; All_Datasets!BJ153</t>
  </si>
  <si>
    <t>DS-152|D2</t>
  </si>
  <si>
    <t>MCDM_Grades!AR153; MCDM_Grades!AT153; All_Datasets!DH153; All_Datasets!CR153</t>
  </si>
  <si>
    <t>DS-152|D4</t>
  </si>
  <si>
    <t>MCDM_Grades!AR153; MCDM_Grades!AT153; All_Datasets!DH153; All_Datasets!CQ153</t>
  </si>
  <si>
    <t>DS-152|C1</t>
  </si>
  <si>
    <t>MCDM_Grades!AR153; MCDM_Grades!AT153; All_Datasets!DH153; All_Datasets!AC153; All_Datasets!AF153</t>
  </si>
  <si>
    <t>Claimed total 1,986 differs from reported train/validation sum 1,971.</t>
  </si>
  <si>
    <t>DS-152|C2</t>
  </si>
  <si>
    <t>MCDM_Grades!AR153; MCDM_Grades!AT153; All_Datasets!DH153; All_Datasets!AC153; All_Datasets!BJ153</t>
  </si>
  <si>
    <t>DS-152|R1</t>
  </si>
  <si>
    <t>MCDM_Grades!AR153; MCDM_Grades!AT153; All_Datasets!DH153</t>
  </si>
  <si>
    <t>DS-152|R2</t>
  </si>
  <si>
    <t>MCDM_Grades!AR153; MCDM_Grades!AT153; All_Datasets!DH153; All_Datasets!BF153</t>
  </si>
  <si>
    <t>DS-152|M1</t>
  </si>
  <si>
    <t>DS-152|M2</t>
  </si>
  <si>
    <t>MCDM_Grades!AR153; MCDM_Grades!AT153; All_Datasets!DH153; All_Datasets!AN153</t>
  </si>
  <si>
    <t>DS-152|M5</t>
  </si>
  <si>
    <t>MCDM_Grades!AR153; MCDM_Grades!AT153; All_Datasets!DH153; All_Datasets!AN153; All_Datasets!CQ153</t>
  </si>
  <si>
    <t>DS-153|A1</t>
  </si>
  <si>
    <t>MCDM_Grades!AR154; MCDM_Grades!AT154; All_Datasets!DH154; All_Datasets!D154; All_Datasets!L154</t>
  </si>
  <si>
    <t>Nekouei v2 identifies a Roboflow parent, 780 images and training-only threefold augmentation with listed operators. Do not turn augmented total into independent samples or infer source rights from Apache metadata.</t>
  </si>
  <si>
    <t>DS-153|A2</t>
  </si>
  <si>
    <t>MCDM_Grades!AR154; MCDM_Grades!AT154; All_Datasets!DH154; All_Datasets!CJ154; All_Datasets!CM154</t>
  </si>
  <si>
    <t>DS-153|A3</t>
  </si>
  <si>
    <t>MCDM_Grades!AR154; MCDM_Grades!AT154; All_Datasets!DH154; All_Datasets!CK154</t>
  </si>
  <si>
    <t>DS-153|L1</t>
  </si>
  <si>
    <t>MCDM_Grades!AR154; MCDM_Grades!AT154; All_Datasets!DH154; All_Datasets!BJ154; All_Datasets!BH154</t>
  </si>
  <si>
    <t>DS-153|L2</t>
  </si>
  <si>
    <t>MCDM_Grades!AR154; MCDM_Grades!AT154; All_Datasets!DH154; All_Datasets!BJ154; All_Datasets!BN154; All_Datasets!BY154</t>
  </si>
  <si>
    <t>DS-153|L4</t>
  </si>
  <si>
    <t>MCDM_Grades!AR154; MCDM_Grades!AT154; All_Datasets!DH154; All_Datasets!BZ154</t>
  </si>
  <si>
    <t>DS-153|D1</t>
  </si>
  <si>
    <t>MCDM_Grades!AR154; MCDM_Grades!AT154; All_Datasets!DH154; All_Datasets!BN154; All_Datasets!BO154; All_Datasets!BJ154</t>
  </si>
  <si>
    <t>DS-153|D2</t>
  </si>
  <si>
    <t>MCDM_Grades!AR154; MCDM_Grades!AT154; All_Datasets!DH154; All_Datasets!CR154; All_Datasets!CV154; All_Datasets!AU154</t>
  </si>
  <si>
    <t>DS-153|D4</t>
  </si>
  <si>
    <t>MCDM_Grades!AR154; MCDM_Grades!AT154; All_Datasets!DH154; All_Datasets!CQ154</t>
  </si>
  <si>
    <t>DS-153|C1</t>
  </si>
  <si>
    <t>MCDM_Grades!AR154; MCDM_Grades!AT154; All_Datasets!DH154; All_Datasets!AC154; All_Datasets!AF154</t>
  </si>
  <si>
    <t>DS-153|C2</t>
  </si>
  <si>
    <t>MCDM_Grades!AR154; MCDM_Grades!AT154; All_Datasets!DH154; All_Datasets!AC154; All_Datasets!BJ154</t>
  </si>
  <si>
    <t>DS-153|R1</t>
  </si>
  <si>
    <t>MCDM_Grades!AR154; MCDM_Grades!AT154; All_Datasets!DH154; All_Datasets!AS154; All_Datasets!AU154</t>
  </si>
  <si>
    <t>DS-153|R2</t>
  </si>
  <si>
    <t>DS-153|M1</t>
  </si>
  <si>
    <t>MCDM_Grades!AR154; MCDM_Grades!AT154; All_Datasets!DH154; All_Datasets!AU154</t>
  </si>
  <si>
    <t>DS-153|M2</t>
  </si>
  <si>
    <t>MCDM_Grades!AR154; MCDM_Grades!AT154; All_Datasets!DH154; All_Datasets!AN154</t>
  </si>
  <si>
    <t>DS-153|M5</t>
  </si>
  <si>
    <t>MCDM_Grades!AR154; MCDM_Grades!AT154; All_Datasets!DH154; All_Datasets!AN154; All_Datasets!BY154; All_Datasets!CQ154</t>
  </si>
  <si>
    <t>DS-154|A1</t>
  </si>
  <si>
    <t>MCDM_Grades!AR155; MCDM_Grades!AT155; All_Datasets!DH155; All_Datasets!D155; All_Datasets!L155</t>
  </si>
  <si>
    <t>KHADDA MASTER describes Lahore polygons, 640-pixel resizing and augmentation under MIT. The 87/8/4 percentages do not sum to 100. Claimed repair volume from polygons lacks released physical depth/calibration and earns no Engineering Value points.</t>
  </si>
  <si>
    <t>DS-154|A2</t>
  </si>
  <si>
    <t>MCDM_Grades!AR155; MCDM_Grades!AT155; All_Datasets!DH155; All_Datasets!CJ155; All_Datasets!CM155</t>
  </si>
  <si>
    <t>DS-154|A3</t>
  </si>
  <si>
    <t>MCDM_Grades!AR155; MCDM_Grades!AT155; All_Datasets!DH155; All_Datasets!CK155</t>
  </si>
  <si>
    <t>DS-154|L1</t>
  </si>
  <si>
    <t>MCDM_Grades!AR155; MCDM_Grades!AT155; All_Datasets!DH155; All_Datasets!BJ155; All_Datasets!BH155</t>
  </si>
  <si>
    <t>DS-154|L2</t>
  </si>
  <si>
    <t>MCDM_Grades!AR155; MCDM_Grades!AT155; All_Datasets!DH155; All_Datasets!BJ155; All_Datasets!BN155; All_Datasets!BY155</t>
  </si>
  <si>
    <t>DS-154|L4</t>
  </si>
  <si>
    <t>MCDM_Grades!AR155; MCDM_Grades!AT155; All_Datasets!DH155</t>
  </si>
  <si>
    <t>DS-154|D1</t>
  </si>
  <si>
    <t>MCDM_Grades!AR155; MCDM_Grades!AT155; All_Datasets!DH155; All_Datasets!BN155; All_Datasets!BO155; All_Datasets!BJ155</t>
  </si>
  <si>
    <t>DS-154|D2</t>
  </si>
  <si>
    <t>MCDM_Grades!AR155; MCDM_Grades!AT155; All_Datasets!DH155; All_Datasets!CR155</t>
  </si>
  <si>
    <t>DS-154|D4</t>
  </si>
  <si>
    <t>MCDM_Grades!AR155; MCDM_Grades!AT155; All_Datasets!DH155; All_Datasets!CQ155</t>
  </si>
  <si>
    <t>DS-154|C1</t>
  </si>
  <si>
    <t>MCDM_Grades!AR155; MCDM_Grades!AT155; All_Datasets!DH155; All_Datasets!AC155; All_Datasets!AF155</t>
  </si>
  <si>
    <t>Reported split proportions sum to 99%, but this alone does not contradict a released image total; exact total accounting is unresolved.</t>
  </si>
  <si>
    <t>DS-154|C2</t>
  </si>
  <si>
    <t>MCDM_Grades!AR155; MCDM_Grades!AT155; All_Datasets!DH155; All_Datasets!AC155; All_Datasets!BJ155</t>
  </si>
  <si>
    <t>DS-154|R1</t>
  </si>
  <si>
    <t>MCDM_Grades!AR155; MCDM_Grades!AT155; All_Datasets!DH155; All_Datasets!AP155; All_Datasets!AR155; All_Datasets!AS155</t>
  </si>
  <si>
    <t>DS-154|R2</t>
  </si>
  <si>
    <t>MCDM_Grades!AR155; MCDM_Grades!AT155; All_Datasets!DH155; All_Datasets!AS155; All_Datasets!BF155</t>
  </si>
  <si>
    <t>DS-154|M1</t>
  </si>
  <si>
    <t>DS-154|M2</t>
  </si>
  <si>
    <t>DS-154|M5</t>
  </si>
  <si>
    <t>MCDM_Grades!AR155; MCDM_Grades!AT155; All_Datasets!DH155; All_Datasets!BY155; All_Datasets!CQ155</t>
  </si>
  <si>
    <t>DS-155|A1</t>
  </si>
  <si>
    <t>MCDM_Grades!AR156; MCDM_Grades!AT156; All_Datasets!DH156; All_Datasets!D156; All_Datasets!L156</t>
  </si>
  <si>
    <t>The severity collection cites a hackathon and describes possible 2D/3D approaches. It does not document delivered classes, measured depths, sensors or license; conceptual methods are not verified dataset features.</t>
  </si>
  <si>
    <t>DS-155|A2</t>
  </si>
  <si>
    <t>MCDM_Grades!AR156; MCDM_Grades!AT156; All_Datasets!DH156; All_Datasets!CJ156; All_Datasets!CM156</t>
  </si>
  <si>
    <t>DS-155|A3</t>
  </si>
  <si>
    <t>MCDM_Grades!AR156; MCDM_Grades!AT156; All_Datasets!DH156</t>
  </si>
  <si>
    <t>DS-155|L1</t>
  </si>
  <si>
    <t>MCDM_Grades!AR156; MCDM_Grades!AT156; All_Datasets!DH156; All_Datasets!BJ156</t>
  </si>
  <si>
    <t>DS-155|L2</t>
  </si>
  <si>
    <t>MCDM_Grades!AR156; MCDM_Grades!AT156; All_Datasets!DH156; All_Datasets!BJ156; All_Datasets!BN156</t>
  </si>
  <si>
    <t>DS-155|L4</t>
  </si>
  <si>
    <t>DS-155|D1</t>
  </si>
  <si>
    <t>MCDM_Grades!AR156; MCDM_Grades!AT156; All_Datasets!DH156; All_Datasets!BN156; All_Datasets!BJ156</t>
  </si>
  <si>
    <t>DS-155|D2</t>
  </si>
  <si>
    <t>MCDM_Grades!AR156; MCDM_Grades!AT156; All_Datasets!DH156; All_Datasets!CR156; All_Datasets!AU156</t>
  </si>
  <si>
    <t>DS-155|D4</t>
  </si>
  <si>
    <t>MCDM_Grades!AR156; MCDM_Grades!AT156; All_Datasets!DH156; All_Datasets!CQ156</t>
  </si>
  <si>
    <t>DS-155|C1</t>
  </si>
  <si>
    <t>MCDM_Grades!AR156; MCDM_Grades!AT156; All_Datasets!DH156; All_Datasets!AC156; All_Datasets!AF156</t>
  </si>
  <si>
    <t>DS-155|C2</t>
  </si>
  <si>
    <t>MCDM_Grades!AR156; MCDM_Grades!AT156; All_Datasets!DH156; All_Datasets!AC156; All_Datasets!BJ156</t>
  </si>
  <si>
    <t>DS-155|R1</t>
  </si>
  <si>
    <t>MCDM_Grades!AR156; MCDM_Grades!AT156; All_Datasets!DH156; All_Datasets!AS156; All_Datasets!AU156</t>
  </si>
  <si>
    <t>DS-155|R2</t>
  </si>
  <si>
    <t>DS-155|M1</t>
  </si>
  <si>
    <t>MCDM_Grades!AR156; MCDM_Grades!AT156; All_Datasets!DH156; All_Datasets!AU156</t>
  </si>
  <si>
    <t>DS-155|M2</t>
  </si>
  <si>
    <t>DS-155|M5</t>
  </si>
  <si>
    <t>DS-156|A1</t>
  </si>
  <si>
    <t>MCDM_Grades!AR157; MCDM_Grades!AT157; All_Datasets!DH157; All_Datasets!L157</t>
  </si>
  <si>
    <t>The v2 card lists pothole/crack/open-manhole boxes, YOLO/COCO formats and 2,700 augmented images with CC BY-NC-SA metadata. Original counts, actual augmentation operators, origin and label QA remain unresolved.</t>
  </si>
  <si>
    <t>DS-156|A2</t>
  </si>
  <si>
    <t>MCDM_Grades!AR157; MCDM_Grades!AT157; All_Datasets!DH157; All_Datasets!CJ157; All_Datasets!CM157</t>
  </si>
  <si>
    <t>DS-156|A3</t>
  </si>
  <si>
    <t>MCDM_Grades!AR157; MCDM_Grades!AT157; All_Datasets!DH157</t>
  </si>
  <si>
    <t>DS-156|L1</t>
  </si>
  <si>
    <t>MCDM_Grades!AR157; MCDM_Grades!AT157; All_Datasets!DH157; All_Datasets!BJ157; All_Datasets!BH157</t>
  </si>
  <si>
    <t>DS-156|L2</t>
  </si>
  <si>
    <t>MCDM_Grades!AR157; MCDM_Grades!AT157; All_Datasets!DH157; All_Datasets!BJ157; All_Datasets!BN157; All_Datasets!BY157</t>
  </si>
  <si>
    <t>DS-156|L4</t>
  </si>
  <si>
    <t>DS-156|D1</t>
  </si>
  <si>
    <t>MCDM_Grades!AR157; MCDM_Grades!AT157; All_Datasets!DH157; All_Datasets!BN157; All_Datasets!BO157; All_Datasets!BJ157</t>
  </si>
  <si>
    <t>DS-156|D2</t>
  </si>
  <si>
    <t>MCDM_Grades!AR157; MCDM_Grades!AT157; All_Datasets!DH157; All_Datasets!CR157; All_Datasets!AU157</t>
  </si>
  <si>
    <t>DS-156|D4</t>
  </si>
  <si>
    <t>MCDM_Grades!AR157; MCDM_Grades!AT157; All_Datasets!DH157; All_Datasets!CQ157</t>
  </si>
  <si>
    <t>DS-156|C1</t>
  </si>
  <si>
    <t>MCDM_Grades!AR157; MCDM_Grades!AT157; All_Datasets!DH157; All_Datasets!AC157; All_Datasets!AF157</t>
  </si>
  <si>
    <t>DS-156|C2</t>
  </si>
  <si>
    <t>MCDM_Grades!AR157; MCDM_Grades!AT157; All_Datasets!DH157; All_Datasets!AC157; All_Datasets!BJ157</t>
  </si>
  <si>
    <t>DS-156|R1</t>
  </si>
  <si>
    <t>MCDM_Grades!AR157; MCDM_Grades!AT157; All_Datasets!DH157; All_Datasets!AS157; All_Datasets!AU157</t>
  </si>
  <si>
    <t>DS-156|R2</t>
  </si>
  <si>
    <t>DS-156|M1</t>
  </si>
  <si>
    <t>MCDM_Grades!AR157; MCDM_Grades!AT157; All_Datasets!DH157; All_Datasets!AU157</t>
  </si>
  <si>
    <t>DS-156|M2</t>
  </si>
  <si>
    <t>DS-156|M5</t>
  </si>
  <si>
    <t>MCDM_Grades!AR157; MCDM_Grades!AT157; All_Datasets!DH157; All_Datasets!BY157; All_Datasets!CQ157</t>
  </si>
  <si>
    <t>DS-157|A1</t>
  </si>
  <si>
    <t>Author site identifies Pothole-600.</t>
  </si>
  <si>
    <t>DS-157|A2</t>
  </si>
  <si>
    <t>Drive and author Kaggle routes linked.</t>
  </si>
  <si>
    <t>DS-157|A3</t>
  </si>
  <si>
    <t>Dataset / linked Kaggle</t>
  </si>
  <si>
    <t>Explicit data license not retrieved; code MIT insufficient.</t>
  </si>
  <si>
    <t>DS-157|L1</t>
  </si>
  <si>
    <t>https://arxiv.org/html/2008.06840</t>
  </si>
  <si>
    <t>Abstract / 6.1</t>
  </si>
  <si>
    <t>Pixelwise pothole segmentation target identified.</t>
  </si>
  <si>
    <t>DS-157|L2</t>
  </si>
  <si>
    <t>6.1 Datasets</t>
  </si>
  <si>
    <t>Basic label-generation procedure not established.</t>
  </si>
  <si>
    <t>DS-157|L4</t>
  </si>
  <si>
    <t>Concrete label-review procedure not located.</t>
  </si>
  <si>
    <t>DS-157|D1</t>
  </si>
  <si>
    <t>https://github.com/HKUSTGZ-IADC/AAFramework</t>
  </si>
  <si>
    <t>Setup</t>
  </si>
  <si>
    <t>Download tree shown; exact paired-file mapping unverified.</t>
  </si>
  <si>
    <t>DS-157|D2</t>
  </si>
  <si>
    <t>Author stereo-camera collection identified.</t>
  </si>
  <si>
    <t>DS-157|D4</t>
  </si>
  <si>
    <t>1 Introduction / 6.1</t>
  </si>
  <si>
    <t>Research segmentation purpose and synthetic augmentation distinguished.</t>
  </si>
  <si>
    <t>DS-157|C1</t>
  </si>
  <si>
    <t>600 RGB/transformed-disparity pairs; augmented training separate.</t>
  </si>
  <si>
    <t>DS-157|C2</t>
  </si>
  <si>
    <t>240/180/180 training/validation/test pairs.</t>
  </si>
  <si>
    <t>DS-157|R1</t>
  </si>
  <si>
    <t>Collection geography/site scope not established.</t>
  </si>
  <si>
    <t>DS-157|R2</t>
  </si>
  <si>
    <t>Collection variation or explicit bounds not established.</t>
  </si>
  <si>
    <t>DS-157|M1</t>
  </si>
  <si>
    <t>Stereo camera capture identified.</t>
  </si>
  <si>
    <t>DS-157|M2</t>
  </si>
  <si>
    <t>Release image dimensions not confirmed in inspected packet.</t>
  </si>
  <si>
    <t>DS-157|M5</t>
  </si>
  <si>
    <t>3 / 5 / 6.1</t>
  </si>
  <si>
    <t>Disparity transformation and augmentation described.</t>
  </si>
  <si>
    <t>DS-158|A1</t>
  </si>
  <si>
    <t>MCDM_Grades!AR159; MCDM_Grades!AT159; All_Datasets!DH159; All_Datasets!L159</t>
  </si>
  <si>
    <t>DataCluster supplies only a public sample and a sales route for a larger licensed set. CC0 metadata conflicts with exclusive-ownership/purchase language for broader access. Professionals review images, but exact release size, class schema and rights scope require clarification.</t>
  </si>
  <si>
    <t>DS-158|A2</t>
  </si>
  <si>
    <t>MCDM_Grades!AR159; MCDM_Grades!AT159; All_Datasets!DH159; All_Datasets!CJ159; All_Datasets!CM159</t>
  </si>
  <si>
    <t>DS-158|A3</t>
  </si>
  <si>
    <t>MCDM_Grades!AR159; MCDM_Grades!AT159; All_Datasets!DH159</t>
  </si>
  <si>
    <t>Public-sample CC0 metadata conflicts with exclusive-ownership/purchase language for the broader set; exact assessed scope is unresolved.</t>
  </si>
  <si>
    <t>DS-158|L1</t>
  </si>
  <si>
    <t>MCDM_Grades!AR159; MCDM_Grades!AT159; All_Datasets!DH159; All_Datasets!BJ159; All_Datasets!BH159</t>
  </si>
  <si>
    <t>DS-158|L2</t>
  </si>
  <si>
    <t>MCDM_Grades!AR159; MCDM_Grades!AT159; All_Datasets!DH159; All_Datasets!BJ159; All_Datasets!BN159; All_Datasets!BY159</t>
  </si>
  <si>
    <t>DS-158|L4</t>
  </si>
  <si>
    <t>MCDM_Grades!AR159; MCDM_Grades!AT159; All_Datasets!DH159; All_Datasets!BZ159</t>
  </si>
  <si>
    <t>DS-158|D1</t>
  </si>
  <si>
    <t>MCDM_Grades!AR159; MCDM_Grades!AT159; All_Datasets!DH159; All_Datasets!BN159; All_Datasets!BO159; All_Datasets!BJ159</t>
  </si>
  <si>
    <t>DS-158|D2</t>
  </si>
  <si>
    <t>MCDM_Grades!AR159; MCDM_Grades!AT159; All_Datasets!DH159; All_Datasets!CR159; All_Datasets!AU159</t>
  </si>
  <si>
    <t>DS-158|D4</t>
  </si>
  <si>
    <t>MCDM_Grades!AR159; MCDM_Grades!AT159; All_Datasets!DH159; All_Datasets!CQ159</t>
  </si>
  <si>
    <t>DS-158|C1</t>
  </si>
  <si>
    <t>DS-158|C2</t>
  </si>
  <si>
    <t>MCDM_Grades!AR159; MCDM_Grades!AT159; All_Datasets!DH159; All_Datasets!BJ159</t>
  </si>
  <si>
    <t>DS-158|R1</t>
  </si>
  <si>
    <t>MCDM_Grades!AR159; MCDM_Grades!AT159; All_Datasets!DH159; All_Datasets!AP159; All_Datasets!AR159; All_Datasets!AS159; All_Datasets!AU159</t>
  </si>
  <si>
    <t>DS-158|R2</t>
  </si>
  <si>
    <t>MCDM_Grades!AR159; MCDM_Grades!AT159; All_Datasets!DH159; All_Datasets!AS159; All_Datasets!BF159; All_Datasets!AU159</t>
  </si>
  <si>
    <t>DS-158|M1</t>
  </si>
  <si>
    <t>MCDM_Grades!AR159; MCDM_Grades!AT159; All_Datasets!DH159; All_Datasets!AU159; All_Datasets!AW159</t>
  </si>
  <si>
    <t>DS-158|M2</t>
  </si>
  <si>
    <t>MCDM_Grades!AR159; MCDM_Grades!AT159; All_Datasets!DH159; All_Datasets!AN159</t>
  </si>
  <si>
    <t>DS-158|M5</t>
  </si>
  <si>
    <t>MCDM_Grades!AR159; MCDM_Grades!AT159; All_Datasets!DH159; All_Datasets!AN159; All_Datasets!BY159; All_Datasets!CQ159</t>
  </si>
  <si>
    <t>DS-159|A1</t>
  </si>
  <si>
    <t>MCDM_Grades!AR160; MCDM_Grades!AT160; All_Datasets!DH160; All_Datasets!D160; All_Datasets!L160</t>
  </si>
  <si>
    <t>PothRGBD describes 1,000 paired RGB/depth records, RealSense D415 and YOLO segmentation, with MIT metadata. Pair count does not establish independent scenes. Physical depth units, calibration and actual engineering outcome linkage require payload/paper inspection.</t>
  </si>
  <si>
    <t>DS-159|A2</t>
  </si>
  <si>
    <t>MCDM_Grades!AR160; MCDM_Grades!AT160; All_Datasets!DH160; All_Datasets!CJ160; All_Datasets!CM160</t>
  </si>
  <si>
    <t>DS-159|A3</t>
  </si>
  <si>
    <t>MCDM_Grades!AR160; MCDM_Grades!AT160; All_Datasets!DH160; All_Datasets!CK160</t>
  </si>
  <si>
    <t>DS-159|L1</t>
  </si>
  <si>
    <t>MCDM_Grades!AR160; MCDM_Grades!AT160; All_Datasets!DH160; All_Datasets!BJ160; All_Datasets!BH160</t>
  </si>
  <si>
    <t>DS-159|L2</t>
  </si>
  <si>
    <t>MCDM_Grades!AR160; MCDM_Grades!AT160; All_Datasets!DH160; All_Datasets!BJ160; All_Datasets!BN160; All_Datasets!BY160</t>
  </si>
  <si>
    <t>DS-159|L4</t>
  </si>
  <si>
    <t>MCDM_Grades!AR160; MCDM_Grades!AT160; All_Datasets!DH160</t>
  </si>
  <si>
    <t>DS-159|D1</t>
  </si>
  <si>
    <t>MCDM_Grades!AR160; MCDM_Grades!AT160; All_Datasets!DH160; All_Datasets!BN160; All_Datasets!BO160; All_Datasets!BJ160</t>
  </si>
  <si>
    <t>DS-159|D2</t>
  </si>
  <si>
    <t>MCDM_Grades!AR160; MCDM_Grades!AT160; All_Datasets!DH160; All_Datasets!CR160; All_Datasets!AU160</t>
  </si>
  <si>
    <t>DS-159|D4</t>
  </si>
  <si>
    <t>MCDM_Grades!AR160; MCDM_Grades!AT160; All_Datasets!DH160; All_Datasets!CQ160</t>
  </si>
  <si>
    <t>DS-159|C1</t>
  </si>
  <si>
    <t>MCDM_Grades!AR160; MCDM_Grades!AT160; All_Datasets!DH160; All_Datasets!AC160; All_Datasets!AF160</t>
  </si>
  <si>
    <t>DS-159|C2</t>
  </si>
  <si>
    <t>MCDM_Grades!AR160; MCDM_Grades!AT160; All_Datasets!DH160; All_Datasets!AC160; All_Datasets!BJ160</t>
  </si>
  <si>
    <t>DS-159|R1</t>
  </si>
  <si>
    <t>MCDM_Grades!AR160; MCDM_Grades!AT160; All_Datasets!DH160; All_Datasets!AU160</t>
  </si>
  <si>
    <t>DS-159|R2</t>
  </si>
  <si>
    <t>DS-159|M1</t>
  </si>
  <si>
    <t>MCDM_Grades!AR160; MCDM_Grades!AT160; All_Datasets!DH160; All_Datasets!AU160; All_Datasets!AW160; All_Datasets!BD160</t>
  </si>
  <si>
    <t>DS-159|M2</t>
  </si>
  <si>
    <t>MCDM_Grades!AR160; MCDM_Grades!AT160; All_Datasets!DH160; All_Datasets!AN160; All_Datasets!BD160</t>
  </si>
  <si>
    <t>DS-159|M5</t>
  </si>
  <si>
    <t>MCDM_Grades!AR160; MCDM_Grades!AT160; All_Datasets!DH160; All_Datasets!AN160; All_Datasets!BY160; All_Datasets!CQ160</t>
  </si>
  <si>
    <t>DS-160|A1</t>
  </si>
  <si>
    <t>Passive Vehicular Sensors Dataset</t>
  </si>
  <si>
    <t>Author PVS family and nine runs identifiable.</t>
  </si>
  <si>
    <t>DS-160|A2</t>
  </si>
  <si>
    <t>Kaggle and UFSC routes documented.</t>
  </si>
  <si>
    <t>DS-160|A3</t>
  </si>
  <si>
    <t>Project terms stated; release-specific data scope requires confirmation.</t>
  </si>
  <si>
    <t>DS-160|L1</t>
  </si>
  <si>
    <t>Data Classes</t>
  </si>
  <si>
    <t>Surface, roughness and event categories defined.</t>
  </si>
  <si>
    <t>DS-160|L2</t>
  </si>
  <si>
    <t>https://github.com/jefmenegazzo/MPU-9250-and-GPS-Raw-Data-Pre-Processing</t>
  </si>
  <si>
    <t>README / labeling workflow</t>
  </si>
  <si>
    <t>Labeling/preprocessing route plus one-hot dictionary documented.</t>
  </si>
  <si>
    <t>DS-160|L4</t>
  </si>
  <si>
    <t>DS-160|D1</t>
  </si>
  <si>
    <t>Files / Sensors</t>
  </si>
  <si>
    <t>Fields and units partly described; missing-value codes unconfirmed.</t>
  </si>
  <si>
    <t>DS-160|D2</t>
  </si>
  <si>
    <t>Project / Passive Vehicular Sensors</t>
  </si>
  <si>
    <t>Authors, sensors and preprocessing sources identified.</t>
  </si>
  <si>
    <t>DS-160|D4</t>
  </si>
  <si>
    <t>Research / Data Classes</t>
  </si>
  <si>
    <t>Defined perception tasks and finite contextual design.</t>
  </si>
  <si>
    <t>DS-160|C1</t>
  </si>
  <si>
    <t>Run table</t>
  </si>
  <si>
    <t>Nine acquisition runs distinguished from sample records.</t>
  </si>
  <si>
    <t>DS-160|C2</t>
  </si>
  <si>
    <t>Run-specific distances provide subset distribution.</t>
  </si>
  <si>
    <t>DS-160|R1</t>
  </si>
  <si>
    <t>Scenario IDs exist; geographic/site scope unconfirmed.</t>
  </si>
  <si>
    <t>DS-160|R2</t>
  </si>
  <si>
    <t>Run table / sensor placements</t>
  </si>
  <si>
    <t>Three vehicles, drivers and scenarios described.</t>
  </si>
  <si>
    <t>DS-160|M1</t>
  </si>
  <si>
    <t>Sensor table / placement</t>
  </si>
  <si>
    <t>Camera, GPS and MPU-9250 placements described.</t>
  </si>
  <si>
    <t>DS-160|M2</t>
  </si>
  <si>
    <t>Sensor table</t>
  </si>
  <si>
    <t>100 Hz inertial units; 1 Hz GPS; 30 Hz video.</t>
  </si>
  <si>
    <t>DS-160|M5</t>
  </si>
  <si>
    <t>Preprocessing links</t>
  </si>
  <si>
    <t>Initial adjustment, GPS combination and label generation explained.</t>
  </si>
  <si>
    <t>DS-161|A1</t>
  </si>
  <si>
    <t>MCDM_Grades!AR162; MCDM_Grades!AT162; All_Datasets!DH162; All_Datasets!D162; All_Datasets!L162</t>
  </si>
  <si>
    <t>RAD v3 distinguishes 371 recorded road scenarios from 11,800 images and defines six broad classes under MIT. Distresses are merged into one road-damages class; per-scenario counts, exact membership and annotation QA remain unresolved.</t>
  </si>
  <si>
    <t>DS-161|A2</t>
  </si>
  <si>
    <t>MCDM_Grades!AR162; MCDM_Grades!AT162; All_Datasets!DH162; All_Datasets!CJ162; All_Datasets!CM162</t>
  </si>
  <si>
    <t>DS-161|A3</t>
  </si>
  <si>
    <t>MCDM_Grades!AR162; MCDM_Grades!AT162; All_Datasets!DH162; All_Datasets!CK162</t>
  </si>
  <si>
    <t>DS-161|L1</t>
  </si>
  <si>
    <t>MCDM_Grades!AR162; MCDM_Grades!AT162; All_Datasets!DH162; All_Datasets!BJ162; All_Datasets!BH162</t>
  </si>
  <si>
    <t>DS-161|L2</t>
  </si>
  <si>
    <t>MCDM_Grades!AR162; MCDM_Grades!AT162; All_Datasets!DH162; All_Datasets!BJ162</t>
  </si>
  <si>
    <t>DS-161|L4</t>
  </si>
  <si>
    <t>MCDM_Grades!AR162; MCDM_Grades!AT162; All_Datasets!DH162</t>
  </si>
  <si>
    <t>DS-161|D1</t>
  </si>
  <si>
    <t>DS-161|D2</t>
  </si>
  <si>
    <t>MCDM_Grades!AR162; MCDM_Grades!AT162; All_Datasets!DH162; All_Datasets!CR162</t>
  </si>
  <si>
    <t>DS-161|D4</t>
  </si>
  <si>
    <t>MCDM_Grades!AR162; MCDM_Grades!AT162; All_Datasets!DH162; All_Datasets!CQ162</t>
  </si>
  <si>
    <t>DS-161|C1</t>
  </si>
  <si>
    <t>MCDM_Grades!AR162; MCDM_Grades!AT162; All_Datasets!DH162; All_Datasets!AC162; All_Datasets!AF162; All_Datasets!AG162</t>
  </si>
  <si>
    <t>DS-161|C2</t>
  </si>
  <si>
    <t>MCDM_Grades!AR162; MCDM_Grades!AT162; All_Datasets!DH162; All_Datasets!AC162; All_Datasets!BJ162</t>
  </si>
  <si>
    <t>DS-161|R1</t>
  </si>
  <si>
    <t>MCDM_Grades!AR162; MCDM_Grades!AT162; All_Datasets!DH162; All_Datasets!AP162; All_Datasets!AS162</t>
  </si>
  <si>
    <t>DS-161|R2</t>
  </si>
  <si>
    <t>MCDM_Grades!AR162; MCDM_Grades!AT162; All_Datasets!DH162; All_Datasets!AS162</t>
  </si>
  <si>
    <t>DS-161|M1</t>
  </si>
  <si>
    <t>DS-161|M2</t>
  </si>
  <si>
    <t>DS-161|M5</t>
  </si>
  <si>
    <t>DS-162|A1</t>
  </si>
  <si>
    <t>MCDM_Grades!AR163; MCDM_Grades!AT163; All_Datasets!DH163; All_Datasets!D163; All_Datasets!L163</t>
  </si>
  <si>
    <t>RDD2022ES expands four targets into eight severity classes and corrects labels; approximately half of 25k images are mirrors. Description says CC BY-SA but API says CC BY-NC-SA; reconcile terms. Wide/deep/sunken categories lack quantitative severity thresholds.</t>
  </si>
  <si>
    <t>DS-162|A2</t>
  </si>
  <si>
    <t>MCDM_Grades!AR163; MCDM_Grades!AT163; All_Datasets!DH163; All_Datasets!CJ163; All_Datasets!CM163</t>
  </si>
  <si>
    <t>DS-162|A3</t>
  </si>
  <si>
    <t>MCDM_Grades!AR163; MCDM_Grades!AT163; All_Datasets!DH163; All_Datasets!CK163</t>
  </si>
  <si>
    <t>Description says CC BY-SA while API says CC BY-NC-SA; release terms need reconciliation.</t>
  </si>
  <si>
    <t>DS-162|L1</t>
  </si>
  <si>
    <t>MCDM_Grades!AR163; MCDM_Grades!AT163; All_Datasets!DH163; All_Datasets!BJ163; All_Datasets!BH163</t>
  </si>
  <si>
    <t>DS-162|L2</t>
  </si>
  <si>
    <t>MCDM_Grades!AR163; MCDM_Grades!AT163; All_Datasets!DH163; All_Datasets!BJ163; All_Datasets!BY163</t>
  </si>
  <si>
    <t>DS-162|L4</t>
  </si>
  <si>
    <t>MCDM_Grades!AR163; MCDM_Grades!AT163; All_Datasets!DH163</t>
  </si>
  <si>
    <t>DS-162|D1</t>
  </si>
  <si>
    <t>MCDM_Grades!AR163; MCDM_Grades!AT163; All_Datasets!DH163; All_Datasets!BJ163</t>
  </si>
  <si>
    <t>DS-162|D2</t>
  </si>
  <si>
    <t>MCDM_Grades!AR163; MCDM_Grades!AT163; All_Datasets!DH163; All_Datasets!CR163; All_Datasets!CV163</t>
  </si>
  <si>
    <t>DS-162|D4</t>
  </si>
  <si>
    <t>MCDM_Grades!AR163; MCDM_Grades!AT163; All_Datasets!DH163; All_Datasets!CQ163</t>
  </si>
  <si>
    <t>DS-162|C1</t>
  </si>
  <si>
    <t>DS-162|C2</t>
  </si>
  <si>
    <t>DS-162|R1</t>
  </si>
  <si>
    <t>DS-162|R2</t>
  </si>
  <si>
    <t>DS-162|M1</t>
  </si>
  <si>
    <t>DS-162|M2</t>
  </si>
  <si>
    <t>DS-162|M5</t>
  </si>
  <si>
    <t>MCDM_Grades!AR163; MCDM_Grades!AT163; All_Datasets!DH163; All_Datasets!BY163; All_Datasets!CQ163</t>
  </si>
  <si>
    <t>DS-163|A1</t>
  </si>
  <si>
    <t>MCDM_Grades!AR164; MCDM_Grades!AT164; All_Datasets!DH164; All_Datasets!D164; All_Datasets!L164</t>
  </si>
  <si>
    <t>Aydin lists concrete-crack, construction-joint and drilling segmentation but does not identify the original dataset. A redistribution statement and CC BY metadata cannot resolve ancestry/rights alone; non-distress features must remain distinguished.</t>
  </si>
  <si>
    <t>DS-163|A2</t>
  </si>
  <si>
    <t>MCDM_Grades!AR164; MCDM_Grades!AT164; All_Datasets!DH164; All_Datasets!CJ164; All_Datasets!CM164</t>
  </si>
  <si>
    <t>DS-163|A3</t>
  </si>
  <si>
    <t>MCDM_Grades!AR164; MCDM_Grades!AT164; All_Datasets!DH164; All_Datasets!CK164</t>
  </si>
  <si>
    <t>DS-163|L1</t>
  </si>
  <si>
    <t>MCDM_Grades!AR164; MCDM_Grades!AT164; All_Datasets!DH164; All_Datasets!BJ164; All_Datasets!BH164</t>
  </si>
  <si>
    <t>DS-163|L2</t>
  </si>
  <si>
    <t>MCDM_Grades!AR164; MCDM_Grades!AT164; All_Datasets!DH164; All_Datasets!BJ164</t>
  </si>
  <si>
    <t>DS-163|L4</t>
  </si>
  <si>
    <t>MCDM_Grades!AR164; MCDM_Grades!AT164; All_Datasets!DH164</t>
  </si>
  <si>
    <t>DS-163|D1</t>
  </si>
  <si>
    <t>DS-163|D2</t>
  </si>
  <si>
    <t>MCDM_Grades!AR164; MCDM_Grades!AT164; All_Datasets!DH164; All_Datasets!CR164</t>
  </si>
  <si>
    <t>DS-163|D4</t>
  </si>
  <si>
    <t>MCDM_Grades!AR164; MCDM_Grades!AT164; All_Datasets!DH164; All_Datasets!CQ164</t>
  </si>
  <si>
    <t>DS-163|C1</t>
  </si>
  <si>
    <t>DS-163|C2</t>
  </si>
  <si>
    <t>DS-163|R1</t>
  </si>
  <si>
    <t>DS-163|R2</t>
  </si>
  <si>
    <t>DS-163|M1</t>
  </si>
  <si>
    <t>DS-163|M2</t>
  </si>
  <si>
    <t>DS-163|M5</t>
  </si>
  <si>
    <t>DS-164|A1</t>
  </si>
  <si>
    <t>MCDM_Grades!AR165; MCDM_Grades!AT165; All_Datasets!DH165; All_Datasets!L165</t>
  </si>
  <si>
    <t>Road Damage v1 documents Redmi Note 8 capture and YOLOv3 image/annotation pairs, with CC0 metadata. Retrieved text does not establish the actual class mapping or coordinate schema; geography and QA remain unknown.</t>
  </si>
  <si>
    <t>DS-164|A2</t>
  </si>
  <si>
    <t>MCDM_Grades!AR165; MCDM_Grades!AT165; All_Datasets!DH165; All_Datasets!CJ165; All_Datasets!CM165</t>
  </si>
  <si>
    <t>DS-164|A3</t>
  </si>
  <si>
    <t>MCDM_Grades!AR165; MCDM_Grades!AT165; All_Datasets!DH165; All_Datasets!CK165</t>
  </si>
  <si>
    <t>DS-164|L1</t>
  </si>
  <si>
    <t>MCDM_Grades!AR165; MCDM_Grades!AT165; All_Datasets!DH165; All_Datasets!BJ165; All_Datasets!BH165</t>
  </si>
  <si>
    <t>DS-164|L2</t>
  </si>
  <si>
    <t>MCDM_Grades!AR165; MCDM_Grades!AT165; All_Datasets!DH165; All_Datasets!BJ165; All_Datasets!BN165; All_Datasets!BY165</t>
  </si>
  <si>
    <t>DS-164|L4</t>
  </si>
  <si>
    <t>MCDM_Grades!AR165; MCDM_Grades!AT165; All_Datasets!DH165; All_Datasets!BZ165</t>
  </si>
  <si>
    <t>DS-164|D1</t>
  </si>
  <si>
    <t>MCDM_Grades!AR165; MCDM_Grades!AT165; All_Datasets!DH165; All_Datasets!BN165; All_Datasets!BO165; All_Datasets!BJ165</t>
  </si>
  <si>
    <t>DS-164|D2</t>
  </si>
  <si>
    <t>MCDM_Grades!AR165; MCDM_Grades!AT165; All_Datasets!DH165; All_Datasets!CR165; All_Datasets!AU165</t>
  </si>
  <si>
    <t>DS-164|D4</t>
  </si>
  <si>
    <t>MCDM_Grades!AR165; MCDM_Grades!AT165; All_Datasets!DH165; All_Datasets!CQ165</t>
  </si>
  <si>
    <t>DS-164|C1</t>
  </si>
  <si>
    <t>MCDM_Grades!AR165; MCDM_Grades!AT165; All_Datasets!DH165; All_Datasets!AC165; All_Datasets!AF165</t>
  </si>
  <si>
    <t>DS-164|C2</t>
  </si>
  <si>
    <t>MCDM_Grades!AR165; MCDM_Grades!AT165; All_Datasets!DH165; All_Datasets!AC165; All_Datasets!BJ165</t>
  </si>
  <si>
    <t>DS-164|R1</t>
  </si>
  <si>
    <t>MCDM_Grades!AR165; MCDM_Grades!AT165; All_Datasets!DH165; All_Datasets!AS165; All_Datasets!AU165</t>
  </si>
  <si>
    <t>DS-164|R2</t>
  </si>
  <si>
    <t>DS-164|M1</t>
  </si>
  <si>
    <t>MCDM_Grades!AR165; MCDM_Grades!AT165; All_Datasets!DH165; All_Datasets!AU165</t>
  </si>
  <si>
    <t>DS-164|M2</t>
  </si>
  <si>
    <t>MCDM_Grades!AR165; MCDM_Grades!AT165; All_Datasets!DH165; All_Datasets!AN165</t>
  </si>
  <si>
    <t>DS-164|M5</t>
  </si>
  <si>
    <t>MCDM_Grades!AR165; MCDM_Grades!AT165; All_Datasets!DH165; All_Datasets!AN165; All_Datasets!BY165; All_Datasets!CQ165</t>
  </si>
  <si>
    <t>DS-165|A1</t>
  </si>
  <si>
    <t>MCDM_Grades!AR166; MCDM_Grades!AT166; All_Datasets!DH166; All_Datasets!D166; All_Datasets!L166</t>
  </si>
  <si>
    <t>Road Defect Classification v1 has ODbL/DbCL metadata but no substantive description. Dataset targets, source and schema remain unknown; A3 concerns the attached terms only and does not clear A4 or retrieval eligibility.</t>
  </si>
  <si>
    <t>DS-165|A2</t>
  </si>
  <si>
    <t>MCDM_Grades!AR166; MCDM_Grades!AT166; All_Datasets!DH166; All_Datasets!CJ166; All_Datasets!CM166</t>
  </si>
  <si>
    <t>DS-165|A3</t>
  </si>
  <si>
    <t>MCDM_Grades!AR166; MCDM_Grades!AT166; All_Datasets!DH166; All_Datasets!CK166</t>
  </si>
  <si>
    <t>DS-165|L1</t>
  </si>
  <si>
    <t>MCDM_Grades!AR166; MCDM_Grades!AT166; All_Datasets!DH166</t>
  </si>
  <si>
    <t>DS-165|L2</t>
  </si>
  <si>
    <t>DS-165|L4</t>
  </si>
  <si>
    <t>DS-165|D1</t>
  </si>
  <si>
    <t>DS-165|D2</t>
  </si>
  <si>
    <t>MCDM_Grades!AR166; MCDM_Grades!AT166; All_Datasets!DH166; All_Datasets!CR166</t>
  </si>
  <si>
    <t>DS-165|D4</t>
  </si>
  <si>
    <t>MCDM_Grades!AR166; MCDM_Grades!AT166; All_Datasets!DH166; All_Datasets!CQ166</t>
  </si>
  <si>
    <t>DS-165|C1</t>
  </si>
  <si>
    <t>DS-165|C2</t>
  </si>
  <si>
    <t>DS-165|R1</t>
  </si>
  <si>
    <t>DS-165|R2</t>
  </si>
  <si>
    <t>DS-165|M1</t>
  </si>
  <si>
    <t>DS-165|M2</t>
  </si>
  <si>
    <t>DS-165|M5</t>
  </si>
  <si>
    <t>DS-166|A1</t>
  </si>
  <si>
    <t>MCDM_Grades!AR167; MCDM_Grades!AT167; All_Datasets!DH167; All_Datasets!D167; All_Datasets!L167</t>
  </si>
  <si>
    <t>The page claims four groups of 100 images but elsewhere describes binary crack/non-crack categories. These conflicting target/count conventions need file inspection. It mixes roads, walls and other structures; MIT metadata does not verify all original image rights.</t>
  </si>
  <si>
    <t>DS-166|A2</t>
  </si>
  <si>
    <t>MCDM_Grades!AR167; MCDM_Grades!AT167; All_Datasets!DH167; All_Datasets!CJ167; All_Datasets!CM167</t>
  </si>
  <si>
    <t>DS-166|A3</t>
  </si>
  <si>
    <t>MCDM_Grades!AR167; MCDM_Grades!AT167; All_Datasets!DH167; All_Datasets!CK167</t>
  </si>
  <si>
    <t>DS-166|L1</t>
  </si>
  <si>
    <t>MCDM_Grades!AR167; MCDM_Grades!AT167; All_Datasets!DH167; All_Datasets!BH167</t>
  </si>
  <si>
    <t>The page describes both four groups and binary crack/non-crack labels; resolve the actual delivered target schema.</t>
  </si>
  <si>
    <t>DS-166|L2</t>
  </si>
  <si>
    <t>MCDM_Grades!AR167; MCDM_Grades!AT167; All_Datasets!DH167</t>
  </si>
  <si>
    <t>DS-166|L4</t>
  </si>
  <si>
    <t>DS-166|D1</t>
  </si>
  <si>
    <t>DS-166|D2</t>
  </si>
  <si>
    <t>MCDM_Grades!AR167; MCDM_Grades!AT167; All_Datasets!DH167; All_Datasets!CR167; All_Datasets!AU167</t>
  </si>
  <si>
    <t>DS-166|D4</t>
  </si>
  <si>
    <t>MCDM_Grades!AR167; MCDM_Grades!AT167; All_Datasets!DH167; All_Datasets!CQ167</t>
  </si>
  <si>
    <t>DS-166|C1</t>
  </si>
  <si>
    <t>Four groups of 100 versus a binary taxonomy leave incompatible count conventions for the same release.</t>
  </si>
  <si>
    <t>DS-166|C2</t>
  </si>
  <si>
    <t>DS-166|R1</t>
  </si>
  <si>
    <t>MCDM_Grades!AR167; MCDM_Grades!AT167; All_Datasets!DH167; All_Datasets!AU167</t>
  </si>
  <si>
    <t>DS-166|R2</t>
  </si>
  <si>
    <t>DS-166|M1</t>
  </si>
  <si>
    <t>MCDM_Grades!AR167; MCDM_Grades!AT167; All_Datasets!DH167; All_Datasets!AU167; All_Datasets!AW167</t>
  </si>
  <si>
    <t>DS-166|M2</t>
  </si>
  <si>
    <t>DS-166|M5</t>
  </si>
  <si>
    <t>DS-167|A1</t>
  </si>
  <si>
    <t>MCDM_Grades!AR168; MCDM_Grades!AT168; All_Datasets!DH168; All_Datasets!D168; All_Datasets!L168</t>
  </si>
  <si>
    <t>Nienaber-derived mirror defines CSV image IDs and box coordinates and cites the 2015 source. CC0 in mirror metadata does not confirm source image terms. Data collection predates the re-release and must not be treated as new independent acquisition.</t>
  </si>
  <si>
    <t>DS-167|A2</t>
  </si>
  <si>
    <t>MCDM_Grades!AR168; MCDM_Grades!AT168; All_Datasets!DH168; All_Datasets!CJ168; All_Datasets!CM168</t>
  </si>
  <si>
    <t>DS-167|A3</t>
  </si>
  <si>
    <t>MCDM_Grades!AR168; MCDM_Grades!AT168; All_Datasets!DH168; All_Datasets!CK168</t>
  </si>
  <si>
    <t>DS-167|L1</t>
  </si>
  <si>
    <t>MCDM_Grades!AR168; MCDM_Grades!AT168; All_Datasets!DH168; All_Datasets!BJ168; All_Datasets!BH168</t>
  </si>
  <si>
    <t>DS-167|L2</t>
  </si>
  <si>
    <t>MCDM_Grades!AR168; MCDM_Grades!AT168; All_Datasets!DH168; All_Datasets!BJ168; All_Datasets!BN168</t>
  </si>
  <si>
    <t>DS-167|L4</t>
  </si>
  <si>
    <t>MCDM_Grades!AR168; MCDM_Grades!AT168; All_Datasets!DH168</t>
  </si>
  <si>
    <t>DS-167|D1</t>
  </si>
  <si>
    <t>MCDM_Grades!AR168; MCDM_Grades!AT168; All_Datasets!DH168; All_Datasets!BN168; All_Datasets!BJ168</t>
  </si>
  <si>
    <t>DS-167|D2</t>
  </si>
  <si>
    <t>MCDM_Grades!AR168; MCDM_Grades!AT168; All_Datasets!DH168; All_Datasets!CR168; All_Datasets!AU168</t>
  </si>
  <si>
    <t>DS-167|D4</t>
  </si>
  <si>
    <t>MCDM_Grades!AR168; MCDM_Grades!AT168; All_Datasets!DH168; All_Datasets!CQ168</t>
  </si>
  <si>
    <t>DS-167|C1</t>
  </si>
  <si>
    <t>DS-167|C2</t>
  </si>
  <si>
    <t>MCDM_Grades!AR168; MCDM_Grades!AT168; All_Datasets!DH168; All_Datasets!BJ168</t>
  </si>
  <si>
    <t>DS-167|R1</t>
  </si>
  <si>
    <t>MCDM_Grades!AR168; MCDM_Grades!AT168; All_Datasets!DH168; All_Datasets!AP168; All_Datasets!AS168; All_Datasets!AU168</t>
  </si>
  <si>
    <t>DS-167|R2</t>
  </si>
  <si>
    <t>MCDM_Grades!AR168; MCDM_Grades!AT168; All_Datasets!DH168; All_Datasets!AS168; All_Datasets!AU168</t>
  </si>
  <si>
    <t>DS-167|M1</t>
  </si>
  <si>
    <t>MCDM_Grades!AR168; MCDM_Grades!AT168; All_Datasets!DH168; All_Datasets!AU168; All_Datasets!AW168</t>
  </si>
  <si>
    <t>DS-167|M2</t>
  </si>
  <si>
    <t>DS-167|M5</t>
  </si>
  <si>
    <t>DS-168|A1</t>
  </si>
  <si>
    <t>MCDM_Grades!AR169; MCDM_Grades!AT169; All_Datasets!DH169; All_Datasets!L169</t>
  </si>
  <si>
    <t>Road Quality card describes dashboard camera, IMU at 100 Hz and GPS at 5 Hz with oriented axes. A stated axis convention does not establish measurement precision; actual target labels, units, aligned schema and road-condition survey values need further review.</t>
  </si>
  <si>
    <t>DS-168|A2</t>
  </si>
  <si>
    <t>MCDM_Grades!AR169; MCDM_Grades!AT169; All_Datasets!DH169; All_Datasets!CJ169; All_Datasets!CM169</t>
  </si>
  <si>
    <t>DS-168|A3</t>
  </si>
  <si>
    <t>MCDM_Grades!AR169; MCDM_Grades!AT169; All_Datasets!DH169; All_Datasets!CK169</t>
  </si>
  <si>
    <t>DS-168|L1</t>
  </si>
  <si>
    <t>MCDM_Grades!AR169; MCDM_Grades!AT169; All_Datasets!DH169; All_Datasets!BJ169; All_Datasets!BH169</t>
  </si>
  <si>
    <t>DS-168|L2</t>
  </si>
  <si>
    <t>MCDM_Grades!AR169; MCDM_Grades!AT169; All_Datasets!DH169; All_Datasets!BJ169; All_Datasets!BN169; All_Datasets!BY169</t>
  </si>
  <si>
    <t>DS-168|L4</t>
  </si>
  <si>
    <t>MCDM_Grades!AR169; MCDM_Grades!AT169; All_Datasets!DH169; All_Datasets!BZ169</t>
  </si>
  <si>
    <t>DS-168|D1</t>
  </si>
  <si>
    <t>MCDM_Grades!AR169; MCDM_Grades!AT169; All_Datasets!DH169; All_Datasets!BN169; All_Datasets!BJ169</t>
  </si>
  <si>
    <t>DS-168|D2</t>
  </si>
  <si>
    <t>MCDM_Grades!AR169; MCDM_Grades!AT169; All_Datasets!DH169; All_Datasets!CR169; All_Datasets!AU169</t>
  </si>
  <si>
    <t>DS-168|D4</t>
  </si>
  <si>
    <t>MCDM_Grades!AR169; MCDM_Grades!AT169; All_Datasets!DH169; All_Datasets!CQ169</t>
  </si>
  <si>
    <t>DS-168|C1</t>
  </si>
  <si>
    <t>MCDM_Grades!AR169; MCDM_Grades!AT169; All_Datasets!DH169</t>
  </si>
  <si>
    <t>DS-168|C2</t>
  </si>
  <si>
    <t>MCDM_Grades!AR169; MCDM_Grades!AT169; All_Datasets!DH169; All_Datasets!BJ169</t>
  </si>
  <si>
    <t>DS-168|R1</t>
  </si>
  <si>
    <t>MCDM_Grades!AR169; MCDM_Grades!AT169; All_Datasets!DH169; All_Datasets!AS169; All_Datasets!AU169</t>
  </si>
  <si>
    <t>DS-168|R2</t>
  </si>
  <si>
    <t>DS-168|M1</t>
  </si>
  <si>
    <t>MCDM_Grades!AR169; MCDM_Grades!AT169; All_Datasets!DH169; All_Datasets!AU169; All_Datasets!AW169; All_Datasets!BD169</t>
  </si>
  <si>
    <t>DS-168|M2</t>
  </si>
  <si>
    <t>MCDM_Grades!AR169; MCDM_Grades!AT169; All_Datasets!DH169; All_Datasets!BD169</t>
  </si>
  <si>
    <t>DS-168|M5</t>
  </si>
  <si>
    <t>MCDM_Grades!AR169; MCDM_Grades!AT169; All_Datasets!DH169; All_Datasets!BY169; All_Datasets!CQ169</t>
  </si>
  <si>
    <t>DS-169|A1</t>
  </si>
  <si>
    <t>MCDM_Grades!AR170; MCDM_Grades!AT170; All_Datasets!DH170; All_Datasets!D170; All_Datasets!L170</t>
  </si>
  <si>
    <t>DatasetJalan is a student classification project in Airmadidi with CC0 metadata. The source does not define the class list, camera or counts; a use-case description alone does not establish pavement condition labels.</t>
  </si>
  <si>
    <t>DS-169|A2</t>
  </si>
  <si>
    <t>MCDM_Grades!AR170; MCDM_Grades!AT170; All_Datasets!DH170; All_Datasets!CJ170; All_Datasets!CM170</t>
  </si>
  <si>
    <t>DS-169|A3</t>
  </si>
  <si>
    <t>MCDM_Grades!AR170; MCDM_Grades!AT170; All_Datasets!DH170; All_Datasets!CK170</t>
  </si>
  <si>
    <t>DS-169|L1</t>
  </si>
  <si>
    <t>MCDM_Grades!AR170; MCDM_Grades!AT170; All_Datasets!DH170; All_Datasets!BJ170</t>
  </si>
  <si>
    <t>DS-169|L2</t>
  </si>
  <si>
    <t>DS-169|L4</t>
  </si>
  <si>
    <t>MCDM_Grades!AR170; MCDM_Grades!AT170; All_Datasets!DH170</t>
  </si>
  <si>
    <t>DS-169|D1</t>
  </si>
  <si>
    <t>DS-169|D2</t>
  </si>
  <si>
    <t>MCDM_Grades!AR170; MCDM_Grades!AT170; All_Datasets!DH170; All_Datasets!CR170</t>
  </si>
  <si>
    <t>DS-169|D4</t>
  </si>
  <si>
    <t>MCDM_Grades!AR170; MCDM_Grades!AT170; All_Datasets!DH170; All_Datasets!CQ170</t>
  </si>
  <si>
    <t>DS-169|C1</t>
  </si>
  <si>
    <t>DS-169|C2</t>
  </si>
  <si>
    <t>DS-169|R1</t>
  </si>
  <si>
    <t>MCDM_Grades!AR170; MCDM_Grades!AT170; All_Datasets!DH170; All_Datasets!AP170; All_Datasets!AR170; All_Datasets!AS170</t>
  </si>
  <si>
    <t>Airmadidi, Indonesia and a classification purpose are reported, but the source does not establish camera/capture setting.</t>
  </si>
  <si>
    <t>DS-169|R2</t>
  </si>
  <si>
    <t>MCDM_Grades!AR170; MCDM_Grades!AT170; All_Datasets!DH170; All_Datasets!AS170</t>
  </si>
  <si>
    <t>DS-169|M1</t>
  </si>
  <si>
    <t>DS-169|M2</t>
  </si>
  <si>
    <t>DS-169|M5</t>
  </si>
  <si>
    <t>DS-170|A1</t>
  </si>
  <si>
    <t>MCDM_Grades!AR171; MCDM_Grades!AT171; All_Datasets!DH171; All_Datasets!D171; All_Datasets!L171</t>
  </si>
  <si>
    <t>Road Surface Recognition defines pothole/crack/manhole targets and action-camera/phone capture under CC0. Its description closely resembles Arcioni but supplies no attribution; source identity, original rights and duplicate-image status remain unresolved.</t>
  </si>
  <si>
    <t>DS-170|A2</t>
  </si>
  <si>
    <t>MCDM_Grades!AR171; MCDM_Grades!AT171; All_Datasets!DH171; All_Datasets!CJ171; All_Datasets!CM171</t>
  </si>
  <si>
    <t>DS-170|A3</t>
  </si>
  <si>
    <t>MCDM_Grades!AR171; MCDM_Grades!AT171; All_Datasets!DH171; All_Datasets!CK171</t>
  </si>
  <si>
    <t>DS-170|L1</t>
  </si>
  <si>
    <t>MCDM_Grades!AR171; MCDM_Grades!AT171; All_Datasets!DH171; All_Datasets!BJ171; All_Datasets!BH171</t>
  </si>
  <si>
    <t>DS-170|L2</t>
  </si>
  <si>
    <t>MCDM_Grades!AR171; MCDM_Grades!AT171; All_Datasets!DH171; All_Datasets!BJ171; All_Datasets!BY171</t>
  </si>
  <si>
    <t>DS-170|L4</t>
  </si>
  <si>
    <t>MCDM_Grades!AR171; MCDM_Grades!AT171; All_Datasets!DH171</t>
  </si>
  <si>
    <t>DS-170|D1</t>
  </si>
  <si>
    <t>MCDM_Grades!AR171; MCDM_Grades!AT171; All_Datasets!DH171; All_Datasets!BJ171</t>
  </si>
  <si>
    <t>DS-170|D2</t>
  </si>
  <si>
    <t>MCDM_Grades!AR171; MCDM_Grades!AT171; All_Datasets!DH171; All_Datasets!CR171; All_Datasets!AU171</t>
  </si>
  <si>
    <t>DS-170|D4</t>
  </si>
  <si>
    <t>MCDM_Grades!AR171; MCDM_Grades!AT171; All_Datasets!DH171; All_Datasets!CQ171</t>
  </si>
  <si>
    <t>DS-170|C1</t>
  </si>
  <si>
    <t>MCDM_Grades!AR171; MCDM_Grades!AT171; All_Datasets!DH171; All_Datasets!AC171; All_Datasets!AF171</t>
  </si>
  <si>
    <t>DS-170|C2</t>
  </si>
  <si>
    <t>MCDM_Grades!AR171; MCDM_Grades!AT171; All_Datasets!DH171; All_Datasets!AC171; All_Datasets!BJ171</t>
  </si>
  <si>
    <t>DS-170|R1</t>
  </si>
  <si>
    <t>MCDM_Grades!AR171; MCDM_Grades!AT171; All_Datasets!DH171; All_Datasets!AS171; All_Datasets!AU171</t>
  </si>
  <si>
    <t>DS-170|R2</t>
  </si>
  <si>
    <t>MCDM_Grades!AR171; MCDM_Grades!AT171; All_Datasets!DH171; All_Datasets!AS171; All_Datasets!BF171; All_Datasets!AU171</t>
  </si>
  <si>
    <t>DS-170|M1</t>
  </si>
  <si>
    <t>MCDM_Grades!AR171; MCDM_Grades!AT171; All_Datasets!DH171; All_Datasets!AU171; All_Datasets!AW171</t>
  </si>
  <si>
    <t>DS-170|M2</t>
  </si>
  <si>
    <t>MCDM_Grades!AR171; MCDM_Grades!AT171; All_Datasets!DH171; All_Datasets!AN171</t>
  </si>
  <si>
    <t>DS-170|M5</t>
  </si>
  <si>
    <t>MCDM_Grades!AR171; MCDM_Grades!AT171; All_Datasets!DH171; All_Datasets!AN171; All_Datasets!BY171; All_Datasets!CQ171</t>
  </si>
  <si>
    <t>DS-171|A1</t>
  </si>
  <si>
    <t>MCDM_Grades!AR172; MCDM_Grades!AT172; All_Datasets!DH172; All_Datasets!D172; All_Datasets!L172</t>
  </si>
  <si>
    <t>Road Alert uses SerpAPI web-scraped images, five road/traffic classes and augmentation. Apache metadata does not resolve scraped-photo rights. Clean/smooth class ambiguity and mixed traffic/condition targets need an evaluator-defined task.</t>
  </si>
  <si>
    <t>DS-171|A2</t>
  </si>
  <si>
    <t>MCDM_Grades!AR172; MCDM_Grades!AT172; All_Datasets!DH172; All_Datasets!CJ172; All_Datasets!CM172</t>
  </si>
  <si>
    <t>DS-171|A3</t>
  </si>
  <si>
    <t>MCDM_Grades!AR172; MCDM_Grades!AT172; All_Datasets!DH172; All_Datasets!CK172</t>
  </si>
  <si>
    <t>DS-171|L1</t>
  </si>
  <si>
    <t>MCDM_Grades!AR172; MCDM_Grades!AT172; All_Datasets!DH172; All_Datasets!BJ172; All_Datasets!BH172</t>
  </si>
  <si>
    <t>DS-171|L2</t>
  </si>
  <si>
    <t>MCDM_Grades!AR172; MCDM_Grades!AT172; All_Datasets!DH172; All_Datasets!BJ172; All_Datasets!BN172; All_Datasets!BY172</t>
  </si>
  <si>
    <t>DS-171|L4</t>
  </si>
  <si>
    <t>MCDM_Grades!AR172; MCDM_Grades!AT172; All_Datasets!DH172; All_Datasets!BZ172</t>
  </si>
  <si>
    <t>DS-171|D1</t>
  </si>
  <si>
    <t>MCDM_Grades!AR172; MCDM_Grades!AT172; All_Datasets!DH172; All_Datasets!BN172; All_Datasets!BJ172</t>
  </si>
  <si>
    <t>DS-171|D2</t>
  </si>
  <si>
    <t>MCDM_Grades!AR172; MCDM_Grades!AT172; All_Datasets!DH172; All_Datasets!CR172; All_Datasets!CV172; All_Datasets!AU172</t>
  </si>
  <si>
    <t>DS-171|D4</t>
  </si>
  <si>
    <t>MCDM_Grades!AR172; MCDM_Grades!AT172; All_Datasets!DH172; All_Datasets!CQ172</t>
  </si>
  <si>
    <t>DS-171|C1</t>
  </si>
  <si>
    <t>MCDM_Grades!AR172; MCDM_Grades!AT172; All_Datasets!DH172</t>
  </si>
  <si>
    <t>DS-171|C2</t>
  </si>
  <si>
    <t>MCDM_Grades!AR172; MCDM_Grades!AT172; All_Datasets!DH172; All_Datasets!BJ172</t>
  </si>
  <si>
    <t>DS-171|R1</t>
  </si>
  <si>
    <t>MCDM_Grades!AR172; MCDM_Grades!AT172; All_Datasets!DH172; All_Datasets!AU172</t>
  </si>
  <si>
    <t>DS-171|R2</t>
  </si>
  <si>
    <t>DS-171|M1</t>
  </si>
  <si>
    <t>DS-171|M2</t>
  </si>
  <si>
    <t>MCDM_Grades!AR172; MCDM_Grades!AT172; All_Datasets!DH172; All_Datasets!AN172</t>
  </si>
  <si>
    <t>DS-171|M5</t>
  </si>
  <si>
    <t>MCDM_Grades!AR172; MCDM_Grades!AT172; All_Datasets!DH172; All_Datasets!AN172; All_Datasets!BY172; All_Datasets!CQ172</t>
  </si>
  <si>
    <t>DS-172|A1</t>
  </si>
  <si>
    <t>MCDM_Grades!AR173; MCDM_Grades!AT173; All_Datasets!DH173; All_Datasets!D173; All_Datasets!L173</t>
  </si>
  <si>
    <t>Roads and Bridges Cracks describes YOLOv8 crack detection across mixed structures with MIT metadata. Specific distress taxonomy, pavement fraction, capture units and original photo rights are not established.</t>
  </si>
  <si>
    <t>DS-172|A2</t>
  </si>
  <si>
    <t>MCDM_Grades!AR173; MCDM_Grades!AT173; All_Datasets!DH173; All_Datasets!CJ173; All_Datasets!CM173</t>
  </si>
  <si>
    <t>DS-172|A3</t>
  </si>
  <si>
    <t>MCDM_Grades!AR173; MCDM_Grades!AT173; All_Datasets!DH173; All_Datasets!CK173</t>
  </si>
  <si>
    <t>DS-172|L1</t>
  </si>
  <si>
    <t>MCDM_Grades!AR173; MCDM_Grades!AT173; All_Datasets!DH173; All_Datasets!BJ173; All_Datasets!BH173</t>
  </si>
  <si>
    <t>DS-172|L2</t>
  </si>
  <si>
    <t>MCDM_Grades!AR173; MCDM_Grades!AT173; All_Datasets!DH173; All_Datasets!BJ173; All_Datasets!BN173</t>
  </si>
  <si>
    <t>DS-172|L4</t>
  </si>
  <si>
    <t>MCDM_Grades!AR173; MCDM_Grades!AT173; All_Datasets!DH173</t>
  </si>
  <si>
    <t>DS-172|D1</t>
  </si>
  <si>
    <t>MCDM_Grades!AR173; MCDM_Grades!AT173; All_Datasets!DH173; All_Datasets!BN173; All_Datasets!BO173; All_Datasets!BJ173</t>
  </si>
  <si>
    <t>DS-172|D2</t>
  </si>
  <si>
    <t>MCDM_Grades!AR173; MCDM_Grades!AT173; All_Datasets!DH173; All_Datasets!CR173</t>
  </si>
  <si>
    <t>DS-172|D4</t>
  </si>
  <si>
    <t>MCDM_Grades!AR173; MCDM_Grades!AT173; All_Datasets!DH173; All_Datasets!CQ173</t>
  </si>
  <si>
    <t>DS-172|C1</t>
  </si>
  <si>
    <t>DS-172|C2</t>
  </si>
  <si>
    <t>MCDM_Grades!AR173; MCDM_Grades!AT173; All_Datasets!DH173; All_Datasets!BJ173</t>
  </si>
  <si>
    <t>DS-172|R1</t>
  </si>
  <si>
    <t>MCDM_Grades!AR173; MCDM_Grades!AT173; All_Datasets!DH173; All_Datasets!AS173</t>
  </si>
  <si>
    <t>DS-172|R2</t>
  </si>
  <si>
    <t>DS-172|M1</t>
  </si>
  <si>
    <t>DS-172|M2</t>
  </si>
  <si>
    <t>DS-172|M5</t>
  </si>
  <si>
    <t>DS-173|A1</t>
  </si>
  <si>
    <t>MCDM_Grades!AR174; MCDM_Grades!AT174; All_Datasets!DH174; All_Datasets!D174; All_Datasets!L174</t>
  </si>
  <si>
    <t>RoadScan-MA describes Meknes dashcam capture, five crack/pothole severity labels and CLAHE processing. The source description explicitly states CC BY while API says Unknown; absence is not a contradiction. The 200-500 image range and severity thresholds remain unresolved.</t>
  </si>
  <si>
    <t>DS-173|A2</t>
  </si>
  <si>
    <t>MCDM_Grades!AR174; MCDM_Grades!AT174; All_Datasets!DH174; All_Datasets!CJ174; All_Datasets!CM174</t>
  </si>
  <si>
    <t>DS-173|A3</t>
  </si>
  <si>
    <t>MCDM_Grades!AR174; MCDM_Grades!AT174; All_Datasets!DH174</t>
  </si>
  <si>
    <t>DS-173|L1</t>
  </si>
  <si>
    <t>MCDM_Grades!AR174; MCDM_Grades!AT174; All_Datasets!DH174; All_Datasets!BJ174; All_Datasets!BH174</t>
  </si>
  <si>
    <t>DS-173|L2</t>
  </si>
  <si>
    <t>MCDM_Grades!AR174; MCDM_Grades!AT174; All_Datasets!DH174; All_Datasets!BJ174; All_Datasets!BN174; All_Datasets!BY174</t>
  </si>
  <si>
    <t>DS-173|L4</t>
  </si>
  <si>
    <t>DS-173|D1</t>
  </si>
  <si>
    <t>MCDM_Grades!AR174; MCDM_Grades!AT174; All_Datasets!DH174; All_Datasets!BN174; All_Datasets!BO174; All_Datasets!BJ174</t>
  </si>
  <si>
    <t>DS-173|D2</t>
  </si>
  <si>
    <t>MCDM_Grades!AR174; MCDM_Grades!AT174; All_Datasets!DH174; All_Datasets!CR174; All_Datasets!AU174</t>
  </si>
  <si>
    <t>DS-173|D4</t>
  </si>
  <si>
    <t>MCDM_Grades!AR174; MCDM_Grades!AT174; All_Datasets!DH174; All_Datasets!CQ174</t>
  </si>
  <si>
    <t>DS-173|C1</t>
  </si>
  <si>
    <t>DS-173|C2</t>
  </si>
  <si>
    <t>MCDM_Grades!AR174; MCDM_Grades!AT174; All_Datasets!DH174; All_Datasets!BJ174</t>
  </si>
  <si>
    <t>DS-173|R1</t>
  </si>
  <si>
    <t>MCDM_Grades!AR174; MCDM_Grades!AT174; All_Datasets!DH174; All_Datasets!AP174; All_Datasets!AR174; All_Datasets!AS174; All_Datasets!AU174</t>
  </si>
  <si>
    <t>DS-173|R2</t>
  </si>
  <si>
    <t>MCDM_Grades!AR174; MCDM_Grades!AT174; All_Datasets!DH174; All_Datasets!AS174; All_Datasets!AU174</t>
  </si>
  <si>
    <t>DS-173|M1</t>
  </si>
  <si>
    <t>MCDM_Grades!AR174; MCDM_Grades!AT174; All_Datasets!DH174; All_Datasets!AU174; All_Datasets!AW174</t>
  </si>
  <si>
    <t>DS-173|M2</t>
  </si>
  <si>
    <t>DS-173|M5</t>
  </si>
  <si>
    <t>MCDM_Grades!AR174; MCDM_Grades!AT174; All_Datasets!DH174; All_Datasets!BY174; All_Datasets!CQ174</t>
  </si>
  <si>
    <t>DS-174|A1</t>
  </si>
  <si>
    <t>MCDM_Grades!AR175; MCDM_Grades!AT175; All_Datasets!DH175; All_Datasets!D175; All_Datasets!L175</t>
  </si>
  <si>
    <t>STU_CamCrack792 defines 792 paired PNG frames, mask values, campus/date range, robot-arm camera and LabelMe conversion under CC BY-NC-SA. Mask/type distinctions and independent source videos must be checked; paired files are not 1,584 independent samples.</t>
  </si>
  <si>
    <t>DS-174|A2</t>
  </si>
  <si>
    <t>MCDM_Grades!AR175; MCDM_Grades!AT175; All_Datasets!DH175; All_Datasets!CJ175; All_Datasets!CM175</t>
  </si>
  <si>
    <t>DS-174|A3</t>
  </si>
  <si>
    <t>MCDM_Grades!AR175; MCDM_Grades!AT175; All_Datasets!DH175; All_Datasets!CK175</t>
  </si>
  <si>
    <t>DS-174|L1</t>
  </si>
  <si>
    <t>MCDM_Grades!AR175; MCDM_Grades!AT175; All_Datasets!DH175; All_Datasets!BJ175; All_Datasets!BH175</t>
  </si>
  <si>
    <t>DS-174|L2</t>
  </si>
  <si>
    <t>MCDM_Grades!AR175; MCDM_Grades!AT175; All_Datasets!DH175; All_Datasets!BJ175; All_Datasets!BN175; All_Datasets!BY175</t>
  </si>
  <si>
    <t>DS-174|L4</t>
  </si>
  <si>
    <t>MCDM_Grades!AR175; MCDM_Grades!AT175; All_Datasets!DH175; All_Datasets!BZ175</t>
  </si>
  <si>
    <t>DS-174|D1</t>
  </si>
  <si>
    <t>MCDM_Grades!AR175; MCDM_Grades!AT175; All_Datasets!DH175; All_Datasets!BN175; All_Datasets!BO175; All_Datasets!BJ175</t>
  </si>
  <si>
    <t>DS-174|D2</t>
  </si>
  <si>
    <t>MCDM_Grades!AR175; MCDM_Grades!AT175; All_Datasets!DH175; All_Datasets!CR175; All_Datasets!AU175</t>
  </si>
  <si>
    <t>DS-174|D4</t>
  </si>
  <si>
    <t>MCDM_Grades!AR175; MCDM_Grades!AT175; All_Datasets!DH175; All_Datasets!CQ175</t>
  </si>
  <si>
    <t>DS-174|C1</t>
  </si>
  <si>
    <t>MCDM_Grades!AR175; MCDM_Grades!AT175; All_Datasets!DH175; All_Datasets!AC175; All_Datasets!AF175</t>
  </si>
  <si>
    <t>DS-174|C2</t>
  </si>
  <si>
    <t>MCDM_Grades!AR175; MCDM_Grades!AT175; All_Datasets!DH175; All_Datasets!AC175; All_Datasets!BJ175</t>
  </si>
  <si>
    <t>DS-174|R1</t>
  </si>
  <si>
    <t>MCDM_Grades!AR175; MCDM_Grades!AT175; All_Datasets!DH175; All_Datasets!AP175; All_Datasets!AR175; All_Datasets!AS175; All_Datasets!AU175</t>
  </si>
  <si>
    <t>DS-174|R2</t>
  </si>
  <si>
    <t>MCDM_Grades!AR175; MCDM_Grades!AT175; All_Datasets!DH175; All_Datasets!AS175; All_Datasets!BF175; All_Datasets!AU175</t>
  </si>
  <si>
    <t>DS-174|M1</t>
  </si>
  <si>
    <t>MCDM_Grades!AR175; MCDM_Grades!AT175; All_Datasets!DH175; All_Datasets!AU175; All_Datasets!AW175</t>
  </si>
  <si>
    <t>DS-174|M2</t>
  </si>
  <si>
    <t>MCDM_Grades!AR175; MCDM_Grades!AT175; All_Datasets!DH175; All_Datasets!AN175</t>
  </si>
  <si>
    <t>DS-174|M5</t>
  </si>
  <si>
    <t>MCDM_Grades!AR175; MCDM_Grades!AT175; All_Datasets!DH175; All_Datasets!AN175; All_Datasets!BY175; All_Datasets!CQ175</t>
  </si>
  <si>
    <t>DS-175|A1</t>
  </si>
  <si>
    <t>MCDM_Grades!AR176; MCDM_Grades!AT176; All_Datasets!DH176; All_Datasets!D176; All_Datasets!L176</t>
  </si>
  <si>
    <t>IDENTITY CORRECTION: inventory preferred Zenodo link is the parent UAV-PDD2023, not this derivative. Assessment instead uses Kaggle enhanced-uav-pdd v1, which explicitly names its parent and claims new pixel-level masks. Parent and derivative both state CC BY. Exact segmentation taxonomy, mask-generation QA and overlap remain unresolved.</t>
  </si>
  <si>
    <t>Use the corrected enhanced-uav-pdd Kaggle derivative v1; the old Zenodo URL identifies its UAV-PDD2023 parent.</t>
  </si>
  <si>
    <t>DS-175|A2</t>
  </si>
  <si>
    <t>MCDM_Grades!AR176; MCDM_Grades!AT176; All_Datasets!DH176; All_Datasets!CJ176; All_Datasets!CM176</t>
  </si>
  <si>
    <t>DS-175|A3</t>
  </si>
  <si>
    <t>MCDM_Grades!AR176; MCDM_Grades!AT176; All_Datasets!DH176; All_Datasets!CK176</t>
  </si>
  <si>
    <t>DS-175|L1</t>
  </si>
  <si>
    <t>MCDM_Grades!AR176; MCDM_Grades!AT176; All_Datasets!DH176; All_Datasets!BJ176; All_Datasets!BH176</t>
  </si>
  <si>
    <t>DS-175|L2</t>
  </si>
  <si>
    <t>MCDM_Grades!AR176; MCDM_Grades!AT176; All_Datasets!DH176; All_Datasets!BJ176; All_Datasets!BN176; All_Datasets!BY176</t>
  </si>
  <si>
    <t>DS-175|L4</t>
  </si>
  <si>
    <t>MCDM_Grades!AR176; MCDM_Grades!AT176; All_Datasets!DH176</t>
  </si>
  <si>
    <t>DS-175|D1</t>
  </si>
  <si>
    <t>MCDM_Grades!AR176; MCDM_Grades!AT176; All_Datasets!DH176; All_Datasets!BN176; All_Datasets!BO176; All_Datasets!BJ176</t>
  </si>
  <si>
    <t>DS-175|D2</t>
  </si>
  <si>
    <t>MCDM_Grades!AR176; MCDM_Grades!AT176; All_Datasets!DH176; All_Datasets!CR176; All_Datasets!CV176; All_Datasets!AU176</t>
  </si>
  <si>
    <t>DS-175|D4</t>
  </si>
  <si>
    <t>MCDM_Grades!AR176; MCDM_Grades!AT176; All_Datasets!DH176; All_Datasets!CQ176</t>
  </si>
  <si>
    <t>DS-175|C1</t>
  </si>
  <si>
    <t>MCDM_Grades!AR176; MCDM_Grades!AT176; All_Datasets!DH176; All_Datasets!AC176; All_Datasets!AF176</t>
  </si>
  <si>
    <t>DS-175|C2</t>
  </si>
  <si>
    <t>MCDM_Grades!AR176; MCDM_Grades!AT176; All_Datasets!DH176; All_Datasets!AC176; All_Datasets!BJ176</t>
  </si>
  <si>
    <t>DS-175|R1</t>
  </si>
  <si>
    <t>MCDM_Grades!AR176; MCDM_Grades!AT176; All_Datasets!DH176; All_Datasets!AP176; All_Datasets!AS176; All_Datasets!AU176</t>
  </si>
  <si>
    <t>Collection context is inherited from the explicitly named UAV-PDD2023 parent (China, UAV pavement imagery); this is a derivative annotation release, not an independently acquired Chinese UAV corpus.</t>
  </si>
  <si>
    <t>DS-175|R2</t>
  </si>
  <si>
    <t>MCDM_Grades!AR176; MCDM_Grades!AT176; All_Datasets!DH176; All_Datasets!AS176; All_Datasets!AU176</t>
  </si>
  <si>
    <t>DS-175|M1</t>
  </si>
  <si>
    <t>MCDM_Grades!AR176; MCDM_Grades!AT176; All_Datasets!DH176; All_Datasets!AU176</t>
  </si>
  <si>
    <t>DS-175|M2</t>
  </si>
  <si>
    <t>DS-175|M5</t>
  </si>
  <si>
    <t>MCDM_Grades!AR176; MCDM_Grades!AT176; All_Datasets!DH176; All_Datasets!BY176; All_Datasets!CQ176</t>
  </si>
  <si>
    <t>DS-176|A1</t>
  </si>
  <si>
    <t>https://adamnovozamsky.com/files/2024_Diploma_Drocarova_WARD_poster.pdf</t>
  </si>
  <si>
    <t>Datasets!B28; Datasets!L28; Datasets!S28; Datasets!T28</t>
  </si>
  <si>
    <t>Dataset / release family: WARD — Weather-Aware Road Surface Condition Monitoring | Release / paper year: ICIAP 2025; proceedings 2026 | Dataset / download: Dataset / download | Evidence / paper: Source evidence</t>
  </si>
  <si>
    <t>DS-176|A2</t>
  </si>
  <si>
    <t>Datasets!F28; Datasets!Q28</t>
  </si>
  <si>
    <t>Access status: Availability uncertain | Access instructions: Authors state publicly downloadable; direct archive endpoint not resolved in this research.</t>
  </si>
  <si>
    <t>A working documented route to all of the intended release is unresolved; untested access is not presumed failure.</t>
  </si>
  <si>
    <t>DS-176|A3</t>
  </si>
  <si>
    <t>Datasets!P28</t>
  </si>
  <si>
    <t>License / use terms: Not verified; contact authors / consult dataset download.</t>
  </si>
  <si>
    <t>DS-176|L1</t>
  </si>
  <si>
    <t>Datasets!H28; Datasets!O28</t>
  </si>
  <si>
    <t>Pavement labels: Dry, wet, snow (manual visual labels informed by drive context). | Label format: Image/sequence classification</t>
  </si>
  <si>
    <t>DS-176|L2</t>
  </si>
  <si>
    <t>DS-176|L4</t>
  </si>
  <si>
    <t>Datasets!O28; Datasets!R28</t>
  </si>
  <si>
    <t>Label format: Image/sequence classification | Limits and pairing notes: Promising surface-state resource, flagged for access follow-up rather than counted as tested download. No crack/pothole annotations reported.</t>
  </si>
  <si>
    <t>DS-176|D1</t>
  </si>
  <si>
    <t>Datasets!O28; Datasets!I28</t>
  </si>
  <si>
    <t>Label format: Image/sequence classification | Camera / footage details: 66 recordings converted to road ROI/bird's-eye images and short sequences.</t>
  </si>
  <si>
    <t>DS-176|D2</t>
  </si>
  <si>
    <t>Datasets!K28; Datasets!E28; Datasets!I28; Datasets!R28</t>
  </si>
  <si>
    <t>Publisher: Soňa Nesnídalová, Tomáš Kerepecký, Adam Novozámský / Czech Academy of Sciences | Capture context: Human-driven survey | Camera / footage details: 66 recordings converted to road ROI/bird's-eye images and short sequences. | Limits and pairing notes: Promising surface-state resource, flagged for access follow-up rather than counted as tested download. No crack/pothole annotations reported.</t>
  </si>
  <si>
    <t>DS-176|D4</t>
  </si>
  <si>
    <t>Datasets!R28; Datasets!H28</t>
  </si>
  <si>
    <t>Limits and pairing notes: Promising surface-state resource, flagged for access follow-up rather than counted as tested download. No crack/pothole annotations reported. | Pavement labels: Dry, wet, snow (manual visual labels informed by drive context).</t>
  </si>
  <si>
    <t>DS-176|C1</t>
  </si>
  <si>
    <t>Datasets!M28</t>
  </si>
  <si>
    <t>Reported size: 54,952 images; 1,854 sequences</t>
  </si>
  <si>
    <t>DS-176|C2</t>
  </si>
  <si>
    <t>Datasets!M28; Datasets!H28</t>
  </si>
  <si>
    <t>Reported size: 54,952 images; 1,854 sequences | Pavement labels: Dry, wet, snow (manual visual labels informed by drive context).</t>
  </si>
  <si>
    <t>DS-176|R1</t>
  </si>
  <si>
    <t>Datasets!N28; Datasets!E28; Datasets!I28</t>
  </si>
  <si>
    <t>Geography: Czechia; recordings across one year | Capture context: Human-driven survey | Camera / footage details: 66 recordings converted to road ROI/bird's-eye images and short sequences.</t>
  </si>
  <si>
    <t>DS-176|R2</t>
  </si>
  <si>
    <t>Datasets!N28; Datasets!E28; Datasets!I28; Datasets!R28</t>
  </si>
  <si>
    <t>Geography: Czechia; recordings across one year | Capture context: Human-driven survey | Camera / footage details: 66 recordings converted to road ROI/bird's-eye images and short sequences. | Limits and pairing notes: Promising surface-state resource, flagged for access follow-up rather than counted as tested download. No crack/pothole annotations reported.</t>
  </si>
  <si>
    <t>DS-176|M1</t>
  </si>
  <si>
    <t>Datasets!E28; Datasets!I28; Datasets!K28</t>
  </si>
  <si>
    <t>Capture context: Human-driven survey | Camera / footage details: 66 recordings converted to road ROI/bird's-eye images and short sequences. | Publisher: Soňa Nesnídalová, Tomáš Kerepecký, Adam Novozámský / Czech Academy of Sciences</t>
  </si>
  <si>
    <t>DS-176|M2</t>
  </si>
  <si>
    <t>Datasets!I28; Datasets!M28</t>
  </si>
  <si>
    <t>Camera / footage details: 66 recordings converted to road ROI/bird's-eye images and short sequences. | Reported size: 54,952 images; 1,854 sequences</t>
  </si>
  <si>
    <t>DS-176|M5</t>
  </si>
  <si>
    <t>Datasets!I28; Datasets!O28; Datasets!R28</t>
  </si>
  <si>
    <t>Camera / footage details: 66 recordings converted to road ROI/bird's-eye images and short sequences. | Label format: Image/sequence classification | Limits and pairing notes: Promising surface-state resource, flagged for access follow-up rather than counted as tested download. No crack/pothole annotations reported.</t>
  </si>
  <si>
    <t>DS-177|A1</t>
  </si>
  <si>
    <t>MCDM_Grades!AR178; MCDM_Grades!AT178; All_Datasets!DH178; All_Datasets!D178; All_Datasets!L178</t>
  </si>
  <si>
    <t>The IRIT AEL primary page was unavailable through direct and web retrieval. Legacy inventory descriptions are retained for follow-up but cannot resolve checks without the actual release documentation.</t>
  </si>
  <si>
    <t>DS-177|A2</t>
  </si>
  <si>
    <t>MCDM_Grades!AR178; MCDM_Grades!AT178; All_Datasets!DH178; All_Datasets!CJ178; All_Datasets!CM178</t>
  </si>
  <si>
    <t>DS-177|A3</t>
  </si>
  <si>
    <t>MCDM_Grades!AR178; MCDM_Grades!AT178; All_Datasets!DH178</t>
  </si>
  <si>
    <t>DS-177|L1</t>
  </si>
  <si>
    <t>MCDM_Grades!AR178; MCDM_Grades!AT178; All_Datasets!DH178; All_Datasets!BJ178; All_Datasets!BH178</t>
  </si>
  <si>
    <t>DS-177|L2</t>
  </si>
  <si>
    <t>MCDM_Grades!AR178; MCDM_Grades!AT178; All_Datasets!DH178; All_Datasets!BJ178; All_Datasets!BY178</t>
  </si>
  <si>
    <t>DS-177|L4</t>
  </si>
  <si>
    <t>DS-177|D1</t>
  </si>
  <si>
    <t>MCDM_Grades!AR178; MCDM_Grades!AT178; All_Datasets!DH178; All_Datasets!BJ178</t>
  </si>
  <si>
    <t>DS-177|D2</t>
  </si>
  <si>
    <t>MCDM_Grades!AR178; MCDM_Grades!AT178; All_Datasets!DH178; All_Datasets!CR178; All_Datasets!AU178</t>
  </si>
  <si>
    <t>DS-177|D4</t>
  </si>
  <si>
    <t>MCDM_Grades!AR178; MCDM_Grades!AT178; All_Datasets!DH178; All_Datasets!CQ178</t>
  </si>
  <si>
    <t>DS-177|C1</t>
  </si>
  <si>
    <t>MCDM_Grades!AR178; MCDM_Grades!AT178; All_Datasets!DH178; All_Datasets!AC178; All_Datasets!AF178</t>
  </si>
  <si>
    <t>DS-177|C2</t>
  </si>
  <si>
    <t>MCDM_Grades!AR178; MCDM_Grades!AT178; All_Datasets!DH178; All_Datasets!AC178; All_Datasets!BJ178</t>
  </si>
  <si>
    <t>DS-177|R1</t>
  </si>
  <si>
    <t>MCDM_Grades!AR178; MCDM_Grades!AT178; All_Datasets!DH178; All_Datasets!AS178; All_Datasets!AU178</t>
  </si>
  <si>
    <t>DS-177|R2</t>
  </si>
  <si>
    <t>DS-177|M1</t>
  </si>
  <si>
    <t>MCDM_Grades!AR178; MCDM_Grades!AT178; All_Datasets!DH178; All_Datasets!AU178</t>
  </si>
  <si>
    <t>DS-177|M2</t>
  </si>
  <si>
    <t>DS-177|M5</t>
  </si>
  <si>
    <t>MCDM_Grades!AR178; MCDM_Grades!AT178; All_Datasets!DH178; All_Datasets!BY178; All_Datasets!CQ178</t>
  </si>
  <si>
    <t>DS-178|A1</t>
  </si>
  <si>
    <t>Datasets!B7; Datasets!L7; Datasets!S7; Datasets!T7</t>
  </si>
  <si>
    <t>Dataset / release family: NATIX Edge Case Driving Dataset | Release / paper year: 2026 | Dataset / download: Dataset / download | Evidence / paper: Source evidence</t>
  </si>
  <si>
    <t>DS-178|A2</t>
  </si>
  <si>
    <t>Datasets!F7; Datasets!Q7</t>
  </si>
  <si>
    <t>Access status: Account / terms | Access instructions: Hugging Face gated download; sign-in and acceptance/contact sharing</t>
  </si>
  <si>
    <t>DS-178|A3</t>
  </si>
  <si>
    <t>Datasets!P7</t>
  </si>
  <si>
    <t>License / use terms: NATIX Data RAIL-NC; noncommercial; no redistribution; limited term</t>
  </si>
  <si>
    <t>DS-178|L1</t>
  </si>
  <si>
    <t>Datasets!H7; Datasets!O7</t>
  </si>
  <si>
    <t>Pavement labels: Road surface deterioration among event categories; VLM-generated descriptions, not engineered distress/severity ground truth | Label format: JSON event start/end times, labels and VLM evidence/context</t>
  </si>
  <si>
    <t>DS-178|L2</t>
  </si>
  <si>
    <t>DS-178|L4</t>
  </si>
  <si>
    <t>Datasets!O7; Datasets!R7</t>
  </si>
  <si>
    <t>Label format: JSON event start/end times, labels and VLM evidence/context | Limits and pairing notes: Small, potentially useful Tesla-related starting point. Inspect and manually validate the deterioration events. Weather metadata is best-effort. Same capture family and formats as NATIX Multi-Camera.</t>
  </si>
  <si>
    <t>DS-178|D1</t>
  </si>
  <si>
    <t>Datasets!O7; Datasets!I7</t>
  </si>
  <si>
    <t>Label format: JSON event start/end times, labels and VLM evidence/context | Camera / footage details: Real 4-/6-camera MP4 sequences</t>
  </si>
  <si>
    <t>DS-178|D2</t>
  </si>
  <si>
    <t>Datasets!K7; Datasets!E7; Datasets!I7; Datasets!R7</t>
  </si>
  <si>
    <t>Publisher: NATIX; crowdsourced Tesla dashcams (not Tesla Inc.) | Capture context: Tesla owner cameras | Camera / footage details: Real 4-/6-camera MP4 sequences | Limits and pairing notes: Small, potentially useful Tesla-related starting point. Inspect and manually validate the deterioration events. Weather metadata is best-effort. Same capture family and formats as NATIX Multi-Camera.</t>
  </si>
  <si>
    <t>DS-178|D4</t>
  </si>
  <si>
    <t>Datasets!R7; Datasets!H7</t>
  </si>
  <si>
    <t>Limits and pairing notes: Small, potentially useful Tesla-related starting point. Inspect and manually validate the deterioration events. Weather metadata is best-effort. Same capture family and formats as NATIX Multi-Camera. | Pavement labels: Road surface deterioration among event categories; VLM-generated descriptions, not engineered distress/severity ground truth</t>
  </si>
  <si>
    <t>DS-178|C1</t>
  </si>
  <si>
    <t>Datasets!M7</t>
  </si>
  <si>
    <t>Reported size: 20 minutes; 21 events; 86 MP4 clips; 3.31 GB stated</t>
  </si>
  <si>
    <t>DS-178|C2</t>
  </si>
  <si>
    <t>Datasets!M7; Datasets!H7</t>
  </si>
  <si>
    <t>Reported size: 20 minutes; 21 events; 86 MP4 clips; 3.31 GB stated | Pavement labels: Road surface deterioration among event categories; VLM-generated descriptions, not engineered distress/severity ground truth</t>
  </si>
  <si>
    <t>DS-178|R1</t>
  </si>
  <si>
    <t>Datasets!N7; Datasets!E7; Datasets!I7</t>
  </si>
  <si>
    <t>Geography: Six US states | Capture context: Tesla owner cameras | Camera / footage details: Real 4-/6-camera MP4 sequences</t>
  </si>
  <si>
    <t>DS-178|R2</t>
  </si>
  <si>
    <t>Datasets!N7; Datasets!E7; Datasets!I7; Datasets!R7</t>
  </si>
  <si>
    <t>Geography: Six US states | Capture context: Tesla owner cameras | Camera / footage details: Real 4-/6-camera MP4 sequences | Limits and pairing notes: Small, potentially useful Tesla-related starting point. Inspect and manually validate the deterioration events. Weather metadata is best-effort. Same capture family and formats as NATIX Multi-Camera.</t>
  </si>
  <si>
    <t>DS-178|M1</t>
  </si>
  <si>
    <t>Datasets!E7; Datasets!I7; Datasets!K7</t>
  </si>
  <si>
    <t>Capture context: Tesla owner cameras | Camera / footage details: Real 4-/6-camera MP4 sequences | Publisher: NATIX; crowdsourced Tesla dashcams (not Tesla Inc.)</t>
  </si>
  <si>
    <t>DS-178|M2</t>
  </si>
  <si>
    <t>Datasets!I7; Datasets!M7</t>
  </si>
  <si>
    <t>Camera / footage details: Real 4-/6-camera MP4 sequences | Reported size: 20 minutes; 21 events; 86 MP4 clips; 3.31 GB stated</t>
  </si>
  <si>
    <t>DS-178|M5</t>
  </si>
  <si>
    <t>Datasets!I7; Datasets!O7; Datasets!R7</t>
  </si>
  <si>
    <t>Camera / footage details: Real 4-/6-camera MP4 sequences | Label format: JSON event start/end times, labels and VLM evidence/context | Limits and pairing notes: Small, potentially useful Tesla-related starting point. Inspect and manually validate the deterioration events. Weather metadata is best-effort. Same capture family and formats as NATIX Multi-Camera.</t>
  </si>
  <si>
    <t>DS-179|A1</t>
  </si>
  <si>
    <t>Datasets!B8; Datasets!L8; Datasets!S8; Datasets!T8</t>
  </si>
  <si>
    <t>Dataset / release family: M2S-RoAD | Release / paper year: 2025 | Dataset / download: Dataset / download | Evidence / paper: Source evidence</t>
  </si>
  <si>
    <t>DS-179|A2</t>
  </si>
  <si>
    <t>Datasets!F8; Datasets!Q8</t>
  </si>
  <si>
    <t>Access status: Public links | Access instructions: Public Hugging Face files linked by author GitHub; full archive not downloaded.</t>
  </si>
  <si>
    <t>DS-179|A3</t>
  </si>
  <si>
    <t>Datasets!P8</t>
  </si>
  <si>
    <t>License / use terms: CC BY-NC-ND 4.0 on dataset repository</t>
  </si>
  <si>
    <t>DS-179|L1</t>
  </si>
  <si>
    <t>Datasets!H8; Datasets!O8</t>
  </si>
  <si>
    <t>Pavement labels: Pothole, water-filled pothole, crack, corrugation, rutting, slippage, drain, bump, manhole. | Label format: Manual LabelMe polygons / semantic segmentation; labels can be projected to point clouds.</t>
  </si>
  <si>
    <t>DS-179|L2</t>
  </si>
  <si>
    <t>DS-179|L4</t>
  </si>
  <si>
    <t>Datasets!O8; Datasets!R8</t>
  </si>
  <si>
    <t>Label format: Manual LabelMe polygons / semantic segmentation; labels can be projected to point clouds. | Limits and pairing notes: Strong multimodal damage candidate. Paper initially said release pending; author GitHub now links files. Release consists of selected labeled frames, not proven continuously labeled video. Storage total does not represent unique data or a requirement to download both archives. Drains/manholes can be road features without damage.</t>
  </si>
  <si>
    <t>DS-179|D1</t>
  </si>
  <si>
    <t>Datasets!O8; Datasets!I8</t>
  </si>
  <si>
    <t>Label format: Manual LabelMe polygons / semantic segmentation; labels can be projected to point clouds. | Camera / footage details: Forward camera frames selected from driving video with synchronized LiDAR; full continuous RGB video release not established.</t>
  </si>
  <si>
    <t>DS-179|D2</t>
  </si>
  <si>
    <t>Datasets!K8; Datasets!E8; Datasets!I8; Datasets!R8</t>
  </si>
  <si>
    <t>Publisher: University of Sydney, Australian Centre for Robotics | Capture context: Driving research | Camera / footage details: Forward camera frames selected from driving video with synchronized LiDAR; full continuous RGB video release not established. | Limits and pairing notes: Strong multimodal damage candidate. Paper initially said release pending; author GitHub now links files. Release consists of selected labeled frames, not proven continuously labeled video. Storage total does not represent unique data or a requirement to download both archives. Drains/manholes can be road features without damage.</t>
  </si>
  <si>
    <t>DS-179|D4</t>
  </si>
  <si>
    <t>Datasets!R8; Datasets!H8</t>
  </si>
  <si>
    <t>Limits and pairing notes: Strong multimodal damage candidate. Paper initially said release pending; author GitHub now links files. Release consists of selected labeled frames, not proven continuously labeled video. Storage total does not represent unique data or a requirement to download both archives. Drains/manholes can be road features without damage. | Pavement labels: Pothole, water-filled pothole, crack, corrugation, rutting, slippage, drain, bump, manhole.</t>
  </si>
  <si>
    <t>DS-179|C1</t>
  </si>
  <si>
    <t>Datasets!M8</t>
  </si>
  <si>
    <t>Reported size: 1,071 annotated images; 43,911 point clouds. Repository storage 385 GB across TAR (114 GB) and ZIP (271 GB) archives.</t>
  </si>
  <si>
    <t>DS-179|C2</t>
  </si>
  <si>
    <t>Datasets!M8; Datasets!H8</t>
  </si>
  <si>
    <t>Reported size: 1,071 annotated images; 43,911 point clouds. Repository storage 385 GB across TAR (114 GB) and ZIP (271 GB) archives. | Pavement labels: Pothole, water-filled pothole, crack, corrugation, rutting, slippage, drain, bump, manhole.</t>
  </si>
  <si>
    <t>DS-179|R1</t>
  </si>
  <si>
    <t>Datasets!N8; Datasets!E8; Datasets!I8</t>
  </si>
  <si>
    <t>Geography: New South Wales, Australia | Capture context: Driving research | Camera / footage details: Forward camera frames selected from driving video with synchronized LiDAR; full continuous RGB video release not established.</t>
  </si>
  <si>
    <t>DS-179|R2</t>
  </si>
  <si>
    <t>Datasets!N8; Datasets!E8; Datasets!I8; Datasets!R8</t>
  </si>
  <si>
    <t>Geography: New South Wales, Australia | Capture context: Driving research | Camera / footage details: Forward camera frames selected from driving video with synchronized LiDAR; full continuous RGB video release not established. | Limits and pairing notes: Strong multimodal damage candidate. Paper initially said release pending; author GitHub now links files. Release consists of selected labeled frames, not proven continuously labeled video. Storage total does not represent unique data or a requirement to download both archives. Drains/manholes can be road features without damage.</t>
  </si>
  <si>
    <t>DS-179|M1</t>
  </si>
  <si>
    <t>Datasets!E8; Datasets!I8; Datasets!K8</t>
  </si>
  <si>
    <t>Capture context: Driving research | Camera / footage details: Forward camera frames selected from driving video with synchronized LiDAR; full continuous RGB video release not established. | Publisher: University of Sydney, Australian Centre for Robotics</t>
  </si>
  <si>
    <t>DS-179|M2</t>
  </si>
  <si>
    <t>Datasets!I8; Datasets!M8</t>
  </si>
  <si>
    <t>Camera / footage details: Forward camera frames selected from driving video with synchronized LiDAR; full continuous RGB video release not established. | Reported size: 1,071 annotated images; 43,911 point clouds. Repository storage 385 GB across TAR (114 GB) and ZIP (271 GB) archives.</t>
  </si>
  <si>
    <t>DS-179|M5</t>
  </si>
  <si>
    <t>Datasets!I8; Datasets!O8; Datasets!R8</t>
  </si>
  <si>
    <t>Camera / footage details: Forward camera frames selected from driving video with synchronized LiDAR; full continuous RGB video release not established. | Label format: Manual LabelMe polygons / semantic segmentation; labels can be projected to point clouds. | Limits and pairing notes: Strong multimodal damage candidate. Paper initially said release pending; author GitHub now links files. Release consists of selected labeled frames, not proven continuously labeled video. Storage total does not represent unique data or a requirement to download both archives. Drains/manholes can be road features without damage.</t>
  </si>
  <si>
    <t>DS-180|A1</t>
  </si>
  <si>
    <t>Datasets!B11; Datasets!L11; Datasets!S11; Datasets!T11</t>
  </si>
  <si>
    <t>Dataset / release family: AD Winter Driving Dataset — MCity-WSPI Physics | Release / paper year: 2026 | Dataset / download: Dataset / download | Evidence / paper: Source evidence</t>
  </si>
  <si>
    <t>DS-180|A2</t>
  </si>
  <si>
    <t>Datasets!F11; Datasets!Q11</t>
  </si>
  <si>
    <t>Access status: Public links | Access instructions: Public per-run image ZIPs on Hugging Face; metadata CSVs and download/loader scripts on author GitHub.</t>
  </si>
  <si>
    <t>DS-180|A3</t>
  </si>
  <si>
    <t>Datasets!P11</t>
  </si>
  <si>
    <t>License / use terms: CC BY 4.0 per Hugging Face data card and GitHub metadata license</t>
  </si>
  <si>
    <t>DS-180|L1</t>
  </si>
  <si>
    <t>Datasets!H11; Datasets!O11</t>
  </si>
  <si>
    <t>Pavement labels: MARWIS dry/wet/snow/ice class; optical friction estimate, pavement temperature, ice fraction and water-film height. | Label format: Synchronized CSV row per image filename; numeric measurements and condition category</t>
  </si>
  <si>
    <t>DS-180|L2</t>
  </si>
  <si>
    <t>DS-180|L4</t>
  </si>
  <si>
    <t>Datasets!O11; Datasets!R11</t>
  </si>
  <si>
    <t>Label format: Synchronized CSV row per image filename; numeric measurements and condition category | Limits and pairing notes: Optical friction estimates are sensor-derived, not direct tire-friction ground truth. Separate REVA/MI-Snow1000 module supplies lane labels. GitHub organization dates repository update to Aug 9, 2026; README's 85 GB total is older than current file listing.</t>
  </si>
  <si>
    <t>DS-180|D1</t>
  </si>
  <si>
    <t>Datasets!O11; Datasets!I11</t>
  </si>
  <si>
    <t>Label format: Synchronized CSV row per image filename; numeric measurements and condition category | Camera / footage details: Front/windshield-camera frames at 25 Hz synchronized with CAN, IMU and RTK GPS.</t>
  </si>
  <si>
    <t>DS-180|D2</t>
  </si>
  <si>
    <t>Datasets!K11; Datasets!E11; Datasets!I11; Datasets!R11</t>
  </si>
  <si>
    <t>Publisher: AD Assurance Lab / Western Michigan University / MCity | Capture context: Driving research | Camera / footage details: Front/windshield-camera frames at 25 Hz synchronized with CAN, IMU and RTK GPS. | Limits and pairing notes: Optical friction estimates are sensor-derived, not direct tire-friction ground truth. Separate REVA/MI-Snow1000 module supplies lane labels. GitHub organization dates repository update to Aug 9, 2026; README's 85 GB total is older than current file listing.</t>
  </si>
  <si>
    <t>DS-180|D4</t>
  </si>
  <si>
    <t>Datasets!R11; Datasets!H11</t>
  </si>
  <si>
    <t>Limits and pairing notes: Optical friction estimates are sensor-derived, not direct tire-friction ground truth. Separate REVA/MI-Snow1000 module supplies lane labels. GitHub organization dates repository update to Aug 9, 2026; README's 85 GB total is older than current file listing. | Pavement labels: MARWIS dry/wet/snow/ice class; optical friction estimate, pavement temperature, ice fraction and water-film height.</t>
  </si>
  <si>
    <t>DS-180|C1</t>
  </si>
  <si>
    <t>Datasets!M11</t>
  </si>
  <si>
    <t>Reported size: MCity-WSPI image folder 140 GB on Hugging Face; exact frame count unverified</t>
  </si>
  <si>
    <t>DS-180|C2</t>
  </si>
  <si>
    <t>Datasets!M11; Datasets!H11</t>
  </si>
  <si>
    <t>Reported size: MCity-WSPI image folder 140 GB on Hugging Face; exact frame count unverified | Pavement labels: MARWIS dry/wet/snow/ice class; optical friction estimate, pavement temperature, ice fraction and water-film height.</t>
  </si>
  <si>
    <t>DS-180|R1</t>
  </si>
  <si>
    <t>Datasets!N11; Datasets!E11; Datasets!I11</t>
  </si>
  <si>
    <t>Geography: MCity / Michigan, USA | Capture context: Driving research | Camera / footage details: Front/windshield-camera frames at 25 Hz synchronized with CAN, IMU and RTK GPS.</t>
  </si>
  <si>
    <t>DS-180|R2</t>
  </si>
  <si>
    <t>Datasets!N11; Datasets!E11; Datasets!I11; Datasets!R11</t>
  </si>
  <si>
    <t>Geography: MCity / Michigan, USA | Capture context: Driving research | Camera / footage details: Front/windshield-camera frames at 25 Hz synchronized with CAN, IMU and RTK GPS. | Limits and pairing notes: Optical friction estimates are sensor-derived, not direct tire-friction ground truth. Separate REVA/MI-Snow1000 module supplies lane labels. GitHub organization dates repository update to Aug 9, 2026; README's 85 GB total is older than current file listing.</t>
  </si>
  <si>
    <t>DS-180|M1</t>
  </si>
  <si>
    <t>Datasets!E11; Datasets!I11; Datasets!K11</t>
  </si>
  <si>
    <t>Capture context: Driving research | Camera / footage details: Front/windshield-camera frames at 25 Hz synchronized with CAN, IMU and RTK GPS. | Publisher: AD Assurance Lab / Western Michigan University / MCity</t>
  </si>
  <si>
    <t>DS-180|M2</t>
  </si>
  <si>
    <t>Datasets!I11; Datasets!M11</t>
  </si>
  <si>
    <t>Camera / footage details: Front/windshield-camera frames at 25 Hz synchronized with CAN, IMU and RTK GPS. | Reported size: MCity-WSPI image folder 140 GB on Hugging Face; exact frame count unverified</t>
  </si>
  <si>
    <t>The 25 Hz synchronization rate is reported, but measurement units/physical sampling metadata for the MARWIS outcomes remain incomplete in this extract.</t>
  </si>
  <si>
    <t>DS-180|M5</t>
  </si>
  <si>
    <t>Datasets!I11; Datasets!O11; Datasets!R11</t>
  </si>
  <si>
    <t>Camera / footage details: Front/windshield-camera frames at 25 Hz synchronized with CAN, IMU and RTK GPS. | Label format: Synchronized CSV row per image filename; numeric measurements and condition category | Limits and pairing notes: Optical friction estimates are sensor-derived, not direct tire-friction ground truth. Separate REVA/MI-Snow1000 module supplies lane labels. GitHub organization dates repository update to Aug 9, 2026; README's 85 GB total is older than current file listing.</t>
  </si>
  <si>
    <t>DS-181|A1</t>
  </si>
  <si>
    <t>Datasets!B13; Datasets!L13; Datasets!S13; Datasets!T13</t>
  </si>
  <si>
    <t>Dataset / release family: RTK — full driving sequences and surface quality classification | Release / paper year: 2019 (capture 2016–2017) | Dataset / download: Dataset / download | Evidence / paper: Source evidence</t>
  </si>
  <si>
    <t>DS-181|A2</t>
  </si>
  <si>
    <t>Datasets!F13; Datasets!Q13</t>
  </si>
  <si>
    <t>Access status: Public links | Access instructions: Official page offers raw sequence parts and classified ground-truth folders.</t>
  </si>
  <si>
    <t>DS-181|A3</t>
  </si>
  <si>
    <t>Datasets!P13</t>
  </si>
  <si>
    <t>License / use terms: Not clearly stated for full release; verify author terms. Do not transfer segmentation-subset license.</t>
  </si>
  <si>
    <t>DS-181|L1</t>
  </si>
  <si>
    <t>Datasets!H13; Datasets!O13</t>
  </si>
  <si>
    <t>Pavement labels: Asphalt, other paved, unpaved; visual surface quality good/regular/bad (no good-unpaved class). | Label format: Class-separated frame folders; sequential numbering per collection/surface class</t>
  </si>
  <si>
    <t>DS-181|L2</t>
  </si>
  <si>
    <t>DS-181|L4</t>
  </si>
  <si>
    <t>Datasets!O13; Datasets!R13</t>
  </si>
  <si>
    <t>Label format: Class-separated frame folders; sequential numbering per collection/surface class | Limits and pairing notes: Companion to the 701-image RTK segmentation subset; overlapping collection, not independent footage. Only 6,297 frames have quality labels; 62,662 is surface-type count. Archive contents not downloaded.</t>
  </si>
  <si>
    <t>DS-181|D1</t>
  </si>
  <si>
    <t>Datasets!O13; Datasets!I13</t>
  </si>
  <si>
    <t>Label format: Class-separated frame folders; sequential numbering per collection/surface class | Camera / footage details: Four ordered road-driving frame sequences from HP Webcam HD-4110.</t>
  </si>
  <si>
    <t>DS-181|D2</t>
  </si>
  <si>
    <t>Datasets!K13; Datasets!E13; Datasets!I13; Datasets!R13</t>
  </si>
  <si>
    <t>Publisher: LAPIX / Federal University of Santa Catarina (UFSC) | Capture context: Driving research | Camera / footage details: Four ordered road-driving frame sequences from HP Webcam HD-4110. | Limits and pairing notes: Companion to the 701-image RTK segmentation subset; overlapping collection, not independent footage. Only 6,297 frames have quality labels; 62,662 is surface-type count. Archive contents not downloaded.</t>
  </si>
  <si>
    <t>DS-181|D4</t>
  </si>
  <si>
    <t>Datasets!R13; Datasets!H13</t>
  </si>
  <si>
    <t>Limits and pairing notes: Companion to the 701-image RTK segmentation subset; overlapping collection, not independent footage. Only 6,297 frames have quality labels; 62,662 is surface-type count. Archive contents not downloaded. | Pavement labels: Asphalt, other paved, unpaved; visual surface quality good/regular/bad (no good-unpaved class).</t>
  </si>
  <si>
    <t>DS-181|C1</t>
  </si>
  <si>
    <t>Datasets!M13</t>
  </si>
  <si>
    <t>Reported size: 77,547 frames total; 62,662 surface-type labels; 6,297 surface-quality labels</t>
  </si>
  <si>
    <t>DS-181|C2</t>
  </si>
  <si>
    <t>Datasets!M13; Datasets!H13</t>
  </si>
  <si>
    <t>Reported size: 77,547 frames total; 62,662 surface-type labels; 6,297 surface-quality labels | Pavement labels: Asphalt, other paved, unpaved; visual surface quality good/regular/bad (no good-unpaved class).</t>
  </si>
  <si>
    <t>DS-181|R1</t>
  </si>
  <si>
    <t>Datasets!N13; Datasets!E13; Datasets!I13</t>
  </si>
  <si>
    <t>Geography: Águas Mornas and Santo Amaro da Imperatriz, Santa Catarina, Brazil | Capture context: Driving research | Camera / footage details: Four ordered road-driving frame sequences from HP Webcam HD-4110.</t>
  </si>
  <si>
    <t>DS-181|R2</t>
  </si>
  <si>
    <t>Datasets!N13; Datasets!E13; Datasets!I13; Datasets!R13</t>
  </si>
  <si>
    <t>Geography: Águas Mornas and Santo Amaro da Imperatriz, Santa Catarina, Brazil | Capture context: Driving research | Camera / footage details: Four ordered road-driving frame sequences from HP Webcam HD-4110. | Limits and pairing notes: Companion to the 701-image RTK segmentation subset; overlapping collection, not independent footage. Only 6,297 frames have quality labels; 62,662 is surface-type count. Archive contents not downloaded.</t>
  </si>
  <si>
    <t>DS-181|M1</t>
  </si>
  <si>
    <t>Datasets!E13; Datasets!I13; Datasets!K13</t>
  </si>
  <si>
    <t>Capture context: Driving research | Camera / footage details: Four ordered road-driving frame sequences from HP Webcam HD-4110. | Publisher: LAPIX / Federal University of Santa Catarina (UFSC)</t>
  </si>
  <si>
    <t>DS-181|M2</t>
  </si>
  <si>
    <t>Datasets!I13; Datasets!M13</t>
  </si>
  <si>
    <t>Camera / footage details: Four ordered road-driving frame sequences from HP Webcam HD-4110. | Reported size: 77,547 frames total; 62,662 surface-type labels; 6,297 surface-quality labels</t>
  </si>
  <si>
    <t>DS-181|M5</t>
  </si>
  <si>
    <t>Datasets!I13; Datasets!O13; Datasets!R13</t>
  </si>
  <si>
    <t>Camera / footage details: Four ordered road-driving frame sequences from HP Webcam HD-4110. | Label format: Class-separated frame folders; sequential numbering per collection/surface class | Limits and pairing notes: Companion to the 701-image RTK segmentation subset; overlapping collection, not independent footage. Only 6,297 frames have quality labels; 62,662 is surface-type count. Archive contents not downloaded.</t>
  </si>
  <si>
    <t>DS-182|A1</t>
  </si>
  <si>
    <t>Datasets!B15; Datasets!L15; Datasets!S15; Datasets!T15</t>
  </si>
  <si>
    <t>Dataset / release family: LATAM Urban Driving Dataset — public pothole sample | Release / paper year: Not stated | Dataset / download: Dataset / download | Evidence / paper: Source evidence</t>
  </si>
  <si>
    <t>DS-182|A2</t>
  </si>
  <si>
    <t>Datasets!F15; Datasets!Q15</t>
  </si>
  <si>
    <t>Access status: Public links | Access instructions: Public sample files on Hugging Face; full session requires commercial license.</t>
  </si>
  <si>
    <t>DS-182|A3</t>
  </si>
  <si>
    <t>Datasets!P15</t>
  </si>
  <si>
    <t>License / use terms: CC BY-NC 4.0 for public sample</t>
  </si>
  <si>
    <t>DS-182|L1</t>
  </si>
  <si>
    <t>Datasets!H15; Datasets!O15</t>
  </si>
  <si>
    <t>Pavement labels: 562 pothole bounding boxes plus vehicle and lane-marking classes. | Label format: JSONL boxes; model-assisted annotation with human review; high-confidence unambiguous detections auto-approved.</t>
  </si>
  <si>
    <t>DS-182|L2</t>
  </si>
  <si>
    <t>DS-182|L4</t>
  </si>
  <si>
    <t>Datasets!O15; Datasets!R15</t>
  </si>
  <si>
    <t>Label format: JSONL boxes; model-assisted annotation with human review; high-confidence unambiguous detections auto-approved. | Limits and pairing notes: Small single-scenario sample. No enabled IMU. New provider dataset; label accuracy and train/test independence need inspection.</t>
  </si>
  <si>
    <t>A concrete human review/dual-annotation/engineering-review step is documented; no measured accuracy is inferred.</t>
  </si>
  <si>
    <t>DS-182|D1</t>
  </si>
  <si>
    <t>Datasets!O15; Datasets!I15</t>
  </si>
  <si>
    <t>Label format: JSONL boxes; model-assisted annotation with human review; high-confidence unambiguous detections auto-approved. | Camera / footage details: 641 contiguous RGB, IR and depth frames; annotated MP4 preview of the same sequence.</t>
  </si>
  <si>
    <t>DS-182|D2</t>
  </si>
  <si>
    <t>Datasets!K15; Datasets!E15; Datasets!I15; Datasets!R15</t>
  </si>
  <si>
    <t>Publisher: YSI Labs | Capture context: Driving research | Camera / footage details: 641 contiguous RGB, IR and depth frames; annotated MP4 preview of the same sequence. | Limits and pairing notes: Small single-scenario sample. No enabled IMU. New provider dataset; label accuracy and train/test independence need inspection.</t>
  </si>
  <si>
    <t>DS-182|D4</t>
  </si>
  <si>
    <t>Datasets!R15; Datasets!H15</t>
  </si>
  <si>
    <t>Limits and pairing notes: Small single-scenario sample. No enabled IMU. New provider dataset; label accuracy and train/test independence need inspection. | Pavement labels: 562 pothole bounding boxes plus vehicle and lane-marking classes.</t>
  </si>
  <si>
    <t>DS-182|C1</t>
  </si>
  <si>
    <t>Datasets!M15</t>
  </si>
  <si>
    <t>Reported size: 641 frames, 896×504; 1,557 total boxes; larger 16,012-frame session is commercial.</t>
  </si>
  <si>
    <t>DS-182|C2</t>
  </si>
  <si>
    <t>Datasets!M15; Datasets!H15</t>
  </si>
  <si>
    <t>Reported size: 641 frames, 896×504; 1,557 total boxes; larger 16,012-frame session is commercial. | Pavement labels: 562 pothole bounding boxes plus vehicle and lane-marking classes.</t>
  </si>
  <si>
    <t>DS-182|R1</t>
  </si>
  <si>
    <t>Datasets!N15; Datasets!E15; Datasets!I15</t>
  </si>
  <si>
    <t>Geography: State of Mexico, Mexico; night / low visibility | Capture context: Driving research | Camera / footage details: 641 contiguous RGB, IR and depth frames; annotated MP4 preview of the same sequence.</t>
  </si>
  <si>
    <t>DS-182|R2</t>
  </si>
  <si>
    <t>Datasets!N15; Datasets!E15; Datasets!I15; Datasets!R15</t>
  </si>
  <si>
    <t>Geography: State of Mexico, Mexico; night / low visibility | Capture context: Driving research | Camera / footage details: 641 contiguous RGB, IR and depth frames; annotated MP4 preview of the same sequence. | Limits and pairing notes: Small single-scenario sample. No enabled IMU. New provider dataset; label accuracy and train/test independence need inspection.</t>
  </si>
  <si>
    <t>DS-182|M1</t>
  </si>
  <si>
    <t>Datasets!E15; Datasets!I15; Datasets!K15</t>
  </si>
  <si>
    <t>Capture context: Driving research | Camera / footage details: 641 contiguous RGB, IR and depth frames; annotated MP4 preview of the same sequence. | Publisher: YSI Labs</t>
  </si>
  <si>
    <t>DS-182|M2</t>
  </si>
  <si>
    <t>Datasets!I15; Datasets!M15</t>
  </si>
  <si>
    <t>Camera / footage details: 641 contiguous RGB, IR and depth frames; annotated MP4 preview of the same sequence. | Reported size: 641 frames, 896×504; 1,557 total boxes; larger 16,012-frame session is commercial.</t>
  </si>
  <si>
    <t>DS-182|M5</t>
  </si>
  <si>
    <t>Datasets!I15; Datasets!O15; Datasets!R15</t>
  </si>
  <si>
    <t>Camera / footage details: 641 contiguous RGB, IR and depth frames; annotated MP4 preview of the same sequence. | Label format: JSONL boxes; model-assisted annotation with human review; high-confidence unambiguous detections auto-approved. | Limits and pairing notes: Small single-scenario sample. No enabled IMU. New provider dataset; label accuracy and train/test independence need inspection.</t>
  </si>
  <si>
    <t>DS-183|A1</t>
  </si>
  <si>
    <t>ZOD Frames</t>
  </si>
  <si>
    <t>Official Frames subset identified.</t>
  </si>
  <si>
    <t>DS-183|A2</t>
  </si>
  <si>
    <t>https://zod.zenseact.com/download/</t>
  </si>
  <si>
    <t>Requesting access / torrents</t>
  </si>
  <si>
    <t>Request/CLI and torrent routes documented.</t>
  </si>
  <si>
    <t>DS-183|A3</t>
  </si>
  <si>
    <t>https://zod.zenseact.com/license/</t>
  </si>
  <si>
    <t>Dataset CC BY-SA 4.0 stated.</t>
  </si>
  <si>
    <t>DS-183|L1</t>
  </si>
  <si>
    <t>https://zod.zenseact.com/annotations/</t>
  </si>
  <si>
    <t>Road surface</t>
  </si>
  <si>
    <t>Binary wetness and snow_coverage defined.</t>
  </si>
  <si>
    <t>DS-183|L2</t>
  </si>
  <si>
    <t>Introduction / Road surface</t>
  </si>
  <si>
    <t>Human annotation process and binary encoding described.</t>
  </si>
  <si>
    <t>DS-183|L4</t>
  </si>
  <si>
    <t>https://arxiv.org/html/2305.02008</t>
  </si>
  <si>
    <t>3.5 Annotations</t>
  </si>
  <si>
    <t>Generic quality-check statement lacks a concrete review practice.</t>
  </si>
  <si>
    <t>DS-183|D1</t>
  </si>
  <si>
    <t>SDK route exists; file-to-surface-label mapping unverified.</t>
  </si>
  <si>
    <t>DS-183|D2</t>
  </si>
  <si>
    <t>https://zod.zenseact.com/</t>
  </si>
  <si>
    <t>Introduction / Sensor setup</t>
  </si>
  <si>
    <t>Zenseact fleet and collection method identified.</t>
  </si>
  <si>
    <t>DS-183|D4</t>
  </si>
  <si>
    <t>6 Limitations</t>
  </si>
  <si>
    <t>Keyframe-only labels and missing tasks documented.</t>
  </si>
  <si>
    <t>DS-183|C1</t>
  </si>
  <si>
    <t>100,000 annotated camera-LiDAR pairs distinguished.</t>
  </si>
  <si>
    <t>DS-183|C2</t>
  </si>
  <si>
    <t>All Frames surface-labeled; other task coverage quantified.</t>
  </si>
  <si>
    <t>DS-183|R1</t>
  </si>
  <si>
    <t>Fourteen European countries and road context.</t>
  </si>
  <si>
    <t>DS-183|R2</t>
  </si>
  <si>
    <t>ZOD Frames / Data samples</t>
  </si>
  <si>
    <t>Weather, road type and time variation described.</t>
  </si>
  <si>
    <t>DS-183|M1</t>
  </si>
  <si>
    <t>Sensor setup</t>
  </si>
  <si>
    <t>Fleet camera and sensor configuration identified.</t>
  </si>
  <si>
    <t>DS-183|M2</t>
  </si>
  <si>
    <t>Sensor setup: Camera</t>
  </si>
  <si>
    <t>3,848 by 2,168 RGB camera resolution.</t>
  </si>
  <si>
    <t>DS-183|M5</t>
  </si>
  <si>
    <t>Sensor setup / Anonymization</t>
  </si>
  <si>
    <t>RGB processing and blur/DNAT transformations described.</t>
  </si>
  <si>
    <t>DS-184|A1</t>
  </si>
  <si>
    <t>Datasets!B17; Datasets!L17; Datasets!S17; Datasets!T17</t>
  </si>
  <si>
    <t>Dataset / release family: Seeing Through Fog (DENSE dataset family) | Release / paper year: 2020 | Dataset / download: Dataset / download | Evidence / paper: Source evidence</t>
  </si>
  <si>
    <t>DS-184|A2</t>
  </si>
  <si>
    <t>Datasets!F17; Datasets!Q17</t>
  </si>
  <si>
    <t>Access status: Request access | Access instructions: Registration/download request through DENSE site; download not executed</t>
  </si>
  <si>
    <t>DS-184|A3</t>
  </si>
  <si>
    <t>Datasets!P17</t>
  </si>
  <si>
    <t>License / use terms: Research and teaching only; no commercial use or redistribution</t>
  </si>
  <si>
    <t>DS-184|L1</t>
  </si>
  <si>
    <t>Datasets!H17; Datasets!O17</t>
  </si>
  <si>
    <t>Pavement labels: Drivable-path tags: dry, wet, slushy, full snow coverage; separate weather tags | Label format: Frame/scene tags plus KITTI-style 2D/3D object boxes</t>
  </si>
  <si>
    <t>DS-184|L2</t>
  </si>
  <si>
    <t>DS-184|L4</t>
  </si>
  <si>
    <t>Datasets!O17; Datasets!R17</t>
  </si>
  <si>
    <t>Label format: Frame/scene tags plus KITTI-style 2D/3D object boxes | Limits and pairing notes: Useful direct surface-state labels, not structural pavement distress. DENSE and SeeingThroughFog are not independent footage collections. Terms: https://github.com/princeton-computational-imaging/SeeingThroughFog/blob/master/terms_of_use.txt</t>
  </si>
  <si>
    <t>DS-184|D1</t>
  </si>
  <si>
    <t>Datasets!O17; Datasets!I17</t>
  </si>
  <si>
    <t>Label format: Frame/scene tags plus KITTI-style 2D/3D object boxes | Camera / footage details: RGB stereo and gated/thermal sensor imagery; sampled road scenes; temporal extensions available</t>
  </si>
  <si>
    <t>DS-184|D2</t>
  </si>
  <si>
    <t>Datasets!K17; Datasets!E17; Datasets!I17; Datasets!R17</t>
  </si>
  <si>
    <t>Publisher: Mercedes-Benz / Ulm University / Princeton / DENSE consortium | Capture context: Driving research | Camera / footage details: RGB stereo and gated/thermal sensor imagery; sampled road scenes; temporal extensions available | Limits and pairing notes: Useful direct surface-state labels, not structural pavement distress. DENSE and SeeingThroughFog are not independent footage collections. Terms: https://github.com/princeton-computational-imaging/SeeingThroughFog/blob/master/terms_of_use.txt</t>
  </si>
  <si>
    <t>DS-184|D4</t>
  </si>
  <si>
    <t>Datasets!R17; Datasets!H17</t>
  </si>
  <si>
    <t>Limits and pairing notes: Useful direct surface-state labels, not structural pavement distress. DENSE and SeeingThroughFog are not independent footage collections. Terms: https://github.com/princeton-computational-imaging/SeeingThroughFog/blob/master/terms_of_use.txt | Pavement labels: Drivable-path tags: dry, wet, slushy, full snow coverage; separate weather tags</t>
  </si>
  <si>
    <t>DS-184|C1</t>
  </si>
  <si>
    <t>Datasets!M17</t>
  </si>
  <si>
    <t>Reported size: 12,000 road samples; 1,500 fog-chamber samples</t>
  </si>
  <si>
    <t>DS-184|C2</t>
  </si>
  <si>
    <t>Datasets!M17; Datasets!H17</t>
  </si>
  <si>
    <t>Reported size: 12,000 road samples; 1,500 fog-chamber samples | Pavement labels: Drivable-path tags: dry, wet, slushy, full snow coverage; separate weather tags</t>
  </si>
  <si>
    <t>DS-184|R1</t>
  </si>
  <si>
    <t>Datasets!N17; Datasets!E17; Datasets!I17</t>
  </si>
  <si>
    <t>Geography: Northern Europe | Capture context: Driving research | Camera / footage details: RGB stereo and gated/thermal sensor imagery; sampled road scenes; temporal extensions available</t>
  </si>
  <si>
    <t>DS-184|R2</t>
  </si>
  <si>
    <t>Datasets!N17; Datasets!E17; Datasets!I17; Datasets!R17</t>
  </si>
  <si>
    <t>Geography: Northern Europe | Capture context: Driving research | Camera / footage details: RGB stereo and gated/thermal sensor imagery; sampled road scenes; temporal extensions available | Limits and pairing notes: Useful direct surface-state labels, not structural pavement distress. DENSE and SeeingThroughFog are not independent footage collections. Terms: https://github.com/princeton-computational-imaging/SeeingThroughFog/blob/master/terms_of_use.txt</t>
  </si>
  <si>
    <t>DS-184|M1</t>
  </si>
  <si>
    <t>Datasets!E17; Datasets!I17; Datasets!K17</t>
  </si>
  <si>
    <t>Capture context: Driving research | Camera / footage details: RGB stereo and gated/thermal sensor imagery; sampled road scenes; temporal extensions available | Publisher: Mercedes-Benz / Ulm University / Princeton / DENSE consortium</t>
  </si>
  <si>
    <t>DS-184|M2</t>
  </si>
  <si>
    <t>Datasets!I17; Datasets!M17</t>
  </si>
  <si>
    <t>Camera / footage details: RGB stereo and gated/thermal sensor imagery; sampled road scenes; temporal extensions available | Reported size: 12,000 road samples; 1,500 fog-chamber samples</t>
  </si>
  <si>
    <t>DS-184|M5</t>
  </si>
  <si>
    <t>Datasets!I17; Datasets!O17; Datasets!R17</t>
  </si>
  <si>
    <t>Camera / footage details: RGB stereo and gated/thermal sensor imagery; sampled road scenes; temporal extensions available | Label format: Frame/scene tags plus KITTI-style 2D/3D object boxes | Limits and pairing notes: Useful direct surface-state labels, not structural pavement distress. DENSE and SeeingThroughFog are not independent footage collections. Terms: https://github.com/princeton-computational-imaging/SeeingThroughFog/blob/master/terms_of_use.txt</t>
  </si>
  <si>
    <t>DS-185|A1</t>
  </si>
  <si>
    <t>Datasets!B18; Datasets!L18; Datasets!S18; Datasets!T18</t>
  </si>
  <si>
    <t>Dataset / release family: RoadSaW — Road Surface and Wetness | Release / paper year: 2022 | Dataset / download: Dataset / download | Evidence / paper: Source evidence</t>
  </si>
  <si>
    <t>DS-185|A2</t>
  </si>
  <si>
    <t>Datasets!F18; Datasets!Q18</t>
  </si>
  <si>
    <t>Access status: Public links | Access instructions: Direct subset downloads on provider page.</t>
  </si>
  <si>
    <t>DS-185|A3</t>
  </si>
  <si>
    <t>Datasets!P18</t>
  </si>
  <si>
    <t>License / use terms: CC BY-NC-SA 4.0</t>
  </si>
  <si>
    <t>DS-185|L1</t>
  </si>
  <si>
    <t>Datasets!H18; Datasets!O18</t>
  </si>
  <si>
    <t>Pavement labels: Asphalt, concrete, cobblestone × four wetness levels (dry/damp/wet/very wet), with sensor-measured water film. | Label format: Patch classification; measurement-derived wetness categories</t>
  </si>
  <si>
    <t>DS-185|L2</t>
  </si>
  <si>
    <t>DS-185|L4</t>
  </si>
  <si>
    <t>Datasets!O18; Datasets!R18</t>
  </si>
  <si>
    <t>Label format: Patch classification; measurement-derived wetness categories | Limits and pairing notes: Especially relevant to truck research, but not Aurora data. Surface wetness/material labels, not structural pavement distress.</t>
  </si>
  <si>
    <t>DS-185|D1</t>
  </si>
  <si>
    <t>Datasets!O18; Datasets!I18</t>
  </si>
  <si>
    <t>Label format: Patch classification; measurement-derived wetness categories | Camera / footage details: Calibrated camera-derived bird's-eye road patches at multiple distances; demonstration video.</t>
  </si>
  <si>
    <t>DS-185|D2</t>
  </si>
  <si>
    <t>Datasets!K18; Datasets!E18; Datasets!I18; Datasets!R18</t>
  </si>
  <si>
    <t>Publisher: VISCODA GmbH / Cordes et al. | Capture context: Truck research | Camera / footage details: Calibrated camera-derived bird's-eye road patches at multiple distances; demonstration video. | Limits and pairing notes: Especially relevant to truck research, but not Aurora data. Surface wetness/material labels, not structural pavement distress.</t>
  </si>
  <si>
    <t>DS-185|D4</t>
  </si>
  <si>
    <t>Datasets!R18; Datasets!H18</t>
  </si>
  <si>
    <t>Limits and pairing notes: Especially relevant to truck research, but not Aurora data. Surface wetness/material labels, not structural pavement distress. | Pavement labels: Asphalt, concrete, cobblestone × four wetness levels (dry/damp/wet/very wet), with sensor-measured water film.</t>
  </si>
  <si>
    <t>DS-185|C1</t>
  </si>
  <si>
    <t>Datasets!M18</t>
  </si>
  <si>
    <t>Reported size: 12 balanced classes; 3 patch sizes × 4 distances; download size varies by subset</t>
  </si>
  <si>
    <t>DS-185|C2</t>
  </si>
  <si>
    <t>Datasets!M18; Datasets!H18</t>
  </si>
  <si>
    <t>Reported size: 12 balanced classes; 3 patch sizes × 4 distances; download size varies by subset | Pavement labels: Asphalt, concrete, cobblestone × four wetness levels (dry/damp/wet/very wet), with sensor-measured water film.</t>
  </si>
  <si>
    <t>The 12 material/wetness classes are described as balanced; equal class proportions are documented even though total count is absent.</t>
  </si>
  <si>
    <t>DS-185|R1</t>
  </si>
  <si>
    <t>Datasets!N18; Datasets!E18; Datasets!I18</t>
  </si>
  <si>
    <t>Geography: Test track; exact location not verified in accessed dataset page. | Capture context: Truck research | Camera / footage details: Calibrated camera-derived bird's-eye road patches at multiple distances; demonstration video.</t>
  </si>
  <si>
    <t>DS-185|R2</t>
  </si>
  <si>
    <t>Datasets!N18; Datasets!E18; Datasets!I18; Datasets!R18</t>
  </si>
  <si>
    <t>Geography: Test track; exact location not verified in accessed dataset page. | Capture context: Truck research | Camera / footage details: Calibrated camera-derived bird's-eye road patches at multiple distances; demonstration video. | Limits and pairing notes: Especially relevant to truck research, but not Aurora data. Surface wetness/material labels, not structural pavement distress.</t>
  </si>
  <si>
    <t>DS-185|M1</t>
  </si>
  <si>
    <t>Datasets!E18; Datasets!I18; Datasets!K18</t>
  </si>
  <si>
    <t>Capture context: Truck research | Camera / footage details: Calibrated camera-derived bird's-eye road patches at multiple distances; demonstration video. | Publisher: VISCODA GmbH / Cordes et al.</t>
  </si>
  <si>
    <t>DS-185|M2</t>
  </si>
  <si>
    <t>Datasets!I18; Datasets!M18</t>
  </si>
  <si>
    <t>Camera / footage details: Calibrated camera-derived bird's-eye road patches at multiple distances; demonstration video. | Reported size: 12 balanced classes; 3 patch sizes × 4 distances; download size varies by subset</t>
  </si>
  <si>
    <t>DS-185|M5</t>
  </si>
  <si>
    <t>Datasets!I18; Datasets!O18; Datasets!R18</t>
  </si>
  <si>
    <t>Camera / footage details: Calibrated camera-derived bird's-eye road patches at multiple distances; demonstration video. | Label format: Patch classification; measurement-derived wetness categories | Limits and pairing notes: Especially relevant to truck research, but not Aurora data. Surface wetness/material labels, not structural pavement distress.</t>
  </si>
  <si>
    <t>DS-186|A1</t>
  </si>
  <si>
    <t>Datasets!B19; Datasets!L19; Datasets!S19; Datasets!T19</t>
  </si>
  <si>
    <t>Dataset / release family: RoadSC — Road Snow Coverage | Release / paper year: 2023 | Dataset / download: Dataset / download | Evidence / paper: Source evidence</t>
  </si>
  <si>
    <t>DS-186|A2</t>
  </si>
  <si>
    <t>Datasets!F19; Datasets!Q19</t>
  </si>
  <si>
    <t>Access status: Public links | Access instructions: Direct road-patch download links.</t>
  </si>
  <si>
    <t>DS-186|A3</t>
  </si>
  <si>
    <t>Datasets!P19</t>
  </si>
  <si>
    <t>DS-186|L1</t>
  </si>
  <si>
    <t>Datasets!H19; Datasets!O19</t>
  </si>
  <si>
    <t>Pavement labels: Fresh fallen, fully packed, and partially covering snow. | Label format: Three-class image classification</t>
  </si>
  <si>
    <t>DS-186|L2</t>
  </si>
  <si>
    <t>DS-186|L4</t>
  </si>
  <si>
    <t>Datasets!O19; Datasets!R19</t>
  </si>
  <si>
    <t>Label format: Three-class image classification | Limits and pairing notes: Compatible with RoadSaW for 15 combined categories. Snow-state labels do not establish damage underneath snow.</t>
  </si>
  <si>
    <t>DS-186|D1</t>
  </si>
  <si>
    <t>Datasets!O19; Datasets!I19</t>
  </si>
  <si>
    <t>Label format: Three-class image classification | Camera / footage details: Bird's-eye road patches from calibrated cameras; demo video.</t>
  </si>
  <si>
    <t>DS-186|D2</t>
  </si>
  <si>
    <t>Datasets!K19; Datasets!E19; Datasets!I19; Datasets!R19</t>
  </si>
  <si>
    <t>Publisher: VISCODA GmbH / Cordes and Broszio | Capture context: Driving research | Camera / footage details: Bird's-eye road patches from calibrated cameras; demo video. | Limits and pairing notes: Compatible with RoadSaW for 15 combined categories. Snow-state labels do not establish damage underneath snow.</t>
  </si>
  <si>
    <t>DS-186|D4</t>
  </si>
  <si>
    <t>Datasets!R19; Datasets!H19</t>
  </si>
  <si>
    <t>Limits and pairing notes: Compatible with RoadSaW for 15 combined categories. Snow-state labels do not establish damage underneath snow. | Pavement labels: Fresh fallen, fully packed, and partially covering snow.</t>
  </si>
  <si>
    <t>DS-186|C1</t>
  </si>
  <si>
    <t>Datasets!M19</t>
  </si>
  <si>
    <t>Reported size: 30,253 images per snow class (90,759 total); smaller balanced 2,138-per-class variant</t>
  </si>
  <si>
    <t>DS-186|C2</t>
  </si>
  <si>
    <t>Datasets!M19; Datasets!H19</t>
  </si>
  <si>
    <t>Reported size: 30,253 images per snow class (90,759 total); smaller balanced 2,138-per-class variant | Pavement labels: Fresh fallen, fully packed, and partially covering snow.</t>
  </si>
  <si>
    <t>DS-186|R1</t>
  </si>
  <si>
    <t>Datasets!N19; Datasets!E19; Datasets!I19</t>
  </si>
  <si>
    <t>Geography: Not verified in provider page. | Capture context: Driving research | Camera / footage details: Bird's-eye road patches from calibrated cameras; demo video.</t>
  </si>
  <si>
    <t>DS-186|R2</t>
  </si>
  <si>
    <t>Datasets!N19; Datasets!E19; Datasets!I19; Datasets!R19</t>
  </si>
  <si>
    <t>Geography: Not verified in provider page. | Capture context: Driving research | Camera / footage details: Bird's-eye road patches from calibrated cameras; demo video. | Limits and pairing notes: Compatible with RoadSaW for 15 combined categories. Snow-state labels do not establish damage underneath snow.</t>
  </si>
  <si>
    <t>DS-186|M1</t>
  </si>
  <si>
    <t>Datasets!E19; Datasets!I19; Datasets!K19</t>
  </si>
  <si>
    <t>Capture context: Driving research | Camera / footage details: Bird's-eye road patches from calibrated cameras; demo video. | Publisher: VISCODA GmbH / Cordes and Broszio</t>
  </si>
  <si>
    <t>DS-186|M2</t>
  </si>
  <si>
    <t>Datasets!I19; Datasets!M19</t>
  </si>
  <si>
    <t>Camera / footage details: Bird's-eye road patches from calibrated cameras; demo video. | Reported size: 30,253 images per snow class (90,759 total); smaller balanced 2,138-per-class variant</t>
  </si>
  <si>
    <t>DS-186|M5</t>
  </si>
  <si>
    <t>Datasets!I19; Datasets!O19; Datasets!R19</t>
  </si>
  <si>
    <t>Camera / footage details: Bird's-eye road patches from calibrated cameras; demo video. | Label format: Three-class image classification | Limits and pairing notes: Compatible with RoadSaW for 15 combined categories. Snow-state labels do not establish damage underneath snow.</t>
  </si>
  <si>
    <t>DS-187|A1</t>
  </si>
  <si>
    <t>Datasets!B20; Datasets!L20; Datasets!S20; Datasets!T20</t>
  </si>
  <si>
    <t>Dataset / release family: SAVeD — Social media-based ADAS-equipped Vehicle event Dataset | Release / paper year: 2025 preprint / 2026 TRB | Dataset / download: Dataset / download | Evidence / paper: Source evidence</t>
  </si>
  <si>
    <t>DS-187|A2</t>
  </si>
  <si>
    <t>Datasets!F20; Datasets!Q20</t>
  </si>
  <si>
    <t>Access status: Request access | Access instructions: Request full data from shaoyan.zhai@ucf.edu; public schema only.</t>
  </si>
  <si>
    <t>DS-187|A3</t>
  </si>
  <si>
    <t>Datasets!P20</t>
  </si>
  <si>
    <t>License / use terms: Educational/research use only; commercial use prohibited; respect source-video rights.</t>
  </si>
  <si>
    <t>DS-187|L1</t>
  </si>
  <si>
    <t>Datasets!H20; Datasets!O20</t>
  </si>
  <si>
    <t>Pavement labels: Dry, wet, snow/ice road surface at the event; separate weather and road-grade labels. | Label format: Event-level categorical variables; schema public, full annotation files by request.</t>
  </si>
  <si>
    <t>DS-187|L2</t>
  </si>
  <si>
    <t>DS-187|L4</t>
  </si>
  <si>
    <t>Datasets!O20; Datasets!R20</t>
  </si>
  <si>
    <t>Label format: Event-level categorical variables; schema public, full annotation files by request. | Limits and pairing notes: Close ADAS + surface-state match, but request-only. Event-selected footage is unsuitable for estimating routine-road prevalence. No crack or pothole segmentation claimed.</t>
  </si>
  <si>
    <t>DS-187|D1</t>
  </si>
  <si>
    <t>Datasets!O20; Datasets!I20</t>
  </si>
  <si>
    <t>Label format: Event-level categorical variables; schema public, full annotation files by request. | Camera / footage details: Social-media near-miss and crash videos; full data by email request.</t>
  </si>
  <si>
    <t>DS-187|D2</t>
  </si>
  <si>
    <t>Datasets!K20; Datasets!E20; Datasets!I20; Datasets!R20</t>
  </si>
  <si>
    <t>Publisher: Shaoyan Zhai / University of Central Florida | Capture context: ADAS event footage | Camera / footage details: Social-media near-miss and crash videos; full data by email request. | Limits and pairing notes: Close ADAS + surface-state match, but request-only. Event-selected footage is unsuitable for estimating routine-road prevalence. No crack or pothole segmentation claimed.</t>
  </si>
  <si>
    <t>DS-187|D4</t>
  </si>
  <si>
    <t>Datasets!R20; Datasets!H20</t>
  </si>
  <si>
    <t>Limits and pairing notes: Close ADAS + surface-state match, but request-only. Event-selected footage is unsuitable for estimating routine-road prevalence. No crack or pothole segmentation claimed. | Pavement labels: Dry, wet, snow/ice road surface at the event; separate weather and road-grade labels.</t>
  </si>
  <si>
    <t>DS-187|C1</t>
  </si>
  <si>
    <t>Datasets!M20</t>
  </si>
  <si>
    <t>Reported size: 2,119 first-person videos per paper; full data by request.</t>
  </si>
  <si>
    <t>DS-187|C2</t>
  </si>
  <si>
    <t>Datasets!M20; Datasets!H20</t>
  </si>
  <si>
    <t>Reported size: 2,119 first-person videos per paper; full data by request. | Pavement labels: Dry, wet, snow/ice road surface at the event; separate weather and road-grade labels.</t>
  </si>
  <si>
    <t>DS-187|R1</t>
  </si>
  <si>
    <t>Datasets!N20; Datasets!E20; Datasets!I20</t>
  </si>
  <si>
    <t>Geography: Multiple locations; location field in event data | Capture context: ADAS event footage | Camera / footage details: Social-media near-miss and crash videos; full data by email request.</t>
  </si>
  <si>
    <t>DS-187|R2</t>
  </si>
  <si>
    <t>Datasets!N20; Datasets!E20; Datasets!I20; Datasets!R20</t>
  </si>
  <si>
    <t>Geography: Multiple locations; location field in event data | Capture context: ADAS event footage | Camera / footage details: Social-media near-miss and crash videos; full data by email request. | Limits and pairing notes: Close ADAS + surface-state match, but request-only. Event-selected footage is unsuitable for estimating routine-road prevalence. No crack or pothole segmentation claimed.</t>
  </si>
  <si>
    <t>DS-187|M1</t>
  </si>
  <si>
    <t>Datasets!E20; Datasets!I20; Datasets!K20</t>
  </si>
  <si>
    <t>Capture context: ADAS event footage | Camera / footage details: Social-media near-miss and crash videos; full data by email request. | Publisher: Shaoyan Zhai / University of Central Florida</t>
  </si>
  <si>
    <t>DS-187|M2</t>
  </si>
  <si>
    <t>Datasets!I20; Datasets!M20</t>
  </si>
  <si>
    <t>Camera / footage details: Social-media near-miss and crash videos; full data by email request. | Reported size: 2,119 first-person videos per paper; full data by request.</t>
  </si>
  <si>
    <t>DS-187|M5</t>
  </si>
  <si>
    <t>Datasets!I20; Datasets!O20; Datasets!R20</t>
  </si>
  <si>
    <t>Camera / footage details: Social-media near-miss and crash videos; full data by email request. | Label format: Event-level categorical variables; schema public, full annotation files by request. | Limits and pairing notes: Close ADAS + surface-state match, but request-only. Event-selected footage is unsuitable for estimating routine-road prevalence. No crack or pothole segmentation claimed.</t>
  </si>
  <si>
    <t>DS-188|A1</t>
  </si>
  <si>
    <t>Datasets!B21; Datasets!L21; Datasets!S21; Datasets!T21</t>
  </si>
  <si>
    <t>Dataset / release family: RoadSens-4M | Release / paper year: 2026 | Dataset / download: Dataset / download | Evidence / paper: Source evidence</t>
  </si>
  <si>
    <t>DS-188|A2</t>
  </si>
  <si>
    <t>Datasets!F21; Datasets!Q21</t>
  </si>
  <si>
    <t>Access status: Availability uncertain | Access instructions: Paper links Figshare v3 and external Google Drive videos. Landing-page access unresolved during review; video links not individually tested.</t>
  </si>
  <si>
    <t>DS-188|A3</t>
  </si>
  <si>
    <t>Datasets!P21</t>
  </si>
  <si>
    <t>License / use terms: Dataset license not independently confirmed; check Figshare and video terms.</t>
  </si>
  <si>
    <t>DS-188|L1</t>
  </si>
  <si>
    <t>Datasets!H21; Datasets!O21</t>
  </si>
  <si>
    <t>Pavement labels: Bump, pothole and normal road events with start/end timestamps. | Label format: Temporal event CSV, synchronized sensor CSV and video references; not pixel masks.</t>
  </si>
  <si>
    <t>DS-188|L2</t>
  </si>
  <si>
    <t>DS-188|L4</t>
  </si>
  <si>
    <t>Datasets!O21; Datasets!R21</t>
  </si>
  <si>
    <t>Label format: Temporal event CSV, synchronized sensor CSV and video references; not pixel masks. | Limits and pairing notes: Useful for temporal pavement-event / vehicle-response research. Paper metadata verified online; underlying archives and all video permissions were not tested.</t>
  </si>
  <si>
    <t>DS-188|D1</t>
  </si>
  <si>
    <t>Datasets!O21; Datasets!I21</t>
  </si>
  <si>
    <t>Label format: Temporal event CSV, synchronized sensor CSV and video references; not pixel masks. | Camera / footage details: 4K 30 fps driving video with timestamped anomaly annotations; video links stored separately from sensor archives.</t>
  </si>
  <si>
    <t>DS-188|D2</t>
  </si>
  <si>
    <t>Datasets!K21; Datasets!E21; Datasets!I21; Datasets!R21</t>
  </si>
  <si>
    <t>Publisher: Khandakar, Michelson, Rabbani et al. | Capture context: Human-driven survey | Camera / footage details: 4K 30 fps driving video with timestamped anomaly annotations; video links stored separately from sensor archives. | Limits and pairing notes: Useful for temporal pavement-event / vehicle-response research. Paper metadata verified online; underlying archives and all video permissions were not tested.</t>
  </si>
  <si>
    <t>DS-188|D4</t>
  </si>
  <si>
    <t>Datasets!R21; Datasets!H21</t>
  </si>
  <si>
    <t>Limits and pairing notes: Useful for temporal pavement-event / vehicle-response research. Paper metadata verified online; underlying archives and all video permissions were not tested. | Pavement labels: Bump, pothole and normal road events with start/end timestamps.</t>
  </si>
  <si>
    <t>DS-188|C1</t>
  </si>
  <si>
    <t>Datasets!M21</t>
  </si>
  <si>
    <t>Reported size: 103 sessions; about 2.86 h video; 1,034,526 sensor rows. Dataset name is not a frame count.</t>
  </si>
  <si>
    <t>DS-188|C2</t>
  </si>
  <si>
    <t>Datasets!M21; Datasets!H21</t>
  </si>
  <si>
    <t>Reported size: 103 sessions; about 2.86 h video; 1,034,526 sensor rows. Dataset name is not a frame count. | Pavement labels: Bump, pothole and normal road events with start/end timestamps.</t>
  </si>
  <si>
    <t>DS-188|R1</t>
  </si>
  <si>
    <t>Datasets!N21; Datasets!E21; Datasets!I21</t>
  </si>
  <si>
    <t>Geography: Rajshahi, Bangladesh | Capture context: Human-driven survey | Camera / footage details: 4K 30 fps driving video with timestamped anomaly annotations; video links stored separately from sensor archives.</t>
  </si>
  <si>
    <t>DS-188|R2</t>
  </si>
  <si>
    <t>Datasets!N21; Datasets!E21; Datasets!I21; Datasets!R21</t>
  </si>
  <si>
    <t>Geography: Rajshahi, Bangladesh | Capture context: Human-driven survey | Camera / footage details: 4K 30 fps driving video with timestamped anomaly annotations; video links stored separately from sensor archives. | Limits and pairing notes: Useful for temporal pavement-event / vehicle-response research. Paper metadata verified online; underlying archives and all video permissions were not tested.</t>
  </si>
  <si>
    <t>DS-188|M1</t>
  </si>
  <si>
    <t>Datasets!E21; Datasets!I21; Datasets!K21</t>
  </si>
  <si>
    <t>Capture context: Human-driven survey | Camera / footage details: 4K 30 fps driving video with timestamped anomaly annotations; video links stored separately from sensor archives. | Publisher: Khandakar, Michelson, Rabbani et al.</t>
  </si>
  <si>
    <t>DS-188|M2</t>
  </si>
  <si>
    <t>Datasets!I21; Datasets!M21</t>
  </si>
  <si>
    <t>Camera / footage details: 4K 30 fps driving video with timestamped anomaly annotations; video links stored separately from sensor archives. | Reported size: 103 sessions; about 2.86 h video; 1,034,526 sensor rows. Dataset name is not a frame count.</t>
  </si>
  <si>
    <t>4K/30 fps is reported for the temporal RGB event-detection source; numerical sensor outcome units would require a separate physical-measurement task.</t>
  </si>
  <si>
    <t>DS-188|M5</t>
  </si>
  <si>
    <t>Datasets!I21; Datasets!O21; Datasets!R21</t>
  </si>
  <si>
    <t>Camera / footage details: 4K 30 fps driving video with timestamped anomaly annotations; video links stored separately from sensor archives. | Label format: Temporal event CSV, synchronized sensor CSV and video references; not pixel masks. | Limits and pairing notes: Useful for temporal pavement-event / vehicle-response research. Paper metadata verified online; underlying archives and all video permissions were not tested.</t>
  </si>
  <si>
    <t>DS-189|A1</t>
  </si>
  <si>
    <t>Datasets!B22; Datasets!L22; Datasets!S22; Datasets!T22</t>
  </si>
  <si>
    <t>Dataset / release family: RSRD — Road Surface Reconstruction Dataset | Release / paper year: 2023–2024 | Dataset / download: Dataset / download | Evidence / paper: Source evidence</t>
  </si>
  <si>
    <t>DS-189|A2</t>
  </si>
  <si>
    <t>Datasets!F22; Datasets!Q22</t>
  </si>
  <si>
    <t>Access status: Public links | Access instructions: Public archive links on official download page.</t>
  </si>
  <si>
    <t>DS-189|A3</t>
  </si>
  <si>
    <t>Datasets!P22</t>
  </si>
  <si>
    <t>License / use terms: CC BY-NC per official download page; code separately MIT.</t>
  </si>
  <si>
    <t>DS-189|L1</t>
  </si>
  <si>
    <t>Datasets!H22; Datasets!O22</t>
  </si>
  <si>
    <t>Pavement labels: Ground-truth road depth/disparity and 3D geometry on even/uneven asphalt and concrete; no general crack/pothole class labels in main release. | Label format: JPG stereo images, PNG depth/disparity, PCD point clouds</t>
  </si>
  <si>
    <t>DS-189|L2</t>
  </si>
  <si>
    <t>DS-189|L4</t>
  </si>
  <si>
    <t>Datasets!O22; Datasets!R22</t>
  </si>
  <si>
    <t>Label format: JPG stereo images, PNG depth/disparity, PCD point clouds | Limits and pairing notes: Useful for roughness/reconstruction research; geometric supervision must not be mistaken for distress or standardized IRI/PCI labels.</t>
  </si>
  <si>
    <t>DS-189|D1</t>
  </si>
  <si>
    <t>Datasets!O22; Datasets!I22</t>
  </si>
  <si>
    <t>Label format: JPG stereo images, PNG depth/disparity, PCD point clouds | Camera / footage details: 1920×1080 stereo images; 15 dense sequences of 8 s and 176 sparse sequences; LiDAR, IMU and RTK.</t>
  </si>
  <si>
    <t>DS-189|D2</t>
  </si>
  <si>
    <t>Datasets!K22; Datasets!E22; Datasets!I22; Datasets!R22</t>
  </si>
  <si>
    <t>Publisher: Tsinghua University / Tong Zhao and colleagues | Capture context: Driving research | Camera / footage details: 1920×1080 stereo images; 15 dense sequences of 8 s and 176 sparse sequences; LiDAR, IMU and RTK. | Limits and pairing notes: Useful for roughness/reconstruction research; geometric supervision must not be mistaken for distress or standardized IRI/PCI labels.</t>
  </si>
  <si>
    <t>DS-189|D4</t>
  </si>
  <si>
    <t>Datasets!R22; Datasets!H22</t>
  </si>
  <si>
    <t>Limits and pairing notes: Useful for roughness/reconstruction research; geometric supervision must not be mistaken for distress or standardized IRI/PCI labels. | Pavement labels: Ground-truth road depth/disparity and 3D geometry on even/uneven asphalt and concrete; no general crack/pothole class labels in main release.</t>
  </si>
  <si>
    <t>DS-189|C1</t>
  </si>
  <si>
    <t>Datasets!M22</t>
  </si>
  <si>
    <t>Reported size: 2,793 dense pairs (about 2,800 on website) plus about 13,000 sparse pairs</t>
  </si>
  <si>
    <t>DS-189|C2</t>
  </si>
  <si>
    <t>Datasets!M22; Datasets!H22</t>
  </si>
  <si>
    <t>Reported size: 2,793 dense pairs (about 2,800 on website) plus about 13,000 sparse pairs | Pavement labels: Ground-truth road depth/disparity and 3D geometry on even/uneven asphalt and concrete; no general crack/pothole class labels in main release.</t>
  </si>
  <si>
    <t>DS-189|R1</t>
  </si>
  <si>
    <t>Datasets!N22; Datasets!E22; Datasets!I22</t>
  </si>
  <si>
    <t>Geography: Qingdao, China | Capture context: Driving research | Camera / footage details: 1920×1080 stereo images; 15 dense sequences of 8 s and 176 sparse sequences; LiDAR, IMU and RTK.</t>
  </si>
  <si>
    <t>DS-189|R2</t>
  </si>
  <si>
    <t>Datasets!N22; Datasets!E22; Datasets!I22; Datasets!R22</t>
  </si>
  <si>
    <t>Geography: Qingdao, China | Capture context: Driving research | Camera / footage details: 1920×1080 stereo images; 15 dense sequences of 8 s and 176 sparse sequences; LiDAR, IMU and RTK. | Limits and pairing notes: Useful for roughness/reconstruction research; geometric supervision must not be mistaken for distress or standardized IRI/PCI labels.</t>
  </si>
  <si>
    <t>DS-189|M1</t>
  </si>
  <si>
    <t>Datasets!E22; Datasets!I22; Datasets!K22</t>
  </si>
  <si>
    <t>Capture context: Driving research | Camera / footage details: 1920×1080 stereo images; 15 dense sequences of 8 s and 176 sparse sequences; LiDAR, IMU and RTK. | Publisher: Tsinghua University / Tong Zhao and colleagues</t>
  </si>
  <si>
    <t>DS-189|M2</t>
  </si>
  <si>
    <t>Datasets!I22; Datasets!M22</t>
  </si>
  <si>
    <t>Camera / footage details: 1920×1080 stereo images; 15 dense sequences of 8 s and 176 sparse sequences; LiDAR, IMU and RTK. | Reported size: 2,793 dense pairs (about 2,800 on website) plus about 13,000 sparse pairs</t>
  </si>
  <si>
    <t>DS-189|M5</t>
  </si>
  <si>
    <t>Datasets!I22; Datasets!O22; Datasets!R22</t>
  </si>
  <si>
    <t>Camera / footage details: 1920×1080 stereo images; 15 dense sequences of 8 s and 176 sparse sequences; LiDAR, IMU and RTK. | Label format: JPG stereo images, PNG depth/disparity, PCD point clouds | Limits and pairing notes: Useful for roughness/reconstruction research; geometric supervision must not be mistaken for distress or standardized IRI/PCI labels.</t>
  </si>
  <si>
    <t>DS-190|A1</t>
  </si>
  <si>
    <t>Datasets!B23; Datasets!L23; Datasets!S23; Datasets!T23</t>
  </si>
  <si>
    <t>Dataset / release family: HRP4K — High-Resolution Perspective-View Pothole | Release / paper year: 2026 | Dataset / download: Dataset / download | Evidence / paper: Source evidence</t>
  </si>
  <si>
    <t>The proposed corrected Zenodo release was reported through NLM while the primary record could not be inspected; exact released scope remains pending.</t>
  </si>
  <si>
    <t>DS-190|A2</t>
  </si>
  <si>
    <t>Datasets!F23; Datasets!Q23</t>
  </si>
  <si>
    <t>Access status: Availability uncertain | Access instructions: Official GitHub links Zenodo; release note on GitHub is inconsistent ('available' and 'released soon'). Check latest archive.</t>
  </si>
  <si>
    <t>Official GitHub contains both available and released-soon statements; the primary Zenodo page could not be verified.</t>
  </si>
  <si>
    <t>DS-190|A3</t>
  </si>
  <si>
    <t>Datasets!P23</t>
  </si>
  <si>
    <t>License / use terms: CC BY 4.0 reported for Zenodo; verify record before reuse.</t>
  </si>
  <si>
    <t>DS-190|L1</t>
  </si>
  <si>
    <t>Datasets!H23; Datasets!O23</t>
  </si>
  <si>
    <t>Pavement labels: Pothole boxes, plus pothole-absent negatives. | Label format: YOLO TXT and COCO JSON bounding boxes</t>
  </si>
  <si>
    <t>Complete target semantics for the assessed task are insufficiently documented in the saved summary; absence of pavement labels does not imply no other task targets.</t>
  </si>
  <si>
    <t>DS-190|L2</t>
  </si>
  <si>
    <t>DS-190|L4</t>
  </si>
  <si>
    <t>Datasets!O23; Datasets!R23</t>
  </si>
  <si>
    <t>Label format: YOLO TXT and COCO JSON bounding boxes | Limits and pairing notes: NLM dataset catalog dates corrected Zenodo v1.01 to Aug 2026 (DOI 10.5281/zenodo.21941931), before cutoff; exact day and archive contents not independently verified because primary record fetch failed. Strong forward-view candidate.</t>
  </si>
  <si>
    <t>DS-190|D1</t>
  </si>
  <si>
    <t>Datasets!O23; Datasets!I23</t>
  </si>
  <si>
    <t>Label format: YOLO TXT and COCO JSON bounding boxes | Camera / footage details: 4K forward/perspective road images extracted from videos; no complete video release verified.</t>
  </si>
  <si>
    <t>DS-190|D2</t>
  </si>
  <si>
    <t>Datasets!K23; Datasets!E23; Datasets!I23; Datasets!R23</t>
  </si>
  <si>
    <t>Publisher: Hanshen Chen, Zhoulin Tu, Yu Zhao, Jianfeng Ye | Capture context: Human-driven survey | Camera / footage details: 4K forward/perspective road images extracted from videos; no complete video release verified. | Limits and pairing notes: NLM dataset catalog dates corrected Zenodo v1.01 to Aug 2026 (DOI 10.5281/zenodo.21941931), before cutoff; exact day and archive contents not independently verified because primary record fetch failed. Strong forward-view candidate.</t>
  </si>
  <si>
    <t>Collector/compiler and source-method chain remain insufficiently specified.</t>
  </si>
  <si>
    <t>DS-190|D4</t>
  </si>
  <si>
    <t>Datasets!R23; Datasets!H23</t>
  </si>
  <si>
    <t>Limits and pairing notes: NLM dataset catalog dates corrected Zenodo v1.01 to Aug 2026 (DOI 10.5281/zenodo.21941931), before cutoff; exact day and archive contents not independently verified because primary record fetch failed. Strong forward-view candidate. | Pavement labels: Pothole boxes, plus pothole-absent negatives.</t>
  </si>
  <si>
    <t>DS-190|C1</t>
  </si>
  <si>
    <t>Datasets!M23</t>
  </si>
  <si>
    <t>Reported size: 6,003 images; 7,217 potholes; 4,003 positive and 2,000 negative images</t>
  </si>
  <si>
    <t>DS-190|C2</t>
  </si>
  <si>
    <t>Datasets!M23; Datasets!H23</t>
  </si>
  <si>
    <t>Reported size: 6,003 images; 7,217 potholes; 4,003 positive and 2,000 negative images | Pavement labels: Pothole boxes, plus pothole-absent negatives.</t>
  </si>
  <si>
    <t>Counts are quoted in a prior summary but the selected primary release was inaccessible; do not promote these to verified distribution evidence.</t>
  </si>
  <si>
    <t>DS-190|R1</t>
  </si>
  <si>
    <t>Datasets!N23; Datasets!E23; Datasets!I23</t>
  </si>
  <si>
    <t>Geography: Hangzhou, Huzhou, Jiaxing, China; about 1,100 km | Capture context: Human-driven survey | Camera / footage details: 4K forward/perspective road images extracted from videos; no complete video release verified.</t>
  </si>
  <si>
    <t>DS-190|R2</t>
  </si>
  <si>
    <t>Datasets!N23; Datasets!E23; Datasets!I23; Datasets!R23</t>
  </si>
  <si>
    <t>Geography: Hangzhou, Huzhou, Jiaxing, China; about 1,100 km | Capture context: Human-driven survey | Camera / footage details: 4K forward/perspective road images extracted from videos; no complete video release verified. | Limits and pairing notes: NLM dataset catalog dates corrected Zenodo v1.01 to Aug 2026 (DOI 10.5281/zenodo.21941931), before cutoff; exact day and archive contents not independently verified because primary record fetch failed. Strong forward-view candidate.</t>
  </si>
  <si>
    <t>DS-190|M1</t>
  </si>
  <si>
    <t>Datasets!E23; Datasets!I23; Datasets!K23</t>
  </si>
  <si>
    <t>Capture context: Human-driven survey | Camera / footage details: 4K forward/perspective road images extracted from videos; no complete video release verified. | Publisher: Hanshen Chen, Zhoulin Tu, Yu Zhao, Jianfeng Ye</t>
  </si>
  <si>
    <t>DS-190|M2</t>
  </si>
  <si>
    <t>Datasets!I23; Datasets!M23</t>
  </si>
  <si>
    <t>Camera / footage details: 4K forward/perspective road images extracted from videos; no complete video release verified. | Reported size: 6,003 images; 7,217 potholes; 4,003 positive and 2,000 negative images</t>
  </si>
  <si>
    <t>DS-190|M5</t>
  </si>
  <si>
    <t>Datasets!I23; Datasets!O23; Datasets!R23</t>
  </si>
  <si>
    <t>Camera / footage details: 4K forward/perspective road images extracted from videos; no complete video release verified. | Label format: YOLO TXT and COCO JSON bounding boxes | Limits and pairing notes: NLM dataset catalog dates corrected Zenodo v1.01 to Aug 2026 (DOI 10.5281/zenodo.21941931), before cutoff; exact day and archive contents not independently verified because primary record fetch failed. Strong forward-view candidate.</t>
  </si>
  <si>
    <t>DS-191|A1</t>
  </si>
  <si>
    <t>Datasets!B26; Datasets!L26; Datasets!S26; Datasets!T26</t>
  </si>
  <si>
    <t>Dataset / release family: RELLIS-3D | Release / paper year: 2020 | Dataset / download: Dataset / download | Evidence / paper: Source evidence</t>
  </si>
  <si>
    <t>DS-191|A2</t>
  </si>
  <si>
    <t>Datasets!F26; Datasets!Q26</t>
  </si>
  <si>
    <t>Access status: Public links | Access instructions: Public downloads linked from author GitHub/project site.</t>
  </si>
  <si>
    <t>DS-191|A3</t>
  </si>
  <si>
    <t>Datasets!P26</t>
  </si>
  <si>
    <t>License / use terms: CC BY-NC-SA 3.0</t>
  </si>
  <si>
    <t>DS-191|L1</t>
  </si>
  <si>
    <t>Datasets!H26; Datasets!O26</t>
  </si>
  <si>
    <t>Pavement labels: Terrain classes including mud, puddle, deep water and rubble; 20 classes including void. | Label format: Semantic image and LiDAR labels; sparse annotated frames within full streams.</t>
  </si>
  <si>
    <t>DS-191|L2</t>
  </si>
  <si>
    <t>DS-191|L4</t>
  </si>
  <si>
    <t>Datasets!O26; Datasets!R26</t>
  </si>
  <si>
    <t>Label format: Semantic image and LiDAR labels; sparse annotated frames within full streams. | Limits and pairing notes: Supplemental terrain-condition resource. Labels describe traversability-relevant surfaces, not engineered pavement distress severity.</t>
  </si>
  <si>
    <t>DS-191|D1</t>
  </si>
  <si>
    <t>Datasets!O26; Datasets!I26</t>
  </si>
  <si>
    <t>Label format: Semantic image and LiDAR labels; sparse annotated frames within full streams. | Camera / footage details: RGB/stereo camera sequences in full sensor ROS bags with LiDAR, IMU and GPS.</t>
  </si>
  <si>
    <t>DS-191|D2</t>
  </si>
  <si>
    <t>Datasets!K26; Datasets!E26; Datasets!I26; Datasets!R26</t>
  </si>
  <si>
    <t>Publisher: Texas A&amp;M Unmanned Systems Lab / US Army Research Laboratory | Capture context: Off-road robot | Camera / footage details: RGB/stereo camera sequences in full sensor ROS bags with LiDAR, IMU and GPS. | Limits and pairing notes: Supplemental terrain-condition resource. Labels describe traversability-relevant surfaces, not engineered pavement distress severity.</t>
  </si>
  <si>
    <t>DS-191|D4</t>
  </si>
  <si>
    <t>Datasets!R26; Datasets!H26</t>
  </si>
  <si>
    <t>Limits and pairing notes: Supplemental terrain-condition resource. Labels describe traversability-relevant surfaces, not engineered pavement distress severity. | Pavement labels: Terrain classes including mud, puddle, deep water and rubble; 20 classes including void.</t>
  </si>
  <si>
    <t>DS-191|C1</t>
  </si>
  <si>
    <t>Datasets!M26</t>
  </si>
  <si>
    <t>Reported size: 6,235 annotated images and 13,556 annotated LiDAR scans.</t>
  </si>
  <si>
    <t>DS-191|C2</t>
  </si>
  <si>
    <t>Datasets!M26; Datasets!H26</t>
  </si>
  <si>
    <t>Reported size: 6,235 annotated images and 13,556 annotated LiDAR scans. | Pavement labels: Terrain classes including mud, puddle, deep water and rubble; 20 classes including void.</t>
  </si>
  <si>
    <t>DS-191|R1</t>
  </si>
  <si>
    <t>Datasets!N26; Datasets!E26; Datasets!I26</t>
  </si>
  <si>
    <t>Geography: Texas A&amp;M RELLIS Campus, Texas, USA | Capture context: Off-road robot | Camera / footage details: RGB/stereo camera sequences in full sensor ROS bags with LiDAR, IMU and GPS.</t>
  </si>
  <si>
    <t>DS-191|R2</t>
  </si>
  <si>
    <t>Datasets!N26; Datasets!E26; Datasets!I26; Datasets!R26</t>
  </si>
  <si>
    <t>Geography: Texas A&amp;M RELLIS Campus, Texas, USA | Capture context: Off-road robot | Camera / footage details: RGB/stereo camera sequences in full sensor ROS bags with LiDAR, IMU and GPS. | Limits and pairing notes: Supplemental terrain-condition resource. Labels describe traversability-relevant surfaces, not engineered pavement distress severity.</t>
  </si>
  <si>
    <t>DS-191|M1</t>
  </si>
  <si>
    <t>Datasets!E26; Datasets!I26; Datasets!K26</t>
  </si>
  <si>
    <t>Capture context: Off-road robot | Camera / footage details: RGB/stereo camera sequences in full sensor ROS bags with LiDAR, IMU and GPS. | Publisher: Texas A&amp;M Unmanned Systems Lab / US Army Research Laboratory</t>
  </si>
  <si>
    <t>DS-191|M2</t>
  </si>
  <si>
    <t>Datasets!I26; Datasets!M26</t>
  </si>
  <si>
    <t>Camera / footage details: RGB/stereo camera sequences in full sensor ROS bags with LiDAR, IMU and GPS. | Reported size: 6,235 annotated images and 13,556 annotated LiDAR scans.</t>
  </si>
  <si>
    <t>DS-191|M5</t>
  </si>
  <si>
    <t>Datasets!I26; Datasets!O26; Datasets!R26</t>
  </si>
  <si>
    <t>Camera / footage details: RGB/stereo camera sequences in full sensor ROS bags with LiDAR, IMU and GPS. | Label format: Semantic image and LiDAR labels; sparse annotated frames within full streams. | Limits and pairing notes: Supplemental terrain-condition resource. Labels describe traversability-relevant surfaces, not engineered pavement distress severity.</t>
  </si>
  <si>
    <t>DS-192|A1</t>
  </si>
  <si>
    <t>Datasets!B27; Datasets!L27; Datasets!S27; Datasets!T27</t>
  </si>
  <si>
    <t>Dataset / release family: ROAD — Road surface Observation and Analysis Dataset | Release / paper year: 2026 | Dataset / download: Dataset / download | Evidence / paper: Source evidence</t>
  </si>
  <si>
    <t>DS-192|A2</t>
  </si>
  <si>
    <t>Datasets!F27; Datasets!Q27</t>
  </si>
  <si>
    <t>Access status: Request access | Access instructions: Data by request to wlc2@cin.ufpe.br with intended use and affiliation.</t>
  </si>
  <si>
    <t>DS-192|A3</t>
  </si>
  <si>
    <t>Datasets!P27</t>
  </si>
  <si>
    <t>License / use terms: Dataset terms supplied on request; paper license does not establish data license.</t>
  </si>
  <si>
    <t>DS-192|L1</t>
  </si>
  <si>
    <t>Datasets!H27; Datasets!O27</t>
  </si>
  <si>
    <t>Pavement labels: Asphalt, Belgian blocks and off-road; surface material labels, not crack/pothole condition grades. | Label format: Frame-level classes annotated with CVAT; dual annotation and engineering review.</t>
  </si>
  <si>
    <t>DS-192|L2</t>
  </si>
  <si>
    <t>DS-192|L4</t>
  </si>
  <si>
    <t>Datasets!O27; Datasets!R27</t>
  </si>
  <si>
    <t>Label format: Frame-level classes annotated with CVAT; dual annotation and engineering review. | Limits and pairing notes: Material-only complement. Keep synthetic subset separate in evaluation; public website does not provide a direct open archive.</t>
  </si>
  <si>
    <t>DS-192|D1</t>
  </si>
  <si>
    <t>Datasets!O27; Datasets!I27</t>
  </si>
  <si>
    <t>Label format: Frame-level classes annotated with CVAT; dual annotation and engineering review. | Camera / footage details: Continuous RGB driving sequences with IMU, vision-only recordings, and a separately identified synthetic subset.</t>
  </si>
  <si>
    <t>DS-192|D2</t>
  </si>
  <si>
    <t>Datasets!K27; Datasets!E27; Datasets!I27; Datasets!R27</t>
  </si>
  <si>
    <t>Publisher: UFPE Voxar Labs with Volkswagen / Stellantis collaborators | Capture context: Driving research | Camera / footage details: Continuous RGB driving sequences with IMU, vision-only recordings, and a separately identified synthetic subset. | Limits and pairing notes: Material-only complement. Keep synthetic subset separate in evaluation; public website does not provide a direct open archive.</t>
  </si>
  <si>
    <t>DS-192|D4</t>
  </si>
  <si>
    <t>Datasets!R27; Datasets!H27</t>
  </si>
  <si>
    <t>Limits and pairing notes: Material-only complement. Keep synthetic subset separate in evaluation; public website does not provide a direct open archive. | Pavement labels: Asphalt, Belgian blocks and off-road; surface material labels, not crack/pothole condition grades.</t>
  </si>
  <si>
    <t>DS-192|C1</t>
  </si>
  <si>
    <t>Datasets!M27</t>
  </si>
  <si>
    <t>Reported size: 10 h 40 min multimodal; 13 h 34 min vision-only (1,465,200 frames); 53 min synthetic.</t>
  </si>
  <si>
    <t>DS-192|C2</t>
  </si>
  <si>
    <t>Datasets!M27; Datasets!H27</t>
  </si>
  <si>
    <t>Reported size: 10 h 40 min multimodal; 13 h 34 min vision-only (1,465,200 frames); 53 min synthetic. | Pavement labels: Asphalt, Belgian blocks and off-road; surface material labels, not crack/pothole condition grades.</t>
  </si>
  <si>
    <t>DS-192|R1</t>
  </si>
  <si>
    <t>Datasets!N27; Datasets!E27; Datasets!I27</t>
  </si>
  <si>
    <t>Geography: Brazil / Latin America; synthetic BeamNG.tech subset | Capture context: Driving research | Camera / footage details: Continuous RGB driving sequences with IMU, vision-only recordings, and a separately identified synthetic subset.</t>
  </si>
  <si>
    <t>DS-192|R2</t>
  </si>
  <si>
    <t>Datasets!N27; Datasets!E27; Datasets!I27; Datasets!R27</t>
  </si>
  <si>
    <t>Geography: Brazil / Latin America; synthetic BeamNG.tech subset | Capture context: Driving research | Camera / footage details: Continuous RGB driving sequences with IMU, vision-only recordings, and a separately identified synthetic subset. | Limits and pairing notes: Material-only complement. Keep synthetic subset separate in evaluation; public website does not provide a direct open archive.</t>
  </si>
  <si>
    <t>DS-192|M1</t>
  </si>
  <si>
    <t>Datasets!E27; Datasets!I27; Datasets!K27</t>
  </si>
  <si>
    <t>Capture context: Driving research | Camera / footage details: Continuous RGB driving sequences with IMU, vision-only recordings, and a separately identified synthetic subset. | Publisher: UFPE Voxar Labs with Volkswagen / Stellantis collaborators</t>
  </si>
  <si>
    <t>DS-192|M2</t>
  </si>
  <si>
    <t>Datasets!I27; Datasets!M27</t>
  </si>
  <si>
    <t>Camera / footage details: Continuous RGB driving sequences with IMU, vision-only recordings, and a separately identified synthetic subset. | Reported size: 10 h 40 min multimodal; 13 h 34 min vision-only (1,465,200 frames); 53 min synthetic.</t>
  </si>
  <si>
    <t>DS-192|M5</t>
  </si>
  <si>
    <t>Datasets!I27; Datasets!O27; Datasets!R27</t>
  </si>
  <si>
    <t>Camera / footage details: Continuous RGB driving sequences with IMU, vision-only recordings, and a separately identified synthetic subset. | Label format: Frame-level classes annotated with CVAT; dual annotation and engineering review. | Limits and pairing notes: Material-only complement. Keep synthetic subset separate in evaluation; public website does not provide a direct open archive.</t>
  </si>
  <si>
    <t>DS-193|A1</t>
  </si>
  <si>
    <t>Datasets!B31; Datasets!L31; Datasets!S31; Datasets!T31</t>
  </si>
  <si>
    <t>Dataset / release family: GAPs 10m — pavement segmentation | Release / paper year: 2021 | Dataset / download: Dataset / download | Evidence / paper: Source evidence</t>
  </si>
  <si>
    <t>DS-193|A2</t>
  </si>
  <si>
    <t>Datasets!F31; Datasets!Q31</t>
  </si>
  <si>
    <t>Access status: Request access | Access instructions: Academic request and credentials through GAPs provider.</t>
  </si>
  <si>
    <t>DS-193|A3</t>
  </si>
  <si>
    <t>Datasets!P31</t>
  </si>
  <si>
    <t>License / use terms: Academic use only; provider permission.</t>
  </si>
  <si>
    <t>DS-193|L1</t>
  </si>
  <si>
    <t>Datasets!H31; Datasets!O31</t>
  </si>
  <si>
    <t>Pavement labels: Pixel-level distress/object classes including cracks, potholes, patches, joints, markings and fixtures. | Label format: Expert semantic segmentation</t>
  </si>
  <si>
    <t>DS-193|L2</t>
  </si>
  <si>
    <t>DS-193|L4</t>
  </si>
  <si>
    <t>Datasets!O31; Datasets!R31</t>
  </si>
  <si>
    <t>Label format: Expert semantic segmentation | Limits and pairing notes: Related GAPs release with different annotation task. Raveling, bleeding, manhole and induction-loop classes are absent from public images.</t>
  </si>
  <si>
    <t>DS-193|D1</t>
  </si>
  <si>
    <t>Datasets!O31; Datasets!I31</t>
  </si>
  <si>
    <t>Label format: Expert semantic segmentation | Camera / footage details: 20 large top-down road-surface images, each covering 10 m.</t>
  </si>
  <si>
    <t>DS-193|D2</t>
  </si>
  <si>
    <t>Datasets!K31; Datasets!E31; Datasets!I31; Datasets!R31</t>
  </si>
  <si>
    <t>Publisher: TU Ilmenau and partners | Capture context: Human-driven survey | Camera / footage details: 20 large top-down road-surface images, each covering 10 m. | Limits and pairing notes: Related GAPs release with different annotation task. Raveling, bleeding, manhole and induction-loop classes are absent from public images.</t>
  </si>
  <si>
    <t>DS-193|D4</t>
  </si>
  <si>
    <t>Datasets!R31; Datasets!H31</t>
  </si>
  <si>
    <t>Limits and pairing notes: Related GAPs release with different annotation task. Raveling, bleeding, manhole and induction-loop classes are absent from public images. | Pavement labels: Pixel-level distress/object classes including cracks, potholes, patches, joints, markings and fixtures.</t>
  </si>
  <si>
    <t>DS-193|C1</t>
  </si>
  <si>
    <t>Datasets!M31</t>
  </si>
  <si>
    <t>Reported size: 20 images, 5030×11505; 200 m of road; 18 available classes of 22 defined</t>
  </si>
  <si>
    <t>DS-193|C2</t>
  </si>
  <si>
    <t>Datasets!M31; Datasets!H31</t>
  </si>
  <si>
    <t>Reported size: 20 images, 5030×11505; 200 m of road; 18 available classes of 22 defined | Pavement labels: Pixel-level distress/object classes including cracks, potholes, patches, joints, markings and fixtures.</t>
  </si>
  <si>
    <t>DS-193|R1</t>
  </si>
  <si>
    <t>Datasets!N31; Datasets!E31; Datasets!I31</t>
  </si>
  <si>
    <t>Geography: Germany | Capture context: Human-driven survey | Camera / footage details: 20 large top-down road-surface images, each covering 10 m.</t>
  </si>
  <si>
    <t>DS-193|R2</t>
  </si>
  <si>
    <t>Datasets!N31; Datasets!E31; Datasets!I31; Datasets!R31</t>
  </si>
  <si>
    <t>Geography: Germany | Capture context: Human-driven survey | Camera / footage details: 20 large top-down road-surface images, each covering 10 m. | Limits and pairing notes: Related GAPs release with different annotation task. Raveling, bleeding, manhole and induction-loop classes are absent from public images.</t>
  </si>
  <si>
    <t>DS-193|M1</t>
  </si>
  <si>
    <t>Datasets!E31; Datasets!I31; Datasets!K31</t>
  </si>
  <si>
    <t>Capture context: Human-driven survey | Camera / footage details: 20 large top-down road-surface images, each covering 10 m. | Publisher: TU Ilmenau and partners</t>
  </si>
  <si>
    <t>DS-193|M2</t>
  </si>
  <si>
    <t>Datasets!I31; Datasets!M31</t>
  </si>
  <si>
    <t>Camera / footage details: 20 large top-down road-surface images, each covering 10 m. | Reported size: 20 images, 5030×11505; 200 m of road; 18 available classes of 22 defined</t>
  </si>
  <si>
    <t>DS-193|M5</t>
  </si>
  <si>
    <t>Datasets!I31; Datasets!O31; Datasets!R31</t>
  </si>
  <si>
    <t>Camera / footage details: 20 large top-down road-surface images, each covering 10 m. | Label format: Expert semantic segmentation | Limits and pairing notes: Related GAPs release with different annotation task. Raveling, bleeding, manhole and induction-loop classes are absent from public images.</t>
  </si>
  <si>
    <t>DS-194|A1</t>
  </si>
  <si>
    <t>Datasets!B32; Datasets!L32; Datasets!S32; Datasets!T32</t>
  </si>
  <si>
    <t>Dataset / release family: GAPs v2 — German Asphalt Pavement Distress | Release / paper year: 2019 (v1 2017) | Dataset / download: Dataset / download | Evidence / paper: Source evidence</t>
  </si>
  <si>
    <t>DS-194|A2</t>
  </si>
  <si>
    <t>Datasets!F32; Datasets!Q32</t>
  </si>
  <si>
    <t>Access status: Request access | Access instructions: Academic request form and provider-issued login; Python downloader.</t>
  </si>
  <si>
    <t>DS-194|A3</t>
  </si>
  <si>
    <t>Datasets!P32</t>
  </si>
  <si>
    <t>License / use terms: Academic use only by provider permission; not unrestricted open data.</t>
  </si>
  <si>
    <t>DS-194|L1</t>
  </si>
  <si>
    <t>Datasets!H32; Datasets!O32</t>
  </si>
  <si>
    <t>Pavement labels: Crack, pothole, inlaid/applied patch, open joint; intact surface. Bleeding class absent in collected imagery. | Label format: Expert bounding boxes; classification patches</t>
  </si>
  <si>
    <t>DS-194|L2</t>
  </si>
  <si>
    <t>DS-194|L4</t>
  </si>
  <si>
    <t>Datasets!O32; Datasets!R32</t>
  </si>
  <si>
    <t>Label format: Expert bounding boxes; classification patches | Limits and pairing notes: v1 grouped with v2; specialized survey view. Access process verified; archive contents not downloaded.</t>
  </si>
  <si>
    <t>DS-194|D1</t>
  </si>
  <si>
    <t>Datasets!O32; Datasets!I32</t>
  </si>
  <si>
    <t>Label format: Expert bounding boxes; classification patches | Camera / footage details: Grayscale high-resolution pavement surface stills and derived patches.</t>
  </si>
  <si>
    <t>DS-194|D2</t>
  </si>
  <si>
    <t>Datasets!K32; Datasets!E32; Datasets!I32; Datasets!R32</t>
  </si>
  <si>
    <t>Publisher: TU Ilmenau / Neuroinformatics and Cognitive Robotics Lab | Capture context: Human-driven survey | Camera / footage details: Grayscale high-resolution pavement surface stills and derived patches. | Limits and pairing notes: v1 grouped with v2; specialized survey view. Access process verified; archive contents not downloaded.</t>
  </si>
  <si>
    <t>DS-194|D4</t>
  </si>
  <si>
    <t>Datasets!R32; Datasets!H32</t>
  </si>
  <si>
    <t>Limits and pairing notes: v1 grouped with v2; specialized survey view. Access process verified; archive contents not downloaded. | Pavement labels: Crack, pothole, inlaid/applied patch, open joint; intact surface. Bleeding class absent in collected imagery.</t>
  </si>
  <si>
    <t>DS-194|C1</t>
  </si>
  <si>
    <t>Datasets!M32</t>
  </si>
  <si>
    <t>Reported size: 2,468 grayscale 1920×1080 images; multiple patch datasets</t>
  </si>
  <si>
    <t>DS-194|C2</t>
  </si>
  <si>
    <t>Datasets!M32; Datasets!H32</t>
  </si>
  <si>
    <t>Reported size: 2,468 grayscale 1920×1080 images; multiple patch datasets | Pavement labels: Crack, pothole, inlaid/applied patch, open joint; intact surface. Bleeding class absent in collected imagery.</t>
  </si>
  <si>
    <t>DS-194|R1</t>
  </si>
  <si>
    <t>Datasets!N32; Datasets!E32; Datasets!I32</t>
  </si>
  <si>
    <t>Geography: German federal roads | Capture context: Human-driven survey | Camera / footage details: Grayscale high-resolution pavement surface stills and derived patches.</t>
  </si>
  <si>
    <t>DS-194|R2</t>
  </si>
  <si>
    <t>Datasets!N32; Datasets!E32; Datasets!I32; Datasets!R32</t>
  </si>
  <si>
    <t>Geography: German federal roads | Capture context: Human-driven survey | Camera / footage details: Grayscale high-resolution pavement surface stills and derived patches. | Limits and pairing notes: v1 grouped with v2; specialized survey view. Access process verified; archive contents not downloaded.</t>
  </si>
  <si>
    <t>DS-194|M1</t>
  </si>
  <si>
    <t>Datasets!E32; Datasets!I32; Datasets!K32</t>
  </si>
  <si>
    <t>Capture context: Human-driven survey | Camera / footage details: Grayscale high-resolution pavement surface stills and derived patches. | Publisher: TU Ilmenau / Neuroinformatics and Cognitive Robotics Lab</t>
  </si>
  <si>
    <t>DS-194|M2</t>
  </si>
  <si>
    <t>Datasets!I32; Datasets!M32</t>
  </si>
  <si>
    <t>Camera / footage details: Grayscale high-resolution pavement surface stills and derived patches. | Reported size: 2,468 grayscale 1920×1080 images; multiple patch datasets</t>
  </si>
  <si>
    <t>DS-194|M5</t>
  </si>
  <si>
    <t>Datasets!I32; Datasets!O32; Datasets!R32</t>
  </si>
  <si>
    <t>Camera / footage details: Grayscale high-resolution pavement surface stills and derived patches. | Label format: Expert bounding boxes; classification patches | Limits and pairing notes: v1 grouped with v2; specialized survey view. Access process verified; archive contents not downloaded.</t>
  </si>
  <si>
    <t>DS-195|A1</t>
  </si>
  <si>
    <t>Datasets!B33; Datasets!L33; Datasets!S33; Datasets!T33</t>
  </si>
  <si>
    <t>Dataset / release family: Mapillary Vistas | Release / paper year: 2017; v2 extension | Dataset / download: Dataset / download | Evidence / paper: Source evidence</t>
  </si>
  <si>
    <t>DS-195|A2</t>
  </si>
  <si>
    <t>Datasets!F33; Datasets!Q33</t>
  </si>
  <si>
    <t>Access status: Account / terms | Access instructions: Official dataset portal; account/terms may be required; full files not downloaded</t>
  </si>
  <si>
    <t>DS-195|A3</t>
  </si>
  <si>
    <t>Datasets!P33</t>
  </si>
  <si>
    <t>License / use terms: Use dataset-specific research terms; do not assume general Mapillary imagery CC BY-SA applies to Vistas</t>
  </si>
  <si>
    <t>DS-195|L1</t>
  </si>
  <si>
    <t>Datasets!H33; Datasets!O33</t>
  </si>
  <si>
    <t>Pavement labels: Pothole semantic class; also road, snow, water, manhole and other scene classes | Label format: Pixel-level semantic masks; pothole is a semantic class, not an instance class in verified v1 taxonomy</t>
  </si>
  <si>
    <t>DS-195|L2</t>
  </si>
  <si>
    <t>DS-195|L4</t>
  </si>
  <si>
    <t>Datasets!O33; Datasets!R33</t>
  </si>
  <si>
    <t>Label format: Pixel-level semantic masks; pothole is a semantic class, not an instance class in verified v1 taxonomy | Limits and pairing notes: Direct pothole label verified in Meta's v1 taxonomy. Class frequency and v2-specific label IDs require checking downloaded config. Original paper: https://openaccess.thecvf.com/content_iccv_2017/html/Neuhold_The_Mapillary_Vistas_ICCV_2017_paper.html</t>
  </si>
  <si>
    <t>DS-195|D1</t>
  </si>
  <si>
    <t>Datasets!O33; Datasets!I33</t>
  </si>
  <si>
    <t>Label format: Pixel-level semantic masks; pothole is a semantic class, not an instance class in verified v1 taxonomy | Camera / footage details: Still street-view images; not a continuous AV video release</t>
  </si>
  <si>
    <t>DS-195|D2</t>
  </si>
  <si>
    <t>Datasets!K33; Datasets!E33; Datasets!I33; Datasets!R33</t>
  </si>
  <si>
    <t>Publisher: Mapillary / Meta | Capture context: Street imagery | Camera / footage details: Still street-view images; not a continuous AV video release | Limits and pairing notes: Direct pothole label verified in Meta's v1 taxonomy. Class frequency and v2-specific label IDs require checking downloaded config. Original paper: https://openaccess.thecvf.com/content_iccv_2017/html/Neuhold_The_Mapillary_Vistas_ICCV_2017_paper.html</t>
  </si>
  <si>
    <t>DS-195|D4</t>
  </si>
  <si>
    <t>Datasets!R33; Datasets!H33</t>
  </si>
  <si>
    <t>Limits and pairing notes: Direct pothole label verified in Meta's v1 taxonomy. Class frequency and v2-specific label IDs require checking downloaded config. Original paper: https://openaccess.thecvf.com/content_iccv_2017/html/Neuhold_The_Mapillary_Vistas_ICCV_2017_paper.html | Pavement labels: Pothole semantic class; also road, snow, water, manhole and other scene classes</t>
  </si>
  <si>
    <t>DS-195|C1</t>
  </si>
  <si>
    <t>Datasets!M33</t>
  </si>
  <si>
    <t>Reported size: 25,000 high-resolution images in original release</t>
  </si>
  <si>
    <t>DS-195|C2</t>
  </si>
  <si>
    <t>Datasets!M33; Datasets!H33</t>
  </si>
  <si>
    <t>Reported size: 25,000 high-resolution images in original release | Pavement labels: Pothole semantic class; also road, snow, water, manhole and other scene classes</t>
  </si>
  <si>
    <t>DS-195|R1</t>
  </si>
  <si>
    <t>Datasets!N33; Datasets!E33; Datasets!I33</t>
  </si>
  <si>
    <t>Geography: Worldwide | Capture context: Street imagery | Camera / footage details: Still street-view images; not a continuous AV video release</t>
  </si>
  <si>
    <t>DS-195|R2</t>
  </si>
  <si>
    <t>Datasets!N33; Datasets!E33; Datasets!I33; Datasets!R33</t>
  </si>
  <si>
    <t>Geography: Worldwide | Capture context: Street imagery | Camera / footage details: Still street-view images; not a continuous AV video release | Limits and pairing notes: Direct pothole label verified in Meta's v1 taxonomy. Class frequency and v2-specific label IDs require checking downloaded config. Original paper: https://openaccess.thecvf.com/content_iccv_2017/html/Neuhold_The_Mapillary_Vistas_ICCV_2017_paper.html</t>
  </si>
  <si>
    <t>DS-195|M1</t>
  </si>
  <si>
    <t>Datasets!E33; Datasets!I33; Datasets!K33</t>
  </si>
  <si>
    <t>Capture context: Street imagery | Camera / footage details: Still street-view images; not a continuous AV video release | Publisher: Mapillary / Meta</t>
  </si>
  <si>
    <t>DS-195|M2</t>
  </si>
  <si>
    <t>Datasets!I33; Datasets!M33</t>
  </si>
  <si>
    <t>Camera / footage details: Still street-view images; not a continuous AV video release | Reported size: 25,000 high-resolution images in original release</t>
  </si>
  <si>
    <t>DS-195|M5</t>
  </si>
  <si>
    <t>Datasets!I33; Datasets!O33; Datasets!R33</t>
  </si>
  <si>
    <t>Camera / footage details: Still street-view images; not a continuous AV video release | Label format: Pixel-level semantic masks; pothole is a semantic class, not an instance class in verified v1 taxonomy | Limits and pairing notes: Direct pothole label verified in Meta's v1 taxonomy. Class frequency and v2-specific label IDs require checking downloaded config. Original paper: https://openaccess.thecvf.com/content_iccv_2017/html/Neuhold_The_Mapillary_Vistas_ICCV_2017_paper.html</t>
  </si>
  <si>
    <t>DS-196|A1</t>
  </si>
  <si>
    <t>Datasets!B39; Datasets!L39; Datasets!S39; Datasets!T39</t>
  </si>
  <si>
    <t>Dataset / release family: StreetSurfaceVis | Release / paper year: 2024 dataset; 2025 paper | Dataset / download: Dataset / download | Evidence / paper: Source evidence</t>
  </si>
  <si>
    <t>DS-196|A2</t>
  </si>
  <si>
    <t>Datasets!F39; Datasets!Q39</t>
  </si>
  <si>
    <t>Access status: Public links | Access instructions: Public Zenodo image archives and metadata.</t>
  </si>
  <si>
    <t>DS-196|A3</t>
  </si>
  <si>
    <t>Datasets!P39</t>
  </si>
  <si>
    <t>License / use terms: CC BY-SA; comply with Mapillary terms and attribution.</t>
  </si>
  <si>
    <t>DS-196|L1</t>
  </si>
  <si>
    <t>Datasets!H39; Datasets!O39</t>
  </si>
  <si>
    <t>Pavement labels: Five materials (asphalt/concrete/paving stones/sett/unpaved) and quality excellent/good/intermediate/bad/very bad. | Label format: Image-level CSV labels with coordinates, capture time and Mapillary IDs</t>
  </si>
  <si>
    <t>DS-196|L2</t>
  </si>
  <si>
    <t>DS-196|L4</t>
  </si>
  <si>
    <t>Datasets!O39; Datasets!R39</t>
  </si>
  <si>
    <t>Label format: Image-level CSV labels with coordinates, capture time and Mapillary IDs | Limits and pairing notes: Good for overall surface-quality labels, including sidewalks/cycleways. Quality is human visual ordinal assessment, not PCI/IRI; labels concern focal road area.</t>
  </si>
  <si>
    <t>DS-196|D1</t>
  </si>
  <si>
    <t>Datasets!O39; Datasets!I39</t>
  </si>
  <si>
    <t>Label format: Image-level CSV labels with coordinates, capture time and Mapillary IDs | Camera / footage details: 9,122 street-level still images; no packaged continuous drive videos.</t>
  </si>
  <si>
    <t>DS-196|D2</t>
  </si>
  <si>
    <t>Datasets!K39; Datasets!E39; Datasets!I39; Datasets!R39</t>
  </si>
  <si>
    <t>Publisher: SurfaceAI / HTW Berlin | Capture context: Street imagery | Camera / footage details: 9,122 street-level still images; no packaged continuous drive videos. | Limits and pairing notes: Good for overall surface-quality labels, including sidewalks/cycleways. Quality is human visual ordinal assessment, not PCI/IRI; labels concern focal road area.</t>
  </si>
  <si>
    <t>DS-196|D4</t>
  </si>
  <si>
    <t>Datasets!R39; Datasets!H39</t>
  </si>
  <si>
    <t>Limits and pairing notes: Good for overall surface-quality labels, including sidewalks/cycleways. Quality is human visual ordinal assessment, not PCI/IRI; labels concern focal road area. | Pavement labels: Five materials (asphalt/concrete/paving stones/sett/unpaved) and quality excellent/good/intermediate/bad/very bad.</t>
  </si>
  <si>
    <t>DS-196|C1</t>
  </si>
  <si>
    <t>Datasets!M39</t>
  </si>
  <si>
    <t>Reported size: 9,122 images; multiple image resolutions</t>
  </si>
  <si>
    <t>DS-196|C2</t>
  </si>
  <si>
    <t>Datasets!M39; Datasets!H39</t>
  </si>
  <si>
    <t>Reported size: 9,122 images; multiple image resolutions | Pavement labels: Five materials (asphalt/concrete/paving stones/sett/unpaved) and quality excellent/good/intermediate/bad/very bad.</t>
  </si>
  <si>
    <t>DS-196|R1</t>
  </si>
  <si>
    <t>Datasets!N39; Datasets!E39; Datasets!I39</t>
  </si>
  <si>
    <t>Geography: Mostly Germany | Capture context: Street imagery | Camera / footage details: 9,122 street-level still images; no packaged continuous drive videos.</t>
  </si>
  <si>
    <t>DS-196|R2</t>
  </si>
  <si>
    <t>Datasets!N39; Datasets!E39; Datasets!I39; Datasets!R39</t>
  </si>
  <si>
    <t>Geography: Mostly Germany | Capture context: Street imagery | Camera / footage details: 9,122 street-level still images; no packaged continuous drive videos. | Limits and pairing notes: Good for overall surface-quality labels, including sidewalks/cycleways. Quality is human visual ordinal assessment, not PCI/IRI; labels concern focal road area.</t>
  </si>
  <si>
    <t>DS-196|M1</t>
  </si>
  <si>
    <t>Datasets!E39; Datasets!I39; Datasets!K39</t>
  </si>
  <si>
    <t>Capture context: Street imagery | Camera / footage details: 9,122 street-level still images; no packaged continuous drive videos. | Publisher: SurfaceAI / HTW Berlin</t>
  </si>
  <si>
    <t>DS-196|M2</t>
  </si>
  <si>
    <t>Datasets!I39; Datasets!M39</t>
  </si>
  <si>
    <t>Camera / footage details: 9,122 street-level still images; no packaged continuous drive videos. | Reported size: 9,122 images; multiple image resolutions</t>
  </si>
  <si>
    <t>DS-196|M5</t>
  </si>
  <si>
    <t>Datasets!I39; Datasets!O39; Datasets!R39</t>
  </si>
  <si>
    <t>Camera / footage details: 9,122 street-level still images; no packaged continuous drive videos. | Label format: Image-level CSV labels with coordinates, capture time and Mapillary IDs | Limits and pairing notes: Good for overall surface-quality labels, including sidewalks/cycleways. Quality is human visual ordinal assessment, not PCI/IRI; labels concern focal road area.</t>
  </si>
  <si>
    <t>DS-197|A1</t>
  </si>
  <si>
    <t>Datasets!B41; Datasets!L41; Datasets!S41; Datasets!T41</t>
  </si>
  <si>
    <t>Dataset / release family: A2D2 (Audi Autonomous Driving Dataset) | Release / paper year: 2019; paper 2020 | Dataset / download: Dataset / download | Evidence / paper: Source evidence</t>
  </si>
  <si>
    <t>DS-197|A2</t>
  </si>
  <si>
    <t>Datasets!F41; Datasets!Q41</t>
  </si>
  <si>
    <t>Access status: Public links | Access instructions: Public AWS Open Data and official project links</t>
  </si>
  <si>
    <t>DS-197|A3</t>
  </si>
  <si>
    <t>Datasets!P41</t>
  </si>
  <si>
    <t>License / use terms: CC BY-ND 4.0</t>
  </si>
  <si>
    <t>DS-197|L1</t>
  </si>
  <si>
    <t>Datasets!H41; Datasets!O41</t>
  </si>
  <si>
    <t>Pavement labels: No pavement distress/surface-state labels documented; road and other semantic classes | Label format: Image/point-cloud semantic labels; 3D boxes; unannotated sequences</t>
  </si>
  <si>
    <t>DS-197|L2</t>
  </si>
  <si>
    <t>DS-197|L4</t>
  </si>
  <si>
    <t>Datasets!O41; Datasets!R41</t>
  </si>
  <si>
    <t>Label format: Image/point-cloud semantic labels; 3D boxes; unannotated sequences | Limits and pairing notes: Distinct labeled nonsequential and unlabeled sequential sets. NoDerivatives terms warrant reviewing how new labels/derived images will be shared. Paper: https://arxiv.org/abs/2004.06320</t>
  </si>
  <si>
    <t>DS-197|D1</t>
  </si>
  <si>
    <t>Datasets!O41; Datasets!I41</t>
  </si>
  <si>
    <t>Label format: Image/point-cloud semantic labels; 3D boxes; unannotated sequences | Camera / footage details: Six-camera 360-degree imagery, five lidars and vehicle bus data</t>
  </si>
  <si>
    <t>DS-197|D2</t>
  </si>
  <si>
    <t>Datasets!K41; Datasets!E41; Datasets!I41; Datasets!R41</t>
  </si>
  <si>
    <t>Publisher: Audi | Capture context: AV research fleet | Camera / footage details: Six-camera 360-degree imagery, five lidars and vehicle bus data | Limits and pairing notes: Distinct labeled nonsequential and unlabeled sequential sets. NoDerivatives terms warrant reviewing how new labels/derived images will be shared. Paper: https://arxiv.org/abs/2004.06320</t>
  </si>
  <si>
    <t>DS-197|D4</t>
  </si>
  <si>
    <t>Datasets!R41; Datasets!H41</t>
  </si>
  <si>
    <t>Limits and pairing notes: Distinct labeled nonsequential and unlabeled sequential sets. NoDerivatives terms warrant reviewing how new labels/derived images will be shared. Paper: https://arxiv.org/abs/2004.06320 | Pavement labels: No pavement distress/surface-state labels documented; road and other semantic classes</t>
  </si>
  <si>
    <t>DS-197|C1</t>
  </si>
  <si>
    <t>Datasets!M41</t>
  </si>
  <si>
    <t>Reported size: 41,277 annotated frames; 392,556 sequential unannotated frames</t>
  </si>
  <si>
    <t>DS-197|C2</t>
  </si>
  <si>
    <t>Datasets!M41; Datasets!H41</t>
  </si>
  <si>
    <t>Reported size: 41,277 annotated frames; 392,556 sequential unannotated frames | Pavement labels: No pavement distress/surface-state labels documented; road and other semantic classes</t>
  </si>
  <si>
    <t>DS-197|R1</t>
  </si>
  <si>
    <t>Datasets!N41; Datasets!E41; Datasets!I41</t>
  </si>
  <si>
    <t>Geography: Three cities in southern Germany | Capture context: AV research fleet | Camera / footage details: Six-camera 360-degree imagery, five lidars and vehicle bus data</t>
  </si>
  <si>
    <t>DS-197|R2</t>
  </si>
  <si>
    <t>Datasets!N41; Datasets!E41; Datasets!I41; Datasets!R41</t>
  </si>
  <si>
    <t>Geography: Three cities in southern Germany | Capture context: AV research fleet | Camera / footage details: Six-camera 360-degree imagery, five lidars and vehicle bus data | Limits and pairing notes: Distinct labeled nonsequential and unlabeled sequential sets. NoDerivatives terms warrant reviewing how new labels/derived images will be shared. Paper: https://arxiv.org/abs/2004.06320</t>
  </si>
  <si>
    <t>DS-197|M1</t>
  </si>
  <si>
    <t>Datasets!E41; Datasets!I41; Datasets!K41</t>
  </si>
  <si>
    <t>Capture context: AV research fleet | Camera / footage details: Six-camera 360-degree imagery, five lidars and vehicle bus data | Publisher: Audi</t>
  </si>
  <si>
    <t>DS-197|M2</t>
  </si>
  <si>
    <t>Datasets!I41; Datasets!M41</t>
  </si>
  <si>
    <t>Camera / footage details: Six-camera 360-degree imagery, five lidars and vehicle bus data | Reported size: 41,277 annotated frames; 392,556 sequential unannotated frames</t>
  </si>
  <si>
    <t>DS-197|M5</t>
  </si>
  <si>
    <t>Datasets!I41; Datasets!O41; Datasets!R41</t>
  </si>
  <si>
    <t>Camera / footage details: Six-camera 360-degree imagery, five lidars and vehicle bus data | Label format: Image/point-cloud semantic labels; 3D boxes; unannotated sequences | Limits and pairing notes: Distinct labeled nonsequential and unlabeled sequential sets. NoDerivatives terms warrant reviewing how new labels/derived images will be shared. Paper: https://arxiv.org/abs/2004.06320</t>
  </si>
  <si>
    <t>DS-198|A1</t>
  </si>
  <si>
    <t>Datasets!B42; Datasets!L42; Datasets!S42; Datasets!T42</t>
  </si>
  <si>
    <t>Dataset / release family: ACDC (Adverse Conditions Dataset with Correspondences) | Release / paper year: 2021; later panoptic extension | Dataset / download: Dataset / download | Evidence / paper: Source evidence</t>
  </si>
  <si>
    <t>DS-198|A2</t>
  </si>
  <si>
    <t>Datasets!F42; Datasets!Q42</t>
  </si>
  <si>
    <t>Access status: Account / terms | Access instructions: Official account/license-based dataset access</t>
  </si>
  <si>
    <t>DS-198|A3</t>
  </si>
  <si>
    <t>Datasets!P42</t>
  </si>
  <si>
    <t>License / use terms: Custom noncommercial research license; no redistribution</t>
  </si>
  <si>
    <t>DS-198|L1</t>
  </si>
  <si>
    <t>Datasets!H42; Datasets!O42</t>
  </si>
  <si>
    <t>Pavement labels: Fog/night/rain/snow domain labels; road semantic masks, not pavement distress/surface-state measurements | Label format: Pixel semantic/panoptic masks and uncertainty masks</t>
  </si>
  <si>
    <t>DS-198|L2</t>
  </si>
  <si>
    <t>DS-198|L4</t>
  </si>
  <si>
    <t>Datasets!O42; Datasets!R42</t>
  </si>
  <si>
    <t>Label format: Pixel semantic/panoptic masks and uncertainty masks | Limits and pairing notes: Rain/snow are scene domains, not explicit wetness/snow-coverage pavement annotations. License: https://acdc.vision.ee.ethz.ch/license</t>
  </si>
  <si>
    <t>DS-198|D1</t>
  </si>
  <si>
    <t>Datasets!O42; Datasets!I42</t>
  </si>
  <si>
    <t>Label format: Pixel semantic/panoptic masks and uncertainty masks | Camera / footage details: Adverse-condition street images and corresponding normal-condition images</t>
  </si>
  <si>
    <t>DS-198|D2</t>
  </si>
  <si>
    <t>Datasets!K42; Datasets!E42; Datasets!I42; Datasets!R42</t>
  </si>
  <si>
    <t>Publisher: ETH Zurich / collaborators | Capture context: AV research fleet | Camera / footage details: Adverse-condition street images and corresponding normal-condition images | Limits and pairing notes: Rain/snow are scene domains, not explicit wetness/snow-coverage pavement annotations. License: https://acdc.vision.ee.ethz.ch/license</t>
  </si>
  <si>
    <t>DS-198|D4</t>
  </si>
  <si>
    <t>Datasets!R42; Datasets!H42</t>
  </si>
  <si>
    <t>Limits and pairing notes: Rain/snow are scene domains, not explicit wetness/snow-coverage pavement annotations. License: https://acdc.vision.ee.ethz.ch/license | Pavement labels: Fog/night/rain/snow domain labels; road semantic masks, not pavement distress/surface-state measurements</t>
  </si>
  <si>
    <t>DS-198|C1</t>
  </si>
  <si>
    <t>Datasets!M42</t>
  </si>
  <si>
    <t>Reported size: 4,006 adverse images; 1,503 labeled normal counterparts in expanded annotation set</t>
  </si>
  <si>
    <t>DS-198|C2</t>
  </si>
  <si>
    <t>Datasets!M42; Datasets!H42</t>
  </si>
  <si>
    <t>Reported size: 4,006 adverse images; 1,503 labeled normal counterparts in expanded annotation set | Pavement labels: Fog/night/rain/snow domain labels; road semantic masks, not pavement distress/surface-state measurements</t>
  </si>
  <si>
    <t>DS-198|R1</t>
  </si>
  <si>
    <t>Datasets!N42; Datasets!E42; Datasets!I42</t>
  </si>
  <si>
    <t>Geography: Switzerland | Capture context: AV research fleet | Camera / footage details: Adverse-condition street images and corresponding normal-condition images</t>
  </si>
  <si>
    <t>DS-198|R2</t>
  </si>
  <si>
    <t>Datasets!N42; Datasets!E42; Datasets!I42; Datasets!R42</t>
  </si>
  <si>
    <t>Geography: Switzerland | Capture context: AV research fleet | Camera / footage details: Adverse-condition street images and corresponding normal-condition images | Limits and pairing notes: Rain/snow are scene domains, not explicit wetness/snow-coverage pavement annotations. License: https://acdc.vision.ee.ethz.ch/license</t>
  </si>
  <si>
    <t>DS-198|M1</t>
  </si>
  <si>
    <t>Datasets!E42; Datasets!I42; Datasets!K42</t>
  </si>
  <si>
    <t>Capture context: AV research fleet | Camera / footage details: Adverse-condition street images and corresponding normal-condition images | Publisher: ETH Zurich / collaborators</t>
  </si>
  <si>
    <t>DS-198|M2</t>
  </si>
  <si>
    <t>Datasets!I42; Datasets!M42</t>
  </si>
  <si>
    <t>Camera / footage details: Adverse-condition street images and corresponding normal-condition images | Reported size: 4,006 adverse images; 1,503 labeled normal counterparts in expanded annotation set</t>
  </si>
  <si>
    <t>DS-198|M5</t>
  </si>
  <si>
    <t>Datasets!I42; Datasets!O42; Datasets!R42</t>
  </si>
  <si>
    <t>Camera / footage details: Adverse-condition street images and corresponding normal-condition images | Label format: Pixel semantic/panoptic masks and uncertainty masks | Limits and pairing notes: Rain/snow are scene domains, not explicit wetness/snow-coverage pavement annotations. License: https://acdc.vision.ee.ethz.ch/license</t>
  </si>
  <si>
    <t>DS-199|A1</t>
  </si>
  <si>
    <t>Datasets!B43; Datasets!L43; Datasets!S43; Datasets!T43</t>
  </si>
  <si>
    <t>Dataset / release family: aiMotive Multimodal Dataset | Release / paper year: 2022; paper 2023 | Dataset / download: Dataset / download | Evidence / paper: Source evidence</t>
  </si>
  <si>
    <t>DS-199|A2</t>
  </si>
  <si>
    <t>Datasets!F43; Datasets!Q43</t>
  </si>
  <si>
    <t>Access status: Public links | Access instructions: Official form or provider-linked Kaggle release</t>
  </si>
  <si>
    <t>DS-199|A3</t>
  </si>
  <si>
    <t>Datasets!P43</t>
  </si>
  <si>
    <t>License / use terms: Noncommercial research only</t>
  </si>
  <si>
    <t>DS-199|L1</t>
  </si>
  <si>
    <t>Datasets!H43; Datasets!O43</t>
  </si>
  <si>
    <t>Pavement labels: No pavement distress/surface-state labels documented; 3D objects across day/night/rain | Label format: 3D bounding boxes with consistent temporal IDs</t>
  </si>
  <si>
    <t>DS-199|L2</t>
  </si>
  <si>
    <t>DS-199|L4</t>
  </si>
  <si>
    <t>Datasets!O43; Datasets!R43</t>
  </si>
  <si>
    <t>Label format: 3D bounding boxes with consistent temporal IDs | Limits and pairing notes: Useful highway footage and long-range object labels; 'rain' is not pavement wetness ground truth.</t>
  </si>
  <si>
    <t>DS-199|D1</t>
  </si>
  <si>
    <t>Datasets!O43; Datasets!I43</t>
  </si>
  <si>
    <t>Label format: 3D bounding boxes with consistent temporal IDs | Camera / footage details: Calibrated camera, lidar and radar sequences covering 360 degrees</t>
  </si>
  <si>
    <t>DS-199|D2</t>
  </si>
  <si>
    <t>Datasets!K43; Datasets!E43; Datasets!I43; Datasets!R43</t>
  </si>
  <si>
    <t>Publisher: aiMotive | Capture context: AV research fleet | Camera / footage details: Calibrated camera, lidar and radar sequences covering 360 degrees | Limits and pairing notes: Useful highway footage and long-range object labels; 'rain' is not pavement wetness ground truth.</t>
  </si>
  <si>
    <t>DS-199|D4</t>
  </si>
  <si>
    <t>Datasets!R43; Datasets!H43</t>
  </si>
  <si>
    <t>Limits and pairing notes: Useful highway footage and long-range object labels; 'rain' is not pavement wetness ground truth. | Pavement labels: No pavement distress/surface-state labels documented; 3D objects across day/night/rain</t>
  </si>
  <si>
    <t>DS-199|C1</t>
  </si>
  <si>
    <t>Datasets!M43</t>
  </si>
  <si>
    <t>Reported size: 176 scenes; approximately 85 GB</t>
  </si>
  <si>
    <t>DS-199|C2</t>
  </si>
  <si>
    <t>Datasets!M43; Datasets!H43</t>
  </si>
  <si>
    <t>Reported size: 176 scenes; approximately 85 GB | Pavement labels: No pavement distress/surface-state labels documented; 3D objects across day/night/rain</t>
  </si>
  <si>
    <t>DS-199|R1</t>
  </si>
  <si>
    <t>Datasets!N43; Datasets!E43; Datasets!I43</t>
  </si>
  <si>
    <t>Geography: Highway, urban and suburban locations; see paper for acquisition regions | Capture context: AV research fleet | Camera / footage details: Calibrated camera, lidar and radar sequences covering 360 degrees</t>
  </si>
  <si>
    <t>DS-199|R2</t>
  </si>
  <si>
    <t>Datasets!N43; Datasets!E43; Datasets!I43; Datasets!R43</t>
  </si>
  <si>
    <t>Geography: Highway, urban and suburban locations; see paper for acquisition regions | Capture context: AV research fleet | Camera / footage details: Calibrated camera, lidar and radar sequences covering 360 degrees | Limits and pairing notes: Useful highway footage and long-range object labels; 'rain' is not pavement wetness ground truth.</t>
  </si>
  <si>
    <t>DS-199|M1</t>
  </si>
  <si>
    <t>Datasets!E43; Datasets!I43; Datasets!K43</t>
  </si>
  <si>
    <t>Capture context: AV research fleet | Camera / footage details: Calibrated camera, lidar and radar sequences covering 360 degrees | Publisher: aiMotive</t>
  </si>
  <si>
    <t>DS-199|M2</t>
  </si>
  <si>
    <t>Datasets!I43; Datasets!M43</t>
  </si>
  <si>
    <t>Camera / footage details: Calibrated camera, lidar and radar sequences covering 360 degrees | Reported size: 176 scenes; approximately 85 GB</t>
  </si>
  <si>
    <t>DS-199|M5</t>
  </si>
  <si>
    <t>Datasets!I43; Datasets!O43; Datasets!R43</t>
  </si>
  <si>
    <t>Camera / footage details: Calibrated camera, lidar and radar sequences covering 360 degrees | Label format: 3D bounding boxes with consistent temporal IDs | Limits and pairing notes: Useful highway footage and long-range object labels; 'rain' is not pavement wetness ground truth.</t>
  </si>
  <si>
    <t>DS-200|A1</t>
  </si>
  <si>
    <t>Datasets!B44; Datasets!L44; Datasets!S44; Datasets!T44</t>
  </si>
  <si>
    <t>Dataset / release family: ApolloScape Scene Parsing | Release / paper year: 2018 | Dataset / download: Dataset / download | Evidence / paper: Source evidence</t>
  </si>
  <si>
    <t>DS-200|A2</t>
  </si>
  <si>
    <t>Datasets!F44; Datasets!Q44</t>
  </si>
  <si>
    <t>Access status: Public links | Access instructions: Official GitHub toolkit lists direct archive links; bulk download not tested</t>
  </si>
  <si>
    <t>DS-200|A3</t>
  </si>
  <si>
    <t>Datasets!P44</t>
  </si>
  <si>
    <t>License / use terms: Educational use only per official scene-parsing README; commercial use prohibited</t>
  </si>
  <si>
    <t>DS-200|L1</t>
  </si>
  <si>
    <t>Datasets!H44; Datasets!O44</t>
  </si>
  <si>
    <t>Pavement labels: Scene/road semantics and 28 lane-marking types; no pavement distress/surface-state labels documented | Label format: Pixel and instance masks; lane masks; depth/pose files</t>
  </si>
  <si>
    <t>DS-200|L2</t>
  </si>
  <si>
    <t>DS-200|L4</t>
  </si>
  <si>
    <t>Datasets!O44; Datasets!R44</t>
  </si>
  <si>
    <t>Label format: Pixel and instance masks; lane masks; depth/pose files | Limits and pairing notes: Select Scene Parsing imagery. Trajectory-only sub-datasets do not satisfy camera requirement; lane types do not indicate pavement health.</t>
  </si>
  <si>
    <t>DS-200|D1</t>
  </si>
  <si>
    <t>Datasets!O44; Datasets!I44</t>
  </si>
  <si>
    <t>Label format: Pixel and instance masks; lane masks; depth/pose files | Camera / footage details: High-resolution RGB image sequences with pose and static depth</t>
  </si>
  <si>
    <t>DS-200|D2</t>
  </si>
  <si>
    <t>Datasets!K44; Datasets!E44; Datasets!I44; Datasets!R44</t>
  </si>
  <si>
    <t>Publisher: Baidu Apollo | Capture context: AV research fleet | Camera / footage details: High-resolution RGB image sequences with pose and static depth | Limits and pairing notes: Select Scene Parsing imagery. Trajectory-only sub-datasets do not satisfy camera requirement; lane types do not indicate pavement health.</t>
  </si>
  <si>
    <t>DS-200|D4</t>
  </si>
  <si>
    <t>Datasets!R44; Datasets!H44</t>
  </si>
  <si>
    <t>Limits and pairing notes: Select Scene Parsing imagery. Trajectory-only sub-datasets do not satisfy camera requirement; lane types do not indicate pavement health. | Pavement labels: Scene/road semantics and 28 lane-marking types; no pavement distress/surface-state labels documented</t>
  </si>
  <si>
    <t>DS-200|C1</t>
  </si>
  <si>
    <t>Datasets!M44</t>
  </si>
  <si>
    <t>Reported size: 146,997 scene-parsing frames</t>
  </si>
  <si>
    <t>DS-200|C2</t>
  </si>
  <si>
    <t>Datasets!M44; Datasets!H44</t>
  </si>
  <si>
    <t>Reported size: 146,997 scene-parsing frames | Pavement labels: Scene/road semantics and 28 lane-marking types; no pavement distress/surface-state labels documented</t>
  </si>
  <si>
    <t>DS-200|R1</t>
  </si>
  <si>
    <t>Datasets!N44; Datasets!E44; Datasets!I44</t>
  </si>
  <si>
    <t>Geography: China | Capture context: AV research fleet | Camera / footage details: High-resolution RGB image sequences with pose and static depth</t>
  </si>
  <si>
    <t>DS-200|R2</t>
  </si>
  <si>
    <t>Datasets!N44; Datasets!E44; Datasets!I44; Datasets!R44</t>
  </si>
  <si>
    <t>Geography: China | Capture context: AV research fleet | Camera / footage details: High-resolution RGB image sequences with pose and static depth | Limits and pairing notes: Select Scene Parsing imagery. Trajectory-only sub-datasets do not satisfy camera requirement; lane types do not indicate pavement health.</t>
  </si>
  <si>
    <t>DS-200|M1</t>
  </si>
  <si>
    <t>Datasets!E44; Datasets!I44; Datasets!K44</t>
  </si>
  <si>
    <t>Capture context: AV research fleet | Camera / footage details: High-resolution RGB image sequences with pose and static depth | Publisher: Baidu Apollo</t>
  </si>
  <si>
    <t>DS-200|M2</t>
  </si>
  <si>
    <t>Datasets!I44; Datasets!M44</t>
  </si>
  <si>
    <t>Camera / footage details: High-resolution RGB image sequences with pose and static depth | Reported size: 146,997 scene-parsing frames</t>
  </si>
  <si>
    <t>DS-200|M5</t>
  </si>
  <si>
    <t>Datasets!I44; Datasets!O44; Datasets!R44</t>
  </si>
  <si>
    <t>Camera / footage details: High-resolution RGB image sequences with pose and static depth | Label format: Pixel and instance masks; lane masks; depth/pose files | Limits and pairing notes: Select Scene Parsing imagery. Trajectory-only sub-datasets do not satisfy camera requirement; lane types do not indicate pavement health.</t>
  </si>
  <si>
    <t>DS-201|A1</t>
  </si>
  <si>
    <t>Datasets!B45; Datasets!L45; Datasets!S45; Datasets!T45</t>
  </si>
  <si>
    <t>Dataset / release family: Argoverse 1.1 3D Tracking / Stereo | Release / paper year: 2019 | Dataset / download: Dataset / download | Evidence / paper: Source evidence</t>
  </si>
  <si>
    <t>DS-201|A2</t>
  </si>
  <si>
    <t>Datasets!F45; Datasets!Q45</t>
  </si>
  <si>
    <t>Access status: Public links | Access instructions: Public official S3 links; use corrected v1.1</t>
  </si>
  <si>
    <t>DS-201|A3</t>
  </si>
  <si>
    <t>Datasets!P45</t>
  </si>
  <si>
    <t>License / use terms: CC BY-NC-SA 4.0; code MIT</t>
  </si>
  <si>
    <t>DS-201|L1</t>
  </si>
  <si>
    <t>Datasets!H45; Datasets!O45</t>
  </si>
  <si>
    <t>Pavement labels: No pavement distress/surface-state labels documented; 3D objects, maps and stereo disparity | Label format: Timestamped images, JSON object tracks, HD maps</t>
  </si>
  <si>
    <t>DS-201|L2</t>
  </si>
  <si>
    <t>DS-201|L4</t>
  </si>
  <si>
    <t>Datasets!O45; Datasets!R45</t>
  </si>
  <si>
    <t>Label format: Timestamped images, JSON object tracks, HD maps | Limits and pairing notes: Select tracking/stereo files. The much larger motion-forecasting release is trajectories, not a comparable raw camera release.</t>
  </si>
  <si>
    <t>DS-201|D1</t>
  </si>
  <si>
    <t>Datasets!O45; Datasets!I45</t>
  </si>
  <si>
    <t>Label format: Timestamped images, JSON object tracks, HD maps | Camera / footage details: Seven ring-camera and two stereo-camera streams with lidar and pose</t>
  </si>
  <si>
    <t>DS-201|D2</t>
  </si>
  <si>
    <t>Datasets!K45; Datasets!E45; Datasets!I45; Datasets!R45</t>
  </si>
  <si>
    <t>Publisher: Argo AI | Capture context: AV research fleet | Camera / footage details: Seven ring-camera and two stereo-camera streams with lidar and pose | Limits and pairing notes: Select tracking/stereo files. The much larger motion-forecasting release is trajectories, not a comparable raw camera release.</t>
  </si>
  <si>
    <t>DS-201|D4</t>
  </si>
  <si>
    <t>Datasets!R45; Datasets!H45</t>
  </si>
  <si>
    <t>Limits and pairing notes: Select tracking/stereo files. The much larger motion-forecasting release is trajectories, not a comparable raw camera release. | Pavement labels: No pavement distress/surface-state labels documented; 3D objects, maps and stereo disparity</t>
  </si>
  <si>
    <t>DS-201|C1</t>
  </si>
  <si>
    <t>Datasets!M45</t>
  </si>
  <si>
    <t>Reported size: 113 annotated tracking scenes; stereo data also provided</t>
  </si>
  <si>
    <t>DS-201|C2</t>
  </si>
  <si>
    <t>Datasets!M45; Datasets!H45</t>
  </si>
  <si>
    <t>Reported size: 113 annotated tracking scenes; stereo data also provided | Pavement labels: No pavement distress/surface-state labels documented; 3D objects, maps and stereo disparity</t>
  </si>
  <si>
    <t>DS-201|R1</t>
  </si>
  <si>
    <t>Datasets!N45; Datasets!E45; Datasets!I45</t>
  </si>
  <si>
    <t>Geography: Miami and Pittsburgh, USA | Capture context: AV research fleet | Camera / footage details: Seven ring-camera and two stereo-camera streams with lidar and pose</t>
  </si>
  <si>
    <t>DS-201|R2</t>
  </si>
  <si>
    <t>Datasets!N45; Datasets!E45; Datasets!I45; Datasets!R45</t>
  </si>
  <si>
    <t>Geography: Miami and Pittsburgh, USA | Capture context: AV research fleet | Camera / footage details: Seven ring-camera and two stereo-camera streams with lidar and pose | Limits and pairing notes: Select tracking/stereo files. The much larger motion-forecasting release is trajectories, not a comparable raw camera release.</t>
  </si>
  <si>
    <t>DS-201|M1</t>
  </si>
  <si>
    <t>Datasets!E45; Datasets!I45; Datasets!K45</t>
  </si>
  <si>
    <t>Capture context: AV research fleet | Camera / footage details: Seven ring-camera and two stereo-camera streams with lidar and pose | Publisher: Argo AI</t>
  </si>
  <si>
    <t>DS-201|M2</t>
  </si>
  <si>
    <t>Datasets!I45; Datasets!M45</t>
  </si>
  <si>
    <t>Camera / footage details: Seven ring-camera and two stereo-camera streams with lidar and pose | Reported size: 113 annotated tracking scenes; stereo data also provided</t>
  </si>
  <si>
    <t>DS-201|M5</t>
  </si>
  <si>
    <t>Datasets!I45; Datasets!O45; Datasets!R45</t>
  </si>
  <si>
    <t>Camera / footage details: Seven ring-camera and two stereo-camera streams with lidar and pose | Label format: Timestamped images, JSON object tracks, HD maps | Limits and pairing notes: Select tracking/stereo files. The much larger motion-forecasting release is trajectories, not a comparable raw camera release.</t>
  </si>
  <si>
    <t>DS-202|A1</t>
  </si>
  <si>
    <t>Datasets!B46; Datasets!L46; Datasets!S46; Datasets!T46</t>
  </si>
  <si>
    <t>Dataset / release family: Argoverse 2 Map Change | Release / paper year: 2023 | Dataset / download: Dataset / download | Evidence / paper: Source evidence</t>
  </si>
  <si>
    <t>DS-202|A2</t>
  </si>
  <si>
    <t>Datasets!F46; Datasets!Q46</t>
  </si>
  <si>
    <t>Access status: Public links | Access instructions: Official public downloads</t>
  </si>
  <si>
    <t>DS-202|A3</t>
  </si>
  <si>
    <t>Datasets!P46</t>
  </si>
  <si>
    <t>DS-202|L1</t>
  </si>
  <si>
    <t>Datasets!H46; Datasets!O46</t>
  </si>
  <si>
    <t>Pavement labels: Map change labels, including repainted lanes/new crosswalks; no pavement distress severity | Label format: Temporal annotations identifying a map change within 30 m</t>
  </si>
  <si>
    <t>DS-202|L2</t>
  </si>
  <si>
    <t>DS-202|L4</t>
  </si>
  <si>
    <t>Datasets!O46; Datasets!R46</t>
  </si>
  <si>
    <t>Label format: Temporal annotations identifying a map change within 30 m | Limits and pairing notes: Useful if 'pavement condition' includes changed markings; map mismatch is not a crack/pothole or lane-marking wear label. Avoid summing overlapping Argoverse-family material as independent miles.</t>
  </si>
  <si>
    <t>DS-202|D1</t>
  </si>
  <si>
    <t>Datasets!O46; Datasets!I46</t>
  </si>
  <si>
    <t>Label format: Temporal annotations identifying a map change within 30 m | Camera / footage details: Ring-camera imagery, lidar and HD maps</t>
  </si>
  <si>
    <t>DS-202|D2</t>
  </si>
  <si>
    <t>Datasets!K46; Datasets!E46; Datasets!I46; Datasets!R46</t>
  </si>
  <si>
    <t>Publisher: Argo AI | Capture context: AV research fleet | Camera / footage details: Ring-camera imagery, lidar and HD maps | Limits and pairing notes: Useful if 'pavement condition' includes changed markings; map mismatch is not a crack/pothole or lane-marking wear label. Avoid summing overlapping Argoverse-family material as independent miles.</t>
  </si>
  <si>
    <t>DS-202|D4</t>
  </si>
  <si>
    <t>Datasets!R46; Datasets!H46</t>
  </si>
  <si>
    <t>Limits and pairing notes: Useful if 'pavement condition' includes changed markings; map mismatch is not a crack/pothole or lane-marking wear label. Avoid summing overlapping Argoverse-family material as independent miles. | Pavement labels: Map change labels, including repainted lanes/new crosswalks; no pavement distress severity</t>
  </si>
  <si>
    <t>DS-202|C1</t>
  </si>
  <si>
    <t>Datasets!M46</t>
  </si>
  <si>
    <t>Reported size: 1,000 scenarios; 200 with real map changes</t>
  </si>
  <si>
    <t>DS-202|C2</t>
  </si>
  <si>
    <t>Datasets!M46; Datasets!H46</t>
  </si>
  <si>
    <t>Reported size: 1,000 scenarios; 200 with real map changes | Pavement labels: Map change labels, including repainted lanes/new crosswalks; no pavement distress severity</t>
  </si>
  <si>
    <t>DS-202|R1</t>
  </si>
  <si>
    <t>Datasets!N46; Datasets!E46; Datasets!I46</t>
  </si>
  <si>
    <t>Geography: Six US cities in Argoverse 2 | Capture context: AV research fleet | Camera / footage details: Ring-camera imagery, lidar and HD maps</t>
  </si>
  <si>
    <t>DS-202|R2</t>
  </si>
  <si>
    <t>Datasets!N46; Datasets!E46; Datasets!I46; Datasets!R46</t>
  </si>
  <si>
    <t>Geography: Six US cities in Argoverse 2 | Capture context: AV research fleet | Camera / footage details: Ring-camera imagery, lidar and HD maps | Limits and pairing notes: Useful if 'pavement condition' includes changed markings; map mismatch is not a crack/pothole or lane-marking wear label. Avoid summing overlapping Argoverse-family material as independent miles.</t>
  </si>
  <si>
    <t>DS-202|M1</t>
  </si>
  <si>
    <t>Datasets!E46; Datasets!I46; Datasets!K46</t>
  </si>
  <si>
    <t>Capture context: AV research fleet | Camera / footage details: Ring-camera imagery, lidar and HD maps | Publisher: Argo AI</t>
  </si>
  <si>
    <t>DS-202|M2</t>
  </si>
  <si>
    <t>Datasets!I46; Datasets!M46</t>
  </si>
  <si>
    <t>Camera / footage details: Ring-camera imagery, lidar and HD maps | Reported size: 1,000 scenarios; 200 with real map changes</t>
  </si>
  <si>
    <t>DS-202|M5</t>
  </si>
  <si>
    <t>Datasets!I46; Datasets!O46; Datasets!R46</t>
  </si>
  <si>
    <t>Camera / footage details: Ring-camera imagery, lidar and HD maps | Label format: Temporal annotations identifying a map change within 30 m | Limits and pairing notes: Useful if 'pavement condition' includes changed markings; map mismatch is not a crack/pothole or lane-marking wear label. Avoid summing overlapping Argoverse-family material as independent miles.</t>
  </si>
  <si>
    <t>DS-203|A1</t>
  </si>
  <si>
    <t>Datasets!B47; Datasets!L47; Datasets!S47; Datasets!T47</t>
  </si>
  <si>
    <t>Dataset / release family: Argoverse 2 Sensor | Release / paper year: 2022 | Dataset / download: Dataset / download | Evidence / paper: Source evidence</t>
  </si>
  <si>
    <t>DS-203|A2</t>
  </si>
  <si>
    <t>Datasets!F47; Datasets!Q47</t>
  </si>
  <si>
    <t>Access status: Public links | Access instructions: Public official downloads and SDK</t>
  </si>
  <si>
    <t>DS-203|A3</t>
  </si>
  <si>
    <t>Datasets!P47</t>
  </si>
  <si>
    <t>DS-203|L1</t>
  </si>
  <si>
    <t>Datasets!H47; Datasets!O47</t>
  </si>
  <si>
    <t>Pavement labels: No pavement distress/surface-state labels documented; road maps and 3D objects | Label format: Camera image sequences, 3D object annotations, HD maps</t>
  </si>
  <si>
    <t>DS-203|L2</t>
  </si>
  <si>
    <t>DS-203|L4</t>
  </si>
  <si>
    <t>Datasets!O47; Datasets!R47</t>
  </si>
  <si>
    <t>Label format: Camera image sequences, 3D object annotations, HD maps | Limits and pairing notes: Do not confuse with AV2 Lidar or Motion Forecasting datasets, which do not supply the same camera content.</t>
  </si>
  <si>
    <t>DS-203|D1</t>
  </si>
  <si>
    <t>Datasets!O47; Datasets!I47</t>
  </si>
  <si>
    <t>Label format: Camera image sequences, 3D object annotations, HD maps | Camera / footage details: Seven ring plus two stereo cameras at 20 Hz, lidar and pose</t>
  </si>
  <si>
    <t>DS-203|D2</t>
  </si>
  <si>
    <t>Datasets!K47; Datasets!E47; Datasets!I47; Datasets!R47</t>
  </si>
  <si>
    <t>Publisher: Argo AI | Capture context: AV research fleet | Camera / footage details: Seven ring plus two stereo cameras at 20 Hz, lidar and pose | Limits and pairing notes: Do not confuse with AV2 Lidar or Motion Forecasting datasets, which do not supply the same camera content.</t>
  </si>
  <si>
    <t>DS-203|D4</t>
  </si>
  <si>
    <t>Datasets!R47; Datasets!H47</t>
  </si>
  <si>
    <t>Limits and pairing notes: Do not confuse with AV2 Lidar or Motion Forecasting datasets, which do not supply the same camera content. | Pavement labels: No pavement distress/surface-state labels documented; road maps and 3D objects</t>
  </si>
  <si>
    <t>DS-203|C1</t>
  </si>
  <si>
    <t>Datasets!M47</t>
  </si>
  <si>
    <t>Reported size: 1,000 approximately 15-second scenes; 4.2 hours; about 1 TB extracted</t>
  </si>
  <si>
    <t>DS-203|C2</t>
  </si>
  <si>
    <t>Datasets!M47; Datasets!H47</t>
  </si>
  <si>
    <t>Reported size: 1,000 approximately 15-second scenes; 4.2 hours; about 1 TB extracted | Pavement labels: No pavement distress/surface-state labels documented; road maps and 3D objects</t>
  </si>
  <si>
    <t>DS-203|R1</t>
  </si>
  <si>
    <t>Datasets!N47; Datasets!E47; Datasets!I47</t>
  </si>
  <si>
    <t>Geography: Austin, Detroit, Miami, Pittsburgh, Palo Alto, Washington DC | Capture context: AV research fleet | Camera / footage details: Seven ring plus two stereo cameras at 20 Hz, lidar and pose</t>
  </si>
  <si>
    <t>DS-203|R2</t>
  </si>
  <si>
    <t>Datasets!N47; Datasets!E47; Datasets!I47; Datasets!R47</t>
  </si>
  <si>
    <t>Geography: Austin, Detroit, Miami, Pittsburgh, Palo Alto, Washington DC | Capture context: AV research fleet | Camera / footage details: Seven ring plus two stereo cameras at 20 Hz, lidar and pose | Limits and pairing notes: Do not confuse with AV2 Lidar or Motion Forecasting datasets, which do not supply the same camera content.</t>
  </si>
  <si>
    <t>DS-203|M1</t>
  </si>
  <si>
    <t>Datasets!E47; Datasets!I47; Datasets!K47</t>
  </si>
  <si>
    <t>Capture context: AV research fleet | Camera / footage details: Seven ring plus two stereo cameras at 20 Hz, lidar and pose | Publisher: Argo AI</t>
  </si>
  <si>
    <t>DS-203|M2</t>
  </si>
  <si>
    <t>Datasets!I47; Datasets!M47</t>
  </si>
  <si>
    <t>Camera / footage details: Seven ring plus two stereo cameras at 20 Hz, lidar and pose | Reported size: 1,000 approximately 15-second scenes; 4.2 hours; about 1 TB extracted</t>
  </si>
  <si>
    <t>DS-203|M5</t>
  </si>
  <si>
    <t>Datasets!I47; Datasets!O47; Datasets!R47</t>
  </si>
  <si>
    <t>Camera / footage details: Seven ring plus two stereo cameras at 20 Hz, lidar and pose | Label format: Camera image sequences, 3D object annotations, HD maps | Limits and pairing notes: Do not confuse with AV2 Lidar or Motion Forecasting datasets, which do not supply the same camera content.</t>
  </si>
  <si>
    <t>DS-204|A1</t>
  </si>
  <si>
    <t>Datasets!B48; Datasets!L48; Datasets!S48; Datasets!T48</t>
  </si>
  <si>
    <t>Dataset / release family: Aurora Multi-Sensor Dataset / Pit30M | Release / paper year: 2020 paper; 2023 public release | Dataset / download: Dataset / download | Evidence / paper: Source evidence</t>
  </si>
  <si>
    <t>DS-204|A2</t>
  </si>
  <si>
    <t>Datasets!F48; Datasets!Q48</t>
  </si>
  <si>
    <t>Access status: Public links | Access instructions: Public AWS S3 pit30m bucket; SDK linked from registry</t>
  </si>
  <si>
    <t>DS-204|A3</t>
  </si>
  <si>
    <t>Datasets!P48</t>
  </si>
  <si>
    <t>License / use terms: CC BY-NC-SA 4.0; intended for noncommercial academic use</t>
  </si>
  <si>
    <t>DS-204|L1</t>
  </si>
  <si>
    <t>Datasets!H48; Datasets!O48</t>
  </si>
  <si>
    <t>Pavement labels: Weather metadata and semantic segmentation; no pavement distress/severity annotations documented | Label format: Images, LiDAR, localization ground truth and metadata; Python SDK</t>
  </si>
  <si>
    <t>DS-204|L2</t>
  </si>
  <si>
    <t>DS-204|L4</t>
  </si>
  <si>
    <t>Datasets!O48; Datasets!R48</t>
  </si>
  <si>
    <t>Label format: Images, LiDAR, localization ground truth and metadata; Python SDK | Limits and pairing notes: Deduplicated: Aurora Multi-Sensor and Pit30M are the same release family. Does not fill the request for Aurora truck-camera data.</t>
  </si>
  <si>
    <t>DS-204|D1</t>
  </si>
  <si>
    <t>Datasets!O48; Datasets!I48</t>
  </si>
  <si>
    <t>Label format: Images, LiDAR, localization ground truth and metadata; Python SDK | Camera / footage details: Seven 1920x1200 cameras, including stereo and surrounding views; LiDAR</t>
  </si>
  <si>
    <t>DS-204|D2</t>
  </si>
  <si>
    <t>Datasets!K48; Datasets!E48; Datasets!I48; Datasets!R48</t>
  </si>
  <si>
    <t>Publisher: Aurora (via Uber ATG) and University of Toronto | Capture context: AV research fleet | Camera / footage details: Seven 1920x1200 cameras, including stereo and surrounding views; LiDAR | Limits and pairing notes: Deduplicated: Aurora Multi-Sensor and Pit30M are the same release family. Does not fill the request for Aurora truck-camera data.</t>
  </si>
  <si>
    <t>Aurora Multi-Sensor and Pit30M are explicitly the same release family; capture place/time and Aurora-linked collection are stated.</t>
  </si>
  <si>
    <t>DS-204|D4</t>
  </si>
  <si>
    <t>Datasets!R48; Datasets!H48</t>
  </si>
  <si>
    <t>Limits and pairing notes: Deduplicated: Aurora Multi-Sensor and Pit30M are the same release family. Does not fill the request for Aurora truck-camera data. | Pavement labels: Weather metadata and semantic segmentation; no pavement distress/severity annotations documented</t>
  </si>
  <si>
    <t>DS-204|C1</t>
  </si>
  <si>
    <t>Datasets!M48</t>
  </si>
  <si>
    <t>Reported size: More than 30 million image/LiDAR frames (paper)</t>
  </si>
  <si>
    <t>DS-204|C2</t>
  </si>
  <si>
    <t>Datasets!M48; Datasets!H48</t>
  </si>
  <si>
    <t>Reported size: More than 30 million image/LiDAR frames (paper) | Pavement labels: Weather metadata and semantic segmentation; no pavement distress/severity annotations documented</t>
  </si>
  <si>
    <t>DS-204|R1</t>
  </si>
  <si>
    <t>Datasets!N48; Datasets!E48; Datasets!I48</t>
  </si>
  <si>
    <t>Geography: Pittsburgh metropolitan area, USA; captured January 2017-February 2018 | Capture context: AV research fleet | Camera / footage details: Seven 1920x1200 cameras, including stereo and surrounding views; LiDAR</t>
  </si>
  <si>
    <t>DS-204|R2</t>
  </si>
  <si>
    <t>Datasets!N48; Datasets!E48; Datasets!I48; Datasets!R48</t>
  </si>
  <si>
    <t>Geography: Pittsburgh metropolitan area, USA; captured January 2017-February 2018 | Capture context: AV research fleet | Camera / footage details: Seven 1920x1200 cameras, including stereo and surrounding views; LiDAR | Limits and pairing notes: Deduplicated: Aurora Multi-Sensor and Pit30M are the same release family. Does not fill the request for Aurora truck-camera data.</t>
  </si>
  <si>
    <t>DS-204|M1</t>
  </si>
  <si>
    <t>Datasets!E48; Datasets!I48; Datasets!K48</t>
  </si>
  <si>
    <t>Capture context: AV research fleet | Camera / footage details: Seven 1920x1200 cameras, including stereo and surrounding views; LiDAR | Publisher: Aurora (via Uber ATG) and University of Toronto</t>
  </si>
  <si>
    <t>DS-204|M2</t>
  </si>
  <si>
    <t>Datasets!I48; Datasets!M48</t>
  </si>
  <si>
    <t>Camera / footage details: Seven 1920x1200 cameras, including stereo and surrounding views; LiDAR | Reported size: More than 30 million image/LiDAR frames (paper)</t>
  </si>
  <si>
    <t>DS-204|M5</t>
  </si>
  <si>
    <t>Datasets!I48; Datasets!O48; Datasets!R48</t>
  </si>
  <si>
    <t>Camera / footage details: Seven 1920x1200 cameras, including stereo and surrounding views; LiDAR | Label format: Images, LiDAR, localization ground truth and metadata; Python SDK | Limits and pairing notes: Deduplicated: Aurora Multi-Sensor and Pit30M are the same release family. Does not fill the request for Aurora truck-camera data.</t>
  </si>
  <si>
    <t>DS-205|A1</t>
  </si>
  <si>
    <t>Datasets!B49; Datasets!L49; Datasets!S49; Datasets!T49</t>
  </si>
  <si>
    <t>Dataset / release family: BDD100K | Release / paper year: 2018; paper 2020 | Dataset / download: Dataset / download | Evidence / paper: Source evidence</t>
  </si>
  <si>
    <t>DS-205|A2</t>
  </si>
  <si>
    <t>Datasets!F49; Datasets!Q49</t>
  </si>
  <si>
    <t>Access status: Availability uncertain | Access instructions: Official project/toolkit remains online; main download site could not be reached during this review</t>
  </si>
  <si>
    <t>DS-205|A3</t>
  </si>
  <si>
    <t>Datasets!P49</t>
  </si>
  <si>
    <t>License / use terms: Dataset-specific BDD100K terms; verify before downloading/reusing</t>
  </si>
  <si>
    <t>DS-205|L1</t>
  </si>
  <si>
    <t>Datasets!H49; Datasets!O49</t>
  </si>
  <si>
    <t>Pavement labels: Weather/time/scene tags, drivable areas and lanes; no direct pavement distress labels in standard tasks | Label format: JSON labels; road/lane masks; object detection and tracking</t>
  </si>
  <si>
    <t>DS-205|L2</t>
  </si>
  <si>
    <t>DS-205|L4</t>
  </si>
  <si>
    <t>Datasets!O49; Datasets!R49</t>
  </si>
  <si>
    <t>Label format: JSON labels; road/lane masks; object detection and tracking | Limits and pairing notes: Weather such as rainy/snowy does not directly establish road wetness or distress. Bulk download availability was not validated.</t>
  </si>
  <si>
    <t>DS-205|D1</t>
  </si>
  <si>
    <t>Datasets!O49; Datasets!I49</t>
  </si>
  <si>
    <t>Label format: JSON labels; road/lane masks; object detection and tracking | Camera / footage details: 100k approximately 40-second driving videos plus extracted annotated keyframes</t>
  </si>
  <si>
    <t>DS-205|D2</t>
  </si>
  <si>
    <t>Datasets!K49; Datasets!E49; Datasets!I49; Datasets!R49</t>
  </si>
  <si>
    <t>Publisher: UC Berkeley / Nexar | Capture context: Human-driven survey | Camera / footage details: 100k approximately 40-second driving videos plus extracted annotated keyframes | Limits and pairing notes: Weather such as rainy/snowy does not directly establish road wetness or distress. Bulk download availability was not validated.</t>
  </si>
  <si>
    <t>DS-205|D4</t>
  </si>
  <si>
    <t>Datasets!R49; Datasets!H49</t>
  </si>
  <si>
    <t>Limits and pairing notes: Weather such as rainy/snowy does not directly establish road wetness or distress. Bulk download availability was not validated. | Pavement labels: Weather/time/scene tags, drivable areas and lanes; no direct pavement distress labels in standard tasks</t>
  </si>
  <si>
    <t>DS-205|C1</t>
  </si>
  <si>
    <t>Datasets!M49</t>
  </si>
  <si>
    <t>Reported size: 100,000 videos; over 1,000 hours</t>
  </si>
  <si>
    <t>DS-205|C2</t>
  </si>
  <si>
    <t>Datasets!M49; Datasets!H49</t>
  </si>
  <si>
    <t>Reported size: 100,000 videos; over 1,000 hours | Pavement labels: Weather/time/scene tags, drivable areas and lanes; no direct pavement distress labels in standard tasks</t>
  </si>
  <si>
    <t>DS-205|R1</t>
  </si>
  <si>
    <t>Datasets!N49; Datasets!E49; Datasets!I49</t>
  </si>
  <si>
    <t>Geography: United States | Capture context: Human-driven survey | Camera / footage details: 100k approximately 40-second driving videos plus extracted annotated keyframes</t>
  </si>
  <si>
    <t>DS-205|R2</t>
  </si>
  <si>
    <t>Datasets!N49; Datasets!E49; Datasets!I49; Datasets!R49</t>
  </si>
  <si>
    <t>Geography: United States | Capture context: Human-driven survey | Camera / footage details: 100k approximately 40-second driving videos plus extracted annotated keyframes | Limits and pairing notes: Weather such as rainy/snowy does not directly establish road wetness or distress. Bulk download availability was not validated.</t>
  </si>
  <si>
    <t>DS-205|M1</t>
  </si>
  <si>
    <t>Datasets!E49; Datasets!I49; Datasets!K49</t>
  </si>
  <si>
    <t>Capture context: Human-driven survey | Camera / footage details: 100k approximately 40-second driving videos plus extracted annotated keyframes | Publisher: UC Berkeley / Nexar</t>
  </si>
  <si>
    <t>DS-205|M2</t>
  </si>
  <si>
    <t>Datasets!I49; Datasets!M49</t>
  </si>
  <si>
    <t>Camera / footage details: 100k approximately 40-second driving videos plus extracted annotated keyframes | Reported size: 100,000 videos; over 1,000 hours</t>
  </si>
  <si>
    <t>DS-205|M5</t>
  </si>
  <si>
    <t>Datasets!I49; Datasets!O49; Datasets!R49</t>
  </si>
  <si>
    <t>Camera / footage details: 100k approximately 40-second driving videos plus extracted annotated keyframes | Label format: JSON labels; road/lane masks; object detection and tracking | Limits and pairing notes: Weather such as rainy/snowy does not directly establish road wetness or distress. Bulk download availability was not validated.</t>
  </si>
  <si>
    <t>DS-206|A1</t>
  </si>
  <si>
    <t>Datasets!B50; Datasets!L50; Datasets!S50; Datasets!T50</t>
  </si>
  <si>
    <t>Dataset / release family: Boreas / Boreas Road Trip (Boreas-RT) | Release / paper year: 2021–2023; Boreas-RT 2026 | Dataset / download: Dataset / download | Evidence / paper: Source evidence</t>
  </si>
  <si>
    <t>DS-206|A2</t>
  </si>
  <si>
    <t>Datasets!F50; Datasets!Q50</t>
  </si>
  <si>
    <t>Access status: Request access | Access instructions: Public S3; AWS account optional with no-sign-request</t>
  </si>
  <si>
    <t>DS-206|A3</t>
  </si>
  <si>
    <t>Datasets!P50</t>
  </si>
  <si>
    <t>License / use terms: CC BY 4.0 for both datasets</t>
  </si>
  <si>
    <t>DS-206|L1</t>
  </si>
  <si>
    <t>Datasets!H50; Datasets!O50</t>
  </si>
  <si>
    <t>Pavement labels: No pavement distress/surface-state labels documented; seasonal/weather coverage and pose/object annotations | Label format: Timestamped sensor files, poses; Boreas 3D object boxes</t>
  </si>
  <si>
    <t>DS-206|L2</t>
  </si>
  <si>
    <t>DS-206|L4</t>
  </si>
  <si>
    <t>Datasets!O50; Datasets!R50</t>
  </si>
  <si>
    <t>Label format: Timestamped sensor files, poses; Boreas 3D object boxes | Limits and pairing notes: All-weather imagery supports manual pavement labeling. Sensors are timestamped rather than strictly simultaneous. License: https://github.com/utiasASRL/pyboreas/blob/master/DATA_LICENSE.md</t>
  </si>
  <si>
    <t>DS-206|D1</t>
  </si>
  <si>
    <t>Datasets!O50; Datasets!I50</t>
  </si>
  <si>
    <t>Label format: Timestamped sensor files, poses; Boreas 3D object boxes | Camera / footage details: 5 MP camera sequences, lidar, radar, GNSS/IMU; RT adds sensors/routes</t>
  </si>
  <si>
    <t>DS-206|D2</t>
  </si>
  <si>
    <t>Datasets!K50; Datasets!E50; Datasets!I50; Datasets!R50</t>
  </si>
  <si>
    <t>Publisher: University of Toronto UTIAS ASRL | Capture context: AV research fleet | Camera / footage details: 5 MP camera sequences, lidar, radar, GNSS/IMU; RT adds sensors/routes | Limits and pairing notes: All-weather imagery supports manual pavement labeling. Sensors are timestamped rather than strictly simultaneous. License: https://github.com/utiasASRL/pyboreas/blob/master/DATA_LICENSE.md</t>
  </si>
  <si>
    <t>DS-206|D4</t>
  </si>
  <si>
    <t>Datasets!R50; Datasets!H50</t>
  </si>
  <si>
    <t>Limits and pairing notes: All-weather imagery supports manual pavement labeling. Sensors are timestamped rather than strictly simultaneous. License: https://github.com/utiasASRL/pyboreas/blob/master/DATA_LICENSE.md | Pavement labels: No pavement distress/surface-state labels documented; seasonal/weather coverage and pose/object annotations</t>
  </si>
  <si>
    <t>DS-206|C1</t>
  </si>
  <si>
    <t>Datasets!M50</t>
  </si>
  <si>
    <t>Reported size: Original Boreas over 350 km; RT is separate multi-route extension</t>
  </si>
  <si>
    <t>DS-206|C2</t>
  </si>
  <si>
    <t>Datasets!M50; Datasets!H50</t>
  </si>
  <si>
    <t>Reported size: Original Boreas over 350 km; RT is separate multi-route extension | Pavement labels: No pavement distress/surface-state labels documented; seasonal/weather coverage and pose/object annotations</t>
  </si>
  <si>
    <t>DS-206|R1</t>
  </si>
  <si>
    <t>Datasets!N50; Datasets!E50; Datasets!I50</t>
  </si>
  <si>
    <t>Geography: Canada | Capture context: AV research fleet | Camera / footage details: 5 MP camera sequences, lidar, radar, GNSS/IMU; RT adds sensors/routes</t>
  </si>
  <si>
    <t>DS-206|R2</t>
  </si>
  <si>
    <t>Datasets!N50; Datasets!E50; Datasets!I50; Datasets!R50</t>
  </si>
  <si>
    <t>Geography: Canada | Capture context: AV research fleet | Camera / footage details: 5 MP camera sequences, lidar, radar, GNSS/IMU; RT adds sensors/routes | Limits and pairing notes: All-weather imagery supports manual pavement labeling. Sensors are timestamped rather than strictly simultaneous. License: https://github.com/utiasASRL/pyboreas/blob/master/DATA_LICENSE.md</t>
  </si>
  <si>
    <t>DS-206|M1</t>
  </si>
  <si>
    <t>Datasets!E50; Datasets!I50; Datasets!K50</t>
  </si>
  <si>
    <t>Capture context: AV research fleet | Camera / footage details: 5 MP camera sequences, lidar, radar, GNSS/IMU; RT adds sensors/routes | Publisher: University of Toronto UTIAS ASRL</t>
  </si>
  <si>
    <t>DS-206|M2</t>
  </si>
  <si>
    <t>Datasets!I50; Datasets!M50</t>
  </si>
  <si>
    <t>Camera / footage details: 5 MP camera sequences, lidar, radar, GNSS/IMU; RT adds sensors/routes | Reported size: Original Boreas over 350 km; RT is separate multi-route extension</t>
  </si>
  <si>
    <t>The source reports a 5 MP camera. This documents ordinary image resolution but does not establish physical ground scale.</t>
  </si>
  <si>
    <t>DS-206|M5</t>
  </si>
  <si>
    <t>Datasets!I50; Datasets!O50; Datasets!R50</t>
  </si>
  <si>
    <t>Camera / footage details: 5 MP camera sequences, lidar, radar, GNSS/IMU; RT adds sensors/routes | Label format: Timestamped sensor files, poses; Boreas 3D object boxes | Limits and pairing notes: All-weather imagery supports manual pavement labeling. Sensors are timestamped rather than strictly simultaneous. License: https://github.com/utiasASRL/pyboreas/blob/master/DATA_LICENSE.md</t>
  </si>
  <si>
    <t>DS-207|A1</t>
  </si>
  <si>
    <t>Datasets!B51; Datasets!L51; Datasets!S51; Datasets!T51</t>
  </si>
  <si>
    <t>Dataset / release family: Canadian Adverse Driving Conditions (CADC) / CADC+ | Release / paper year: 2020; CADC+ 2025 | Dataset / download: Dataset / download | Evidence / paper: Source evidence</t>
  </si>
  <si>
    <t>DS-207|A2</t>
  </si>
  <si>
    <t>Datasets!F51; Datasets!Q51</t>
  </si>
  <si>
    <t>Access status: Public links | Access instructions: Public devkit download scripts; CADC+ official lab download page</t>
  </si>
  <si>
    <t>DS-207|A3</t>
  </si>
  <si>
    <t>Datasets!P51</t>
  </si>
  <si>
    <t>License / use terms: CADC CC BY-NC 4.0; confirm CADC+ package terms separately</t>
  </si>
  <si>
    <t>DS-207|L1</t>
  </si>
  <si>
    <t>Datasets!H51; Datasets!O51</t>
  </si>
  <si>
    <t>Pavement labels: Winter/weather domains and 3D objects; direct pavement distress or measured friction labels not documented | Label format: Timestamped images and 3D object boxes/tracks</t>
  </si>
  <si>
    <t>DS-207|L2</t>
  </si>
  <si>
    <t>DS-207|L4</t>
  </si>
  <si>
    <t>Datasets!O51; Datasets!R51</t>
  </si>
  <si>
    <t>Label format: Timestamped images and 3D object boxes/tracks | Limits and pairing notes: Snow-focused collection is useful, but do not relabel snowy weather as snow-covered pavement automatically. Extension: https://uwaterloo.ca/waterloo-intelligent-systems-engineering-lab/cadc-plus</t>
  </si>
  <si>
    <t>DS-207|D1</t>
  </si>
  <si>
    <t>Datasets!O51; Datasets!I51</t>
  </si>
  <si>
    <t>Label format: Timestamped images and 3D object boxes/tracks | Camera / footage details: Eight-camera sequences, lidar, GNSS/INS; CADC+ adds matched clear-weather recordings</t>
  </si>
  <si>
    <t>DS-207|D2</t>
  </si>
  <si>
    <t>Datasets!K51; Datasets!E51; Datasets!I51; Datasets!R51</t>
  </si>
  <si>
    <t>Publisher: University of Waterloo / University of Toronto | Capture context: AV research fleet | Camera / footage details: Eight-camera sequences, lidar, GNSS/INS; CADC+ adds matched clear-weather recordings | Limits and pairing notes: Snow-focused collection is useful, but do not relabel snowy weather as snow-covered pavement automatically. Extension: https://uwaterloo.ca/waterloo-intelligent-systems-engineering-lab/cadc-plus</t>
  </si>
  <si>
    <t>DS-207|D4</t>
  </si>
  <si>
    <t>Datasets!R51; Datasets!H51</t>
  </si>
  <si>
    <t>Limits and pairing notes: Snow-focused collection is useful, but do not relabel snowy weather as snow-covered pavement automatically. Extension: https://uwaterloo.ca/waterloo-intelligent-systems-engineering-lab/cadc-plus | Pavement labels: Winter/weather domains and 3D objects; direct pavement distress or measured friction labels not documented</t>
  </si>
  <si>
    <t>DS-207|C1</t>
  </si>
  <si>
    <t>Datasets!M51</t>
  </si>
  <si>
    <t>Reported size: Original CADC 7,000 synchronized frames (56,000 camera images)</t>
  </si>
  <si>
    <t>DS-207|C2</t>
  </si>
  <si>
    <t>Datasets!M51; Datasets!H51</t>
  </si>
  <si>
    <t>Reported size: Original CADC 7,000 synchronized frames (56,000 camera images) | Pavement labels: Winter/weather domains and 3D objects; direct pavement distress or measured friction labels not documented</t>
  </si>
  <si>
    <t>DS-207|R1</t>
  </si>
  <si>
    <t>Datasets!N51; Datasets!E51; Datasets!I51</t>
  </si>
  <si>
    <t>Geography: Waterloo region, Canada | Capture context: AV research fleet | Camera / footage details: Eight-camera sequences, lidar, GNSS/INS; CADC+ adds matched clear-weather recordings</t>
  </si>
  <si>
    <t>DS-207|R2</t>
  </si>
  <si>
    <t>Datasets!N51; Datasets!E51; Datasets!I51; Datasets!R51</t>
  </si>
  <si>
    <t>Geography: Waterloo region, Canada | Capture context: AV research fleet | Camera / footage details: Eight-camera sequences, lidar, GNSS/INS; CADC+ adds matched clear-weather recordings | Limits and pairing notes: Snow-focused collection is useful, but do not relabel snowy weather as snow-covered pavement automatically. Extension: https://uwaterloo.ca/waterloo-intelligent-systems-engineering-lab/cadc-plus</t>
  </si>
  <si>
    <t>DS-207|M1</t>
  </si>
  <si>
    <t>Datasets!E51; Datasets!I51; Datasets!K51</t>
  </si>
  <si>
    <t>Capture context: AV research fleet | Camera / footage details: Eight-camera sequences, lidar, GNSS/INS; CADC+ adds matched clear-weather recordings | Publisher: University of Waterloo / University of Toronto</t>
  </si>
  <si>
    <t>DS-207|M2</t>
  </si>
  <si>
    <t>Datasets!I51; Datasets!M51</t>
  </si>
  <si>
    <t>Camera / footage details: Eight-camera sequences, lidar, GNSS/INS; CADC+ adds matched clear-weather recordings | Reported size: Original CADC 7,000 synchronized frames (56,000 camera images)</t>
  </si>
  <si>
    <t>DS-207|M5</t>
  </si>
  <si>
    <t>Datasets!I51; Datasets!O51; Datasets!R51</t>
  </si>
  <si>
    <t>Camera / footage details: Eight-camera sequences, lidar, GNSS/INS; CADC+ adds matched clear-weather recordings | Label format: Timestamped images and 3D object boxes/tracks | Limits and pairing notes: Snow-focused collection is useful, but do not relabel snowy weather as snow-covered pavement automatically. Extension: https://uwaterloo.ca/waterloo-intelligent-systems-engineering-lab/cadc-plus</t>
  </si>
  <si>
    <t>DS-208|A1</t>
  </si>
  <si>
    <t>Datasets!B52; Datasets!L52; Datasets!S52; Datasets!T52</t>
  </si>
  <si>
    <t>Dataset / release family: Cityscapes | Release / paper year: 2016 | Dataset / download: Dataset / download | Evidence / paper: Source evidence</t>
  </si>
  <si>
    <t>DS-208|A2</t>
  </si>
  <si>
    <t>Datasets!F52; Datasets!Q52</t>
  </si>
  <si>
    <t>Access status: Account / terms | Access instructions: Register and agree to license; image sequence packages available</t>
  </si>
  <si>
    <t>DS-208|A3</t>
  </si>
  <si>
    <t>Datasets!P52</t>
  </si>
  <si>
    <t>License / use terms: Custom noncommercial research terms</t>
  </si>
  <si>
    <t>DS-208|L1</t>
  </si>
  <si>
    <t>Datasets!H52; Datasets!O52</t>
  </si>
  <si>
    <t>Pavement labels: Road/sidewalk/lane-related scene semantics; no pavement distress or surface-state labels | Label format: Pixel semantic, instance and panoptic annotations</t>
  </si>
  <si>
    <t>DS-208|L2</t>
  </si>
  <si>
    <t>DS-208|L4</t>
  </si>
  <si>
    <t>Datasets!O52; Datasets!R52</t>
  </si>
  <si>
    <t>Label format: Pixel semantic, instance and panoptic annotations | Limits and pairing notes: Use image-sequence downloads for temporal footage; most dense labels are selected keyframes only.</t>
  </si>
  <si>
    <t>DS-208|D1</t>
  </si>
  <si>
    <t>Datasets!O52; Datasets!I52</t>
  </si>
  <si>
    <t>Label format: Pixel semantic, instance and panoptic annotations | Camera / footage details: Stereo images with preceding/trailing video frames, GPS and odometry</t>
  </si>
  <si>
    <t>DS-208|D2</t>
  </si>
  <si>
    <t>Datasets!K52; Datasets!E52; Datasets!I52; Datasets!R52</t>
  </si>
  <si>
    <t>Publisher: Daimler / Max Planck Institute / TU Darmstadt | Capture context: Human-driven survey | Camera / footage details: Stereo images with preceding/trailing video frames, GPS and odometry | Limits and pairing notes: Use image-sequence downloads for temporal footage; most dense labels are selected keyframes only.</t>
  </si>
  <si>
    <t>DS-208|D4</t>
  </si>
  <si>
    <t>Datasets!R52; Datasets!H52</t>
  </si>
  <si>
    <t>Limits and pairing notes: Use image-sequence downloads for temporal footage; most dense labels are selected keyframes only. | Pavement labels: Road/sidewalk/lane-related scene semantics; no pavement distress or surface-state labels</t>
  </si>
  <si>
    <t>DS-208|C1</t>
  </si>
  <si>
    <t>Datasets!M52</t>
  </si>
  <si>
    <t>Reported size: 5,000 finely labeled plus 20,000 coarsely labeled frames; 50 cities</t>
  </si>
  <si>
    <t>DS-208|C2</t>
  </si>
  <si>
    <t>Datasets!M52; Datasets!H52</t>
  </si>
  <si>
    <t>Reported size: 5,000 finely labeled plus 20,000 coarsely labeled frames; 50 cities | Pavement labels: Road/sidewalk/lane-related scene semantics; no pavement distress or surface-state labels</t>
  </si>
  <si>
    <t>DS-208|R1</t>
  </si>
  <si>
    <t>Datasets!N52; Datasets!E52; Datasets!I52</t>
  </si>
  <si>
    <t>Geography: European cities, predominantly Germany | Capture context: Human-driven survey | Camera / footage details: Stereo images with preceding/trailing video frames, GPS and odometry</t>
  </si>
  <si>
    <t>DS-208|R2</t>
  </si>
  <si>
    <t>Datasets!N52; Datasets!E52; Datasets!I52; Datasets!R52</t>
  </si>
  <si>
    <t>Geography: European cities, predominantly Germany | Capture context: Human-driven survey | Camera / footage details: Stereo images with preceding/trailing video frames, GPS and odometry | Limits and pairing notes: Use image-sequence downloads for temporal footage; most dense labels are selected keyframes only.</t>
  </si>
  <si>
    <t>DS-208|M1</t>
  </si>
  <si>
    <t>Datasets!E52; Datasets!I52; Datasets!K52</t>
  </si>
  <si>
    <t>Capture context: Human-driven survey | Camera / footage details: Stereo images with preceding/trailing video frames, GPS and odometry | Publisher: Daimler / Max Planck Institute / TU Darmstadt</t>
  </si>
  <si>
    <t>DS-208|M2</t>
  </si>
  <si>
    <t>Datasets!I52; Datasets!M52</t>
  </si>
  <si>
    <t>Camera / footage details: Stereo images with preceding/trailing video frames, GPS and odometry | Reported size: 5,000 finely labeled plus 20,000 coarsely labeled frames; 50 cities</t>
  </si>
  <si>
    <t>DS-208|M5</t>
  </si>
  <si>
    <t>Datasets!I52; Datasets!O52; Datasets!R52</t>
  </si>
  <si>
    <t>Camera / footage details: Stereo images with preceding/trailing video frames, GPS and odometry | Label format: Pixel semantic, instance and panoptic annotations | Limits and pairing notes: Use image-sequence downloads for temporal footage; most dense labels are selected keyframes only.</t>
  </si>
  <si>
    <t>DS-209|A1</t>
  </si>
  <si>
    <t>Datasets!B53; Datasets!L53; Datasets!S53; Datasets!T53</t>
  </si>
  <si>
    <t>Dataset / release family: comma10k | Release / paper year: 2020 | Dataset / download: Dataset / download | Evidence / paper: Source evidence</t>
  </si>
  <si>
    <t>DS-209|A2</t>
  </si>
  <si>
    <t>Datasets!F53; Datasets!Q53</t>
  </si>
  <si>
    <t>Access status: Public links | Access instructions: Public GitHub repository</t>
  </si>
  <si>
    <t>DS-209|A3</t>
  </si>
  <si>
    <t>Datasets!P53</t>
  </si>
  <si>
    <t>License / use terms: MIT, explicitly stated for dataset</t>
  </si>
  <si>
    <t>DS-209|L1</t>
  </si>
  <si>
    <t>Datasets!H53; Datasets!O53</t>
  </si>
  <si>
    <t>Pavement labels: Road, lane markings and undrivable masks; no crack/pothole/surface-state labels | Label format: PNG semantic segmentation masks</t>
  </si>
  <si>
    <t>DS-209|L2</t>
  </si>
  <si>
    <t>DS-209|L4</t>
  </si>
  <si>
    <t>Datasets!O53; Datasets!R53</t>
  </si>
  <si>
    <t>Label format: PNG semantic segmentation masks | Limits and pairing notes: Use exterior imgs/imgs2 sets; imgsd is driver-facing. Still images, not continuous footage. Newer set annotation completeness varies.</t>
  </si>
  <si>
    <t>DS-209|D1</t>
  </si>
  <si>
    <t>Datasets!O53; Datasets!I53</t>
  </si>
  <si>
    <t>Label format: PNG semantic segmentation masks | Camera / footage details: Original 10k PNG still images; extra image sets include fisheye and interior views</t>
  </si>
  <si>
    <t>DS-209|D2</t>
  </si>
  <si>
    <t>Datasets!K53; Datasets!E53; Datasets!I53; Datasets!R53</t>
  </si>
  <si>
    <t>Publisher: comma.ai and public annotators | Capture context: AV research fleet | Camera / footage details: Original 10k PNG still images; extra image sets include fisheye and interior views | Limits and pairing notes: Use exterior imgs/imgs2 sets; imgsd is driver-facing. Still images, not continuous footage. Newer set annotation completeness varies.</t>
  </si>
  <si>
    <t>DS-209|D4</t>
  </si>
  <si>
    <t>Datasets!R53; Datasets!H53</t>
  </si>
  <si>
    <t>Limits and pairing notes: Use exterior imgs/imgs2 sets; imgsd is driver-facing. Still images, not continuous footage. Newer set annotation completeness varies. | Pavement labels: Road, lane markings and undrivable masks; no crack/pothole/surface-state labels</t>
  </si>
  <si>
    <t>DS-209|C1</t>
  </si>
  <si>
    <t>Datasets!M53</t>
  </si>
  <si>
    <t>Reported size: 10,000 original road-facing images plus later extensions</t>
  </si>
  <si>
    <t>DS-209|C2</t>
  </si>
  <si>
    <t>Datasets!M53; Datasets!H53</t>
  </si>
  <si>
    <t>Reported size: 10,000 original road-facing images plus later extensions | Pavement labels: Road, lane markings and undrivable masks; no crack/pothole/surface-state labels</t>
  </si>
  <si>
    <t>DS-209|R1</t>
  </si>
  <si>
    <t>Datasets!N53; Datasets!E53; Datasets!I53</t>
  </si>
  <si>
    <t>Geography: Crowdsourced fleet; diverse locations | Capture context: AV research fleet | Camera / footage details: Original 10k PNG still images; extra image sets include fisheye and interior views</t>
  </si>
  <si>
    <t>DS-209|R2</t>
  </si>
  <si>
    <t>Datasets!N53; Datasets!E53; Datasets!I53; Datasets!R53</t>
  </si>
  <si>
    <t>Geography: Crowdsourced fleet; diverse locations | Capture context: AV research fleet | Camera / footage details: Original 10k PNG still images; extra image sets include fisheye and interior views | Limits and pairing notes: Use exterior imgs/imgs2 sets; imgsd is driver-facing. Still images, not continuous footage. Newer set annotation completeness varies.</t>
  </si>
  <si>
    <t>DS-209|M1</t>
  </si>
  <si>
    <t>Datasets!E53; Datasets!I53; Datasets!K53</t>
  </si>
  <si>
    <t>Capture context: AV research fleet | Camera / footage details: Original 10k PNG still images; extra image sets include fisheye and interior views | Publisher: comma.ai and public annotators</t>
  </si>
  <si>
    <t>DS-209|M2</t>
  </si>
  <si>
    <t>Datasets!I53; Datasets!M53</t>
  </si>
  <si>
    <t>Camera / footage details: Original 10k PNG still images; extra image sets include fisheye and interior views | Reported size: 10,000 original road-facing images plus later extensions</t>
  </si>
  <si>
    <t>DS-209|M5</t>
  </si>
  <si>
    <t>Datasets!I53; Datasets!O53; Datasets!R53</t>
  </si>
  <si>
    <t>Camera / footage details: Original 10k PNG still images; extra image sets include fisheye and interior views | Label format: PNG semantic segmentation masks | Limits and pairing notes: Use exterior imgs/imgs2 sets; imgsd is driver-facing. Still images, not continuous footage. Newer set annotation completeness varies.</t>
  </si>
  <si>
    <t>DS-210|A1</t>
  </si>
  <si>
    <t>Datasets!B54; Datasets!L54; Datasets!S54; Datasets!T54</t>
  </si>
  <si>
    <t>Dataset / release family: comma2k19 | Release / paper year: 2018 | Dataset / download: Dataset / download | Evidence / paper: Source evidence</t>
  </si>
  <si>
    <t>DS-210|A2</t>
  </si>
  <si>
    <t>Datasets!F54; Datasets!Q54</t>
  </si>
  <si>
    <t>Access status: Public links | Access instructions: Official repository links to Academic Torrents; example segment in repo</t>
  </si>
  <si>
    <t>DS-210|A3</t>
  </si>
  <si>
    <t>Datasets!P54</t>
  </si>
  <si>
    <t>License / use terms: Repository MIT; review downloaded data notices</t>
  </si>
  <si>
    <t>Only repository MIT is cited; data-specific notices remain to be checked.</t>
  </si>
  <si>
    <t>DS-210|L1</t>
  </si>
  <si>
    <t>Annotation domain excluded for the whole unlabeled cohort.</t>
  </si>
  <si>
    <t>Not applicable under the prespecified unlabeled profile.</t>
  </si>
  <si>
    <t>Cohort policy</t>
  </si>
  <si>
    <t>DS-210|L2</t>
  </si>
  <si>
    <t>DS-210|L4</t>
  </si>
  <si>
    <t>DS-210|D1</t>
  </si>
  <si>
    <t>Datasets!O54; Datasets!I54</t>
  </si>
  <si>
    <t>Label format: Unlabeled video; Cap'n Proto raw logs and NumPy pose arrays | Camera / footage details: Road-facing HEVC video, CAN, IMU, GNSS and frame-aligned poses</t>
  </si>
  <si>
    <t>DS-210|D2</t>
  </si>
  <si>
    <t>Datasets!K54; Datasets!E54; Datasets!I54; Datasets!R54</t>
  </si>
  <si>
    <t>Publisher: comma.ai | Capture context: AV research fleet | Camera / footage details: Road-facing HEVC video, CAN, IMU, GNSS and frame-aligned poses | Limits and pairing notes: Strong semi-autonomous/ADAS context, but not Tesla/Rivian. Highway-focused. Windows extraction needs documented filename workaround.</t>
  </si>
  <si>
    <t>DS-210|D4</t>
  </si>
  <si>
    <t>Datasets!R54; Datasets!H54</t>
  </si>
  <si>
    <t>Limits and pairing notes: Strong semi-autonomous/ADAS context, but not Tesla/Rivian. Highway-focused. Windows extraction needs documented filename workaround. | Pavement labels: No pavement distress/surface-state labels supplied</t>
  </si>
  <si>
    <t>DS-210|C1</t>
  </si>
  <si>
    <t>Datasets!M54</t>
  </si>
  <si>
    <t>Reported size: 2,019 one-minute segments; over 33 hours; approximately 100 GB</t>
  </si>
  <si>
    <t>DS-210|C2</t>
  </si>
  <si>
    <t>Datasets!M54; Datasets!H54</t>
  </si>
  <si>
    <t>Reported size: 2,019 one-minute segments; over 33 hours; approximately 100 GB | Pavement labels: No pavement distress/surface-state labels supplied</t>
  </si>
  <si>
    <t>DS-210|R1</t>
  </si>
  <si>
    <t>Datasets!N54; Datasets!E54; Datasets!I54</t>
  </si>
  <si>
    <t>Geography: California I-280, San Jose–San Francisco corridor | Capture context: AV research fleet | Camera / footage details: Road-facing HEVC video, CAN, IMU, GNSS and frame-aligned poses</t>
  </si>
  <si>
    <t>DS-210|R2</t>
  </si>
  <si>
    <t>Datasets!N54; Datasets!E54; Datasets!I54; Datasets!R54</t>
  </si>
  <si>
    <t>Geography: California I-280, San Jose–San Francisco corridor | Capture context: AV research fleet | Camera / footage details: Road-facing HEVC video, CAN, IMU, GNSS and frame-aligned poses | Limits and pairing notes: Strong semi-autonomous/ADAS context, but not Tesla/Rivian. Highway-focused. Windows extraction needs documented filename workaround.</t>
  </si>
  <si>
    <t>DS-210|M1</t>
  </si>
  <si>
    <t>Datasets!E54; Datasets!I54; Datasets!K54</t>
  </si>
  <si>
    <t>Capture context: AV research fleet | Camera / footage details: Road-facing HEVC video, CAN, IMU, GNSS and frame-aligned poses | Publisher: comma.ai</t>
  </si>
  <si>
    <t>DS-210|M2</t>
  </si>
  <si>
    <t>Datasets!I54; Datasets!M54</t>
  </si>
  <si>
    <t>Camera / footage details: Road-facing HEVC video, CAN, IMU, GNSS and frame-aligned poses | Reported size: 2,019 one-minute segments; over 33 hours; approximately 100 GB</t>
  </si>
  <si>
    <t>DS-210|M5</t>
  </si>
  <si>
    <t>Datasets!I54; Datasets!O54; Datasets!R54</t>
  </si>
  <si>
    <t>Camera / footage details: Road-facing HEVC video, CAN, IMU, GNSS and frame-aligned poses | Label format: Unlabeled video; Cap'n Proto raw logs and NumPy pose arrays | Limits and pairing notes: Strong semi-autonomous/ADAS context, but not Tesla/Rivian. Highway-focused. Windows extraction needs documented filename workaround.</t>
  </si>
  <si>
    <t>DS-211|A1</t>
  </si>
  <si>
    <t>Datasets!B55; Datasets!L55; Datasets!S55; Datasets!T55</t>
  </si>
  <si>
    <t>Dataset / release family: D2-City | Release / paper year: 2019 | Dataset / download: Dataset / download | Evidence / paper: Source evidence</t>
  </si>
  <si>
    <t>DS-211|A2</t>
  </si>
  <si>
    <t>Datasets!F55; Datasets!Q55</t>
  </si>
  <si>
    <t>Access status: Availability uncertain | Access instructions: Paper remains public; functioning original full dataset download not verified</t>
  </si>
  <si>
    <t>DS-211|A3</t>
  </si>
  <si>
    <t>Datasets!P55</t>
  </si>
  <si>
    <t>License / use terms: Original dataset terms must be obtained; not verified</t>
  </si>
  <si>
    <t>DS-211|L1</t>
  </si>
  <si>
    <t>Datasets!H55; Datasets!O55</t>
  </si>
  <si>
    <t>Pavement labels: Traffic/scene/weather diversity; no pavement distress/surface-state labels verified | Label format: Object detection/tracking annotations</t>
  </si>
  <si>
    <t>DS-211|L2</t>
  </si>
  <si>
    <t>DS-211|L4</t>
  </si>
  <si>
    <t>Datasets!O55; Datasets!R55</t>
  </si>
  <si>
    <t>Label format: Object detection/tracking annotations | Limits and pairing notes: Historical lead rather than confirmed accessible download. Do not use unrelated third-party 'D2-City' metadata as provenance.</t>
  </si>
  <si>
    <t>DS-211|D1</t>
  </si>
  <si>
    <t>Datasets!O55; Datasets!I55</t>
  </si>
  <si>
    <t>Label format: Object detection/tracking annotations | Camera / footage details: 10k+ road-driving video clips; annotated traffic-object subset</t>
  </si>
  <si>
    <t>DS-211|D2</t>
  </si>
  <si>
    <t>Datasets!K55; Datasets!E55; Datasets!I55; Datasets!R55</t>
  </si>
  <si>
    <t>Publisher: DiDi | Capture context: Human-driven survey | Camera / footage details: 10k+ road-driving video clips; annotated traffic-object subset | Limits and pairing notes: Historical lead rather than confirmed accessible download. Do not use unrelated third-party 'D2-City' metadata as provenance.</t>
  </si>
  <si>
    <t>DS-211|D4</t>
  </si>
  <si>
    <t>Datasets!R55; Datasets!H55</t>
  </si>
  <si>
    <t>Limits and pairing notes: Historical lead rather than confirmed accessible download. Do not use unrelated third-party 'D2-City' metadata as provenance. | Pavement labels: Traffic/scene/weather diversity; no pavement distress/surface-state labels verified</t>
  </si>
  <si>
    <t>DS-211|C1</t>
  </si>
  <si>
    <t>Datasets!M55</t>
  </si>
  <si>
    <t>Reported size: More than 10,000 video clips</t>
  </si>
  <si>
    <t>DS-211|C2</t>
  </si>
  <si>
    <t>Datasets!M55; Datasets!H55</t>
  </si>
  <si>
    <t>Reported size: More than 10,000 video clips | Pavement labels: Traffic/scene/weather diversity; no pavement distress/surface-state labels verified</t>
  </si>
  <si>
    <t>DS-211|R1</t>
  </si>
  <si>
    <t>Datasets!N55; Datasets!E55; Datasets!I55</t>
  </si>
  <si>
    <t>Geography: China | Capture context: Human-driven survey | Camera / footage details: 10k+ road-driving video clips; annotated traffic-object subset</t>
  </si>
  <si>
    <t>DS-211|R2</t>
  </si>
  <si>
    <t>Datasets!N55; Datasets!E55; Datasets!I55; Datasets!R55</t>
  </si>
  <si>
    <t>Geography: China | Capture context: Human-driven survey | Camera / footage details: 10k+ road-driving video clips; annotated traffic-object subset | Limits and pairing notes: Historical lead rather than confirmed accessible download. Do not use unrelated third-party 'D2-City' metadata as provenance.</t>
  </si>
  <si>
    <t>DS-211|M1</t>
  </si>
  <si>
    <t>Datasets!E55; Datasets!I55; Datasets!K55</t>
  </si>
  <si>
    <t>Capture context: Human-driven survey | Camera / footage details: 10k+ road-driving video clips; annotated traffic-object subset | Publisher: DiDi</t>
  </si>
  <si>
    <t>DS-211|M2</t>
  </si>
  <si>
    <t>Datasets!I55; Datasets!M55</t>
  </si>
  <si>
    <t>Camera / footage details: 10k+ road-driving video clips; annotated traffic-object subset | Reported size: More than 10,000 video clips</t>
  </si>
  <si>
    <t>DS-211|M5</t>
  </si>
  <si>
    <t>Datasets!I55; Datasets!O55; Datasets!R55</t>
  </si>
  <si>
    <t>Camera / footage details: 10k+ road-driving video clips; annotated traffic-object subset | Label format: Object detection/tracking annotations | Limits and pairing notes: Historical lead rather than confirmed accessible download. Do not use unrelated third-party 'D2-City' metadata as provenance.</t>
  </si>
  <si>
    <t>DS-212|A1</t>
  </si>
  <si>
    <t>Datasets!B56; Datasets!L56; Datasets!S56; Datasets!T56</t>
  </si>
  <si>
    <t>Dataset / release family: Ford Multi-AV Seasonal Dataset | Release / paper year: 2020 (captured 2017–2018) | Dataset / download: Dataset / download | Evidence / paper: Source evidence</t>
  </si>
  <si>
    <t>DS-212|A2</t>
  </si>
  <si>
    <t>Datasets!F56; Datasets!Q56</t>
  </si>
  <si>
    <t>Access status: Public links | Access instructions: Public AWS-hosted official download links</t>
  </si>
  <si>
    <t>DS-212|A3</t>
  </si>
  <si>
    <t>Datasets!P56</t>
  </si>
  <si>
    <t>License / use terms: CC BY-NC-SA 4.0; noncommercial academic use</t>
  </si>
  <si>
    <t>DS-212|L1</t>
  </si>
  <si>
    <t>DS-212|L2</t>
  </si>
  <si>
    <t>DS-212|L4</t>
  </si>
  <si>
    <t>DS-212|D1</t>
  </si>
  <si>
    <t>Datasets!O56; Datasets!I56</t>
  </si>
  <si>
    <t>Label format: ROS bags, PNGs, YAML calibration, pose/map files | Camera / footage details: Seven-camera PNG streams plus lidar, GPS, poses and 3D maps; ROS bags</t>
  </si>
  <si>
    <t>DS-212|D2</t>
  </si>
  <si>
    <t>Datasets!K56; Datasets!E56; Datasets!I56; Datasets!R56</t>
  </si>
  <si>
    <t>Publisher: Ford | Capture context: Human-driven survey | Camera / footage details: Seven-camera PNG streams plus lidar, GPS, poses and 3D maps; ROS bags | Limits and pairing notes: Especially clear capture-mode disclosure: AV platform does not mean engaged autonomy. Front dash camera 5 MP at 6 Hz; other cameras 15 Hz.</t>
  </si>
  <si>
    <t>DS-212|D4</t>
  </si>
  <si>
    <t>Datasets!R56; Datasets!H56</t>
  </si>
  <si>
    <t>Limits and pairing notes: Especially clear capture-mode disclosure: AV platform does not mean engaged autonomy. Front dash camera 5 MP at 6 Hz; other cameras 15 Hz. | Pavement labels: No pavement distress/surface-state labels documented; seasonal variation, construction and weather</t>
  </si>
  <si>
    <t>DS-212|C1</t>
  </si>
  <si>
    <t>Datasets!M56</t>
  </si>
  <si>
    <t>Reported size: Multiple dated multi-vehicle logs; download per date/vehicle</t>
  </si>
  <si>
    <t>DS-212|C2</t>
  </si>
  <si>
    <t>Datasets!M56; Datasets!H56</t>
  </si>
  <si>
    <t>Reported size: Multiple dated multi-vehicle logs; download per date/vehicle | Pavement labels: No pavement distress/surface-state labels documented; seasonal variation, construction and weather</t>
  </si>
  <si>
    <t>DS-212|R1</t>
  </si>
  <si>
    <t>Datasets!N56; Datasets!E56; Datasets!I56</t>
  </si>
  <si>
    <t>Geography: Michigan, USA; airport/freeway/city/campus/suburbs | Capture context: Human-driven survey | Camera / footage details: Seven-camera PNG streams plus lidar, GPS, poses and 3D maps; ROS bags</t>
  </si>
  <si>
    <t>DS-212|R2</t>
  </si>
  <si>
    <t>Datasets!N56; Datasets!E56; Datasets!I56; Datasets!R56</t>
  </si>
  <si>
    <t>Geography: Michigan, USA; airport/freeway/city/campus/suburbs | Capture context: Human-driven survey | Camera / footage details: Seven-camera PNG streams plus lidar, GPS, poses and 3D maps; ROS bags | Limits and pairing notes: Especially clear capture-mode disclosure: AV platform does not mean engaged autonomy. Front dash camera 5 MP at 6 Hz; other cameras 15 Hz.</t>
  </si>
  <si>
    <t>DS-212|M1</t>
  </si>
  <si>
    <t>Datasets!E56; Datasets!I56; Datasets!K56</t>
  </si>
  <si>
    <t>Capture context: Human-driven survey | Camera / footage details: Seven-camera PNG streams plus lidar, GPS, poses and 3D maps; ROS bags | Publisher: Ford</t>
  </si>
  <si>
    <t>DS-212|M2</t>
  </si>
  <si>
    <t>Datasets!I56; Datasets!M56</t>
  </si>
  <si>
    <t>Camera / footage details: Seven-camera PNG streams plus lidar, GPS, poses and 3D maps; ROS bags | Reported size: Multiple dated multi-vehicle logs; download per date/vehicle</t>
  </si>
  <si>
    <t>DS-212|M5</t>
  </si>
  <si>
    <t>Datasets!I56; Datasets!O56; Datasets!R56</t>
  </si>
  <si>
    <t>Camera / footage details: Seven-camera PNG streams plus lidar, GPS, poses and 3D maps; ROS bags | Label format: ROS bags, PNGs, YAML calibration, pose/map files | Limits and pairing notes: Especially clear capture-mode disclosure: AV platform does not mean engaged autonomy. Front dash camera 5 MP at 6 Hz; other cameras 15 Hz.</t>
  </si>
  <si>
    <t>DS-213|A1</t>
  </si>
  <si>
    <t>Datasets!B57; Datasets!L57; Datasets!S57; Datasets!T57</t>
  </si>
  <si>
    <t>Dataset / release family: India Driving Dataset (IDD) | Release / paper year: 2018–2019 | Dataset / download: Dataset / download | Evidence / paper: Source evidence</t>
  </si>
  <si>
    <t>DS-213|A2</t>
  </si>
  <si>
    <t>Datasets!F57; Datasets!Q57</t>
  </si>
  <si>
    <t>Access status: Account / terms | Access instructions: Official login; license displayed before download</t>
  </si>
  <si>
    <t>DS-213|A3</t>
  </si>
  <si>
    <t>Datasets!P57</t>
  </si>
  <si>
    <t>License / use terms: Dataset-specific terms visible at download; not verified without login</t>
  </si>
  <si>
    <t>DS-213|L1</t>
  </si>
  <si>
    <t>Datasets!H57; Datasets!O57</t>
  </si>
  <si>
    <t>Pavement labels: Road/drivable-fallback semantics distinguish some muddy roadside regions; no distress severity labels | Label format: Hierarchical pixel semantic masks; separate object boxes</t>
  </si>
  <si>
    <t>DS-213|L2</t>
  </si>
  <si>
    <t>DS-213|L4</t>
  </si>
  <si>
    <t>Datasets!O57; Datasets!R57</t>
  </si>
  <si>
    <t>Label format: Hierarchical pixel semantic masks; separate object boxes | Limits and pairing notes: Useful rough/unstructured road appearances. Drivable-fallback labels are not equivalent to pothole/crack or surface-material annotations.</t>
  </si>
  <si>
    <t>DS-213|D1</t>
  </si>
  <si>
    <t>Datasets!O57; Datasets!I57</t>
  </si>
  <si>
    <t>Label format: Hierarchical pixel semantic masks; separate object boxes | Camera / footage details: Camera images selected from 182 drive sequences; separate detection data</t>
  </si>
  <si>
    <t>DS-213|D2</t>
  </si>
  <si>
    <t>Datasets!K57; Datasets!E57; Datasets!I57; Datasets!R57</t>
  </si>
  <si>
    <t>Publisher: IIIT Hyderabad / Intel / collaborators | Capture context: Human-driven survey | Camera / footage details: Camera images selected from 182 drive sequences; separate detection data | Limits and pairing notes: Useful rough/unstructured road appearances. Drivable-fallback labels are not equivalent to pothole/crack or surface-material annotations.</t>
  </si>
  <si>
    <t>DS-213|D4</t>
  </si>
  <si>
    <t>Datasets!R57; Datasets!H57</t>
  </si>
  <si>
    <t>Limits and pairing notes: Useful rough/unstructured road appearances. Drivable-fallback labels are not equivalent to pothole/crack or surface-material annotations. | Pavement labels: Road/drivable-fallback semantics distinguish some muddy roadside regions; no distress severity labels</t>
  </si>
  <si>
    <t>DS-213|C1</t>
  </si>
  <si>
    <t>Datasets!M57</t>
  </si>
  <si>
    <t>Reported size: 10,003 segmentation images; 46,588 detection images</t>
  </si>
  <si>
    <t>DS-213|C2</t>
  </si>
  <si>
    <t>Datasets!M57; Datasets!H57</t>
  </si>
  <si>
    <t>Reported size: 10,003 segmentation images; 46,588 detection images | Pavement labels: Road/drivable-fallback semantics distinguish some muddy roadside regions; no distress severity labels</t>
  </si>
  <si>
    <t>DS-213|R1</t>
  </si>
  <si>
    <t>Datasets!N57; Datasets!E57; Datasets!I57</t>
  </si>
  <si>
    <t>Geography: Hyderabad, Bangalore and outskirts, India | Capture context: Human-driven survey | Camera / footage details: Camera images selected from 182 drive sequences; separate detection data</t>
  </si>
  <si>
    <t>DS-213|R2</t>
  </si>
  <si>
    <t>Datasets!N57; Datasets!E57; Datasets!I57; Datasets!R57</t>
  </si>
  <si>
    <t>Geography: Hyderabad, Bangalore and outskirts, India | Capture context: Human-driven survey | Camera / footage details: Camera images selected from 182 drive sequences; separate detection data | Limits and pairing notes: Useful rough/unstructured road appearances. Drivable-fallback labels are not equivalent to pothole/crack or surface-material annotations.</t>
  </si>
  <si>
    <t>DS-213|M1</t>
  </si>
  <si>
    <t>Datasets!E57; Datasets!I57; Datasets!K57</t>
  </si>
  <si>
    <t>Capture context: Human-driven survey | Camera / footage details: Camera images selected from 182 drive sequences; separate detection data | Publisher: IIIT Hyderabad / Intel / collaborators</t>
  </si>
  <si>
    <t>DS-213|M2</t>
  </si>
  <si>
    <t>Datasets!I57; Datasets!M57</t>
  </si>
  <si>
    <t>Camera / footage details: Camera images selected from 182 drive sequences; separate detection data | Reported size: 10,003 segmentation images; 46,588 detection images</t>
  </si>
  <si>
    <t>DS-213|M5</t>
  </si>
  <si>
    <t>Datasets!I57; Datasets!O57; Datasets!R57</t>
  </si>
  <si>
    <t>Camera / footage details: Camera images selected from 182 drive sequences; separate detection data | Label format: Hierarchical pixel semantic masks; separate object boxes | Limits and pairing notes: Useful rough/unstructured road appearances. Drivable-fallback labels are not equivalent to pothole/crack or surface-material annotations.</t>
  </si>
  <si>
    <t>DS-214|A1</t>
  </si>
  <si>
    <t>Datasets!B58; Datasets!L58; Datasets!S58; Datasets!T58</t>
  </si>
  <si>
    <t>Dataset / release family: KITTI Raw (with KITTI benchmark family) | Release / paper year: 2012 | Dataset / download: Dataset / download | Evidence / paper: Source evidence</t>
  </si>
  <si>
    <t>DS-214|A2</t>
  </si>
  <si>
    <t>Datasets!F58; Datasets!Q58</t>
  </si>
  <si>
    <t>Access status: Account / terms | Access instructions: Registration/login required for raw download</t>
  </si>
  <si>
    <t>DS-214|A3</t>
  </si>
  <si>
    <t>Datasets!P58</t>
  </si>
  <si>
    <t>License / use terms: CC BY-NC-SA 3.0 dataset terms</t>
  </si>
  <si>
    <t>DS-214|L1</t>
  </si>
  <si>
    <t>Datasets!H58; Datasets!O58</t>
  </si>
  <si>
    <t>Pavement labels: No pavement distress/surface-state labels documented; raw object tracklets and separate road benchmark masks | Label format: PNG imagery; XML tracklets; calibration and poses</t>
  </si>
  <si>
    <t>DS-214|L2</t>
  </si>
  <si>
    <t>DS-214|L4</t>
  </si>
  <si>
    <t>Datasets!O58; Datasets!R58</t>
  </si>
  <si>
    <t>Label format: PNG imagery; XML tracklets; calibration and poses | Limits and pairing notes: KITTI road masks identify road/drivable regions, not road damage. Existing benchmark derivatives often reuse raw sequences.</t>
  </si>
  <si>
    <t>DS-214|D1</t>
  </si>
  <si>
    <t>Datasets!O58; Datasets!I58</t>
  </si>
  <si>
    <t>Label format: PNG imagery; XML tracklets; calibration and poses | Camera / footage details: Color and grayscale stereo PNG sequences at 10 Hz, lidar, GPS/IMU</t>
  </si>
  <si>
    <t>DS-214|D2</t>
  </si>
  <si>
    <t>Datasets!K58; Datasets!E58; Datasets!I58; Datasets!R58</t>
  </si>
  <si>
    <t>Publisher: Karlsruhe Institute of Technology / Toyota Technological Institute at Chicago | Capture context: AV research fleet | Camera / footage details: Color and grayscale stereo PNG sequences at 10 Hz, lidar, GPS/IMU | Limits and pairing notes: KITTI road masks identify road/drivable regions, not road damage. Existing benchmark derivatives often reuse raw sequences.</t>
  </si>
  <si>
    <t>DS-214|D4</t>
  </si>
  <si>
    <t>Datasets!R58; Datasets!H58</t>
  </si>
  <si>
    <t>Limits and pairing notes: KITTI road masks identify road/drivable regions, not road damage. Existing benchmark derivatives often reuse raw sequences. | Pavement labels: No pavement distress/surface-state labels documented; raw object tracklets and separate road benchmark masks</t>
  </si>
  <si>
    <t>DS-214|C1</t>
  </si>
  <si>
    <t>Datasets!M58</t>
  </si>
  <si>
    <t>Reported size: Multiple city/residential/road/campus sequences; subset-dependent size</t>
  </si>
  <si>
    <t>DS-214|C2</t>
  </si>
  <si>
    <t>Datasets!M58; Datasets!H58</t>
  </si>
  <si>
    <t>Reported size: Multiple city/residential/road/campus sequences; subset-dependent size | Pavement labels: No pavement distress/surface-state labels documented; raw object tracklets and separate road benchmark masks</t>
  </si>
  <si>
    <t>DS-214|R1</t>
  </si>
  <si>
    <t>Datasets!N58; Datasets!E58; Datasets!I58</t>
  </si>
  <si>
    <t>Geography: Karlsruhe area, Germany | Capture context: AV research fleet | Camera / footage details: Color and grayscale stereo PNG sequences at 10 Hz, lidar, GPS/IMU</t>
  </si>
  <si>
    <t>DS-214|R2</t>
  </si>
  <si>
    <t>Datasets!N58; Datasets!E58; Datasets!I58; Datasets!R58</t>
  </si>
  <si>
    <t>Geography: Karlsruhe area, Germany | Capture context: AV research fleet | Camera / footage details: Color and grayscale stereo PNG sequences at 10 Hz, lidar, GPS/IMU | Limits and pairing notes: KITTI road masks identify road/drivable regions, not road damage. Existing benchmark derivatives often reuse raw sequences.</t>
  </si>
  <si>
    <t>DS-214|M1</t>
  </si>
  <si>
    <t>Datasets!E58; Datasets!I58; Datasets!K58</t>
  </si>
  <si>
    <t>Capture context: AV research fleet | Camera / footage details: Color and grayscale stereo PNG sequences at 10 Hz, lidar, GPS/IMU | Publisher: Karlsruhe Institute of Technology / Toyota Technological Institute at Chicago</t>
  </si>
  <si>
    <t>DS-214|M2</t>
  </si>
  <si>
    <t>Datasets!I58; Datasets!M58</t>
  </si>
  <si>
    <t>Camera / footage details: Color and grayscale stereo PNG sequences at 10 Hz, lidar, GPS/IMU | Reported size: Multiple city/residential/road/campus sequences; subset-dependent size</t>
  </si>
  <si>
    <t>DS-214|M5</t>
  </si>
  <si>
    <t>Datasets!I58; Datasets!O58; Datasets!R58</t>
  </si>
  <si>
    <t>Camera / footage details: Color and grayscale stereo PNG sequences at 10 Hz, lidar, GPS/IMU | Label format: PNG imagery; XML tracklets; calibration and poses | Limits and pairing notes: KITTI road masks identify road/drivable regions, not road damage. Existing benchmark derivatives often reuse raw sequences.</t>
  </si>
  <si>
    <t>DS-215|A1</t>
  </si>
  <si>
    <t>Datasets!B59; Datasets!L59; Datasets!S59; Datasets!T59</t>
  </si>
  <si>
    <t>Dataset / release family: KITTI-360 | Release / paper year: 2020; paper 2022 | Dataset / download: Dataset / download | Evidence / paper: Source evidence</t>
  </si>
  <si>
    <t>DS-215|A2</t>
  </si>
  <si>
    <t>Datasets!F59; Datasets!Q59</t>
  </si>
  <si>
    <t>Access status: Account / terms | Access instructions: Register and specify intended use</t>
  </si>
  <si>
    <t>DS-215|A3</t>
  </si>
  <si>
    <t>Datasets!P59</t>
  </si>
  <si>
    <t>DS-215|L1</t>
  </si>
  <si>
    <t>Datasets!H59; Datasets!O59</t>
  </si>
  <si>
    <t>Pavement labels: No pavement distress/surface-state labels documented; dense semantic road/scene labels | Label format: 2D/3D semantic and instance labels; bounding primitives</t>
  </si>
  <si>
    <t>DS-215|L2</t>
  </si>
  <si>
    <t>DS-215|L4</t>
  </si>
  <si>
    <t>Datasets!O59; Datasets!R59</t>
  </si>
  <si>
    <t>Label format: 2D/3D semantic and instance labels; bounding primitives | Limits and pairing notes: Distinct acquisition from KITTI Raw. Image sequence and geolocation useful for creating new pavement annotations.</t>
  </si>
  <si>
    <t>DS-215|D1</t>
  </si>
  <si>
    <t>Datasets!O59; Datasets!I59</t>
  </si>
  <si>
    <t>Label format: 2D/3D semantic and instance labels; bounding primitives | Camera / footage details: Front perspective stereo plus two side fisheye cameras; lidar and poses</t>
  </si>
  <si>
    <t>DS-215|D2</t>
  </si>
  <si>
    <t>Datasets!K59; Datasets!E59; Datasets!I59; Datasets!R59</t>
  </si>
  <si>
    <t>Publisher: Autonomous Vision Group / KIT / collaborators | Capture context: AV research fleet | Camera / footage details: Front perspective stereo plus two side fisheye cameras; lidar and poses | Limits and pairing notes: Distinct acquisition from KITTI Raw. Image sequence and geolocation useful for creating new pavement annotations.</t>
  </si>
  <si>
    <t>DS-215|D4</t>
  </si>
  <si>
    <t>Datasets!R59; Datasets!H59</t>
  </si>
  <si>
    <t>Limits and pairing notes: Distinct acquisition from KITTI Raw. Image sequence and geolocation useful for creating new pavement annotations. | Pavement labels: No pavement distress/surface-state labels documented; dense semantic road/scene labels</t>
  </si>
  <si>
    <t>DS-215|C1</t>
  </si>
  <si>
    <t>Datasets!M59</t>
  </si>
  <si>
    <t>Reported size: Over 320k images; 73.7 km; about 100k laser scans</t>
  </si>
  <si>
    <t>DS-215|C2</t>
  </si>
  <si>
    <t>Datasets!M59; Datasets!H59</t>
  </si>
  <si>
    <t>Reported size: Over 320k images; 73.7 km; about 100k laser scans | Pavement labels: No pavement distress/surface-state labels documented; dense semantic road/scene labels</t>
  </si>
  <si>
    <t>DS-215|R1</t>
  </si>
  <si>
    <t>Datasets!N59; Datasets!E59; Datasets!I59</t>
  </si>
  <si>
    <t>Geography: Karlsruhe suburbs, Germany | Capture context: AV research fleet | Camera / footage details: Front perspective stereo plus two side fisheye cameras; lidar and poses</t>
  </si>
  <si>
    <t>DS-215|R2</t>
  </si>
  <si>
    <t>Datasets!N59; Datasets!E59; Datasets!I59; Datasets!R59</t>
  </si>
  <si>
    <t>Geography: Karlsruhe suburbs, Germany | Capture context: AV research fleet | Camera / footage details: Front perspective stereo plus two side fisheye cameras; lidar and poses | Limits and pairing notes: Distinct acquisition from KITTI Raw. Image sequence and geolocation useful for creating new pavement annotations.</t>
  </si>
  <si>
    <t>DS-215|M1</t>
  </si>
  <si>
    <t>Datasets!E59; Datasets!I59; Datasets!K59</t>
  </si>
  <si>
    <t>Capture context: AV research fleet | Camera / footage details: Front perspective stereo plus two side fisheye cameras; lidar and poses | Publisher: Autonomous Vision Group / KIT / collaborators</t>
  </si>
  <si>
    <t>DS-215|M2</t>
  </si>
  <si>
    <t>Datasets!I59; Datasets!M59</t>
  </si>
  <si>
    <t>Camera / footage details: Front perspective stereo plus two side fisheye cameras; lidar and poses | Reported size: Over 320k images; 73.7 km; about 100k laser scans</t>
  </si>
  <si>
    <t>DS-215|M5</t>
  </si>
  <si>
    <t>Datasets!I59; Datasets!O59; Datasets!R59</t>
  </si>
  <si>
    <t>Camera / footage details: Front perspective stereo plus two side fisheye cameras; lidar and poses | Label format: 2D/3D semantic and instance labels; bounding primitives | Limits and pairing notes: Distinct acquisition from KITTI Raw. Image sequence and geolocation useful for creating new pavement annotations.</t>
  </si>
  <si>
    <t>DS-216|A1</t>
  </si>
  <si>
    <t>Datasets!B60; Datasets!L60; Datasets!S60; Datasets!T60</t>
  </si>
  <si>
    <t>Dataset / release family: MAN TruckScenes | Release / paper year: 2024 | Dataset / download: Dataset / download | Evidence / paper: Source evidence</t>
  </si>
  <si>
    <t>DS-216|A2</t>
  </si>
  <si>
    <t>Datasets!F60; Datasets!Q60</t>
  </si>
  <si>
    <t>Access status: Public links | Access instructions: Public download and AWS S3; mini/trainval/test splits</t>
  </si>
  <si>
    <t>DS-216|A3</t>
  </si>
  <si>
    <t>Datasets!P60</t>
  </si>
  <si>
    <t>DS-216|L1</t>
  </si>
  <si>
    <t>Datasets!H60; Datasets!O60</t>
  </si>
  <si>
    <t>Pavement labels: 34 scene tags include weather/lighting/area; no pavement distress or severity labels documented | Label format: JPEG sequences; nuScenes-style JSON; 3D boxes, tracking and scene tags</t>
  </si>
  <si>
    <t>DS-216|L2</t>
  </si>
  <si>
    <t>DS-216|L4</t>
  </si>
  <si>
    <t>Datasets!O60; Datasets!R60</t>
  </si>
  <si>
    <t>Label format: JPEG sequences; nuScenes-style JSON; 3D boxes, tracking and scene tags | Limits and pairing notes: Strong real truck alternative to Aurora. Rain and snow coverage does not imply wet/icy pavement ground truth. Paper: https://arxiv.org/abs/2407.07462</t>
  </si>
  <si>
    <t>DS-216|D1</t>
  </si>
  <si>
    <t>Datasets!O60; Datasets!I60</t>
  </si>
  <si>
    <t>Label format: JPEG sequences; nuScenes-style JSON; 3D boxes, tracking and scene tags | Camera / footage details: Four 10 Hz camera sequences, six LiDARs and six radars</t>
  </si>
  <si>
    <t>DS-216|D2</t>
  </si>
  <si>
    <t>Datasets!K60; Datasets!E60; Datasets!I60; Datasets!R60</t>
  </si>
  <si>
    <t>Publisher: MAN Truck &amp; Bus and Technical University of Munich | Capture context: Truck research | Camera / footage details: Four 10 Hz camera sequences, six LiDARs and six radars | Limits and pairing notes: Strong real truck alternative to Aurora. Rain and snow coverage does not imply wet/icy pavement ground truth. Paper: https://arxiv.org/abs/2407.07462</t>
  </si>
  <si>
    <t>DS-216|D4</t>
  </si>
  <si>
    <t>Datasets!R60; Datasets!H60</t>
  </si>
  <si>
    <t>Limits and pairing notes: Strong real truck alternative to Aurora. Rain and snow coverage does not imply wet/icy pavement ground truth. Paper: https://arxiv.org/abs/2407.07462 | Pavement labels: 34 scene tags include weather/lighting/area; no pavement distress or severity labels documented</t>
  </si>
  <si>
    <t>DS-216|C1</t>
  </si>
  <si>
    <t>Datasets!M60</t>
  </si>
  <si>
    <t>Reported size: 747 scenes of about 20 seconds; boxes at 2 Hz</t>
  </si>
  <si>
    <t>DS-216|C2</t>
  </si>
  <si>
    <t>Datasets!M60; Datasets!H60</t>
  </si>
  <si>
    <t>Reported size: 747 scenes of about 20 seconds; boxes at 2 Hz | Pavement labels: 34 scene tags include weather/lighting/area; no pavement distress or severity labels documented</t>
  </si>
  <si>
    <t>DS-216|R1</t>
  </si>
  <si>
    <t>Datasets!N60; Datasets!E60; Datasets!I60</t>
  </si>
  <si>
    <t>Geography: Germany; highways, terminals, rural and urban roads | Capture context: Truck research | Camera / footage details: Four 10 Hz camera sequences, six LiDARs and six radars</t>
  </si>
  <si>
    <t>DS-216|R2</t>
  </si>
  <si>
    <t>Datasets!N60; Datasets!E60; Datasets!I60; Datasets!R60</t>
  </si>
  <si>
    <t>Geography: Germany; highways, terminals, rural and urban roads | Capture context: Truck research | Camera / footage details: Four 10 Hz camera sequences, six LiDARs and six radars | Limits and pairing notes: Strong real truck alternative to Aurora. Rain and snow coverage does not imply wet/icy pavement ground truth. Paper: https://arxiv.org/abs/2407.07462</t>
  </si>
  <si>
    <t>DS-216|M1</t>
  </si>
  <si>
    <t>Datasets!E60; Datasets!I60; Datasets!K60</t>
  </si>
  <si>
    <t>Capture context: Truck research | Camera / footage details: Four 10 Hz camera sequences, six LiDARs and six radars | Publisher: MAN Truck &amp; Bus and Technical University of Munich</t>
  </si>
  <si>
    <t>DS-216|M2</t>
  </si>
  <si>
    <t>Datasets!I60; Datasets!M60</t>
  </si>
  <si>
    <t>Camera / footage details: Four 10 Hz camera sequences, six LiDARs and six radars | Reported size: 747 scenes of about 20 seconds; boxes at 2 Hz</t>
  </si>
  <si>
    <t>DS-216|M5</t>
  </si>
  <si>
    <t>Datasets!I60; Datasets!O60; Datasets!R60</t>
  </si>
  <si>
    <t>Camera / footage details: Four 10 Hz camera sequences, six LiDARs and six radars | Label format: JPEG sequences; nuScenes-style JSON; 3D boxes, tracking and scene tags | Limits and pairing notes: Strong real truck alternative to Aurora. Rain and snow coverage does not imply wet/icy pavement ground truth. Paper: https://arxiv.org/abs/2407.07462</t>
  </si>
  <si>
    <t>DS-217|A1</t>
  </si>
  <si>
    <t>Datasets!B61; Datasets!L61; Datasets!S61; Datasets!T61</t>
  </si>
  <si>
    <t>Dataset / release family: NATIX Multi-Camera Driving Dataset | Release / paper year: 2026 | Dataset / download: Dataset / download | Evidence / paper: Source evidence</t>
  </si>
  <si>
    <t>DS-217|A2</t>
  </si>
  <si>
    <t>Datasets!F61; Datasets!Q61</t>
  </si>
  <si>
    <t>Access status: Account / terms | Access instructions: Hugging Face; gated acceptance/contact sharing</t>
  </si>
  <si>
    <t>DS-217|A3</t>
  </si>
  <si>
    <t>Datasets!P61</t>
  </si>
  <si>
    <t>DS-217|L1</t>
  </si>
  <si>
    <t>DS-217|L2</t>
  </si>
  <si>
    <t>DS-217|L4</t>
  </si>
  <si>
    <t>DS-217|D1</t>
  </si>
  <si>
    <t>Datasets!O61; Datasets!I61</t>
  </si>
  <si>
    <t>Label format: GPS CSV, camera calibration and JSON trip metadata | Camera / footage details: 4-/6-camera Tesla MP4 clips of approximately one minute</t>
  </si>
  <si>
    <t>DS-217|D2</t>
  </si>
  <si>
    <t>Datasets!K61; Datasets!E61; Datasets!I61; Datasets!R61</t>
  </si>
  <si>
    <t>Publisher: NATIX; Tesla owners (not Tesla Inc.) | Capture context: Tesla owner cameras | Camera / footage details: 4-/6-camera Tesla MP4 clips of approximately one minute | Limits and pairing notes: Consumer GPS may omit frame rows. A useful pool for adding pavement labels; Tesla is the vehicle/camera source, not the publisher.</t>
  </si>
  <si>
    <t>DS-217|D4</t>
  </si>
  <si>
    <t>Datasets!R61; Datasets!H61</t>
  </si>
  <si>
    <t>Limits and pairing notes: Consumer GPS may omit frame rows. A useful pool for adding pavement labels; Tesla is the vehicle/camera source, not the publisher. | Pavement labels: None documented; weather and OSM road-type metadata are not pavement condition</t>
  </si>
  <si>
    <t>DS-217|C1</t>
  </si>
  <si>
    <t>Datasets!M61</t>
  </si>
  <si>
    <t>Reported size: First public release: 100 hours; planned expansion is not counted</t>
  </si>
  <si>
    <t>DS-217|C2</t>
  </si>
  <si>
    <t>Datasets!M61; Datasets!H61</t>
  </si>
  <si>
    <t>Reported size: First public release: 100 hours; planned expansion is not counted | Pavement labels: None documented; weather and OSM road-type metadata are not pavement condition</t>
  </si>
  <si>
    <t>DS-217|R1</t>
  </si>
  <si>
    <t>Datasets!N61; Datasets!E61; Datasets!I61</t>
  </si>
  <si>
    <t>Geography: Multiple countries; US and Switzerland in release documentation | Capture context: Tesla owner cameras | Camera / footage details: 4-/6-camera Tesla MP4 clips of approximately one minute</t>
  </si>
  <si>
    <t>DS-217|R2</t>
  </si>
  <si>
    <t>Datasets!N61; Datasets!E61; Datasets!I61; Datasets!R61</t>
  </si>
  <si>
    <t>Geography: Multiple countries; US and Switzerland in release documentation | Capture context: Tesla owner cameras | Camera / footage details: 4-/6-camera Tesla MP4 clips of approximately one minute | Limits and pairing notes: Consumer GPS may omit frame rows. A useful pool for adding pavement labels; Tesla is the vehicle/camera source, not the publisher.</t>
  </si>
  <si>
    <t>DS-217|M1</t>
  </si>
  <si>
    <t>Datasets!E61; Datasets!I61; Datasets!K61</t>
  </si>
  <si>
    <t>Capture context: Tesla owner cameras | Camera / footage details: 4-/6-camera Tesla MP4 clips of approximately one minute | Publisher: NATIX; Tesla owners (not Tesla Inc.)</t>
  </si>
  <si>
    <t>DS-217|M2</t>
  </si>
  <si>
    <t>Datasets!I61; Datasets!M61</t>
  </si>
  <si>
    <t>Camera / footage details: 4-/6-camera Tesla MP4 clips of approximately one minute | Reported size: First public release: 100 hours; planned expansion is not counted</t>
  </si>
  <si>
    <t>DS-217|M5</t>
  </si>
  <si>
    <t>Datasets!I61; Datasets!O61; Datasets!R61</t>
  </si>
  <si>
    <t>Camera / footage details: 4-/6-camera Tesla MP4 clips of approximately one minute | Label format: GPS CSV, camera calibration and JSON trip metadata | Limits and pairing notes: Consumer GPS may omit frame rows. A useful pool for adding pavement labels; Tesla is the vehicle/camera source, not the publisher.</t>
  </si>
  <si>
    <t>DS-218|A1</t>
  </si>
  <si>
    <t>Datasets!B62; Datasets!L62; Datasets!S62; Datasets!T62</t>
  </si>
  <si>
    <t>Dataset / release family: NATIX Safety Critical Driving Events Dataset | Release / paper year: 2026 | Dataset / download: Dataset / download | Evidence / paper: Source evidence</t>
  </si>
  <si>
    <t>DS-218|A2</t>
  </si>
  <si>
    <t>Datasets!F62; Datasets!Q62</t>
  </si>
  <si>
    <t>Access status: Account / terms | Access instructions: Hugging Face; gated terms and contact sharing</t>
  </si>
  <si>
    <t>DS-218|A3</t>
  </si>
  <si>
    <t>Datasets!P62</t>
  </si>
  <si>
    <t>DS-218|L1</t>
  </si>
  <si>
    <t>Datasets!H62; Datasets!O62</t>
  </si>
  <si>
    <t>Pavement labels: None documented; harsh braking/acceleration/turning are vehicle behavior events | Label format: JSON telemetry-detected events; GPS, brake and Autopilot state</t>
  </si>
  <si>
    <t>DS-218|L2</t>
  </si>
  <si>
    <t>DS-218|L4</t>
  </si>
  <si>
    <t>Datasets!O62; Datasets!R62</t>
  </si>
  <si>
    <t>Label format: JSON telemetry-detected events; GPS, brake and Autopilot state | Limits and pairing notes: Released September 17, 2026. Event timing is approximate. Braking events must not be interpreted as pavement defects without inspecting and labeling the footage.</t>
  </si>
  <si>
    <t>DS-218|D1</t>
  </si>
  <si>
    <t>Datasets!O62; Datasets!I62</t>
  </si>
  <si>
    <t>Label format: JSON telemetry-detected events; GPS, brake and Autopilot state | Camera / footage details: 4-/6-camera MP4 video with vehicle telemetry</t>
  </si>
  <si>
    <t>DS-218|D2</t>
  </si>
  <si>
    <t>Datasets!K62; Datasets!E62; Datasets!I62; Datasets!R62</t>
  </si>
  <si>
    <t>Publisher: NATIX; Tesla-dashcam capture ecosystem | Capture context: Tesla owner cameras | Camera / footage details: 4-/6-camera MP4 video with vehicle telemetry | Limits and pairing notes: Released September 17, 2026. Event timing is approximate. Braking events must not be interpreted as pavement defects without inspecting and labeling the footage.</t>
  </si>
  <si>
    <t>DS-218|D4</t>
  </si>
  <si>
    <t>Datasets!R62; Datasets!H62</t>
  </si>
  <si>
    <t>Limits and pairing notes: Released September 17, 2026. Event timing is approximate. Braking events must not be interpreted as pavement defects without inspecting and labeling the footage. | Pavement labels: None documented; harsh braking/acceleration/turning are vehicle behavior events</t>
  </si>
  <si>
    <t>DS-218|C1</t>
  </si>
  <si>
    <t>Datasets!M62</t>
  </si>
  <si>
    <t>Reported size: 32 minutes; 24 trips; 45 events; 178 MP4 clips; 7.68 GB stated</t>
  </si>
  <si>
    <t>DS-218|C2</t>
  </si>
  <si>
    <t>Datasets!M62; Datasets!H62</t>
  </si>
  <si>
    <t>Reported size: 32 minutes; 24 trips; 45 events; 178 MP4 clips; 7.68 GB stated | Pavement labels: None documented; harsh braking/acceleration/turning are vehicle behavior events</t>
  </si>
  <si>
    <t>DS-218|R1</t>
  </si>
  <si>
    <t>Datasets!N62; Datasets!E62; Datasets!I62</t>
  </si>
  <si>
    <t>Geography: Ten US states | Capture context: Tesla owner cameras | Camera / footage details: 4-/6-camera MP4 video with vehicle telemetry</t>
  </si>
  <si>
    <t>DS-218|R2</t>
  </si>
  <si>
    <t>Datasets!N62; Datasets!E62; Datasets!I62; Datasets!R62</t>
  </si>
  <si>
    <t>Geography: Ten US states | Capture context: Tesla owner cameras | Camera / footage details: 4-/6-camera MP4 video with vehicle telemetry | Limits and pairing notes: Released September 17, 2026. Event timing is approximate. Braking events must not be interpreted as pavement defects without inspecting and labeling the footage.</t>
  </si>
  <si>
    <t>DS-218|M1</t>
  </si>
  <si>
    <t>Datasets!E62; Datasets!I62; Datasets!K62</t>
  </si>
  <si>
    <t>Capture context: Tesla owner cameras | Camera / footage details: 4-/6-camera MP4 video with vehicle telemetry | Publisher: NATIX; Tesla-dashcam capture ecosystem</t>
  </si>
  <si>
    <t>DS-218|M2</t>
  </si>
  <si>
    <t>Datasets!I62; Datasets!M62</t>
  </si>
  <si>
    <t>Camera / footage details: 4-/6-camera MP4 video with vehicle telemetry | Reported size: 32 minutes; 24 trips; 45 events; 178 MP4 clips; 7.68 GB stated</t>
  </si>
  <si>
    <t>DS-218|M5</t>
  </si>
  <si>
    <t>Datasets!I62; Datasets!O62; Datasets!R62</t>
  </si>
  <si>
    <t>Camera / footage details: 4-/6-camera MP4 video with vehicle telemetry | Label format: JSON telemetry-detected events; GPS, brake and Autopilot state | Limits and pairing notes: Released September 17, 2026. Event timing is approximate. Braking events must not be interpreted as pavement defects without inspecting and labeling the footage.</t>
  </si>
  <si>
    <t>DS-219|A1</t>
  </si>
  <si>
    <t>Datasets!B63; Datasets!L63; Datasets!S63; Datasets!T63</t>
  </si>
  <si>
    <t>Dataset / release family: nuImages | Release / paper year: 2020 | Dataset / download: Dataset / download | Evidence / paper: Source evidence</t>
  </si>
  <si>
    <t>DS-219|A2</t>
  </si>
  <si>
    <t>Datasets!F63; Datasets!Q63</t>
  </si>
  <si>
    <t>Access status: Account / terms | Access instructions: Official account-based downloads</t>
  </si>
  <si>
    <t>DS-219|A3</t>
  </si>
  <si>
    <t>Datasets!P63</t>
  </si>
  <si>
    <t>License / use terms: Noncommercial dataset terms; commercial licensing by request</t>
  </si>
  <si>
    <t>DS-219|L1</t>
  </si>
  <si>
    <t>Datasets!H63; Datasets!O63</t>
  </si>
  <si>
    <t>Pavement labels: No pavement distress/surface-state labels documented; road/background segmentation only | Label format: 2D object boxes, instance masks, background semantic masks</t>
  </si>
  <si>
    <t>DS-219|L2</t>
  </si>
  <si>
    <t>DS-219|L4</t>
  </si>
  <si>
    <t>Datasets!O63; Datasets!R63</t>
  </si>
  <si>
    <t>Label format: 2D object boxes, instance masks, background semantic masks | Limits and pairing notes: Useful companion to nuScenes for image models; dataset size is distinct from nuScenes. Six-second clips are delivered as sampled imagery rather than necessarily encoded videos.</t>
  </si>
  <si>
    <t>DS-219|D1</t>
  </si>
  <si>
    <t>Datasets!O63; Datasets!I63</t>
  </si>
  <si>
    <t>Label format: 2D object boxes, instance masks, background semantic masks | Camera / footage details: Camera keyframes plus temporal surrounding frames in six-second clips</t>
  </si>
  <si>
    <t>DS-219|D2</t>
  </si>
  <si>
    <t>Datasets!K63; Datasets!E63; Datasets!I63; Datasets!R63</t>
  </si>
  <si>
    <t>Publisher: Motional | Capture context: AV research fleet | Camera / footage details: Camera keyframes plus temporal surrounding frames in six-second clips | Limits and pairing notes: Useful companion to nuScenes for image models; dataset size is distinct from nuScenes. Six-second clips are delivered as sampled imagery rather than necessarily encoded videos.</t>
  </si>
  <si>
    <t>DS-219|D4</t>
  </si>
  <si>
    <t>Datasets!R63; Datasets!H63</t>
  </si>
  <si>
    <t>Limits and pairing notes: Useful companion to nuScenes for image models; dataset size is distinct from nuScenes. Six-second clips are delivered as sampled imagery rather than necessarily encoded videos. | Pavement labels: No pavement distress/surface-state labels documented; road/background segmentation only</t>
  </si>
  <si>
    <t>DS-219|C1</t>
  </si>
  <si>
    <t>Datasets!M63</t>
  </si>
  <si>
    <t>Reported size: 93k annotated images; about 1.1 million unannotated images; 93k clips</t>
  </si>
  <si>
    <t>DS-219|C2</t>
  </si>
  <si>
    <t>Datasets!M63; Datasets!H63</t>
  </si>
  <si>
    <t>Reported size: 93k annotated images; about 1.1 million unannotated images; 93k clips | Pavement labels: No pavement distress/surface-state labels documented; road/background segmentation only</t>
  </si>
  <si>
    <t>DS-219|R1</t>
  </si>
  <si>
    <t>Datasets!N63; Datasets!E63; Datasets!I63</t>
  </si>
  <si>
    <t>Geography: Boston, USA; Singapore | Capture context: AV research fleet | Camera / footage details: Camera keyframes plus temporal surrounding frames in six-second clips</t>
  </si>
  <si>
    <t>DS-219|R2</t>
  </si>
  <si>
    <t>Datasets!N63; Datasets!E63; Datasets!I63; Datasets!R63</t>
  </si>
  <si>
    <t>Geography: Boston, USA; Singapore | Capture context: AV research fleet | Camera / footage details: Camera keyframes plus temporal surrounding frames in six-second clips | Limits and pairing notes: Useful companion to nuScenes for image models; dataset size is distinct from nuScenes. Six-second clips are delivered as sampled imagery rather than necessarily encoded videos.</t>
  </si>
  <si>
    <t>DS-219|M1</t>
  </si>
  <si>
    <t>Datasets!E63; Datasets!I63; Datasets!K63</t>
  </si>
  <si>
    <t>Capture context: AV research fleet | Camera / footage details: Camera keyframes plus temporal surrounding frames in six-second clips | Publisher: Motional</t>
  </si>
  <si>
    <t>DS-219|M2</t>
  </si>
  <si>
    <t>Datasets!I63; Datasets!M63</t>
  </si>
  <si>
    <t>Camera / footage details: Camera keyframes plus temporal surrounding frames in six-second clips | Reported size: 93k annotated images; about 1.1 million unannotated images; 93k clips</t>
  </si>
  <si>
    <t>DS-219|M5</t>
  </si>
  <si>
    <t>Datasets!I63; Datasets!O63; Datasets!R63</t>
  </si>
  <si>
    <t>Camera / footage details: Camera keyframes plus temporal surrounding frames in six-second clips | Label format: 2D object boxes, instance masks, background semantic masks | Limits and pairing notes: Useful companion to nuScenes for image models; dataset size is distinct from nuScenes. Six-second clips are delivered as sampled imagery rather than necessarily encoded videos.</t>
  </si>
  <si>
    <t>DS-220|A1</t>
  </si>
  <si>
    <t>Datasets!B64; Datasets!L64; Datasets!S64; Datasets!T64</t>
  </si>
  <si>
    <t>Dataset / release family: nuPlan (raw sensor release) | Release / paper year: 2021; sensor release 2023 | Dataset / download: Dataset / download | Evidence / paper: Source evidence</t>
  </si>
  <si>
    <t>DS-220|A2</t>
  </si>
  <si>
    <t>Datasets!F64; Datasets!Q64</t>
  </si>
  <si>
    <t>Access status: Account / terms | Access instructions: Sign up and obtain sensor blobs separately from planning database</t>
  </si>
  <si>
    <t>DS-220|A3</t>
  </si>
  <si>
    <t>Datasets!P64</t>
  </si>
  <si>
    <t>DS-220|L1</t>
  </si>
  <si>
    <t>Datasets!H64; Datasets!O64</t>
  </si>
  <si>
    <t>Pavement labels: No pavement distress/surface-state labels documented; HD road geometry, object tracks, scenario types | Label format: Sensor blobs plus database metadata/auto-labeled tracks</t>
  </si>
  <si>
    <t>DS-220|L2</t>
  </si>
  <si>
    <t>DS-220|L4</t>
  </si>
  <si>
    <t>Datasets!O64; Datasets!R64</t>
  </si>
  <si>
    <t>Label format: Sensor blobs plus database metadata/auto-labeled tracks | Limits and pairing notes: Do not count all 1,200 planning hours as available camera footage. Current homepage explicitly states 120h sensor release.</t>
  </si>
  <si>
    <t>DS-220|D1</t>
  </si>
  <si>
    <t>Datasets!O64; Datasets!I64</t>
  </si>
  <si>
    <t>Label format: Sensor blobs plus database metadata/auto-labeled tracks | Camera / footage details: Eight-camera sensor data, lidar, IMU and GPS for sensor subset</t>
  </si>
  <si>
    <t>DS-220|D2</t>
  </si>
  <si>
    <t>Datasets!K64; Datasets!E64; Datasets!I64; Datasets!R64</t>
  </si>
  <si>
    <t>Publisher: Motional | Capture context: AV research fleet | Camera / footage details: Eight-camera sensor data, lidar, IMU and GPS for sensor subset | Limits and pairing notes: Do not count all 1,200 planning hours as available camera footage. Current homepage explicitly states 120h sensor release.</t>
  </si>
  <si>
    <t>DS-220|D4</t>
  </si>
  <si>
    <t>Datasets!R64; Datasets!H64</t>
  </si>
  <si>
    <t>Limits and pairing notes: Do not count all 1,200 planning hours as available camera footage. Current homepage explicitly states 120h sensor release. | Pavement labels: No pavement distress/surface-state labels documented; HD road geometry, object tracks, scenario types</t>
  </si>
  <si>
    <t>DS-220|C1</t>
  </si>
  <si>
    <t>Datasets!M64</t>
  </si>
  <si>
    <t>Reported size: 120 hours released raw sensor data; 1,200 hours total planning data</t>
  </si>
  <si>
    <t>DS-220|C2</t>
  </si>
  <si>
    <t>Datasets!M64; Datasets!H64</t>
  </si>
  <si>
    <t>Reported size: 120 hours released raw sensor data; 1,200 hours total planning data | Pavement labels: No pavement distress/surface-state labels documented; HD road geometry, object tracks, scenario types</t>
  </si>
  <si>
    <t>DS-220|R1</t>
  </si>
  <si>
    <t>Datasets!N64; Datasets!E64; Datasets!I64</t>
  </si>
  <si>
    <t>Geography: Boston, Pittsburgh, Las Vegas; Singapore | Capture context: AV research fleet | Camera / footage details: Eight-camera sensor data, lidar, IMU and GPS for sensor subset</t>
  </si>
  <si>
    <t>DS-220|R2</t>
  </si>
  <si>
    <t>Datasets!N64; Datasets!E64; Datasets!I64; Datasets!R64</t>
  </si>
  <si>
    <t>Geography: Boston, Pittsburgh, Las Vegas; Singapore | Capture context: AV research fleet | Camera / footage details: Eight-camera sensor data, lidar, IMU and GPS for sensor subset | Limits and pairing notes: Do not count all 1,200 planning hours as available camera footage. Current homepage explicitly states 120h sensor release.</t>
  </si>
  <si>
    <t>DS-220|M1</t>
  </si>
  <si>
    <t>Datasets!E64; Datasets!I64; Datasets!K64</t>
  </si>
  <si>
    <t>Capture context: AV research fleet | Camera / footage details: Eight-camera sensor data, lidar, IMU and GPS for sensor subset | Publisher: Motional</t>
  </si>
  <si>
    <t>DS-220|M2</t>
  </si>
  <si>
    <t>Datasets!I64; Datasets!M64</t>
  </si>
  <si>
    <t>Camera / footage details: Eight-camera sensor data, lidar, IMU and GPS for sensor subset | Reported size: 120 hours released raw sensor data; 1,200 hours total planning data</t>
  </si>
  <si>
    <t>DS-220|M5</t>
  </si>
  <si>
    <t>Datasets!I64; Datasets!O64; Datasets!R64</t>
  </si>
  <si>
    <t>Camera / footage details: Eight-camera sensor data, lidar, IMU and GPS for sensor subset | Label format: Sensor blobs plus database metadata/auto-labeled tracks | Limits and pairing notes: Do not count all 1,200 planning hours as available camera footage. Current homepage explicitly states 120h sensor release.</t>
  </si>
  <si>
    <t>DS-221|A1</t>
  </si>
  <si>
    <t>Datasets!B65; Datasets!L65; Datasets!S65; Datasets!T65</t>
  </si>
  <si>
    <t>Dataset / release family: nuScenes | Release / paper year: 2019 | Dataset / download: Dataset / download | Evidence / paper: Source evidence</t>
  </si>
  <si>
    <t>DS-221|A2</t>
  </si>
  <si>
    <t>Datasets!F65; Datasets!Q65</t>
  </si>
  <si>
    <t>Access status: Account / terms | Access instructions: Official downloads require account and terms acceptance</t>
  </si>
  <si>
    <t>DS-221|A3</t>
  </si>
  <si>
    <t>Datasets!P65</t>
  </si>
  <si>
    <t>DS-221|L1</t>
  </si>
  <si>
    <t>Datasets!H65; Datasets!O65</t>
  </si>
  <si>
    <t>Pavement labels: No pavement distress or surface-state labels documented; object boxes and road/drivable-area semantics | Label format: JSON metadata and 3D objects; lidar semantic labels; map layers</t>
  </si>
  <si>
    <t>DS-221|L2</t>
  </si>
  <si>
    <t>DS-221|L4</t>
  </si>
  <si>
    <t>Datasets!O65; Datasets!R65</t>
  </si>
  <si>
    <t>Label format: JSON metadata and 3D objects; lidar semantic labels; map layers | Limits and pairing notes: Scene descriptions/weather diversity can guide sampling; road class does not measure pavement health. Annotation density differs from image frame rate.</t>
  </si>
  <si>
    <t>DS-221|D1</t>
  </si>
  <si>
    <t>Datasets!O65; Datasets!I65</t>
  </si>
  <si>
    <t>Label format: JSON metadata and 3D objects; lidar semantic labels; map layers | Camera / footage details: Six-camera synchronized image sequences, lidar/radar/GPS/IMU</t>
  </si>
  <si>
    <t>DS-221|D2</t>
  </si>
  <si>
    <t>Datasets!K65; Datasets!E65; Datasets!I65; Datasets!R65</t>
  </si>
  <si>
    <t>Publisher: Motional (formerly nuTonomy) | Capture context: AV research fleet | Camera / footage details: Six-camera synchronized image sequences, lidar/radar/GPS/IMU | Limits and pairing notes: Scene descriptions/weather diversity can guide sampling; road class does not measure pavement health. Annotation density differs from image frame rate.</t>
  </si>
  <si>
    <t>DS-221|D4</t>
  </si>
  <si>
    <t>Datasets!R65; Datasets!H65</t>
  </si>
  <si>
    <t>Limits and pairing notes: Scene descriptions/weather diversity can guide sampling; road class does not measure pavement health. Annotation density differs from image frame rate. | Pavement labels: No pavement distress or surface-state labels documented; object boxes and road/drivable-area semantics</t>
  </si>
  <si>
    <t>DS-221|C1</t>
  </si>
  <si>
    <t>Datasets!M65</t>
  </si>
  <si>
    <t>Reported size: 1,000 x 20-second scenes; approximately 1.4 million camera images</t>
  </si>
  <si>
    <t>DS-221|C2</t>
  </si>
  <si>
    <t>Datasets!M65; Datasets!H65</t>
  </si>
  <si>
    <t>Reported size: 1,000 x 20-second scenes; approximately 1.4 million camera images | Pavement labels: No pavement distress or surface-state labels documented; object boxes and road/drivable-area semantics</t>
  </si>
  <si>
    <t>DS-221|R1</t>
  </si>
  <si>
    <t>Datasets!N65; Datasets!E65; Datasets!I65</t>
  </si>
  <si>
    <t>Geography: Boston, USA; Singapore | Capture context: AV research fleet | Camera / footage details: Six-camera synchronized image sequences, lidar/radar/GPS/IMU</t>
  </si>
  <si>
    <t>DS-221|R2</t>
  </si>
  <si>
    <t>Datasets!N65; Datasets!E65; Datasets!I65; Datasets!R65</t>
  </si>
  <si>
    <t>Geography: Boston, USA; Singapore | Capture context: AV research fleet | Camera / footage details: Six-camera synchronized image sequences, lidar/radar/GPS/IMU | Limits and pairing notes: Scene descriptions/weather diversity can guide sampling; road class does not measure pavement health. Annotation density differs from image frame rate.</t>
  </si>
  <si>
    <t>DS-221|M1</t>
  </si>
  <si>
    <t>Datasets!E65; Datasets!I65; Datasets!K65</t>
  </si>
  <si>
    <t>Capture context: AV research fleet | Camera / footage details: Six-camera synchronized image sequences, lidar/radar/GPS/IMU | Publisher: Motional (formerly nuTonomy)</t>
  </si>
  <si>
    <t>DS-221|M2</t>
  </si>
  <si>
    <t>Datasets!I65; Datasets!M65</t>
  </si>
  <si>
    <t>Camera / footage details: Six-camera synchronized image sequences, lidar/radar/GPS/IMU | Reported size: 1,000 x 20-second scenes; approximately 1.4 million camera images</t>
  </si>
  <si>
    <t>DS-221|M5</t>
  </si>
  <si>
    <t>Datasets!I65; Datasets!O65; Datasets!R65</t>
  </si>
  <si>
    <t>Camera / footage details: Six-camera synchronized image sequences, lidar/radar/GPS/IMU | Label format: JSON metadata and 3D objects; lidar semantic labels; map layers | Limits and pairing notes: Scene descriptions/weather diversity can guide sampling; road class does not measure pavement health. Annotation density differs from image frame rate.</t>
  </si>
  <si>
    <t>DS-222|A1</t>
  </si>
  <si>
    <t>Datasets!B66; Datasets!L66; Datasets!S66; Datasets!T66</t>
  </si>
  <si>
    <t>Dataset / release family: NVIDIA PhysicalAI Autonomous Vehicles | Release / paper year: 2025; updated 2026 | Dataset / download: Dataset / download | Evidence / paper: Source evidence</t>
  </si>
  <si>
    <t>DS-222|A2</t>
  </si>
  <si>
    <t>Datasets!F66; Datasets!Q66</t>
  </si>
  <si>
    <t>Access status: Account / terms | Access instructions: Gated Hugging Face; account and NVIDIA agreement required</t>
  </si>
  <si>
    <t>DS-222|A3</t>
  </si>
  <si>
    <t>Datasets!P66</t>
  </si>
  <si>
    <t>License / use terms: Custom NVIDIA AV Dataset License; internal AV/ADAS development using NVIDIA technology; redistribution restrictions</t>
  </si>
  <si>
    <t>DS-222|L1</t>
  </si>
  <si>
    <t>Datasets!H66; Datasets!O66</t>
  </si>
  <si>
    <t>Pavement labels: No pavement distress or validated surface-state labels documented in reviewed card; captions/reasoning/road labels are not PCI | Label format: MP4 camera clips, sensor archives, calibration and ego-motion metadata</t>
  </si>
  <si>
    <t>DS-222|L2</t>
  </si>
  <si>
    <t>DS-222|L4</t>
  </si>
  <si>
    <t>Datasets!O66; Datasets!R66</t>
  </si>
  <si>
    <t>Label format: MP4 camera clips, sensor archives, calibration and ego-motion metadata | Limits and pairing notes: Very large recent source. Commercial/noncommercial AV use subject to terms; not a general-purpose open license. Do not assume similarly named synthetic/NuRec releases are original footage.</t>
  </si>
  <si>
    <t>DS-222|D1</t>
  </si>
  <si>
    <t>Datasets!O66; Datasets!I66</t>
  </si>
  <si>
    <t>Label format: MP4 camera clips, sensor archives, calibration and ego-motion metadata | Camera / footage details: Multi-camera videos for all clips; lidar/radar coverage for subsets; ego motion</t>
  </si>
  <si>
    <t>DS-222|D2</t>
  </si>
  <si>
    <t>Datasets!K66; Datasets!E66; Datasets!I66; Datasets!R66</t>
  </si>
  <si>
    <t>Publisher: NVIDIA | Capture context: AV research fleet | Camera / footage details: Multi-camera videos for all clips; lidar/radar coverage for subsets; ego motion | Limits and pairing notes: Very large recent source. Commercial/noncommercial AV use subject to terms; not a general-purpose open license. Do not assume similarly named synthetic/NuRec releases are original footage.</t>
  </si>
  <si>
    <t>DS-222|D4</t>
  </si>
  <si>
    <t>Datasets!R66; Datasets!H66</t>
  </si>
  <si>
    <t>Limits and pairing notes: Very large recent source. Commercial/noncommercial AV use subject to terms; not a general-purpose open license. Do not assume similarly named synthetic/NuRec releases are original footage. | Pavement labels: No pavement distress or validated surface-state labels documented in reviewed card; captions/reasoning/road labels are not PCI</t>
  </si>
  <si>
    <t>DS-222|C1</t>
  </si>
  <si>
    <t>Datasets!M66</t>
  </si>
  <si>
    <t>Reported size: 1,700 hours; 306,152 x 20-second clips</t>
  </si>
  <si>
    <t>DS-222|C2</t>
  </si>
  <si>
    <t>Datasets!M66; Datasets!H66</t>
  </si>
  <si>
    <t>Reported size: 1,700 hours; 306,152 x 20-second clips | Pavement labels: No pavement distress or validated surface-state labels documented in reviewed card; captions/reasoning/road labels are not PCI</t>
  </si>
  <si>
    <t>DS-222|R1</t>
  </si>
  <si>
    <t>Datasets!N66; Datasets!E66; Datasets!I66</t>
  </si>
  <si>
    <t>Geography: 25 countries; 2,500+ cities | Capture context: AV research fleet | Camera / footage details: Multi-camera videos for all clips; lidar/radar coverage for subsets; ego motion</t>
  </si>
  <si>
    <t>DS-222|R2</t>
  </si>
  <si>
    <t>Datasets!N66; Datasets!E66; Datasets!I66; Datasets!R66</t>
  </si>
  <si>
    <t>Geography: 25 countries; 2,500+ cities | Capture context: AV research fleet | Camera / footage details: Multi-camera videos for all clips; lidar/radar coverage for subsets; ego motion | Limits and pairing notes: Very large recent source. Commercial/noncommercial AV use subject to terms; not a general-purpose open license. Do not assume similarly named synthetic/NuRec releases are original footage.</t>
  </si>
  <si>
    <t>DS-222|M1</t>
  </si>
  <si>
    <t>Datasets!E66; Datasets!I66; Datasets!K66</t>
  </si>
  <si>
    <t>Capture context: AV research fleet | Camera / footage details: Multi-camera videos for all clips; lidar/radar coverage for subsets; ego motion | Publisher: NVIDIA</t>
  </si>
  <si>
    <t>DS-222|M2</t>
  </si>
  <si>
    <t>Datasets!I66; Datasets!M66</t>
  </si>
  <si>
    <t>Camera / footage details: Multi-camera videos for all clips; lidar/radar coverage for subsets; ego motion | Reported size: 1,700 hours; 306,152 x 20-second clips</t>
  </si>
  <si>
    <t>DS-222|M5</t>
  </si>
  <si>
    <t>Datasets!I66; Datasets!O66; Datasets!R66</t>
  </si>
  <si>
    <t>Camera / footage details: Multi-camera videos for all clips; lidar/radar coverage for subsets; ego motion | Label format: MP4 camera clips, sensor archives, calibration and ego-motion metadata | Limits and pairing notes: Very large recent source. Commercial/noncommercial AV use subject to terms; not a general-purpose open license. Do not assume similarly named synthetic/NuRec releases are original footage.</t>
  </si>
  <si>
    <t>DS-223|A1</t>
  </si>
  <si>
    <t>Datasets!B67; Datasets!L67; Datasets!S67; Datasets!T67</t>
  </si>
  <si>
    <t>Dataset / release family: ONCE (One Million Scenes) | Release / paper year: 2021 | Dataset / download: Dataset / download | Evidence / paper: Source evidence</t>
  </si>
  <si>
    <t>DS-223|A2</t>
  </si>
  <si>
    <t>Datasets!F67; Datasets!Q67</t>
  </si>
  <si>
    <t>Access status: Public links | Access instructions: Official Google Drive/Baidu download links; choose labeled/unlabeled subsets</t>
  </si>
  <si>
    <t>DS-223|A3</t>
  </si>
  <si>
    <t>Datasets!P67</t>
  </si>
  <si>
    <t>License / use terms: Dataset-specific terms; license not verified from accessible download page</t>
  </si>
  <si>
    <t>DS-223|L1</t>
  </si>
  <si>
    <t>Datasets!H67; Datasets!O67</t>
  </si>
  <si>
    <t>Pavement labels: No pavement distress/surface-state labels documented; object annotations and later 3D lane extension | Label format: 3D object boxes; JSON scene data</t>
  </si>
  <si>
    <t>DS-223|L2</t>
  </si>
  <si>
    <t>DS-223|L4</t>
  </si>
  <si>
    <t>Datasets!O67; Datasets!R67</t>
  </si>
  <si>
    <t>Label format: 3D object boxes; JSON scene data | Limits and pairing notes: Weather diversity is not a surface-condition label. Only about 15k scenes have object labels; most data unannotated.</t>
  </si>
  <si>
    <t>DS-223|D1</t>
  </si>
  <si>
    <t>Datasets!O67; Datasets!I67</t>
  </si>
  <si>
    <t>Label format: 3D object boxes; JSON scene data | Camera / footage details: Seven-camera imagery plus lidar; calibration and sequence metadata</t>
  </si>
  <si>
    <t>DS-223|D2</t>
  </si>
  <si>
    <t>Datasets!K67; Datasets!E67; Datasets!I67; Datasets!R67</t>
  </si>
  <si>
    <t>Publisher: Huawei | Capture context: AV research fleet | Camera / footage details: Seven-camera imagery plus lidar; calibration and sequence metadata | Limits and pairing notes: Weather diversity is not a surface-condition label. Only about 15k scenes have object labels; most data unannotated.</t>
  </si>
  <si>
    <t>DS-223|D4</t>
  </si>
  <si>
    <t>Datasets!R67; Datasets!H67</t>
  </si>
  <si>
    <t>Limits and pairing notes: Weather diversity is not a surface-condition label. Only about 15k scenes have object labels; most data unannotated. | Pavement labels: No pavement distress/surface-state labels documented; object annotations and later 3D lane extension</t>
  </si>
  <si>
    <t>DS-223|C1</t>
  </si>
  <si>
    <t>Datasets!M67</t>
  </si>
  <si>
    <t>Reported size: 1 million lidar scenes; 7 million camera images; 144 hours</t>
  </si>
  <si>
    <t>DS-223|C2</t>
  </si>
  <si>
    <t>Datasets!M67; Datasets!H67</t>
  </si>
  <si>
    <t>Reported size: 1 million lidar scenes; 7 million camera images; 144 hours | Pavement labels: No pavement distress/surface-state labels documented; object annotations and later 3D lane extension</t>
  </si>
  <si>
    <t>DS-223|R1</t>
  </si>
  <si>
    <t>Datasets!N67; Datasets!E67; Datasets!I67</t>
  </si>
  <si>
    <t>Geography: 200 square km of driving regions in China | Capture context: AV research fleet | Camera / footage details: Seven-camera imagery plus lidar; calibration and sequence metadata</t>
  </si>
  <si>
    <t>DS-223|R2</t>
  </si>
  <si>
    <t>Datasets!N67; Datasets!E67; Datasets!I67; Datasets!R67</t>
  </si>
  <si>
    <t>Geography: 200 square km of driving regions in China | Capture context: AV research fleet | Camera / footage details: Seven-camera imagery plus lidar; calibration and sequence metadata | Limits and pairing notes: Weather diversity is not a surface-condition label. Only about 15k scenes have object labels; most data unannotated.</t>
  </si>
  <si>
    <t>DS-223|M1</t>
  </si>
  <si>
    <t>Datasets!E67; Datasets!I67; Datasets!K67</t>
  </si>
  <si>
    <t>Capture context: AV research fleet | Camera / footage details: Seven-camera imagery plus lidar; calibration and sequence metadata | Publisher: Huawei</t>
  </si>
  <si>
    <t>DS-223|M2</t>
  </si>
  <si>
    <t>Datasets!I67; Datasets!M67</t>
  </si>
  <si>
    <t>Camera / footage details: Seven-camera imagery plus lidar; calibration and sequence metadata | Reported size: 1 million lidar scenes; 7 million camera images; 144 hours</t>
  </si>
  <si>
    <t>DS-223|M5</t>
  </si>
  <si>
    <t>Datasets!I67; Datasets!O67; Datasets!R67</t>
  </si>
  <si>
    <t>Camera / footage details: Seven-camera imagery plus lidar; calibration and sequence metadata | Label format: 3D object boxes; JSON scene data | Limits and pairing notes: Weather diversity is not a surface-condition label. Only about 15k scenes have object labels; most data unannotated.</t>
  </si>
  <si>
    <t>DS-224|A1</t>
  </si>
  <si>
    <t>Datasets!B68; Datasets!L68; Datasets!S68; Datasets!T68</t>
  </si>
  <si>
    <t>Dataset / release family: OpenDV-YouTube / OpenDV-2K suite | Release / paper year: 2024 | Dataset / download: Dataset / download | Evidence / paper: Source evidence</t>
  </si>
  <si>
    <t>DS-224|A2</t>
  </si>
  <si>
    <t>Datasets!F68; Datasets!Q68</t>
  </si>
  <si>
    <t>Access status: Source-video links | Access instructions: Official video list/scripts and language files; source videos may change or disappear</t>
  </si>
  <si>
    <t>DS-224|A3</t>
  </si>
  <si>
    <t>Datasets!P68</t>
  </si>
  <si>
    <t>License / use terms: Underlying YouTube/source-dataset terms; repository Apache-2.0 does not relicense videos</t>
  </si>
  <si>
    <t>Source-video terms are acknowledged, but no itemized per-video rights chain is established and repository Apache does not relicense them.</t>
  </si>
  <si>
    <t>DS-224|L1</t>
  </si>
  <si>
    <t>Datasets!H68; Datasets!O68</t>
  </si>
  <si>
    <t>Pavement labels: Generated language annotations; no structured verified pavement condition labels | Label format: Video URLs, extracted frames and language annotations</t>
  </si>
  <si>
    <t>DS-224|L2</t>
  </si>
  <si>
    <t>DS-224|L4</t>
  </si>
  <si>
    <t>Datasets!O68; Datasets!R68</t>
  </si>
  <si>
    <t>Label format: Video URLs, extracted frames and language annotations | Limits and pairing notes: Not a downloadable OEM AV fleet dataset. Full suite includes reused public datasets; authors do not release annotations for its other sampled source datasets. Avoid double-counting underlying footage.</t>
  </si>
  <si>
    <t>DS-224|D1</t>
  </si>
  <si>
    <t>Datasets!O68; Datasets!I68</t>
  </si>
  <si>
    <t>Label format: Video URLs, extracted frames and language annotations | Camera / footage details: YouTube video list and processing tools; released YouTube portion over 1,700h</t>
  </si>
  <si>
    <t>DS-224|D2</t>
  </si>
  <si>
    <t>Datasets!K68; Datasets!E68; Datasets!I68; Datasets!R68</t>
  </si>
  <si>
    <t>Publisher: OpenDriveLab / GenAD authors; source video creators | Capture context: Web driving videos | Camera / footage details: YouTube video list and processing tools; released YouTube portion over 1,700h | Limits and pairing notes: Not a downloadable OEM AV fleet dataset. Full suite includes reused public datasets; authors do not release annotations for its other sampled source datasets. Avoid double-counting underlying footage.</t>
  </si>
  <si>
    <t>DS-224|D4</t>
  </si>
  <si>
    <t>Datasets!R68; Datasets!H68</t>
  </si>
  <si>
    <t>Limits and pairing notes: Not a downloadable OEM AV fleet dataset. Full suite includes reused public datasets; authors do not release annotations for its other sampled source datasets. Avoid double-counting underlying footage. | Pavement labels: Generated language annotations; no structured verified pavement condition labels</t>
  </si>
  <si>
    <t>DS-224|C1</t>
  </si>
  <si>
    <t>Datasets!M68</t>
  </si>
  <si>
    <t>Reported size: Over 1,700h released YouTube portion; 25h mini; paper's combined OpenDV-2K suite 2,059h</t>
  </si>
  <si>
    <t>DS-224|C2</t>
  </si>
  <si>
    <t>Datasets!M68; Datasets!H68</t>
  </si>
  <si>
    <t>Reported size: Over 1,700h released YouTube portion; 25h mini; paper's combined OpenDV-2K suite 2,059h | Pavement labels: Generated language annotations; no structured verified pavement condition labels</t>
  </si>
  <si>
    <t>DS-224|R1</t>
  </si>
  <si>
    <t>Datasets!N68; Datasets!E68; Datasets!I68</t>
  </si>
  <si>
    <t>Geography: 244+ cities in 40 countries (YouTube portion) | Capture context: Web driving videos | Camera / footage details: YouTube video list and processing tools; released YouTube portion over 1,700h</t>
  </si>
  <si>
    <t>DS-224|R2</t>
  </si>
  <si>
    <t>Datasets!N68; Datasets!E68; Datasets!I68; Datasets!R68</t>
  </si>
  <si>
    <t>Geography: 244+ cities in 40 countries (YouTube portion) | Capture context: Web driving videos | Camera / footage details: YouTube video list and processing tools; released YouTube portion over 1,700h | Limits and pairing notes: Not a downloadable OEM AV fleet dataset. Full suite includes reused public datasets; authors do not release annotations for its other sampled source datasets. Avoid double-counting underlying footage.</t>
  </si>
  <si>
    <t>DS-224|M1</t>
  </si>
  <si>
    <t>Datasets!E68; Datasets!I68; Datasets!K68</t>
  </si>
  <si>
    <t>Capture context: Web driving videos | Camera / footage details: YouTube video list and processing tools; released YouTube portion over 1,700h | Publisher: OpenDriveLab / GenAD authors; source video creators</t>
  </si>
  <si>
    <t>DS-224|M2</t>
  </si>
  <si>
    <t>Datasets!I68; Datasets!M68</t>
  </si>
  <si>
    <t>Camera / footage details: YouTube video list and processing tools; released YouTube portion over 1,700h | Reported size: Over 1,700h released YouTube portion; 25h mini; paper's combined OpenDV-2K suite 2,059h</t>
  </si>
  <si>
    <t>DS-224|M5</t>
  </si>
  <si>
    <t>Datasets!I68; Datasets!O68; Datasets!R68</t>
  </si>
  <si>
    <t>Camera / footage details: YouTube video list and processing tools; released YouTube portion over 1,700h | Label format: Video URLs, extracted frames and language annotations | Limits and pairing notes: Not a downloadable OEM AV fleet dataset. Full suite includes reused public datasets; authors do not release annotations for its other sampled source datasets. Avoid double-counting underlying footage.</t>
  </si>
  <si>
    <t>DS-225|A1</t>
  </si>
  <si>
    <t>Datasets!B69; Datasets!L69; Datasets!S69; Datasets!T69</t>
  </si>
  <si>
    <t>Dataset / release family: Oxford RobotCar / Radar RobotCar | Release / paper year: 2016–2017; radar extension 2019 | Dataset / download: Dataset / download | Evidence / paper: Source evidence</t>
  </si>
  <si>
    <t>DS-225|A2</t>
  </si>
  <si>
    <t>Datasets!F69; Datasets!Q69</t>
  </si>
  <si>
    <t>Access status: Request access | Access instructions: Academic email registration and manual approval required by current registration page</t>
  </si>
  <si>
    <t>DS-225|A3</t>
  </si>
  <si>
    <t>Datasets!P69</t>
  </si>
  <si>
    <t>License / use terms: CC BY-NC-SA 4.0 plus access terms; academic noncommercial robotics research</t>
  </si>
  <si>
    <t>DS-225|L1</t>
  </si>
  <si>
    <t>Datasets!H69; Datasets!O69</t>
  </si>
  <si>
    <t>Pavement labels: No pavement distress/surface-state labels documented; repeated seasons, weather and roadworks | Label format: Timestamped images/sensors, calibration, ground-truth poses</t>
  </si>
  <si>
    <t>DS-225|L2</t>
  </si>
  <si>
    <t>DS-225|L4</t>
  </si>
  <si>
    <t>Datasets!O69; Datasets!R69</t>
  </si>
  <si>
    <t>Label format: Timestamped images/sensors, calibration, ground-truth poses | Limits and pairing notes: Useful repeat-route footage. Current access page rejects nonacademic email registrations; do not call this unrestricted open data. Radar extension: https://oxford-robotics-institute.github.io/radar-robotcar-dataset/datasets</t>
  </si>
  <si>
    <t>DS-225|D1</t>
  </si>
  <si>
    <t>Datasets!O69; Datasets!I69</t>
  </si>
  <si>
    <t>Label format: Timestamped images/sensors, calibration, ground-truth poses | Camera / footage details: Multicamera image sequences, lidar and navigation; radar extension adds scanning radar</t>
  </si>
  <si>
    <t>DS-225|D2</t>
  </si>
  <si>
    <t>Datasets!K69; Datasets!E69; Datasets!I69; Datasets!R69</t>
  </si>
  <si>
    <t>Publisher: University of Oxford Robotics Institute | Capture context: AV research fleet | Camera / footage details: Multicamera image sequences, lidar and navigation; radar extension adds scanning radar | Limits and pairing notes: Useful repeat-route footage. Current access page rejects nonacademic email registrations; do not call this unrestricted open data. Radar extension: https://oxford-robotics-institute.github.io/radar-robotcar-dataset/datasets</t>
  </si>
  <si>
    <t>DS-225|D4</t>
  </si>
  <si>
    <t>Datasets!R69; Datasets!H69</t>
  </si>
  <si>
    <t>Limits and pairing notes: Useful repeat-route footage. Current access page rejects nonacademic email registrations; do not call this unrestricted open data. Radar extension: https://oxford-robotics-institute.github.io/radar-robotcar-dataset/datasets | Pavement labels: No pavement distress/surface-state labels documented; repeated seasons, weather and roadworks</t>
  </si>
  <si>
    <t>DS-225|C1</t>
  </si>
  <si>
    <t>Datasets!M69</t>
  </si>
  <si>
    <t>Reported size: Original: over 100 repetitions of route, about 1,000 km; radar extension 4.7 TB</t>
  </si>
  <si>
    <t>DS-225|C2</t>
  </si>
  <si>
    <t>Datasets!M69; Datasets!H69</t>
  </si>
  <si>
    <t>Reported size: Original: over 100 repetitions of route, about 1,000 km; radar extension 4.7 TB | Pavement labels: No pavement distress/surface-state labels documented; repeated seasons, weather and roadworks</t>
  </si>
  <si>
    <t>DS-225|R1</t>
  </si>
  <si>
    <t>Datasets!N69; Datasets!E69; Datasets!I69</t>
  </si>
  <si>
    <t>Geography: Oxford, UK | Capture context: AV research fleet | Camera / footage details: Multicamera image sequences, lidar and navigation; radar extension adds scanning radar</t>
  </si>
  <si>
    <t>DS-225|R2</t>
  </si>
  <si>
    <t>Datasets!N69; Datasets!E69; Datasets!I69; Datasets!R69</t>
  </si>
  <si>
    <t>Geography: Oxford, UK | Capture context: AV research fleet | Camera / footage details: Multicamera image sequences, lidar and navigation; radar extension adds scanning radar | Limits and pairing notes: Useful repeat-route footage. Current access page rejects nonacademic email registrations; do not call this unrestricted open data. Radar extension: https://oxford-robotics-institute.github.io/radar-robotcar-dataset/datasets</t>
  </si>
  <si>
    <t>DS-225|M1</t>
  </si>
  <si>
    <t>Datasets!E69; Datasets!I69; Datasets!K69</t>
  </si>
  <si>
    <t>Capture context: AV research fleet | Camera / footage details: Multicamera image sequences, lidar and navigation; radar extension adds scanning radar | Publisher: University of Oxford Robotics Institute</t>
  </si>
  <si>
    <t>DS-225|M2</t>
  </si>
  <si>
    <t>Datasets!I69; Datasets!M69</t>
  </si>
  <si>
    <t>Camera / footage details: Multicamera image sequences, lidar and navigation; radar extension adds scanning radar | Reported size: Original: over 100 repetitions of route, about 1,000 km; radar extension 4.7 TB</t>
  </si>
  <si>
    <t>DS-225|M5</t>
  </si>
  <si>
    <t>Datasets!I69; Datasets!O69; Datasets!R69</t>
  </si>
  <si>
    <t>Camera / footage details: Multicamera image sequences, lidar and navigation; radar extension adds scanning radar | Label format: Timestamped images/sensors, calibration, ground-truth poses | Limits and pairing notes: Useful repeat-route footage. Current access page rejects nonacademic email registrations; do not call this unrestricted open data. Radar extension: https://oxford-robotics-institute.github.io/radar-robotcar-dataset/datasets</t>
  </si>
  <si>
    <t>DS-226|A1</t>
  </si>
  <si>
    <t>Datasets!B70; Datasets!L70; Datasets!S70; Datasets!T70</t>
  </si>
  <si>
    <t>Dataset / release family: PandaSet | Release / paper year: 2019; paper 2021 | Dataset / download: Dataset / download | Evidence / paper: Source evidence</t>
  </si>
  <si>
    <t>DS-226|A2</t>
  </si>
  <si>
    <t>Datasets!F70; Datasets!Q70</t>
  </si>
  <si>
    <t>Access status: Availability uncertain | Access instructions: Official devkit online; its original Scale download landing returned 404 during review</t>
  </si>
  <si>
    <t>DS-226|A3</t>
  </si>
  <si>
    <t>Datasets!P70</t>
  </si>
  <si>
    <t>License / use terms: Paper describes no-cost commercial license; obtain actual dataset terms with authorized copy</t>
  </si>
  <si>
    <t>DS-226|L1</t>
  </si>
  <si>
    <t>Datasets!H70; Datasets!O70</t>
  </si>
  <si>
    <t>Pavement labels: No pavement distress/surface-state labels documented; object and lidar semantic labels | Label format: JPEG sequences; 3D cuboids and point semantic classes</t>
  </si>
  <si>
    <t>DS-226|L2</t>
  </si>
  <si>
    <t>DS-226|L4</t>
  </si>
  <si>
    <t>Datasets!O70; Datasets!R70</t>
  </si>
  <si>
    <t>Label format: JPEG sequences; 3D cuboids and point semantic classes | Limits and pairing notes: Do not equate working devkit with verified working bulk download. Contact provider or confirm authorized mirror and data license.</t>
  </si>
  <si>
    <t>DS-226|D1</t>
  </si>
  <si>
    <t>Datasets!O70; Datasets!I70</t>
  </si>
  <si>
    <t>Label format: JPEG sequences; 3D cuboids and point semantic classes | Camera / footage details: Six-camera images, dual lidar, GPS and poses</t>
  </si>
  <si>
    <t>DS-226|D2</t>
  </si>
  <si>
    <t>Datasets!K70; Datasets!E70; Datasets!I70; Datasets!R70</t>
  </si>
  <si>
    <t>Publisher: Hesai / Scale AI | Capture context: AV research fleet | Camera / footage details: Six-camera images, dual lidar, GPS and poses | Limits and pairing notes: Do not equate working devkit with verified working bulk download. Contact provider or confirm authorized mirror and data license.</t>
  </si>
  <si>
    <t>DS-226|D4</t>
  </si>
  <si>
    <t>Datasets!R70; Datasets!H70</t>
  </si>
  <si>
    <t>Limits and pairing notes: Do not equate working devkit with verified working bulk download. Contact provider or confirm authorized mirror and data license. | Pavement labels: No pavement distress/surface-state labels documented; object and lidar semantic labels</t>
  </si>
  <si>
    <t>DS-226|C1</t>
  </si>
  <si>
    <t>Datasets!M70</t>
  </si>
  <si>
    <t>Reported size: 100+ eight-second scenes; 80 frames per sensor sequence</t>
  </si>
  <si>
    <t>DS-226|C2</t>
  </si>
  <si>
    <t>Datasets!M70; Datasets!H70</t>
  </si>
  <si>
    <t>Reported size: 100+ eight-second scenes; 80 frames per sensor sequence | Pavement labels: No pavement distress/surface-state labels documented; object and lidar semantic labels</t>
  </si>
  <si>
    <t>DS-226|R1</t>
  </si>
  <si>
    <t>Datasets!N70; Datasets!E70; Datasets!I70</t>
  </si>
  <si>
    <t>Geography: San Francisco Bay Area, USA | Capture context: AV research fleet | Camera / footage details: Six-camera images, dual lidar, GPS and poses</t>
  </si>
  <si>
    <t>DS-226|R2</t>
  </si>
  <si>
    <t>Datasets!N70; Datasets!E70; Datasets!I70; Datasets!R70</t>
  </si>
  <si>
    <t>Geography: San Francisco Bay Area, USA | Capture context: AV research fleet | Camera / footage details: Six-camera images, dual lidar, GPS and poses | Limits and pairing notes: Do not equate working devkit with verified working bulk download. Contact provider or confirm authorized mirror and data license.</t>
  </si>
  <si>
    <t>DS-226|M1</t>
  </si>
  <si>
    <t>Datasets!E70; Datasets!I70; Datasets!K70</t>
  </si>
  <si>
    <t>Capture context: AV research fleet | Camera / footage details: Six-camera images, dual lidar, GPS and poses | Publisher: Hesai / Scale AI</t>
  </si>
  <si>
    <t>DS-226|M2</t>
  </si>
  <si>
    <t>Datasets!I70; Datasets!M70</t>
  </si>
  <si>
    <t>Camera / footage details: Six-camera images, dual lidar, GPS and poses | Reported size: 100+ eight-second scenes; 80 frames per sensor sequence</t>
  </si>
  <si>
    <t>DS-226|M5</t>
  </si>
  <si>
    <t>Datasets!I70; Datasets!O70; Datasets!R70</t>
  </si>
  <si>
    <t>Camera / footage details: Six-camera images, dual lidar, GPS and poses | Label format: JPEG sequences; 3D cuboids and point semantic classes | Limits and pairing notes: Do not equate working devkit with verified working bulk download. Contact provider or confirm authorized mirror and data license.</t>
  </si>
  <si>
    <t>DS-227|A1</t>
  </si>
  <si>
    <t>Datasets!B71; Datasets!L71; Datasets!S71; Datasets!T71</t>
  </si>
  <si>
    <t>Dataset / release family: RADIATE | Release / paper year: 2020–2021 | Dataset / download: Dataset / download | Evidence / paper: Source evidence</t>
  </si>
  <si>
    <t>DS-227|A2</t>
  </si>
  <si>
    <t>Datasets!F71; Datasets!Q71</t>
  </si>
  <si>
    <t>Access status: Account / terms | Access instructions: Register through official dataset website</t>
  </si>
  <si>
    <t>DS-227|A3</t>
  </si>
  <si>
    <t>Datasets!P71</t>
  </si>
  <si>
    <t>DS-227|L1</t>
  </si>
  <si>
    <t>Datasets!H71; Datasets!O71</t>
  </si>
  <si>
    <t>Pavement labels: Weather/scenario categories; object annotations; no pavement distress/surface-state labels documented | Label format: Radar-domain object boxes/tracks plus calibrated camera frames</t>
  </si>
  <si>
    <t>DS-227|L2</t>
  </si>
  <si>
    <t>DS-227|L4</t>
  </si>
  <si>
    <t>Datasets!O71; Datasets!R71</t>
  </si>
  <si>
    <t>Label format: Radar-domain object boxes/tracks plus calibrated camera frames | Limits and pairing notes: Camera streams are included even though benchmark centers on radar. Heavy snow/fog may make pavement invisible; inspect subset suitability.</t>
  </si>
  <si>
    <t>DS-227|D1</t>
  </si>
  <si>
    <t>Datasets!O71; Datasets!I71</t>
  </si>
  <si>
    <t>Label format: Radar-domain object boxes/tracks plus calibrated camera frames | Camera / footage details: ZED stereo camera, radar, lidar, GPS/IMU in adverse weather</t>
  </si>
  <si>
    <t>DS-227|D2</t>
  </si>
  <si>
    <t>Datasets!K71; Datasets!E71; Datasets!I71; Datasets!R71</t>
  </si>
  <si>
    <t>Publisher: Heriot-Watt University | Capture context: AV research fleet | Camera / footage details: ZED stereo camera, radar, lidar, GPS/IMU in adverse weather | Limits and pairing notes: Camera streams are included even though benchmark centers on radar. Heavy snow/fog may make pavement invisible; inspect subset suitability.</t>
  </si>
  <si>
    <t>DS-227|D4</t>
  </si>
  <si>
    <t>Datasets!R71; Datasets!H71</t>
  </si>
  <si>
    <t>Limits and pairing notes: Camera streams are included even though benchmark centers on radar. Heavy snow/fog may make pavement invisible; inspect subset suitability. | Pavement labels: Weather/scenario categories; object annotations; no pavement distress/surface-state labels documented</t>
  </si>
  <si>
    <t>DS-227|C1</t>
  </si>
  <si>
    <t>Datasets!M71</t>
  </si>
  <si>
    <t>Reported size: About 3 hours; over 200k annotated object instances</t>
  </si>
  <si>
    <t>DS-227|C2</t>
  </si>
  <si>
    <t>Datasets!M71; Datasets!H71</t>
  </si>
  <si>
    <t>Reported size: About 3 hours; over 200k annotated object instances | Pavement labels: Weather/scenario categories; object annotations; no pavement distress/surface-state labels documented</t>
  </si>
  <si>
    <t>DS-227|R1</t>
  </si>
  <si>
    <t>Datasets!N71; Datasets!E71; Datasets!I71</t>
  </si>
  <si>
    <t>Geography: UK | Capture context: AV research fleet | Camera / footage details: ZED stereo camera, radar, lidar, GPS/IMU in adverse weather</t>
  </si>
  <si>
    <t>DS-227|R2</t>
  </si>
  <si>
    <t>Datasets!N71; Datasets!E71; Datasets!I71; Datasets!R71</t>
  </si>
  <si>
    <t>Geography: UK | Capture context: AV research fleet | Camera / footage details: ZED stereo camera, radar, lidar, GPS/IMU in adverse weather | Limits and pairing notes: Camera streams are included even though benchmark centers on radar. Heavy snow/fog may make pavement invisible; inspect subset suitability.</t>
  </si>
  <si>
    <t>DS-227|M1</t>
  </si>
  <si>
    <t>Datasets!E71; Datasets!I71; Datasets!K71</t>
  </si>
  <si>
    <t>Capture context: AV research fleet | Camera / footage details: ZED stereo camera, radar, lidar, GPS/IMU in adverse weather | Publisher: Heriot-Watt University</t>
  </si>
  <si>
    <t>DS-227|M2</t>
  </si>
  <si>
    <t>Datasets!I71; Datasets!M71</t>
  </si>
  <si>
    <t>Camera / footage details: ZED stereo camera, radar, lidar, GPS/IMU in adverse weather | Reported size: About 3 hours; over 200k annotated object instances</t>
  </si>
  <si>
    <t>DS-227|M5</t>
  </si>
  <si>
    <t>Datasets!I71; Datasets!O71; Datasets!R71</t>
  </si>
  <si>
    <t>Camera / footage details: ZED stereo camera, radar, lidar, GPS/IMU in adverse weather | Label format: Radar-domain object boxes/tracks plus calibrated camera frames | Limits and pairing notes: Camera streams are included even though benchmark centers on radar. Heavy snow/fog may make pavement invisible; inspect subset suitability.</t>
  </si>
  <si>
    <t>DS-228|A1</t>
  </si>
  <si>
    <t>Datasets!B72; Datasets!L72; Datasets!S72; Datasets!T72</t>
  </si>
  <si>
    <t>Dataset / release family: TruckDrive | Release / paper year: 2026 | Dataset / download: Dataset / download | Evidence / paper: Source evidence</t>
  </si>
  <si>
    <t>DS-228|A2</t>
  </si>
  <si>
    <t>Datasets!F72; Datasets!Q72</t>
  </si>
  <si>
    <t>Access status: Public links | Access instructions: Hugging Face release; provided download script permits per-scene/per-modality access</t>
  </si>
  <si>
    <t>DS-228|A3</t>
  </si>
  <si>
    <t>Datasets!P72</t>
  </si>
  <si>
    <t>License / use terms: Torc custom noncommercial/commercial license files; check applicable terms</t>
  </si>
  <si>
    <t>DS-228|L1</t>
  </si>
  <si>
    <t>Datasets!H72; Datasets!O72</t>
  </si>
  <si>
    <t>Pavement labels: No pavement-condition labels documented; object/scene annotations and depth supervision | Label format: Camera/LiDAR/radar archives; annotations and poses via devkit</t>
  </si>
  <si>
    <t>DS-228|L2</t>
  </si>
  <si>
    <t>DS-228|L4</t>
  </si>
  <si>
    <t>Datasets!O72; Datasets!R72</t>
  </si>
  <si>
    <t>Label format: Camera/LiDAR/radar archives; annotations and poses via devkit | Limits and pairing notes: CVPR 2026. Useful current real truck camera dataset. Object annotation ranges reach 1,000 m in 2D and 400 m in 3D; not pavement labels.</t>
  </si>
  <si>
    <t>DS-228|D1</t>
  </si>
  <si>
    <t>Datasets!O72; Datasets!I72</t>
  </si>
  <si>
    <t>Label format: Camera/LiDAR/radar archives; annotations and poses via devkit | Camera / footage details: 11-15 cameras with synchronized LiDAR/radar, poses and calibration</t>
  </si>
  <si>
    <t>DS-228|D2</t>
  </si>
  <si>
    <t>Datasets!K72; Datasets!E72; Datasets!I72; Datasets!R72</t>
  </si>
  <si>
    <t>Publisher: Torc Robotics and Princeton University | Capture context: Truck research | Camera / footage details: 11-15 cameras with synchronized LiDAR/radar, poses and calibration | Limits and pairing notes: CVPR 2026. Useful current real truck camera dataset. Object annotation ranges reach 1,000 m in 2D and 400 m in 3D; not pavement labels.</t>
  </si>
  <si>
    <t>DS-228|D4</t>
  </si>
  <si>
    <t>Datasets!R72; Datasets!H72</t>
  </si>
  <si>
    <t>Limits and pairing notes: CVPR 2026. Useful current real truck camera dataset. Object annotation ranges reach 1,000 m in 2D and 400 m in 3D; not pavement labels. | Pavement labels: No pavement-condition labels documented; object/scene annotations and depth supervision</t>
  </si>
  <si>
    <t>DS-228|C1</t>
  </si>
  <si>
    <t>Datasets!M72</t>
  </si>
  <si>
    <t>Reported size: 475k synchronized samples; 165k annotated frames; 3,828 sequences, 15-25 seconds each</t>
  </si>
  <si>
    <t>DS-228|C2</t>
  </si>
  <si>
    <t>Datasets!M72; Datasets!H72</t>
  </si>
  <si>
    <t>Reported size: 475k synchronized samples; 165k annotated frames; 3,828 sequences, 15-25 seconds each | Pavement labels: No pavement-condition labels documented; object/scene annotations and depth supervision</t>
  </si>
  <si>
    <t>DS-228|R1</t>
  </si>
  <si>
    <t>Datasets!N72; Datasets!E72; Datasets!I72</t>
  </si>
  <si>
    <t>Geography: US public roads; licensed material excludes Illinois and California footage | Capture context: Truck research | Camera / footage details: 11-15 cameras with synchronized LiDAR/radar, poses and calibration</t>
  </si>
  <si>
    <t>DS-228|R2</t>
  </si>
  <si>
    <t>Datasets!N72; Datasets!E72; Datasets!I72; Datasets!R72</t>
  </si>
  <si>
    <t>Geography: US public roads; licensed material excludes Illinois and California footage | Capture context: Truck research | Camera / footage details: 11-15 cameras with synchronized LiDAR/radar, poses and calibration | Limits and pairing notes: CVPR 2026. Useful current real truck camera dataset. Object annotation ranges reach 1,000 m in 2D and 400 m in 3D; not pavement labels.</t>
  </si>
  <si>
    <t>DS-228|M1</t>
  </si>
  <si>
    <t>Datasets!E72; Datasets!I72; Datasets!K72</t>
  </si>
  <si>
    <t>Capture context: Truck research | Camera / footage details: 11-15 cameras with synchronized LiDAR/radar, poses and calibration | Publisher: Torc Robotics and Princeton University</t>
  </si>
  <si>
    <t>DS-228|M2</t>
  </si>
  <si>
    <t>Datasets!I72; Datasets!M72</t>
  </si>
  <si>
    <t>Camera / footage details: 11-15 cameras with synchronized LiDAR/radar, poses and calibration | Reported size: 475k synchronized samples; 165k annotated frames; 3,828 sequences, 15-25 seconds each</t>
  </si>
  <si>
    <t>DS-228|M5</t>
  </si>
  <si>
    <t>Datasets!I72; Datasets!O72; Datasets!R72</t>
  </si>
  <si>
    <t>Camera / footage details: 11-15 cameras with synchronized LiDAR/radar, poses and calibration | Label format: Camera/LiDAR/radar archives; annotations and poses via devkit | Limits and pairing notes: CVPR 2026. Useful current real truck camera dataset. Object annotation ranges reach 1,000 m in 2D and 400 m in 3D; not pavement labels.</t>
  </si>
  <si>
    <t>DS-229|A1</t>
  </si>
  <si>
    <t>Datasets!B73; Datasets!L73; Datasets!S73; Datasets!T73</t>
  </si>
  <si>
    <t>Dataset / release family: TuSimple Lane Detection Benchmark | Release / paper year: 2017 | Dataset / download: Dataset / download | Evidence / paper: Source evidence</t>
  </si>
  <si>
    <t>DS-229|A2</t>
  </si>
  <si>
    <t>Datasets!F73; Datasets!Q73</t>
  </si>
  <si>
    <t>Access status: Public links | Access instructions: Official repository now directs users to Kaggle mirror; original S3 downloads reported unavailable</t>
  </si>
  <si>
    <t>DS-229|A3</t>
  </si>
  <si>
    <t>Datasets!P73</t>
  </si>
  <si>
    <t>License / use terms: Confirm dataset terms with provider/mirror; code license does not establish data rights</t>
  </si>
  <si>
    <t>DS-229|L1</t>
  </si>
  <si>
    <t>Datasets!H73; Datasets!O73</t>
  </si>
  <si>
    <t>Pavement labels: None; lane marking geometry only, not marking quality or pavement condition | Label format: JSON lane polylines on last frame of each clip</t>
  </si>
  <si>
    <t>DS-229|L2</t>
  </si>
  <si>
    <t>DS-229|L4</t>
  </si>
  <si>
    <t>Datasets!O73; Datasets!R73</t>
  </si>
  <si>
    <t>Label format: JSON lane polylines on last frame of each clip | Limits and pairing notes: Repository-endorsed mirror: https://www.kaggle.com/datasets/manideep1108/tusimple . Includes sequence context but labels only final frame.</t>
  </si>
  <si>
    <t>DS-229|D1</t>
  </si>
  <si>
    <t>Datasets!O73; Datasets!I73</t>
  </si>
  <si>
    <t>Label format: JSON lane polylines on last frame of each clip | Camera / footage details: Forward camera; one-second sequences of 20 frames</t>
  </si>
  <si>
    <t>DS-229|D2</t>
  </si>
  <si>
    <t>Datasets!K73; Datasets!E73; Datasets!I73; Datasets!R73</t>
  </si>
  <si>
    <t>Publisher: TuSimple | Capture context: Driving research | Camera / footage details: Forward camera; one-second sequences of 20 frames | Limits and pairing notes: Repository-endorsed mirror: https://www.kaggle.com/datasets/manideep1108/tusimple . Includes sequence context but labels only final frame.</t>
  </si>
  <si>
    <t>DS-229|D4</t>
  </si>
  <si>
    <t>Datasets!R73; Datasets!H73</t>
  </si>
  <si>
    <t>Limits and pairing notes: Repository-endorsed mirror: https://www.kaggle.com/datasets/manideep1108/tusimple . Includes sequence context but labels only final frame. | Pavement labels: None; lane marking geometry only, not marking quality or pavement condition</t>
  </si>
  <si>
    <t>DS-229|C1</t>
  </si>
  <si>
    <t>Datasets!M73</t>
  </si>
  <si>
    <t>Reported size: 3,626 training clips + 2,782 test clips</t>
  </si>
  <si>
    <t>DS-229|C2</t>
  </si>
  <si>
    <t>Datasets!M73; Datasets!H73</t>
  </si>
  <si>
    <t>Reported size: 3,626 training clips + 2,782 test clips | Pavement labels: None; lane marking geometry only, not marking quality or pavement condition</t>
  </si>
  <si>
    <t>DS-229|R1</t>
  </si>
  <si>
    <t>Datasets!N73; Datasets!E73; Datasets!I73</t>
  </si>
  <si>
    <t>Geography: Highway driving; precise geography not specified on cited official readme | Capture context: Driving research | Camera / footage details: Forward camera; one-second sequences of 20 frames</t>
  </si>
  <si>
    <t>DS-229|R2</t>
  </si>
  <si>
    <t>Datasets!N73; Datasets!E73; Datasets!I73; Datasets!R73</t>
  </si>
  <si>
    <t>Geography: Highway driving; precise geography not specified on cited official readme | Capture context: Driving research | Camera / footage details: Forward camera; one-second sequences of 20 frames | Limits and pairing notes: Repository-endorsed mirror: https://www.kaggle.com/datasets/manideep1108/tusimple . Includes sequence context but labels only final frame.</t>
  </si>
  <si>
    <t>DS-229|M1</t>
  </si>
  <si>
    <t>Datasets!E73; Datasets!I73; Datasets!K73</t>
  </si>
  <si>
    <t>Capture context: Driving research | Camera / footage details: Forward camera; one-second sequences of 20 frames | Publisher: TuSimple</t>
  </si>
  <si>
    <t>DS-229|M2</t>
  </si>
  <si>
    <t>Datasets!I73; Datasets!M73</t>
  </si>
  <si>
    <t>Camera / footage details: Forward camera; one-second sequences of 20 frames | Reported size: 3,626 training clips + 2,782 test clips</t>
  </si>
  <si>
    <t>Twenty frames in a one-second clip describes temporal context; image pixel resolution remains unspecified for the image task.</t>
  </si>
  <si>
    <t>DS-229|M5</t>
  </si>
  <si>
    <t>Datasets!I73; Datasets!O73; Datasets!R73</t>
  </si>
  <si>
    <t>Camera / footage details: Forward camera; one-second sequences of 20 frames | Label format: JSON lane polylines on last frame of each clip | Limits and pairing notes: Repository-endorsed mirror: https://www.kaggle.com/datasets/manideep1108/tusimple . Includes sequence context but labels only final frame.</t>
  </si>
  <si>
    <t>DS-230|A1</t>
  </si>
  <si>
    <t>Datasets!B74; Datasets!L74; Datasets!S74; Datasets!T74</t>
  </si>
  <si>
    <t>Dataset / release family: Waymo Open Dataset - End-to-End Driving | Release / paper year: 2025 | Dataset / download: Dataset / download | Evidence / paper: Source evidence</t>
  </si>
  <si>
    <t>DS-230|A2</t>
  </si>
  <si>
    <t>Datasets!F74; Datasets!Q74</t>
  </si>
  <si>
    <t>Access status: Account / terms | Access instructions: Waymo portal; sign-in and dataset terms</t>
  </si>
  <si>
    <t>DS-230|A3</t>
  </si>
  <si>
    <t>Datasets!P74</t>
  </si>
  <si>
    <t>License / use terms: Waymo Dataset License; noncommercial research restrictions</t>
  </si>
  <si>
    <t>DS-230|L1</t>
  </si>
  <si>
    <t>Datasets!H74; Datasets!O74</t>
  </si>
  <si>
    <t>Pavement labels: No pavement distress labels; construction/debris scenario clusters are related context | Label format: TFRecord; ego states, route commands, future trajectories and rater feedback</t>
  </si>
  <si>
    <t>DS-230|L2</t>
  </si>
  <si>
    <t>DS-230|L4</t>
  </si>
  <si>
    <t>Datasets!O74; Datasets!R74</t>
  </si>
  <si>
    <t>Label format: TFRecord; ego states, route commands, future trajectories and rater feedback | Limits and pairing notes: Official overview instead advertises 5,000 segments. Detailed split counts are retained here; verify the downloaded version manifest. No per-segment autonomy-state label.</t>
  </si>
  <si>
    <t>DS-230|D1</t>
  </si>
  <si>
    <t>Datasets!O74; Datasets!I74</t>
  </si>
  <si>
    <t>Label format: TFRecord; ego states, route commands, future trajectories and rater feedback | Camera / footage details: Eight surrounding cameras at 10 Hz; 20-second train/validation sequences; 12-second test sequences</t>
  </si>
  <si>
    <t>DS-230|D2</t>
  </si>
  <si>
    <t>Datasets!K74; Datasets!E74; Datasets!I74; Datasets!R74</t>
  </si>
  <si>
    <t>Publisher: Waymo | Capture context: AV research fleet | Camera / footage details: Eight surrounding cameras at 10 Hz; 20-second train/validation sequences; 12-second test sequences | Limits and pairing notes: Official overview instead advertises 5,000 segments. Detailed split counts are retained here; verify the downloaded version manifest. No per-segment autonomy-state label.</t>
  </si>
  <si>
    <t>DS-230|D4</t>
  </si>
  <si>
    <t>Datasets!R74; Datasets!H74</t>
  </si>
  <si>
    <t>Limits and pairing notes: Official overview instead advertises 5,000 segments. Detailed split counts are retained here; verify the downloaded version manifest. No per-segment autonomy-state label. | Pavement labels: No pavement distress labels; construction/debris scenario clusters are related context</t>
  </si>
  <si>
    <t>DS-230|C1</t>
  </si>
  <si>
    <t>Datasets!M74</t>
  </si>
  <si>
    <t>Reported size: Detailed data page: 4,021 segments (2,037 train / 479 validation / 1,505 test)</t>
  </si>
  <si>
    <t>Detailed page split total 4,021 differs from overview 5,000 segments; pin the downloaded manifest before selecting one.</t>
  </si>
  <si>
    <t>DS-230|C2</t>
  </si>
  <si>
    <t>Datasets!M74; Datasets!H74</t>
  </si>
  <si>
    <t>Reported size: Detailed data page: 4,021 segments (2,037 train / 479 validation / 1,505 test) | Pavement labels: No pavement distress labels; construction/debris scenario clusters are related context</t>
  </si>
  <si>
    <t>DS-230|R1</t>
  </si>
  <si>
    <t>Datasets!N74; Datasets!E74; Datasets!I74</t>
  </si>
  <si>
    <t>Geography: Multiple US cities | Capture context: AV research fleet | Camera / footage details: Eight surrounding cameras at 10 Hz; 20-second train/validation sequences; 12-second test sequences</t>
  </si>
  <si>
    <t>DS-230|R2</t>
  </si>
  <si>
    <t>Datasets!N74; Datasets!E74; Datasets!I74; Datasets!R74</t>
  </si>
  <si>
    <t>Geography: Multiple US cities | Capture context: AV research fleet | Camera / footage details: Eight surrounding cameras at 10 Hz; 20-second train/validation sequences; 12-second test sequences | Limits and pairing notes: Official overview instead advertises 5,000 segments. Detailed split counts are retained here; verify the downloaded version manifest. No per-segment autonomy-state label.</t>
  </si>
  <si>
    <t>DS-230|M1</t>
  </si>
  <si>
    <t>Datasets!E74; Datasets!I74; Datasets!K74</t>
  </si>
  <si>
    <t>Capture context: AV research fleet | Camera / footage details: Eight surrounding cameras at 10 Hz; 20-second train/validation sequences; 12-second test sequences | Publisher: Waymo</t>
  </si>
  <si>
    <t>DS-230|M2</t>
  </si>
  <si>
    <t>Datasets!I74; Datasets!M74</t>
  </si>
  <si>
    <t>Camera / footage details: Eight surrounding cameras at 10 Hz; 20-second train/validation sequences; 12-second test sequences | Reported size: Detailed data page: 4,021 segments (2,037 train / 479 validation / 1,505 test)</t>
  </si>
  <si>
    <t>DS-230|M5</t>
  </si>
  <si>
    <t>Datasets!I74; Datasets!O74; Datasets!R74</t>
  </si>
  <si>
    <t>Camera / footage details: Eight surrounding cameras at 10 Hz; 20-second train/validation sequences; 12-second test sequences | Label format: TFRecord; ego states, route commands, future trajectories and rater feedback | Limits and pairing notes: Official overview instead advertises 5,000 segments. Detailed split counts are retained here; verify the downloaded version manifest. No per-segment autonomy-state label.</t>
  </si>
  <si>
    <t>DS-231|A1</t>
  </si>
  <si>
    <t>Datasets!B75; Datasets!L75; Datasets!S75; Datasets!T75</t>
  </si>
  <si>
    <t>Dataset / release family: Waymo Open Dataset - Perception | Release / paper year: 2019; expanded releases through 2024 | Dataset / download: Dataset / download | Evidence / paper: Source evidence</t>
  </si>
  <si>
    <t>DS-231|A2</t>
  </si>
  <si>
    <t>Datasets!F75; Datasets!Q75</t>
  </si>
  <si>
    <t>Access status: Account / terms | Access instructions: Waymo download portal; Google sign-in and dataset terms</t>
  </si>
  <si>
    <t>DS-231|A3</t>
  </si>
  <si>
    <t>Datasets!P75</t>
  </si>
  <si>
    <t>License / use terms: Waymo Dataset License; noncommercial research restrictions; not the code's Apache license</t>
  </si>
  <si>
    <t>DS-231|L1</t>
  </si>
  <si>
    <t>Datasets!H75; Datasets!O75</t>
  </si>
  <si>
    <t>Pavement labels: No crack/pothole/roughness/wetness labels documented. Road/lane semantic classes and mapped speed bumps available | Label format: 2D/3D boxes; panoptic segmentation subset; Parquet or TFRecord; map polylines/polygons</t>
  </si>
  <si>
    <t>DS-231|L2</t>
  </si>
  <si>
    <t>DS-231|L4</t>
  </si>
  <si>
    <t>Datasets!O75; Datasets!R75</t>
  </si>
  <si>
    <t>Label format: 2D/3D boxes; panoptic segmentation subset; Parquet or TFRecord; map polylines/polygons | Limits and pairing notes: Road segmentation identifies road area, not pavement condition. See https://waymo.com/open/faq/ for mixed driving modes. Maps require the compatible v1 release.</t>
  </si>
  <si>
    <t>DS-231|D1</t>
  </si>
  <si>
    <t>Datasets!O75; Datasets!I75</t>
  </si>
  <si>
    <t>Label format: 2D/3D boxes; panoptic segmentation subset; Parquet or TFRecord; map polylines/polygons | Camera / footage details: Five synchronized camera image sequences plus LiDAR</t>
  </si>
  <si>
    <t>DS-231|D2</t>
  </si>
  <si>
    <t>Datasets!K75; Datasets!E75; Datasets!I75; Datasets!R75</t>
  </si>
  <si>
    <t>Publisher: Waymo | Capture context: AV research fleet | Camera / footage details: Five synchronized camera image sequences plus LiDAR | Limits and pairing notes: Road segmentation identifies road area, not pavement condition. See https://waymo.com/open/faq/ for mixed driving modes. Maps require the compatible v1 release.</t>
  </si>
  <si>
    <t>DS-231|D4</t>
  </si>
  <si>
    <t>Datasets!R75; Datasets!H75</t>
  </si>
  <si>
    <t>Limits and pairing notes: Road segmentation identifies road area, not pavement condition. See https://waymo.com/open/faq/ for mixed driving modes. Maps require the compatible v1 release. | Pavement labels: No crack/pothole/roughness/wetness labels documented. Road/lane semantic classes and mapped speed bumps available</t>
  </si>
  <si>
    <t>DS-231|C1</t>
  </si>
  <si>
    <t>Datasets!M75</t>
  </si>
  <si>
    <t>Reported size: 2,030 segments; camera panoptic labels on 100k images / 2,860 temporal sequences</t>
  </si>
  <si>
    <t>DS-231|C2</t>
  </si>
  <si>
    <t>Datasets!M75; Datasets!H75</t>
  </si>
  <si>
    <t>Reported size: 2,030 segments; camera panoptic labels on 100k images / 2,860 temporal sequences | Pavement labels: No crack/pothole/roughness/wetness labels documented. Road/lane semantic classes and mapped speed bumps available</t>
  </si>
  <si>
    <t>DS-231|R1</t>
  </si>
  <si>
    <t>Datasets!N75; Datasets!E75; Datasets!I75</t>
  </si>
  <si>
    <t>Geography: US cities including San Francisco, Phoenix and Mountain View | Capture context: AV research fleet | Camera / footage details: Five synchronized camera image sequences plus LiDAR</t>
  </si>
  <si>
    <t>DS-231|R2</t>
  </si>
  <si>
    <t>Datasets!N75; Datasets!E75; Datasets!I75; Datasets!R75</t>
  </si>
  <si>
    <t>Geography: US cities including San Francisco, Phoenix and Mountain View | Capture context: AV research fleet | Camera / footage details: Five synchronized camera image sequences plus LiDAR | Limits and pairing notes: Road segmentation identifies road area, not pavement condition. See https://waymo.com/open/faq/ for mixed driving modes. Maps require the compatible v1 release.</t>
  </si>
  <si>
    <t>DS-231|M1</t>
  </si>
  <si>
    <t>Datasets!E75; Datasets!I75; Datasets!K75</t>
  </si>
  <si>
    <t>Capture context: AV research fleet | Camera / footage details: Five synchronized camera image sequences plus LiDAR | Publisher: Waymo</t>
  </si>
  <si>
    <t>DS-231|M2</t>
  </si>
  <si>
    <t>Datasets!I75; Datasets!M75</t>
  </si>
  <si>
    <t>Camera / footage details: Five synchronized camera image sequences plus LiDAR | Reported size: 2,030 segments; camera panoptic labels on 100k images / 2,860 temporal sequences</t>
  </si>
  <si>
    <t>DS-231|M5</t>
  </si>
  <si>
    <t>Datasets!I75; Datasets!O75; Datasets!R75</t>
  </si>
  <si>
    <t>Camera / footage details: Five synchronized camera image sequences plus LiDAR | Label format: 2D/3D boxes; panoptic segmentation subset; Parquet or TFRecord; map polylines/polygons | Limits and pairing notes: Road segmentation identifies road area, not pavement condition. See https://waymo.com/open/faq/ for mixed driving modes. Maps require the compatible v1 release.</t>
  </si>
  <si>
    <t>DS-232|A1</t>
  </si>
  <si>
    <t>Datasets!B76; Datasets!L76; Datasets!S76; Datasets!T76</t>
  </si>
  <si>
    <t>Dataset / release family: TruckV2X | Release / paper year: 2025 | Dataset / download: Dataset / download | Evidence / paper: Source evidence</t>
  </si>
  <si>
    <t>DS-232|A2</t>
  </si>
  <si>
    <t>Datasets!F76; Datasets!Q76</t>
  </si>
  <si>
    <t>Access status: Public links | Access instructions: Public Hugging Face repository; ZIP downloads</t>
  </si>
  <si>
    <t>DS-232|A3</t>
  </si>
  <si>
    <t>Datasets!P76</t>
  </si>
  <si>
    <t>License / use terms: MIT per dataset card</t>
  </si>
  <si>
    <t>DS-232|L1</t>
  </si>
  <si>
    <t>Datasets!H76; Datasets!O76</t>
  </si>
  <si>
    <t>Pavement labels: No pavement-condition labels documented; object boxes/IDs/velocities | Label format: JPEG, PCD and YAML; OpenCOOD-compatible structure</t>
  </si>
  <si>
    <t>DS-232|L2</t>
  </si>
  <si>
    <t>DS-232|L4</t>
  </si>
  <si>
    <t>Datasets!O76; Datasets!R76</t>
  </si>
  <si>
    <t>Label format: JPEG, PCD and YAML; OpenCOOD-compatible structure | Limits and pairing notes: Synthetic only; not real AV footage. Included as a clearly labeled truck-research supplement.</t>
  </si>
  <si>
    <t>DS-232|D1</t>
  </si>
  <si>
    <t>Datasets!O76; Datasets!I76</t>
  </si>
  <si>
    <t>Label format: JPEG, PCD and YAML; OpenCOOD-compatible structure | Camera / footage details: Synthetic RGB image sequences; five cameras on tractor and five on trailer</t>
  </si>
  <si>
    <t>DS-232|D2</t>
  </si>
  <si>
    <t>Datasets!K76; Datasets!E76; Datasets!I76; Datasets!R76</t>
  </si>
  <si>
    <t>Publisher: Tsinghua University and FAW Jiefang researchers | Capture context: Simulation | Camera / footage details: Synthetic RGB image sequences; five cameras on tractor and five on trailer | Limits and pairing notes: Synthetic only; not real AV footage. Included as a clearly labeled truck-research supplement.</t>
  </si>
  <si>
    <t>DS-232|D4</t>
  </si>
  <si>
    <t>Datasets!R76; Datasets!H76</t>
  </si>
  <si>
    <t>Limits and pairing notes: Synthetic only; not real AV footage. Included as a clearly labeled truck-research supplement. | Pavement labels: No pavement-condition labels documented; object boxes/IDs/velocities</t>
  </si>
  <si>
    <t>DS-232|C1</t>
  </si>
  <si>
    <t>Datasets!M76</t>
  </si>
  <si>
    <t>Reported size: 64 scenarios; about 1 million camera images; 149.6 GB</t>
  </si>
  <si>
    <t>DS-232|C2</t>
  </si>
  <si>
    <t>Datasets!M76; Datasets!H76</t>
  </si>
  <si>
    <t>Reported size: 64 scenarios; about 1 million camera images; 149.6 GB | Pavement labels: No pavement-condition labels documented; object boxes/IDs/velocities</t>
  </si>
  <si>
    <t>DS-232|R1</t>
  </si>
  <si>
    <t>Datasets!N76; Datasets!E76; Datasets!I76</t>
  </si>
  <si>
    <t>Geography: Simulated CARLA towns | Capture context: Simulation | Camera / footage details: Synthetic RGB image sequences; five cameras on tractor and five on trailer</t>
  </si>
  <si>
    <t>DS-232|R2</t>
  </si>
  <si>
    <t>Datasets!N76; Datasets!E76; Datasets!I76; Datasets!R76</t>
  </si>
  <si>
    <t>Geography: Simulated CARLA towns | Capture context: Simulation | Camera / footage details: Synthetic RGB image sequences; five cameras on tractor and five on trailer | Limits and pairing notes: Synthetic only; not real AV footage. Included as a clearly labeled truck-research supplement.</t>
  </si>
  <si>
    <t>DS-232|M1</t>
  </si>
  <si>
    <t>Datasets!E76; Datasets!I76; Datasets!K76</t>
  </si>
  <si>
    <t>Capture context: Simulation | Camera / footage details: Synthetic RGB image sequences; five cameras on tractor and five on trailer | Publisher: Tsinghua University and FAW Jiefang researchers</t>
  </si>
  <si>
    <t>DS-232|M2</t>
  </si>
  <si>
    <t>Datasets!I76; Datasets!M76</t>
  </si>
  <si>
    <t>Camera / footage details: Synthetic RGB image sequences; five cameras on tractor and five on trailer | Reported size: 64 scenarios; about 1 million camera images; 149.6 GB</t>
  </si>
  <si>
    <t>DS-232|M5</t>
  </si>
  <si>
    <t>Datasets!I76; Datasets!O76; Datasets!R76</t>
  </si>
  <si>
    <t>Camera / footage details: Synthetic RGB image sequences; five cameras on tractor and five on trailer | Label format: JPEG, PCD and YAML; OpenCOOD-compatible structure | Limits and pairing notes: Synthetic only; not real AV footage. Included as a clearly labeled truck-research supplement.</t>
  </si>
  <si>
    <t>DS-233|A1</t>
  </si>
  <si>
    <t>Datasets!B77; Datasets!L77; Datasets!S77; Datasets!T77</t>
  </si>
  <si>
    <t>Dataset / release family: RSRD-seg — road unevenness segmentation subset | Release / paper year: 2024 | Dataset / download: Dataset / download | Evidence / paper: Source evidence</t>
  </si>
  <si>
    <t>DS-233|A2</t>
  </si>
  <si>
    <t>Datasets!F77; Datasets!Q77</t>
  </si>
  <si>
    <t>Access status: Public links | Access instructions: Public links from official download page.</t>
  </si>
  <si>
    <t>DS-233|A3</t>
  </si>
  <si>
    <t>Datasets!P77</t>
  </si>
  <si>
    <t>License / use terms: CC BY-NC per official download page.</t>
  </si>
  <si>
    <t>DS-233|L1</t>
  </si>
  <si>
    <t>Datasets!H77; Datasets!O77</t>
  </si>
  <si>
    <t>Pavement labels: Irregular bumps/potholes (joint foreground label 1). | Label format: Point-level labels in PCD; complete scans and tire-path patches</t>
  </si>
  <si>
    <t>DS-233|L2</t>
  </si>
  <si>
    <t>DS-233|L4</t>
  </si>
  <si>
    <t>Datasets!O77; Datasets!R77</t>
  </si>
  <si>
    <t>Label format: Point-level labels in PCD; complete scans and tire-path patches | Limits and pairing notes: Subset, not independent data. Point labels are not camera pixel masks; verify correspondence before pairing with parent imagery.</t>
  </si>
  <si>
    <t>DS-233|D1</t>
  </si>
  <si>
    <t>Datasets!O77; Datasets!I77</t>
  </si>
  <si>
    <t>Label format: Point-level labels in PCD; complete scans and tire-path patches | Camera / footage details: Point-cloud release with RGB values; use parent RSRD for stereo imagery. Separate video archive not stated.</t>
  </si>
  <si>
    <t>DS-233|D2</t>
  </si>
  <si>
    <t>Datasets!K77; Datasets!E77; Datasets!I77; Datasets!R77</t>
  </si>
  <si>
    <t>Publisher: Tsinghua University / Tong Zhao and colleagues | Capture context: Driving research | Camera / footage details: Point-cloud release with RGB values; use parent RSRD for stereo imagery. Separate video archive not stated. | Limits and pairing notes: Subset, not independent data. Point labels are not camera pixel masks; verify correspondence before pairing with parent imagery.</t>
  </si>
  <si>
    <t>DS-233|D4</t>
  </si>
  <si>
    <t>Datasets!R77; Datasets!H77</t>
  </si>
  <si>
    <t>Limits and pairing notes: Subset, not independent data. Point labels are not camera pixel masks; verify correspondence before pairing with parent imagery. | Pavement labels: Irregular bumps/potholes (joint foreground label 1).</t>
  </si>
  <si>
    <t>DS-233|C1</t>
  </si>
  <si>
    <t>Datasets!M77</t>
  </si>
  <si>
    <t>Reported size: 63 labeled point clouds; 710 cropped road point-cloud patches</t>
  </si>
  <si>
    <t>DS-233|C2</t>
  </si>
  <si>
    <t>Datasets!M77; Datasets!H77</t>
  </si>
  <si>
    <t>Reported size: 63 labeled point clouds; 710 cropped road point-cloud patches | Pavement labels: Irregular bumps/potholes (joint foreground label 1).</t>
  </si>
  <si>
    <t>DS-233|R1</t>
  </si>
  <si>
    <t>Datasets!N77; Datasets!E77; Datasets!I77</t>
  </si>
  <si>
    <t>Geography: Qingdao, China (parent RSRD) | Capture context: Driving research | Camera / footage details: Point-cloud release with RGB values; use parent RSRD for stereo imagery. Separate video archive not stated.</t>
  </si>
  <si>
    <t>DS-233|R2</t>
  </si>
  <si>
    <t>Datasets!N77; Datasets!E77; Datasets!I77; Datasets!R77</t>
  </si>
  <si>
    <t>Geography: Qingdao, China (parent RSRD) | Capture context: Driving research | Camera / footage details: Point-cloud release with RGB values; use parent RSRD for stereo imagery. Separate video archive not stated. | Limits and pairing notes: Subset, not independent data. Point labels are not camera pixel masks; verify correspondence before pairing with parent imagery.</t>
  </si>
  <si>
    <t>DS-233|M1</t>
  </si>
  <si>
    <t>Datasets!E77; Datasets!I77; Datasets!K77</t>
  </si>
  <si>
    <t>Capture context: Driving research | Camera / footage details: Point-cloud release with RGB values; use parent RSRD for stereo imagery. Separate video archive not stated. | Publisher: Tsinghua University / Tong Zhao and colleagues</t>
  </si>
  <si>
    <t>DS-233|M2</t>
  </si>
  <si>
    <t>Datasets!I77; Datasets!M77</t>
  </si>
  <si>
    <t>Camera / footage details: Point-cloud release with RGB values; use parent RSRD for stereo imagery. Separate video archive not stated. | Reported size: 63 labeled point clouds; 710 cropped road point-cloud patches</t>
  </si>
  <si>
    <t>PCD and point labels are named but numerical coordinate units/scale for the point-cloud task are absent from this summary.</t>
  </si>
  <si>
    <t>DS-233|M5</t>
  </si>
  <si>
    <t>Datasets!I77; Datasets!O77; Datasets!R77</t>
  </si>
  <si>
    <t>Camera / footage details: Point-cloud release with RGB values; use parent RSRD for stereo imagery. Separate video archive not stated. | Label format: Point-level labels in PCD; complete scans and tire-path patches | Limits and pairing notes: Subset, not independent data. Point labels are not camera pixel masks; verify correspondence before pairing with parent imagery.</t>
  </si>
  <si>
    <t>Platform coverage after deduplication</t>
  </si>
  <si>
    <t>Counts are distinct dataset IDs within each platform. Platform totals overlap and must not be added as independent datasets.</t>
  </si>
  <si>
    <t>Platform</t>
  </si>
  <si>
    <t>Retained dataset IDs</t>
  </si>
  <si>
    <t>Single-platform IDs</t>
  </si>
  <si>
    <t>Multiple-platform IDs</t>
  </si>
  <si>
    <t>Data.gov</t>
  </si>
  <si>
    <t>Source rows</t>
  </si>
  <si>
    <t>Merged aliases</t>
  </si>
  <si>
    <t>Retained IDs</t>
  </si>
  <si>
    <t>New IDs from AV inventory</t>
  </si>
  <si>
    <t>One RSCD merge is probable. Related releases remain separate.</t>
  </si>
  <si>
    <t>AI discovery provenance</t>
  </si>
  <si>
    <t>Discovery-tool counts overlap. They are provenance counts, not independent reviewer agreement or evidence of correctness.</t>
  </si>
  <si>
    <t>Reported discovery origin</t>
  </si>
  <si>
    <t>Retained v3 IDs</t>
  </si>
  <si>
    <t>Interpretation</t>
  </si>
  <si>
    <t>Claude</t>
  </si>
  <si>
    <t>Original discovery attribution retained from v3.</t>
  </si>
  <si>
    <t>GPT</t>
  </si>
  <si>
    <t>GitHub_Test_Batch (tool UNK)</t>
  </si>
  <si>
    <t>CodeX</t>
  </si>
  <si>
    <t>AV inventory</t>
  </si>
  <si>
    <t>71 source rows map to 15 existing IDs and 56 new IDs. Tool attribution was not supplied.</t>
  </si>
  <si>
    <t>This v4 reassessment</t>
  </si>
  <si>
    <t>AI-assisted rubric application. All human review inputs start blank.</t>
  </si>
  <si>
    <t>Top-ten primary-documentation checks</t>
  </si>
  <si>
    <t>The ten review priorities were checked against primary documentation. No payload download or human sign-off.</t>
  </si>
  <si>
    <t>Dataset and platform membership</t>
  </si>
  <si>
    <t>One row per retained dataset and platform. Multiple host links do not create additional dataset identities.</t>
  </si>
  <si>
    <t>Platform count</t>
  </si>
  <si>
    <t>Membership</t>
  </si>
  <si>
    <t>Single platform</t>
  </si>
  <si>
    <t>Multiple platforms</t>
  </si>
  <si>
    <t>Revised criteria and prevalence</t>
  </si>
  <si>
    <t>Only the 16 core checks feed scores. Other checks are metadata, supporting evidence or task modules. U and X never count as confirmed N.</t>
  </si>
  <si>
    <t>Domain name</t>
  </si>
  <si>
    <t>Criterion</t>
  </si>
  <si>
    <t>Role</t>
  </si>
  <si>
    <t>Labeled applicable</t>
  </si>
  <si>
    <t>Labeled Y</t>
  </si>
  <si>
    <t>Labeled N</t>
  </si>
  <si>
    <t>Labeled U</t>
  </si>
  <si>
    <t>Labeled X</t>
  </si>
  <si>
    <t>Labeled N share</t>
  </si>
  <si>
    <t>Unlabeled applicable</t>
  </si>
  <si>
    <t>Unlabeled Y</t>
  </si>
  <si>
    <t>Unlabeled N</t>
  </si>
  <si>
    <t>Unlabeled U</t>
  </si>
  <si>
    <t>Unlabeled X</t>
  </si>
  <si>
    <t>Unlabeled N share</t>
  </si>
  <si>
    <t>95% diagnostic</t>
  </si>
  <si>
    <t>Method source</t>
  </si>
  <si>
    <t>Locator</t>
  </si>
  <si>
    <t>Find the release</t>
  </si>
  <si>
    <t>Core</t>
  </si>
  <si>
    <t>An official page, DOI or stable release identifier identifies the dataset version; a Git commit is one option, not a universal requirement.</t>
  </si>
  <si>
    <t>Compared_All_Platforms_TH_v4.0.docx</t>
  </si>
  <si>
    <t>Part 3, Access, A1</t>
  </si>
  <si>
    <t>Describe access</t>
  </si>
  <si>
    <t>A documented route explains how to request or obtain the intended release, including restrictions where relevant. No preference is assigned merely for avoiding registration.</t>
  </si>
  <si>
    <t>Part 3, Access, A2</t>
  </si>
  <si>
    <t>State data terms</t>
  </si>
  <si>
    <t>Release-specific data terms or an explicit data-license statement can be located. This records terms, not a legal clearance; intended-use compatibility is decided separately under G3.</t>
  </si>
  <si>
    <t>Part 3, Access, A3</t>
  </si>
  <si>
    <t>A4</t>
  </si>
  <si>
    <t>Other rights</t>
  </si>
  <si>
    <t>Task</t>
  </si>
  <si>
    <t>When third-party components or identifiable people/vehicles are relevant, record component sources, applicable terms and reported privacy handling. Otherwise record the reason for N/A. Unreported handling remains U.</t>
  </si>
  <si>
    <t>Part 3, Access, A4</t>
  </si>
  <si>
    <t>A5</t>
  </si>
  <si>
    <t>Open a sample</t>
  </si>
  <si>
    <t>Before a verified-reuse claim, retrieve and open an authorized sample and record the route, date and result. A documentation review does not require this test.</t>
  </si>
  <si>
    <t>Part 3, Access, A5</t>
  </si>
  <si>
    <t>Annotation Evidence</t>
  </si>
  <si>
    <t>Define targets</t>
  </si>
  <si>
    <t>Describe the available task targets, classes or outcomes and their meaning. The 16-check base profile assumes labeled or measured targets. Unlabeled corpora require a separate profile with its applicable checks fixed in advance.</t>
  </si>
  <si>
    <t>Part 3, Annotation Evidence, L1</t>
  </si>
  <si>
    <t>Explain encoding</t>
  </si>
  <si>
    <t>A label dictionary or target encoding and a basic labeling/measurement procedure are described. Require severity units or ambiguous-case rules only when relevant. Detailed annotator manuals are optional.</t>
  </si>
  <si>
    <t>Part 3, Annotation Evidence, L2</t>
  </si>
  <si>
    <t>L3</t>
  </si>
  <si>
    <t>Team details</t>
  </si>
  <si>
    <t>Optional</t>
  </si>
  <si>
    <t>Retain available annotator/operator roles, expertise or training as supporting evidence. Named individuals and detailed training histories are not universal core requirements.</t>
  </si>
  <si>
    <t>Part 3, Annotation Evidence, L3</t>
  </si>
  <si>
    <t>Document review</t>
  </si>
  <si>
    <t>At least one concrete review, verification, adjudication or correction practice is documented. Record what was reviewed and by whom or by what process. A generic quality claim or label availability alone is insufficient.</t>
  </si>
  <si>
    <t>Part 3, Annotation Evidence, L4</t>
  </si>
  <si>
    <t>L5</t>
  </si>
  <si>
    <t>Reliability audit</t>
  </si>
  <si>
    <t>A quantitative agreement, error or reliability result identifies the audit sample and method and meets the tolerance set before scoring.</t>
  </si>
  <si>
    <t>Part 3, Annotation Evidence, L5</t>
  </si>
  <si>
    <t>Interpret files</t>
  </si>
  <si>
    <t>For simple images, a directory tree plus file format and image-to-label mapping can suffice. For tabular/sensor data, require relevant field meanings, units and missing-value codes. A tree alone does not explain target encodings.</t>
  </si>
  <si>
    <t>Part 3, Documentation, D1</t>
  </si>
  <si>
    <t>Trace provenance</t>
  </si>
  <si>
    <t>Identify the collector or compiler and the collection method or parent datasets. Record derivative relationships where relevant; do not award the same provenance fact again under D3.</t>
  </si>
  <si>
    <t>Part 3, Documentation, D2</t>
  </si>
  <si>
    <t>D3</t>
  </si>
  <si>
    <t>Release history</t>
  </si>
  <si>
    <t>Metadata</t>
  </si>
  <si>
    <t>Store version and parent/derivative information with the identity record. A first release is acceptable. This metadata supports A1/D2 and earns no duplicate core point.</t>
  </si>
  <si>
    <t>Part 3, Documentation, D3</t>
  </si>
  <si>
    <t>State limits</t>
  </si>
  <si>
    <t>Report dataset-specific collection limits, intended uses or known exclusions. Formal bias mitigation experiments are not required for this documentation check.</t>
  </si>
  <si>
    <t>Part 3, Documentation, D4</t>
  </si>
  <si>
    <t>D5</t>
  </si>
  <si>
    <t>Evidence locator</t>
  </si>
  <si>
    <t>Attach a URL/file and exact page, section or field to every assessed fact. This is mandatory review provenance, not an additional point for documentation already credited elsewhere.</t>
  </si>
  <si>
    <t>Part 3, Documentation, D5</t>
  </si>
  <si>
    <t>Sample Accounting</t>
  </si>
  <si>
    <t>State count unit</t>
  </si>
  <si>
    <t>Report released sample count and its unit, distinguishing images, crops, frames, QA pairs, runs or road sections. Record original capture/group counts separately when available; a raw image count does not prove independence.</t>
  </si>
  <si>
    <t>Part 3, Sample Accounting, C1</t>
  </si>
  <si>
    <t>Report distribution</t>
  </si>
  <si>
    <t>Report counts or proportions by the task-relevant class, outcome range or subset. Document negative cases when the task requires them. For unlabeled cohorts, use the prespecified source/subset breakdown.</t>
  </si>
  <si>
    <t>Part 3, Sample Accounting, C2</t>
  </si>
  <si>
    <t>C3</t>
  </si>
  <si>
    <t>Capture groups</t>
  </si>
  <si>
    <t>Counts are reported by relevant capture group, such as road segment, route, trip, site or session.</t>
  </si>
  <si>
    <t>Part 3, Sample Accounting, C3</t>
  </si>
  <si>
    <t>C4</t>
  </si>
  <si>
    <t>Split groups</t>
  </si>
  <si>
    <t>Independent group counts are reported separately for training and evaluation splits.</t>
  </si>
  <si>
    <t>Part 3, Sample Accounting, C4</t>
  </si>
  <si>
    <t>C5</t>
  </si>
  <si>
    <t>Size sufficiency</t>
  </si>
  <si>
    <t>A learning curve, precision calculation or comparable quantitative analysis supports enough data for the selected task and preset tolerance.</t>
  </si>
  <si>
    <t>Part 3, Sample Accounting, C5</t>
  </si>
  <si>
    <t>Collection Context</t>
  </si>
  <si>
    <t>Describe setting</t>
  </si>
  <si>
    <t>Identify the collection setting: reported geography/site scope, pavement context and capture setting. Missing location details stay U; general context does not prove match to a user’s target roads.</t>
  </si>
  <si>
    <t>Part 3, Collection Context, R1</t>
  </si>
  <si>
    <t>Describe variation</t>
  </si>
  <si>
    <t>Describe relevant variation or explicit bounds within that setting, such as sites, conditions, pavement types or acquisition contexts. A documented single-domain boundary can qualify; multiple countries are not required.</t>
  </si>
  <si>
    <t>Part 3, Collection Context, R2</t>
  </si>
  <si>
    <t>R3</t>
  </si>
  <si>
    <t>Compare target</t>
  </si>
  <si>
    <t>The evaluator compares the documented collection population with one prespecified user task and target population. This is a separate suitability judgment; it is not an obligation on the dataset author.</t>
  </si>
  <si>
    <t>Part 3, Collection Context, R3</t>
  </si>
  <si>
    <t>R4</t>
  </si>
  <si>
    <t>Distribution limits</t>
  </si>
  <si>
    <t>Supporting</t>
  </si>
  <si>
    <t>Reference class/group distributions from C2 and stated limitations from D4 without double-counting them. Formal selection-bias analysis or mitigation experiments are optional research evidence.</t>
  </si>
  <si>
    <t>Part 3, Collection Context, R4</t>
  </si>
  <si>
    <t>R5</t>
  </si>
  <si>
    <t>Domain testing</t>
  </si>
  <si>
    <t>Testing on a held-out site, route, region, time or sensor reports performance against the generalization tolerance set before scoring.</t>
  </si>
  <si>
    <t>Part 3, Collection Context, R5</t>
  </si>
  <si>
    <t>Acquisition Details</t>
  </si>
  <si>
    <t>Identify capture</t>
  </si>
  <si>
    <t>Identify the collection platform and relevant sensor or data-generation method at a useful level. A precise camera model is not required for every image task.</t>
  </si>
  <si>
    <t>Part 3, Acquisition Details, M1</t>
  </si>
  <si>
    <t>Describe resolution</t>
  </si>
  <si>
    <t>For ordinary image tasks, report image dimensions or resolution. For signals or physical measurement tasks, report the required sampling rate, units or physical scale. Freeze the task-specific requirement for the cohort.</t>
  </si>
  <si>
    <t>Part 3, Acquisition Details, M2</t>
  </si>
  <si>
    <t>M3</t>
  </si>
  <si>
    <t>Align records</t>
  </si>
  <si>
    <t>Spatial or time references identify capture groups and allow the required inputs and targets to be aligned.</t>
  </si>
  <si>
    <t>Part 3, Acquisition Details, M3</t>
  </si>
  <si>
    <t>M4</t>
  </si>
  <si>
    <t>Measurement precision</t>
  </si>
  <si>
    <t>Calibration, synchronization or measurement precision is documented for required inputs. Extra sensors alone earn no point.</t>
  </si>
  <si>
    <t>Part 3, Acquisition Details, M4</t>
  </si>
  <si>
    <t>Explain processing</t>
  </si>
  <si>
    <t>Describe preprocessing or transformations affecting interpretation, such as crops, resizing, filtering or normalization. An explicit statement that data are unprocessed can qualify; silence stays U.</t>
  </si>
  <si>
    <t>Part 3, Acquisition Details, M5</t>
  </si>
  <si>
    <t>V1</t>
  </si>
  <si>
    <t>V</t>
  </si>
  <si>
    <t>Benchmark Readiness</t>
  </si>
  <si>
    <t>Identify examples</t>
  </si>
  <si>
    <t>Pin the release and identify evaluated examples with stable filenames, record IDs or a manifest. Checksums are optional alternatives. A repository tree supports inventory identity, but an actual benchmark needs exact sample membership.</t>
  </si>
  <si>
    <t>Part 3, Benchmark Readiness, V1</t>
  </si>
  <si>
    <t>V2</t>
  </si>
  <si>
    <t>Define splits</t>
  </si>
  <si>
    <t>Split membership and a repeatable splitting rule are provided for the selected task.</t>
  </si>
  <si>
    <t>Part 3, Benchmark Readiness, V2</t>
  </si>
  <si>
    <t>V3</t>
  </si>
  <si>
    <t>Audit leakage</t>
  </si>
  <si>
    <t>Splits exclude overlapping parent images, crops, repeated views and relevant capture groups. Check cross-dataset ancestry when needed.</t>
  </si>
  <si>
    <t>Part 3, Benchmark Readiness, V3</t>
  </si>
  <si>
    <t>V4</t>
  </si>
  <si>
    <t>Runnable baseline</t>
  </si>
  <si>
    <t>A runnable loader or processing script and a baseline include environment, preprocessing and training settings.</t>
  </si>
  <si>
    <t>Part 3, Benchmark Readiness, V4</t>
  </si>
  <si>
    <t>V5</t>
  </si>
  <si>
    <t>Test uncertainty</t>
  </si>
  <si>
    <t>Task-appropriate test metrics include uncertainty or variation across repeats or independent groups.</t>
  </si>
  <si>
    <t>Part 3, Benchmark Readiness, V5</t>
  </si>
  <si>
    <t>E1</t>
  </si>
  <si>
    <t>E</t>
  </si>
  <si>
    <t>Engineering Linkage</t>
  </si>
  <si>
    <t>Define outcome</t>
  </si>
  <si>
    <t>For an engineering task, define the selected outcome and its relevant method, units or severity categories. PCI, IRI, distress severity and treatment records are alternatives with different meanings, not jointly mandatory features.</t>
  </si>
  <si>
    <t>Part 3, Engineering Linkage, E1</t>
  </si>
  <si>
    <t>E2</t>
  </si>
  <si>
    <t>Observed outcomes</t>
  </si>
  <si>
    <t>Actual engineering measurements are available with traceable survey sources. An intended application alone does not qualify.</t>
  </si>
  <si>
    <t>Part 3, Engineering Linkage, E2</t>
  </si>
  <si>
    <t>E3</t>
  </si>
  <si>
    <t>Linked records</t>
  </si>
  <si>
    <t>Inputs and engineering outcomes are linked by documented spatial units and compatible observation times.</t>
  </si>
  <si>
    <t>Part 3, Engineering Linkage, E3</t>
  </si>
  <si>
    <t>E4</t>
  </si>
  <si>
    <t>Agency mapping</t>
  </si>
  <si>
    <t>A documented mapping connects released outcomes and road units to the intended agency's condition scheme or decision categories.</t>
  </si>
  <si>
    <t>Part 3, Engineering Linkage, E4</t>
  </si>
  <si>
    <t>E5</t>
  </si>
  <si>
    <t>Decision validation</t>
  </si>
  <si>
    <t>Independent validation measures usefulness for the selected management decision, including prediction or decision error and uncertainty. Label agreement alone does not qualify.</t>
  </si>
  <si>
    <t>Part 3, Engineering Linkage, E5</t>
  </si>
  <si>
    <t>Source-to-dataset reconciliation</t>
  </si>
  <si>
    <t>Every input row maps to one retained ID. Fourteen AV alias matches are confirmed at catalog level; RSCD is a probable mirror match.</t>
  </si>
  <si>
    <t>Source workbook</t>
  </si>
  <si>
    <t>Source sheet</t>
  </si>
  <si>
    <t>Source row</t>
  </si>
  <si>
    <t>Source ID</t>
  </si>
  <si>
    <t>Original name</t>
  </si>
  <si>
    <t>Retained ID</t>
  </si>
  <si>
    <t>Canonical name</t>
  </si>
  <si>
    <t>Decision</t>
  </si>
  <si>
    <t>Resolution</t>
  </si>
  <si>
    <t>Evidence links</t>
  </si>
  <si>
    <t>Conflicts</t>
  </si>
  <si>
    <t>Relations</t>
  </si>
  <si>
    <t>Compared_All_Platforms_TH_v3.0.xlsx</t>
  </si>
  <si>
    <t>All_Datasets</t>
  </si>
  <si>
    <t>Keep</t>
  </si>
  <si>
    <t>Retained existing dataset/release row; existing source lineage preserved.</t>
  </si>
  <si>
    <t>https://github.com/Oct-Sunn/Asphalt-Pavement-Distress-Dataset; https://github.com/zyf991121/DSWMamba</t>
  </si>
  <si>
    <t>{"dataset_ids":["DS-003","DS-025","DS-090"],"relationship":"Same acquisition lineage; different archives/releases","resolution":"Keep separate","reason":"CiCS, LEiS and CrackBlock600k share author/acquisition lineage, but different named archives and representations. A common repository does not establish duplicate release identity.","evidence_links":["https://github.com/DrEdwardLee/Pavement-Crack-Dataset"]}</t>
  </si>
  <si>
    <t>CQU-BPDD (Chongqing University Bituminous Pavement Disease Detection Dataset)</t>
  </si>
  <si>
    <t>https://github.com/DearCaat/Pavement-Distress-Classification; https://github.com/DearCaat/CQU-BPDD; https://huggingface.co/datasets/Dearcat/CQU-BPDD; https://arxiv.org/abs/2203.16782; https://doi.org/10.1016/j.conbuildmat.2022.128622; https://github.com/DearCaat/PicT</t>
  </si>
  <si>
    <t>https://github.com/fyangneil/pavement-crack-detection; https://www.kaggle.com/datasets/pauldavid22/crack50020220509t090436z001; https://arxiv.org/abs/1901.06340</t>
  </si>
  <si>
    <t>{"dataset_ids":["DS-007","DS-018"],"relationship":"Shared host; distinct data","resolution":"Keep separate","reason":"CRACK500 and GAPs384 use a shared benchmark repository but different acquisition corpora.","evidence_links":["https://github.com/fyangneil/pavement-crack-detection"]}; {"dataset_ids":["DS-007","DS-062"],"relationship":"Parent and noisy-mask derivative","resolution":"Keep separate","reason":"CRACK500 noisy masks are a distinct annotation study release with shared underlying images.","evidence_links":[]}; {"dataset_ids":["DS-007","DS-008","DS-011","DS-016","DS-142"],"relationship":"Compiled crack ancestry","resolution":"Keep separate","reason":"CrackSeg9k and CombinedCrack aggregate earlier crack corpora. Keep compiled release identities, flag shared ancestry for train/test audits.","evidence_links":[]}</t>
  </si>
  <si>
    <t>{"dataset_ids":["DS-007","DS-008","DS-011","DS-016","DS-142"],"relationship":"Compiled crack ancestry","resolution":"Keep separate","reason":"CrackSeg9k and CombinedCrack aggregate earlier crack corpora. Keep compiled release identities, flag shared ancestry for train/test audits.","evidence_links":[]}</t>
  </si>
  <si>
    <t>{"dataset_ids":["DS-009","DS-013","DS-014"],"relationship":"Shared host; distinct data","resolution":"Keep separate","reason":"CrackLS315, CrackTree260 and CRKWH100 are distinct named benchmarks in a shared repository.","evidence_links":["https://github.com/qinnzou/DeepCrack"]}</t>
  </si>
  <si>
    <t>https://data.mendeley.com/datasets/t576ydh9v8/4; https://github.com/biankatpas/Cracks-and-Potholes-in-Road-Images-Dataset; https://biankatpas.github.io/Cracks-and-Potholes-in-Road-Images-Dataset/</t>
  </si>
  <si>
    <t>https://github.com/JZhongUTK/Pavement-crack-dataset; https://ieeexplore.ieee.org/document/10557475</t>
  </si>
  <si>
    <t>https://github.com/yhlleo/DeepCrack; https://doi.org/10.1016/j.neucom.2019.01.036</t>
  </si>
  <si>
    <t>https://github.com/mqp2259/EdmCrack600; https://doi.org/10.1016/j.autcon.2019.103018; https://doi.org/10.1016/j.conbuildmat.2020.119397</t>
  </si>
  <si>
    <t>{"dataset_ids":["DS-007","DS-018"],"relationship":"Shared host; distinct data","resolution":"Keep separate","reason":"CRACK500 and GAPs384 use a shared benchmark repository but different acquisition corpora.","evidence_links":["https://github.com/fyangneil/pavement-crack-detection"]}; {"dataset_ids":["DS-018","DS-193","DS-194"],"relationship":"GAPs family; distinct releases","resolution":"Keep separate","reason":"GAPs384 crack masks, GAPs10m semantic segmentation and GAPsv2 classification/detection are different release scopes. Shared imagery lineage must not be treated as independent.","evidence_links":[]}</t>
  </si>
  <si>
    <t>https://github.com/lfangyu09/IR-Crack-detection; https://github.com/sheauhuu/IRFusionFormer; https://zenodo.org/records/11624965; https://doi.org/10.1109/TITS.2022.3142393</t>
  </si>
  <si>
    <t>{"dataset_ids":["DS-022","DS-023","DS-113","DS-114"],"relationship":"Related infrared dataset releases","resolution":"Keep separate","reason":"Different DOI deposits and annotation tasks; retain separate task-specific releases.","evidence_links":["https://github.com/lfangyu09/IR-Crack-detection"]}</t>
  </si>
  <si>
    <t>https://github.com/lfangyu09/IR-Crack-detection; https://zenodo.org/records/11638443; https://doi.org/10.1016/j.autcon.2024.105355</t>
  </si>
  <si>
    <t>https://github.com/neemajakisa/Pavement-Distress-Dataset; https://doi.org/10.48550/arXiv.2310.08538</t>
  </si>
  <si>
    <t>https://github.com/tongzheng1992/Pavementscapes; https://arxiv.org/abs/2208.00775</t>
  </si>
  <si>
    <t>https://github.com/Nan2020/PID-Pavement-Image-Dataset; https://arxiv.org/abs/1904.07157; https://arxiv.org/abs/1910.11123</t>
  </si>
  <si>
    <t>https://github.com/ArselanAshraf/RCD-IIUM-Road-Crack-Detection-Dataset-; https://doi.org/10.1109/ICOM61675.2024.10652339</t>
  </si>
  <si>
    <t>https://data.mendeley.com/datasets/5ty2wb6gvg/1; https://github.com/sekilab/RoadDamageDetector; https://github.com/sekilab/RoadDamageDetector#road-damage-dataset-2020; https://data.mendeley.com/datasets/5ty2wb6gvg/2; https://doi.org/10.1016/j.dib.2021.107133; https://doi.org/10.1109/bigdata50022.2020.9377847; https://doi.org/10.1016/j.autcon.2021.103935; https://doi.org/10.1109/BigData50022.2020.9377790</t>
  </si>
  <si>
    <t>{"dataset_ids":["DS-037","DS-038","DS-034","DS-035"],"relationship":"Successive RDD releases","resolution":"Keep separate","reason":"RDD2018, 2019, 2020 and 2022 share lineage but differ by release. Never sum their counts as independent imagery.","evidence_links":["https://github.com/sekilab/RoadDamageDetector"]}</t>
  </si>
  <si>
    <t>https://github.com/sekilab/RoadDamageDetector; https://github.com/sekilab/RoadDamageDetector#road-damage-dataset-2022; https://www.kaggle.com/datasets/aliabdelmenam/rdd-2022; https://figshare.com/articles/dataset/RDD2022_-_The_multi-national_Road_Damage_Dataset_released_through_CRDDC_2022/21431547; https://arxiv.org/abs/2209.08538; https://doi.org/10.48550/arXiv.2209.08538; https://doi.org/10.1109/BigData55660.2022.10021082; https://doi.org/10.1002/gdj3.260; https://doi.org/10.6084/m9.figshare.21431547.v1</t>
  </si>
  <si>
    <t>{"dataset_ids":["DS-037","DS-038","DS-034","DS-035"],"relationship":"Successive RDD releases","resolution":"Keep separate","reason":"RDD2018, 2019, 2020 and 2022 share lineage but differ by release. Never sum their counts as independent imagery.","evidence_links":["https://github.com/sekilab/RoadDamageDetector"]}; {"dataset_ids":["DS-035","DS-072","DS-095","DS-099","DS-132","DS-162","DS-104","DS-105"],"relationship":"Derived/compiled RDD family","resolution":"Keep separate","reason":"Re-labeling, filtering, severity, pseudo-label and compiled releases have different targets; preserve relation and audit leakage before cross-dataset evaluation.","evidence_links":[]}</t>
  </si>
  <si>
    <t>https://github.com/sekilab/RoadDamageDetector; https://github.com/sekilab/RoadDamageDetector#road-damage-dataset-2018; https://arxiv.org/abs/1801.09454; https://doi.org/10.1109/BigData.2018.8622589</t>
  </si>
  <si>
    <t>https://github.com/sekilab/RoadDamageDetector; https://github.com/sekilab/RoadDamageDetector#road-damage-dataset-2019</t>
  </si>
  <si>
    <t>https://data.mendeley.com/datasets/v8mbnvx8pv/1; https://github.com/sekilab/RoadRutting</t>
  </si>
  <si>
    <t>RTK (Road Traversing Knowledge) Dataset</t>
  </si>
  <si>
    <t>https://data.mendeley.com/datasets/hssswvmjwf/1; https://github.com/thiagortk/Road-surface-detection-and-differentiation-considering-surface-damages; https://www.kaggle.com/datasets/tallwinkingstan/road-traversing-knowledge-rtk-dataset; https://doi.org/10.22456/2175-2745.91522</t>
  </si>
  <si>
    <t>{"dataset_ids":["DS-040","DS-181"],"relationship":"Subset and parent sequence release","resolution":"Keep separate","reason":"701-image RTK segmentation is distinct from larger RTK raw sequences / surface-quality classification; overlapping collection and different labels.","evidence_links":["https://data.mendeley.com/datasets/hssswvmjwf/1","https://lapix.ufsc.br/pesquisas/projeto-veiculo-autonomo/datasets/?lang=en"]}; {"dataset_ids":["DS-043","DS-157","DS-079","DS-040"],"relationship":"Stereo pothole / compiled ancestry","resolution":"Keep separate","reason":"Pothole-600 official site links its Kaggle mirror, while 2019 Stereo Pothole Datasets have separate paper and packaging. Pothole Mix compiles published sources plus new clips. Exact cross-release frame overlap unverified.","evidence_links":["https://github.com/ruirangerfan/stereo_pothole_datasets","https://sites.google.com/view/pothole-600/dataset","https://data.mendeley.com/datasets/kfth5g2xk3/2"]}</t>
  </si>
  <si>
    <t>{"dataset_ids":["DS-043","DS-157","DS-079","DS-040"],"relationship":"Stereo pothole / compiled ancestry","resolution":"Keep separate","reason":"Pothole-600 official site links its Kaggle mirror, while 2019 Stereo Pothole Datasets have separate paper and packaging. Pothole Mix compiles published sources plus new clips. Exact cross-release frame overlap unverified.","evidence_links":["https://github.com/ruirangerfan/stereo_pothole_datasets","https://sites.google.com/view/pothole-600/dataset","https://data.mendeley.com/datasets/kfth5g2xk3/2"]}</t>
  </si>
  <si>
    <t>https://data.mendeley.com/datasets/gsbmknrhkv/6; https://github.com/large-road-damage-datalake/sut-crack-object-detection</t>
  </si>
  <si>
    <t>https://github.com/tantantetetao/UAPD-Pavement-Distress-Dataset; https://doi.org/10.1016/j.autcon.2021.103991; https://doi.org/10.1016/j.autcon.2022.104436</t>
  </si>
  <si>
    <t>https://catalog.data.gov/dataset/long-term-pavement-performance-ltpp-data; https://infopave.fhwa.dot.gov/?Goto=Data; https://infopave.fhwa.dot.gov/; https://data.transportation.gov/d/45cf-eg6f; https://www.fhwa.dot.gov/publications/research/infrastructure/pavements/ltpp/15049/007.cfm; https://www.fhwa.dot.gov/publications/research/infrastructure/pavements/ltpp/16027/index.cfm; https://infopave.fhwa.dot.gov/Reports/ExternalLTPPRelatedResearch; https://infopave.fhwa.dot.gov/Data/DataSelection</t>
  </si>
  <si>
    <t>https://infopave.fhwa.dot.gov/?Goto=NON-LTPP; https://catalog.data.gov/dataset/long-term-pavement-performance-ltpp-non-lttp</t>
  </si>
  <si>
    <t>https://data.mendeley.com/datasets/z3nx8n396g/3; https://data.mendeley.com/datasets/z3nx8n396g/1</t>
  </si>
  <si>
    <t>{"dataset_ids":["DS-059","DS-060"],"relationship":"Same frames; new annotations","resolution":"Keep separate","reason":"CoCG axis-aligned detection and oriented boxes are distinct annotation releases, not independent footage.","evidence_links":[]}</t>
  </si>
  <si>
    <t>https://data.mendeley.com/datasets/429vzbgmbx/1; https://www.kaggle.com/datasets/oluwaseunad/concrete-and-pavement-crack-images; https://doi.org/10.17632/429vzbgmbx.1</t>
  </si>
  <si>
    <t>{"dataset_ids":["DS-007","DS-062"],"relationship":"Parent and noisy-mask derivative","resolution":"Keep separate","reason":"CRACK500 noisy masks are a distinct annotation study release with shared underlying images.","evidence_links":[]}</t>
  </si>
  <si>
    <t>https://data.mendeley.com/datasets/csd32bm8zx/1; https://www.kaggle.com/datasets/parhamnooralishahi/drone-based-inspection-of-road-pavement; https://github.com/parham/inspecteur-intelligent</t>
  </si>
  <si>
    <t>https://data.mendeley.com/datasets/s5hx9n2jc3/2; https://data.mendeley.com/datasets/d4n32gbmk4/1; https://www.kaggle.com/datasets/jocelyndumlao/multi-weather-pothole-detection-mwpd</t>
  </si>
  <si>
    <t>https://data.mendeley.com/datasets/zs3t38sxds/1; https://www.kaggle.com/datasets/renshuddd/multimodal-crack-segmentation-dataset</t>
  </si>
  <si>
    <t>N-RDD2024: Road Damage and Defects</t>
  </si>
  <si>
    <t>https://data.mendeley.com/datasets/27c8pwsd6v/3; https://data.mendeley.com/datasets/27c8pwsd6v/5</t>
  </si>
  <si>
    <t>{"dataset_ids":["DS-035","DS-072","DS-095","DS-099","DS-132","DS-162","DS-104","DS-105"],"relationship":"Derived/compiled RDD family","resolution":"Keep separate","reason":"Re-labeling, filtering, severity, pseudo-label and compiled releases have different targets; preserve relation and audit leakage before cross-dataset evaluation.","evidence_links":[]}</t>
  </si>
  <si>
    <t>https://data.mendeley.com/datasets/kfth5g2xk3/2; https://data.mendeley.com/datasets/kfth5g2xk3</t>
  </si>
  <si>
    <t>https://data.mendeley.com/datasets/5bwfg4v4cd/3; https://www.sciencedirect.com/science/article/pii/S2352340924001033</t>
  </si>
  <si>
    <t>https://data.mendeley.com/datasets/5y9wdsg2zt/2; https://www.kaggle.com/datasets/aniruddhsharma/structural-defects-network-concrete-crack-images; https://digitalcommons.usu.edu/all_datasets/48/; https://doi.org/10.1016/j.conbuildmat.2018.08.011; https://doi.org/10.1016/j.dib.2018.11.015</t>
  </si>
  <si>
    <t>https://huggingface.co/datasets/Chrisathy/LCSD; https://arxiv.org/abs/2403.03063</t>
  </si>
  <si>
    <t>https://zenodo.org/records/17636238; https://huggingface.co/datasets/Ricecake-m/CrackBlock600K; https://huggingface.co/papers/2511.04572</t>
  </si>
  <si>
    <t>{"dataset_ids":["DS-195","DS-196","DS-092"],"relationship":"Mapillary image source family","resolution":"Keep separate","reason":"Vistas, StreetSurfaceVis and global-potholes use Mapillary-related imagery but different selected records/annotations. Shared provider is not sufficient for deduplication; inspect image IDs.","evidence_links":[]}</t>
  </si>
  <si>
    <t>https://huggingface.co/datasets/keremberke/pothole-segmentation; https://universe.roboflow.com/imacs-pothole-detection-wo8mu/pothole-detection-irkz9</t>
  </si>
  <si>
    <t>{"dataset_ids":["DS-093","DS-094","DS-153"],"relationship":"Similar labels; different upstream projects","resolution":"Keep separate","reason":"Different Roboflow project identifiers and annotation export scopes. Do not merge based on the generic pothole segmentation name.","evidence_links":["https://huggingface.co/datasets/keremberke/pothole-segmentation","https://huggingface.co/datasets/manot/pothole-segmentation2/raw/main/pothole-segmentation2.py"]}</t>
  </si>
  <si>
    <t>https://huggingface.co/datasets/MML-Group/PaveBench; https://arxiv.org/abs/2604.02804</t>
  </si>
  <si>
    <t>https://huggingface.co/datasets/Programmer-RD-AI/road-issues-detection-dataset; https://www.kaggle.com/datasets/programmerrdai/road-issues-detection-dataset; https://doi.org/10.57967/hf/6188</t>
  </si>
  <si>
    <t>RSCD-1million</t>
  </si>
  <si>
    <t>https://huggingface.co/datasets/rezzzq/RSCD-1million; https://arxiv.org/abs/2208.04266</t>
  </si>
  <si>
    <t>https://zenodo.org/records/10100129; https://huggingface.co/datasets/ShuoZheLi/SVRDD_YOLO; https://doi.org/10.1038/s41597-024-03263-7</t>
  </si>
  <si>
    <t>https://huggingface.co/datasets/TamAko783/Unified_Road_Defect_Dataset; https://doi.org/10.1109/BigData52589.2021.9671347; https://doi.org/10.1016/j.dib.2023.109312; https://doi.org/10.57967/hf/3189</t>
  </si>
  <si>
    <t>https://huggingface.co/datasets/varcoder/crack-segmentation-dataset; https://huggingface.co/varcoder/segformer-b4-crack-segmentation-dataset</t>
  </si>
  <si>
    <t>https://zenodo.org/records/16291115; https://doi.org/10.5281/zenodo.16291115</t>
  </si>
  <si>
    <t>CAMBER Dataset - Road Survey Video / Road Monitoring Route Series (67 Zenodo records)</t>
  </si>
  <si>
    <t>https://zenodo.org/records/18704114; https://zenodo.org/records/18755804</t>
  </si>
  <si>
    <t>https://zenodo.org/records/11625865; https://doi.org/10.1016/j.autcon.2022.104575</t>
  </si>
  <si>
    <t>https://zenodo.org/records/11625820; https://doi.org/10.1016/j.autcon.2022.104383</t>
  </si>
  <si>
    <t>https://zenodo.org/records/6383044; https://doi.org/10.5281/zenodo.6383044</t>
  </si>
  <si>
    <t>https://zenodo.org/records/7795975; https://doi.org/10.1007/978-3-031-27524-1_19; https://arxiv.org/abs/2304.02933</t>
  </si>
  <si>
    <t>https://zenodo.org/records/7681876; https://github.com/Snagnar/CompetitiveReconstructionNetworks</t>
  </si>
  <si>
    <t>https://zenodo.org/records/18528034; https://www.kaggle.com/datasets/lorenzoarcioni/road-damage-dataset-potholes-cracks-and-manholes; https://doi.org/10.5281/zenodo.17834373</t>
  </si>
  <si>
    <t>{"dataset_ids":["DS-129","DS-170"],"relationship":"Possible mirror; identity unresolved","resolution":"Keep separate","reason":"Matching generic 3-class descriptions/resolution are insufficient provenance proof. Keep separate, high-priority ancestry follow-up.","evidence_links":[]}</t>
  </si>
  <si>
    <t>https://zenodo.org/records/11473582; https://doi.org/10.1016/j.autcon.2021.103991</t>
  </si>
  <si>
    <t>https://zenodo.org/records/8429208; https://github.com/ZY-H/DETRs-for-Pavement-Distress-Detection</t>
  </si>
  <si>
    <t>{"dataset_ids":["DS-135","DS-175"],"relationship":"Parent and segmentation derivative","resolution":"Keep separate","reason":"UAV-SEG/Enhanced UAV-PDD is a derived annotation release. Legacy DS175 preferred parent Zenodo URL is insufficient to identify derivative; use its Kaggle record and verify access.","evidence_links":["https://www.kaggle.com/datasets/patelravi07/enhanced-uav-pdd"]}</t>
  </si>
  <si>
    <t>https://zenodo.org/records/20365503; https://www.kaggle.com/datasets/lauraparejaprieto/weather-adverse-road-defect-semantic-segmentation</t>
  </si>
  <si>
    <t>{"dataset_ids":["DS-138","DS-149"],"relationship":"Possible shared MakeML source","resolution":"Keep separate","reason":"Both may trace to MakeML, but DS138 adds size categories/splits. No verified identical release manifest; retain separate and audit image hashes before independence claims.","evidence_links":[]}</t>
  </si>
  <si>
    <t>https://www.kaggle.com/datasets/aryanbadiee/combinedcrack; https://github.com/cuilimeng/CrackForest-dataset; https://github.com/yhlleo/DeepCrack</t>
  </si>
  <si>
    <t>https://www.kaggle.com/datasets/salimhammadi07/miia-pothole-image-classification-challenge; https://zindi.africa/competitions/miia-pothole-image-classification-challenge</t>
  </si>
  <si>
    <t>{"dataset_ids":["DS-147","DS-167"],"relationship":"Possible shared South African source","resolution":"Keep separate","reason":"Both cite South African pothole imagery; classification challenge and bounding-box packaging differ. Exact overlap unverified; retain separate.","evidence_links":[]}</t>
  </si>
  <si>
    <t>https://www.kaggle.com/datasets/andrewmvd/pothole-detection; https://makeml.app/datasets/potholes</t>
  </si>
  <si>
    <t>https://www.kaggle.com/datasets/farzadnekouei/pothole-image-segmentation-dataset; https://universe.roboflow.com/farzad/pothole_segmentation_yolov8</t>
  </si>
  <si>
    <t>https://www.kaggle.com/datasets/gracehephzibahm/pothole-severity-classification; https://smartathon.hackerearth.com/</t>
  </si>
  <si>
    <t>https://www.kaggle.com/datasets/rangerfan/pothole-600; https://doi.org/10.1109/TIP.2018.2808770; https://doi.org/10.1109/TIP.2019.2933750</t>
  </si>
  <si>
    <t>https://www.kaggle.com/datasets/mahyeks/pothrgbd-rgb-and-depth-images-of-potholes; https://arxiv.org/abs/2505.04207</t>
  </si>
  <si>
    <t>https://www.kaggle.com/datasets/jefmenegazzo/pvs-passive-vehicular-sensors-datasets; https://github.com/Intelligent-Vehicle-Perception/Intelligent-Vehicle-Perception-Based-on-Inertial-Sensing-and-Artificial-Intelligence; https://doi.org/10.1109/SBESC51047.2020.9277846; https://doi.org/10.1007/s00607-021-00914-0; https://github.com/jefmenegazzo/Intelligent-Vehicle-Perception-Based-on-Inertial-Sensing-and-Artificial-Intelligence</t>
  </si>
  <si>
    <t>https://www.kaggle.com/datasets/rohitsuresh15/radroad-anomaly-detection; https://link.springer.com/chapter/10.1007/978-981-97-2004-0_34</t>
  </si>
  <si>
    <t>https://www.kaggle.com/datasets/sovitrath/road-pothole-images-for-pothole-detection; https://www.researchgate.net/publication/282807920_Dataset_of_images_used_for_pothole_detection</t>
  </si>
  <si>
    <t>https://zenodo.org/records/8214118; https://www.kaggle.com/datasets/patelravi07/enhanced-uav-pdd</t>
  </si>
  <si>
    <t>WARD-dataset (Weather-Aware Road Surface Condition Monitoring Dataset)</t>
  </si>
  <si>
    <t>AV_Pavement_Dataset_Inventory.xlsx</t>
  </si>
  <si>
    <t>Datasets</t>
  </si>
  <si>
    <t>Add distinct</t>
  </si>
  <si>
    <t>No matching dataset identity/release among the 177 v3 records or earlier AV records; retain as a new stable ID. Similar modality or publisher alone is not evidence of duplicate data.</t>
  </si>
  <si>
    <t>https://huggingface.co/datasets/natix-network-org/natix-edge-case-driving-dataset; https://huggingface.co/datasets/natix-network-org/natix-edge-case-driving-dataset</t>
  </si>
  <si>
    <t>{"dataset_ids":["DS-178","DS-217","DS-218"],"relationship":"Shared capture family; distinct NATIX subsets","resolution":"Keep separate","reason":"Edge-case, multi-camera and safety-critical packages are different released subsets; shared Tesla capture ecosystem is not proof of all clips duplicating. Check trip/frame IDs before combined use.","evidence_links":[]}</t>
  </si>
  <si>
    <t>https://huggingface.co/datasets/DarrylT/M2S-RoAD; https://arxiv.org/html/2504.10123v1</t>
  </si>
  <si>
    <t>D003</t>
  </si>
  <si>
    <t>Merge alias</t>
  </si>
  <si>
    <t>Exact Kaggle owner/slug and named PVS collection. AV adds author repository and qualitative roughness/video context.</t>
  </si>
  <si>
    <t>https://www.kaggle.com/datasets/jefmenegazzo/pvs-passive-vehicular-sensors-datasets; https://github.com/jefmenegazzo/Intelligent-Vehicle-Perception-Based-on-Inertial-Sensing-and-Artificial-Intelligence</t>
  </si>
  <si>
    <t>D004</t>
  </si>
  <si>
    <t>RSCD — Road Surface Classification Dataset</t>
  </si>
  <si>
    <t>Same RSCD one-million release name, 27 combined classes, timestamps, category directory names and validation/test structure. Canonical record uses original Tsinghua release. HF upload is a probable mirror; payload equality was not established.</t>
  </si>
  <si>
    <t>https://thu-rsxd.com/dxhdiefb/; https://thu-rsxd.com/rscd/</t>
  </si>
  <si>
    <t>https://huggingface.co/datasets/AD-Assurance-Lab/winter-driving-dataset; https://github.com/AD-Assurance-Lab/dataset--winter-driving--main</t>
  </si>
  <si>
    <t>D006</t>
  </si>
  <si>
    <t>RTK — Road Traversing Knowledge (segmentation)</t>
  </si>
  <si>
    <t>Exact Mendeley identifier hssswvmjwf/1: 701-image segmentation release. Full RTK sequence/classification release retained separately.</t>
  </si>
  <si>
    <t>https://data.mendeley.com/datasets/hssswvmjwf/1; https://data.mendeley.com/datasets/hssswvmjwf/1</t>
  </si>
  <si>
    <t>https://lapix.ufsc.br/pesquisas/projeto-veiculo-autonomo/datasets/?lang=en; https://doi.org/10.22456/2175-2745.91522</t>
  </si>
  <si>
    <t>{"dataset_ids":["DS-040","DS-181"],"relationship":"Subset and parent sequence release","resolution":"Keep separate","reason":"701-image RTK segmentation is distinct from larger RTK raw sequences / surface-quality classification; overlapping collection and different labels.","evidence_links":["https://data.mendeley.com/datasets/hssswvmjwf/1","https://lapix.ufsc.br/pesquisas/projeto-veiculo-autonomo/datasets/?lang=en"]}</t>
  </si>
  <si>
    <t>D008</t>
  </si>
  <si>
    <t>R2S100K — Road-Region Segmentation</t>
  </si>
  <si>
    <t>Exact author GitHub moatifbutt/r2s100k. AV clarifies access-by-request and 14k labeled/86k unlabeled distinction.</t>
  </si>
  <si>
    <t>https://github.com/moatifbutt/r2s100k; https://arxiv.org/abs/2308.06393</t>
  </si>
  <si>
    <t>https://huggingface.co/datasets/ysilabs/latam-urban-driving-sample; https://huggingface.co/datasets/ysilabs/latam-urban-driving-sample</t>
  </si>
  <si>
    <t>https://zod.zenseact.com/; https://zod.zenseact.com/annotations/</t>
  </si>
  <si>
    <t>https://www.uni-ulm.de/en/in/institute-of-measurement-control-and-microtechnology/research/data-sets/dense-datasets/; https://www.cs.princeton.edu/~fheide/AdverseWeatherFusion/figures/AdverseWeatherFusion_Supplement.pdf</t>
  </si>
  <si>
    <t>https://www.viscoda.com/index.php/en/downloads-en/roadsaw-dataset; https://openaccess.thecvf.com/content/CVPR2022W/WAD/papers/Cordes_RoadSaW_A_Large-Scale_Dataset_for_Camera-Based_Road_Surface_and_Wetness_CVPRW_2022_paper.pdf</t>
  </si>
  <si>
    <t>{"dataset_ids":["DS-185","DS-186"],"relationship":"Related surface-state datasets","resolution":"Keep separate","reason":"RoadSaW wetness/material and RoadSC snow cover use complementary label definitions, not aliases.","evidence_links":[]}</t>
  </si>
  <si>
    <t>https://www.viscoda.com/index.php/en/downloads-en/roadsc-dataset; https://www.viscoda.com/index.php/en/downloads-en/roadsc-dataset</t>
  </si>
  <si>
    <t>https://github.com/ShaoyanZhai2001/SAVeD; https://arxiv.org/abs/2512.17724</t>
  </si>
  <si>
    <t>https://doi.org/10.6084/m9.figshare.30341143.v3; https://doi.org/10.1038/s41597-026-07072-y</t>
  </si>
  <si>
    <t>https://thu-rsxd.com/dxhdiefb/; https://thu-rsxd.com/rsrd/</t>
  </si>
  <si>
    <t>{"dataset_ids":["DS-189","DS-233"],"relationship":"Parent and labeled point-cloud subset","resolution":"Keep separate","reason":"RSRD-seg is a small labeled subset of RSRD; separate modalities/task labels. Shared download portal is not duplicate identity.","evidence_links":["https://thu-rsxd.com/rsrd/","https://thu-rsxd.com/rsrd_segmentation/"]}</t>
  </si>
  <si>
    <t>https://github.com/hanshenChen/HRP4K; https://doi.org/10.1038/s41597-026-07317-w</t>
  </si>
  <si>
    <t>D018</t>
  </si>
  <si>
    <t>N-RDD2024 — Road damage and defects</t>
  </si>
  <si>
    <t>Legacy DS-072 already includes v5 as well as v3. Pin current comparison to version 5; retain version-3 provenance and conflict in source log, do not infer payload identity across versions. Distinct from RDD2022 parent.</t>
  </si>
  <si>
    <t>https://data.mendeley.com/datasets/27c8pwsd6v/5; https://data.mendeley.com/datasets/27c8pwsd6v/5</t>
  </si>
  <si>
    <t>D019</t>
  </si>
  <si>
    <t>RDD2022 — Road Damage Dataset (RDD family)</t>
  </si>
  <si>
    <t>Same RDD2022 official repository and cited 2022 release; older RDD2018/2019/2020 remain distinct version records.</t>
  </si>
  <si>
    <t>https://github.com/sekilab/RoadDamageDetector; https://arxiv.org/abs/2209.08538</t>
  </si>
  <si>
    <t>https://github.com/unmannedlab/RELLIS-3D; https://unmannedlab.org/research/RELLIS-3D</t>
  </si>
  <si>
    <t>https://road-dataset.github.io/; https://arxiv.org/html/2601.20847v1</t>
  </si>
  <si>
    <t>D022</t>
  </si>
  <si>
    <t>WARD title, author Adam Novozamsky, Czechia collection and 66 recordings agree. Author poster supplies 54,952 images and dry/wet/snow labels; Kaggle record retained as access route.</t>
  </si>
  <si>
    <t>https://ro.utia.cas.cz/?q=publication-details%2F0644268; https://adamnovozamsky.com/files/2024_Diploma_Drocarova_WARD_poster.pdf</t>
  </si>
  <si>
    <t>D023</t>
  </si>
  <si>
    <t>CQU-BPDD — Bituminous Pavement Distress</t>
  </si>
  <si>
    <t>Original author repository directly links Dearcat/CQU-BPDD on Hugging Face and reports 60,056 images. HF links back to original repository.</t>
  </si>
  <si>
    <t>https://huggingface.co/datasets/Dearcat/CQU-BPDD; https://github.com/DearCaat/CQU-BPDD</t>
  </si>
  <si>
    <t>D024</t>
  </si>
  <si>
    <t>Exact official repository mqp2259/EdmCrack600 and same 600-image collection.</t>
  </si>
  <si>
    <t>https://github.com/mqp2259/EdmCrack600; https://github.com/mqp2259/EdmCrack600/blob/master/README.md</t>
  </si>
  <si>
    <t>https://www.tu-ilmenau.de/fileadmin/Bereiche/IA/neurob/Datasets/Request-Gaps3.pdf; https://www.tu-ilmenau.de/universitaet/fakultaeten/fakultaet-informatik-und-automatisierung/profil/institute-und-fachgebiete/institut-fuer-technische-informatik-und-ingenieurinformatik/fachgebiet-neuroinformatik-und-kognitive-robotik/data-sets-code/german-asphalt-pavement-distress-dataset-gaps</t>
  </si>
  <si>
    <t>{"dataset_ids":["DS-018","DS-193","DS-194"],"relationship":"GAPs family; distinct releases","resolution":"Keep separate","reason":"GAPs384 crack masks, GAPs10m semantic segmentation and GAPsv2 classification/detection are different release scopes. Shared imagery lineage must not be treated as independent.","evidence_links":[]}</t>
  </si>
  <si>
    <t>https://www.tu-ilmenau.de/universitaet/fakultaeten/fakultaet-informatik-und-automatisierung/profil/institute-und-fachgebiete/institut-fuer-technische-informatik-und-ingenieurinformatik/fachgebiet-neuroinformatik-und-kognitive-robotik/data-sets-code/german-asphalt-pavement-distress-dataset-gaps; https://www.tu-ilmenau.de/fileadmin/Bereiche/IA/neurob/Publikationen/conferences_int/2019/Stricker-IJCNN-2019.pdf</t>
  </si>
  <si>
    <t>https://www.mapillary.com/dataset/vistas; https://github.com/facebookresearch/Mask2Former/blob/main/mask2former/data/datasets/register_mapillary_vistas.py</t>
  </si>
  <si>
    <t>D028</t>
  </si>
  <si>
    <t>Exact HF MML-Group/PaveBench repository and arXiv 2604.02804. PaveVQA is a task component of the PaveBench suite, not separately counted.</t>
  </si>
  <si>
    <t>D029</t>
  </si>
  <si>
    <t>PaveSeg</t>
  </si>
  <si>
    <t>Exact FuturePave/PaveSeg-Dataset repository.</t>
  </si>
  <si>
    <t>https://github.com/FuturePave/PaveSeg-Dataset; https://github.com/FuturePave/PaveSeg-Dataset</t>
  </si>
  <si>
    <t>D030</t>
  </si>
  <si>
    <t>Pothole Mix / SHREC 2022</t>
  </si>
  <si>
    <t>Same Mendeley concept identifier kfth5g2xk3; existing v2 chosen as explicit release. SHREC 2022 is challenge context, not a second acquisition.</t>
  </si>
  <si>
    <t>https://data.mendeley.com/datasets/kfth5g2xk3; https://arxiv.org/abs/2205.13326</t>
  </si>
  <si>
    <t>D031</t>
  </si>
  <si>
    <t>Exact Mendeley identifier 5bwfg4v4cd/3.</t>
  </si>
  <si>
    <t>https://data.mendeley.com/datasets/5bwfg4v4cd/3; https://pmc.ncbi.nlm.nih.gov/articles/PMC10867608/</t>
  </si>
  <si>
    <t>D032</t>
  </si>
  <si>
    <t>Official Pothole-600 site links directly to the same Kaggle rangerfan/pothole-600 record. Stereo Pothole Datasets (2019) retained separately pending frame-level overlap audit.</t>
  </si>
  <si>
    <t>https://sites.google.com/view/pothole-600/dataset; https://ram-lab.com/papers/2020/fan2020we.pdf</t>
  </si>
  <si>
    <t>https://zenodo.org/records/11449977; https://pmc.ncbi.nlm.nih.gov/articles/PMC11739464/</t>
  </si>
  <si>
    <t>D034</t>
  </si>
  <si>
    <t>Unpaved and Paved Road Surface with Seasons</t>
  </si>
  <si>
    <t>Exact Mendeley identifier tj2m7zz4rg/2.</t>
  </si>
  <si>
    <t>https://data.mendeley.com/datasets/tj2m7zz4rg/2; https://pmc.ncbi.nlm.nih.gov/articles/PMC8933537/</t>
  </si>
  <si>
    <t>https://a2d2-dataset.github.io/; https://registry.opendata.aws/aev-a2d2/</t>
  </si>
  <si>
    <t>https://acdc.vision.ee.ethz.ch/; https://arxiv.org/abs/2104.13395</t>
  </si>
  <si>
    <t>https://github.com/aimotive/aimotive_dataset; https://arxiv.org/abs/2211.09445</t>
  </si>
  <si>
    <t>https://apolloscapeauto.github.io/dataset-api/; https://github.com/ApolloScapeAuto/dataset-api/blob/master/scene_parsing/README.md</t>
  </si>
  <si>
    <t>https://www.argoverse.org/av1.html; https://www.argoverse.org/av1.html</t>
  </si>
  <si>
    <t>{"dataset_ids":["DS-201","DS-202","DS-203"],"relationship":"Argoverse family; distinct releases/tasks","resolution":"Keep separate","reason":"Argoverse1, Argoverse2 Sensor and Map Change serve different release scopes. AV2 Map Change may reuse Sensor frames; record exact overlap before pooled evaluation.","evidence_links":[]}</t>
  </si>
  <si>
    <t>https://www.argoverse.org/av2.html; https://www.argoverse.org/av2.html</t>
  </si>
  <si>
    <t>https://www.argoverse.org/av2.html; https://argoverse.github.io/user-guide/datasets/sensor.html</t>
  </si>
  <si>
    <t>https://pit30m.github.io/; https://github.com/awslabs/open-data-registry/blob/main/datasets/aurora_msds.yaml</t>
  </si>
  <si>
    <t>https://github.com/bdd100k/bdd100k; https://bair.berkeley.edu/blog/2018/05/30/bdd/</t>
  </si>
  <si>
    <t>https://www.boreas.utias.utoronto.ca/; https://github.com/utiasASRL/pyboreas</t>
  </si>
  <si>
    <t>https://github.com/mpitropov/cadc_devkit; https://arxiv.org/abs/2001.10117</t>
  </si>
  <si>
    <t>https://www.cityscapes-dataset.com/; https://www.cityscapes-dataset.com/</t>
  </si>
  <si>
    <t>https://github.com/commaai/comma10k; https://github.com/commaai/comma10k</t>
  </si>
  <si>
    <t>https://github.com/commaai/comma2k19; https://github.com/commaai/comma2k19</t>
  </si>
  <si>
    <t>https://arxiv.org/abs/1904.01975; https://arxiv.org/abs/1904.01975</t>
  </si>
  <si>
    <t>https://avdata.ford.com/home/default.aspx; https://avdata.ford.com/data/default.aspx</t>
  </si>
  <si>
    <t>https://idd.insaan.iiit.ac.in/dataset/details/; https://idd.insaan.iiit.ac.in/dataset/details/</t>
  </si>
  <si>
    <t>https://www.cvlibs.net/datasets/kitti/raw_data.php; https://www.cvlibs.net/datasets/kitti/raw_data.php</t>
  </si>
  <si>
    <t>{"dataset_ids":["DS-214","DS-215"],"relationship":"KITTI family; distinct acquisitions","resolution":"Keep separate","reason":"KITTI Raw and KITTI-360 are separate data acquisitions. Preserve named-release boundary.","evidence_links":[]}</t>
  </si>
  <si>
    <t>https://www.cvlibs.net/datasets/kitti-360/; https://www.cvlibs.net/datasets/kitti-360/</t>
  </si>
  <si>
    <t>https://www.man.eu/truckscenes; https://registry.opendata.aws/man-truckscenes/</t>
  </si>
  <si>
    <t>https://huggingface.co/datasets/natix-network-org/natix-multi-camera-driving-dataset; https://huggingface.co/datasets/natix-network-org/natix-multi-camera-driving-dataset</t>
  </si>
  <si>
    <t>https://huggingface.co/datasets/natix-network-org/natix-safety-critical-driving-events-dataset; https://www.natix.network/blog/natix-safety-critical-driving-events-dataset-with-vehicle-telemetry</t>
  </si>
  <si>
    <t>https://www.nuscenes.org/nuimages; https://www.nuscenes.org/</t>
  </si>
  <si>
    <t>{"dataset_ids":["DS-219","DS-220","DS-221"],"relationship":"Motional family; distinct datasets","resolution":"Keep separate","reason":"nuImages, nuPlan sensor release and nuScenes have distinct published scope; brand/platform sharing does not merge dataset identity.","evidence_links":[]}</t>
  </si>
  <si>
    <t>https://www.nuscenes.org/nuplan; https://www.nuscenes.org/</t>
  </si>
  <si>
    <t>https://www.nuscenes.org/nuscenes; https://www.nuscenes.org/data-format</t>
  </si>
  <si>
    <t>https://huggingface.co/datasets/nvidia/PhysicalAI-Autonomous-Vehicles; https://huggingface.co/datasets/nvidia/PhysicalAI-Autonomous-Vehicles</t>
  </si>
  <si>
    <t>https://once-for-auto-driving.github.io/index.html; https://once-for-auto-driving.github.io/download.html</t>
  </si>
  <si>
    <t>https://github.com/OpenDriveLab/DriveAGI; https://github.com/OpenDriveLab/DriveAGI</t>
  </si>
  <si>
    <t>https://robotcar-dataset.robots.ox.ac.uk/; https://mrgdatashare.robots.ox.ac.uk/register/</t>
  </si>
  <si>
    <t>https://github.com/scaleapi/pandaset-devkit; https://arxiv.org/abs/2112.12610</t>
  </si>
  <si>
    <t>https://pro.hw.ac.uk/radiate/; https://pro.hw.ac.uk/radiate/doc/dataset/</t>
  </si>
  <si>
    <t>https://huggingface.co/datasets/Torc-Robotics/TruckDrive; https://huggingface.co/datasets/Torc-Robotics/TruckDrive</t>
  </si>
  <si>
    <t>https://github.com/TuSimple/tusimple-benchmark/issues/3; https://github.com/TuSimple/tusimple-benchmark/blob/master/doc/lane_detection/readme.md</t>
  </si>
  <si>
    <t>https://waymo.com/open/download/; https://waymo.com/intl/fil/open/data/e2e/</t>
  </si>
  <si>
    <t>{"dataset_ids":["DS-230","DS-231"],"relationship":"Waymo family; distinct tasks/releases","resolution":"Keep separate","reason":"End-to-End Driving and Perception releases use separate release formats and target annotations; common download portal not duplicate proof.","evidence_links":[]}</t>
  </si>
  <si>
    <t>https://waymo.com/open/download/; https://waymo.com/intl/it/open/data/perception/</t>
  </si>
  <si>
    <t>https://huggingface.co/datasets/XieTenghu1/TruckV2X; https://arxiv.org/html/2507.09505v1</t>
  </si>
  <si>
    <t>https://thu-rsxd.com/dxhdiefb/; https://thu-rsxd.com/rsrd_segmentation/</t>
  </si>
  <si>
    <t>Related releases and unresolved overlap</t>
  </si>
  <si>
    <t>These flags do not prove byte-level duplication. Keep versions and derivatives distinct until payload or release-identity evidence supports a further merge.</t>
  </si>
  <si>
    <t>Related dataset IDs</t>
  </si>
  <si>
    <t>Relationship</t>
  </si>
  <si>
    <t>Reason</t>
  </si>
  <si>
    <t>DS-003; DS-025; DS-090</t>
  </si>
  <si>
    <t>Same acquisition lineage; different archives/releases</t>
  </si>
  <si>
    <t>Keep separate</t>
  </si>
  <si>
    <t>CiCS, LEiS and CrackBlock600k share author/acquisition lineage, but different named archives and representations. A common repository does not establish duplicate release identity.</t>
  </si>
  <si>
    <t>DS-007; DS-018</t>
  </si>
  <si>
    <t>Shared host; distinct data</t>
  </si>
  <si>
    <t>CRACK500 and GAPs384 use a shared benchmark repository but different acquisition corpora.</t>
  </si>
  <si>
    <t>DS-009; DS-013; DS-014</t>
  </si>
  <si>
    <t>CrackLS315, CrackTree260 and CRKWH100 are distinct named benchmarks in a shared repository.</t>
  </si>
  <si>
    <t>DS-022; DS-023; DS-113; DS-114</t>
  </si>
  <si>
    <t>Related infrared dataset releases</t>
  </si>
  <si>
    <t>Different DOI deposits and annotation tasks; retain separate task-specific releases.</t>
  </si>
  <si>
    <t>DS-037; DS-038; DS-034; DS-035</t>
  </si>
  <si>
    <t>Successive RDD releases</t>
  </si>
  <si>
    <t>RDD2018, 2019, 2020 and 2022 share lineage but differ by release. Never sum their counts as independent imagery.</t>
  </si>
  <si>
    <t>DS-035; DS-072; DS-095; DS-099; DS-132; DS-162; DS-104; DS-105</t>
  </si>
  <si>
    <t>Derived/compiled RDD family</t>
  </si>
  <si>
    <t>Re-labeling, filtering, severity, pseudo-label and compiled releases have different targets; preserve relation and audit leakage before cross-dataset evaluation.</t>
  </si>
  <si>
    <t>DS-059; DS-060</t>
  </si>
  <si>
    <t>Same frames; new annotations</t>
  </si>
  <si>
    <t>CoCG axis-aligned detection and oriented boxes are distinct annotation releases, not independent footage.</t>
  </si>
  <si>
    <t>DS-007; DS-062</t>
  </si>
  <si>
    <t>Parent and noisy-mask derivative</t>
  </si>
  <si>
    <t>CRACK500 noisy masks are a distinct annotation study release with shared underlying images.</t>
  </si>
  <si>
    <t>DS-007; DS-008; DS-011; DS-016; DS-142</t>
  </si>
  <si>
    <t>Compiled crack ancestry</t>
  </si>
  <si>
    <t>CrackSeg9k and CombinedCrack aggregate earlier crack corpora. Keep compiled release identities, flag shared ancestry for train/test audits.</t>
  </si>
  <si>
    <t>DS-040; DS-181</t>
  </si>
  <si>
    <t>Subset and parent sequence release</t>
  </si>
  <si>
    <t>701-image RTK segmentation is distinct from larger RTK raw sequences / surface-quality classification; overlapping collection and different labels.</t>
  </si>
  <si>
    <t>https://data.mendeley.com/datasets/hssswvmjwf/1; https://lapix.ufsc.br/pesquisas/projeto-veiculo-autonomo/datasets/?lang=en</t>
  </si>
  <si>
    <t>DS-018; DS-193; DS-194</t>
  </si>
  <si>
    <t>GAPs family; distinct releases</t>
  </si>
  <si>
    <t>GAPs384 crack masks, GAPs10m semantic segmentation and GAPsv2 classification/detection are different release scopes. Shared imagery lineage must not be treated as independent.</t>
  </si>
  <si>
    <t>DS-043; DS-157; DS-079; DS-040</t>
  </si>
  <si>
    <t>Stereo pothole / compiled ancestry</t>
  </si>
  <si>
    <t>Pothole-600 official site links its Kaggle mirror, while 2019 Stereo Pothole Datasets have separate paper and packaging. Pothole Mix compiles published sources plus new clips. Exact cross-release frame overlap unverified.</t>
  </si>
  <si>
    <t>https://github.com/ruirangerfan/stereo_pothole_datasets; https://sites.google.com/view/pothole-600/dataset; https://data.mendeley.com/datasets/kfth5g2xk3/2</t>
  </si>
  <si>
    <t>DS-093; DS-094; DS-153</t>
  </si>
  <si>
    <t>Similar labels; different upstream projects</t>
  </si>
  <si>
    <t>Different Roboflow project identifiers and annotation export scopes. Do not merge based on the generic pothole segmentation name.</t>
  </si>
  <si>
    <t>https://huggingface.co/datasets/keremberke/pothole-segmentation; https://huggingface.co/datasets/manot/pothole-segmentation2/raw/main/pothole-segmentation2.py</t>
  </si>
  <si>
    <t>DS-138; DS-149</t>
  </si>
  <si>
    <t>Possible shared MakeML source</t>
  </si>
  <si>
    <t>Both may trace to MakeML, but DS138 adds size categories/splits. No verified identical release manifest; retain separate and audit image hashes before independence claims.</t>
  </si>
  <si>
    <t>DS-147; DS-167</t>
  </si>
  <si>
    <t>Possible shared South African source</t>
  </si>
  <si>
    <t>Both cite South African pothole imagery; classification challenge and bounding-box packaging differ. Exact overlap unverified; retain separate.</t>
  </si>
  <si>
    <t>DS-129; DS-170</t>
  </si>
  <si>
    <t>Possible mirror; identity unresolved</t>
  </si>
  <si>
    <t>Matching generic 3-class descriptions/resolution are insufficient provenance proof. Keep separate, high-priority ancestry follow-up.</t>
  </si>
  <si>
    <t>DS-135; DS-175</t>
  </si>
  <si>
    <t>Parent and segmentation derivative</t>
  </si>
  <si>
    <t>UAV-SEG/Enhanced UAV-PDD is a derived annotation release. Legacy DS175 preferred parent Zenodo URL is insufficient to identify derivative; use its Kaggle record and verify access.</t>
  </si>
  <si>
    <t>DS-178; DS-217; DS-218</t>
  </si>
  <si>
    <t>Shared capture family; distinct NATIX subsets</t>
  </si>
  <si>
    <t>Edge-case, multi-camera and safety-critical packages are different released subsets; shared Tesla capture ecosystem is not proof of all clips duplicating. Check trip/frame IDs before combined use.</t>
  </si>
  <si>
    <t>DS-189; DS-233</t>
  </si>
  <si>
    <t>Parent and labeled point-cloud subset</t>
  </si>
  <si>
    <t>RSRD-seg is a small labeled subset of RSRD; separate modalities/task labels. Shared download portal is not duplicate identity.</t>
  </si>
  <si>
    <t>https://thu-rsxd.com/rsrd/; https://thu-rsxd.com/rsrd_segmentation/</t>
  </si>
  <si>
    <t>DS-185; DS-186</t>
  </si>
  <si>
    <t>Related surface-state datasets</t>
  </si>
  <si>
    <t>RoadSaW wetness/material and RoadSC snow cover use complementary label definitions, not aliases.</t>
  </si>
  <si>
    <t>DS-201; DS-202; DS-203</t>
  </si>
  <si>
    <t>Argoverse family; distinct releases/tasks</t>
  </si>
  <si>
    <t>Argoverse1, Argoverse2 Sensor and Map Change serve different release scopes. AV2 Map Change may reuse Sensor frames; record exact overlap before pooled evaluation.</t>
  </si>
  <si>
    <t>DS-214; DS-215</t>
  </si>
  <si>
    <t>KITTI family; distinct acquisitions</t>
  </si>
  <si>
    <t>KITTI Raw and KITTI-360 are separate data acquisitions. Preserve named-release boundary.</t>
  </si>
  <si>
    <t>DS-219; DS-220; DS-221</t>
  </si>
  <si>
    <t>Motional family; distinct datasets</t>
  </si>
  <si>
    <t>nuImages, nuPlan sensor release and nuScenes have distinct published scope; brand/platform sharing does not merge dataset identity.</t>
  </si>
  <si>
    <t>DS-230; DS-231</t>
  </si>
  <si>
    <t>Waymo family; distinct tasks/releases</t>
  </si>
  <si>
    <t>End-to-End Driving and Perception releases use separate release formats and target annotations; common download portal not duplicate proof.</t>
  </si>
  <si>
    <t>DS-195; DS-196; DS-092</t>
  </si>
  <si>
    <t>Mapillary image source family</t>
  </si>
  <si>
    <t>Vistas, StreetSurfaceVis and global-potholes use Mapillary-related imagery but different selected records/annotations. Shared provider is not sufficient for deduplication; inspect image IDs.</t>
  </si>
  <si>
    <t>Vehicle and company coverage</t>
  </si>
  <si>
    <t>Findings describe the source search as of October 11, 2026. No located release does not prove that no dataset exists.</t>
  </si>
  <si>
    <t>Vehicle / company</t>
  </si>
  <si>
    <t>Finding</t>
  </si>
  <si>
    <t>Dataset lead</t>
  </si>
  <si>
    <t>Footage status</t>
  </si>
  <si>
    <t>Pavement labels</t>
  </si>
  <si>
    <t>Limitation</t>
  </si>
  <si>
    <t>Source link</t>
  </si>
  <si>
    <t>Source review date</t>
  </si>
  <si>
    <t>Tesla</t>
  </si>
  <si>
    <t>Third-party Tesla camera datasets found; no qualifying Tesla corporate pavement-labeled release located as of 2026-10-11</t>
  </si>
  <si>
    <t>NATIX Multi-Camera, Edge Case and Safety Critical Driving Events</t>
  </si>
  <si>
    <t>Public gated Tesla-dashcam footage from everyday owners; not a Tesla Inc. training-data release</t>
  </si>
  <si>
    <t>NATIX Edge Case has VLM road-surface deterioration events; manually validate</t>
  </si>
  <si>
    <t>Tesla publishes tools to read owner footage/Autopilot metadata: https://github.com/teslamotors/dashcam . Tools are not a footage dataset.</t>
  </si>
  <si>
    <t>Official Perception and End-to-End camera datasets available</t>
  </si>
  <si>
    <t>Waymo Open Dataset - Perception and End-to-End</t>
  </si>
  <si>
    <t>Raw camera sequences; mixed manual/autonomous modes cannot be separated</t>
  </si>
  <si>
    <t>Road/lane segmentation and map features, but no pavement distress or severity labels documented</t>
  </si>
  <si>
    <t>Motion dataset is not a raw-footage substitute: camera tokens/embeddings only. https://waymo.com/intl/it/open/data/motion/</t>
  </si>
  <si>
    <t>Aurora truck</t>
  </si>
  <si>
    <t>No qualifying public Aurora truck-camera dataset located as of 2026-10-11</t>
  </si>
  <si>
    <t>Aurora Multi-Sensor / Pit30M exists, from historical Uber ATG vehicle collection</t>
  </si>
  <si>
    <t>Public cameras available in Pit30M; not identified as Aurora truck recordings</t>
  </si>
  <si>
    <t>No distress/severity annotations documented; weather/segmentation metadata only</t>
  </si>
  <si>
    <t>Use MAN TruckScenes or Torc TruckDrive as verified truck-camera alternatives. Do not relabel Pit30M as truck footage.</t>
  </si>
  <si>
    <t>Rivian EDV</t>
  </si>
  <si>
    <t>No qualifying public Rivian EDV footage dataset located as of 2026-10-11</t>
  </si>
  <si>
    <t>None located in public dataset repositories or Rivian sources searched</t>
  </si>
  <si>
    <t>Rivian describes internal ADAS filming/annotation; this is not a public data-download offer</t>
  </si>
  <si>
    <t>No publicly downloadable paired EDV pavement-condition labels located</t>
  </si>
  <si>
    <t>Absence from this search is not proof that no dataset exists. Generic Rivian road footage, demos and EDV carbon-footprint datasets are not qualifying camera research datasets.</t>
  </si>
  <si>
    <t>MAN Truck &amp; Bus</t>
  </si>
  <si>
    <t>Official public truck camera dataset available</t>
  </si>
  <si>
    <t>Real development-truck camera sequences</t>
  </si>
  <si>
    <t>Weather tags, no documented distress labels</t>
  </si>
  <si>
    <t>Useful truck-specific alternative with calibration and synchronized ranging sensors.</t>
  </si>
  <si>
    <t>Torc Robotics</t>
  </si>
  <si>
    <t>Public truck camera dataset available</t>
  </si>
  <si>
    <t>TruckDrive (CVPR 2026)</t>
  </si>
  <si>
    <t>Real semi-truck multimodal highway sequences</t>
  </si>
  <si>
    <t>No pavement-condition label schema documented</t>
  </si>
  <si>
    <t>Long-range perception benchmark; data license has separate noncommercial/commercial files.</t>
  </si>
  <si>
    <t>Tesla-related historical lead: DeepTesla</t>
  </si>
  <si>
    <t>Historical MIT 6.S094 Tesla dashcam/steering set; current original release unavailable in this check</t>
  </si>
  <si>
    <t>DeepTesla (archived forks exist)</t>
  </si>
  <si>
    <t>Original lexfridman/deeptesla URL returned 404; complete authorized video download not verified</t>
  </si>
  <si>
    <t>Steering labels, no pavement-condition labels</t>
  </si>
  <si>
    <t>Keep as an access-verification lead rather than count it as a confirmed available dataset. Not an official Tesla dataset.</t>
  </si>
  <si>
    <t>Original v3 input records</t>
  </si>
  <si>
    <t>Static source values retained for provenance. Legacy AIR and v3 cached scores are historical and never feed the v4 score.</t>
  </si>
  <si>
    <t>Reconciled_Dataset_ID</t>
  </si>
  <si>
    <t>Standardized_Dataset_Name</t>
  </si>
  <si>
    <t>Alternate_Dataset_Names</t>
  </si>
  <si>
    <t>Dataset_Version</t>
  </si>
  <si>
    <t>Match_Classification</t>
  </si>
  <si>
    <t>Match_Confidence</t>
  </si>
  <si>
    <t>Match_Evidence</t>
  </si>
  <si>
    <t>AI_Tools_Identifying_Dataset</t>
  </si>
  <si>
    <t>Data_Platforms</t>
  </si>
  <si>
    <t>Appears_on_Multiple_Platforms</t>
  </si>
  <si>
    <t>Platform_Relationship</t>
  </si>
  <si>
    <t>Preferred_Dataset_URL</t>
  </si>
  <si>
    <t>GitHub_URL</t>
  </si>
  <si>
    <t>DataGov_URL</t>
  </si>
  <si>
    <t>Mendeley_Data_URL</t>
  </si>
  <si>
    <t>HuggingFace_URL</t>
  </si>
  <si>
    <t>Zenodo_URL</t>
  </si>
  <si>
    <t>Kaggle_URL</t>
  </si>
  <si>
    <t>Other_Dataset_URLs</t>
  </si>
  <si>
    <t>DOI_or_Persistent_ID</t>
  </si>
  <si>
    <t>Related_Publication</t>
  </si>
  <si>
    <t>Publication_Citation</t>
  </si>
  <si>
    <t>Publication_DOI</t>
  </si>
  <si>
    <t>Publication_URL</t>
  </si>
  <si>
    <t>Publication_Year</t>
  </si>
  <si>
    <t>Peer_Reviewed_Publication</t>
  </si>
  <si>
    <t>Publication_Dataset_Relationship</t>
  </si>
  <si>
    <t>Dataset_Scale_Type</t>
  </si>
  <si>
    <t>Number_of_Images</t>
  </si>
  <si>
    <t>Number_of_Videos</t>
  </si>
  <si>
    <t>Number_of_Frames</t>
  </si>
  <si>
    <t>Number_of_Samples</t>
  </si>
  <si>
    <t>Number_of_Road_Segments</t>
  </si>
  <si>
    <t>Number_of_Annotated_Instances</t>
  </si>
  <si>
    <t>Number_of_Classes</t>
  </si>
  <si>
    <t>Training_Set_Size</t>
  </si>
  <si>
    <t>Validation_Set_Size</t>
  </si>
  <si>
    <t>Testing_Set_Size</t>
  </si>
  <si>
    <t>Dataset_Storage_Size</t>
  </si>
  <si>
    <t>Image_Resolution</t>
  </si>
  <si>
    <t>Video_Resolution</t>
  </si>
  <si>
    <t>Country</t>
  </si>
  <si>
    <t>State_or_Province</t>
  </si>
  <si>
    <t>City_or_Region</t>
  </si>
  <si>
    <t>Geographic_Coverage</t>
  </si>
  <si>
    <t>Temporal_Coverage</t>
  </si>
  <si>
    <t>Acquisition_Platform</t>
  </si>
  <si>
    <t>Vehicle_Type</t>
  </si>
  <si>
    <t>Camera_Type</t>
  </si>
  <si>
    <t>Camera_Position</t>
  </si>
  <si>
    <t>Smartphone_Data</t>
  </si>
  <si>
    <t>Drone_or_Aerial_Data</t>
  </si>
  <si>
    <t>CAV_AV_ADAS_Data</t>
  </si>
  <si>
    <t>LiDAR_Availability</t>
  </si>
  <si>
    <t>GPS_or_Geolocation</t>
  </si>
  <si>
    <t>Other_Sensors</t>
  </si>
  <si>
    <t>Weather_Conditions</t>
  </si>
  <si>
    <t>Lighting_Conditions</t>
  </si>
  <si>
    <t>Traffic_Conditions</t>
  </si>
  <si>
    <t>Distress_Types</t>
  </si>
  <si>
    <t>Pavement_Condition_Labels</t>
  </si>
  <si>
    <t>Label_Taxonomy</t>
  </si>
  <si>
    <t>Number_of_Label_Classes</t>
  </si>
  <si>
    <t>Annotation_Task_Type</t>
  </si>
  <si>
    <t>Annotation_Style</t>
  </si>
  <si>
    <t>Annotation_Format</t>
  </si>
  <si>
    <t>Annotation_File_Format</t>
  </si>
  <si>
    <t>Classification_Labels</t>
  </si>
  <si>
    <t>Bounding_Boxes</t>
  </si>
  <si>
    <t>Segmentation_Masks</t>
  </si>
  <si>
    <t>Polygons</t>
  </si>
  <si>
    <t>Keypoints</t>
  </si>
  <si>
    <t>Severity_Labels</t>
  </si>
  <si>
    <t>PCI_Availability</t>
  </si>
  <si>
    <t>IRI_Availability</t>
  </si>
  <si>
    <t>Maintenance_Record_Availability</t>
  </si>
  <si>
    <t>Annotation_Source</t>
  </si>
  <si>
    <t>Annotation_Quality_Control</t>
  </si>
  <si>
    <t>Class_Balance</t>
  </si>
  <si>
    <t>Unlabeled_Data_Availability</t>
  </si>
  <si>
    <t>Reported_AI_Tasks</t>
  </si>
  <si>
    <t>Reported_AI_Methods</t>
  </si>
  <si>
    <t>Reported_Models_or_Architectures</t>
  </si>
  <si>
    <t>AI_Task_Evidence</t>
  </si>
  <si>
    <t>Evaluation_Metrics</t>
  </si>
  <si>
    <t>Benchmark_Results</t>
  </si>
  <si>
    <t>Screening_Decision</t>
  </si>
  <si>
    <t>Access_Status</t>
  </si>
  <si>
    <t>Registration_Requirement</t>
  </si>
  <si>
    <t>Download_Requirement</t>
  </si>
  <si>
    <t>Documentation_Quality</t>
  </si>
  <si>
    <t>Label_Documentation_Quality</t>
  </si>
  <si>
    <t>Broken_or_Inaccessible_Link</t>
  </si>
  <si>
    <t>Key_Limitations</t>
  </si>
  <si>
    <t>Original_Derived_or_Compiled</t>
  </si>
  <si>
    <t>Repository_Mirror</t>
  </si>
  <si>
    <t>Different_Version</t>
  </si>
  <si>
    <t>Derived_or_Reformatted</t>
  </si>
  <si>
    <t>Parent_Dataset</t>
  </si>
  <si>
    <t>Related_Datasets</t>
  </si>
  <si>
    <t>Source_Filenames</t>
  </si>
  <si>
    <t>Source_Record_IDs</t>
  </si>
  <si>
    <t>Claude_Reported_Values_Conflict</t>
  </si>
  <si>
    <t>GPT_Reported_Values_Conflict</t>
  </si>
  <si>
    <t>Scale_Conflicts</t>
  </si>
  <si>
    <t>Label_Conflicts</t>
  </si>
  <si>
    <t>Platform_Conflicts</t>
  </si>
  <si>
    <t>Other_Metadata_Conflicts</t>
  </si>
  <si>
    <t>Include_Exclude_Conflict</t>
  </si>
  <si>
    <t>Reconciliation_Notes</t>
  </si>
  <si>
    <t>Evidence_Locator</t>
  </si>
  <si>
    <t>Confidence_Level</t>
  </si>
  <si>
    <t>Verification_Priority</t>
  </si>
  <si>
    <t>Recommended_Action</t>
  </si>
  <si>
    <t>AIR_Accessibility_0_5</t>
  </si>
  <si>
    <t>AIR_Annotation_Quality_0_5</t>
  </si>
  <si>
    <t>AIR_Documentation_0_5</t>
  </si>
  <si>
    <t>AIR_Scale_0_5</t>
  </si>
  <si>
    <t>AIR_Diversity_0_5</t>
  </si>
  <si>
    <t>AIR_Sensor_Metadata_0_5</t>
  </si>
  <si>
    <t>AIR_Agency_Ground_Truth_0_5</t>
  </si>
  <si>
    <t>AIR_Overall_Default_Weights_0_100</t>
  </si>
  <si>
    <t>AIR_Score_Basis</t>
  </si>
  <si>
    <t>AIR_Scored_Source_Records</t>
  </si>
  <si>
    <t>V3_AI_Grade</t>
  </si>
  <si>
    <t>V3_Human_Grade</t>
  </si>
  <si>
    <t>V3_AI_Confirmed_100</t>
  </si>
  <si>
    <t>V3_Human_Confirmed_100</t>
  </si>
  <si>
    <t>V3_AI_Upper_100</t>
  </si>
  <si>
    <t>V3_Human_Upper_100</t>
  </si>
  <si>
    <t>V3_AI_Resolved_Pct</t>
  </si>
  <si>
    <t>V3_Human_Resolved_Pct</t>
  </si>
  <si>
    <t>V3_AI_Access_5</t>
  </si>
  <si>
    <t>V3_Human_Access_5</t>
  </si>
  <si>
    <t>V3_AI_Label_Quality_5</t>
  </si>
  <si>
    <t>V3_Human_Label_Quality_5</t>
  </si>
  <si>
    <t>V3_AI_Documentation_5</t>
  </si>
  <si>
    <t>V3_Human_Documentation_5</t>
  </si>
  <si>
    <t>V3_AI_Sample_Size_5</t>
  </si>
  <si>
    <t>V3_Human_Sample_Size_5</t>
  </si>
  <si>
    <t>V3_AI_Domain_Fit_5</t>
  </si>
  <si>
    <t>V3_Human_Domain_Fit_5</t>
  </si>
  <si>
    <t>V3_AI_Sensor_Details_5</t>
  </si>
  <si>
    <t>V3_Human_Sensor_Details_5</t>
  </si>
  <si>
    <t>V3_AI_Test_Readiness_5</t>
  </si>
  <si>
    <t>V3_Human_Test_Readiness_5</t>
  </si>
  <si>
    <t>V3_AI_Engineering_Value_5</t>
  </si>
  <si>
    <t>V3_Human_Engineering_Value_5</t>
  </si>
  <si>
    <t>V3_AI_Eligibility</t>
  </si>
  <si>
    <t>V3_Human_Eligibility</t>
  </si>
  <si>
    <t>V3_Human_Completion_Pct</t>
  </si>
  <si>
    <t>V3_Human_minus_AI_Confirmed</t>
  </si>
  <si>
    <t>V3_State_Agreement_Pct</t>
  </si>
  <si>
    <t>V3_AI_Evidence_Note</t>
  </si>
  <si>
    <t>V3_Human_Evidence_Note</t>
  </si>
  <si>
    <t>V3_AI_Source_URL</t>
  </si>
  <si>
    <t>V3_Human_Source_URL</t>
  </si>
  <si>
    <t>NA</t>
  </si>
  <si>
    <t>Independent Dataset</t>
  </si>
  <si>
    <t>NA (single source record)</t>
  </si>
  <si>
    <t>Single source record; no matching record found in any other file after cross-file and cross-platform comparison.</t>
  </si>
  <si>
    <t>NA (single platform)</t>
  </si>
  <si>
    <t>Alligator crack (additional classes per folder structure UNK)</t>
  </si>
  <si>
    <t>Reported on the source record/data card or associated publication (see Evidence_Locator)</t>
  </si>
  <si>
    <t>Include-Supplementary</t>
  </si>
  <si>
    <t>Original</t>
  </si>
  <si>
    <t>Claude_Github_001.xlsx</t>
  </si>
  <si>
    <t>Claude_Github_001:GH-DS-022</t>
  </si>
  <si>
    <t>None</t>
  </si>
  <si>
    <t>Single source record; no reconciliation required.</t>
  </si>
  <si>
    <t>GitHub repository file listing (Alligator*_gs.jpg files), https://github.com/summoners29/Asphalt-Pavement-Crack-Data (accessed 2026-08-06)</t>
  </si>
  <si>
    <t>Low</t>
  </si>
  <si>
    <t>Use source record as cited.</t>
  </si>
  <si>
    <t>Reviewed (source MCDM_Scoring, averaged across batches)</t>
  </si>
  <si>
    <t>1 of 1</t>
  </si>
  <si>
    <t>Provisional</t>
  </si>
  <si>
    <t>2-5/5 (P)</t>
  </si>
  <si>
    <t>Pending</t>
  </si>
  <si>
    <t>DSWMamba Asphalt Pavement Distress Dataset</t>
  </si>
  <si>
    <t>Probable Match</t>
  </si>
  <si>
    <t>Moderate</t>
  </si>
  <si>
    <t>All three records describe the six-category asphalt distress dataset of the DSWMamba paper; GPT and Claude cite the Oct-Sunn/Asphalt-Pavement-Distress-Dataset repository, the Test batch cites zyf991121/DSWMamba (the model repository).</t>
  </si>
  <si>
    <t>Claude; GPT; GitHub_Test_Batch (tool UNK)</t>
  </si>
  <si>
    <t>Two related GitHub repositories (dataset repo and model repo) for the same paper dataset</t>
  </si>
  <si>
    <t>DSWMamba paper (full bibliographic details not provided in README) [Claude] | DSWMamba paper cited by repository; DOI NR [GPT] | https://github.com/zyf991121/DSWMamba [Test_Batch]</t>
  </si>
  <si>
    <t>https://github.com/zyf991121/DSWMamba</t>
  </si>
  <si>
    <t>Reported in source record (relationship not classified)</t>
  </si>
  <si>
    <t>Six distress categories incl. cracks, potholes, alligator cracks, road-marking distress [Claude] | six categories including cracks; potholes; alligator cracks; road-marking distress [GPT] | six asphalt pavement distress categories [Test_Batch]</t>
  </si>
  <si>
    <t>Detection/classification (per paper focus) [Claude] | detection; classification [GPT] | Semantic segmentation [Test_Batch]</t>
  </si>
  <si>
    <t>mask</t>
  </si>
  <si>
    <t>Labeled images; details NR [GPT] | Manual annotation [Test_Batch]</t>
  </si>
  <si>
    <t>Include-Supplementary [Claude] | Pending [GPT/Test_Batch]</t>
  </si>
  <si>
    <t>ChatGPT_Github_001.xlsx; Claude_Github_001.xlsx; Github_Github_Test.xlsx</t>
  </si>
  <si>
    <t>ChatGPT_Github_001:GH-016; Claude_Github_001:GH-DS-016; Github_Github_Test:GITHUB-034</t>
  </si>
  <si>
    <t>Y - see conflict columns and Reconciliation_Notes</t>
  </si>
  <si>
    <t>Distress types: Six distress categories incl. cracks, potholes, alligator cracks, road-marking d (Claude) vs six categories including cracks; potholes; alligator cracks; road-marking distre (GPT) vs six asphalt pavement distress categories (Test_Batch) || Label taxonomy: Labeled images across six distress categories (Claude) vs Six categories; full taxonomy NR (GPT) vs six distress categories (Test_Batch) || Annotation task: Detection/classification (per paper focus) (Claude) vs detection; classification (GPT) vs Semantic segmentation (Test_Batch) || Annotation method: Labeled images; details NR (GPT) vs Manual annotation (Test_Batch)</t>
  </si>
  <si>
    <t>Access status: Direct_Download (Claude) vs UNK (GPT/Test_Batch) || AI tasks: Object detection (Claude) vs detection; classification; analysis (GPT) vs semantic segmentation (Test_Batch) || Screening decision: Include-Supplementary (Claude) vs Pending (GPT/Test_Batch) || Road environment: Asphalt pavements, real-world scenarios (Claude) vs Asphalt pavement (GPT) vs Asphalt roadway (Test_Batch) || Publications: DSWMamba paper (full bibliographic details not provided in README) (Claude) vs DSWMamba paper cited by repository; DOI NR (GPT) vs https://github.com/zyf991121/DSWMamba (Test_Batch) || Key_Limitations: Image count, format, license, and provenance undocumented; single Google Drive a (Claude) vs Download target not resolved; no count, license, persistent data identifier, ann (GPT) vs Model repository documents a six-class dataset, but dataset count, release year, (Test_Batch)</t>
  </si>
  <si>
    <t>No definitive identifier (no DOI, counts NR); URL conflict between the two repositories; screening conflict Pending (GPT, Test) vs Include-Supplementary (Claude).</t>
  </si>
  <si>
    <t>GitHub README (Details, download link), https://github.com/Oct-Sunn/Asphalt-Pavement-Distress-Dataset (accessed 2026-08-06) [Claude] | https://github.com/Oct-Sunn/Asphalt-Pavement-Distress-Dataset README; accessed 2026-08-06 [GPT] | https://github.com/zyf991121/DSWMamba; README dataset description checked 2026-08-01 [Test_Batch]</t>
  </si>
  <si>
    <t>High</t>
  </si>
  <si>
    <t>Confirm dataset release location and extent.</t>
  </si>
  <si>
    <t>3 of 3</t>
  </si>
  <si>
    <t>Unrated (0-5)</t>
  </si>
  <si>
    <t>1-5/5 (P)</t>
  </si>
  <si>
    <t>Pavement cracks (undifferentiated crack class)</t>
  </si>
  <si>
    <t>CrackBlock600k (same CiCS acquisition-system lineage); LEiS pavement crack image dataset (same repository)</t>
  </si>
  <si>
    <t>Claude_Github_001:GH-DS-019</t>
  </si>
  <si>
    <t>GitHub repository file listing, https://github.com/DrEdwardLee/Pavement-Crack-Dataset (accessed 2026-08-06)</t>
  </si>
  <si>
    <t>See Acquisition_Platform</t>
  </si>
  <si>
    <t>See Acquisition_Platform (reported: onboard)</t>
  </si>
  <si>
    <t>Pavement cracks (complex-background crack class)</t>
  </si>
  <si>
    <t>YOLO; TXT; mask</t>
  </si>
  <si>
    <t>Claude_Github_001:GH-DS-017</t>
  </si>
  <si>
    <t>GitHub README (Overview, Download, Annotations), https://github.com/SEU-zhc/complexPavementCrackDataset (accessed 2026-08-06)</t>
  </si>
  <si>
    <t>CQU-BPDD</t>
  </si>
  <si>
    <t>v1 [Claude] | Hugging Face image-folder mirror [GPT]</t>
  </si>
  <si>
    <t>Confirmed Match</t>
  </si>
  <si>
    <t>Identical image count (60,056) in all four records; same seven-distress taxonomy; same professional inspection-vehicle acquisition (China); GitHub (DearCaat) and Hugging Face (Dearcat/CQU-BPDD) records are from the same research group; same publication family (IOPLIN 10.1109/TITS.2021.3093389; PicT; WSPLIN).</t>
  </si>
  <si>
    <t>GitHub; Hugging Face</t>
  </si>
  <si>
    <t>Mirror: GitHub project page with data access; Hugging Face hosts an image-folder redistribution by the same group</t>
  </si>
  <si>
    <t>https://github.com/DearCaat/Pavement-Distress-Classification; https://github.com/DearCaat/CQU-BPDD</t>
  </si>
  <si>
    <t>IOPLIN (IEEE T-ITS);PicT (ACM MM 2022);WSPLIN (IEEE T-ITS);WSPLIN-IP (ICASSP 2021);DPSSL (Electronics Letters) — per repository listing [Claude] | 10.1109/TITS.2021.3093389; https://arxiv.org/abs/2203.16782 [GPT] | https://doi.org/10.1016/j.conbuildmat.2022.128622 [GPT] | https://github.com/DearCaat/CQU-BPDD; https://github.com/DearCaat/PicT [Test_Batch]</t>
  </si>
  <si>
    <t>10.1109/TITS.2021.3093389; 10.1016/j.conbuildmat.2022.128622</t>
  </si>
  <si>
    <t>https://arxiv.org/abs/2203.16782; https://doi.org/10.1016/j.conbuildmat.2022.128622; https://github.com/DearCaat/CQU-BPDD; https://github.com/DearCaat/PicT</t>
  </si>
  <si>
    <t>60056</t>
  </si>
  <si>
    <t>1200x900 px (each image covers a 2x3 m pavement patch) [Claude] | 1200×900 [GPT] | 1200x900 [Test_Batch]</t>
  </si>
  <si>
    <t>Different areas in southern China [Claude] | Southern China [GPT/Test_Batch] | Chongqing and source-paper collection areas [GPT]</t>
  </si>
  <si>
    <t>China; Different areas in southern China [Claude] | Southern China [GPT/Test_Batch] | Chongqing and source-paper collection areas [GPT]; Road environment: Highways [Claude] | Highway bituminous pavement [GPT] | Mixed [GPT] | Urban; highway [Test_Batch]</t>
  </si>
  <si>
    <t>In-vehicle cameras of professional pavement inspection vehicle [Claude] | Professional pavement inspection vehicle with in-vehicle cameras [GPT] | Vehicle-based pavement imagery; exact platform NR [GPT] | In-vehicle cameras on professional pavement inspection vehicle [Test_Batch]</t>
  </si>
  <si>
    <t>Different collection times [GPT] | Bright; low-light; shadow and interference conditions reported [GPT] | Different times [Test_Batch]</t>
  </si>
  <si>
    <t>Transverse crack;Massive crack;Alligator crack;Crack pouring (sealed crack);Longitudinal crack;Ravelling;Repair;Normal [Claude] | transverse crack; massive crack; alligator crack; crack pouring; longitudinal crack; ravelling; repair; normal [GPT] | Transverse_Crack; Massive_Crack; Alligator_Crack; Crack_Pouring; Longitudinal_Crack; Ravelling; Repair_Patch; Normal_No_Distress [GPT] | transverse crack; massive crack; alligator crack; crack pouring; longitudinal crack; ravelling; repair; normal pavement [Test_Batch]</t>
  </si>
  <si>
    <t>Seven distress classes plus normal (image-level labels) [Claude] | Seven distress categories plus normal [GPT] | Eight image-level pavement-condition classes; training set 10,137; test set 49,919 [GPT] | TC; MC; AC; CP; LC; Ravelling; Repair; Normal [Test_Batch]</t>
  </si>
  <si>
    <t>Image classification (distress detection and recognition) [Claude] | classification; weakly supervised localization [GPT] | Image_Classification [GPT] | Image classification; weakly supervised localization [Test_Batch]</t>
  </si>
  <si>
    <t>Image-level class labels [Claude] | image-level class labels; patch-level inference in published methods [GPT] | Image-folder class labels [GPT] | Folder labels; image-level labels [Test_Batch]</t>
  </si>
  <si>
    <t>Image-level labeling; weakly supervised patch-label methods [GPT] | Manual or source-curated class assignment; detailed procedure NR in the HF card [GPT] | Manual image-level labeling [Test_Batch]</t>
  </si>
  <si>
    <t>Challenging-condition subsets are documented; detailed inter-rater controls NR</t>
  </si>
  <si>
    <t>Classification;Weakly supervised distress recognition [Claude] | pavement distress classification; detection; recognition; weakly supervised localization [GPT] | Image_Classification [GPT] | classification; weakly supervised localization [Test_Batch]</t>
  </si>
  <si>
    <t>PicT; IOPLIN; WSPLIN family</t>
  </si>
  <si>
    <t>F1 and P@R reported in associated papers</t>
  </si>
  <si>
    <t>Include-Primary</t>
  </si>
  <si>
    <t>NR (custom terms in README) [Claude] | Custom non-commercial terms; repository code Apache-2.0 [GPT] | CC BY-NC-SA 4.0 [Test_Batch]</t>
  </si>
  <si>
    <t>Image-level labels only (no localization); non-commercial restriction; release year not stated on repo (recorded NR) [Claude] | Non-commercial restriction; image-level labels are weaker than full boxes/masks; exact collection dates and QC not reported [GPT] | License is not reported on the HF card; collection dates, exact camera specifications, resolution, weather, and engineering sensor metadata are incomplete. [GPT] | Image-level labels dominate; access mirrors and noncommercial terms reduce reproducibility for unrestricted reuse. [Test_Batch]</t>
  </si>
  <si>
    <t>ChatGPT_Github_001.xlsx; ChatGPT_Huggingface_001.xlsx; Claude_Github_001.xlsx; Github_Github_Test.xlsx</t>
  </si>
  <si>
    <t>ChatGPT_Github_001:GH-017; ChatGPT_Huggingface_001:HF005; Claude_Github_001:GH-DS-009; Github_Github_Test:GITHUB-008</t>
  </si>
  <si>
    <t>Image resolution: 1200x900 px (each image covers a 2x3 m pavement patch) (Claude) vs 1200×900 (GPT) vs 1200x900 (Test_Batch)</t>
  </si>
  <si>
    <t>Distress types: Transverse crack;Massive crack;Alligator crack;Crack pouring (sealed crack);Long (Claude) vs transverse crack; massive crack; alligator crack; crack pouring; longitudinal cr (GPT) vs Transverse_Crack; Massive_Crack; Alligator_Crack; Crack_Pouring; Longitudinal_Cr (GPT) vs transverse crack; massive crack; alligator crack; crack pouring; longitudinal cr (Test_Batch) || Label taxonomy: Seven distress classes plus normal (image-level labels) (Claude) vs Seven distress categories plus normal (GPT) vs Eight image-level pavement-condition classes; training set 10,137; test set 49,9 (GPT) vs TC; MC; AC; CP; LC; Ravelling; Repair; Normal (Test_Batch) || Annotation task: Image classification (distress detection and recognition) (Claude) vs classification; weakly supervised localization (GPT) vs Image_Classification (GPT) vs Image classification; weakly supervised localization (Test_Batch) || Annotation format: Image-level class labels (Claude) vs image-level class labels; patch-level inference in published methods (GPT) vs Image-folder class labels (GPT) vs Folder labels; image-level labels (Test_Batch) || Annotation method: Image-level labeling; weakly supervised patch-label methods (GPT) vs Manual or source-curated class assignment; detailed procedure NR in the HF card (GPT) vs Manual image-level labeling (Test_Batch)</t>
  </si>
  <si>
    <t>Release year: 2021 (GPT/Test_Batch) vs 2022 (GPT) || Version: v1 (Claude) vs Hugging Face image-folder mirror (GPT) || License: NR (custom terms in README) (Claude) vs Custom non-commercial terms; repository code Apache-2.0 (GPT) vs CC BY-NC-SA 4.0 (Test_Batch) || AI tasks: Classification;Weakly supervised distress recognition (Claude) vs pavement distress classification; detection; recognition; weakly supervised loca (GPT) vs Image_Classification (GPT) vs classification; weakly supervised localization (Test_Batch) || Acquisition platform: In-vehicle cameras of professional pavement inspection vehicle (Claude) vs Professional pavement inspection vehicle with in-vehicle cameras (GPT) vs Vehicle-based pavement imagery; exact platform NR (GPT) vs In-vehicle cameras on professional pavement inspection vehicle (Test_Batch) || Region/City: Different areas in southern China (Claude) vs Southern China (GPT/Test_Batch) vs Chongqing and source-paper collection areas (GPT) || Road environment: Highways (Claude) vs Highway bituminous pavement (GPT) vs Mixed (GPT) vs Urban; highway (Test_Batch) || Publications: IOPLIN (IEEE T-ITS);PicT (ACM MM 2022);WSPLIN (IEEE T-ITS);WSPLIN-IP (ICASSP 202 (Claude) vs 10.1109/TITS.2021.3093389; https://arxiv.org/abs/2203.16782 (GPT) vs https://doi.org/10.1016/j.conbuildmat.2022.128622 (GPT) vs https://github.com/DearCaat/CQU-BPDD; https://github.com/DearCaat/PicT (Test_Batch) || Acquisition platform: In-vehicle cameras of professional pavement inspection vehicle (Claude) vs Professional pavement inspection vehicle with in-vehicle cameras (GPT) vs Vehicle-based pavement imagery; exact platform NR (GPT) vs In-vehicle cameras on professional pavement inspection vehicle (Test_Batch) || Lighting_Conditions: Different collection times (GPT) vs Bright; low-light; shadow and interference conditions reported (GPT) vs Different times (Test_Batch) || Key_Limitations: Image-level labels only (no localization); non-commercial restriction; release y (Claude) vs Non-commercial restriction; image-level labels are weaker than full boxes/masks; (GPT) vs License is not reported on the HF card; collection dates, exact camera specifica (GPT) vs Image-level labels dominate; access mirrors and noncommercial terms reduce repro (Test_Batch)</t>
  </si>
  <si>
    <t>License conflict: custom non-commercial/research terms (GPT GitHub; Claude) vs CC BY-NC-SA 4.0 (Test batch) vs NR (HF card). Release year NR (Claude) vs 2021 (GPT, Test) vs 2022 (HF upload).</t>
  </si>
  <si>
    <t>GitHub README 'CQU-BPDD' section, https://github.com/DearCaat/Pavement-Distress-Classification (canonical dataset repo https://github.com/DearCaat/CQU-BPDD) (accessed 2026-08-06) [Claude] | https://github.com/DearCaat/Pavement-Distress-Classification README CQU-BPDD section and citations; accessed 2026-08-06 [GPT] | https://huggingface.co/datasets/Dearcat/CQU-BPDD — dataset card class definitions and train/test counts; https://doi.org/10.1016/j.conbuildmat.2022.128622 — source publication (accessed 2026-08-06) [GPT] | https://github.com/DearCaat/CQU-BPDD; README dataset description, class table, and download links; accessed 2026-08-01 [Test_Batch]</t>
  </si>
  <si>
    <t>Medium</t>
  </si>
  <si>
    <t>Confirm license terms with authors before non-academic use.</t>
  </si>
  <si>
    <t>4 of 4</t>
  </si>
  <si>
    <t>CQU-BPDD subsection identifies the originating paper, southern-China vehicle survey, 1200×900 images covering 2×3 m, named distress/normal classes, download routes and noncommercial data use. Repository Apache code license is not substituted for dataset terms.</t>
  </si>
  <si>
    <t>480x320 px (cropped)</t>
  </si>
  <si>
    <t>Five crack types (specific class names NR)</t>
  </si>
  <si>
    <t>Claude_Github_001:GH-DS-021</t>
  </si>
  <si>
    <t>GitHub README and repo zip file, https://github.com/0110TJY/Crack-Classification-Dataset (accessed 2026-08-06)</t>
  </si>
  <si>
    <t>Crack500; CRACK500; CRACK500 Kaggle Mirror</t>
  </si>
  <si>
    <t>FPHB release (with GAPs384/CFD/AEL/cracktree200 companion copies) [Claude] | Original plus cropped benchmark split [GPT] | Original 500-image release [Test_Batch]</t>
  </si>
  <si>
    <t>Same canonical repository (fyangneil/pavement-crack-detection); same US handheld-smartphone acquisition; same origin publication (10.1109/ICIP.2016.7533052) and FPHB paper (10.1109/TITS.2019.2891237); Kaggle record is an explicit mirror citing the same repository.</t>
  </si>
  <si>
    <t>Mirror: canonical GitHub repository; Kaggle page pauldavid22/crack50020220509t090436z001 is a community mirror</t>
  </si>
  <si>
    <t>https://www.kaggle.com/datasets/pauldavid22/crack50020220509t090436z001</t>
  </si>
  <si>
    <t>10.1109/ICIP.2016.7533052</t>
  </si>
  <si>
    <t>https://arxiv.org/abs/1901.06340;10.1109/ICIP.2016.7533052 (ICIP 2016 origin paper as cited in README) [Claude] | https://github.com/fyangneil/pavement-crack-detection [GPT/Test_Batch] | 10.1109/ICIP.2016.7533052; 10.1109/TITS.2019.2891237 [GPT]</t>
  </si>
  <si>
    <t>10.1109/ICIP.2016.7533052; 10.1109/TITS.2019.2891237</t>
  </si>
  <si>
    <t>https://arxiv.org/abs/1901.06340; https://github.com/fyangneil/pavement-crack-detection</t>
  </si>
  <si>
    <t>approx. 2000x1500 px (cropped patches also provided) [Claude] | Approximately 2,000 x 1,500 px; original images are high resolution [GPT] | Approximately 2000×1500 originals; cropped benchmark images [GPT] | 3264x2448 [Test_Batch]</t>
  </si>
  <si>
    <t>Temple University main campus, Philadelphia, PA [Claude] | Temple University campus;Philadelphia;Pennsylvania [GPT] | Temple University campus, Philadelphia [GPT] | Temple University campus, Philadelphia, Pennsylvania [Test_Batch]</t>
  </si>
  <si>
    <t>See Acquisition_Platform (reported: handheld)</t>
  </si>
  <si>
    <t>Natural lighting;shadows [GPT] | Natural outdoor lighting [Test_Batch]</t>
  </si>
  <si>
    <t>Pavement cracks (undifferentiated crack class) [Claude] | Crack [GPT] | pavement crack [GPT/Test_Batch]</t>
  </si>
  <si>
    <t>Semantic segmentation (pixel-level) [Claude] | Semantic segmentation [GPT/Test_Batch]</t>
  </si>
  <si>
    <t>Manual pixel-level annotation [Claude] | Manual pixel-level annotation by multiple annotators [GPT] | Manual annotation by multiple annotators [GPT] | Manual pixel annotation [Test_Batch]</t>
  </si>
  <si>
    <t>Multiple annotators reported in original dataset documentation; exact agreement protocol NR [GPT] | Multiple annotators; standardized train/validation/test crops [GPT] | Multiple annotators reported [Test_Batch]</t>
  </si>
  <si>
    <t>FPHBN (paper-reported) [Claude] | Feature Pyramid and Hierarchical Boosting Network [GPT]</t>
  </si>
  <si>
    <t>AIU (CRACK500 test)</t>
  </si>
  <si>
    <t>FPHBN (paper-reported) [Claude] | Feature Pyramid and Hierarchical Boosting Network [GPT]: AIU (CRACK500 test) = 0.560</t>
  </si>
  <si>
    <t>Include-Primary [Claude/GPT/Test_Batch] | Include-Supplementary [GPT]</t>
  </si>
  <si>
    <t>GAPs384 (companion release in same repository); CRACK500 with noisy annotation masks (derived); CombinedCrack and CrackSeg9k (compiled users)</t>
  </si>
  <si>
    <t>ChatGPT_Github_001.xlsx; Claude_Github_001.xlsx; GPT_Kaggle_001.xlsx; Github_Github_Test.xlsx</t>
  </si>
  <si>
    <t>ChatGPT_Github_001:GH-011; Claude_Github_001:GH-DS-003; GPT_Kaggle_001:KAG-014; Github_Github_Test:GITHUB-013</t>
  </si>
  <si>
    <t>Image count: 500 (Claude/GPT/Test_Batch) vs 3368 (GPT) || Image resolution: approx. 2000x1500 px (cropped patches also provided) (Claude) vs Approximately 2,000 x 1,500 px; original images are high resolution (GPT) vs Approximately 2000×1500 originals; cropped benchmark images (GPT) vs 3264x2448 (Test_Batch)</t>
  </si>
  <si>
    <t>Distress types: Pavement cracks (undifferentiated crack class) (Claude) vs Crack (GPT) vs pavement crack (GPT/Test_Batch) || Label taxonomy: Binary crack vs background (Claude) vs Pixel-level pavement-crack masks (GPT) vs crack pixels; background pixels (GPT) vs crack pixel mask (Test_Batch) || Annotation task: Semantic segmentation (pixel-level) (Claude) vs Semantic segmentation (GPT/Test_Batch) || Annotation format: Binary mask images (Claude) vs Images and pixel-level ground-truth masks; cropped derivatives also commonly dis (GPT) vs pixel masks (GPT/Test_Batch) || Annotation method: Manual pixel-level annotation (Claude) vs Manual pixel-level annotation by multiple annotators (GPT) vs Manual annotation by multiple annotators (GPT) vs Manual pixel annotation (Test_Batch) || Annotation QC: Multiple annotators reported in original dataset documentation; exact agreement  (GPT) vs Multiple annotators; standardized train/validation/test crops (GPT) vs Multiple annotators reported (Test_Batch)</t>
  </si>
  <si>
    <t>Release year: 2019 (Claude) vs 2022 (GPT) vs 2016 (GPT/Test_Batch) || Version: FPHB release (with GAPs384/CFD/AEL/cracktree200 companion copies) (Claude) vs Original plus cropped benchmark split (GPT) vs Original 500-image release (Test_Batch) || Access status: Direct_Download (Claude/GPT/Test_Batch) vs Registration (GPT) || AI tasks: Semantic segmentation;Crack detection (Claude/GPT/Test_Batch) vs crack segmentation; crack detection (GPT) || Acquisition platform: Hand-held smartphone (cell phone) (Claude) vs Cellphone cameras (GPT) vs Handheld smartphone (GPT) vs Smartphone camera (Test_Batch) || Reported model: FPHBN (paper-reported) (Claude) vs Feature Pyramid and Hierarchical Boosting Network (GPT) || Screening decision: Include-Primary (Claude/GPT/Test_Batch) vs Include-Supplementary (GPT) || Region/City: Temple University main campus, Philadelphia, PA (Claude) vs Temple University campus;Philadelphia;Pennsylvania (GPT) vs Temple University campus, Philadelphia (GPT) vs Temple University campus, Philadelphia, Pennsylvania (Test_Batch) || Road environment: Campus pavements (Claude) vs Campus pavement surfaces (GPT) vs Campus roads; asphalt; cement; gravel (GPT) vs Campus roads (Test_Batch) || Publications: https://arxiv.org/abs/1901.06340;10.1109/ICIP.2016.7533052 (ICIP 2016 origin pap (Claude) vs https://github.com/fyangneil/pavement-crack-detection (GPT/Test_Batch) vs 10.1109/ICIP.2016.7533052; 10.1109/TITS.2019.2891237 (GPT) || Acquisition platform: Hand-held smartphone (cell phone) (Claude) vs Cellphone cameras (GPT) vs Handheld smartphone (GPT) vs Smartphone camera (Test_Batch) || Lighting_Conditions: Natural lighting;shadows (GPT) vs Natural outdoor lighting (Test_Batch) || Key_Limitations: No explicit license; single-location smartphone capture limits diversity; data h (Claude) vs Kaggle is a mirror; original dataset predates the Kaggle upload, licensing is un (GPT) vs Crack-only; campus-scale geography; sparse engineering metadata; download links  (GPT) vs Small original set from one campus; later cropped-image totals should not be con (Test_Batch)</t>
  </si>
  <si>
    <t>Image-count convention conflict: 500 original images (Claude; GPT Kaggle; Test batch; literature workbooks 02/12/14/15) vs 3,368 including patch crops (GPT GitHub batch). Release year reported variously 2016/2019/2020/2022 (paper vs release vs mirror upload dates).</t>
  </si>
  <si>
    <t>GitHub README (dataset links, citations), https://github.com/fyangneil/pavement-crack-detection; FPHB paper arXiv:1901.06340 dataset section (accessed 2026-08-06) [Claude] | Kaggle mirror page; original CRACK500 project repository and published dataset descriptions, accessed 2026-08-06 [GPT] | https://github.com/fyangneil/pavement-crack-detection README CRACK500 citation/download instructions; GitHub benchmark descriptions; accessed 2026-08-06 [GPT] | https://github.com/fyangneil/pavement-crack-detection; README Crack500 dataset and download description; accessed 2026-08-01 [Test_Batch]</t>
  </si>
  <si>
    <t>State counting convention (originals vs crops) when using.</t>
  </si>
  <si>
    <t>README links CRACK500 archives and defines bright crack/background maps for evaluation. Training and testing instructions exist, but full environment/preprocessing evidence and source-image split independence were not established.</t>
  </si>
  <si>
    <t>Beijing</t>
  </si>
  <si>
    <t>pavement crack</t>
  </si>
  <si>
    <t>Manual contour annotation</t>
  </si>
  <si>
    <t>Github_Github_Test.xlsx</t>
  </si>
  <si>
    <t>Github_Github_Test:GITHUB-015</t>
  </si>
  <si>
    <t>https://github.com/cuilimeng/CrackForest-dataset; repository README and data files; accessed 2026-08-01</t>
  </si>
  <si>
    <t>Laser imaging</t>
  </si>
  <si>
    <t>Controlled laser illumination</t>
  </si>
  <si>
    <t>Manual pixel annotation</t>
  </si>
  <si>
    <t>Github_Github_Test:GITHUB-020</t>
  </si>
  <si>
    <t>https://github.com/qinnzou/DeepCrack; README dataset table and download links; accessed 2026-08-01</t>
  </si>
  <si>
    <t>Cracks and Potholes in Road Images; Cracks and Potholes in Road Images Dataset</t>
  </si>
  <si>
    <t>Identical count (2,235); same Brazilian DNIT road-survey imagery; GitHub project (biankatpas/Cracks-and-Potholes-in-Road-Images-Dataset) is the project page of the Mendeley deposit (10.17632/t576ydh9v8.4).</t>
  </si>
  <si>
    <t>GPT; GitHub_Test_Batch (tool UNK)</t>
  </si>
  <si>
    <t>GitHub; Mendeley Data</t>
  </si>
  <si>
    <t>Mendeley deposit with GitHub project page</t>
  </si>
  <si>
    <t>https://github.com/biankatpas/Cracks-and-Potholes-in-Road-Images-Dataset</t>
  </si>
  <si>
    <t>10.17632/t576ydh9v8.4</t>
  </si>
  <si>
    <t>https://biankatpas.github.io/Cracks-and-Potholes-in-Road-Images-Dataset/ [GPT] | https://github.com/biankatpas/Cracks-and-Potholes-in-Road-Images-Dataset [Test_Batch]</t>
  </si>
  <si>
    <t>https://biankatpas.github.io/Cracks-and-Potholes-in-Road-Images-Dataset/; https://github.com/biankatpas/Cracks-and-Potholes-in-Road-Images-Dataset</t>
  </si>
  <si>
    <t>Espírito Santo;Rio Grande do Sul;Federal District</t>
  </si>
  <si>
    <t>2014 to 2017</t>
  </si>
  <si>
    <t>Crack;Pothole</t>
  </si>
  <si>
    <t>Semantic segmentation [GPT] | Object detection; classification [Test_Batch]</t>
  </si>
  <si>
    <t>Manual delineation of road and defects [GPT] | Manual annotation [Test_Batch]</t>
  </si>
  <si>
    <t>Include-Primary [GPT] | Pending [Test_Batch]</t>
  </si>
  <si>
    <t>GPT_Mendeley_001.xlsx; Github_Github_Test.xlsx</t>
  </si>
  <si>
    <t>GPT_Mendeley_001:MEN-002; Github_Github_Test:GITHUB-026</t>
  </si>
  <si>
    <t>Label taxonomy: Road;crack;pothole masks (GPT) vs road; crack; pothole (Test_Batch) || Annotation task: Semantic segmentation (GPT) vs Object detection; classification (Test_Batch) || Annotation method: Manual delineation of road and defects (GPT) vs Manual annotation (Test_Batch)</t>
  </si>
  <si>
    <t>AI tasks: Semantic segmentation;Defect detection (GPT) vs classification; object detection (Test_Batch) || Screening decision: Include-Primary (GPT) vs Pending (Test_Batch) || Road environment: Highways (GPT) vs Roadway (Test_Batch) || Publications: https://biankatpas.github.io/Cracks-and-Potholes-in-Road-Images-Dataset/ (GPT) vs https://github.com/biankatpas/Cracks-and-Potholes-in-Road-Images-Dataset (Test_Batch) || Key_Limitations: Images collected partly before project years, but qualifying dataset release is  (GPT) vs Release year, formal license, exact annotation format, and authoritative count d (Test_Batch)</t>
  </si>
  <si>
    <t>Not found by Claude. Screening Include-Primary (GPT) vs Pending (Test batch).</t>
  </si>
  <si>
    <t>Mendeley dataset page, Description/Steps to reproduce/Licence, accessed 2026-08-05 [GPT] | https://github.com/biankatpas/Cracks-and-Potholes-in-Road-Images-Dataset; repository description; count cross-check from public dataset index; accessed 2026-08-01 [Test_Batch]</t>
  </si>
  <si>
    <t>Use Mendeley deposit as canonical.</t>
  </si>
  <si>
    <t>2 of 2</t>
  </si>
  <si>
    <t>Compiled and standardized from multiple datasets</t>
  </si>
  <si>
    <t>Compiled</t>
  </si>
  <si>
    <t>Compiled from multiple public crack datasets</t>
  </si>
  <si>
    <t>Github_Github_Test:GITHUB-022</t>
  </si>
  <si>
    <t>https://github.com/Dhananjay42/crackseg9k; README dataset composition and Harvard Dataverse link; accessed 2026-08-01</t>
  </si>
  <si>
    <t>README identifies CrackSeg9k version V4, two archive parts, multiple source surfaces, unified annotations and noise/distortion handling. Per-parent independence and component licenses require further evidence.</t>
  </si>
  <si>
    <t>https://ieeexplore.ieee.org/document/10557475;10.1016/j.autcon.2022.104436;10.1016/j.engappai.2022.105808</t>
  </si>
  <si>
    <t>10.1016/j.autcon.2022.104436; 10.1016/j.engappai.2022.105808</t>
  </si>
  <si>
    <t>https://ieeexplore.ieee.org/document/10557475</t>
  </si>
  <si>
    <t>Includes wet-surface scenes</t>
  </si>
  <si>
    <t>Includes night and shadow scenes</t>
  </si>
  <si>
    <t>NR (weakly supervised pipeline described in paper)</t>
  </si>
  <si>
    <t>Claude_Github_001:GH-DS-011</t>
  </si>
  <si>
    <t>GitHub README (description, download, citations), https://github.com/JZhongUTK/Pavement-crack-dataset (accessed 2026-08-06)</t>
  </si>
  <si>
    <t>Github_Github_Test:GITHUB-018</t>
  </si>
  <si>
    <t>Github_Github_Test:GITHUB-019</t>
  </si>
  <si>
    <t>10.1109/TIM.2025.3571118</t>
  </si>
  <si>
    <t>10.1109/TIM.2025.3571118; 10.1016/j.conbuildmat.2022.129226</t>
  </si>
  <si>
    <t>4624×3472; 8000×6000</t>
  </si>
  <si>
    <t>Hong Kong</t>
  </si>
  <si>
    <t>Various illumination</t>
  </si>
  <si>
    <t>crack; spalling; moisture</t>
  </si>
  <si>
    <t>Manual bounding-box annotation</t>
  </si>
  <si>
    <t>Duplicate and low-quality filtering described for companion data; detection QC details limited</t>
  </si>
  <si>
    <t>Det-Recon-Reg framework</t>
  </si>
  <si>
    <t>ChatGPT_Github_001.xlsx</t>
  </si>
  <si>
    <t>ChatGPT_Github_001:GH-013</t>
  </si>
  <si>
    <t>https://github.com/CUHK-USR-Group/Defect-Dataset README CUBIT-Det section; accessed 2026-08-06</t>
  </si>
  <si>
    <t>10.1016/j.neucom.2019.01.036</t>
  </si>
  <si>
    <t>https://doi.org/10.1016/j.neucom.2019.01.036</t>
  </si>
  <si>
    <t>Github_Github_Test:GITHUB-017</t>
  </si>
  <si>
    <t>https://github.com/yhlleo/DeepCrack; README dataset split, manual annotation, and usage statement; accessed 2026-08-01</t>
  </si>
  <si>
    <t>v1 (600-image release)</t>
  </si>
  <si>
    <t>Same repository (mqp2259/EdmCrack600); identical count (600); same Canadian collection; same publications (10.1016/j.autcon.2019.103018; 10.1016/j.conbuildmat.2020.119397).</t>
  </si>
  <si>
    <t>Single canonical GitHub repository</t>
  </si>
  <si>
    <t>10.1016/j.autcon.2019.103018 (Autom. Constr. 110:103018 per README citation);Constr. Build. Mater. 256:119397;J. Civ. Struct. Health Monit. 2020 (crowdsensing paper) [Claude] | 10.1016/j.autcon.2019.103018; 10.1016/j.conbuildmat.2020.119397 [GPT] | https://doi.org/10.1016/j.autcon.2019.103018; https://doi.org/10.1016/j.conbuildmat.2020.119397 [Test_Batch]</t>
  </si>
  <si>
    <t>10.1016/j.autcon.2019.103018; 10.1016/j.conbuildmat.2020.119397</t>
  </si>
  <si>
    <t>https://doi.org/10.1016/j.autcon.2019.103018; https://doi.org/10.1016/j.conbuildmat.2020.119397</t>
  </si>
  <si>
    <t>600</t>
  </si>
  <si>
    <t>Edmonton, Alberta</t>
  </si>
  <si>
    <t>Canada; Edmonton, Alberta; Road environment: Urban public roads [Claude] | Urban roads [GPT] | Urban [Test_Batch]</t>
  </si>
  <si>
    <t>NR (camera-based collection described in linked papers) [Claude] | Camera; moving-vehicle crowdsensing context reported in related work [GPT] | Vehicle-mounted GoPro HERO7 Black [Test_Batch]</t>
  </si>
  <si>
    <t>See Acquisition_Platform (reported: mounted)</t>
  </si>
  <si>
    <t>Varied</t>
  </si>
  <si>
    <t>Pavement cracks (undifferentiated crack class) [Claude] | pavement crack [GPT/Test_Batch]</t>
  </si>
  <si>
    <t>Binary crack vs background [Claude] | crack pixels; background pixels [GPT] | crack pixel mask [Test_Batch]</t>
  </si>
  <si>
    <t>Semantic segmentation (pixel-level) [Claude] | semantic segmentation [GPT/Test_Batch]</t>
  </si>
  <si>
    <t>Pixel-level annotation masks [Claude] | pixel-level masks [GPT] | Image-mask pairs [Test_Batch]</t>
  </si>
  <si>
    <t>Manual pixel-level annotation [Claude/GPT] | Manual pixel annotation [Test_Batch]</t>
  </si>
  <si>
    <t>All images described as pixel annotated</t>
  </si>
  <si>
    <t>Semantic segmentation;Crack detection [Claude/Test_Batch] | crack segmentation; crack identification [GPT]</t>
  </si>
  <si>
    <t>Densely connected deep neural network</t>
  </si>
  <si>
    <t>NR (custom terms in README) [Claude] | Custom academic-use terms [GPT]</t>
  </si>
  <si>
    <t>Non-commercial restriction; single city; Google Drive hosting (link liveness not independently re-tested); acquisition platform not stated in README [Claude] | Small single-city dataset; non-commercial restriction; limited acquisition and sensor metadata [GPT] | Small crack-only corpus and noncommercial restriction; no GPS/IMU or engineering-condition indices reported. [Test_Batch]</t>
  </si>
  <si>
    <t>ChatGPT_Github_001:GH-008; Claude_Github_001:GH-DS-004; Github_Github_Test:GITHUB-021</t>
  </si>
  <si>
    <t>Distress types: Pavement cracks (undifferentiated crack class) (Claude) vs pavement crack (GPT/Test_Batch) || Label taxonomy: Binary crack vs background (Claude) vs crack pixels; background pixels (GPT) vs crack pixel mask (Test_Batch) || Annotation task: Semantic segmentation (pixel-level) (Claude) vs semantic segmentation (GPT/Test_Batch) || Annotation format: Pixel-level annotation masks (Claude) vs pixel-level masks (GPT) vs Image-mask pairs (Test_Batch) || Annotation method: Manual pixel-level annotation (Claude/GPT) vs Manual pixel annotation (Test_Batch)</t>
  </si>
  <si>
    <t>Release year: 2019 (Claude) vs 2020 (GPT/Test_Batch) || License: NR (custom terms in README) (Claude) vs Custom academic-use terms (GPT) || AI tasks: Semantic segmentation;Crack detection (Claude/Test_Batch) vs crack segmentation; crack identification (GPT) || Acquisition platform: NR (camera-based collection described in linked papers) (Claude) vs Camera; moving-vehicle crowdsensing context reported in related work (GPT) vs Vehicle-mounted GoPro HERO7 Black (Test_Batch) || Road environment: Urban public roads (Claude) vs Urban roads (GPT) vs Urban (Test_Batch) || Publications: 10.1016/j.autcon.2019.103018 (Autom. Constr. 110:103018 per README citation);Con (Claude) vs 10.1016/j.autcon.2019.103018; 10.1016/j.conbuildmat.2020.119397 (GPT) vs https://doi.org/10.1016/j.autcon.2019.103018; https://doi.org/10.1016/j.conbuild (Test_Batch) || Acquisition platform: NR (camera-based collection described in linked papers) (Claude) vs Camera; moving-vehicle crowdsensing context reported in related work (GPT) vs Vehicle-mounted GoPro HERO7 Black (Test_Batch) || Key_Limitations: Non-commercial restriction; single city; Google Drive hosting (link liveness not (Claude) vs Small single-city dataset; non-commercial restriction; limited acquisition and s (GPT) vs Small crack-only corpus and noncommercial restriction; no GPS/IMU or engineering (Test_Batch)</t>
  </si>
  <si>
    <t>Acquisition detail conflict: Test batch states vehicle-mounted GoPro HERO7 Black; Claude records NR (camera-based per linked papers). Release year 2019 (Claude) vs 2020 (GPT, Test).</t>
  </si>
  <si>
    <t>GitHub README (description, download link, citation terms), https://github.com/mqp2259/EdmCrack600 (accessed 2026-08-06) [Claude] | https://github.com/mqp2259/EdmCrack600 README description, download link, usage restriction, citations; accessed 2026-08-06 [GPT] | https://github.com/mqp2259/EdmCrack600; README dataset count, annotation, publications, download, and use restriction; accessed 2026-08-01 [Test_Batch]</t>
  </si>
  <si>
    <t>Use as-is.</t>
  </si>
  <si>
    <t>README identifies 600 Edmonton pavement crack images, pixel-level targets, a download archive and a noncommercial restriction. Camera details in inventory sources were not established by the README.</t>
  </si>
  <si>
    <t>Same repository (fyangneil/pavement-crack-detection); identical count (384); same German professional inspection imagery derived from GAPs; same publication (10.1109/TITS.2019.2891237).</t>
  </si>
  <si>
    <t>Hosted in the same GitHub repository as CRACK500</t>
  </si>
  <si>
    <t>10.1109/TITS.2019.2891237</t>
  </si>
  <si>
    <t>10.1109/TITS.2019.2891237; 10.1109/IJCNN.2017.7966101 [GPT] | https://github.com/fyangneil/pavement-crack-detection [Test_Batch]</t>
  </si>
  <si>
    <t>10.1109/TITS.2019.2891237; 10.1109/IJCNN.2017.7966101</t>
  </si>
  <si>
    <t>1080x1920</t>
  </si>
  <si>
    <t>Manual selection and pixel-wise annotation [GPT] | Manual pixel annotation [Test_Batch]</t>
  </si>
  <si>
    <t>Curated crack-only subset of GAPs</t>
  </si>
  <si>
    <t>Feature Pyramid and Hierarchical Boosting Network</t>
  </si>
  <si>
    <t>Derived</t>
  </si>
  <si>
    <t>GAPs (German Asphalt Pavement Distress, 10.1109/IJCNN.2017.7966101)</t>
  </si>
  <si>
    <t>CRACK500; GAPs v1/v2 (see 02/12 literature workbooks)</t>
  </si>
  <si>
    <t>ChatGPT_Github_001.xlsx; Github_Github_Test.xlsx</t>
  </si>
  <si>
    <t>ChatGPT_Github_001:GH-012; Github_Github_Test:GITHUB-014</t>
  </si>
  <si>
    <t>Label taxonomy: crack pixels; background pixels (GPT) vs crack pixel mask (Test_Batch) || Annotation method: Manual selection and pixel-wise annotation (GPT) vs Manual pixel annotation (Test_Batch)</t>
  </si>
  <si>
    <t>Version: 384-image pixel-annotated subset (GPT) vs GAPs384 (Test_Batch) || AI tasks: crack segmentation (GPT) vs semantic segmentation; crack detection (Test_Batch) || Acquisition platform: Professional pavement inspection imagery derived from GAPs (GPT) vs Road inspection camera (Test_Batch) || Road environment: Asphalt pavement (GPT) vs Roadway (Test_Batch) || Publications: 10.1109/TITS.2019.2891237; 10.1109/IJCNN.2017.7966101 (GPT) vs https://github.com/fyangneil/pavement-crack-detection (Test_Batch) || Acquisition platform: Professional pavement inspection imagery derived from GAPs (GPT) vs Road inspection camera (Test_Batch) || Key_Limitations: Small crack-only subset; limited geographic and collection metadata (GPT) vs Small crack-only benchmark; license, detailed weather, and vehicle metadata are  (Test_Batch)</t>
  </si>
  <si>
    <t>Merged from 2 source records; no material conflicts beyond those listed.</t>
  </si>
  <si>
    <t>https://github.com/fyangneil/pavement-crack-detection README GAPs384 citations and download instructions; accessed 2026-08-06 [GPT] | https://github.com/fyangneil/pavement-crack-detection; README GAPs384 description and download link; accessed 2026-08-01 [Test_Batch]</t>
  </si>
  <si>
    <t>NR (paper under review)</t>
  </si>
  <si>
    <t>Pavement distress (classes NR)</t>
  </si>
  <si>
    <t>Object detection (benchmark for UAV-centric detection)</t>
  </si>
  <si>
    <t>Claude_Github_001:GH-DS-024</t>
  </si>
  <si>
    <t>GitHub README, https://github.com/chenxiang-web/DronePave-DfineX (accessed 2026-08-06)</t>
  </si>
  <si>
    <t>Verify pending/unresolved fields against the source record.</t>
  </si>
  <si>
    <t>Derived (metadata rubric)</t>
  </si>
  <si>
    <t>0 of 1</t>
  </si>
  <si>
    <t>Crack and Sealed Crack Dataset; Highway Crack and Sealed-Crack Dataset</t>
  </si>
  <si>
    <t>Same repository (CHDyshli/PavementCrackDetection); identical count (10,400); same crack/sealed-crack classes; GPT record cites 10.3390/app121910089.</t>
  </si>
  <si>
    <t>10.3390/app121910089 [GPT] | https://github.com/CHDyshli/PavementCrackDetection [Test_Batch]</t>
  </si>
  <si>
    <t>10.3390/app121910089</t>
  </si>
  <si>
    <t>Labeled instances [GPT] | Manual object annotation [Test_Batch]</t>
  </si>
  <si>
    <t>Thirteen detector baselines released</t>
  </si>
  <si>
    <t>ChatGPT_Github_001:GH-005; Github_Github_Test:GITHUB-029</t>
  </si>
  <si>
    <t>Annotation method: Labeled instances (GPT) vs Manual object annotation (Test_Batch)</t>
  </si>
  <si>
    <t>Screening decision: Include-Primary (GPT) vs Pending (Test_Batch) || Road environment: Highway asphalt pavement (GPT) vs Highway (Test_Batch) || Publications: 10.3390/app121910089 (GPT) vs https://github.com/CHDyshli/PavementCrackDetection (Test_Batch) || Acquisition platform: Highway condition monitoring vehicle (GPT) vs Highway pavement-condition monitoring vehicle (Test_Batch) || Key_Limitations: Only two target classes; license, geography, resolution, and collection dates no (GPT) vs Release year, geography, image resolution, license, and annotation format are un (Test_Batch)</t>
  </si>
  <si>
    <t>Screening conflict: Include-Primary (GPT) vs Pending (Test batch). Note: Claude excluded this repository as EX02_NOT_DATASET in its GitHub batch - an include-vs-exclude disagreement between tools.</t>
  </si>
  <si>
    <t>https://github.com/CHDyshli/PavementCrackDetection README section Crack and Sealed Crack Dataset; accessed 2026-08-06 [GPT] | https://github.com/CHDyshli/PavementCrackDetection; README image count, object count, classes, and monitoring-vehicle statement; accessed 2026-08-01 [Test_Batch]</t>
  </si>
  <si>
    <t>Verify data files are actually released in the repository.</t>
  </si>
  <si>
    <t>NR (citation entry in README is an empty placeholder)</t>
  </si>
  <si>
    <t>Iran</t>
  </si>
  <si>
    <t>Longitudinal crack (D00);Lateral/transverse crack (D10);Alligator crack (D20);Pothole (D40)</t>
  </si>
  <si>
    <t>YOLO TXT; YOLO; TXT</t>
  </si>
  <si>
    <t>Claude_Github_001:GH-DS-006</t>
  </si>
  <si>
    <t>GitHub README sections 1-2 and 5, https://github.com/IranRoadDamageDataset/IRRDD (accessed 2026-08-06)</t>
  </si>
  <si>
    <t>Dataset for: Asphalt pavement crack detection based on convolutional neural network and infrared thermography; IRFusionFormer RGB-T Pavement Crack Dataset</t>
  </si>
  <si>
    <t>Same Zenodo record 11624965 / DOI 10.5281/zenodo.11624965 (Claude GitHub batch, Claude Zenodo batch, CodeX); same publication (10.1109/TITS.2022.3142393); same visible+infrared+fusion crack segmentation content; Test-batch IRFusionFormer record (GITHUB-028) uses this data per the benchmark repository cross-reference - Probable for that member.</t>
  </si>
  <si>
    <t>Claude; CodeX; GitHub_Test_Batch (tool UNK)</t>
  </si>
  <si>
    <t>Mirror: Zenodo deposit linked from GitHub project (lfangyu09/IR-Crack-detection); IRFusionFormer benchmark repo redistributes/uses the same data</t>
  </si>
  <si>
    <t>https://github.com/lfangyu09/IR-Crack-detection; https://github.com/sheauhuu/IRFusionFormer</t>
  </si>
  <si>
    <t>https://zenodo.org/records/11624965</t>
  </si>
  <si>
    <t>10.5281/zenodo.11624965</t>
  </si>
  <si>
    <t>10.1109/TITS.2022.3142393;IRFusionFormer benchmark repo https://github.com/sheauhuu/IRFusionFormer [Claude] | https://doi.org/10.1109/TITS.2022.3142393 [Claude] | Fangyu Liu, Jian Liu, and Linbing Wang. "Asphalt pavement crack detection based on convolutional neural network and infrared thermography." IEEE Transactions on Intelligent Transportation Systems 23, no. 11 (2022): 22145-22155. https://doi.org/10.1109/TITS.2022.3142393. [CodeX] | https://github.com/sheauhuu/IRFusionFormer [Test_Batch]</t>
  </si>
  <si>
    <t>10.1109/TITS.2022.3142393</t>
  </si>
  <si>
    <t>https://github.com/sheauhuu/IRFusionFormer; https://doi.org/10.1109/TITS.2022.3142393</t>
  </si>
  <si>
    <t>640x480 px</t>
  </si>
  <si>
    <t>Infrared thermography</t>
  </si>
  <si>
    <t>Light and dark backgrounds; three capture periods per day [Claude] | Three periods in a day [CodeX]</t>
  </si>
  <si>
    <t>Pavement cracks (single and multi cracks; thin and thick) [Claude] | Crack [Claude/CodeX] | pavement crack [Test_Batch]</t>
  </si>
  <si>
    <t>Semantic segmentation [Claude/CodeX/Test_Batch] | Semantic_Segmentation [Claude]</t>
  </si>
  <si>
    <t>Manual annotation (Photoshop) [Claude] | Manual [Claude] | Manual pixel annotation [Test_Batch]</t>
  </si>
  <si>
    <t>Peer-reviewed publication (IEEE T-ITS) [Claude] | Underpinning peer-reviewed article in IEEE Transactions on Intelligent Transportation Systems provides the methodological quality record [Claude]</t>
  </si>
  <si>
    <t>FPN</t>
  </si>
  <si>
    <t>Accuracy; Computational complexity; Model complexity</t>
  </si>
  <si>
    <t>Include-Primary [Claude/CodeX] | Pending [Test_Batch]</t>
  </si>
  <si>
    <t>IRT Multiple-Type Distress Detection Dataset (sibling); IRT fatigue/severity classification datasets (siblings)</t>
  </si>
  <si>
    <t>Claude_Github_001.xlsx; Claude_Zendo_001.xlsx; CodeX_Zendo_001.xlsx; Github_Github_Test.xlsx</t>
  </si>
  <si>
    <t>Claude_Github_001:GH-DS-013; Claude_Zendo_001:ZEN-013; CodeX_Zendo_001:Zendo_001_D02; Github_Github_Test:GITHUB-028</t>
  </si>
  <si>
    <t>Image count: 448 (Claude) vs 369 (CodeX)</t>
  </si>
  <si>
    <t>Distress types: Pavement cracks (single and multi cracks; thin and thick) (Claude) vs Crack (Claude/CodeX) vs pavement crack (Test_Batch) || Label taxonomy: Manually annotated crack ground truth (Photoshop) (Claude) vs Binary ground-truth images (crack vs background) paired with visible, infrared a (Claude) vs Binary ground truth masks (CodeX) vs crack pixel mask (Test_Batch) || Annotation task: Semantic segmentation (Claude/CodeX/Test_Batch) vs Semantic_Segmentation (Claude) || Annotation format: Ground-truth mask images (Claude) vs Binary_Image_Mask (Claude) vs ZIP; Binary images (CodeX) vs Aligned RGB; thermal infrared; pixel masks (Test_Batch) || Annotation method: Manual annotation (Photoshop) (Claude) vs Manual (Claude) vs Manual pixel annotation (Test_Batch) || Annotation QC: Peer-reviewed publication (IEEE T-ITS) (Claude) vs Underpinning peer-reviewed article in IEEE Transactions on Intelligent Transport (Claude)</t>
  </si>
  <si>
    <t>Release year: 2022 (Claude) vs 2024 (Claude/CodeX/Test_Batch) || Version: Zenodo record 11624965 (Claude) vs v1 (CodeX) || Access status: Direct_Download (Claude/CodeX) vs UNK (Test_Batch) || License: NR (Zenodo record license not re-verified in this batch) (Claude) vs CC-BY-4.0 (Claude) vs Creative Commons Attribution 4.0 International (CodeX) || AI tasks: Semantic segmentation;RGB-T multimodal fusion (Claude) vs Semantic_Segmentation;Multimodal_Fusion (Claude) vs Semantic segmentation (CodeX) vs multimodal semantic segmentation; crack detection (Test_Batch) || Acquisition platform: Infrared thermography camera (visible + infrared + IR-Fusion imagery) (Claude) vs Vehicle_Mounted_Camera (Claude) vs Visible camera; Infrared thermography (CodeX) vs Aligned visible and infrared camera system (Test_Batch) || Screening decision: Include-Primary (Claude/CodeX) vs Pending (Test_Batch) || Road environment: Asphalt pavements; clean and rough, light and dark backgrounds; three periods in (Claude) vs Asphalt pavement (CodeX) vs Roadway (Test_Batch) || Publications: 10.1109/TITS.2022.3142393;IRFusionFormer benchmark repo https://github.com/sheau (Claude) vs https://doi.org/10.1109/TITS.2022.3142393 (Claude) vs Fangyu Liu, Jian Liu, and Linbing Wang. "Asphalt pavement crack detection based  (CodeX) vs https://github.com/sheauhuu/IRFusionFormer (Test_Batch) || Acquisition platform: Infrared thermography camera (visible + infrared + IR-Fusion imagery) (Claude) vs Vehicle_Mounted_Camera (Claude) vs Visible camera; Infrared thermography (CodeX) vs Aligned visible and infrared camera system (Test_Batch) || Lighting_Conditions: Light and dark backgrounds; three capture periods per day (Claude) vs Three periods in a day (CodeX) || Key_Limitations: 448 image sets (small); acquisition location not stated; Release_Year taken from (Claude) vs Image count, resolution and collection geography not reported in the Zenodo reco (Claude) vs Image count, resolution, site, and explicit QA process are not reported on the Z (CodeX) vs Dataset identity, data-access route, count, license, and collection geography re (Test_Batch)</t>
  </si>
  <si>
    <t>Image-count conflict: 448 (Claude GitHub batch) vs 369 (CodeX) vs NR (Claude Zenodo batch). Country: NR (Claude GitHub) vs United States on author-affiliation evidence only (Claude Zenodo).</t>
  </si>
  <si>
    <t>GitHub README sections 1-2, https://github.com/lfangyu09/IR-Crack-detection; benchmark description in https://github.com/sheauhuu/IRFusionFormer README (accessed 2026-08-06) [Claude] | Zenodo record https://zenodo.org/records/11624965 description (data component folder listing) + linked article DOI 10.1109/TITS.2022.3142393, accessed 2026-08-03 [Claude] | Zenodo record https://zenodo.org/records/11624965, Description; References; Files; Rights; accessed 2026-08-03 [CodeX] | https://github.com/sheauhuu/IRFusionFormer; README benchmark-dataset and RGB-infrared modality description; accessed 2026-08-01 [Test_Batch]</t>
  </si>
  <si>
    <t>Confirm image count from the Zenodo file inventory.</t>
  </si>
  <si>
    <t>Dataset for: Multiple-type distress detection in asphalt concrete pavement using infrared thermography and deep learning</t>
  </si>
  <si>
    <t>Same Zenodo record 11638443 / DOI in both records; same publication (10.1016/j.autcon.2024.105355); same multi-type IRT detection content.</t>
  </si>
  <si>
    <t>Mirror: Zenodo deposit linked from GitHub project (lfangyu09/IR-Crack-detection)</t>
  </si>
  <si>
    <t>https://zenodo.org/records/11638443</t>
  </si>
  <si>
    <t>10.5281/zenodo.11638443</t>
  </si>
  <si>
    <t>10.1016/j.autcon.2024.105355 [Claude] | https://doi.org/10.1016/j.autcon.2024.105355 [Claude]</t>
  </si>
  <si>
    <t>10.1016/j.autcon.2024.105355</t>
  </si>
  <si>
    <t>https://doi.org/10.1016/j.autcon.2024.105355</t>
  </si>
  <si>
    <t>Multiple distress types (multi-type detection per associated paper) [Claude] | Multiple_Distress_Types [Claude]</t>
  </si>
  <si>
    <t>Object detection [Claude] | Object_Detection [Claude]</t>
  </si>
  <si>
    <t>XML</t>
  </si>
  <si>
    <t>Manual</t>
  </si>
  <si>
    <t>Peer-reviewed publication (Automation in Construction) [Claude] | Underpinning peer-reviewed article in Automation in Construction (Elsevier) provides the methodological quality record [Claude]</t>
  </si>
  <si>
    <t>IRT Asphalt Pavement Crack Segmentation Dataset (sibling); IRT fatigue/severity datasets (siblings)</t>
  </si>
  <si>
    <t>Claude_Github_001.xlsx; Claude_Zendo_001.xlsx</t>
  </si>
  <si>
    <t>Claude_Github_001:GH-DS-014; Claude_Zendo_001:ZEN-012</t>
  </si>
  <si>
    <t>Distress types: Multiple distress types (multi-type detection per associated paper) (Claude) vs Multiple_Distress_Types (Claude) || Label taxonomy: Multi-type distress detection labels (Claude) vs PASCAL VOC object classes across visible, infrared and three visible/infrared fu (Claude) || Annotation task: Object detection (Claude) vs Object_Detection (Claude) || Annotation QC: Peer-reviewed publication (Automation in Construction) (Claude) vs Underpinning peer-reviewed article in Automation in Construction (Elsevier) prov (Claude)</t>
  </si>
  <si>
    <t>License: NR (Zenodo record license not re-verified in this batch) (Claude) vs CC-BY-4.0 (Claude) || AI tasks: Object detection;Multimodal (RGB + thermal) learning (Claude) vs Object_Detection;Multimodal_Fusion (Claude) || Acquisition platform: Infrared thermography camera (visible + infrared imagery) (Claude) vs Vehicle_Mounted_Camera (Claude) || Publications: 10.1016/j.autcon.2024.105355 (Claude) vs https://doi.org/10.1016/j.autcon.2024.105355 (Claude) || Acquisition platform: Infrared thermography camera (visible + infrared imagery) (Claude) vs Vehicle_Mounted_Camera (Claude) || Key_Limitations: Image count, class list, and format not stated in README (NR); niche thermograph (Claude) vs Image count, resolution and collection geography not reported in the Zenodo reco (Claude)</t>
  </si>
  <si>
    <t>Country: NR (GitHub batch) vs United States on author-affiliation evidence only (Zenodo batch).</t>
  </si>
  <si>
    <t>GitHub README section 1(1), https://github.com/lfangyu09/IR-Crack-detection (accessed 2026-08-06) [Claude] | Zenodo record https://zenodo.org/records/11638443 description (data component folder listing) + linked article DOI 10.1016/j.autcon.2024.105355, accessed 2026-08-03 [Claude]</t>
  </si>
  <si>
    <t>Kansas City LCMS Pavement Distress Dataset (type + severity, PCI-oriented); Kansas City LCMS Pavement Distress Dataset</t>
  </si>
  <si>
    <t>Same repository (neemajakisa/Pavement-Distress-Dataset); same LCMS survey-vehicle acquisition (United States); same arXiv paper (10.48550/arXiv.2310.08538); same instance-segmentation + PCI-estimation tasks.</t>
  </si>
  <si>
    <t>10.48550/arXiv.2310.08538</t>
  </si>
  <si>
    <t>10.48550/arXiv.2310.08538 [Claude/GPT] | https://doi.org/10.48550/arXiv.2310.08538 [Test_Batch]</t>
  </si>
  <si>
    <t>https://doi.org/10.48550/arXiv.2310.08538</t>
  </si>
  <si>
    <t>Preprint only (arXiv)</t>
  </si>
  <si>
    <t>Kansas City, Missouri</t>
  </si>
  <si>
    <t>Cracks by type with severity levels (per polygon annotations) [Claude] | cracks with type and severity [GPT] | pavement distress with type and severity [Test_Batch]</t>
  </si>
  <si>
    <t>Instance/semantic segmentation (polygons);PCI estimation [Claude] | instance segmentation; PCI estimation; multitask learning [GPT] | Instance segmentation; condition estimation [Test_Batch]</t>
  </si>
  <si>
    <t>JSON</t>
  </si>
  <si>
    <t>Polygon annotations [GPT] | Manual polygon annotation [Test_Batch]</t>
  </si>
  <si>
    <t>Image2PCI multitask framework</t>
  </si>
  <si>
    <t>ChatGPT_Github_001:GH-007; Claude_Github_001:GH-DS-010; Github_Github_Test:GITHUB-010</t>
  </si>
  <si>
    <t>Distress types: Cracks by type with severity levels (per polygon annotations) (Claude) vs cracks with type and severity (GPT) vs pavement distress with type and severity (Test_Batch) || Label taxonomy: Polygon annotations combining crack type and severity (PCI-aligned) (Claude) vs distress type; severity (GPT) vs distress type; distress severity (Test_Batch) || Annotation task: Instance/semantic segmentation (polygons);PCI estimation (Claude) vs instance segmentation; PCI estimation; multitask learning (GPT) vs Instance segmentation; condition estimation (Test_Batch) || Annotation format: JSON annotation files (Claude) vs JSON polygon annotations (GPT/Test_Batch) || Annotation method: Polygon annotations (GPT) vs Manual polygon annotation (Test_Batch)</t>
  </si>
  <si>
    <t>AI tasks: Segmentation;PCI estimation model training/benchmarking (Claude) vs instance segmentation; distress classification; severity estimation; PCI predict (GPT) vs instance segmentation; PCI estimation (Test_Batch) || Road environment: Public roads (top-down pavement surface views) (Claude) vs Urban roadway (GPT) vs Urban (Test_Batch) || Publications: 10.48550/arXiv.2310.08538 (Claude/GPT) vs https://doi.org/10.48550/arXiv.2310.08538 (Test_Batch) || Acquisition platform: Laser Crack Measurement System (LCMS) survey vehicle (Claude) vs Laser Crack Measurement System inspection vehicle (GPT) vs LCMS pavement survey vehicle (Test_Batch) || Key_Limitations: Image count not reported in README (NR); LCMS imagery differs from CAV camera vi (Claude) vs Image count, image resolution, license, and collection dates not reported on the (GPT) vs Image count, formal license, collection dates, and explicit PCI ground-truth fie (Test_Batch)</t>
  </si>
  <si>
    <t>Image count NR in all records.</t>
  </si>
  <si>
    <t>GitHub README (description, folder structure, citation), https://github.com/neemajakisa/Pavement-Distress-Dataset (accessed 2026-08-06) [Claude] | https://github.com/neemajakisa/Pavement-Distress-Dataset README dataset description, folder structure, citation and direct Drive route; accessed 2026-08-06 [GPT] | https://github.com/neemajakisa/Pavement-Distress-Dataset; README description, folder structure, and Google Drive link; accessed 2026-08-01 [Test_Batch]</t>
  </si>
  <si>
    <t>Verify image count from repository.</t>
  </si>
  <si>
    <t>CiCS pavement crack image dataset (same repository)</t>
  </si>
  <si>
    <t>Claude_Github_001:GH-DS-020</t>
  </si>
  <si>
    <t>Paper 'Enhancing automated health monitoring of road infrastructure through a hierarchical robust deep learning approach' (DOI not stated in README)</t>
  </si>
  <si>
    <t>Crack;Pothole;Sealed crack;Patch;Alligator crack;Utility cover;Expansion joint</t>
  </si>
  <si>
    <t>Claude_Github_001:GH-DS-023</t>
  </si>
  <si>
    <t>GitHub README (Introduction, Data collection, Acquisition), https://github.com/FwDeng/MTPDSD (accessed 2026-08-06)</t>
  </si>
  <si>
    <t>Paper 'Robust Nighttime Pavement Crack Detection via Task-Driven Enhancement' (venue/DOI not stated in README)</t>
  </si>
  <si>
    <t>Nighttime / low-light</t>
  </si>
  <si>
    <t>Crack detection (benchmark study)</t>
  </si>
  <si>
    <t>Claude_Github_001:GH-DS-018</t>
  </si>
  <si>
    <t>GitHub README, https://github.com/FXBIOVELSY/NightInspect-dataset (accessed 2026-08-06)</t>
  </si>
  <si>
    <t>https://arxiv.org/abs/2208.00775</t>
  </si>
  <si>
    <t>arXiv:2208.00775</t>
  </si>
  <si>
    <t>8680 (per 12_PavementScapes.xlsx)</t>
  </si>
  <si>
    <t>1024x2048 (per 12_PavementScapes.xlsx)</t>
  </si>
  <si>
    <t>six pavement damage classes</t>
  </si>
  <si>
    <t>Semantic segmentation; instance segmentation</t>
  </si>
  <si>
    <t>Github_Github_Test:GITHUB-031</t>
  </si>
  <si>
    <t>Test-batch record cites the arXiv paper (2208.00775); literature workbook 12_PavementScapes.xlsx documents the GitHub repository (tongzheng1992/Pavementscapes) with 4,000 images, 8,680 instances, 6 classes at 1024x2048 (China).</t>
  </si>
  <si>
    <t>https://arxiv.org/abs/2208.00775; dataset paper metadata; GitHub dataset-list references checked 2026-08-01</t>
  </si>
  <si>
    <t>Confirm data files are released in the GitHub repository.</t>
  </si>
  <si>
    <t>PaveSeg-Dataset; PaveSeg</t>
  </si>
  <si>
    <t>Preview v1 (100 of 2,400 images public) [Claude] | Preview plus request-based full set [GPT/Test_Batch]</t>
  </si>
  <si>
    <t>Same repository (FuturePave/PaveSeg-Dataset); same 2,400-image extent with 100-image preview; same seven semantic-segmentation classes; same request-based access.</t>
  </si>
  <si>
    <t>NR (associated paper listed as under review) [Claude] | Under-review paper cited in README [GPT] | https://github.com/FuturePave/PaveSeg-Dataset [Test_Batch]</t>
  </si>
  <si>
    <t>2400</t>
  </si>
  <si>
    <t>1280x1080 px [Claude] | 1280×1080 [GPT] | 1280x1080 [Test_Batch]</t>
  </si>
  <si>
    <t>Road environment: Pavements (7-category condition taxonomy) [Claude] | Pavement surface imagery [GPT] | Roadway [Test_Batch]</t>
  </si>
  <si>
    <t>Road-survey imagery</t>
  </si>
  <si>
    <t>7-class grayscale-coded pixel masks (values 30-210; background 0) [Claude] | background=0; crack=30; pothole=60; sealed crack=90; patch=120; alligator crack=150; utility cover=180; expansion joint=210 [GPT] | crack; pothole; sealed crack; patch; alligator crack; utility cover; expansion joint [Test_Batch]</t>
  </si>
  <si>
    <t>Grayscale mask images [Claude] | grayscale pixel masks [GPT] | Pixel masks [Test_Batch]</t>
  </si>
  <si>
    <t>Manual annotation by pavement maintenance experts [Claude] | Pixel-level labeling by pavement maintenance experts [GPT] | Manual expert annotation [Test_Batch]</t>
  </si>
  <si>
    <t>Expert annotators stated; formal QC NR [Claude] | Expert labeling; additional QC not reported [GPT] | Labeled by pavement maintenance experts [Test_Batch]</t>
  </si>
  <si>
    <t>Semantic segmentation [Claude/Test_Batch] | semantic segmentation; pavement condition recognition [GPT]</t>
  </si>
  <si>
    <t>Apache-2.0 (repository); full-data terms stated as non-commercial</t>
  </si>
  <si>
    <t>Only 100-image preview publicly downloadable; full 2,400-image set request-based; supporting paper under review [Claude] | Only 100-image preview directly public; full data request-based; geography and collection metadata not reported [GPT] | Only a 100-image preview is directly public; full-access decision, release date, and dataset license remain unresolved. [Test_Batch]</t>
  </si>
  <si>
    <t>ChatGPT_Github_001:GH-006; Claude_Github_001:GH-DS-015; Github_Github_Test:GITHUB-009</t>
  </si>
  <si>
    <t>Image resolution: 1280x1080 px (Claude) vs 1280×1080 (GPT) vs 1280x1080 (Test_Batch)</t>
  </si>
  <si>
    <t>Label taxonomy: 7-class grayscale-coded pixel masks (values 30-210; background 0) (Claude) vs background=0; crack=30; pothole=60; sealed crack=90; patch=120; alligator crack= (GPT) vs crack; pothole; sealed crack; patch; alligator crack; utility cover; expansion j (Test_Batch) || Annotation format: Grayscale mask images (Claude) vs grayscale pixel masks (GPT) vs Pixel masks (Test_Batch) || Annotation method: Manual annotation by pavement maintenance experts (Claude) vs Pixel-level labeling by pavement maintenance experts (GPT) vs Manual expert annotation (Test_Batch) || Annotation QC: Expert annotators stated; formal QC NR (Claude) vs Expert labeling; additional QC not reported (GPT) vs Labeled by pavement maintenance experts (Test_Batch)</t>
  </si>
  <si>
    <t>Version: Preview v1 (100 of 2,400 images public) (Claude) vs Preview plus request-based full set (GPT/Test_Batch) || AI tasks: Semantic segmentation (Claude/Test_Batch) vs semantic segmentation; pavement condition recognition (GPT) || Road environment: Pavements (7-category condition taxonomy) (Claude) vs Pavement surface imagery (GPT) vs Roadway (Test_Batch) || Publications: NR (associated paper listed as under review) (Claude) vs Under-review paper cited in README (GPT) vs https://github.com/FuturePave/PaveSeg-Dataset (Test_Batch) || Key_Limitations: Only 100-image preview publicly downloadable; full 2,400-image set request-based (Claude) vs Only 100-image preview directly public; full data request-based; geography and c (GPT) vs Only a 100-image preview is directly public; full-access decision, release date, (Test_Batch)</t>
  </si>
  <si>
    <t>Full release is request-based; associated paper under review (no citable DOI). License conflict: Apache-2.0 repository license vs NR for data.</t>
  </si>
  <si>
    <t>GitHub README (Dataset Description, Annotations, Data Access), https://github.com/FuturePave/PaveSeg-Dataset (accessed 2026-08-06) [Claude] | https://github.com/FuturePave/PaveSeg-Dataset README Dataset Description, Annotations, Data Access; accessed 2026-08-06 [GPT] | https://github.com/FuturePave/PaveSeg-Dataset; README overview, annotation description, preview, and access-request sections; accessed 2026-08-01 [Test_Batch]</t>
  </si>
  <si>
    <t>Re-check for full release and formal license.</t>
  </si>
  <si>
    <t>PaveSeg README enumerates seven distress classes plus background and grayscale codes, states expert annotators and noncommercial requests, and distinguishes a 100-image preview. The full request process is explicitly not yet supplied.</t>
  </si>
  <si>
    <t>Pavement Image Dataset (PID)</t>
  </si>
  <si>
    <t>Identical image count (7,237); same Google Street View acquisition; same publication family (10.1177/0361198120907283; arXiv 1910.11123 / 1904.07157).</t>
  </si>
  <si>
    <t>GitHub repository (Nan2020/PID-Pavement-Image-Dataset); Test-batch record cites the arXiv paper with metadata-only access</t>
  </si>
  <si>
    <t>https://arxiv.org/abs/1904.07157</t>
  </si>
  <si>
    <t>10.1177/0361198120907283; arXiv:1904.07157</t>
  </si>
  <si>
    <t>10.1177/0361198120907283; https://arxiv.org/abs/1910.11123 [GPT] | https://arxiv.org/abs/1904.07157 [Test_Batch]</t>
  </si>
  <si>
    <t>10.1177/0361198120907283</t>
  </si>
  <si>
    <t>https://arxiv.org/abs/1910.11123; https://arxiv.org/abs/1904.07157</t>
  </si>
  <si>
    <t>22</t>
  </si>
  <si>
    <t>640×640</t>
  </si>
  <si>
    <t>22 pavement sections</t>
  </si>
  <si>
    <t>See Acquisition_Platform (reported: top-down)</t>
  </si>
  <si>
    <t>Includes plain and shadowed views</t>
  </si>
  <si>
    <t>reflective crack; transverse crack; block crack; longitudinal crack; alligator crack; sealed transverse crack; sealed longitudinal crack; lane longitudinal crack; pothole [GPT] | nine pavement condition categories [Test_Batch]</t>
  </si>
  <si>
    <t>object detection; distress density quantification [GPT] | Object detection; classification [Test_Batch]</t>
  </si>
  <si>
    <t>Manual annotation using OpenLabeling [GPT] | Manual annotation [Test_Batch]</t>
  </si>
  <si>
    <t>Train/test split reported; baseline comparison with YOLOv2 and Faster R-CNN</t>
  </si>
  <si>
    <t>YOLOv2</t>
  </si>
  <si>
    <t>F1 score</t>
  </si>
  <si>
    <t>YOLOv2: F1 score = 0.84</t>
  </si>
  <si>
    <t>ChatGPT_Github_001:GH-010; Github_Github_Test:GITHUB-032</t>
  </si>
  <si>
    <t>Distress types: reflective crack; transverse crack; block crack; longitudinal crack; alligator c (GPT) vs nine pavement condition categories (Test_Batch) || Label taxonomy: Nine pavement distress categories (GPT) vs nine manually annotated pavement categories (Test_Batch) || Annotation task: object detection; distress density quantification (GPT) vs Object detection; classification (Test_Batch) || Annotation method: Manual annotation using OpenLabeling (GPT) vs Manual annotation (Test_Batch)</t>
  </si>
  <si>
    <t>Release year: 2020 (GPT) vs 2019 (Test_Batch) || Access status: Direct_Download (GPT) vs Metadata_Only (Test_Batch) || AI tasks: object detection; classification; distress density estimation (GPT) vs object detection; classification (Test_Batch) || Screening decision: Include-Primary (GPT) vs Pending (Test_Batch) || Road environment: Interstate and U.S. highways (GPT) vs Roadway (Test_Batch) || Publications: 10.1177/0361198120907283; https://arxiv.org/abs/1910.11123 (GPT) vs https://arxiv.org/abs/1904.07157 (Test_Batch) || Acquisition platform: Google Street View API (GPT) vs Google Street View imagery; top-down pavement imagery (Test_Batch) || Key_Limitations: Google Street View dependence; U.S.-only coverage; top-down images are paired bu (GPT) vs Public data route and reuse rights for source imagery were not verified; GitHub  (Test_Batch)</t>
  </si>
  <si>
    <t>Access conflict: Direct_Download via GitHub (GPT) vs Metadata_Only via arXiv route (Test batch).</t>
  </si>
  <si>
    <t>https://github.com/Nan2020/PID-Pavement-Image-Dataset README; arXiv 1910.11123 dataset section; accessed 2026-08-06 [GPT] | https://arxiv.org/abs/1904.07157; paper abstract and GitHub public-dataset list references; accessed 2026-08-01 [Test_Batch]</t>
  </si>
  <si>
    <t>Use GitHub repository route.</t>
  </si>
  <si>
    <t>Manual or converted bounding-box annotation</t>
  </si>
  <si>
    <t>Github_Github_Test:GITHUB-033</t>
  </si>
  <si>
    <t>https://github.com/jaygala24/pothole-detection; repository dataset count and YOLO-label description; accessed 2026-08-01</t>
  </si>
  <si>
    <t>Road environment: Urban; rural; unstructured roads</t>
  </si>
  <si>
    <t>Vehicle or road-facing camera</t>
  </si>
  <si>
    <t>road distress; wet road; gravel; atypical road region</t>
  </si>
  <si>
    <t>safe asphalt; distress; wet surface; gravel; atypical road region</t>
  </si>
  <si>
    <t>Manual semantic annotation</t>
  </si>
  <si>
    <t>semantic segmentation; drivable-region perception</t>
  </si>
  <si>
    <t>Designed primarily for road-region/drivability segmentation; distress taxonomy is coarse and not an engineering pavement-condition inventory.</t>
  </si>
  <si>
    <t>Github_Github_Test:GITHUB-030</t>
  </si>
  <si>
    <t>https://github.com/moatifbutt/r2s100k; README dataset scope, class description, and publication status; accessed 2026-08-01</t>
  </si>
  <si>
    <t>R2S100K README names road-region/drivability targets, email access and its clustering, annotation and pseudo-label workflow. It is not a calibrated pavement-management outcome dataset; domain geography and test independence need verification.</t>
  </si>
  <si>
    <t>10.1109/ICOM61675.2024.10652339</t>
  </si>
  <si>
    <t>https://doi.org/10.1109/ICOM61675.2024.10652339</t>
  </si>
  <si>
    <t>Malaysia</t>
  </si>
  <si>
    <t>Selangor; Kuala Lumpur</t>
  </si>
  <si>
    <t>road crack</t>
  </si>
  <si>
    <t>Instance segmentation; object detection</t>
  </si>
  <si>
    <t>TXT</t>
  </si>
  <si>
    <t>Manual instance-shape annotation</t>
  </si>
  <si>
    <t>Precise shape and orientation described; independent QC not reported</t>
  </si>
  <si>
    <t>Github_Github_Test:GITHUB-012</t>
  </si>
  <si>
    <t>https://github.com/ArselanAshraf/RCD-IIUM-Road-Crack-Detection-Dataset-; README location, annotation, and download sections; accessed 2026-08-01</t>
  </si>
  <si>
    <t>RDD2020: Smartphone-based Road Damage Dataset; RDD2020; RDD2020 (Road Damage Dataset 2020, GRDDC'2020); RDD2020: An Image Dataset for Smartphone-based Road Damage Detection and Classification; Road Damage Dataset 2020 (RDD2020)</t>
  </si>
  <si>
    <t>Same Mendeley DOI (10.17632/5ty2wb6gvg) across five records; identical image count (26,336) in four records; same countries (India; Japan; Czech Republic); same data article (10.1016/j.dib.2021.107133); GitHub sekilab repository is the project home.</t>
  </si>
  <si>
    <t>Duplicate deposit / project repository: canonical data on Mendeley Data; GitHub (sekilab) is the project distribution page; ChatGPT HF batch record points to the Mendeley deposit, not an HF-hosted copy</t>
  </si>
  <si>
    <t>https://github.com/sekilab/RoadDamageDetector; https://github.com/sekilab/RoadDamageDetector#road-damage-dataset-2020</t>
  </si>
  <si>
    <t>https://data.mendeley.com/datasets/5ty2wb6gvg/1; https://data.mendeley.com/datasets/5ty2wb6gvg/2</t>
  </si>
  <si>
    <t>10.17632/5ty2wb6gvg.1; 10.1016/j.dib.2021.107133; 10.17632/5ty2wb6gvg.2</t>
  </si>
  <si>
    <t>10.1016/j.dib.2021.107133;10.1016/j.autcon.2021.103935 [Claude] | 10.1016/j.dib.2021.107133; https://doi.org/10.1109/bigdata50022.2020.9377847 [Claude] | https://doi.org/10.1016/j.dib.2021.107133 [GPT] | https://doi.org/10.1016/j.dib.2021.107133;https://doi.org/10.1016/j.autcon.2021.103935;https://doi.org/10.1109/BigData50022.2020.9377790;https://doi.org/10.1111/mice.12387 [GPT] | 10.1016/j.dib.2021.107133; 10.1016/j.autcon.2021.103935; 10.1109/BigData50022.2020.9377790 [GPT] | https://doi.org/10.1016/j.dib.2021.107133; https://doi.org/10.1016/j.autcon.2021.103935 [Test_Batch]</t>
  </si>
  <si>
    <t>10.1016/j.dib.2021.107133; 10.1016/j.autcon.2021.103935; 10.1109/BigData50022.2020.9377790; 10.1109/bigdata50022.2020.9377847; 10.1111/mice.12387</t>
  </si>
  <si>
    <t>https://doi.org/10.1016/j.dib.2021.107133; https://doi.org/10.1109/bigdata50022.2020.9377847; https://doi.org/10.1016/j.autcon.2021.103935; https://doi.org/10.1109/BigData50022.2020.9377790</t>
  </si>
  <si>
    <t>Source-dependent [GPT] | Country-dependent; NR as a single canonical value [GPT]</t>
  </si>
  <si>
    <t>Japan;India;Czech Republic [Claude/Test_Batch] | India; Japan; Czech Republic [Claude/GPT]</t>
  </si>
  <si>
    <t>Multiple municipalities (Japan);Gurugram region (India);Czech municipalities — per data article [Claude] | Multiple cities/regions in the three participating countries [GPT] | Multiple cities and road networks [GPT]</t>
  </si>
  <si>
    <t>Mixed</t>
  </si>
  <si>
    <t>Longitudinal crack (D00);Transverse crack (D10);Alligator crack (D20);Pothole (D40) [Claude] | Longitudinal_Crack; Transverse_Crack; Alligator_Crack; Pothole [GPT] | Longitudinal crack;Transverse crack;Alligator crack;Pothole [GPT/Test_Batch]</t>
  </si>
  <si>
    <t>Object detection (bounding boxes) [Claude] | Object detection [Claude/Test_Batch] | Object_Detection [GPT] | Object detection;Classification [GPT]</t>
  </si>
  <si>
    <t>Pascal VOC; VOC XML; XML</t>
  </si>
  <si>
    <t>Manual annotation [Claude] | Manual bounding-box annotation under the Global Road Damage Detection Challenge workflow [GPT] | Manual annotation (reported in associated data paper) [GPT] | Manual bounding boxes and labels [GPT] | Manual bounding-box annotation [Test_Batch]</t>
  </si>
  <si>
    <t>Documented in Data-in-Brief data article [Claude] | Challenge curation and country-specific annotation review; full inter-annotator statistics not reported [GPT] | Challenge/data-paper validation [GPT]</t>
  </si>
  <si>
    <t>GRDDC'2020 top solutions (IEEE BigData Cup) [Claude] | Multiple GRDDC 2020 challenge solutions [GPT]</t>
  </si>
  <si>
    <t>F1</t>
  </si>
  <si>
    <t>RDD2019 (successor release)</t>
  </si>
  <si>
    <t>RDD2018; RDD2019; RDD2022; N-RDD2024 (derived)</t>
  </si>
  <si>
    <t>ChatGPT_Github_001.xlsx; ChatGPT_Huggingface_001.xlsx; Claude_Github_001.xlsx; Claude_Mendeley_001.xlsx; GPT_Mendeley_001.xlsx; Github_Github_Test.xlsx</t>
  </si>
  <si>
    <t>ChatGPT_Github_001:GH-003; ChatGPT_Huggingface_001:HF004; Claude_Github_001:GH-DS-002; Claude_Mendeley_001:MDL-002; GPT_Mendeley_001:MEN-001; Github_Github_Test:GITHUB-003</t>
  </si>
  <si>
    <t>Image count: 26336 (Claude/GPT) vs 26620 (Test_Batch) || Image resolution: Source-dependent (GPT) vs Country-dependent; NR as a single canonical value (GPT)</t>
  </si>
  <si>
    <t>Distress types: Longitudinal crack (D00);Transverse crack (D10);Alligator crack (D20);Pothole (D (Claude) vs Longitudinal_Crack; Transverse_Crack; Alligator_Crack; Pothole (GPT) vs Longitudinal crack;Transverse crack;Alligator crack;Pothole (GPT/Test_Batch) || Label taxonomy: Japanese road-damage code taxonomy D00/D10/D20/D40 (Claude) vs 4 damage classes; more than 31000 annotated damage instances (Claude) vs D00 longitudinal crack; D10 transverse crack; D20 alligator crack; D40 pothole;  (GPT) vs D00 longitudinal crack;D10 transverse crack;D20 alligator crack;D40 pothole (GPT) vs D00; D10; D20; D40 (GPT/Test_Batch) || Annotation task: Object detection (bounding boxes) (Claude) vs Object detection (Claude/Test_Batch) vs Object_Detection (GPT) vs Object detection;Classification (GPT) || Annotation format: PASCAL VOC XML (Claude/GPT/Test_Batch) vs Pascal VOC XML; image files (GPT) vs Bounding-box annotations;format NR on landing page (GPT) || Annotation method: Manual annotation (Claude) vs Manual bounding-box annotation under the Global Road Damage Detection Challenge  (GPT) vs Manual annotation (reported in associated data paper) (GPT) vs Manual bounding boxes and labels (GPT) vs Manual bounding-box annotation (Test_Batch) || Annotation QC: Documented in Data-in-Brief data article (Claude) vs Challenge curation and country-specific annotation review; full inter-annotator  (GPT) vs Challenge/data-paper validation (GPT)</t>
  </si>
  <si>
    <t>Release year: 2020 (Claude/GPT/Test_Batch) vs 2021 (Claude/GPT) || Version: RDD2020 (Mendeley v1) (Claude) vs 2 (Claude/GPT) vs RDD2020 / canonical public version (GPT) vs V1 (GPT/Test_Batch) || License: CC BY-SA 4.0 (images, per repository README) (Claude) vs CC BY-NC 3.0 (Claude/GPT) vs CC BY 4.0 (GPT) || Country: Japan;India;Czech Republic (Claude/Test_Batch) vs India; Japan; Czech Republic (Claude/GPT) || AI tasks: Object detection;Classification (Claude/Test_Batch) vs Detection; Classification (Claude) vs Object_Detection (GPT) vs Object detection;Classification;Benchmarking (GPT) vs object detection; classification; transfer learning; cross-country generalizatio (GPT) || Acquisition platform: Vehicle-mounted smartphone (Claude/GPT) vs Smartphone or vehicle-mounted camera; country-specific collection protocols (GPT) vs Smartphone-based vehicle collection (GPT) vs Smartphone mounted on vehicle (Test_Batch) || Reported model: GRDDC'2020 top solutions (IEEE BigData Cup) (Claude) vs Multiple GRDDC 2020 challenge solutions (GPT) || Region/City: Multiple municipalities (Japan);Gurugram region (India);Czech municipalities — p (Claude) vs Multiple cities/regions in the three participating countries (GPT) vs Multiple cities and road networks (GPT) || Road environment: Urban and rural public roads (Claude) vs Urban road; Rural road; Highway (Claude) vs Mixed (GPT) vs Urban;interurban;multi-country roads (GPT) vs Urban; rural; interurban (GPT) vs Urban; highway (Test_Batch) || Publications: 10.1016/j.dib.2021.107133;10.1016/j.autcon.2021.103935 (Claude) vs 10.1016/j.dib.2021.107133; https://doi.org/10.1109/bigdata50022.2020.9377847 (Claude) vs https://doi.org/10.1016/j.dib.2021.107133 (GPT) vs https://doi.org/10.1016/j.dib.2021.107133;https://doi.org/10.1016/j.autcon.2021. (GPT) vs 10.1016/j.dib.2021.107133; 10.1016/j.autcon.2021.103935; 10.1109/BigData50022.20 (GPT) vs https://doi.org/10.1016/j.dib.2021.107133; https://doi.org/10.1016/j.autcon.2021 (Test_Batch) || Acquisition platform: Vehicle-mounted smartphone (Claude/GPT) vs Smartphone or vehicle-mounted camera; country-specific collection protocols (GPT) vs Smartphone-based vehicle collection (GPT) vs Smartphone mounted on vehicle (Test_Batch) || Key_Limitations: Superseded by RDD2022 for multi-country coverage; image count not re-verified fr (Claude) vs CC BY-NC 3.0 blocks commercial deployment and some agency use; annotation format (Claude) vs Country-specific imaging protocols and image resolutions vary; collection dates  (GPT) vs No PCI/IRI or maintenance records; non-commercial license; collection dates and  (GPT) vs Four-class taxonomy; heterogeneous country image specifications; limited enginee (GPT) vs Limited sensor metadata and no reported PCI, IRI, or maintenance linkage. (Test_Batch)</t>
  </si>
  <si>
    <t>Image-count conflict: 26,336 (Claude GH/MDL; GPT GH/HF/MEN) vs 26,620 (Github_Github_Test GITHUB-003; also cited in 12_PavementScapes.xlsx). Mendeley version conflict: v1 (GPT GitHub batch) vs v2 (Claude and GPT Mendeley batches). License conflict: CC BY-SA 4.0 (GPT GitHub batch, images) vs CC BY-NC 3.0 (Mendeley record) vs CC BY 4.0 (GPT HF batch).</t>
  </si>
  <si>
    <t>GitHub README news items 2020-2021 and Mendeley link, https://github.com/sekilab/RoadDamageDetector; CRDDC citation list, https://crddc2022.sekilab.global/ (accessed 2026-08-06) [Claude] | Landing page https://data.mendeley.com/datasets/5ty2wb6gvg/2 (accessed 2026-08-03); DataCite record 10.17632/5ty2wb6gvg.2 rightsList and description; data paper https://doi.org/10.1016/j.dib.2021.107133 [Claude] | https://huggingface.co/datasets/ShixuanAn/RDD_2020 — dataset card links and statistics; https://data.mendeley.com/datasets/5ty2wb6gvg/1 — canonical data record; https://doi.org/10.1016/j.dib.2021.107133 — data paper (accessed 2026-08-06) [GPT] | Mendeley dataset page, Description/Steps to reproduce/Licence, accessed 2026-08-05 [GPT] | https://data.mendeley.com/datasets/5ty2wb6gvg/1 description and files; https://github.com/sekilab/RoadDamageDetector README RDD2020/GRDDC sections; accessed 202</t>
  </si>
  <si>
    <t>Confirm current Mendeley version and per-version image count; clarify license terms.</t>
  </si>
  <si>
    <t>6 of 6</t>
  </si>
  <si>
    <t>RDD2022 Multi-National Road Damage Dataset; RDD2022 (Road Damage Dataset 2022, CRDDC'2022); RDD 2022 (Kaggle mirror of Road Damage Dataset 2022); RDD 2022; Road Damage Dataset 2022 (RDD2022)</t>
  </si>
  <si>
    <t>RDD2022 v1 [Claude] | Version 1 [Claude] | v1 [GPT] | 2022 [Test_Batch]</t>
  </si>
  <si>
    <t>Same figshare DOI (10.6084/m9.figshare.21431547) in three records; identical canonical image count (47,420) in four records; same six-country coverage; same data article (10.1002/gdj3.260); Kaggle records reference the same aliabdelmenam/rdd-2022 mirror page.</t>
  </si>
  <si>
    <t>Mirror: canonical release on figshare (Other) linked from the sekilab GitHub project page; Kaggle page aliabdelmenam/rdd-2022 is a community mirror</t>
  </si>
  <si>
    <t>https://github.com/sekilab/RoadDamageDetector; https://github.com/sekilab/RoadDamageDetector#road-damage-dataset-2022</t>
  </si>
  <si>
    <t>https://www.kaggle.com/datasets/aliabdelmenam/rdd-2022</t>
  </si>
  <si>
    <t>https://figshare.com/articles/dataset/RDD2022_-_The_multi-national_Road_Damage_Dataset_released_through_CRDDC_2022/21431547</t>
  </si>
  <si>
    <t>10.6084/m9.figshare.21431547.v1; 10.6084/m9.figshare.21431547</t>
  </si>
  <si>
    <t>10.1002/gdj3.260;https://arxiv.org/abs/2209.08538;10.1016/j.aei.2024.102388 [Claude] | https://doi.org/10.48550/arXiv.2209.08538;https://doi.org/10.1109/BigData55660.2022.10021082 [GPT] | 10.1002/gdj3.260; 10.1109/BigData55660.2022.10021047; 10.1016/j.aei.2024.102388 [GPT] | https://doi.org/10.1002/gdj3.260 [Test_Batch]</t>
  </si>
  <si>
    <t>10.1002/gdj3.260; 10.1109/BigData55660.2022.10021047; 10.1016/j.aei.2024.102388; 10.48550/arXiv.2209.08538; 10.1109/BigData55660.2022.10021082</t>
  </si>
  <si>
    <t>https://arxiv.org/abs/2209.08538; https://doi.org/10.48550/arXiv.2209.08538; https://doi.org/10.1109/BigData55660.2022.10021082; https://doi.org/10.1002/gdj3.260</t>
  </si>
  <si>
    <t>47420 [Claude/GPT/Test_Batch] | 38416 [Claude]</t>
  </si>
  <si>
    <t>Varies by country subset (not uniform; see data article) [Claude] | Varied by country; 600 x 600 px reported for Japan and Czech Republic subsets [GPT] | Country and platform dependent [GPT]</t>
  </si>
  <si>
    <t>Japan;India;Czech Republic;Norway;United States;China [Claude/GPT/Test_Batch] | China;Czech Republic;India;Japan;Norway;United States [GPT]</t>
  </si>
  <si>
    <t>Multiple regions per country (country-specific subsets incl. China_MotorBike and China_Drone) [Claude] | Multiple regions [GPT] | Multiple national road networks [GPT]</t>
  </si>
  <si>
    <t>Japan;India;Czech Republic;Norway;United States;China [Claude/GPT/Test_Batch] | China;Czech Republic;India;Japan;Norway;United States [GPT]; Multiple regions per country (country-specific subsets incl. China_MotorBike and China_Drone) [Claude] | Multiple regions [GPT] | Multiple national road networks [GPT]; Road environment: Urban and rural public roads [Claude] | Urban;interurban;multi-country roads [GPT] | Urban; rural; highway; mixed [GPT] | Urban; highway [Test_Batch]</t>
  </si>
  <si>
    <t>Vehicle-mounted smartphone;Motorbike-mounted smartphone;UAV (China_Drone subset);high-resolution cameras (Norway) [Claude] | Smartphone or vehicle-mounted road imagery; platform varies by country [GPT] | Smartphone; motorcycle camera; drone; vehicle-mounted camera [GPT] | smartphone; road-survey camera [Test_Batch]</t>
  </si>
  <si>
    <t>After rain;snow-covered backgrounds;other conditions NR [GPT] | Mixed real-world [GPT]</t>
  </si>
  <si>
    <t>Daylight;overcast;variable outdoor lighting [GPT] | Mixed real-world [GPT]</t>
  </si>
  <si>
    <t>Longitudinal crack (D00);Transverse crack (D10);Alligator crack (D20);Pothole (D40) [Claude] | Longitudinal crack;Transverse crack;Alligator crack;Other corruption;Pothole [Claude] | Longitudinal crack;Transverse crack;Alligator crack;Pothole [GPT/Test_Batch]</t>
  </si>
  <si>
    <t>Japanese road-damage code taxonomy D00/D10/D20/D40 (additional codes present but out of challenge scope) [Claude] | 5-class YOLO taxonomy: longitudinal crack;transverse crack;alligator crack;other corruption;pothole [Claude] | D00 longitudinal crack;D10 transverse crack;D20 alligator crack;D40 pothole;more than 55,000 instances [GPT] | D00; D10; D20; D40 [GPT/Test_Batch]</t>
  </si>
  <si>
    <t>Object detection (bounding boxes) [Claude] | Object detection [Claude/Test_Batch] | Object detection;Classification [GPT]</t>
  </si>
  <si>
    <t>PASCAL VOC XML (label_map provided) [Claude] | YOLO TXT [Claude] | PASCAL VOC XML for annotated training data;test annotations withheld in challenge [GPT] | Pascal VOC XML [GPT/Test_Batch]</t>
  </si>
  <si>
    <t>Pascal VOC; VOC XML; YOLO TXT</t>
  </si>
  <si>
    <t>Manual annotation by contributing country teams [Claude] | Manual bounding-box annotation;country-specific collection protocols [GPT] | Manual bounding boxes and labels [GPT] | Manual bounding-box annotation [Test_Batch]</t>
  </si>
  <si>
    <t>Challenge-level curation across contributing teams; documented in data article [Claude] | Challenge curation and benchmark evaluation; detailed inter-annotator QC NR [GPT] | CRDDC 2022 challenge curation and published data article [GPT]</t>
  </si>
  <si>
    <t>Object detection;Classification [Claude/Test_Batch] | Object detection;Benchmarking [Claude] | Object detection;Classification;Benchmarking [GPT] | object detection; classification; domain generalization; cross-country transfer [GPT]</t>
  </si>
  <si>
    <t>CRDDC'2022 top-performing ensemble (challenge leaderboard) [Claude] | Ensemble of YOLO and Faster R-CNN series [GPT] | Multiple CRDDC/ORDDC challenge solutions [GPT]</t>
  </si>
  <si>
    <t>F1 (6-country test set) [Claude] | F1 score [GPT]</t>
  </si>
  <si>
    <t>CRDDC'2022 top-performing ensemble (challenge leaderboard) [Claude] | Ensemble of YOLO and Faster R-CNN series [GPT] | Multiple CRDDC/ORDDC challenge solutions [GPT]: F1 (6-country test set) [Claude] | F1 score [GPT] = 0.769 [Claude] | Approximately 76% in CRDDC'2022 challenge [GPT]</t>
  </si>
  <si>
    <t>Direct_Download [Claude/GPT/Test_Batch] | Registration [Claude/GPT]</t>
  </si>
  <si>
    <t>CC BY-SA 4.0 (images, per repository README) [Claude] | CC BY-SA 4.0 [Claude] | CC BY 4.0 [GPT]</t>
  </si>
  <si>
    <t>Test-set annotations withheld (challenge design); no per-image GPS/sensor metadata in public release; heterogeneous resolution across countries [Claude] | Country composition, sensor, resolution and collection dates are not stated on this Kaggle record; image counts are given as approximations ('~26,900/~5,758/~5,758'); split is not documented as the official CRDDC2022 split; no DOI on the Kaggle record [Claude] | Kaggle record is a repository mirror; sensor metadata, GPS, collection dates, and engineering condition indices are not consistently available across countries. [GPT] | Only four harmonized target classes; some country subsets have different platforms and resolutions; test labels are not uniformly released [GPT] | Cross-country labels are harmonized to four distress classes; engineering condition indices and rich synchronized sensors are not reported. [Test_Batch]</t>
  </si>
  <si>
    <t>RDD2020 (successor release)</t>
  </si>
  <si>
    <t>RDD2022ES (derived); N-RDD2024 (derived); UAV Road Defect Segmentation Dataset (derived); Unified Road Defect Dataset (compiled source)</t>
  </si>
  <si>
    <t>ChatGPT_Github_001.xlsx; Claude_Github_001.xlsx; Claude_Kaggle_001.xlsx; GPT_Kaggle_001.xlsx; Github_Github_Test.xlsx</t>
  </si>
  <si>
    <t>ChatGPT_Github_001:GH-004; Claude_Github_001:GH-DS-001; Claude_Kaggle_001:KG-001; GPT_Kaggle_001:KAG-001; Github_Github_Test:GITHUB-004</t>
  </si>
  <si>
    <t>Image count: 47420 (Claude/GPT/Test_Batch) vs 38416 (Claude) || Image resolution: Varies by country subset (not uniform; see data article) (Claude) vs Varied by country; 600 x 600 px reported for Japan and Czech Republic subsets (GPT) vs Country and platform dependent (GPT)</t>
  </si>
  <si>
    <t>Distress types: Longitudinal crack (D00);Transverse crack (D10);Alligator crack (D20);Pothole (D (Claude) vs Longitudinal crack;Transverse crack;Alligator crack;Other corruption;Pothole (Claude) vs Longitudinal crack;Transverse crack;Alligator crack;Pothole (GPT/Test_Batch) || Label taxonomy: Japanese road-damage code taxonomy D00/D10/D20/D40 (additional codes present but (Claude) vs 5-class YOLO taxonomy: longitudinal crack;transverse crack;alligator crack;other (Claude) vs D00 longitudinal crack;D10 transverse crack;D20 alligator crack;D40 pothole;more (GPT) vs D00; D10; D20; D40 (GPT/Test_Batch) || Annotation task: Object detection (bounding boxes) (Claude) vs Object detection (Claude/Test_Batch) vs Object detection;Classification (GPT) || Annotation format: PASCAL VOC XML (label_map provided) (Claude) vs YOLO TXT (Claude) vs PASCAL VOC XML for annotated training data;test annotations withheld in challeng (GPT) vs Pascal VOC XML (GPT/Test_Batch) || Annotation method: Manual annotation by contributing country teams (Claude) vs Manual bounding-box annotation;country-specific collection protocols (GPT) vs Manual bounding boxes and labels (GPT) vs Manual bounding-box annotation (Test_Batch) || Annotation QC: Challenge-level curation across contributing teams; documented in data article (Claude) vs Challenge curation and benchmark evaluation; detailed inter-annotator QC NR (GPT) vs CRDDC 2022 challenge curation and published data article (GPT)</t>
  </si>
  <si>
    <t>Release year: 2022 (Claude/GPT/Test_Batch) vs 2025 (Claude) || Version: RDD2022 v1 (Claude) vs Version 1 (Claude) vs v1 (GPT) vs 2022 (Test_Batch) || Access status: Direct_Download (Claude/GPT/Test_Batch) vs Registration (Claude/GPT) || License: CC BY-SA 4.0 (images, per repository README) (Claude) vs CC BY-SA 4.0 (Claude) vs CC BY 4.0 (GPT) || Country: Japan;India;Czech Republic;Norway;United States;China (Claude/GPT/Test_Batch) vs China;Czech Republic;India;Japan;Norway;United States (GPT) || AI tasks: Object detection;Classification (Claude/Test_Batch) vs Object detection;Benchmarking (Claude) vs Object detection;Classification;Benchmarking (GPT) vs object detection; classification; domain generalization; cross-country transfer (GPT) || Acquisition platform: Vehicle-mounted smartphone;Motorbike-mounted smartphone;UAV (China_Drone subset) (Claude) vs Smartphone or vehicle-mounted road imagery; platform varies by country (GPT) vs Smartphone; motorcycle camera; drone; vehicle-mounted camera (GPT) vs smartphone; road-survey camera (Test_Batch) || Reported model: CRDDC'2022 top-performing ensemble (challenge leaderboard) (Claude) vs Ensemble of YOLO and Faster R-CNN series (GPT) vs Multiple CRDDC/ORDDC challenge solutions (GPT) || Metric: F1 (6-country test set) (Claude) vs F1 score (GPT) || Metric value: 0.769 (Claude) vs Approximately 76% in CRDDC'2022 challenge (GPT) || Region/City: Multiple regions per country (country-specific subsets incl. China_MotorBike and (Claude) vs Multiple regions (GPT) vs Multiple national road networks (GPT) || Road environment: Urban and rural public roads (Claude) vs Urban;interurban;multi-country roads (GPT) vs Urban; rural; highway; mixed (GPT) vs Urban; highway (Test_Batch) || Publications: 10.1002/gdj3.260;https://arxiv.org/abs/2209.08538;10.1016/j.aei.2024.102388 (Claude) vs https://doi.org/10.48550/arXiv.2209.08538;https://doi.org/10.1109/BigData55660.2 (GPT) vs 10.1002/gdj3.260; 10.1109/BigData55660.2022.10021047; 10.1016/j.aei.2024.102388 (GPT) vs https://doi.org/10.1002/gdj3.260 (Test_Batch) || Acquisition platform: Vehicle-mounted smartphone;Motorbike-mounted smartphone;UAV (China_Drone subset) (Claude) vs Smartphone or vehicle-mounted road imagery; platform varies by country (GPT) vs Smartphone; motorcycle camera; drone; vehicle-mounted camera (GPT) vs smartphone; road-survey camera (Test_Batch) || Weather_Conditions: After rain;snow-covered backgrounds;other conditions NR (GPT) vs Mixed real-world (GPT) || Lighting_Conditions: Daylight;overcast;variable outdoor lighting (GPT) vs Mixed real-world (GPT) || Key_Limitations: Test-set annotations withheld (challenge design); no per-image GPS/sensor metada (Claude) vs Country composition, sensor, resolution and collection dates are not stated on t (Claude) vs Kaggle record is a repository mirror; sensor metadata, GPS, collection dates, an (GPT) vs Only four harmonized target classes; some country subsets have different platfor (GPT) vs Cross-country labels are harmonized to four distress classes; engineering condit (Test_Batch)</t>
  </si>
  <si>
    <t>Image-count conflict on the same Kaggle mirror: Claude reports 38,416 (mirror may be a partial re-upload) while GPT reports 47,420; canonical figshare count is 47,420. Kaggle mirror release year reported as 2025 (upload date) vs 2022 canonical.</t>
  </si>
  <si>
    <t>GitHub README 'RDD2022'/License sections, https://github.com/sekilab/RoadDamageDetector; figshare record 21431547; Wiley data article 10.1002/gdj3.260 (accessed 2026-08-06) [Claude] | Kaggle dataset page 'About Dataset' (split summary table, folder structure, class names) and Kaggle public API record /api/v1/datasets/view/aliabdelmenam/rdd-2022; accessed 2026-08-03 [Claude] | Kaggle dataset page; Figshare DOI record, Description and Licence; RDD2022 data paper and challenge paper, accessed 2026-08-06 [GPT] | https://figshare.com/articles/dataset/RDD2022_-_The_multi-national_Road_Damage_Dataset_released_through_CRDDC_2022/21431547 description; https://github.com/sekilab/RoadDamageDetector README CRDDC 2022 data and damage categories; accessed 2026-08-06 [GPT] | https://github.com/sekilab/RoadDamageDetector#road-damage-dataset-2022; README country-download table and dataset paper; accessed</t>
  </si>
  <si>
    <t>Treat figshare/GitHub release as canonical; audit Kaggle mirror completeness before use.</t>
  </si>
  <si>
    <t>5 of 5</t>
  </si>
  <si>
    <t>Retain the six-example review's RDD2022 assignments from the version 2.0 report and its Figshare v1/paper/official-README evidence. Current README corroborates six countries, four classes, withheld test labels and a release file list. The canonical release reports 47,420 images in six countries including China, with more than 55,000 damage instances. Dataset-level CC BY 4.0 supports A3 for noncommercial research, while third-party imagery rights remain U under A4/G3. Taxonomy and annotation instructions support L1/L2. Country/class counts support C2; country/equipment context and documented limits support R1/R2 and M1/M5. Version and file lists support V1. Withheld challenge-test annotations must not be represented as publicly available labels. Country folders do not establish route-independent splits.</t>
  </si>
  <si>
    <t>https://doi.org/10.6084/m9.figshare.21431547.v1</t>
  </si>
  <si>
    <t>Indonesia</t>
  </si>
  <si>
    <t>Various locations throughout Indonesia</t>
  </si>
  <si>
    <t>Longitudinal crack;Lateral/transverse crack;Alligator crack;Pothole;Other road damage</t>
  </si>
  <si>
    <t>Crowdsourced manual labeling by 44 contributors</t>
  </si>
  <si>
    <t>Collaborative multi-annotator labeling described; formal QC protocol NR</t>
  </si>
  <si>
    <t>Claude_Github_001:GH-DS-007</t>
  </si>
  <si>
    <t>GitHub README (Key Features, Datasets, class list), https://github.com/endurancechallengeindonesia/RDDC2024-ID (accessed 2026-08-06)</t>
  </si>
  <si>
    <t>Road Damage Dataset 2018</t>
  </si>
  <si>
    <t>Same sekilab/RoadDamageDetector repository section; identical image count (9,053); same smartphone-on-vehicle acquisition (Japan); same Maeda et al. publication (10.1111/mice.12387).</t>
  </si>
  <si>
    <t>Single canonical GitHub repository (sekilab)</t>
  </si>
  <si>
    <t>https://github.com/sekilab/RoadDamageDetector; https://github.com/sekilab/RoadDamageDetector#road-damage-dataset-2018</t>
  </si>
  <si>
    <t>10.1111/mice.12387; https://arxiv.org/abs/1801.09454 [GPT] | https://doi.org/10.1109/BigData.2018.8622589 [Test_Batch]</t>
  </si>
  <si>
    <t>10.1111/mice.12387; 10.1109/BigData.2018.8622589</t>
  </si>
  <si>
    <t>https://arxiv.org/abs/1801.09454; https://doi.org/10.1109/BigData.2018.8622589</t>
  </si>
  <si>
    <t>15435 (per 01_Asphalt.xlsx)</t>
  </si>
  <si>
    <t>600x600</t>
  </si>
  <si>
    <t>Japan</t>
  </si>
  <si>
    <t>Adachi; Chiba; Muroran; Ichihara; Sumida; Nagakute; Numazu</t>
  </si>
  <si>
    <t>Wide variety [GPT] | Varied [Test_Batch]</t>
  </si>
  <si>
    <t>longitudinal crack; transverse crack; alligator crack; pothole; other crack categories [GPT] | longitudinal crack; transverse crack; alligator crack; pothole; other road damage [Test_Batch]</t>
  </si>
  <si>
    <t>object detection; classification [GPT] | Object detection [Test_Batch]</t>
  </si>
  <si>
    <t>Manual bounding boxes and class labels [GPT] | Manual bounding-box annotation [Test_Batch]</t>
  </si>
  <si>
    <t>Privacy review; visible faces and license plates blurred</t>
  </si>
  <si>
    <t>SSD Inception V2; SSD MobileNet</t>
  </si>
  <si>
    <t>RDD2019; RDD2020; RDD2022 (same sekilab dataset family); Road Surface Damages (IEEE DataPort, 10.21227/nbdy-r451; see 01_Asphalt.xlsx)</t>
  </si>
  <si>
    <t>ChatGPT_Github_001:GH-001; Github_Github_Test:GITHUB-001</t>
  </si>
  <si>
    <t>Distress types: longitudinal crack; transverse crack; alligator crack; pothole; other crack cate (GPT) vs longitudinal crack; transverse crack; alligator crack; pothole; other road damag (Test_Batch) || Label taxonomy: Eight road-damage types (GPT) vs D00; D01; D10; D11; D20; D40; D43; D44 (Test_Batch) || Annotation task: object detection; classification (GPT) vs Object detection (Test_Batch) || Annotation method: Manual bounding boxes and class labels (GPT) vs Manual bounding-box annotation (Test_Batch)</t>
  </si>
  <si>
    <t>Version: v1 (GPT) vs 2018 (Test_Batch) || License: CC BY-SA 4.0 (images); MIT (repository code) (GPT) vs CC BY-SA 4.0 (Test_Batch) || AI tasks: object detection; classification; mobile inference (GPT) vs object detection; classification (Test_Batch) || Road environment: Urban; municipal roads (GPT) vs Urban; highway (Test_Batch) || Publications: 10.1111/mice.12387; https://arxiv.org/abs/1801.09454 (GPT) vs https://doi.org/10.1109/BigData.2018.8622589 (Test_Batch) || Acquisition platform: Smartphone mounted on car (GPT) vs Smartphone mounted on vehicle (Test_Batch) || Weather_Conditions: Wide variety (GPT) vs Varied (Test_Batch) || Lighting_Conditions: Wide variety (GPT) vs Varied (Test_Batch) || Key_Limitations: Single-country municipal coverage; no documented GPS/IMU/PCI/IRI package (GPT) vs Single-country original release; no reported engineering condition indices or ri (Test_Batch)</t>
  </si>
  <si>
    <t>Corroborated by literature workbook 01_Asphalt.xlsx (Maeda/UTokyo dataset: 9,053 images, 15,435 annotated instances, 8 damage classes).</t>
  </si>
  <si>
    <t>https://github.com/sekilab/RoadDamageDetector README sections Road Damage Dataset 2018, structure, privacy, license; accessed 2026-08-06 [GPT] | https://github.com/sekilab/RoadDamageDetector#road-damage-dataset-2018; README heading "Road Damage Dataset 2018"; accessed 2026-08-01 [Test_Batch]</t>
  </si>
  <si>
    <t>Use as-is; cite Maeda et al. 2018.</t>
  </si>
  <si>
    <t>Road Damage Dataset 2019</t>
  </si>
  <si>
    <t>Same sekilab repository section; same year, country (Japan), acquisition and publication (10.1111/mice.12561).</t>
  </si>
  <si>
    <t>10.1111/mice.12561 [GPT] | https://github.com/sekilab/RoadDamageDetector [Test_Batch]</t>
  </si>
  <si>
    <t>10.1111/mice.12561</t>
  </si>
  <si>
    <t>road cracks; potholes; road damage [GPT] | longitudinal crack; transverse crack; alligator crack; pothole [Test_Batch]</t>
  </si>
  <si>
    <t>object detection; synthetic augmentation [GPT] | Object detection [Test_Batch]</t>
  </si>
  <si>
    <t>Manual real-image annotations; GAN and Poisson-blending augmentation [GPT] | Manual bounding-box annotation [Test_Batch]</t>
  </si>
  <si>
    <t>Progressive growing GAN plus detector</t>
  </si>
  <si>
    <t>F-measure improvement</t>
  </si>
  <si>
    <t>Progressive growing GAN plus detector: F-measure improvement = 5% with small original set; 2% with larger original set</t>
  </si>
  <si>
    <t>Include-Supplementary [GPT] | Include-Primary [Test_Batch]</t>
  </si>
  <si>
    <t>RDD2018 (successor release)</t>
  </si>
  <si>
    <t>RDD2018; RDD2020; RDD2022; Road Surface Damages (IEEE DataPort 18,345-image 2019 release, 10.21227/nbdy-r451, listed in 01_Asphalt.xlsx, likely the same dataset generation)</t>
  </si>
  <si>
    <t>ChatGPT_Github_001:GH-002; Github_Github_Test:GITHUB-002</t>
  </si>
  <si>
    <t>Distress types: road cracks; potholes; road damage (GPT) vs longitudinal crack; transverse crack; alligator crack; pothole (Test_Batch) || Label taxonomy: Pascal VOC-compatible road damage labels (GPT) vs D00; D10; D20; D40 (Test_Batch) || Annotation task: object detection; synthetic augmentation (GPT) vs Object detection (Test_Batch) || Annotation method: Manual real-image annotations; GAN and Poisson-blending augmentation (GPT) vs Manual bounding-box annotation (Test_Batch)</t>
  </si>
  <si>
    <t>AI tasks: object detection; data augmentation (GPT) vs object detection; classification (Test_Batch) || Screening decision: Include-Supplementary (GPT) vs Include-Primary (Test_Batch) || Road environment: Municipal roads (GPT) vs Urban; highway (Test_Batch) || Publications: 10.1111/mice.12561 (GPT) vs https://github.com/sekilab/RoadDamageDetector (Test_Batch) || Acquisition platform: Vehicle-mounted smartphone; synthetic augmentation pipeline (GPT) vs Smartphone mounted on vehicle (Test_Batch) || Key_Limitations: Synthetic-augmented version; exact real/synthetic composition and license not re (GPT) vs Version-specific image count, license, and detailed collection conditions were n (Test_Batch)</t>
  </si>
  <si>
    <t>Image count not reported in either source record.</t>
  </si>
  <si>
    <t>https://github.com/sekilab/RoadDamageDetector README section Road Damage Dataset 2019; accessed 2026-08-06 [GPT] | https://github.com/sekilab/RoadDamageDetector#road-damage-dataset-2019; README heading "Road Damage Dataset 2019"; accessed 2026-08-01 [Test_Batch]</t>
  </si>
  <si>
    <t>Verify image count on sekilab repository.</t>
  </si>
  <si>
    <t>RoadRuttingDatasetSekilab; RoadRutting</t>
  </si>
  <si>
    <t>Same Mendeley DOI (10.17632/v8mbnvx8pv.1); identical count (949); same publication (10.1109/bigdata55660.2022.10020458); Test batch links both the sekilab/RoadRutting GitHub project and the Mendeley deposit.</t>
  </si>
  <si>
    <t>Claude; GitHub_Test_Batch (tool UNK)</t>
  </si>
  <si>
    <t>Mendeley deposit with GitHub project page (sekilab/RoadRutting)</t>
  </si>
  <si>
    <t>10.17632/v8mbnvx8pv.1</t>
  </si>
  <si>
    <t>10.1109/bigdata55660.2022.10020458 [Claude] | https://github.com/sekilab/RoadRutting; https://data.mendeley.com/datasets/v8mbnvx8pv/1 [Test_Batch]</t>
  </si>
  <si>
    <t>10.1109/bigdata55660.2022.10020458</t>
  </si>
  <si>
    <t>https://github.com/sekilab/RoadRutting; https://data.mendeley.com/datasets/v8mbnvx8pv/1</t>
  </si>
  <si>
    <t>Rutting</t>
  </si>
  <si>
    <t>Object detection; Semantic segmentation</t>
  </si>
  <si>
    <t>Manual annotation</t>
  </si>
  <si>
    <t>RDD family (same sekilab group)</t>
  </si>
  <si>
    <t>Claude_Mendeley_001.xlsx; Github_Github_Test.xlsx</t>
  </si>
  <si>
    <t>Claude_Mendeley_001:MDL-015; Github_Github_Test:GITHUB-011</t>
  </si>
  <si>
    <t>Label taxonomy: Object-level and pixel-level annotations for road rutting (Claude) vs rutting object; rutting pixel mask (Test_Batch)</t>
  </si>
  <si>
    <t>AI tasks: Detection; Segmentation (Claude) vs object detection; segmentation (Test_Batch) || Publications: 10.1109/bigdata55660.2022.10020458 (Claude) vs https://github.com/sekilab/RoadRutting; https://data.mendeley.com/datasets/v8mbn (Test_Batch) || Key_Limitations: Country, acquisition platform, resolution and collection dates are all unreporte (Claude) vs Small, single-distress dataset; collection location, resolution, license, and se (Test_Batch)</t>
  </si>
  <si>
    <t>Landing page https://data.mendeley.com/datasets/v8mbnvx8pv/1 (accessed 2026-08-03); associated article https://doi.org/10.1109/bigdata55660.2022.10020458; DataCite record 10.17632/v8mbnvx8pv.1 [Claude] | https://github.com/sekilab/RoadRutting; README dataset count, annotation types, and Mendeley link; accessed 2026-08-01 [Test_Batch]</t>
  </si>
  <si>
    <t>RTK Road Surface Semantic Segmentation GT (surface types and damages); Road Traversing Knowledge (RTK) Dataset; Road Traversing Knowledge (RTK)</t>
  </si>
  <si>
    <t>1 [Claude] | 701-frame GT release [Claude] | Version 1 [Claude]</t>
  </si>
  <si>
    <t>Same dataset family: Brazilian low-cost vehicle-mounted camera; 701-frame semantic-segmentation ground truth (GitHub thiagortk repository and Mendeley 10.17632/hssswvmjwf.1 both report 701); same publication (10.22456/2175-2745.91522; 10.1007/s10514-020-09964-3); Kaggle page (tallwinkingstan) is a re-upload.</t>
  </si>
  <si>
    <t>Claude; GPT</t>
  </si>
  <si>
    <t>GitHub; Mendeley Data; Kaggle</t>
  </si>
  <si>
    <t>Mirror: original project (GitHub) with Mendeley deposit of the GT frames and a community Kaggle re-upload</t>
  </si>
  <si>
    <t>https://github.com/thiagortk/Road-surface-detection-and-differentiation-considering-surface-damages</t>
  </si>
  <si>
    <t>https://www.kaggle.com/datasets/tallwinkingstan/road-traversing-knowledge-rtk-dataset</t>
  </si>
  <si>
    <t>10.1007/s10514-020-09964-3; 10.17632/hssswvmjwf.1</t>
  </si>
  <si>
    <t>10.22456/2175-2745.91522 [Claude] | 10.1007/s10514-020-09964-3 [Claude] | https://doi.org/10.22456/2175-2745.91522 [GPT]</t>
  </si>
  <si>
    <t>10.1007/s10514-020-09964-3; 10.22456/2175-2745.91522</t>
  </si>
  <si>
    <t>701 (561 train / 140 validation) [Claude] | 701 [Claude]</t>
  </si>
  <si>
    <t>561</t>
  </si>
  <si>
    <t>140</t>
  </si>
  <si>
    <t>352x288</t>
  </si>
  <si>
    <t>Country areas of Santa Catarina [Claude] | NR (RTK dataset, UFSC/LAPIX) [Claude] | Aguas Mornas and Santo Amaro da Imperatriz, Santa Catarina [Claude] | Águas Mornas;Santo Amaro da Imperatriz;Santa Catarina [GPT]</t>
  </si>
  <si>
    <t>Brazil; Country areas of Santa Catarina [Claude] | NR (RTK dataset, UFSC/LAPIX) [Claude] | Aguas Mornas and Santo Amaro da Imperatriz, Santa Catarina [Claude] | Águas Mornas;Santo Amaro da Imperatriz;Santa Catarina [GPT]; Road environment: Rural road; Unpaved road; Paved road [Claude] | Asphalt, paved (cobblestone) and unpaved roads [Claude] | Municipal and inter-town roads [Claude] | Asphalt;paved;unpaved roads [GPT]</t>
  </si>
  <si>
    <t>Low-cost vehicle-mounted camera [Claude] | Vehicle-mounted low-cost camera (RTK dataset frames) [Claude] | Vehicle-mounted low-cost webcam (HP Webcam HD-4110) on a moving vehicle [Claude] | HP Webcam HD-4110 on a moving vehicle [GPT]</t>
  </si>
  <si>
    <t>Good weather only</t>
  </si>
  <si>
    <t>Daylight only</t>
  </si>
  <si>
    <t>Pothole; Crack; Water puddle [Claude] | Pothole;Cracks/ruptures;Patch;Water-puddle (plus non-distress surface classes) [Claude] | Pothole [Claude] | Pothole;Surface irregularity;Poor road condition [GPT]</t>
  </si>
  <si>
    <t>12 classes covering road surface types (asphalt, paved, unpaved), damages (potholes, water puddles, cracks) and road markings (speed bumps, cat's eyes, markings) [Claude] | 12-class pixel taxonomy: background, asphalt, paved, unpaved, markings, speed-bump, cats-eye, storm-drain, patch, water-puddle, pothole, cracks [Claude] | Surface type x condition classes: asphalt (Good;Regular;Bad);paved (Regular;Bad);unpaved (Regular;Bad) [Claude] | Asphalt good;asphalt regular;asphalt bad;paved regular;paved bad;unpaved regular;unpaved bad [GPT]</t>
  </si>
  <si>
    <t>Semantic segmentation [Claude] | Image classification [Claude] | Image classification;Road-condition classification [GPT]</t>
  </si>
  <si>
    <t>Dense pixel-level annotations [Claude] | Pixel-level GT masks [Claude] | Frames grouped by class [Claude] | Image folders by surface and quality class; exact file format NR [GPT]</t>
  </si>
  <si>
    <t>Manual dense annotation [Claude] | Manual annotation [Claude] | Frame extraction and manual class assignment [GPT]</t>
  </si>
  <si>
    <t>Peer-reviewed publication (Autonomous Robots) [Claude] | Class-specific counts reported; independent label QC NR [GPT]</t>
  </si>
  <si>
    <t>Segmentation; Classification [Claude] | Semantic segmentation;Road surface classification [Claude] | Classification;Road surface type and condition recognition [Claude] | Classification;Road-surface quality recognition [GPT]</t>
  </si>
  <si>
    <t>CC BY 4.0 [Claude] | Unknown [Claude]</t>
  </si>
  <si>
    <t>Very low resolution (352x288) limits fine crack detection; only 701 annotated images; captured exclusively in good weather and daylight, so it cannot support robustness testing under rain, low light or glare; collection dates not reported [Claude] | Damage classes are part of a broader surface-type taxonomy; data hosted on external LAPIX/UFSC site (link liveness not independently re-tested) [Claude] | No licence declared, which is the main barrier to reuse; Image_Count is recorded as NR because the per-class frame list is cut off mid-sentence on the record - the six visible counts (asphalt Good 1,978; asphalt Regular 839; asphalt Bad 464; paved Regular 324; paved Bad 124; unpaved Regular 796) total 4,525 but at least the unpaved-Bad count is missing, so no total can be stated; condition grades are ordinal image-level labels, not engineering condition indices; no per-frame GPS [Claude] | Kaggle class counts sum to 5,118 frames, while a later publication reports 6,264 images; image count is therefore UNK. No PCI, IRI, GPS, or sensor synchronization is reported. [GPT]</t>
  </si>
  <si>
    <t>Pothole Mix (uses RTK-derived imagery)</t>
  </si>
  <si>
    <t>Claude_Github_001.xlsx; Claude_Kaggle_001.xlsx; Claude_Mendeley_001.xlsx; GPT_Kaggle_001.xlsx</t>
  </si>
  <si>
    <t>Claude_Github_001:GH-DS-012; Claude_Kaggle_001:KG-012; Claude_Mendeley_001:MDL-012; GPT_Kaggle_001:KAG-003</t>
  </si>
  <si>
    <t>Image count: 701 (561 train / 140 validation) (Claude) vs 701 (Claude)</t>
  </si>
  <si>
    <t>Distress types: Pothole; Crack; Water puddle (Claude) vs Pothole;Cracks/ruptures;Patch;Water-puddle (plus non-distress surface classes) (Claude) vs Pothole (Claude) vs Pothole;Surface irregularity;Poor road condition (GPT) || Label taxonomy: 12 classes covering road surface types (asphalt, paved, unpaved), damages (potho (Claude) vs 12-class pixel taxonomy: background, asphalt, paved, unpaved, markings, speed-bu (Claude) vs Surface type x condition classes: asphalt (Good;Regular;Bad);paved (Regular;Bad) (Claude) vs Asphalt good;asphalt regular;asphalt bad;paved regular;paved bad;unpaved regular (GPT) || Annotation task: Semantic segmentation (Claude) vs Image classification (Claude) vs Image classification;Road-condition classification (GPT) || Annotation format: Dense pixel-level annotations (Claude) vs Pixel-level GT masks (Claude) vs Frames grouped by class (Claude) vs Image folders by surface and quality class; exact file format NR (GPT) || Annotation method: Manual dense annotation (Claude) vs Manual annotation (Claude) vs Frame extraction and manual class assignment (GPT) || Annotation QC: Peer-reviewed publication (Autonomous Robots) (Claude) vs Class-specific counts reported; independent label QC NR (GPT)</t>
  </si>
  <si>
    <t>Release year: 2023 (Claude) vs 2020 (Claude) vs 2024 (Claude) vs 2019 (GPT) || Version: 1 (Claude) vs 701-frame GT release (Claude) vs Version 1 (Claude) || Access status: Direct_Download (Claude) vs Registration (Claude/GPT) || License: CC BY 4.0 (Claude) vs Unknown (Claude) || AI tasks: Segmentation; Classification (Claude) vs Semantic segmentation;Road surface classification (Claude) vs Classification;Road surface type and condition recognition (Claude) vs Classification;Road-surface quality recognition (GPT) || Acquisition platform: Low-cost vehicle-mounted camera (Claude) vs Vehicle-mounted low-cost camera (RTK dataset frames) (Claude) vs Vehicle-mounted low-cost webcam (HP Webcam HD-4110) on a moving vehicle (Claude) vs HP Webcam HD-4110 on a moving vehicle (GPT) || Region/City: Country areas of Santa Catarina (Claude) vs NR (RTK dataset, UFSC/LAPIX) (Claude) vs Aguas Mornas and Santo Amaro da Imperatriz, Santa Catarina (Claude) vs Águas Mornas;Santo Amaro da Imperatriz;Santa Catarina (GPT) || Road environment: Rural road; Unpaved road; Paved road (Claude) vs Asphalt, paved (cobblestone) and unpaved roads (Claude) vs Municipal and inter-town roads (Claude) vs Asphalt;paved;unpaved roads (GPT) || Publications: 10.22456/2175-2745.91522 (Claude) vs 10.1007/s10514-020-09964-3 (Claude) vs https://doi.org/10.22456/2175-2745.91522 (GPT) || Acquisition platform: Low-cost vehicle-mounted camera (Claude) vs Vehicle-mounted low-cost camera (RTK dataset frames) (Claude) vs Vehicle-mounted low-cost webcam (HP Webcam HD-4110) on a moving vehicle (Claude) vs HP Webcam HD-4110 on a moving vehicle (GPT) || Key_Limitations: Very low resolution (352x288) limits fine crack detection; only 701 annotated im (Claude) vs Damage classes are part of a broader surface-type taxonomy; data hosted on exter (Claude) vs No licence declared, which is the main barrier to reuse; Image_Count is recorded (Claude) vs Kaggle class counts sum to 5,118 frames, while a later publication reports 6,264 (GPT)</t>
  </si>
  <si>
    <t>GPT flagged RTK image-count evidence as conflicting (full RTK collection vs 701 annotated GT frames). Release year varies: 2019 (GPT, paper era) / 2020 (Claude GitHub) / 2023 (Mendeley deposit) / 2024 (Kaggle upload).</t>
  </si>
  <si>
    <t>Landing page https://data.mendeley.com/datasets/hssswvmjwf/1 (accessed 2026-08-03); associated article https://doi.org/10.22456/2175-2745.91522; DataCite record 10.17632/hssswvmjwf.1 [Claude] | GitHub README (class list, RTK dataset link, citation), https://github.com/thiagortk/Road-surface-detection-and-differentiation-considering-surface-damages (accessed 2026-08-06) [Claude] | Kaggle dataset page 'About Dataset' (camera model, collection cities and state, surface type and condition class list with per-class frame counts); Kaggle API record /api/v1/datasets/view/tallwinkingstan/road-traversing-knowledge-rtk-dataset; accessed 2026-08-03 [Claude] | Kaggle dataset page, class descriptions and acquisition notes; associated peer-reviewed publication, accessed 2026-08-06 [GPT]</t>
  </si>
  <si>
    <t>Distinguish full RTK image set from the 701-frame GT subset when using.</t>
  </si>
  <si>
    <t>RTK v1 describes annotated road/surface/damage classes, 701 annotated frames, Brazil rural collection restricted to daylight/good weather and CC BY 4.0. Counts from larger parent collections are not used as annotated sample counts.</t>
  </si>
  <si>
    <t>Transverse crack;Longitudinal crack;Net (alligator) crack</t>
  </si>
  <si>
    <t>Claude_Github_001:GH-DS-025</t>
  </si>
  <si>
    <t>GitHub README, https://github.com/SEUxia/Asphalt-pavement-crack-dataset (accessed 2026-08-06)</t>
  </si>
  <si>
    <t>Stereo camera</t>
  </si>
  <si>
    <t>Object detection; depth-assisted detection</t>
  </si>
  <si>
    <t>Manual object annotation</t>
  </si>
  <si>
    <t>Github_Github_Test:GITHUB-025</t>
  </si>
  <si>
    <t>https://github.com/achireistefan/Pothole-Detection; README dataset description, camera placement, sequences, and annotation classes; accessed 2026-08-01</t>
  </si>
  <si>
    <t>Semantic segmentation; 3D reconstruction</t>
  </si>
  <si>
    <t>Manual pixel annotation plus stereo-derived depth products</t>
  </si>
  <si>
    <t>Pothole-600 (Kaggle re-upload of the same research group's stereo pothole data) - Possible Match, not merged</t>
  </si>
  <si>
    <t>Github_Github_Test:GITHUB-024</t>
  </si>
  <si>
    <t>Same research group (R. Fan et al.) as Pothole-600; packaging differs; kept separate per possible-match rule.</t>
  </si>
  <si>
    <t>https://github.com/ruirangerfan/stereo_pothole_datasets; README folder definitions for RGB, disparity, labels, and point clouds; accessed 2026-08-01</t>
  </si>
  <si>
    <t>SUT-Crack; SUT Crack Object Detection Dataset</t>
  </si>
  <si>
    <t>Same Mendeley DOI (10.17632/gsbmknrhkv.6) in three records; same fixed-height (672 mm) acquisition; same data article (10.1016/j.dib.2023.109642); Test-batch GitHub record (large-road-damage-datalake/sut-crack-object-detection, 130 images) matches the 130-image segmentation/detection subset - Probable for that member.</t>
  </si>
  <si>
    <t>Canonical Mendeley deposit; unofficial GitHub re-packaging of the object-detection subset</t>
  </si>
  <si>
    <t>https://github.com/large-road-damage-datalake/sut-crack-object-detection</t>
  </si>
  <si>
    <t>10.1016/j.dib.2023.109642; 10.17632/gsbmknrhkv.6</t>
  </si>
  <si>
    <t>10.1016/j.dib.2023.109642 [Claude] | https://github.com/large-road-damage-datalake/sut-crack-object-detection [Test_Batch]</t>
  </si>
  <si>
    <t>10.1016/j.dib.2023.109642</t>
  </si>
  <si>
    <t>130</t>
  </si>
  <si>
    <t>3024x4032 (per 15_SUT_Crack.xlsx)</t>
  </si>
  <si>
    <t>Iran [Claude] | NR (depositor affiliation: Sharif University of Technology) [Claude]</t>
  </si>
  <si>
    <t>Tehran (Sharif University of Technology)</t>
  </si>
  <si>
    <t>See Acquisition_Platform (reported: fixed height)</t>
  </si>
  <si>
    <t>Diverse lighting incl. shadows [Claude] | Varying lighting conditions reported (values not enumerated) [Claude] | Varied lighting; shadows [CodeX]</t>
  </si>
  <si>
    <t>Pavement cracks (undifferentiated crack class) [Claude] | Crack (asphalt pavement) [Claude] | Asphalt pavement cracks [CodeX] | road crack [Test_Batch]</t>
  </si>
  <si>
    <t>Semantic segmentation;Object detection;Classification [Claude] | Image classification; Object detection; Semantic segmentation [Claude] | Classification; object detection; segmentation [CodeX] | Image classification; object detection [Test_Batch]</t>
  </si>
  <si>
    <t>Manual ground-truth annotation [Claude] | Manual annotation [Claude] | Manual labeling [Test_Batch]</t>
  </si>
  <si>
    <t>Published peer-reviewed data article (Data in Brief)</t>
  </si>
  <si>
    <t>Claude_Github_001.xlsx; Claude_Mendeley_001.xlsx; CodeX_Mendeley_001.xlsx; Github_Github_Test.xlsx</t>
  </si>
  <si>
    <t>Claude_Github_001:GH-DS-008; Claude_Mendeley_001:MDL-009; CodeX_Mendeley_001:MND-002; Github_Github_Test:GITHUB-027</t>
  </si>
  <si>
    <t>Image resolution: High-resolution originals; 200x200 px crops (&gt;25,000) for classification (Claude) vs Original full-size images plus 200x200 crops (Test_Batch)</t>
  </si>
  <si>
    <t>Distress types: Pavement cracks (undifferentiated crack class) (Claude) vs Crack (asphalt pavement) (Claude) vs Asphalt pavement cracks (CodeX) vs road crack (Test_Batch) || Label taxonomy: Crack ground truth for segmentation/detection; with-crack vs without-crack for c (Claude) vs Annotations supporting classification, object detection and segmentation; per-im (Claude) vs crack; non-crack; localization labels (Test_Batch) || Annotation task: Semantic segmentation;Object detection;Classification (Claude) vs Image classification; Object detection; Semantic segmentation (Claude) vs Classification; object detection; segmentation (CodeX) vs Image classification; object detection (Test_Batch) || Annotation method: Manual ground-truth annotation (Claude) vs Manual annotation (Claude) vs Manual labeling (Test_Batch)</t>
  </si>
  <si>
    <t>Version: Mendeley Data v6 (Claude) vs 6 (Claude/CodeX) || License: NR (Mendeley record license not re-verified in this batch) (Claude) vs CC BY 4.0 (Claude/CodeX) || Country: Iran (Claude) vs NR (depositor affiliation: Sharif University of Technology) (Claude) || AI tasks: Classification;Object detection;Semantic segmentation (Claude) vs Classification; Detection; Segmentation (Claude/CodeX) vs classification; object detection (Test_Batch) || Acquisition platform: Fixed-height camera (672 mm above pavement surface) (Claude) vs Camera at a fixed height of 672 mm above the pavement surface (Claude) vs Fixed-height camera, 672 mm above pavement surface (CodeX) vs Fixed-height road camera (Test_Batch) || Screening decision: Include-Primary (Claude/CodeX) vs Pending (Test_Batch) || Road environment: Asphalt pavements incl. oil stains, shadows, varied lighting (Claude) vs Urban road (Claude) vs Roadway (Test_Batch) || Publications: 10.1016/j.dib.2023.109642 (Claude) vs https://github.com/large-road-damage-datalake/sut-crack-object-detection (Test_Batch) || Acquisition platform: Fixed-height camera (672 mm above pavement surface) (Claude) vs Camera at a fixed height of 672 mm above the pavement surface (Claude) vs Fixed-height camera, 672 mm above pavement surface (CodeX) vs Fixed-height road camera (Test_Batch) || Lighting_Conditions: Diverse lighting incl. shadows (Claude) vs Varying lighting conditions reported (values not enumerated) (Claude) vs Varied lighting; shadows (CodeX) || Key_Limitations: Small base-image count (130); fixed-height acquisition differs from vehicle-moun (Claude) vs Image count and resolution are not stated on the canonical record; country of co (Claude) vs Image count, label taxonomy, annotation format, country, and collection dates NR (CodeX) vs Only 130 unique source images; release date, geography, license, and exact local (Test_Batch)</t>
  </si>
  <si>
    <t>Scale detail from 15_SUT_Crack.xlsx: 130 segmentation/detection images plus 25,563 classification images at 3024x4032. License conflict: CC BY 4.0 (Claude/CodeX Mendeley records) vs CC BY-NC-ND (15_SUT_Crack.xlsx) vs NR (Claude GitHub record). Country Iran (Claude GitHub; literature) vs NR-affiliation-only (Claude Mendeley).</t>
  </si>
  <si>
    <t>GitHub README with abstract and Mendeley link, https://github.com/alirezasepidbar/SUT-Crack-A-comprehensive-dataset-for-pavement-crack-detection-across-all-methods (accessed 2026-08-06) [Claude] | Landing page https://data.mendeley.com/datasets/gsbmknrhkv/6 (accessed 2026-08-03); data paper https://doi.org/10.1016/j.dib.2023.109642; DataCite record 10.17632/gsbmknrhkv.6 [Claude] | Mendeley Data landing page, Description; Files; Categories; Licence; accessed 2026-08-03 [CodeX] | https://github.com/large-road-damage-datalake/sut-crack-object-detection; README unique-image count, crop count, camera height, and geotag description; accessed 2026-08-01 [Test_Batch]</t>
  </si>
  <si>
    <t>Confirm license on current Mendeley version.</t>
  </si>
  <si>
    <t>UAPD Pavement Distress Dataset</t>
  </si>
  <si>
    <t>Same repository (tantantetetao/UAPD-Pavement-Distress-Dataset); identical count (3,151); same UAV acquisition and six distress classes; same publications (10.1016/j.autcon.2021.103991; 10.1016/j.autcon.2022.104436).</t>
  </si>
  <si>
    <t>10.1016/j.autcon.2021.103991;10.1016/j.autcon.2022.104436 [Claude] | https://doi.org/10.1016/j.autcon.2021.103991; https://doi.org/10.1016/j.autcon.2022.104436 [Test_Batch]</t>
  </si>
  <si>
    <t>10.1016/j.autcon.2021.103991; 10.1016/j.autcon.2022.104436</t>
  </si>
  <si>
    <t>https://doi.org/10.1016/j.autcon.2021.103991; https://doi.org/10.1016/j.autcon.2022.104436</t>
  </si>
  <si>
    <t>Transverse crack;Longitudinal crack;Oblique crack;Alligator crack;Pothole;Repair (patch) [Claude] | transverse crack; longitudinal crack; oblique crack; alligator crack; pothole; repair [Test_Batch]</t>
  </si>
  <si>
    <t>Manual annotation for model training (per paper abstract) [Claude] | Manual annotation [Test_Batch]</t>
  </si>
  <si>
    <t>YOLOv3 (paper-reported best of three detectors) [Claude] | YOLOv3 [Test_Batch]</t>
  </si>
  <si>
    <t>mAP</t>
  </si>
  <si>
    <t>YOLOv3 (paper-reported best of three detectors) [Claude] | YOLOv3 [Test_Batch]: mAP = 56.6%</t>
  </si>
  <si>
    <t>UAV-based imagery for road damage detection (Zenodo 11473582; uses UAPD taxonomy); UAV-PDD2023 (distinct UAV benchmark)</t>
  </si>
  <si>
    <t>Claude_Github_001.xlsx; Github_Github_Test.xlsx</t>
  </si>
  <si>
    <t>Claude_Github_001:GH-DS-005; Github_Github_Test:GITHUB-005</t>
  </si>
  <si>
    <t>Distress types: Transverse crack;Longitudinal crack;Oblique crack;Alligator crack;Pothole;Repair (Claude) vs transverse crack; longitudinal crack; oblique crack; alligator crack; pothole; r (Test_Batch) || Label taxonomy: Six distress categories (Claude) vs transverse crack; longitudinal crack; oblique crack; alligator crack; pothole; r (Test_Batch) || Annotation method: Manual annotation for model training (per paper abstract) (Claude) vs Manual annotation (Test_Batch)</t>
  </si>
  <si>
    <t>AI tasks: Object detection;Semantic segmentation (companion work) (Claude) vs object detection; segmentation (Test_Batch) || Acquisition platform: UAV with high-resolution camera (Claude) vs UAV high-resolution camera (Test_Batch) || Reported model: YOLOv3 (paper-reported best of three detectors) (Claude) vs YOLOv3 (Test_Batch) || Road environment: Asphalt pavements (UAV survey) (Claude) vs Roadway (Test_Batch) || Publications: 10.1016/j.autcon.2021.103991;10.1016/j.autcon.2022.104436 (Claude) vs https://doi.org/10.1016/j.autcon.2021.103991; https://doi.org/10.1016/j.autcon.2 (Test_Batch) || Acquisition platform: UAV with high-resolution camera (Claude) vs UAV high-resolution camera (Test_Batch) || Key_Limitations: Annotation format and geographic coverage not stated in README; Google Drive hos (Claude) vs Single acquisition mode and geography; formal data license and synchronized navi (Test_Batch)</t>
  </si>
  <si>
    <t>Country conflict: NR (Claude) vs China (Test batch).</t>
  </si>
  <si>
    <t>GitHub README (abstracts, download, class list, image count), https://github.com/tantantetetao/UAPD-Pavement-Distress-Dataset (accessed 2026-08-06) [Claude] | https://github.com/tantantetetao/UAPD-Pavement-Distress-Dataset; README dataset description and download section; accessed 2026-08-01 [Test_Batch]</t>
  </si>
  <si>
    <t>10.1109/TITS.2024.3424525;10.1016/j.autcon.2025.106141;10.1016/j.aei.2025.103384;10.1016/j.eswa.2024.125891</t>
  </si>
  <si>
    <t>10.1109/TITS.2024.3424525; 10.1016/j.autcon.2025.106141; 10.1016/j.aei.2025.103384; 10.1016/j.eswa.2024.125891</t>
  </si>
  <si>
    <t>NR (Chang'an University group)</t>
  </si>
  <si>
    <t>Peer-reviewed publications (IEEE T-ITS 2024; Autom. Constr. 2025)</t>
  </si>
  <si>
    <t>Claude_Github_001:GH-DS-026</t>
  </si>
  <si>
    <t>GitHub README (About, Competition) and repository file listing, https://github.com/SHAN-JH/UAV-CrackX-Datasets (accessed 2026-08-06)</t>
  </si>
  <si>
    <t>Long-Term Pavement Performance (LTPP) - Data</t>
  </si>
  <si>
    <t>Current annual InfoPave data access; formal release number NR</t>
  </si>
  <si>
    <t>Same Data.gov catalog record family (collection DOT-679) and FHWA InfoPave portal; same 1993 start, FHWA publisher, distress taxonomy (LTPP Distress Identification Manual), and photographic/manual survey acquisition.</t>
  </si>
  <si>
    <t>Single canonical Data.gov record (LTPP - Data) with companion catalog records excluded as duplicates by both tools</t>
  </si>
  <si>
    <t>https://catalog.data.gov/dataset/long-term-pavement-performance-ltpp-data</t>
  </si>
  <si>
    <t>https://infopave.fhwa.dot.gov/?Goto=Data; https://infopave.fhwa.dot.gov/; https://data.transportation.gov/d/45cf-eg6f</t>
  </si>
  <si>
    <t>679.2</t>
  </si>
  <si>
    <t>An Efficient and Explainable Ensemble Learning Model for Asphalt Pavement Condition Prediction Based on LTPP Dataset, IEEE T-ITS (2022), DOI 10.1109/TITS.2022.3164596 (publication using dataset; per 03_LTPP.xlsx)</t>
  </si>
  <si>
    <t>10.1109/TITS.2022.3164596</t>
  </si>
  <si>
    <t>https://www.fhwa.dot.gov/publications/research/infrastructure/pavements/ltpp/15049/007.cfm; https://www.fhwa.dot.gov/publications/research/infrastructure/pavements/ltpp/16027/index.cfm; https://infopave.fhwa.dot.gov/Reports/ExternalLTPPRelatedResearch</t>
  </si>
  <si>
    <t>2022</t>
  </si>
  <si>
    <t>Publication using the dataset (IRI prediction); LTPP itself is a program database</t>
  </si>
  <si>
    <t>2581</t>
  </si>
  <si>
    <t>United States; Canada</t>
  </si>
  <si>
    <t>2,500+ in-service test sections across U.S. states and Canadian provinces [Claude] | Multiple U.S. states and Canadian provinces [GPT]</t>
  </si>
  <si>
    <t>Daylight;uniform artificial illumination</t>
  </si>
  <si>
    <t>fatigue (alligator) cracking; longitudinal cracking; transverse cracking; block cracking; patching; potholes; surface deformation (rutting); surface defects (raveling; bleeding); joint deficiencies (PCC) [Claude] | Cracking;defects;deformations;joint deficiencies;rutting;faulting [GPT]</t>
  </si>
  <si>
    <t>Section-level distress quantification (type; severity; extent); distress mapping [Claude] | Engineering condition assessment [GPT]</t>
  </si>
  <si>
    <t>Manual field distress surveys; interpretation of photographic/film surveys by trained raters [Claude] | Trained-rater manual surveys;photographic surveys [GPT]</t>
  </si>
  <si>
    <t>Standardized DIM protocol; LTPP directives; documented variability/QA studies (FHWA-RD-99-074/075) [Claude] | Distress-rater accreditation;time-series checks;regional QC/QA review [GPT]</t>
  </si>
  <si>
    <t>LTPP Non-LTPP access collection (companion record, GPT Pending); LTPP Standard Data Release 35 (03_LTPP.xlsx)</t>
  </si>
  <si>
    <t>ChatGP_DataGov_001.xlsx; Claude_DataGov_001.xlsx</t>
  </si>
  <si>
    <t>ChatGP_DataGov_001:DGOV-DS-001; Claude_DataGov_001:DG-001</t>
  </si>
  <si>
    <t>Distress types: fatigue (alligator) cracking; longitudinal cracking; transverse cracking; block  (Claude) vs Cracking;defects;deformations;joint deficiencies;rutting;faulting (GPT) || Label taxonomy: LTPP Distress Identification Manual (FHWA-RD-03-031): distress type, severity, a (Claude) vs Distress type;severity;quantity;extent (GPT) || Annotation task: Section-level distress quantification (type; severity; extent); distress mapping (Claude) vs Engineering condition assessment (GPT) || Annotation format: Relational database tables; distress map and distress image files (PDF) per sect (Claude) vs Relational tables;distress maps;photographs;videos (GPT) || Annotation method: Manual field distress surveys; interpretation of photographic/film surveys by tr (Claude) vs Trained-rater manual surveys;photographic surveys (GPT) || Annotation QC: Standardized DIM protocol; LTPP directives; documented variability/QA studies (F (Claude) vs Distress-rater accreditation;time-series checks;regional QC/QA review (GPT)</t>
  </si>
  <si>
    <t>Access status: UNK (Claude) vs Direct_Download (GPT) || Region/City: 2,500+ in-service test sections across U.S. states and Canadian provinces (Claude) vs Multiple U.S. states and Canadian provinces (GPT) || Road environment: In-service highways; asphalt-surfaced and concrete-surfaced test sections (Claude) vs In-service highway test sections (GPT) || Publications: https://infopave.fhwa.dot.gov/Reports/ExternalLTPPRelatedResearch (curated libra (Claude) vs https://www.fhwa.dot.gov/publications/research/infrastructure/pavements/ltpp/150 (GPT) || Acquisition platform: Survey vehicle (photographic/film distress surveys); manual field surveys (Claude) vs Photographic survey;manual survey;survey vehicle;field instrumentation (GPT) || Key_Limitations: Imagery not packaged as a CV-ready corpus (distress maps/images distributed per  (Claude) vs Exact image count, exact active section count, image resolution, per-image label (GPT)</t>
  </si>
  <si>
    <t>Access conflict: Direct_Download (GPT) vs UNK (Claude; bulk-download authorization unverified). Image count, resolution and license NR in both. Corroborated by 03_LTPP.xlsx (SDR35: 2,699 observations, 246 sections; used for IRI prediction, 10.1109/TITS.2022.3164596).</t>
  </si>
  <si>
    <t>catalog.data.gov record 'Long-Term Pavement Performance (LTPP) - Data' incl. Complete Metadata table (https://catalog.data.gov/dataset/long-term-pavement-performance-ltpp-data); InfoPave 'Distress Maps and Images' page showing 2581 sections and PDF distress map/image downloads (https://infopave.fhwa.dot.gov/Media/DistressMapsImages); InfoPave navigation (View Inspection Videos; Ancillary Data Selection and Download; Standard Data Release; Transverse Profile Viewer; LTPP Section Mapping); accessed 2026-08-06 [Claude] | Data.gov complete metadata and distribution description: https://catalog.data.gov/dataset/long-term-pavement-performance-ltpp-data (accessed 2026-08-06); FHWA LTPP InfoPave features: https://www.fhwa.dot.gov/publications/research/infrastructure/pavements/ltpp/16027/index.cfm (Data Selector, map, visualization); FHWA data-collection chapter: https://www.fhwa.dot.gov/publicat</t>
  </si>
  <si>
    <t>Confirm InfoPave bulk-download requirements and current SDR number.</t>
  </si>
  <si>
    <t>Retain LTPP SDR39 documentation assignments from the version 2.0 report and FHWA primary-source packet. A selected engineering-data cohort and payload/linkage tests are still required. The portal reports 2,581 sections; this is a database-wide count, not a selected modeling cohort. Database schema, survey processes and quality-level documentation support L1–L4 and D1–D5 for engineering tables. Section IDs and acquisition groups support C1/C3, while sensor/record schema and processing support M1/M2/M3/M5. Defined measured IRI/condition/treatment records support E1/E2. Image-level quality checks cannot be inherited from PPDB table status. Select compatible observation times, survey status and held-out sections before E3 or G4 can pass.</t>
  </si>
  <si>
    <t>https://infopave.fhwa.dot.gov/Data/DataSelection</t>
  </si>
  <si>
    <t>Long-Term Pavement Performance (LTPP) - Non-LTTP</t>
  </si>
  <si>
    <t>679.10</t>
  </si>
  <si>
    <t>https://catalog.data.gov/dataset/long-term-pavement-performance-ltpp-non-lttp</t>
  </si>
  <si>
    <t>Long-Term Pavement Performance (LTPP) (companion access point)</t>
  </si>
  <si>
    <t>ChatGP_DataGov_001.xlsx</t>
  </si>
  <si>
    <t>ChatGP_DataGov_001:DGOV-DS-002</t>
  </si>
  <si>
    <t>Companion Data.gov access point kept Pending by GPT: dataset boundaries, image content, labels and access behavior unresolved.</t>
  </si>
  <si>
    <t>Data.gov complete metadata: https://catalog.data.gov/dataset/long-term-pavement-performance-ltpp-non-lttp (distribution description, identifier 679.10, public access metadata, modified 2026-03-27; accessed 2026-08-06)</t>
  </si>
  <si>
    <t>Resolve record boundaries and access behavior.</t>
  </si>
  <si>
    <t>Unrated</t>
  </si>
  <si>
    <t>10.17632/s3k75x9zf4.2</t>
  </si>
  <si>
    <t>914</t>
  </si>
  <si>
    <t>161</t>
  </si>
  <si>
    <t>640x640 (harmonised)</t>
  </si>
  <si>
    <t>Crack (longitudinal, transverse or alligator); Pothole; Surface erosion</t>
  </si>
  <si>
    <t>Claude_Mendeley_001.xlsx</t>
  </si>
  <si>
    <t>Claude_Mendeley_001:MDL-024</t>
  </si>
  <si>
    <t>Landing page https://data.mendeley.com/datasets/s3k75x9zf4/2 (accessed 2026-08-03); DataCite record 10.17632/s3k75x9zf4.2</t>
  </si>
  <si>
    <t>10.17632/7zzcmv2wz7.1</t>
  </si>
  <si>
    <t>Bangladesh</t>
  </si>
  <si>
    <t>Different lighting conditions (values not enumerated)</t>
  </si>
  <si>
    <t>Broken manhole; Uncovered or open manhole</t>
  </si>
  <si>
    <t>Claude_Mendeley_001:MDL-036</t>
  </si>
  <si>
    <t>Landing page https://data.mendeley.com/datasets/7zzcmv2wz7/1 (accessed 2026-08-03); DataCite record 10.17632/7zzcmv2wz7.1</t>
  </si>
  <si>
    <t>10.17632/tp95cdvgm8.1</t>
  </si>
  <si>
    <t>United Kingdom</t>
  </si>
  <si>
    <t>Wet;Dry</t>
  </si>
  <si>
    <t>Dry pothole;Water-filled pothole</t>
  </si>
  <si>
    <t>Annotated dataset; method NR</t>
  </si>
  <si>
    <t>GPT_Mendeley_001.xlsx</t>
  </si>
  <si>
    <t>GPT_Mendeley_001:MEN-007</t>
  </si>
  <si>
    <t>Mendeley dataset page, Description/Licence, accessed 2026-08-05</t>
  </si>
  <si>
    <t>10.17632/xnzhj3x8v4.2</t>
  </si>
  <si>
    <t>Crack (asphalt pavement)</t>
  </si>
  <si>
    <t>Claude_Mendeley_001:MDL-032</t>
  </si>
  <si>
    <t>Landing page https://data.mendeley.com/datasets/xnzhj3x8v4/2 (accessed 2026-08-03); DataCite record 10.17632/xnzhj3x8v4.2</t>
  </si>
  <si>
    <t>10.17632/88kdyyc73h.1</t>
  </si>
  <si>
    <t>1440x1440; 720x720; 360x360</t>
  </si>
  <si>
    <t>Manual labelling of original and split sub-images</t>
  </si>
  <si>
    <t>Constant camera height, field of view and image resolution maintained across the survey so crack widths and lengths remain comparable between images</t>
  </si>
  <si>
    <t>Claude_Mendeley_001:MDL-011</t>
  </si>
  <si>
    <t>Landing page https://data.mendeley.com/datasets/88kdyyc73h/1 (accessed 2026-08-03); DataCite record 10.17632/88kdyyc73h.1</t>
  </si>
  <si>
    <t>Attain</t>
  </si>
  <si>
    <t>Same Mendeley DOI (10.17632/nykrzdm74f.1); identical count (2,293); same Iranian windshield-smartphone acquisition.</t>
  </si>
  <si>
    <t>Single Mendeley deposit</t>
  </si>
  <si>
    <t>10.17632/nykrzdm74f.1</t>
  </si>
  <si>
    <t>10.1016/j.dib.2025.111715</t>
  </si>
  <si>
    <t>1920x1080; 3840x2160 (redistributed at 640x640 and 1479x508)</t>
  </si>
  <si>
    <t>Tehran</t>
  </si>
  <si>
    <t>Linear crack (longitudinal and transverse); Alligator crack; Block crack; Weathering; Lane or shoulder drop-off; Raveling; Patching and utility cut; Manhole; Faded marking; Pothole [Claude] | Longitudinal crack;Transverse crack;Alligator crack;Block crack;Weathering;Lane or shoulder drop-off;Raveling;Patching and utility cut;Manhole;Faded marking;Pothole [GPT]</t>
  </si>
  <si>
    <t>Object detection; Image classification [Claude] | Object detection;Classification [GPT]</t>
  </si>
  <si>
    <t>Pascal VOC; VOC XML; YOLO</t>
  </si>
  <si>
    <t>Images selected for labeling on image quality and pavement visibility (data paper); no inter-annotator agreement statistic reported</t>
  </si>
  <si>
    <t>Claude_Mendeley_001.xlsx; GPT_Mendeley_001.xlsx</t>
  </si>
  <si>
    <t>Claude_Mendeley_001:MDL-001; GPT_Mendeley_001:MEN-004</t>
  </si>
  <si>
    <t>Distress types: Linear crack (longitudinal and transverse); Alligator crack; Block crack; Weathe (Claude) vs Longitudinal crack;Transverse crack;Alligator crack;Block crack;Weathering;Lane  (GPT) || Label taxonomy: 10 distress classes with three severity levels (low; medium; high); 19761 annota (Claude) vs Ten pavement-distress categories reported; 19,761 instances (GPT) || Annotation task: Object detection; Image classification (Claude) vs Object detection;Classification (GPT)</t>
  </si>
  <si>
    <t>AI tasks: Detection; Classification (Claude) vs Object detection;Classification (GPT) || Road environment: Urban road; Arterial (Claude) vs Road pavement (GPT) || Acquisition platform: Vehicle-mounted smartphone (front and rear windshield) (Claude) vs Vehicle-mounted smartphones on front and rear windshields (GPT) || Key_Limitations: Single-city collection (Tehran) limits geographic transfer; no GPS, IMU or depth (Claude) vs Image resolution, annotation format, geography details, and quality-control proc (GPT)</t>
  </si>
  <si>
    <t>Claude cites data article 10.1016/j.dib.2025.111715; GPT reports NR for publications.</t>
  </si>
  <si>
    <t>Landing page https://data.mendeley.com/datasets/nykrzdm74f/1 (accessed 2026-08-03); data paper https://doi.org/10.1016/j.dib.2025.111715 sections 'Data Description' and 'Experimental Design, Materials and Methods'; DataCite record 10.17632/nykrzdm74f.1 [Claude] | Mendeley dataset page, Description/Licence, accessed 2026-08-05 [GPT]</t>
  </si>
  <si>
    <t>10.17632/rgymy6dwdd.1</t>
  </si>
  <si>
    <t>Bandung City, West Java</t>
  </si>
  <si>
    <t>Sunny; Cloudy; Wet or after rain</t>
  </si>
  <si>
    <t>Sunny (with severe sun glare); Cloudy; Night-time under artificial light</t>
  </si>
  <si>
    <t>Pothole</t>
  </si>
  <si>
    <t>Claude_Mendeley_001:MDL-020</t>
  </si>
  <si>
    <t>Landing page https://data.mendeley.com/datasets/rgymy6dwdd/1 (accessed 2026-08-03); DataCite record 10.17632/rgymy6dwdd.1</t>
  </si>
  <si>
    <t>Same Mendeley DOI (10.17632/ktnx66vtmc.1); same Bangladeshi object-detection content.</t>
  </si>
  <si>
    <t>10.17632/ktnx66vtmc.1</t>
  </si>
  <si>
    <t>Multiple resolutions; exact values NR</t>
  </si>
  <si>
    <t>Multiple roads; exact regions NR</t>
  </si>
  <si>
    <t>Various daylight conditions</t>
  </si>
  <si>
    <t>Pothole; Broken road surface; Crack (all collapsed into one class) [Claude] | Pothole;Crack;Broken road surface;Normal road [GPT]</t>
  </si>
  <si>
    <t>Claude_Mendeley_001:MDL-029; GPT_Mendeley_001:MEN-009</t>
  </si>
  <si>
    <t>Distress types: Pothole; Broken road surface; Crack (all collapsed into one class) (Claude) vs Pothole;Crack;Broken road surface;Normal road (GPT) || Label taxonomy: Single class named 'pothole' covering potholes, broken road surfaces and visible (Claude) vs Single unified damage class 'pothole'; normal road negatives (GPT) || Annotation format: YOLOv8 (Claude) vs YOLOv8;train/validation/test (GPT)</t>
  </si>
  <si>
    <t>AI tasks: Detection (Claude) vs Object detection (GPT) || Key_Limitations: Three distinct distress mechanisms are collapsed into a single class labelled 'p (Claude) vs All damage types collapsed into one class; image count and QC not reported; rece (GPT)</t>
  </si>
  <si>
    <t>Label-set description conflict: single collapsed damage class (Claude) vs four classes incl. normal road (GPT); acquisition NR (Claude) vs three mobile-device cameras (GPT).</t>
  </si>
  <si>
    <t>Landing page https://data.mendeley.com/datasets/ktnx66vtmc/1 (accessed 2026-08-03); DataCite record 10.17632/ktnx66vtmc.1 [Claude] | Mendeley dataset page, Description/Steps to reproduce/Licence, accessed 2026-08-05 [GPT]</t>
  </si>
  <si>
    <t>Check class list on the deposit.</t>
  </si>
  <si>
    <t>BDRoad-Sense: A Benchmark Dataset for Road Surface Detection and Safety Enhancement</t>
  </si>
  <si>
    <t>Same Mendeley DOI stem (10.17632/z3nx8n396g); same Bangladeshi four-smartphone handheld acquisition; same damage-level classification content.</t>
  </si>
  <si>
    <t>Single Mendeley deposit (two versions reviewed)</t>
  </si>
  <si>
    <t>10.17632/z3nx8n396g.3; 10.17632/z3nx8n396g.1</t>
  </si>
  <si>
    <t>1024x1024 [Claude] | 1024 x 1024 px [GPT]</t>
  </si>
  <si>
    <t>Sylhet District (rural and urban) [Claude] | Sylhet District [GPT]</t>
  </si>
  <si>
    <t>2025-11 to 2026-02</t>
  </si>
  <si>
    <t>Natural weather conditions (values not enumerated) [Claude] | Natural weather;categories NR [GPT]</t>
  </si>
  <si>
    <t>Natural lighting, no artificial setup (variation reported, values not enumerated) [Claude] | Natural;variable illumination [GPT]</t>
  </si>
  <si>
    <t>Major damage; Minor damage; Normal road [Claude] | Major damage;Minor damage;Normal road;Manhole;Speed breaker [GPT]</t>
  </si>
  <si>
    <t>Image classification; Object detection [Claude] | Image classification [GPT]</t>
  </si>
  <si>
    <t>Manual screening and annotation against predefined class definitions [Claude] | Predefined class definitions; manual screening; augmentation [GPT]</t>
  </si>
  <si>
    <t>All 6350 captures manually screened for visual clarity and class relevance before annotation [Claude] | 6,350 originals manually screened for clarity and relevance; controlled augmentation to 12,687 [GPT]</t>
  </si>
  <si>
    <t>Include-Primary [Claude] | Include-Supplementary [GPT]</t>
  </si>
  <si>
    <t>Claude_Mendeley_001:MDL-010; GPT_Mendeley_001:MEN-010</t>
  </si>
  <si>
    <t>Image count: 6350 original; 9107 after augmentation (Claude) vs 12687 (GPT) || Image resolution: 1024x1024 (Claude) vs 1024 x 1024 px (GPT)</t>
  </si>
  <si>
    <t>Distress types: Major damage; Minor damage; Normal road (Claude) vs Major damage;Minor damage;Normal road;Manhole;Speed breaker (GPT) || Label taxonomy: 5 classes: Major Damage; Minor Damage; Normal Road; Manhole; Speed Breaker. Acco (Claude) vs Five image-level classes (GPT) || Annotation task: Image classification; Object detection (Claude) vs Image classification (GPT) || Annotation format: NR (CSV metadata file accompanies the images) (Claude) vs JPG;structured class dataset (GPT) || Annotation method: Manual screening and annotation against predefined class definitions (Claude) vs Predefined class definitions; manual screening; augmentation (GPT) || Annotation QC: All 6350 captures manually screened for visual clarity and class relevance befor (Claude) vs 6,350 originals manually screened for clarity and relevance; controlled augmenta (GPT)</t>
  </si>
  <si>
    <t>Version: 3 (Claude) vs 1 (GPT) || AI tasks: Classification; Detection (Claude) vs Multi-class classification;Benchmarking (GPT) || Acquisition platform: Four different smartphone cameras (handheld field survey) (Claude) vs Four smartphone cameras (GPT) || Screening decision: Include-Primary (Claude) vs Include-Supplementary (GPT) || Region/City: Sylhet District (rural and urban) (Claude) vs Sylhet District (GPT) || Road environment: Urban road; Rural road (Claude) vs Rural;urban roads (GPT) || Acquisition platform: Four different smartphone cameras (handheld field survey) (Claude) vs Four smartphone cameras (GPT) || Weather_Conditions: Natural weather conditions (values not enumerated) (Claude) vs Natural weather;categories NR (GPT) || Lighting_Conditions: Natural lighting, no artificial setup (variation reported, values not enumerated (Claude) vs Natural;variable illumination (GPT) || Key_Limitations: 2757 of the 9107 released images are augmentations (brightness, contrast and blu (Claude) vs Nearly half the final images are augmented; severity classes are broad; no licen (GPT)</t>
  </si>
  <si>
    <t>Version conflict: v3 with 6,350 original / 9,107 augmented images (Claude) vs v1 with 12,687 images (GPT); class lists differ between versions (v1 adds manhole and speed breaker). Same underlying dataset, materially revised between versions - counts kept side by side, UNK for a single canonical count.</t>
  </si>
  <si>
    <t>Landing page https://data.mendeley.com/datasets/z3nx8n396g/3 (accessed 2026-08-03) description, licence and version history; DataCite record 10.17632/z3nx8n396g.3 [Claude] | Mendeley dataset page, Description, accessed 2026-08-05 [GPT]</t>
  </si>
  <si>
    <t>Verify v3 file manifest; state version when using.</t>
  </si>
  <si>
    <t>10.17632/n6cvjnx3b6.1</t>
  </si>
  <si>
    <t>147</t>
  </si>
  <si>
    <t>Dhaka; Chandpur; Lakshmipur</t>
  </si>
  <si>
    <t>Different weather conditions (values not enumerated)</t>
  </si>
  <si>
    <t>Pothole; Crack</t>
  </si>
  <si>
    <t>Image classification; Object detection</t>
  </si>
  <si>
    <t>Manual cleaning and labelling</t>
  </si>
  <si>
    <t>Images manually cleaned and labelled for consistency and accuracy; no agreement statistic reported</t>
  </si>
  <si>
    <t>Claude_Mendeley_001:MDL-021</t>
  </si>
  <si>
    <t>Landing page https://data.mendeley.com/datasets/n6cvjnx3b6/1 (accessed 2026-08-03); DataCite record 10.17632/n6cvjnx3b6.1</t>
  </si>
  <si>
    <t>10.17632/snyyfknw56.1</t>
  </si>
  <si>
    <t>2110</t>
  </si>
  <si>
    <t>Per-frame shadow flag provided</t>
  </si>
  <si>
    <t>Longitudinal crack (C01); Transverse crack (C02); Alligator crack and surface-layer delamination (C03); Pothole and erosion cavity (C04)</t>
  </si>
  <si>
    <t>COCO; JSON</t>
  </si>
  <si>
    <t>Manual annotation using CVAT</t>
  </si>
  <si>
    <t>Deliberate inclusion of 325 defect-free frames to measure false-positive behaviour; no inter-annotator agreement statistic reported</t>
  </si>
  <si>
    <t>CoCG Road Condition - Oriented Bounding Boxes (same 2,110 frames, alternative OBB annotation)</t>
  </si>
  <si>
    <t>Claude_Mendeley_001:MDL-006</t>
  </si>
  <si>
    <t>Landing page https://data.mendeley.com/datasets/snyyfknw56/1 (accessed 2026-08-03); DataCite record 10.17632/snyyfknw56.1</t>
  </si>
  <si>
    <t>10.17632/2dfyh84pdf.1</t>
  </si>
  <si>
    <t>Single crack in any orientation (C12, merging C01 and C02); Alligator crack and surface-layer delamination (C03); Pothole and erosion cavity (C04)</t>
  </si>
  <si>
    <t>Oriented object detection</t>
  </si>
  <si>
    <t>Class merge motivated by measured generalisation failure between C01 and C02 on CoCGRCDD; 325 defect-free frames retained for false-positive measurement</t>
  </si>
  <si>
    <t>CoCG Road Condition - Detection Dataset (same frames re-annotated with oriented bounding boxes)</t>
  </si>
  <si>
    <t>CoCG Road Condition - Detection Dataset</t>
  </si>
  <si>
    <t>Claude_Mendeley_001:MDL-007</t>
  </si>
  <si>
    <t>Landing page https://data.mendeley.com/datasets/2dfyh84pdf/1 (accessed 2026-08-03); DataCite record 10.17632/2dfyh84pdf.1</t>
  </si>
  <si>
    <t>Concrete &amp; Pavement Crack Dataset; Concrete and Pavement Crack Dataset; Concrete &amp; Pavement Crack Images</t>
  </si>
  <si>
    <t>Identical count (30,000); same Nigerian collection with DJI Mavic 2 Enterprise drone + smartphone; same Mendeley DOI (10.17632/429vzbgmbx.1) cited by GPT Kaggle record; same author (Oluwaseun Omoebamije / oluwaseunad).</t>
  </si>
  <si>
    <t>Claude; GPT; CodeX</t>
  </si>
  <si>
    <t>Duplicate deposit by the author on Mendeley Data and Kaggle</t>
  </si>
  <si>
    <t>https://www.kaggle.com/datasets/oluwaseunad/concrete-and-pavement-crack-images</t>
  </si>
  <si>
    <t>10.17632/429vzbgmbx.1; 10.34740/KAGGLE/DSV/5130126</t>
  </si>
  <si>
    <t>https://doi.org/10.17632/429vzbgmbx.1</t>
  </si>
  <si>
    <t>10.17632/429vzbgmbx.1</t>
  </si>
  <si>
    <t>227x227 [Claude] | 227 x 227 px [GPT] | 227 x 227 px RGB JPEG [CodeX]</t>
  </si>
  <si>
    <t>Nigeria</t>
  </si>
  <si>
    <t>Nigerian Army University Biu, Borno State [Claude] | Biu, Borno State (Nigerian Army University Biu) [Claude] | Biu;Borno State [GPT] | Biu, Borno State [CodeX]</t>
  </si>
  <si>
    <t>Outdoor campus conditions; exact categories NR</t>
  </si>
  <si>
    <t>Crack [Claude/CodeX] | Crack;No crack [GPT]</t>
  </si>
  <si>
    <t>Image classification [Claude/GPT] | Classification [CodeX]</t>
  </si>
  <si>
    <t>Timed UAV captures and smartphone interval captures; images sorted and resized</t>
  </si>
  <si>
    <t>Creator CNN;architecture NR [GPT] | CNN [CodeX]</t>
  </si>
  <si>
    <t>Accuracy</t>
  </si>
  <si>
    <t>Creator CNN;architecture NR [GPT] | CNN [CodeX]: Accuracy = Over 98% reported by creator [GPT] | Over 98% [CodeX]</t>
  </si>
  <si>
    <t>Claude_Kaggle_001.xlsx; Claude_Mendeley_001.xlsx; CodeX_Mendeley_001.xlsx; GPT_Kaggle_001.xlsx</t>
  </si>
  <si>
    <t>Claude_Kaggle_001:KG-019; Claude_Mendeley_001:MDL-033; CodeX_Mendeley_001:MND-004; GPT_Kaggle_001:KAG-008</t>
  </si>
  <si>
    <t>Image resolution: 227x227 (Claude) vs 227 x 227 px (GPT) vs 227 x 227 px RGB JPEG (CodeX)</t>
  </si>
  <si>
    <t>Distress types: Crack (Claude/CodeX) vs Crack;No crack (GPT) || Label taxonomy: Binary folders: positive (crack); negative (non-crack) (Claude) vs Binary class: positive (crack);negative (non-crack) (Claude) vs Binary positive crack;negative non-crack (GPT) vs Crack; non-crack (CodeX) || Annotation task: Image classification (Claude/GPT) vs Classification (CodeX) || Annotation format: Folder-based binary class labels (Claude) vs Folder-per-class JPEG directories (Claude) vs RGB JPEG;positive and negative folders (GPT) vs Folder classes (CodeX)</t>
  </si>
  <si>
    <t>Version: 1 (Claude/CodeX) vs Version 1 (Claude) || Access status: Direct_Download (Claude/CodeX) vs Registration (Claude/GPT) || License: CC BY 4.0 (Claude/GPT/CodeX) vs CC BY-SA 4.0 (Claude) || AI tasks: Classification (Claude) vs Image classification;Binary crack detection (Claude) vs Binary classification;Crack detection (GPT) vs Classification; convolutional neural networks (CNNs) for crack detection in conc (CodeX) || Reported model: Creator CNN;architecture NR (GPT) vs CNN (CodeX) || Metric value: Over 98% reported by creator (GPT) vs Over 98% (CodeX) || Region/City: Nigerian Army University Biu, Borno State (Claude) vs Biu, Borno State (Nigerian Army University Biu) (Claude) vs Biu;Borno State (GPT) vs Biu, Borno State (CodeX) || Road environment: Mixed: concrete structure surfaces and pavement surfaces (Claude) vs Campus concrete and pavement surfaces (GPT) vs University campus; concrete and pavement surfaces (CodeX) || Acquisition platform: DJI Mavic 2 Enterprise drone (elevated surfaces) and smartphone (surfaces below  (Claude) vs UAV (DJI Mavic 2 Enterprise);Smartphone (Claude) vs DJI Mavic 2 Enterprise UAV;Samsung smartphone (GPT) vs DJI Mavic 2 Enterprise drone; smartphone (CodeX) || Key_Limitations: Concrete structure images and pavement images are pooled with no separating labe (Claude) vs Concrete and pavement images are pooled with no field separating them, so the pa (Claude) vs Concrete and pavement imagery are mixed, and the pavement-only subset is not sep (GPT) vs Concrete and pavement records are mixed; description inconsistently calls folder (CodeX)</t>
  </si>
  <si>
    <t>Mixed concrete + pavement content; binary crack/no-crack labels.</t>
  </si>
  <si>
    <t>Landing page https://data.mendeley.com/datasets/429vzbgmbx/1 (accessed 2026-08-03) description and licence block; DataCite record 10.17632/429vzbgmbx.1 [Claude] | Kaggle dataset page 'About Dataset' (30,000 images, 227x227 RGB JPEG, DJI Mavic 2 Enterprise plus smartphone capture, Nigerian Army University Biu source, positive/negative folders); Kaggle API record /api/v1/datasets/view/oluwaseunad/concrete-and-pavement-crack-images; accessed 2026-08-03 [Claude] | Kaggle dataset page; Mendeley canonical dataset record, Description/Steps to reproduce/Licence, accessed 2026-08-06 [GPT] | Mendeley Data landing page, Description; Steps to reproduce; Related Links; Licence; accessed 2026-08-03 [CodeX]</t>
  </si>
  <si>
    <t>Derived Dataset</t>
  </si>
  <si>
    <t>Single record; Mendeley deposit of CRACK500 with alternative noisy masks.</t>
  </si>
  <si>
    <t>Mendeley-only derived deposit</t>
  </si>
  <si>
    <t>10.17632/wddt4gbttd.1</t>
  </si>
  <si>
    <t>NR (derived from CRACK500)</t>
  </si>
  <si>
    <t>Crack</t>
  </si>
  <si>
    <t>Programmatic corruption of existing CRACK500 masks</t>
  </si>
  <si>
    <t>NA - noise is introduced deliberately as the experimental variable</t>
  </si>
  <si>
    <t>Claude_Mendeley_001:MDL-034</t>
  </si>
  <si>
    <t>Landing page https://data.mendeley.com/datasets/wddt4gbttd/1 (accessed 2026-08-03) description, which names the external GitHub source for images; DataCite record 10.17632/wddt4gbttd.1</t>
  </si>
  <si>
    <t>Use only for label-noise research.</t>
  </si>
  <si>
    <t>10.17632/3v5r2fxf89.1</t>
  </si>
  <si>
    <t>512x512 (cropped from larger originals)</t>
  </si>
  <si>
    <t>Local airports in Tennessee</t>
  </si>
  <si>
    <t>Crack (airport pavement)</t>
  </si>
  <si>
    <t>Manual annotation followed by cropping to 512x512</t>
  </si>
  <si>
    <t>Claude_Mendeley_001:MDL-018</t>
  </si>
  <si>
    <t>Landing page https://data.mendeley.com/datasets/3v5r2fxf89/1 (accessed 2026-08-03); DataCite record 10.17632/3v5r2fxf89.1 (creator affiliations include the Tennessee Department of Transportation)</t>
  </si>
  <si>
    <t>Drone-based Inspection of Road Pavement</t>
  </si>
  <si>
    <t>Same Mendeley DOI (10.17632/csd32bm8zx.1) in both records; same DJI MINI 2 UAV acquisition (Canada; 12 MP; 83-degree FOV).</t>
  </si>
  <si>
    <t>Mirror: Mendeley deposit with a Kaggle re-upload (parhamnooralishahi)</t>
  </si>
  <si>
    <t>https://www.kaggle.com/datasets/parhamnooralishahi/drone-based-inspection-of-road-pavement</t>
  </si>
  <si>
    <t>10.17632/csd32bm8zx.1</t>
  </si>
  <si>
    <t>https://data.mendeley.com/datasets/csd32bm8zx/1;https://github.com/parham/inspecteur-intelligent</t>
  </si>
  <si>
    <t>https://data.mendeley.com/datasets/csd32bm8zx/1; https://github.com/parham/inspecteur-intelligent</t>
  </si>
  <si>
    <t>1 [Claude] | 1 experimental road of 386 m [Claude]</t>
  </si>
  <si>
    <t>1920x1080 [Claude] | 1920x1080 video [Claude]</t>
  </si>
  <si>
    <t>Montmorency Forest laboratory, Universite Laval, north of Quebec City [Claude] | Montmorency Forest laboratory experimental road, north of Quebec City [Claude]</t>
  </si>
  <si>
    <t>2021-06 to 2021-06</t>
  </si>
  <si>
    <t>Physical measurement of crack length and width after acquisition</t>
  </si>
  <si>
    <t>Field measurement of crack length and width for evaluation of crack characterisation</t>
  </si>
  <si>
    <t>Include-Supplementary [Claude] | Pending [Claude]</t>
  </si>
  <si>
    <t>Claude_Kaggle_001.xlsx; Claude_Mendeley_001.xlsx</t>
  </si>
  <si>
    <t>Claude_Kaggle_001:KG-020; Claude_Mendeley_001:MDL-037</t>
  </si>
  <si>
    <t>Road segments: 1 (Claude) vs 1 experimental road of 386 m (Claude) || Image resolution: 1920x1080 (Claude) vs 1920x1080 video (Claude)</t>
  </si>
  <si>
    <t>Label taxonomy: Crack regions, with physical length and width measurements taken for some cracks (Claude) vs UNK - physical length and width measurements were taken for some cracks and road (Claude)</t>
  </si>
  <si>
    <t>Release year: 2024 (Claude) vs 2022 (Claude) || Version: Version 1 (Claude) vs 1 (Claude) || Access status: Metadata_Only (Claude) vs Direct_Download (Claude) || License: CC BY-SA 4.0 (Claude) vs CC BY 4.0 (Claude) || AI tasks: Semantic segmentation;Crack characterisation (Claude) vs Detection; Segmentation (Claude) || Acquisition platform: UAV (DJI MINI 2, 12 MP camera, 83-degree field of view, six passes at varying al (Claude) vs UAV (DJI MINI 2, 12 MP camera, 83 degree field of view, continuous recording, si (Claude) || Screening decision: Include-Supplementary (Claude) vs Pending (Claude) || Region/City: Montmorency Forest laboratory, Universite Laval, north of Quebec City (Claude) vs Montmorency Forest laboratory experimental road, north of Quebec City (Claude) || Road environment: Experimental road, 386 m (Claude) vs Experimental road (386 m), used for testing pavement paints and laying technique (Claude) || Acquisition platform: UAV (DJI MINI 2, 12 MP camera, 83-degree field of view, six passes at varying al (Claude) vs UAV (DJI MINI 2, 12 MP camera, 83 degree field of view, continuous recording, si (Claude) || Key_Limitations: The Kaggle record is only about 100 kB and functions as a pointer: the imagery i (Claude) vs Pending: it is unresolved whether AI-usable image annotations are included or on (Claude)</t>
  </si>
  <si>
    <t>Claude-only dataset. Screening conflict: Include-Supplementary (Kaggle batch, Metadata_Only access) vs Pending (Mendeley batch; dataset-vs-code unresolved).</t>
  </si>
  <si>
    <t>Kaggle dataset page 'About Dataset' (acquisition date 2021-06-16, 386 m experimental road at Montmorency Forest laboratory, DJI MINI 2 with 12 MP camera and 83-degree FOV, 1920x1080 continuous recording, six passes, Mendeley and GitHub links; Kaggle record total size 100,224 bytes); Kaggle API record /api/v1/datasets/view/parhamnooralishahi/drone-based-inspection-of-road-pavement; accessed 2026-08-03 [Claude] | Landing page https://data.mendeley.com/datasets/csd32bm8zx/1 (accessed 2026-08-03, file manifest not exposed to non-interactive retrieval); DataCite record 10.17632/csd32bm8zx.1 [Claude]</t>
  </si>
  <si>
    <t>Resolve dataset-versus-code content before use.</t>
  </si>
  <si>
    <t>1 of 2</t>
  </si>
  <si>
    <t>10.17632/tj2m7zz4rg.2</t>
  </si>
  <si>
    <t>8484 images and 13 videos</t>
  </si>
  <si>
    <t>13</t>
  </si>
  <si>
    <t>512x512</t>
  </si>
  <si>
    <t>Nashik; Mumbai</t>
  </si>
  <si>
    <t>India; Nashik; Mumbai; Road environment: Paved road; Unpaved road</t>
  </si>
  <si>
    <t>Mobile phone rear camera (top and side views; videos from side view)</t>
  </si>
  <si>
    <t>Rain season and summer season captures</t>
  </si>
  <si>
    <t>Varying daylight conditions (values not enumerated)</t>
  </si>
  <si>
    <t>Class labels for road structures: potholes; speed breakers; roadside barriers; paved and unpaved surfaces</t>
  </si>
  <si>
    <t>Annotation format, per-class counts and annotation method are unreported; the label set mixes distress (potholes) with road furniture (speed breakers, barriers) and surface type, so it is not a pavement-condition taxonomy; no severity; no peer-reviewed data paper located</t>
  </si>
  <si>
    <t>Claude_Mendeley_001:MDL-019</t>
  </si>
  <si>
    <t>Landing page https://data.mendeley.com/datasets/tj2m7zz4rg/2 (accessed 2026-08-03); DataCite record 10.17632/tj2m7zz4rg.2</t>
  </si>
  <si>
    <t>The v2 description reports 8,484 images and 13 videos, paved/unpaved roads in Nashik and Mumbai, seasons and phone viewpoints. It does not separate independent image origins from video frames or define an annotation schema.</t>
  </si>
  <si>
    <t>10.17632/7wr6hxk54h.1</t>
  </si>
  <si>
    <t>10.1109/access.2025.3630348</t>
  </si>
  <si>
    <t>1 route of 12.2 km</t>
  </si>
  <si>
    <t>4K (exact pixel dimensions NR)</t>
  </si>
  <si>
    <t>Florianopolis coastal route (12.2 km), Santa Catarina</t>
  </si>
  <si>
    <t>Diverse weather reported (values not enumerated)</t>
  </si>
  <si>
    <t>Diverse lighting reported (values not enumerated)</t>
  </si>
  <si>
    <t>Crack; Pothole</t>
  </si>
  <si>
    <t>Manual pixel-level annotation</t>
  </si>
  <si>
    <t>Claude_Mendeley_001:MDL-008</t>
  </si>
  <si>
    <t>Landing page https://data.mendeley.com/datasets/7wr6hxk54h/1 (accessed 2026-08-03); associated article https://doi.org/10.1109/access.2025.3630348 (IEEE Access); DataCite record 10.17632/7wr6hxk54h.1</t>
  </si>
  <si>
    <t>HighRPD: A high-altitude drone dataset of road pavement distress; HighRPD</t>
  </si>
  <si>
    <t>Same Mendeley DOI (10.17632/sywswj7djj.1) in all three records; identical count (11,696); same UAV 50 m acquisition (China); data article 10.1016/j.dib.2025.111377 corroborated by 08_HighRPD.xlsx.</t>
  </si>
  <si>
    <t>Single Mendeley deposit; also surfaced by GitHub-batch search</t>
  </si>
  <si>
    <t>10.17632/sywswj7djj.1</t>
  </si>
  <si>
    <t>HighRPD: A high-altitude drone dataset of road pavement distress, Data in Brief (2025), DOI 10.1016/j.dib.2025.111377</t>
  </si>
  <si>
    <t>10.1016/j.dib.2025.111377</t>
  </si>
  <si>
    <t>2025</t>
  </si>
  <si>
    <t>Data article describing the dataset</t>
  </si>
  <si>
    <t>22016 (per 08_HighRPD.xlsx)</t>
  </si>
  <si>
    <t>640x640 tiles (source 8192x5460) per 08_HighRPD.xlsx</t>
  </si>
  <si>
    <t>Shanxi Province (37.768N 112.772E to 37.771N 112.762E) [Claude] | Shanxi [Test_Batch]</t>
  </si>
  <si>
    <t>Line crack; Block crack; Pothole [Claude] | Linear distress;Block distress;Pit [GPT] | line crack; block crack; pit [Test_Batch]</t>
  </si>
  <si>
    <t>Manual annotation using Labelbox platform with DarkLabel [Claude] | Labelbox and DarkLabel; manual annotation [GPT] | Labelbox and DarkLabel annotation [Test_Batch]</t>
  </si>
  <si>
    <t>Multiple rounds of annotation and verification reported in the data paper; 546 large original images screened, distress-free tiles filtered out [Claude] | Several rounds of annotation and verification [GPT]</t>
  </si>
  <si>
    <t>YOLOv8 (dataset alignment reported)</t>
  </si>
  <si>
    <t>Claude_Mendeley_001.xlsx; GPT_Mendeley_001.xlsx; Github_Github_Test.xlsx</t>
  </si>
  <si>
    <t>Claude_Mendeley_001:MDL-003; GPT_Mendeley_001:MEN-003; Github_Github_Test:GITHUB-007</t>
  </si>
  <si>
    <t>Image resolution: 640x640 tiles (original captures 8192x5460) (Claude) vs 640 x 640 px (cropped from 8192 x 5460 px originals) (GPT) vs 640x640 (Test_Batch)</t>
  </si>
  <si>
    <t>Distress types: Line crack; Block crack; Pothole (Claude) vs Linear distress;Block distress;Pit (GPT) vs line crack; block crack; pit (Test_Batch) || Label taxonomy: 3 classes; 12365 line annotations; 8239 block annotations; 1412 pit annotations (Claude) vs Class 0 line;class 1 block;class 2 pit (GPT) vs line; block; pit (Test_Batch) || Annotation format: YOLO TXT (class, normalised centre x, centre y, width, height) (Claude) vs YOLO TXT bounding boxes;JPG (GPT) || Annotation method: Manual annotation using Labelbox platform with DarkLabel (Claude) vs Labelbox and DarkLabel; manual annotation (GPT) vs Labelbox and DarkLabel annotation (Test_Batch) || Annotation QC: Multiple rounds of annotation and verification reported in the data paper; 546 l (Claude) vs Several rounds of annotation and verification (GPT)</t>
  </si>
  <si>
    <t>AI tasks: Detection (Claude) vs Object detection;YOLO benchmarking (GPT) vs object detection; classification (Test_Batch) || Region/City: Shanxi Province (37.768N 112.772E to 37.771N 112.762E) (Claude) vs Shanxi (Test_Batch) || Road environment: Highway (Claude/Test_Batch) vs Road pavement; aerial perspective (GPT) || Publications: 10.1016/j.dib.2025.111377 (Claude) vs https://data.mendeley.com/datasets/sywswj7djj/1 (Test_Batch) || Acquisition platform: UAV (DJI M300 RTK with Zenmuse P1, 35 mm lens, 50 m flight height) (Claude) vs UAV at 50 m altitude (GPT) vs UAV or drone (Test_Batch) || Key_Limitations: Single highway corridor of roughly 1 km, so scene diversity is narrow; nadir UAV (Claude) vs Aerial viewpoint differs from typical CAV forward-facing imagery; broad distress (GPT) vs Limited taxonomy and geography; license, navigation metadata, and engineering co (Test_Batch)</t>
  </si>
  <si>
    <t>Class naming varies: line/block crack + pothole (Claude) vs linear/block distress + pit (GPT) vs line/block crack + pit (Test) - same 3-class taxonomy. 22,016 annotations and 640x640 tiling per 08_HighRPD.xlsx.</t>
  </si>
  <si>
    <t>Landing page https://data.mendeley.com/datasets/sywswj7djj/1 (accessed 2026-08-03); data paper https://doi.org/10.1016/j.dib.2025.111377 sections 'Data Description' and 'Methods'; DataCite record 10.17632/sywswj7djj.1 [Claude] | Mendeley dataset page, Description/Steps to reproduce/Licence, accessed 2026-08-05 [GPT] | https://data.mendeley.com/datasets/sywswj7djj/1; dataset description and version metadata; GitHub dataset-review documentation; accessed 2026-08-01 [Test_Batch]</t>
  </si>
  <si>
    <t>10.17632/ftcrvjz92c.1</t>
  </si>
  <si>
    <t>Various urban and rural regions across Indonesia</t>
  </si>
  <si>
    <t>Wet road category included</t>
  </si>
  <si>
    <t>Crack; Pothole; Bump; Water puddle (grouped, not individually labelled)</t>
  </si>
  <si>
    <t>Claude_Mendeley_001:MDL-028</t>
  </si>
  <si>
    <t>Landing page https://data.mendeley.com/datasets/ftcrvjz92c/1 (accessed 2026-08-03); DataCite record 10.17632/ftcrvjz92c.1</t>
  </si>
  <si>
    <t>Multi-Weather Pothole Detection (MWPD) [second deposit]</t>
  </si>
  <si>
    <t>Same name and pothole-detection scope on Kaggle (jocelyndumlao) and Mendeley (10.17632/s5hx9n2jc3.2); MDL-038 (10.17632/d4n32gbmk4.1) has the same title, same three authors and institution (American International University-Bangladesh) as MDL-031 - flagged by Claude as a likely duplicate deposit (file manifests not comparable).</t>
  </si>
  <si>
    <t>Duplicate deposits: one Kaggle page and two Mendeley deposits of the same dataset family</t>
  </si>
  <si>
    <t>https://data.mendeley.com/datasets/s5hx9n2jc3/2; https://data.mendeley.com/datasets/d4n32gbmk4/1</t>
  </si>
  <si>
    <t>https://www.kaggle.com/datasets/jocelyndumlao/multi-weather-pothole-detection-mwpd</t>
  </si>
  <si>
    <t>10.17632/s5hx9n2jc3.2; 10.17632/d4n32gbmk4.1</t>
  </si>
  <si>
    <t>Normal; Rainy [Claude] | Normal;Rain [Claude]</t>
  </si>
  <si>
    <t>Daytime; Twilight; Night-time</t>
  </si>
  <si>
    <t>Manual bounding-box annotation [Claude] | Manual bounding-box annotation with Roboflow augmentation [Claude]</t>
  </si>
  <si>
    <t>Claude_Kaggle_001:KG-018; Claude_Mendeley_001:MDL-031; Claude_Mendeley_001:MDL-038</t>
  </si>
  <si>
    <t>Label taxonomy: Pothole bounding boxes (Claude) vs Pothole bounding boxes; augmentation applied via Roboflow (scaling, shifting, sh (Claude) vs Single class: pothole, with bounding-box annotations (Claude) || Annotation method: Manual bounding-box annotation (Claude) vs Manual bounding-box annotation with Roboflow augmentation (Claude)</t>
  </si>
  <si>
    <t>Version: 2 (Claude) vs 1 (Claude) vs Version 1 (Claude) || Access status: Direct_Download (Claude) vs Registration (Claude) || License: CC BY 4.0 (Claude) vs CC0: Public Domain (Claude) || AI tasks: Detection (Claude) vs Object detection (Claude) || Screening decision: Include-Supplementary (Claude) vs Pending (Claude) || Weather_Conditions: Normal; Rainy (Claude) vs Normal;Rain (Claude) || Key_Limitations: No image count, resolution, capture device, country or date is reported; single  (Claude) vs Pending: same title, same three authors and same institution as MDL-031 (10.1763 (Claude) vs Lighting and weather strata are stated but no per-stratum counts, image count, r (Claude)</t>
  </si>
  <si>
    <t>Claude-only dataset. Counts NR everywhere; second Mendeley deposit kept Pending by Claude - collapsed here as Probable duplicate with traceability preserved.</t>
  </si>
  <si>
    <t>Landing page https://data.mendeley.com/datasets/s5hx9n2jc3/2 (accessed 2026-08-03); DataCite record 10.17632/s5hx9n2jc3.2 [Claude] | Landing page https://data.mendeley.com/datasets/d4n32gbmk4/1 (accessed 2026-08-03) compared against landing page https://data.mendeley.com/datasets/s5hx9n2jc3/2 (accessed 2026-08-03); DataCite records 10.17632/d4n32gbmk4.1 and 10.17632/s5hx9n2jc3.2 [Claude] | Kaggle dataset page 'About Dataset' (stated weather (normal, rainy) and lighting (daytime, twilight, night-time) variation, bounding-box annotation of potholes); Kaggle API record /api/v1/datasets/view/jocelyndumlao/multi-weather-pothole-detection-mwpd; accessed 2026-08-03 [Claude]</t>
  </si>
  <si>
    <t>Compare the two Mendeley deposits before use.</t>
  </si>
  <si>
    <t>2 of 3</t>
  </si>
  <si>
    <t>10.17632/697w4jkr2x.2</t>
  </si>
  <si>
    <t>Surface erosion (weathering or raveling); Crack (linear, transverse or alligator); Pothole</t>
  </si>
  <si>
    <t>Claude_Mendeley_001:MDL-025</t>
  </si>
  <si>
    <t>Landing page https://data.mendeley.com/datasets/697w4jkr2x/2 (accessed 2026-08-03); DataCite record 10.17632/697w4jkr2x.2</t>
  </si>
  <si>
    <t>Multimodal Crack Segmentation Dataset; Image-PointClouds Multimodal Crack Segmentation Dataset</t>
  </si>
  <si>
    <t>Both records describe synchronous image + point-cloud crack segmentation captured with an Intel RealSense L515 LiDAR camera; same 2025 release window; Kaggle page renshuddd/multimodal-crack-segmentation-dataset vs Mendeley 10.17632/zs3t38sxds.1.</t>
  </si>
  <si>
    <t>Likely duplicate deposit on Kaggle and Mendeley Data (no shared identifier verified)</t>
  </si>
  <si>
    <t>https://www.kaggle.com/datasets/renshuddd/multimodal-crack-segmentation-dataset</t>
  </si>
  <si>
    <t>10.17632/zs3t38sxds.1</t>
  </si>
  <si>
    <t>LiDAR; Point cloud</t>
  </si>
  <si>
    <t>Illumination variation reported (values not enumerated) [Claude] | Illumination variation stated;specific categories NR [Claude]</t>
  </si>
  <si>
    <t>Claude_Kaggle_001:KG-043; Claude_Mendeley_001:MDL-035</t>
  </si>
  <si>
    <t>Label taxonomy: Crack segmentation across varied material, illumination, surface contamination a (Claude) vs Crack segmentation over paired image and point-cloud data;class list not enumera (Claude)</t>
  </si>
  <si>
    <t>Version: 1 (Claude) vs Version 1 (Claude) || Access status: Direct_Download (Claude) vs Registration (Claude) || License: CC BY 4.0 (Claude) vs CC BY-NC-SA 4.0 (Claude) || AI tasks: Segmentation (Claude) vs Semantic segmentation;Multimodal fusion (Claude) || Acquisition platform: Intel RealSense L515 LiDAR camera (synchronous image and point cloud capture) (Claude) vs LiDAR camera (Intel RealSense L515), synchronous image and point-cloud capture (Claude) || Screening decision: Include-Supplementary (Claude) vs Pending (Claude) || Road environment: Mixed: building surfaces; underground coal mine roadway surrounding rock; paveme (Claude) vs Building surfaces;Underground coal mine roadways;Pavement (Claude) || Acquisition platform: Intel RealSense L515 LiDAR camera (synchronous image and point cloud capture) (Claude) vs LiDAR camera (Intel RealSense L515), synchronous image and point-cloud capture (Claude) || Lighting_Conditions: Illumination variation reported (values not enumerated) (Claude) vs Illumination variation stated;specific categories NR (Claude) || Key_Limitations: Pavement is only one of three scene types alongside building surfaces and mine r (Claude) vs This is the only Kaggle record found that pairs imagery with LiDAR point clouds  (Claude)</t>
  </si>
  <si>
    <t>Claude-only dataset. Pavement share of the 38.7 GB Kaggle archive unstated (Claude unresolved issue).</t>
  </si>
  <si>
    <t>Landing page https://data.mendeley.com/datasets/zs3t38sxds/1 (accessed 2026-08-03); DataCite record 10.17632/zs3t38sxds.1 [Claude] | Kaggle dataset page 'About Dataset' (Intel RealSense L515 synchronous image and point cloud capture, three named scene types, statement of material/illumination/contamination/occlusion variation); Kaggle API record /api/v1/datasets/view/renshuddd/multimodal-crack-segmentation-dataset; accessed 2026-08-03 [Claude]</t>
  </si>
  <si>
    <t>Compare file manifests to confirm identity.</t>
  </si>
  <si>
    <t>5 [Claude] | 3 [GPT]</t>
  </si>
  <si>
    <t>Same Mendeley DOI (10.17632/27c8pwsd6v) in all three records; same title; all describe a derived/edited road damage and defect collection built from RDD2022.</t>
  </si>
  <si>
    <t>https://data.mendeley.com/datasets/27c8pwsd6v/3</t>
  </si>
  <si>
    <t>10.17632/27c8pwsd6v.3; 10.17632/27c8pwsd6v.5</t>
  </si>
  <si>
    <t>10.2139/ssrn.4699394</t>
  </si>
  <si>
    <t>India; Japan; Czech Republic; Norway; China; United States (inherited from the RDD2022 source imagery) [Claude] | Multi-country; derived from RDD2022 and edited data [GPT] | Multiple; derived from RDD2022 [GPT]</t>
  </si>
  <si>
    <t>India; Japan; Czech Republic; Norway; China; United States (inherited from the RDD2022 source imagery) [Claude] | Multi-country; derived from RDD2022 and edited data [GPT] | Multiple; derived from RDD2022 [GPT]; Road environment: Urban road; Rural road; Highway [Claude] | Road networks [GPT] | Mixed [GPT]</t>
  </si>
  <si>
    <t>Vehicle-mounted smartphone (inherited from RDD2022) [Claude] | Derived/edited road-image collection [GPT] | Derived from RDD2022 and edited/updated data [GPT]</t>
  </si>
  <si>
    <t>Longitudinal crack (D00); Transverse crack (D10); Alligator crack (D20); Repaired crack (D30); Pothole (D40); Pedestrian crossing blur (D50); Lane line blur (D60); Manhole cover (D70); Patchy road section (D80); Rutting (D90) [Claude] | Ten road-defect types; exact controlled list NR [GPT] | ten road damage and defect types [GPT]</t>
  </si>
  <si>
    <t>10 defect classes, expanded and re-edited from the 4-class RDD2022 labelling [Claude] | Expanded from four to ten defect types [GPT] | Ten-class expanded taxonomy; exact labels NR [GPT]</t>
  </si>
  <si>
    <t>Object detection [Claude] | Object detection;Classification [GPT]</t>
  </si>
  <si>
    <t>Manual re-annotation of RDD2022 imagery [Claude] | Edited and updated derivative dataset [GPT] | Edited and relabeled derivative dataset [GPT]</t>
  </si>
  <si>
    <t>Derived from RDD2022 imagery, so it is not an independent sample and inherits any upstream labelling error; image and per-class instance counts, resolution and annotation format are all unreported; five versions exist with no changelog; the only associated publication located is an SSRN preprint, not a peer-reviewed article [Claude] | Derivative identity and overlap with RDD2022 require file-level audit; critical counts, taxonomy, license, and provenance are incompletely documented in retrieved evidence [GPT] | Derivative provenance and relabeling procedure insufficiently documented; exact count, license, and QC unresolved [GPT]</t>
  </si>
  <si>
    <t>RDD2022; n-rdd2024-distilled-frdc (further derived)</t>
  </si>
  <si>
    <t>ChatGPT_Github_001.xlsx; Claude_Mendeley_001.xlsx; GPT_Mendeley_001.xlsx</t>
  </si>
  <si>
    <t>ChatGPT_Github_001:GH-015; Claude_Mendeley_001:MDL-017; GPT_Mendeley_001:MEN-011</t>
  </si>
  <si>
    <t>Distress types: Longitudinal crack (D00); Transverse crack (D10); Alligator crack (D20); Repaire (Claude) vs Ten road-defect types; exact controlled list NR (GPT) vs ten road damage and defect types (GPT) || Label taxonomy: 10 defect classes, expanded and re-edited from the 4-class RDD2022 labelling (Claude) vs Expanded from four to ten defect types (GPT) vs Ten-class expanded taxonomy; exact labels NR (GPT) || Annotation task: Object detection (Claude) vs Object detection;Classification (GPT) || Annotation method: Manual re-annotation of RDD2022 imagery (Claude) vs Edited and updated derivative dataset (GPT) vs Edited and relabeled derivative dataset (GPT)</t>
  </si>
  <si>
    <t>Version: 5 (Claude) vs 3 (GPT) || Country: India; Japan; Czech Republic; Norway; China; United States (inherited from the R (Claude) vs Multi-country; derived from RDD2022 and edited data (GPT) vs Multiple; derived from RDD2022 (GPT) || AI tasks: Detection; Classification (Claude) vs Object detection;Classification (GPT) || Screening decision: Include-Primary (Claude) vs Include-Supplementary (GPT) || Road environment: Urban road; Rural road; Highway (Claude) vs Road networks (GPT) vs Mixed (GPT) || Acquisition platform: Vehicle-mounted smartphone (inherited from RDD2022) (Claude) vs Derived/edited road-image collection (GPT) vs Derived from RDD2022 and edited/updated data (GPT) || Key_Limitations: Derived from RDD2022 imagery, so it is not an independent sample and inherits an (Claude) vs Derivative identity and overlap with RDD2022 require file-level audit; critical  (GPT) vs Derivative provenance and relabeling procedure insufficiently documented; exact  (GPT)</t>
  </si>
  <si>
    <t>Version conflict: v3 (GPT GitHub and Mendeley batches) vs v5 (Claude Mendeley batch); ten defect classes reported but the controlled class list is not stated.</t>
  </si>
  <si>
    <t>Landing page https://data.mendeley.com/datasets/27c8pwsd6v/5 (accessed 2026-08-03); DataCite record 10.17632/27c8pwsd6v.5; associated preprint https://doi.org/10.2139/ssrn.4699394 [Claude] | Mendeley dataset page/search record, Description, accessed 2026-08-05 [GPT] | https://data.mendeley.com/datasets/27c8pwsd6v/3 dataset description and version page; accessed 2026-08-06 [GPT]</t>
  </si>
  <si>
    <t>Check latest Mendeley version and class list before use.</t>
  </si>
  <si>
    <t>Selected N-RDD2024 v3 explicitly derives from RDD2022 and lists ten relabeled defects. Do not mix v5 metadata or treat the derivative as independent. The complete parent-and-derivative data-license chain and relabeling audit remain unresolved.</t>
  </si>
  <si>
    <t>10.17632/6p52w7d5xd.2</t>
  </si>
  <si>
    <t>2704 x 1520 px video capture</t>
  </si>
  <si>
    <t>Pakistan</t>
  </si>
  <si>
    <t>Documented during collection; categories NR</t>
  </si>
  <si>
    <t>Crack;Pothole;Uneven surface</t>
  </si>
  <si>
    <t>Roboflow-assisted manual annotation</t>
  </si>
  <si>
    <t>Collection and processing workflow documented; independent label audit NR</t>
  </si>
  <si>
    <t>YOLOv7 instance segmentation</t>
  </si>
  <si>
    <t>Classification accuracy;mAP</t>
  </si>
  <si>
    <t>YOLOv7 instance segmentation: Classification accuracy;mAP = 98.6%;99% (reported by creators)</t>
  </si>
  <si>
    <t>GPT_Mendeley_001:MEN-006</t>
  </si>
  <si>
    <t>Mendeley dataset page, Description/Steps to reproduce, accessed 2026-08-05</t>
  </si>
  <si>
    <t>PaveCrack1300: A UAV-Acquired Pavement Crack Segmentation Dataset</t>
  </si>
  <si>
    <t>Same Mendeley DOI (10.17632/8b27pdcxv7.1); identical count (1,300); same DJI Mini 4 Pro acquisition (China).</t>
  </si>
  <si>
    <t>Claude; CodeX</t>
  </si>
  <si>
    <t>10.17632/8b27pdcxv7.1</t>
  </si>
  <si>
    <t>512x512 [Claude] | 512 x 512 px RGB JPEG [CodeX]</t>
  </si>
  <si>
    <t>Shenyang (Shenyang Jianzhu University campus and surrounding road network) [Claude] | Shenyang [CodeX]</t>
  </si>
  <si>
    <t>Semantic segmentation [Claude] | Segmentation [CodeX]</t>
  </si>
  <si>
    <t>PNG masks; mask</t>
  </si>
  <si>
    <t>Manual pixel-level annotation [Claude] | Manual LabelMe polygon annotation; converted by Python script [CodeX]</t>
  </si>
  <si>
    <t>Quality control removed patches with crack pixel occupancy below 4%</t>
  </si>
  <si>
    <t>Claude_Mendeley_001.xlsx; CodeX_Mendeley_001.xlsx</t>
  </si>
  <si>
    <t>Claude_Mendeley_001:MDL-014; CodeX_Mendeley_001:MND-001</t>
  </si>
  <si>
    <t>Image count: 1300 image-mask pairs (Claude) vs 1300 (CodeX) || Image resolution: 512x512 (Claude) vs 512 x 512 px RGB JPEG (CodeX)</t>
  </si>
  <si>
    <t>Label taxonomy: Binary pixel masks (crack = 255, background = 0); mean crack pixel occupancy 10. (Claude) vs Crack pixels; background (CodeX) || Annotation task: Semantic segmentation (Claude) vs Segmentation (CodeX) || Annotation format: JPEG RGB images with paired binary PNG masks (Claude) vs Binary PNG mask (CodeX) || Annotation method: Manual pixel-level annotation (Claude) vs Manual LabelMe polygon annotation; converted by Python script (CodeX)</t>
  </si>
  <si>
    <t>Region/City: Shenyang (Shenyang Jianzhu University campus and surrounding road network) (Claude) vs Shenyang (CodeX) || Road environment: Campus road; Urban road (Claude) vs University campus roads; surrounding road network (CodeX) || Acquisition platform: UAV (DJI Mini 4 Pro) (Claude) vs DJI Mini 4 Pro UAV (CodeX) || Key_Limitations: Single class (crack) with no distress typing or severity; one campus and its imm (Claude) vs Single-city collection; binary crack-only labels; road segment count and collect (CodeX)</t>
  </si>
  <si>
    <t>Claude+CodeX dataset (not found by GPT).</t>
  </si>
  <si>
    <t>Landing page https://data.mendeley.com/datasets/8b27pdcxv7/1 (accessed 2026-08-03); DataCite record 10.17632/8b27pdcxv7.1 [Claude] | Mendeley Data landing page, Description; Steps to reproduce; Licence; accessed 2026-08-03 [CodeX]</t>
  </si>
  <si>
    <t>PaveDistress; PaveDistress: A comprehensive dataset of pavement distresses detection</t>
  </si>
  <si>
    <t>Same Mendeley DOI (10.17632/f46zt2g83x.1); same Chinese specialized inspection-vehicle acquisition; same data article (10.1016/j.dib.2024.111111).</t>
  </si>
  <si>
    <t>Single Mendeley deposit; surfaced by GPT via GitHub-batch search</t>
  </si>
  <si>
    <t>10.17632/f46zt2g83x.1</t>
  </si>
  <si>
    <t>10.1016/j.dib.2024.111111</t>
  </si>
  <si>
    <t>3854x2065 (covering 3.9 m x 2.1 m of road surface per image) [Claude] | 3854×2065 [GPT]</t>
  </si>
  <si>
    <t>S315 highway [Claude] | S315 highway, Bayanhaote-Erkehashiha segment [GPT]</t>
  </si>
  <si>
    <t>Infrared thermography; Laser imaging</t>
  </si>
  <si>
    <t>cloudy; all-weather collection support</t>
  </si>
  <si>
    <t>Diverse lighting conditions including shadows (values not enumerated) [Claude] | daylight; dusk; tunnel; nighttime; infrared-assisted [GPT]</t>
  </si>
  <si>
    <t>Transverse crack; Longitudinal crack; Map crack; Patch; Pothole [Claude] | transverse crack; longitudinal crack; map crack; patch; pothole; background; other road-surface objects [GPT]</t>
  </si>
  <si>
    <t>Image classification; Object detection; Semantic segmentation [Claude] | classification; object detection; semantic segmentation [GPT]</t>
  </si>
  <si>
    <t>Curated real-world imagery; annotation details partially reported</t>
  </si>
  <si>
    <t>Uniform vehicle scanning at 1 mm intervals; image generated every 2 m</t>
  </si>
  <si>
    <t>ChatGPT_Github_001.xlsx; Claude_Mendeley_001.xlsx</t>
  </si>
  <si>
    <t>ChatGPT_Github_001:GH-014; Claude_Mendeley_001:MDL-013</t>
  </si>
  <si>
    <t>Image resolution: 3854x2065 (covering 3.9 m x 2.1 m of road surface per image) (Claude) vs 3854×2065 (GPT)</t>
  </si>
  <si>
    <t>Distress types: Transverse crack; Longitudinal crack; Map crack; Patch; Pothole (Claude) vs transverse crack; longitudinal crack; map crack; patch; pothole; background; oth (GPT) || Label taxonomy: Category folders for transverse, longitudinal and map cracks, patches, potholes  (Claude) vs background; crack; patch; pothole; other; crack subtypes (GPT) || Annotation task: Image classification; Object detection; Semantic segmentation (Claude) vs classification; object detection; semantic segmentation (GPT)</t>
  </si>
  <si>
    <t>AI tasks: Detection; Classification; Segmentation (Claude) vs classification; object detection; segmentation; distress measurement (GPT) || Acquisition platform: Specialised pavement inspection vehicle (Claude) vs Specialized pavement inspection vehicle; Basler raL2048-80km line-scan camera; i (GPT) || Region/City: S315 highway (Claude) vs S315 highway, Bayanhaote-Erkehashiha segment (GPT) || Road environment: Highway (Claude) vs Highway asphalt pavement (GPT) || Acquisition platform: Specialised pavement inspection vehicle (Claude) vs Specialized pavement inspection vehicle; Basler raL2048-80km line-scan camera; i (GPT) || Lighting_Conditions: Diverse lighting conditions including shadows (values not enumerated) (Claude) vs daylight; dusk; tunnel; nighttime; infrared-assisted (GPT) || Key_Limitations: No image count is stated on the canonical record or recoverable without download (Claude) vs Total image count and exact annotation schema not found; potholes are reported a (GPT)</t>
  </si>
  <si>
    <t>Image count NR in both; GPT GitHub record adds Basler raL2048-80km line-scan camera detail.</t>
  </si>
  <si>
    <t>Landing page https://data.mendeley.com/datasets/f46zt2g83x/1 (accessed 2026-08-03); data paper https://doi.org/10.1016/j.dib.2024.111111; DataCite record 10.17632/f46zt2g83x.1 [Claude] | https://data.mendeley.com/datasets/f46zt2g83x/1 description, license, download; Data in Brief 10.1016/j.dib.2024.111111 methods; accessed 2026-08-06 [GPT]</t>
  </si>
  <si>
    <t>Extract counts from the data article.</t>
  </si>
  <si>
    <t>10.17632/cbm6dkvggn.1</t>
  </si>
  <si>
    <t>Claude_Mendeley_001:MDL-027</t>
  </si>
  <si>
    <t>Landing page https://data.mendeley.com/datasets/cbm6dkvggn/1 (accessed 2026-08-03); DataCite record 10.17632/cbm6dkvggn.1</t>
  </si>
  <si>
    <t>10.17632/yb65trwbd8.3</t>
  </si>
  <si>
    <t>1920x1080</t>
  </si>
  <si>
    <t>Colombia</t>
  </si>
  <si>
    <t>Cali</t>
  </si>
  <si>
    <t>2024 to 2025</t>
  </si>
  <si>
    <t>Longitudinal or transverse crack; Alligator cracking; Pothole; Patching</t>
  </si>
  <si>
    <t>Semantic segmentation; Image classification</t>
  </si>
  <si>
    <t>Manual pixel-wise annotation</t>
  </si>
  <si>
    <t>Claude_Mendeley_001:MDL-026</t>
  </si>
  <si>
    <t>Landing page https://data.mendeley.com/datasets/yb65trwbd8/3 (accessed 2026-08-03); DataCite record 10.17632/yb65trwbd8.3</t>
  </si>
  <si>
    <t>10.17632/fgtjn9kjkd.1</t>
  </si>
  <si>
    <t>1024x1024</t>
  </si>
  <si>
    <t>Lampung Province (Bandar Lampung City; South Lampung; East Lampung; Central Lampung; Metro City; Pesawaran Regency)</t>
  </si>
  <si>
    <t>Diverse illumination reported (values not enumerated)</t>
  </si>
  <si>
    <t>Depression; Rutting; Upheaval; Pothole; Patching</t>
  </si>
  <si>
    <t>Semantic segmentation; Instance segmentation</t>
  </si>
  <si>
    <t>Manual polygon annotation</t>
  </si>
  <si>
    <t>Manual screening of all 6332 captures for image quality and annotation suitability; images without visible deformation discarded</t>
  </si>
  <si>
    <t>Claude_Mendeley_001:MDL-004</t>
  </si>
  <si>
    <t>Landing page https://data.mendeley.com/datasets/fgtjn9kjkd/1 (accessed 2026-08-03) description and licence block; DataCite record 10.17632/fgtjn9kjkd.1</t>
  </si>
  <si>
    <t>Same Mendeley deposit (10.17632/kfth5g2xk3); both describe a semantic-segmentation pothole/crack compilation from five source datasets.</t>
  </si>
  <si>
    <t>10.17632/kfth5g2xk3.2; 10.17632/kfth5g2xk3</t>
  </si>
  <si>
    <t>4340 image-mask pairs; plus 797 RGB clips and 797 disparity clips, of which 359 have binary mask clips</t>
  </si>
  <si>
    <t>Mixed resolutions (not enumerated)</t>
  </si>
  <si>
    <t>NR (aggregated from five previously published datasets) [Claude] | Multi-source [GPT]</t>
  </si>
  <si>
    <t>NR (aggregated from five previously published datasets) [Claude] | Multi-source [GPT]; Road environment: Urban road; Rural road [Claude] | Road surface [GPT]</t>
  </si>
  <si>
    <t>Mixed (inherited from five source datasets) plus OAK-D stereo depth cameras for the video subset [Claude] | Composite from five public datasets plus small author addition [GPT]</t>
  </si>
  <si>
    <t>Depth camera; Stereo camera</t>
  </si>
  <si>
    <t>Binary and multi-class segmentation masks for potholes and cracks [Claude] | Pothole and crack segmentation masks [GPT]</t>
  </si>
  <si>
    <t>Image-mask pairs; RGB-D video clips with disparity maps</t>
  </si>
  <si>
    <t>Manual annotation inherited from source datasets; semi-automatic mask generation from post-processed disparity maps for the video subset [Claude] | Assembled from five datasets; small added segmentation set [GPT]</t>
  </si>
  <si>
    <t>Authors state explicitly that the disparity-derived video masks are imperfect and are offered as a starting point rather than ground truth</t>
  </si>
  <si>
    <t>Segmentation [Claude] | Semantic segmentation [GPT]</t>
  </si>
  <si>
    <t>Aggregated from five upstream datasets, so provenance and licence compatibility must be checked per component before redistribution; countries, resolutions and collection dates are not enumerated; video-subset masks are semi-automatic and acknowledged as imperfect; CC BY-NC 3.0 blocks commercial reuse [Claude] | Composite derivative with unresolved source overlap, licensing compatibility, file counts, and provenance; unsuitable for primary ranking without file-level audit [GPT]</t>
  </si>
  <si>
    <t>Compiled from five previously published datasets (incl. stereo pothole/RTK-family sources) plus author OAK-D clips</t>
  </si>
  <si>
    <t>Pothole-600; Stereo Pothole Datasets; RTK</t>
  </si>
  <si>
    <t>Claude_Mendeley_001:MDL-005; GPT_Mendeley_001:MEN-012</t>
  </si>
  <si>
    <t>Label taxonomy: Binary and multi-class segmentation masks for potholes and cracks (Claude) vs Pothole and crack segmentation masks (GPT) || Annotation method: Manual annotation inherited from source datasets; semi-automatic mask generation (Claude) vs Assembled from five datasets; small added segmentation set (GPT)</t>
  </si>
  <si>
    <t>Country: NR (aggregated from five previously published datasets) (Claude) vs Multi-source (GPT) || AI tasks: Segmentation (Claude) vs Semantic segmentation (GPT) || Acquisition platform: Mixed (inherited from five source datasets) plus OAK-D stereo depth cameras for  (Claude) vs Composite from five public datasets plus small author addition (GPT) || Screening decision: Include-Primary (Claude) vs Include-Supplementary (GPT) || Road environment: Urban road; Rural road (Claude) vs Road surface (GPT) || Acquisition platform: Mixed (inherited from five source datasets) plus OAK-D stereo depth cameras for  (Claude) vs Composite from five public datasets plus small author addition (GPT) || Key_Limitations: Aggregated from five upstream datasets, so provenance and licence compatibility  (Claude) vs Composite derivative with unresolved source overlap, licensing compatibility, fi (GPT)</t>
  </si>
  <si>
    <t>Version v2 (Claude) vs NR (GPT); count 4,340 image-mask pairs + 797 RGB clips (Claude) vs NR (GPT); license CC BY-NC 3.0 (Claude) vs NR (GPT).</t>
  </si>
  <si>
    <t>Landing page https://data.mendeley.com/datasets/kfth5g2xk3/2 (accessed 2026-08-03) description and licence block; DataCite record 10.17632/kfth5g2xk3.2 rightsList 'Attribution-NonCommercial 3.0 Unported' [Claude] | Mendeley dataset page/search record, Description, accessed 2026-08-05 [GPT]</t>
  </si>
  <si>
    <t>Check source-dataset license compatibility.</t>
  </si>
  <si>
    <t>Pothole Mix v2 combines five parents with new data, 4,340 pairs and 797 RGB-D clips; 359 automatic mask clips are explicitly imperfect. Full parent identities and license chains are inside the uninspected archive. Do not transfer the deposit license automatically to every component.</t>
  </si>
  <si>
    <t>10.17632/5bwfg4v4cd.3</t>
  </si>
  <si>
    <t>https://www.sciencedirect.com/science/article/pii/S2352340924001033</t>
  </si>
  <si>
    <t>1080 x 1080 px video; 48 frames per video</t>
  </si>
  <si>
    <t>Hulu Sungai Tengah Regency</t>
  </si>
  <si>
    <t>Indonesia; Hulu Sungai Tengah Regency; Road environment: Road potholes; close-range top-down capture</t>
  </si>
  <si>
    <t>Xiaomi Mi 10T smartphone; top-down at about 130 cm</t>
  </si>
  <si>
    <t>Pothole foreground mask</t>
  </si>
  <si>
    <t>619 image-mask videos</t>
  </si>
  <si>
    <t>One frame manually annotated; remaining masks propagated with Adobe After Effects mask tracking</t>
  </si>
  <si>
    <t>Manual split 60/20/20; mask-propagation method documented</t>
  </si>
  <si>
    <t>Single distress class; staged top-down geometry has limited CAV transferability; frame-level image count not explicitly reported as a dataset count</t>
  </si>
  <si>
    <t>GPT_Mendeley_001:MEN-005</t>
  </si>
  <si>
    <t>Mendeley dataset page, Description/Steps to reproduce/Licence, accessed 2026-08-05</t>
  </si>
  <si>
    <t>Pothole Videos v3 separates 619 video units from 48 frames per clip and reports split counts, phone capture and automatic mask tracking from one manually drawn frame. Independent pothole/route identities and split leakage remain unresolved.</t>
  </si>
  <si>
    <t>10.17632/8wpk4c4n2m.2</t>
  </si>
  <si>
    <t>Claude_Mendeley_001:MDL-039</t>
  </si>
  <si>
    <t>Landing page https://data.mendeley.com/datasets/8wpk4c4n2m/2 (accessed 2026-08-03, description reads 'Algorithm research', file manifest not exposed to non-interactive retrieval); DataCite record 10.17632/8wpk4c4n2m.2</t>
  </si>
  <si>
    <t>10.17632/ypm4h4z25c.3</t>
  </si>
  <si>
    <t>China; Spain</t>
  </si>
  <si>
    <t>Urban, suburban and rural settings</t>
  </si>
  <si>
    <t>Longitudinal crack (D00); Transverse crack (D10); Alligator crack (D20); Pothole (D40); Block crack; Previously repaired surface</t>
  </si>
  <si>
    <t>Annotations standardised across the two national subsets; no agreement statistic reported</t>
  </si>
  <si>
    <t>Claude_Mendeley_001:MDL-022</t>
  </si>
  <si>
    <t>Landing page https://data.mendeley.com/datasets/ypm4h4z25c/3 (accessed 2026-08-03); DataCite record 10.17632/ypm4h4z25c.3</t>
  </si>
  <si>
    <t>RSD-BD: Road Surface Damage Image Dataset from Major Cities of Bangladesh for Deep Learning and Computer Vision Research; RSD-BD: Road Surface Damage Image Dataset from Major Cities of Bangladesh for Deep Learning &amp; Computer Vision Research</t>
  </si>
  <si>
    <t>Same Mendeley DOI (10.17632/745n5wnt7v.1); identical count (1,500; 500 per class); same three classes.</t>
  </si>
  <si>
    <t>10.17632/745n5wnt7v.1</t>
  </si>
  <si>
    <t>Varied high resolution (exact values not enumerated) [Claude] | Varied high resolution [GPT]</t>
  </si>
  <si>
    <t>Dhaka; Mymensingh; Chattogram</t>
  </si>
  <si>
    <t>Diverse lighting conditions and angles (values not enumerated) [Claude] | Diverse lighting [GPT]</t>
  </si>
  <si>
    <t>Asphalt damage; Crack; Pothole</t>
  </si>
  <si>
    <t>Claude_Mendeley_001:MDL-023; GPT_Mendeley_001:MEN-008</t>
  </si>
  <si>
    <t>Image count: 1500 (500 per class) (Claude) vs 1500 (GPT) || Image resolution: Varied high resolution (exact values not enumerated) (Claude) vs Varied high resolution (GPT)</t>
  </si>
  <si>
    <t>Label taxonomy: 3 balanced image-level classes of 500 images each (Claude) vs 500 asphalt-damage;500 crack;500 pothole images (GPT) || Annotation format: JPG images in class folders (Claude) vs JPG;class folders or structure NR (GPT)</t>
  </si>
  <si>
    <t>AI tasks: Classification (Claude) vs Classification;Benchmarking;Severity assessment (potential use) (GPT) || Road environment: Urban road; Semi-urban road (Claude) vs Urban;semi-urban roads (GPT) || Lighting_Conditions: Diverse lighting conditions and angles (values not enumerated) (Claude) vs Diverse lighting (GPT) || Key_Limitations: Image-level classification labels only, with no localisation, severity or annota (Claude) vs Annotation method, exact image resolution, license, and collection platform not  (GPT)</t>
  </si>
  <si>
    <t>License CC BY 4.0 (Claude) vs NR (GPT).</t>
  </si>
  <si>
    <t>Landing page https://data.mendeley.com/datasets/745n5wnt7v/1 (accessed 2026-08-03); DataCite record 10.17632/745n5wnt7v.1 [Claude] | Mendeley dataset page, Description, accessed 2026-08-05 [GPT]</t>
  </si>
  <si>
    <t>Structural Defects Network (SDNET) 2018; SDNET2018 Pavement Subset; SDNET2018</t>
  </si>
  <si>
    <t>Version 1 [Claude] | 2 [Test_Batch]</t>
  </si>
  <si>
    <t>Same dataset (Utah State University; 16 MP Nikon; 56,092 sub-images; 10.15142/T3TD19; 10.1016/j.dib.2018.11.015); Kaggle page (aniruddhsharma) and Mendeley deposit (10.17632/5y9wdsg2zt.2) hold the same data.</t>
  </si>
  <si>
    <t>Mirror: institutional dataset re-hosted on Kaggle and Mendeley Data</t>
  </si>
  <si>
    <t>https://data.mendeley.com/datasets/5y9wdsg2zt/2</t>
  </si>
  <si>
    <t>https://www.kaggle.com/datasets/aniruddhsharma/structural-defects-network-concrete-crack-images</t>
  </si>
  <si>
    <t>10.15142/T3TD19; 10.17632/5y9wdsg2zt.2</t>
  </si>
  <si>
    <t>https://digitalcommons.usu.edu/all_datasets/48/ [Claude] | https://doi.org/10.1016/j.conbuildmat.2018.08.011 [GPT] | https://doi.org/10.1016/j.dib.2018.11.015 [Test_Batch]</t>
  </si>
  <si>
    <t>10.1016/j.conbuildmat.2018.08.011; 10.1016/j.dib.2018.11.015</t>
  </si>
  <si>
    <t>https://digitalcommons.usu.edu/all_datasets/48/; https://doi.org/10.1016/j.conbuildmat.2018.08.011; https://doi.org/10.1016/j.dib.2018.11.015</t>
  </si>
  <si>
    <t>104</t>
  </si>
  <si>
    <t>256x256 (sub-images cropped from higher-resolution source photographs) [Claude] | 256 x 256 px subimages [GPT] | 256x256 [Test_Batch]</t>
  </si>
  <si>
    <t>Logan, Utah (Utah State University campus) [Claude] | Utah State University campus;Logan;Utah [GPT]</t>
  </si>
  <si>
    <t>Shadows present [Claude] | Natural outdoor lighting;shadows [GPT]</t>
  </si>
  <si>
    <t>Crack [Claude] | Crack;No crack [GPT] | concrete crack; non-crack [Test_Batch]</t>
  </si>
  <si>
    <t>Manual labelling of each 256x256 sub-image [Claude] | 104 original pavement photographs segmented into 256 x 256 px subimages and labeled cracked or uncracked [GPT] | Image patches labeled by crack presence [Test_Batch]</t>
  </si>
  <si>
    <t>Original source documents collection and labeling method; independent annotation audit NR</t>
  </si>
  <si>
    <t>AlexNet transfer learning</t>
  </si>
  <si>
    <t>AlexNet transfer learning: Accuracy = 95.52% for pavement subset in associated publication</t>
  </si>
  <si>
    <t>Include-Primary [Claude] | Include-Supplementary [GPT/Test_Batch]</t>
  </si>
  <si>
    <t>Claude_Kaggle_001.xlsx; GPT_Kaggle_001.xlsx; Github_Github_Test.xlsx</t>
  </si>
  <si>
    <t>Claude_Kaggle_001:KG-010; GPT_Kaggle_001:KAG-016; Github_Github_Test:GITHUB-023</t>
  </si>
  <si>
    <t>Image count: 56092 (Claude/Test_Batch) vs 24334 (GPT) || Image resolution: 256x256 (sub-images cropped from higher-resolution source photographs) (Claude) vs 256 x 256 px subimages (GPT) vs 256x256 (Test_Batch)</t>
  </si>
  <si>
    <t>Distress types: Crack (Claude) vs Crack;No crack (GPT) vs concrete crack; non-crack (Test_Batch) || Label taxonomy: Binary sub-image label: Cracked;Non-cracked (Claude) vs Pavement subset: 2,608 cracked and 21,726 uncracked subimages (GPT) vs cracked; non-cracked; pavement; bridge deck; wall (Test_Batch) || Annotation format: Folder-per-class image directories (Claude) vs JPEG subimages;C or U binary labels (GPT) vs Folder labels (Test_Batch) || Annotation method: Manual labelling of each 256x256 sub-image (Claude) vs 104 original pavement photographs segmented into 256 x 256 px subimages and labe (GPT) vs Image patches labeled by crack presence (Test_Batch)</t>
  </si>
  <si>
    <t>Release year: 2020 (Claude) vs 2018 (GPT/Test_Batch) || Version: Version 1 (Claude) vs 2 (Test_Batch) || Access status: Registration (Claude/GPT) vs Direct_Download (Test_Batch) || License: Other (specified in description) (Claude) vs CC BY 4.0 (GPT) || AI tasks: Image classification;Crack detection benchmarking (Claude) vs Binary classification;Crack detection (GPT) vs classification (Test_Batch) || Acquisition platform: Handheld digital camera (16 MP Nikon) (Claude) vs 16 MP Nikon digital camera (GPT) vs Digital camera (Test_Batch) || Screening decision: Include-Primary (Claude) vs Include-Supplementary (GPT/Test_Batch) || Region/City: Logan, Utah (Utah State University campus) (Claude) vs Utah State University campus;Logan;Utah (GPT) || Road environment: Campus roads and sidewalks (pavement subset);bridge decks;building walls (Claude) vs Roads and sidewalks;concrete pavement (GPT) vs Pavement; bridge deck; wall (Test_Batch) || Publications: https://digitalcommons.usu.edu/all_datasets/48/ (Claude) vs https://doi.org/10.1016/j.conbuildmat.2018.08.011 (GPT) vs https://doi.org/10.1016/j.dib.2018.11.015 (Test_Batch) || Acquisition platform: Handheld digital camera (16 MP Nikon) (Claude) vs 16 MP Nikon digital camera (GPT) vs Digital camera (Test_Batch) || Lighting_Conditions: Shadows present (Claude) vs Natural outdoor lighting;shadows (GPT) || Key_Limitations: Only 104 of the 230 source photographs are pavement (the remainder are bridge de (Claude) vs Kaggle is a mirror of a broader concrete dataset containing bridge-deck, wall, a (GPT) vs Concrete-focused mixed-structure dataset; pavement subset is not the entire corp (Test_Batch)</t>
  </si>
  <si>
    <t>Count-convention conflict: 56,092 total (Claude; Test) vs 24,334 pavement subset (GPT) vs 230 pavement images cited in 12_PavementScapes.xlsx; only ~104-230 photographs are pavement-specific (Claude README notes a 104-photograph pavement subset). Mostly concrete/bridge-deck imagery - pavement share is small.</t>
  </si>
  <si>
    <t>Kaggle dataset page 'About Dataset' (56,000+ sub-images; 230 source images comprising 54 bridge decks, 72 walls and 104 pavements; 16 MP Nikon camera; 256x256 segmentation; crack widths 0.06-25 mm; Utah State University campus, Logan, Utah); Kaggle API record /api/v1/datasets/view/aniruddhsharma/structural-defects-network-concrete-crack-images; accessed 2026-08-03 [Claude] | Kaggle mirror page; Utah State University canonical dataset record, Description/Methodology/License; associated publication, accessed 2026-08-06 [GPT] | https://data.mendeley.com/datasets/5y9wdsg2zt/2; dataset record and data paper; GitHub public-dataset listings; accessed 2026-08-01 [Test_Batch]</t>
  </si>
  <si>
    <t>Use pavement subset only; cite canonical USU/Mendeley source.</t>
  </si>
  <si>
    <t>IDENTITY CORRECTION: the inventory preferred Mendeley DOI belongs to Ozgenel's building dataset, not SDNET2018. This assessment uses the original USU SDNET2018 release 10.15142/T3TD19: 230 source photos (104 pavement), cropped labels, Nikon capture and archive checksum. Preserve the old link for audit; evaluate the pavement subset separately.</t>
  </si>
  <si>
    <t>10.17632/gd5t95rv5t.1</t>
  </si>
  <si>
    <t>7 streets</t>
  </si>
  <si>
    <t>256x256 tiles (original resolution NR)</t>
  </si>
  <si>
    <t>Romania</t>
  </si>
  <si>
    <t>Bucharest (7 streets)</t>
  </si>
  <si>
    <t>Morning; Noon; Evening</t>
  </si>
  <si>
    <t>Longitudinal crack; Transverse crack; Block crack; Alligator crack</t>
  </si>
  <si>
    <t>Claude_Mendeley_001:MDL-030</t>
  </si>
  <si>
    <t>Landing page https://data.mendeley.com/datasets/gd5t95rv5t/1 (accessed 2026-08-03, file manifest not exposed to non-interactive retrieval); DataCite record 10.17632/gd5t95rv5t.1</t>
  </si>
  <si>
    <t>UAV Dataset for Automated Road Surface Degradation Detection in Real-World Conditions (released as RoadAnomaly-YOLO)</t>
  </si>
  <si>
    <t>Same Mendeley DOI (10.17632/c6f2b7mx9t.1); identical count (11,024; 8,306/2,012/706 split); same UAV + ground camera acquisition.</t>
  </si>
  <si>
    <t>10.17632/c6f2b7mx9t.1</t>
  </si>
  <si>
    <t>8306</t>
  </si>
  <si>
    <t>2012</t>
  </si>
  <si>
    <t>706</t>
  </si>
  <si>
    <t>640x640 [Claude] | 640 x 640 px RGB JPEG/PNG [CodeX]</t>
  </si>
  <si>
    <t>Varying weather reported (values not enumerated) [Claude] | Varying [CodeX]</t>
  </si>
  <si>
    <t>Varying lighting reported (values not enumerated) [Claude] | Varying [CodeX]</t>
  </si>
  <si>
    <t>Alligator cracking; Longitudinal crack; Transverse crack; Rutting; Pothole; Stripping; Raveling; Bleeding</t>
  </si>
  <si>
    <t>Object detection [Claude] | Object detection;  | ⦁ UAV-based road condition monitoring | ⦁ Intelligent transportation systems | ⦁ Automated maintenance planning | ⦁ Object detection model training (YOLO, Faster R-CNN, RetinaNet, etc.) | ⦁ Benchmarking and academic research [CodeX]</t>
  </si>
  <si>
    <t>Claude_Mendeley_001:MDL-016; CodeX_Mendeley_001:MND-003</t>
  </si>
  <si>
    <t>Image count: 11024 (8306 train / 2012 validation / 706 test) (Claude) vs 11024 (CodeX) || Image resolution: 640x640 (Claude) vs 640 x 640 px RGB JPEG/PNG (CodeX)</t>
  </si>
  <si>
    <t>Label taxonomy: 8 pavement distress classes as bounding boxes (Claude) vs Eight road-anomaly classes (CodeX) || Annotation task: Object detection (Claude) vs Object detection;  | ⦁ UAV-based road condition monitoring | ⦁ Intelligent trans (CodeX) || Annotation format: YOLO TXT (class_id, x_center, y_center, width, height) (Claude) vs YOLO TXT bounding boxes (class_id x_center y_center width height)) (CodeX)</t>
  </si>
  <si>
    <t>Acquisition platform: UAV (drone) and ground-based cameras (Claude) vs UAV; ground-based camera (CodeX) || Road environment: Urban road; Rural road (Claude) vs Urban; rural (CodeX) || Acquisition platform: UAV (drone) and ground-based cameras (Claude) vs UAV; ground-based camera (CodeX) || Weather_Conditions: Varying weather reported (values not enumerated) (Claude) vs Varying (CodeX) || Lighting_Conditions: Varying lighting reported (values not enumerated) (Claude) vs Varying (CodeX) || Key_Limitations: No country, region or collection date is reported anywhere on the record, which  (Claude) vs Country, exact locations, road segment count, QA protocol, and evaluation metric (CodeX)</t>
  </si>
  <si>
    <t>Landing page https://data.mendeley.com/datasets/c6f2b7mx9t/1 (accessed 2026-08-03); DataCite record 10.17632/c6f2b7mx9t.1 [Claude] | Mendeley Data landing page, Description; Files; Licence; accessed 2026-08-03 [CodeX]</t>
  </si>
  <si>
    <t>3100x2088</t>
  </si>
  <si>
    <t>Liaoning Province</t>
  </si>
  <si>
    <t>Bright; low-light</t>
  </si>
  <si>
    <t>Manual pixel-level annotation by multiple annotators</t>
  </si>
  <si>
    <t>Multiple annotators; paper/card-described review process</t>
  </si>
  <si>
    <t>ChatGPT_Huggingface_001.xlsx</t>
  </si>
  <si>
    <t>ChatGPT_Huggingface_001:HF014</t>
  </si>
  <si>
    <t>https://huggingface.co/datasets/lambert1862/BLACrack — dataset card Dataset Composition, Image Acquisition, Annotation, License, and Data Availability sections (accessed 2026-08-06)</t>
  </si>
  <si>
    <t>arXiv:2403.03063</t>
  </si>
  <si>
    <t>https://arxiv.org/abs/2403.03063</t>
  </si>
  <si>
    <t>Well-illuminated; Low-light</t>
  </si>
  <si>
    <t>Crack (surface type unresolved)</t>
  </si>
  <si>
    <t>CrackNex (ICRA 2024)</t>
  </si>
  <si>
    <t>Claude_Huggingface_001.xlsx</t>
  </si>
  <si>
    <t>Claude_Huggingface_001:DSHF-004</t>
  </si>
  <si>
    <t>HF dataset card README (task tags, license apache-2.0, counts 102+41, ICRA 2024 citation, code link) retrieved via indexed card content 2026-08-06</t>
  </si>
  <si>
    <t>ChatGPT_Huggingface_001:HF017</t>
  </si>
  <si>
    <t>https://huggingface.co/datasets?other=crack-detection — Hub search listing for Mr-Perfectuz/crack; direct page verification incomplete (accessed 2026-08-06)</t>
  </si>
  <si>
    <t>Same distinctive name (CrackBlock600k/600K); both Chinese line-scan inspection-vehicle (CiCS I) crack data; both 2025 releases supporting classification and segmentation; same paper reference family (HF papers/2511.04572).</t>
  </si>
  <si>
    <t>Hugging Face; Zenodo</t>
  </si>
  <si>
    <t>Duplicate deposit: HF (Ricecake-m/CrackBlock600K) and Zenodo record 17636238</t>
  </si>
  <si>
    <t>https://huggingface.co/datasets/Ricecake-m/CrackBlock600K</t>
  </si>
  <si>
    <t>10.5281/zenodo.17636238</t>
  </si>
  <si>
    <t>https://huggingface.co/papers/2511.04572</t>
  </si>
  <si>
    <t>3400x2200 [Claude] | 1000x1000 patches; source imagery 2000x3000 standardized to 2200x3400 [GPT]</t>
  </si>
  <si>
    <t>Zhejiang Province</t>
  </si>
  <si>
    <t>Real-world highway lighting; exact categories NR</t>
  </si>
  <si>
    <t>Image_Classification;Semantic_Segmentation [Claude] | Semantic_Segmentation; Image_Classification [GPT]</t>
  </si>
  <si>
    <t>Manual_with_Expert_Verification [Claude] | Three-stage manual review with expert checking [GPT]</t>
  </si>
  <si>
    <t>Three-stage annotation pipeline: manual annotation, expert verification, cross-checking for consistency [Claude] | Manual labeling; expert review; cross-checking [GPT]</t>
  </si>
  <si>
    <t>CiCS pavement crack image dataset (same acquisition system lineage)</t>
  </si>
  <si>
    <t>ChatGPT_Huggingface_001.xlsx; Claude_Zendo_001.xlsx</t>
  </si>
  <si>
    <t>ChatGPT_Huggingface_001:HF006; Claude_Zendo_001:ZEN-006</t>
  </si>
  <si>
    <t>Image count: 50000 (Claude) vs 600000 (GPT) || Image resolution: 3400x2200 (Claude) vs 1000x1000 patches; source imagery 2000x3000 standardized to 2200x3400 (GPT)</t>
  </si>
  <si>
    <t>Label taxonomy: Block-level binary label: 1 = crack present, 0 = no crack (600,000 1000x1000 pat (Claude) vs Crack/non-crack patch labels; pixel-level crack masks reported for supported tas (GPT) || Annotation task: Image_Classification;Semantic_Segmentation (Claude) vs Semantic_Segmentation; Image_Classification (GPT) || Annotation format: PNG_Mask;Block_Label_Map (Claude) vs Image patches; segmentation masks; metadata files (GPT) || Annotation method: Manual_with_Expert_Verification (Claude) vs Three-stage manual review with expert checking (GPT) || Annotation QC: Three-stage annotation pipeline: manual annotation, expert verification, cross-c (Claude) vs Manual labeling; expert review; cross-checking (GPT)</t>
  </si>
  <si>
    <t>AI tasks: Semantic_Segmentation;Image_Classification;Label_Noise_Mitigation (Claude) vs Image_Classification; Semantic_Segmentation (GPT) || Acquisition platform: Survey_Vehicle (Claude) vs CiCS I inspection vehicle; fixed line-scan camera; approximately 30 km/h (GPT) || Acquisition platform: Survey_Vehicle (Claude) vs CiCS I inspection vehicle; fixed line-scan camera; approximately 30 km/h (GPT) || Key_Limitations: Grayscale only and single distress class (crack); block-level binary labels are  (Claude) vs Geographically concentrated; overlapping patches may inflate nominal sample coun (GPT)</t>
  </si>
  <si>
    <t>Scale-convention conflict: 600,000 (HF; block/patch count) vs 50,000 grayscale source images (Zenodo structure section; Zenodo record itself also states 2000x3000 source vs 3400x2200 standardized - internal inconsistency flagged by Claude). No cross-link between deposits verified; not merged beyond Probable.</t>
  </si>
  <si>
    <t>Zenodo record https://zenodo.org/records/17636238 description (sections 'Dataset Structure','Dataset Construction','Intended Use'), accessed 2026-08-03 [Claude] | https://huggingface.co/datasets/Ricecake-m/CrackBlock600K — dataset card Acquisition, Preprocessing, Annotation and License sections; https://huggingface.co/papers/2511.04572 (accessed 2026-08-06) [GPT]</t>
  </si>
  <si>
    <t>Compare file manifests of the HF and Zenodo deposits.</t>
  </si>
  <si>
    <t>Instance_Segmentation</t>
  </si>
  <si>
    <t>COCO JSON; COCO; JSON</t>
  </si>
  <si>
    <t>Manual (Roboflow workflow)</t>
  </si>
  <si>
    <t>Claude_Huggingface_001:DSHF-005</t>
  </si>
  <si>
    <t>HF dataset page metadata and commit history pages (tags roboflow/roboflow2huggingface; size &lt;1K; parquet updates Jan-Aug 2023) retrieved 2026-08-06</t>
  </si>
  <si>
    <t>Multiple</t>
  </si>
  <si>
    <t>Global</t>
  </si>
  <si>
    <t>AI-generated pothole detections on Mapillary imagery</t>
  </si>
  <si>
    <t>Automated labels; manual validation methodology not sufficiently documented</t>
  </si>
  <si>
    <t>ChatGPT_Huggingface_001:HF011</t>
  </si>
  <si>
    <t>https://huggingface.co/datasets/Outerview/global-potholes-dataset — data card sample/full-size statement, formats, Mapillary source, geolocation fields, update statement, and license (accessed 2026-08-06)</t>
  </si>
  <si>
    <t>pothole-segmentation; keremberke/pothole-segmentation</t>
  </si>
  <si>
    <t>Same HF dataset id; identical count (90); same Roboflow pothole source; same CC BY 4.0 license.</t>
  </si>
  <si>
    <t>Single HF dataset (export of a Roboflow Universe project)</t>
  </si>
  <si>
    <t>https://universe.roboflow.com/imacs-pothole-detection-wo8mu/pothole-detection-irkz9 [Claude] | https://huggingface.co/datasets/keremberke/pothole-segmentation [GPT]</t>
  </si>
  <si>
    <t>640x640</t>
  </si>
  <si>
    <t>Manual (Roboflow workflow) [Claude] | Exported from a Roboflow project; source annotation method NR [GPT]</t>
  </si>
  <si>
    <t>No augmentation reported; detailed annotation quality control NR</t>
  </si>
  <si>
    <t>Roboflow Universe pothole-detection-irkz3 project</t>
  </si>
  <si>
    <t>ChatGPT_Huggingface_001.xlsx; Claude_Huggingface_001.xlsx</t>
  </si>
  <si>
    <t>ChatGPT_Huggingface_001:HF010; Claude_Huggingface_001:DSHF-001</t>
  </si>
  <si>
    <t>Label taxonomy: Single class: pothole (Claude) vs Single pothole class with pixel/instance segmentation annotations (GPT) || Annotation format: COCO JSON (polygon) (Claude) vs COCO JSON; image files (GPT) || Annotation method: Manual (Roboflow workflow) (Claude) vs Exported from a Roboflow project; source annotation method NR (GPT)</t>
  </si>
  <si>
    <t>Version: HF export of Roboflow IMACS Pothole Detection v4 (Claude) vs Roboflow export dated 2023-01-15 (GPT) || AI tasks: Image segmentation; object detection (Claude) vs Instance_Segmentation (GPT) || Screening decision: Include-Primary (Claude) vs Include-Supplementary (GPT) || Road environment: Mixed urban/rural street-view scenes (per sample images) (Claude) vs Mixed (GPT) || Publications: https://universe.roboflow.com/imacs-pothole-detection-wo8mu/pothole-detection-ir (Claude) vs https://huggingface.co/datasets/keremberke/pothole-segmentation (GPT) || Key_Limitations: Very small (90 images); single distress class; no collection context, geography, (Claude) vs Very small dataset; acquisition location, camera platform, image resolution, and (GPT)</t>
  </si>
  <si>
    <t>HF dataset card sections 'Dataset Labels', 'Number of Images', 'License', 'Dataset Summary'; dataset viewer confirmed 99 rows/3 splits; accessed 2026-08-06 [Claude] | https://huggingface.co/datasets/keremberke/pothole-segmentation — data card export date, image count, COCO format, and augmentation statement (accessed 2026-08-06) [GPT]</t>
  </si>
  <si>
    <t>Use as-is (small sample).</t>
  </si>
  <si>
    <t>Claude_Huggingface_001:DSHF-008</t>
  </si>
  <si>
    <t>HF file page for pothole-segmentation2.py (tags roboflow/roboflow2huggingface, task Object Detection, size &lt;1K, upload ~2023) retrieved 2026-08-06</t>
  </si>
  <si>
    <t>Source-dependent</t>
  </si>
  <si>
    <t>Road_Damage</t>
  </si>
  <si>
    <t>Teacher-model pseudo-labeling with FRDC-RDD on n-rdd2024-augmented images</t>
  </si>
  <si>
    <t>Model-generated labels; manual audit coverage NR</t>
  </si>
  <si>
    <t>N-RDD2024 (FRDC-distilled pseudo-labels)</t>
  </si>
  <si>
    <t>ChatGPT_Huggingface_001:HF012</t>
  </si>
  <si>
    <t>https://huggingface.co/datasets/TamAko783/n-rdd2024-distilled-frdc — data card/config description of 10-class YOLO data, teacher model, and base images; road-damage tag search update date (accessed 2026-08-06)</t>
  </si>
  <si>
    <t>1.0 / initial public release</t>
  </si>
  <si>
    <t>arXiv:2604.02804</t>
  </si>
  <si>
    <t>20124</t>
  </si>
  <si>
    <t>Inspection vehicle; line-scan top-down camera</t>
  </si>
  <si>
    <t>Crack; Pothole; Repair_Patch; Manhole_Cover; Surface_Damage</t>
  </si>
  <si>
    <t>Image-level condition labels; object bounding boxes; pixel masks; visual question-answer pairs</t>
  </si>
  <si>
    <t>Multi_Task</t>
  </si>
  <si>
    <t>Image files; bounding boxes; segmentation masks; QA pairs</t>
  </si>
  <si>
    <t>Manual multi-task annotation by multiple annotators</t>
  </si>
  <si>
    <t>Multiple annotators; cross-checking; paper-reported quality-control workflow</t>
  </si>
  <si>
    <t>Image_Classification; Object_Detection; Semantic_Segmentation; Visual_Question_Answering</t>
  </si>
  <si>
    <t>Noncommercial/share-alike license; collection is geographically concentrated; collection dates, weather, season, and most auxiliary sensor fields are not reported.</t>
  </si>
  <si>
    <t>ChatGPT_Huggingface_001:HF001</t>
  </si>
  <si>
    <t>https://huggingface.co/datasets/MML-Group/PaveBench — Dataset card sections About the Dataset and Multi-Task Visual Perception; https://arxiv.org/abs/2604.02804 — dataset construction and annotation sections (accessed 2026-08-06)</t>
  </si>
  <si>
    <t>Retain the PaveBench worked-example evidence assignments from the v2.0 rubric report; current direct fetch was blocked. Scores are documented lower bounds, not evidence of opening the full payload. The card reports 20,124 512 × 512 images and 32,160 QA pairs. Six classification categories differ from four detection categories. The paper describes multi-annotator cross-validation, expert mask tracing and review. Line-scan capture and preprocessing are documented. These support L1–L4, D2/D4/D5, C2, R1/R2 and M1/M5. A pinned commit plus tree supports V1. Pixel dimensions alone do not meet physical-scale M2. Quantitative reliability, acquisition-group independence and measured management links remain U. The atlas taxonomy needs reconciliation; maintenance-language answers are not observed treatment outcomes.</t>
  </si>
  <si>
    <t>road-issues-detection-dataset; Programmer-RD-AI/road-issues-detection-dataset; Road Issues Detection Dataset</t>
  </si>
  <si>
    <t>Identical count (9,660) on both platforms; same author (Programmer-RD-AI / programmerrdai); HF record carries DOI 10.57967/hf/6188; both platform pages describe the same compiled road-issue classification set.</t>
  </si>
  <si>
    <t>Duplicate deposit by the same author on Hugging Face and Kaggle</t>
  </si>
  <si>
    <t>https://www.kaggle.com/datasets/programmerrdai/road-issues-detection-dataset</t>
  </si>
  <si>
    <t>10.57967/hf/6188</t>
  </si>
  <si>
    <t>https://doi.org/10.57967/hf/6188</t>
  </si>
  <si>
    <t>Varies (320-640 px width per viewer) [Claude] | High resolution; exact values vary or are NR [GPT]</t>
  </si>
  <si>
    <t>Multiple [GPT] | Multi-source [GPT]</t>
  </si>
  <si>
    <t>Mixed [GPT] | Variable [GPT]</t>
  </si>
  <si>
    <t>Pothole; Road surface damage [Claude] | Pothole;Damaged road surface [Claude] | Road_Damage; Pothole; Non_Pavement_Road_Issues [GPT] | Pothole;Damaged road;Other urban issue [GPT]</t>
  </si>
  <si>
    <t>Image_Classification [Claude/GPT] | Image classification [Claude] | Image classification;Object detection as a proposed use [GPT]</t>
  </si>
  <si>
    <t>Curated from 8 pre-existing labelled sources (Roboflow; Kaggle; Mendeley) [Claude] | Compiled from multiple external sources [Claude] | Aggregation and harmonization of multiple public datasets [GPT] | Compiled from Roboflow, Kaggle, and Mendeley sources [GPT]</t>
  </si>
  <si>
    <t>Include-Primary [Claude] | Include-Supplementary [Claude/GPT]</t>
  </si>
  <si>
    <t>ChatGPT_Huggingface_001.xlsx; Claude_Huggingface_001.xlsx; Claude_Kaggle_001.xlsx; GPT_Kaggle_001.xlsx</t>
  </si>
  <si>
    <t>ChatGPT_Huggingface_001:HF009; Claude_Huggingface_001:DSHF-002; Claude_Kaggle_001:KG-037; GPT_Kaggle_001:KAG-012</t>
  </si>
  <si>
    <t>Image resolution: Varies (320-640 px width per viewer) (Claude) vs High resolution; exact values vary or are NR (GPT)</t>
  </si>
  <si>
    <t>Distress types: Pothole; Road surface damage (Claude) vs Pothole;Damaged road surface (Claude) vs Road_Damage; Pothole; Non_Pavement_Road_Issues (GPT) vs Pothole;Damaged road;Other urban issue (GPT) || Label taxonomy: 7 folder classes: Broken Road Sign; Damaged Road; Pothole; Illegal Parking; Mixe (Claude) vs Folder-level classes: Pothole Issues;Damaged Road issues;Broken Road Sign Issues (Claude) vs Seven source-derived road-issue categories; pavement distress is only part of th (GPT) vs Seven broad issue categories including pothole and damaged road; other classes i (GPT) || Annotation task: Image_Classification (Claude/GPT) vs Image classification (Claude) vs Image classification;Object detection as a proposed use (GPT) || Annotation format: Imagefolder (class-per-directory) (Claude) vs Folder-per-class image directories (Claude) vs JPEG images; image-folder labels (GPT) vs JPG images organized by issue category; object-level annotation format NR (GPT) || Annotation method: Curated from 8 pre-existing labelled sources (Roboflow; Kaggle; Mendeley) (Claude) vs Compiled from multiple external sources (Claude) vs Aggregation and harmonization of multiple public datasets (GPT) vs Compiled from Roboflow, Kaggle, and Mendeley sources (GPT)</t>
  </si>
  <si>
    <t>Release year: 2025 (Claude/GPT) vs 2026 (GPT) || Version: c0c9c37 (Claude) vs Version 2 (Claude) vs 1.0 (GPT) || Access status: Direct_Download (Claude/GPT) vs Registration (Claude/GPT) || License: CC0-1.0 (Claude) vs MIT (Claude) vs CC0 1.0 (GPT) || Country: Multiple (GPT) vs Multi-source (GPT) || AI tasks: Image classification; object detection (stated); multi-label classification (sta (Claude) vs Image classification;Object detection;Multi-label classification (Claude) vs Image_Classification (GPT) vs Classification;Object detection (GPT) || Screening decision: Include-Primary (Claude) vs Include-Supplementary (Claude/GPT) || Road environment: Urban streets and public spaces (Claude) vs Urban (Claude) vs Mixed (GPT) vs Urban road and street scenes (GPT) || Acquisition platform: Compiled from multiple public repositories (GPT) vs Composite from multiple public repositories; acquisition platforms vary (GPT) || Lighting_Conditions: Mixed (GPT) vs Variable (GPT) || Key_Limitations: Composite of third-party sources with mixed non-pavement classes (signs, parking (Claude) vs Only two of the six folders are pavement-condition classes; the remainder cover  (Claude) vs Mixed road-issue scope; coarse image-level labels; heterogeneous provenance and  (GPT) vs Broad multi-issue composite rather than a pavement-specific benchmark; source ov (GPT)</t>
  </si>
  <si>
    <t>License conflict: CC0 1.0 (HF) vs MIT (Kaggle metadata).</t>
  </si>
  <si>
    <t>HF dataset card sections 'Dataset Summary', 'Source Data', 'Dataset Statistics', 'Licensing Information', 'Dataset Version'; viewer confirmed 9,660 rows/7 classes; accessed 2026-08-06 [Claude] | Kaggle dataset page 'About Dataset' (9,660 RGB images, directory tree listing the six issue folders, supported-task list, statement of compilation from multiple sources); Kaggle API record /api/v1/datasets/view/programmerrdai/road-issues-detection-dataset; accessed 2026-08-03 [Claude] | https://huggingface.co/datasets/Programmer-RD-AI/road-issues-detection-dataset — data card dataset composition, class scope, image count, license, and DOI (accessed 2026-08-06) [GPT] | Kaggle dataset page, description, source list, category structure, and license label, accessed 2026-08-06 [GPT]</t>
  </si>
  <si>
    <t>Use HF record (has DOI).</t>
  </si>
  <si>
    <t>ChatGPT_Huggingface_001:HF016</t>
  </si>
  <si>
    <t>https://huggingface.co/datasets/Emanyaser/road-damage-classification — repository task tag, gating notice, file size, and absent data card (accessed 2026-08-06)</t>
  </si>
  <si>
    <t>Multiple urban and rural locations</t>
  </si>
  <si>
    <t>Longitudinal_Crack; Transverse_Crack; Alligator_Crack; Pothole</t>
  </si>
  <si>
    <t>Existing source boxes converted and filtered</t>
  </si>
  <si>
    <t>Quality filtering and verification described; detailed inter-rater statistics NR</t>
  </si>
  <si>
    <t>RDD family (filtered USA subset)</t>
  </si>
  <si>
    <t>RDD2022 (USA subset)</t>
  </si>
  <si>
    <t>ChatGPT_Huggingface_001:HF008</t>
  </si>
  <si>
    <t>https://huggingface.co/datasets/cvtechniques/Road_Damage_Detection_USA — dataset card Overview, Class Distribution, Processing, and Environmental Conditions (accessed 2026-08-06)</t>
  </si>
  <si>
    <t>Hugging Face main release</t>
  </si>
  <si>
    <t>https://huggingface.co/datasets/rezzzq/RSCD-1million</t>
  </si>
  <si>
    <t>https://arxiv.org/abs/2208.04266</t>
  </si>
  <si>
    <t>1028000</t>
  </si>
  <si>
    <t>Multiple; Road environment: Mixed</t>
  </si>
  <si>
    <t>Image aggregation; original acquisition platforms NR</t>
  </si>
  <si>
    <t>Dry; Wet; Water; Snow/Ice conditions represented</t>
  </si>
  <si>
    <t>Surface_Severity; Wet_Surface; Snow_Ice</t>
  </si>
  <si>
    <t>Twenty-seven combinations derived from surface type, moisture state, severity, and snow/ice state</t>
  </si>
  <si>
    <t>JPG images; image-folder labels</t>
  </si>
  <si>
    <t>Source compilation and class assignment; detailed provenance and annotation workflow NR</t>
  </si>
  <si>
    <t>Large nominal size but weak image-level provenance, geographic documentation, acquisition metadata, and annotation quality-control evidence; Hub viewer returned an error during verification.</t>
  </si>
  <si>
    <t>Aggregated road surface condition imagery (RSCD)</t>
  </si>
  <si>
    <t>ChatGPT_Huggingface_001:HF007</t>
  </si>
  <si>
    <t>https://huggingface.co/datasets/rezzzq/RSCD-1million — dataset card class structure, image count, file format, license, and citation (accessed 2026-08-06)</t>
  </si>
  <si>
    <t>The RSCD-1million primary HF source could not be retrieved. No inventory count or million-scale title is converted into rubric points without source verification.</t>
  </si>
  <si>
    <t>Pothole-detection-Yolov8</t>
  </si>
  <si>
    <t>Same HF dataset id in both records.</t>
  </si>
  <si>
    <t>Single HF dataset</t>
  </si>
  <si>
    <t>Include-Supplementary [Claude] | Pending [GPT]</t>
  </si>
  <si>
    <t>ChatGPT_Huggingface_001:HF015; Claude_Huggingface_001:DSHF-007</t>
  </si>
  <si>
    <t>Label taxonomy: Pothole labels in YOLOv8 format (per repo name) (Claude) vs Object-detection labels are present, but class definitions and provenance are no (GPT) || Annotation format: YOLO TXT (per repo name) (Claude) vs Image files; text labels (GPT)</t>
  </si>
  <si>
    <t>Version: main (Claude) vs Hugging Face main (GPT) || AI tasks: Object detection (Claude) vs Object_Detection (GPT) || Screening decision: Include-Supplementary (Claude) vs Pending (GPT) || Key_Limitations: Dataset card empty (default placeholder text); license, count, provenance, and r (Claude) vs Empty or minimal README; no reliable source dataset identity, acquisition geogra (GPT)</t>
  </si>
  <si>
    <t>Image count 880 (GPT) vs NR (Claude); screening Pending (GPT) vs Include-Supplementary (Claude); license OpenRAIL (GPT) vs NR (Claude).</t>
  </si>
  <si>
    <t>HF dataset page (placeholder card) retrieved 2026-08-06 [Claude] | https://huggingface.co/datasets/Ryukijano/Pothole-detection-Yolov8 — repository metadata, row count, task tag, files, and license tag (accessed 2026-08-06) [GPT]</t>
  </si>
  <si>
    <t>Resolve provenance before use.</t>
  </si>
  <si>
    <t>SVRDD Street View Road Damage Dataset; SVRDD_YOLO</t>
  </si>
  <si>
    <t>Same underlying data: Zenodo record 10100129 (canonical, 8,000 images, Baidu street view, China) and HF ShuoZheLi/SVRDD_YOLO (explicit YOLO-format conversion of SVRDD); same publication (10.1038/s41597-024-03263-7).</t>
  </si>
  <si>
    <t>Reformatted redistribution: canonical Zenodo deposit; Hugging Face copy converted to YOLO format</t>
  </si>
  <si>
    <t>https://huggingface.co/datasets/ShuoZheLi/SVRDD_YOLO</t>
  </si>
  <si>
    <t>10.5281/zenodo.10100129; 10.1038/s41597-024-03263-7</t>
  </si>
  <si>
    <t>10.1038/s41597-024-03263-7 [GPT] | https://doi.org/10.1038/s41597-024-03263-7 [GPT]</t>
  </si>
  <si>
    <t>10.1038/s41597-024-03263-7</t>
  </si>
  <si>
    <t>https://doi.org/10.1038/s41597-024-03263-7</t>
  </si>
  <si>
    <t>1024×1024</t>
  </si>
  <si>
    <t>Beijing: Dongcheng; Xicheng; Haidian; Chaoyang; Fengtai [GPT] | Five districts of Beijing [GPT]</t>
  </si>
  <si>
    <t>Street-view real-world conditions [GPT] | Mixed street-view conditions [GPT]</t>
  </si>
  <si>
    <t>longitudinal crack; transverse crack; alligator crack; pothole; repair; other road damage [GPT] | Longitudinal_Crack; Transverse_Crack; Alligator_Crack; Pothole; Manhole_Cover; Longitudinal_Patch; Transverse_Patch [GPT]</t>
  </si>
  <si>
    <t>object detection [GPT] | Object_Detection [GPT]</t>
  </si>
  <si>
    <t>YOLO; JSON</t>
  </si>
  <si>
    <t>Annotated by trained remote-sensing image interpreters [GPT] | Manual bounding-box annotation reported by the source paper [GPT]</t>
  </si>
  <si>
    <t>Published technical validation; 6000/1000/1000 train/validation/test split [GPT] | Source-paper annotation procedures and split checks; independent re-audit not reported [GPT]</t>
  </si>
  <si>
    <t>DAPONet</t>
  </si>
  <si>
    <t>mAP@0.50</t>
  </si>
  <si>
    <t>DAPONet: mAP@0.50 = 70.1%</t>
  </si>
  <si>
    <t>ChatGPT_Github_001.xlsx; ChatGPT_Huggingface_001.xlsx</t>
  </si>
  <si>
    <t>ChatGPT_Github_001:GH-009; ChatGPT_Huggingface_001:HF003</t>
  </si>
  <si>
    <t>Distress types: longitudinal crack; transverse crack; alligator crack; pothole; repair; other ro (GPT) vs Longitudinal_Crack; Transverse_Crack; Alligator_Crack; Pothole; Manhole_Cover; L (GPT) || Label taxonomy: Six road-damage categories; 20,804 annotated instances (GPT) vs Seven object classes; 20,804 labeled objects; train/validation/test split 6,000/ (GPT) || Annotation task: object detection (GPT) vs Object_Detection (GPT) || Annotation format: bounding boxes; exact file schema NR (GPT) vs YOLO text annotations; JSON metadata; image files (GPT) || Annotation method: Annotated by trained remote-sensing image interpreters (GPT) vs Manual bounding-box annotation reported by the source paper (GPT) || Annotation QC: Published technical validation; 6000/1000/1000 train/validation/test split (GPT) vs Source-paper annotation procedures and split checks; independent re-audit not re (GPT)</t>
  </si>
  <si>
    <t>Release year: 2023 (GPT) vs 2024 (GPT) || Version: Zenodo record 10100129 (GPT) vs YOLO conversion of SVRDD (GPT) || AI tasks: object detection; urban road damage mapping (GPT) vs Object_Detection (GPT) || Region/City: Beijing: Dongcheng; Xicheng; Haidian; Chaoyang; Fengtai (GPT) vs Five districts of Beijing (GPT) || Road environment: Urban street network (GPT) vs Urban_Road (GPT) || Publications: 10.1038/s41597-024-03263-7 (GPT) vs https://doi.org/10.1038/s41597-024-03263-7 (GPT) || Acquisition platform: Baidu street-view imaging system (GPT) vs Baidu Street View imagery (GPT) || Lighting_Conditions: Street-view real-world conditions (GPT) vs Mixed street-view conditions (GPT) || Key_Limitations: Single-city coverage; class imbalance; street-view licensing/reuse context shoul (GPT) vs Single metropolitan area; Street View image age and capture conditions are not c (GPT)</t>
  </si>
  <si>
    <t>GPT-only dataset (found via GitHub and Hugging Face batches); Claude Zenodo batch did not retain it. HF copy is a format conversion (annotation format differs from canonical).</t>
  </si>
  <si>
    <t>https://zenodo.org/records/10100129; Scientific Data article 10.1038/s41597-024-03263-7; accessed 2026-08-06 [GPT] | https://huggingface.co/datasets/ShuoZheLi/SVRDD_YOLO — dataset card statistics, class list, splits, and files; https://doi.org/10.1038/s41597-024-03263-7 — source paper (accessed 2026-08-06) [GPT]</t>
  </si>
  <si>
    <t>Use Zenodo record as canonical; HF copy for YOLO pipelines.</t>
  </si>
  <si>
    <t>Claude_Huggingface_001:DSHF-006</t>
  </si>
  <si>
    <t>HF dataset page (placeholder card; datasets-library access route) retrieved 2026-08-06</t>
  </si>
  <si>
    <t>https://doi.org/10.1109/BigData52589.2021.9671347; https://doi.org/10.1016/j.dib.2023.109312; https://doi.org/10.57967/hf/3189</t>
  </si>
  <si>
    <t>10.1109/BigData52589.2021.9671347; 10.1016/j.dib.2023.109312; 10.57967/hf/3189</t>
  </si>
  <si>
    <t>Source-dependent; sampled dimensions documented in data card</t>
  </si>
  <si>
    <t>China; Japan; India; Czech Republic; Norway; United States; other source-covered countries</t>
  </si>
  <si>
    <t>Mixed; source-dependent</t>
  </si>
  <si>
    <t>Longitudinal_Crack; Transverse_Crack; Alligator_Crack; Pothole; Other_Damage</t>
  </si>
  <si>
    <t>Source annotations normalized and merged into one taxonomy</t>
  </si>
  <si>
    <t>Class remapping and duplicate/format checks documented; original-source annotation controls remain source-dependent</t>
  </si>
  <si>
    <t>Compiled from public road-damage sources (incl. RDD family) per dataset card</t>
  </si>
  <si>
    <t>Unified_Road_Defect_FRDC_Pseudolabeled_v2 (derived); RDD2022</t>
  </si>
  <si>
    <t>ChatGPT_Huggingface_001:HF002</t>
  </si>
  <si>
    <t>https://huggingface.co/datasets/TamAko783/Unified_Road_Defect_Dataset — README sections Dataset Statistics, Class Distribution, Geographic/View Distribution, Image Sizes, Sources and Licensing (accessed 2026-08-06)</t>
  </si>
  <si>
    <t>Same geographic coverage as Unified Road Defect Dataset</t>
  </si>
  <si>
    <t>Pseudo-label ensemble from Co-DETR Swin-L; RTMDet-x; FRDC with weighted-box fusion</t>
  </si>
  <si>
    <t>Multi-teacher agreement and weighted-box fusion; manual re-audit coverage NR</t>
  </si>
  <si>
    <t>Unified Road Defect Dataset (pseudo-labeled v2)</t>
  </si>
  <si>
    <t>ChatGPT_Huggingface_001:HF013</t>
  </si>
  <si>
    <t>https://huggingface.co/datasets/TamAko783/Unified_Road_Defect_FRDC_Pseudolabeled_v2 — README description of base dataset, teacher ensemble, and weighted-box fusion; road-damage tag update date (accessed 2026-08-06)</t>
  </si>
  <si>
    <t>https://huggingface.co/varcoder/segformer-b4-crack-segmentation-dataset</t>
  </si>
  <si>
    <t>Crack (surface type not documented)</t>
  </si>
  <si>
    <t>Aggregated crack segmentation sources (surface domain undocumented)</t>
  </si>
  <si>
    <t>Claude_Huggingface_001:DSHF-003</t>
  </si>
  <si>
    <t>HF dataset page metadata (11,298 rows; 1.06 GB parquet; train/test splits; fine-tuned SegFormer model listed); page content retrieved 2026-08-06</t>
  </si>
  <si>
    <t>10.5281/zenodo.18241476</t>
  </si>
  <si>
    <t>GPR</t>
  </si>
  <si>
    <t>Surface_Distress;Subsurface_Distress</t>
  </si>
  <si>
    <t>Claude_Zendo_001.xlsx</t>
  </si>
  <si>
    <t>Claude_Zendo_001:ZEN-029</t>
  </si>
  <si>
    <t>Zenodo record https://zenodo.org/records/18241476 title and file listing (GPRProcess_test.m, Swath000_150MHz.ard, Swath000 mp4 video, video2image.txt); description field empty in Zenodo API response, accessed 2026-08-03</t>
  </si>
  <si>
    <t>10.5281/zenodo.20040434</t>
  </si>
  <si>
    <t>Variable_Illumination;Shadows</t>
  </si>
  <si>
    <t>Crack;Pavement_Distress_Generic</t>
  </si>
  <si>
    <t>Masks manually labelled image-by-image; explicit inclusion of confounders (road markings, patches, curbs, drainage structures, vehicles, manholes) that models should ignore</t>
  </si>
  <si>
    <t>DeepLabV3-based (deployed on NVIDIA Jetson)</t>
  </si>
  <si>
    <t>Claude_Zendo_001:ZEN-009</t>
  </si>
  <si>
    <t>Zenodo record https://zenodo.org/records/20040434 + official Readme.md (sections 'Overview','The dataset contains...','Folder structure') + Samples_from_dataset.pdf, accessed 2026-08-03</t>
  </si>
  <si>
    <t>BD-PaveSurface: A Multi-Weather Pavement Surface Image Dataset for Crack, Pothole, and Good Pavement Condition Assessment in Bangladesh</t>
  </si>
  <si>
    <t>Same Zenodo record 18735883 / DOI; same crack/pothole/good-pavement classification content.</t>
  </si>
  <si>
    <t>Single Zenodo deposit</t>
  </si>
  <si>
    <t>10.5281/zenodo.18735883</t>
  </si>
  <si>
    <t>National Highways N5 and N6</t>
  </si>
  <si>
    <t>Rainy;Winter;Summer [Claude] | Multi-weather; exact categories NR [GPT]</t>
  </si>
  <si>
    <t>Natural_Daylight [Claude] | Multi-condition; exact categories NR [GPT]</t>
  </si>
  <si>
    <t>Crack;Pothole;Good_Pavement [Claude] | Crack;Pothole;Good pavement [GPT]</t>
  </si>
  <si>
    <t>Image_Classification [Claude] | Image classification;Condition assessment [GPT]</t>
  </si>
  <si>
    <t>Manual [Claude] | Labeled pavement surface images; annotation method NR [GPT]</t>
  </si>
  <si>
    <t>Images manually reviewed and labelled for annotation consistency; balanced class distribution enforced</t>
  </si>
  <si>
    <t>Claude_Zendo_001.xlsx; GPT_Zenodo_001.xlsx</t>
  </si>
  <si>
    <t>Claude_Zendo_001:ZEN-010; GPT_Zenodo_001:ZEN-005</t>
  </si>
  <si>
    <t>Distress types: Crack;Pothole;Good_Pavement (Claude) vs Crack;Pothole;Good pavement (GPT) || Label taxonomy: 3 image-level classes: Crack;Pothole;Good (Claude) vs Crack;pothole;good pavement condition (GPT) || Annotation task: Image_Classification (Claude) vs Image classification;Condition assessment (GPT) || Annotation method: Manual (Claude) vs Labeled pavement surface images; annotation method NR (GPT)</t>
  </si>
  <si>
    <t>Version: 1.0 (Claude) vs v1 (GPT) || AI tasks: Image_Classification (Claude) vs Classification;Pavement condition assessment (GPT) || Acquisition platform: Smartphone_Handheld (Claude) vs Camera platform NR (GPT) || Screening decision: Include-Primary (Claude) vs Include-Supplementary (GPT) || Road environment: Highway (Claude) vs National highways;multi-weather pavement surface (GPT) || Acquisition platform: Smartphone_Handheld (Claude) vs Camera platform NR (GPT) || Weather_Conditions: Rainy;Winter;Summer (Claude) vs Multi-weather; exact categories NR (GPT) || Lighting_Conditions: Natural_Daylight (Claude) vs Multi-condition; exact categories NR (GPT) || Key_Limitations: Image-level class labels only - no bounding boxes or masks, so it cannot support (Claude) vs Recent record with limited reuse evidence; image count, resolution, sensor, anno (GPT)</t>
  </si>
  <si>
    <t>Image count 21,000 (Claude) vs NR (GPT); license CC-BY-4.0 (Claude) vs NR (GPT); screening Include-Primary (Claude) vs Include-Supplementary (GPT).</t>
  </si>
  <si>
    <t>Zenodo record https://zenodo.org/records/18735883 description (class list, raw vs augmented counts, seasons, highways), accessed 2026-08-03 [Claude] | Zenodo record 18735883, title/description/search record, accessed 2026-08-05 [GPT]</t>
  </si>
  <si>
    <t>10.5281/zenodo.16291115</t>
  </si>
  <si>
    <t>https://doi.org/10.5281/zenodo.16291115 (dataset record; linked GitHub repository and thesis cited in record)</t>
  </si>
  <si>
    <t>https://doi.org/10.5281/zenodo.16291115</t>
  </si>
  <si>
    <t>3840x2160</t>
  </si>
  <si>
    <t>Cascavel, Parana</t>
  </si>
  <si>
    <t>Daylight;Sunny;Shaded</t>
  </si>
  <si>
    <t>Fissures;Shoving;Ravelling;Pothole;Patch</t>
  </si>
  <si>
    <t>YOLO; TXT</t>
  </si>
  <si>
    <t>Labels curated by a technical committee with quality checks; checksums provided; stable filenames</t>
  </si>
  <si>
    <t>mAP@50</t>
  </si>
  <si>
    <t>Claude_Zendo_001:ZEN-003</t>
  </si>
  <si>
    <t>Zenodo record https://zenodo.org/records/16291115 description (sections 'Field Data Acquisition', 'Classes', 'Structure', 'Related resources'), accessed 2026-08-03</t>
  </si>
  <si>
    <t>CAMBER Dataset - Road Survey Video and Road Monitoring Route series (67 sibling Zenodo records); CAMBER Dataset – Road Survey Video #37</t>
  </si>
  <si>
    <t>CodeX record (CAMBER Road Survey Video #37, Zenodo 18755804) is one of the 67 sibling records that Claude collapsed into canonical row ZEN-026 (Zenodo 18704114); same collection protocol, pothole/manhole/speed-breaker annotations and access mechanism.</t>
  </si>
  <si>
    <t>Series of 67 sibling Zenodo records collapsed to one canonical entry (Claude itemized all 66 siblings in its Exclusion_Log)</t>
  </si>
  <si>
    <t>10.5281/zenodo.18704114; 10.5281/zenodo.18755804</t>
  </si>
  <si>
    <t>67</t>
  </si>
  <si>
    <t>European road networks (CAMBER project, Horizon Europe GA 101156387)</t>
  </si>
  <si>
    <t>2026-01 to 2026-07</t>
  </si>
  <si>
    <t>Pothole;Manhole;Speed_Breaker [Claude] | Pothole; Manhole; Speedbreaker [CodeX]</t>
  </si>
  <si>
    <t>Object_Detection [Claude] | Object detection [CodeX]</t>
  </si>
  <si>
    <t>Automated_Model [Claude] | YOLO-based processing [CodeX]</t>
  </si>
  <si>
    <t>Model-generated detections at confidence threshold 0.45 with a minimum track age of 5 frames; no human verification of detections is reported</t>
  </si>
  <si>
    <t>Yolov8-fintuned-on-potholes.pt [Claude] | YOLOv8 [CodeX]</t>
  </si>
  <si>
    <t>The Zenodo records are DOI landing pages only - each contains just 1-2 small metadata .txt files and the data payload is reachable only through expiring S3 presigned URLs, so long-term access is not assured; labels are unverified automatic YOLOv8 outputs rather than human ground truth; the class list duplicates pothole as both 'pothole' and 'potholes'; 66 sibling records were collapsed into this single row and are itemised in the Exclusion_Log [Claude] | Files restricted; linked S3 URLs are expired; location and data volume unresolved. [CodeX]</t>
  </si>
  <si>
    <t>Claude_Zendo_001.xlsx; CodeX_Zendo_001.xlsx</t>
  </si>
  <si>
    <t>Claude_Zendo_001:ZEN-026; CodeX_Zendo_001:Zendo_001_D06 (cannot open)</t>
  </si>
  <si>
    <t>Distress types: Pothole;Manhole;Speed_Breaker (Claude) vs Pothole; Manhole; Speedbreaker (CodeX) || Label taxonomy: YOLOv8 detection classes: manhole;pothole;speedbreaker;potholes (note the duplic (Claude) vs Model-detected classes (CodeX) || Annotation task: Object_Detection (Claude) vs Object detection (CodeX) || Annotation format: CSV_Detection_Results (Claude) vs MP4; CSV; GPX (CodeX) || Annotation method: Automated_Model (Claude) vs YOLO-based processing (CodeX)</t>
  </si>
  <si>
    <t>Access status: Metadata_Only (Claude) vs Restricted (CodeX) || License: CC-BY-4.0 (Claude) vs Creative Commons Attribution 4.0 International (CodeX) || AI tasks: Object_Detection;Geo_Referenced_Defect_Mapping (Claude) vs Object detection; GPS-based mapping (CodeX) || Acquisition platform: Smartphone_Handheld;Vehicle_Mounted_Camera (Claude) vs Mobile device (CodeX) || Reported model: Yolov8-fintuned-on-potholes.pt (Claude) vs YOLOv8 (CodeX) || Acquisition platform: Smartphone_Handheld;Vehicle_Mounted_Camera (Claude) vs Mobile device (CodeX) || Key_Limitations: The Zenodo records are DOI landing pages only - each contains just 1-2 small met (Claude) vs Files restricted; linked S3 URLs are expired; location and data volume unresolve (CodeX)</t>
  </si>
  <si>
    <t>Access conflict: Metadata_Only (Claude, canonical record) vs Restricted / cannot open (CodeX, sibling #37).</t>
  </si>
  <si>
    <t>Zenodo record https://zenodo.org/records/18704114 description and related identifiers (isIdenticalTo / isSupplementTo pointing to isense-s3.iccs.gr presigned URLs with X-Amz-Expires=604800); file listing shows only video_1_metadata.txt and route_1_metadata.txt, accessed 2026-08-03 [Claude] | Zenodo record https://zenodo.org/records/18755804, Description; Files (Restricted); Rights; accessed 2026-08-03 [CodeX]</t>
  </si>
  <si>
    <t>Request access route; verify per-route content.</t>
  </si>
  <si>
    <t>CAMBER canonical record covers Video 1 only, while the inventory row aggregates 67 records. Zenodo stores metadata; linked payload URLs expire and request-based access is described. No series-wide manifest/license or actual retrieval was verified. YOLO outputs are pseudo-labels; do not extrapolate this route's score to all 67 releases.</t>
  </si>
  <si>
    <t>10.5281/zenodo.3383693</t>
  </si>
  <si>
    <t>Coventry</t>
  </si>
  <si>
    <t>IMU; Mobile laser scanning</t>
  </si>
  <si>
    <t>Day;Night</t>
  </si>
  <si>
    <t>Camera calibration data provided; detailed readme PDF documents structure and acquisition</t>
  </si>
  <si>
    <t>Perception;Sensor_Fusion;Automated_Driving_Validation</t>
  </si>
  <si>
    <t>No pavement distress or condition annotations - road surface condition is described as a varied capture circumstance rather than a labelled target, which is why this is Supplementary; approximately 112 GB across four RAR archives; 2019 collection sits near the start of the project year range</t>
  </si>
  <si>
    <t>Claude_Zendo_001:ZEN-028</t>
  </si>
  <si>
    <t>CAV/automated-driving validation dataset (CUPAC); pavement-distress labels NA; retained by Claude as supplementary context.</t>
  </si>
  <si>
    <t>Zenodo record https://zenodo.org/records/3383693 description and CUPAC_Readme.pdf file listing, accessed 2026-08-03</t>
  </si>
  <si>
    <t>10.5281/zenodo.11625865</t>
  </si>
  <si>
    <t>https://doi.org/10.1016/j.autcon.2022.104575</t>
  </si>
  <si>
    <t>10.1016/j.autcon.2022.104575</t>
  </si>
  <si>
    <t>Fatigue_Crack</t>
  </si>
  <si>
    <t>Predefined train/test label files (02-Train_label.txt, 02-Test_label.txt); underpinning peer-reviewed article in Automation in Construction</t>
  </si>
  <si>
    <t>IRT crack segmentation and multiple-type distress datasets (sibling releases, same research group); content overlap with ZEN-015 plausible but undocumented</t>
  </si>
  <si>
    <t>Claude_Zendo_001:ZEN-014</t>
  </si>
  <si>
    <t>Zenodo record https://zenodo.org/records/11625865 description (data component and ground-truth file listing) + linked article DOI 10.1016/j.autcon.2022.104575, accessed 2026-08-03</t>
  </si>
  <si>
    <t>10.5281/zenodo.11625820</t>
  </si>
  <si>
    <t>https://doi.org/10.1016/j.autcon.2022.104383</t>
  </si>
  <si>
    <t>10.1016/j.autcon.2022.104383</t>
  </si>
  <si>
    <t>IRT sibling releases (same research group); content overlap with ZEN-014 plausible but undocumented</t>
  </si>
  <si>
    <t>Claude_Zendo_001:ZEN-015</t>
  </si>
  <si>
    <t>Zenodo record https://zenodo.org/records/11625820 description (data component and ground-truth file listing) + linked article DOI 10.1016/j.autcon.2022.104383, accessed 2026-08-03</t>
  </si>
  <si>
    <t>10.5281/zenodo.20454801</t>
  </si>
  <si>
    <t>Ecuador</t>
  </si>
  <si>
    <t>Ambato;Quito;Loja;Santo Domingo;Manta;Puyo;Zamora</t>
  </si>
  <si>
    <t>Pothole;Block_Crack;Longitudinal_Crack;Transverse_Crack;Patching;Alligator_Crack</t>
  </si>
  <si>
    <t>9 of 1,304 collected images discarded after YOLO validation flagged non-normalized or out-of-bounds bounding boxes; effective set 1,295</t>
  </si>
  <si>
    <t>Claude_Zendo_001:ZEN-004</t>
  </si>
  <si>
    <t>Zenodo record https://zenodo.org/records/20454801 + official README_EPDD.md (sections 'Dataset Statistics','Geographic Coverage','Damage Classes','Data Collection'), accessed 2026-08-03</t>
  </si>
  <si>
    <t>10.5281/zenodo.18072573</t>
  </si>
  <si>
    <t>Pabna District, National Highway N6</t>
  </si>
  <si>
    <t>Natural_Daylight</t>
  </si>
  <si>
    <t>Alligator_Crack;Edge_Breaking;Normal_Pavement</t>
  </si>
  <si>
    <t>Balanced class distribution; systematic partition into train/validation/test subsets</t>
  </si>
  <si>
    <t>Flexible Pavement Distress Image Dataset (Bangladesh N6) Part 2 - relationship between parts unresolved (each claims 24,000 images)</t>
  </si>
  <si>
    <t>Claude_Zendo_001:ZEN-017</t>
  </si>
  <si>
    <t>Zenodo record https://zenodo.org/records/18072573 description (classes, counts, location, partitioning), accessed 2026-08-03</t>
  </si>
  <si>
    <t>Clarify Part 1 / Part 2 overlap before combined use.</t>
  </si>
  <si>
    <t>10.5281/zenodo.18114226</t>
  </si>
  <si>
    <t>Flexible Pavement Distress Image Dataset (Bangladesh N6) Part 1 - relationship between parts unresolved (each claims 24,000 images)</t>
  </si>
  <si>
    <t>Claude_Zendo_001:ZEN-018</t>
  </si>
  <si>
    <t>Zenodo record https://zenodo.org/records/18114226 description (classes, counts, location, partitioning), accessed 2026-08-03</t>
  </si>
  <si>
    <t>10.5281/zenodo.17189667</t>
  </si>
  <si>
    <t>10 cm/pixel DTM raster</t>
  </si>
  <si>
    <t>Austria</t>
  </si>
  <si>
    <t>Rindbach, Upper Austria</t>
  </si>
  <si>
    <t>Dry;Wet</t>
  </si>
  <si>
    <t>Road_Condition_Generic;Bearing_Capacity_Deficiency</t>
  </si>
  <si>
    <t>Condition_Indicator_Extraction</t>
  </si>
  <si>
    <t>Field_Survey</t>
  </si>
  <si>
    <t>READMEs document data structure, definitions, assumptions, accuracy limitations and parameter interpretation; GNSS measurements stated as un-post-processed</t>
  </si>
  <si>
    <t>Claude_Zendo_001:ZEN-030</t>
  </si>
  <si>
    <t>Zenodo record https://zenodo.org/records/17189667 description (sections '1. Forest Roads' and '2. Photogrammetry (supplementary data)') and file listing, accessed 2026-08-03</t>
  </si>
  <si>
    <t>10.5281/zenodo.6383044</t>
  </si>
  <si>
    <t>256 x 256 px patches</t>
  </si>
  <si>
    <t>Ground-truth crack-map creation; exact annotation method NR</t>
  </si>
  <si>
    <t>GPT_Zenodo_001.xlsx</t>
  </si>
  <si>
    <t>GPT_Zenodo_001:ZEN-004</t>
  </si>
  <si>
    <t>Zenodo record 6383044, Description/Files, accessed 2026-08-05</t>
  </si>
  <si>
    <t>10.5281/zenodo.20727180</t>
  </si>
  <si>
    <t>Underlying study 'From Legacy to 3D Rutting Measurement Systems: A Quantitative Framework for Continuity, Accuracy, and Efficiency' (DOI not stated in the record)</t>
  </si>
  <si>
    <t>275</t>
  </si>
  <si>
    <t>8333x4096 grids; 12 mm longitudinal spacing</t>
  </si>
  <si>
    <t>Hong Kong SAR</t>
  </si>
  <si>
    <t>Road sections H01-H04 and U01-U06</t>
  </si>
  <si>
    <t>Regression;Condition_Indicator_Extraction</t>
  </si>
  <si>
    <t>Automated_Algorithm_with_Manual_Lane_Edge_QC</t>
  </si>
  <si>
    <t>Per-section lane-edge QC plots (.png) and processing logs (.txt); full data dictionary in README.md; file inventory in dataset_manifest.csv; software versions pinned in requirements.txt</t>
  </si>
  <si>
    <t>Claude_Zendo_001:ZEN-023</t>
  </si>
  <si>
    <t>Zenodo record https://zenodo.org/records/20727180 description and access_right='restricted' with files=0 confirmed via Zenodo API, accessed 2026-08-03</t>
  </si>
  <si>
    <t>10.5281/zenodo.21370736</t>
  </si>
  <si>
    <t>Iraq</t>
  </si>
  <si>
    <t>Baghdad</t>
  </si>
  <si>
    <t>Longitudinal_Crack;Transverse_Crack;Alligator_Crack;Pothole;Speed_Bump</t>
  </si>
  <si>
    <t>Object_Detection;Instance_Segmentation;Semantic_Segmentation;Image_Classification</t>
  </si>
  <si>
    <t>SHA256 checksums for released files; 401 background images with empty label files retained</t>
  </si>
  <si>
    <t>Claude_Zendo_001:ZEN-001</t>
  </si>
  <si>
    <t>Zenodo record https://zenodo.org/records/21370736 + official README.md (sections 'Dataset size','Image sources','Road surface classes','Annotation formats'), accessed 2026-08-03</t>
  </si>
  <si>
    <t>10.5281/zenodo.21167531</t>
  </si>
  <si>
    <t>Wasit Governorate</t>
  </si>
  <si>
    <t>Longitudinal_Crack;Transverse_Crack;Alligator_Crack;Pothole</t>
  </si>
  <si>
    <t>Automated QC: image integrity validation, label format verification, class ID validation, coordinate range checks; zero invalid annotations reported; iterative multi-label stratified splits</t>
  </si>
  <si>
    <t>Claude_Zendo_001:ZEN-002</t>
  </si>
  <si>
    <t>Zenodo record https://zenodo.org/records/21167531 description (sections on collection, annotation, QC, splits), accessed 2026-08-03</t>
  </si>
  <si>
    <t>10.5281/zenodo.7795975</t>
  </si>
  <si>
    <t>https://doi.org/10.1007/978-3-031-27524-1_19;https://arxiv.org/abs/2304.02933</t>
  </si>
  <si>
    <t>10.1007/978-3-031-27524-1_19</t>
  </si>
  <si>
    <t>https://doi.org/10.1007/978-3-031-27524-1_19; https://arxiv.org/abs/2304.02933</t>
  </si>
  <si>
    <t>Major highway; exact route NR</t>
  </si>
  <si>
    <t>Crack;No crack</t>
  </si>
  <si>
    <t>Manually prepared balanced dataset</t>
  </si>
  <si>
    <t>Balanced 7,000 positive and 7,000 negative samples; independent label audit NR</t>
  </si>
  <si>
    <t>ResNet;VGG16</t>
  </si>
  <si>
    <t>ResNet;VGG16: Accuracy = 98% (reported in associated paper)</t>
  </si>
  <si>
    <t>GPT_Zenodo_001:ZEN-003</t>
  </si>
  <si>
    <t>Zenodo record 7795975 and associated conference paper/arXiv description, accessed 2026-08-05</t>
  </si>
  <si>
    <t>10.5281/zenodo.19267189</t>
  </si>
  <si>
    <t>IEEE Open Journal of Intelligent Transportation Systems, 'Mobile Laser Scanning for Road Pavement Distress Detection' (DOI not stated in the record)</t>
  </si>
  <si>
    <t>25</t>
  </si>
  <si>
    <t>Finland</t>
  </si>
  <si>
    <t>Kirkkonummi</t>
  </si>
  <si>
    <t>2019-01 to 2019-12</t>
  </si>
  <si>
    <t>Pavement_Distress_Generic</t>
  </si>
  <si>
    <t>Point_Cloud_Segmentation</t>
  </si>
  <si>
    <t>PPS-plus used as a high-accuracy reference system against the conventional Roamer-R4DW MLS platform; README.pdf included</t>
  </si>
  <si>
    <t>Claude_Zendo_001:ZEN-024</t>
  </si>
  <si>
    <t>Zenodo record https://zenodo.org/records/19267189 description (Part A/Part B structure, systems, formats) and file listing, accessed 2026-08-03</t>
  </si>
  <si>
    <t>10.5281/zenodo.15229291</t>
  </si>
  <si>
    <t>Pothole;Crack;Normal road</t>
  </si>
  <si>
    <t>Multilevel image classification</t>
  </si>
  <si>
    <t>GPT_Zenodo_001:ZEN-009</t>
  </si>
  <si>
    <t>Zenodo record 15229291, Description/Restricted Files/Keywords/Details, accessed 2026-08-05</t>
  </si>
  <si>
    <t>Pavdistress: A Dataset of Selected Images for the Detection and Recognition of Asphalt Pavement Distress Using Deep Learning</t>
  </si>
  <si>
    <t>Same Zenodo record 18208073 / DOI; identical count (8,696); same Moroccan survey-vehicle acquisition; same five classes.</t>
  </si>
  <si>
    <t>10.5281/zenodo.18208073</t>
  </si>
  <si>
    <t>Morocco</t>
  </si>
  <si>
    <t>Eastern Region</t>
  </si>
  <si>
    <t>Edge_Crack;Longitudinal_Crack;Pothole;Transverse_Crack;Road_Marking [Claude] | Edge crack; Longitudinal crack; Pothole; Transverse crack; Road marking [CodeX]</t>
  </si>
  <si>
    <t>Claude_Zendo_001:ZEN-007; CodeX_Zendo_001:Zendo_001_D05</t>
  </si>
  <si>
    <t>Distress types: Edge_Crack;Longitudinal_Crack;Pothole;Transverse_Crack;Road_Marking (Claude) vs Edge crack; Longitudinal crack; Pothole; Transverse crack; Road marking (CodeX) || Label taxonomy: 5 categories: edge cracks;longitudinal cracks;potholes;transverse cracks;road ma (Claude) vs Five named road-damage classes (CodeX) || Annotation task: Image_Classification;Object_Detection (Claude) vs Object detection; Image classification (CodeX)</t>
  </si>
  <si>
    <t>License: CC-BY-4.0 (Claude) vs Creative Commons Attribution 4.0 International (CodeX) || AI tasks: Image_Classification;Object_Detection (Claude) vs Object detection; Image classification (CodeX) || Acquisition platform: Survey_Vehicle (Claude) vs Road inspection vehicle (CodeX) || Key_Limitations: Annotation format and annotation method are not stated anywhere in the record; n (Claude) vs Resource type is Photo rather than Dataset; no annotation format, image resoluti (CodeX)</t>
  </si>
  <si>
    <t>Zenodo record https://zenodo.org/records/18208073 description and file listing, accessed 2026-08-03 [Claude] | Zenodo record https://zenodo.org/records/18208073, Description; Files; Rights; accessed 2026-08-03 [CodeX]</t>
  </si>
  <si>
    <t>10.5281/zenodo.20581123</t>
  </si>
  <si>
    <t>Stroboscopic_Controlled</t>
  </si>
  <si>
    <t>Longitudinal_Crack;Transverse_Crack;Alligator_Crack;Pothole;Repair;Spalling</t>
  </si>
  <si>
    <t>Record states each image was carefully annotated and categorized; no protocol or agreement statistic given</t>
  </si>
  <si>
    <t>Claude_Zendo_001:ZEN-011</t>
  </si>
  <si>
    <t>Zenodo record https://zenodo.org/records/20581123 description and file listing, accessed 2026-08-03</t>
  </si>
  <si>
    <t>10.5281/zenodo.7681876</t>
  </si>
  <si>
    <t>https://github.com/Snagnar/CompetitiveReconstructionNetworks</t>
  </si>
  <si>
    <t>Mobile laser scanning</t>
  </si>
  <si>
    <t>Claude_Zendo_001:ZEN-027</t>
  </si>
  <si>
    <t>Zenodo record https://zenodo.org/records/7681876 description and file listing (panorama.zip, road_images.zip); license field empty in Zenodo API response, accessed 2026-08-03</t>
  </si>
  <si>
    <t>Road Damage Dataset: Potholes, Cracks and Manholes</t>
  </si>
  <si>
    <t>Same title, same Italian collection, same GoPro HERO7 + Samsung/smartphone acquisition, same three classes (pothole; crack; manhole); Kaggle records cite Zenodo DOI 10.5281/zenodo.17834373; Claude Zenodo batch retained Zenodo record 18528034 with the same title/content.</t>
  </si>
  <si>
    <t>Duplicate deposit: Kaggle page (lorenzoarcioni) and Zenodo deposit; two Zenodo record IDs (17834373 cited from Kaggle vs 18528034 retained) likely reflect versioning of the same deposit</t>
  </si>
  <si>
    <t>https://www.kaggle.com/datasets/lorenzoarcioni/road-damage-dataset-potholes-cracks-and-manholes</t>
  </si>
  <si>
    <t>10.5281/zenodo.17834373; 10.5281/zenodo.18528034</t>
  </si>
  <si>
    <t>https://doi.org/10.5281/zenodo.17834373</t>
  </si>
  <si>
    <t>10.5281/zenodo.17834373</t>
  </si>
  <si>
    <t>640x360 [Claude] | 640 x 360 px [GPT]</t>
  </si>
  <si>
    <t>Italy</t>
  </si>
  <si>
    <t>Rome;Sacrofano</t>
  </si>
  <si>
    <t>Varied [Claude] | Diverse lighting stated;specific conditions NR [Claude] | Variable outdoor lighting [GPT]</t>
  </si>
  <si>
    <t>Pothole;Crack;Manhole</t>
  </si>
  <si>
    <t>Object_Detection;Instance_Segmentation [Claude] | Object detection [Claude/GPT]</t>
  </si>
  <si>
    <t>COCO; YOLO TXT; YOLO</t>
  </si>
  <si>
    <t>Manual [Claude] | Real-world capture using moving and stationary perspectives; manual annotation [GPT]</t>
  </si>
  <si>
    <t>Manholes explicitly labelled as a distinct class to reduce false positives; conversion scripts provided to regenerate YOLO and COCO from the polygon source annotations</t>
  </si>
  <si>
    <t>Road Surface Recognition Dataset (Kaggle KG-040; possible unattributed redistribution - not merged)</t>
  </si>
  <si>
    <t>Claude_Kaggle_001.xlsx; GPT_Kaggle_001.xlsx; Claude_Zendo_001.xlsx</t>
  </si>
  <si>
    <t>Claude_Kaggle_001:KG-002; GPT_Kaggle_001:KAG-010; Claude_Zendo_001:ZEN-008</t>
  </si>
  <si>
    <t>Image resolution: 640x360 (Claude) vs 640 x 360 px (GPT)</t>
  </si>
  <si>
    <t>Label taxonomy: Class 0 = Pothole; Class 1 = Crack; Class 2 = Manhole (Claude) vs 3-class YOLO taxonomy: class 0 pothole;class 1 crack;class 2 manhole (Claude) vs Three YOLO object classes: pothole;crack;manhole (GPT) || Annotation task: Object_Detection;Instance_Segmentation (Claude) vs Object detection (Claude/GPT) || Annotation format: YOLO_TXT_BBox;YOLO_Polygon;COCO_JSON (Claude) vs YOLO TXT (Claude) vs YOLO annotations;images (GPT) || Annotation method: Manual (Claude) vs Real-world capture using moving and stationary perspectives; manual annotation (GPT)</t>
  </si>
  <si>
    <t>Release year: 2026 (Claude) vs 2025 (Claude/GPT) || Access status: Direct_Download (Claude) vs Registration (Claude/GPT) || License: CC-BY-4.0 (Claude) vs MIT (Claude) vs MIT License (GPT) || AI tasks: Object_Detection;Instance_Segmentation;Oriented_Bounding_Box_Detection (Claude) vs Object detection;Cross-device generalisation (Claude) vs Object detection;Benchmarking (GPT) || Acquisition platform: Vehicle_Mounted_Camera;Smartphone_Handheld (Claude) vs Vehicle-mounted action camera (GoPro HERO7);Handheld smartphone (Samsung Galaxy  (Claude) vs Vehicle-mounted GoPro HERO7;stationary Samsung Galaxy A14 smartphone (GPT) || Screening decision: Include-Primary (Claude) vs Include-Supplementary (GPT) || Road environment: Urban;Suburban;Rural (Claude) vs Urban;Rural (Claude) vs Urban and suburban roads (GPT) || Acquisition platform: Vehicle_Mounted_Camera;Smartphone_Handheld (Claude) vs Vehicle-mounted action camera (GoPro HERO7);Handheld smartphone (Samsung Galaxy  (Claude) vs Vehicle-mounted GoPro HERO7;stationary Samsung Galaxy A14 smartphone (GPT) || Lighting_Conditions: Varied (Claude) vs Diverse lighting stated;specific conditions NR (Claude) vs Variable outdoor lighting (GPT) || Key_Limitations: Image count not reported; low capture resolution (640x360) limits fine crack det (Claude) vs Image count stated only as '2,000+' in the subtitle while the record lists 6,031 (Claude) vs Kaggle is a mirror of the Zenodo dataset; the exact image count, annotation qual (GPT)</t>
  </si>
  <si>
    <t>Image count 2,000 (Claude Kaggle) vs NR (GPT; Claude Zenodo). License MIT (Kaggle) vs CC-BY-4.0 (Zenodo). Zenodo record-ID discrepancy unresolved (UNK).</t>
  </si>
  <si>
    <t>Zenodo record https://zenodo.org/records/18528034 description (device, resolution, class list, annotation formats, conversion scripts), accessed 2026-08-03 [Claude] | Kaggle dataset page 'About Dataset' (devices, location, resolution, class list, Zenodo DOI statement); Kaggle API record /api/v1/datasets/view/lorenzoarcioni/road-damage-dataset-potholes-cracks-and-manholes; accessed 2026-08-03 [Claude] | Kaggle dataset page; canonical Zenodo DOI record; institutional dataset description, accessed 2026-08-06 [GPT]</t>
  </si>
  <si>
    <t>Resolve Zenodo version chain (17834373 vs 18528034).</t>
  </si>
  <si>
    <t>10.5281/zenodo.21701636</t>
  </si>
  <si>
    <t>Tamil Nadu;Delhi;Maharashtra</t>
  </si>
  <si>
    <t>Surface_Depression;Pothole;Manhole;Road_Patch_Failure;Crack;Miscellaneous_Abnormality</t>
  </si>
  <si>
    <t>Object_Detection;Image_Classification;Severity_Assessment</t>
  </si>
  <si>
    <t>90 negative road-scene images intentionally retained for false-positive analysis; claims cannot be verified because no files are accessible</t>
  </si>
  <si>
    <t>Claude_Zendo_001:ZEN-022</t>
  </si>
  <si>
    <t>Zenodo record https://zenodo.org/records/21701636 description and access_right='restricted' with files=0 confirmed via Zenodo API, accessed 2026-08-03</t>
  </si>
  <si>
    <t>RoadDefects-ISeg: A Dataset for Instance Segmentation of Road Surface Defects</t>
  </si>
  <si>
    <t>Same Zenodo record 17194814 / DOI; identical count (1,000); same four classes.</t>
  </si>
  <si>
    <t>10.5281/zenodo.17194814</t>
  </si>
  <si>
    <t>Multi-source</t>
  </si>
  <si>
    <t>Crack;Pothole;Lane_Marking;Speed_Breaker [Claude] | Crack;Pothole;Lane;Speed breaker [GPT]</t>
  </si>
  <si>
    <t>Instance_Segmentation [Claude] | Instance segmentation [GPT]</t>
  </si>
  <si>
    <t>Manual [Claude] | Compiled and reformatted from four source datasets [GPT]</t>
  </si>
  <si>
    <t>All images manually re-annotated because upstream sources mixed detection and segmentation annotation styles; upstream sources acknowledged by name [Claude] | Balanced classes; source-level label audit NR [GPT]</t>
  </si>
  <si>
    <t>Compiled from Roboflow and Kaggle source datasets (per GPT record)</t>
  </si>
  <si>
    <t>Claude_Zendo_001:ZEN-016; GPT_Zenodo_001:ZEN-008</t>
  </si>
  <si>
    <t>Distress types: Crack;Pothole;Lane_Marking;Speed_Breaker (Claude) vs Crack;Pothole;Lane;Speed breaker (GPT) || Label taxonomy: 4 classes at 250 images each: Crack;Lane;Pothole;Speed_Breaker (Claude) vs Four balanced classes;250 images per class (GPT) || Annotation task: Instance_Segmentation (Claude) vs Instance segmentation (GPT) || Annotation format: YOLO_Polygon (Claude) vs YOLO segmentation labels;train/validation/test split (GPT) || Annotation method: Manual (Claude) vs Compiled and reformatted from four source datasets (GPT) || Annotation QC: All images manually re-annotated because upstream sources mixed detection and se (Claude) vs Balanced classes; source-level label audit NR (GPT)</t>
  </si>
  <si>
    <t>License: CC-BY-4.0 (Claude) vs CC BY 4.0 (GPT) || AI tasks: Instance_Segmentation (Claude) vs Instance segmentation;Object detection (GPT) || Screening decision: Include-Primary (Claude) vs Include-Supplementary (GPT) || Key_Limitations: Aggregated from third-party Roboflow Universe and Kaggle sources, so acquisition (Claude) vs Composite derivative mixing defects with lane and speed-breaker objects; provena (GPT)</t>
  </si>
  <si>
    <t>License terms conflict inside the record: CC-BY-4.0 declared alongside a research/academic-only restriction (flagged by Claude).</t>
  </si>
  <si>
    <t>Zenodo record https://zenodo.org/records/17194814 + description sections 'Overview','Dataset Structure','Notes','Acknowledgments', accessed 2026-08-03 [Claude] | Zenodo record 17194814, Overview/Dataset Structure/Acknowledgments, accessed 2026-08-05 [GPT]</t>
  </si>
  <si>
    <t>Clarify license before commercial use.</t>
  </si>
  <si>
    <t>Same Zenodo record (17952339) and DOI in all three records; same title and semantic-segmentation task.</t>
  </si>
  <si>
    <t>10.5281/zenodo.17952339</t>
  </si>
  <si>
    <t>Multi-country; inherited from RDD2022</t>
  </si>
  <si>
    <t>Crack [Claude] | Crack-like road surface defects [GPT/CodeX]</t>
  </si>
  <si>
    <t>Semantic_Segmentation [Claude] | Semantic segmentation [GPT] | Semantic segmentation; Contour extraction; [CodeX]</t>
  </si>
  <si>
    <t>Manual [Claude] | Derived annotation of publicly available RDD2022 imagery [GPT] | Manual pixel-level segementation masks and annotation [CodeX]</t>
  </si>
  <si>
    <t>Manual pixel-level annotation of all 400 images; fixed random seed for the 80/15/5 split</t>
  </si>
  <si>
    <t>Include-Primary [Claude/CodeX] | Include-Supplementary [GPT]</t>
  </si>
  <si>
    <t>Claude_Zendo_001.xlsx; CodeX_Zendo_001.xlsx; GPT_Zenodo_001.xlsx</t>
  </si>
  <si>
    <t>Claude_Zendo_001:ZEN-019; CodeX_Zendo_001:Zendo_001_D04; GPT_Zenodo_001:ZEN-007</t>
  </si>
  <si>
    <t>Distress types: Crack (Claude) vs Crack-like road surface defects (GPT/CodeX) || Label taxonomy: Binary pixel mask for crack-like road surface defects (Claude) vs Pixel-level defect masks; exact classes NR (GPT) vs Binary segmentation masks (CodeX) || Annotation task: Semantic_Segmentation (Claude) vs Semantic segmentation (GPT) vs Semantic segmentation; Contour extraction; (CodeX) || Annotation format: PNG_Mask (Claude) vs Pixel-level masks; exact file format NR (GPT) vs JPG; PNG (CodeX) || Annotation method: Manual (Claude) vs Derived annotation of publicly available RDD2022 imagery (GPT) vs Manual pixel-level segementation masks and annotation (CodeX)</t>
  </si>
  <si>
    <t>License: CC-BY-4.0 (Claude) vs Creative Commons Attribution 4.0 International (CodeX) || AI tasks: Semantic_Segmentation;Contour_Extraction (Claude) vs Semantic segmentation (GPT) vs Semantic segmentation; Contour extraction; downstream geospatial road inspection (CodeX) || Screening decision: Include-Primary (Claude/CodeX) vs Include-Supplementary (GPT) || Road environment: Road surface imagery derived from RDD2022 (GPT) vs Road surface (CodeX) || Acquisition platform: Derived from smartphone/vehicle road imagery; UAV wording in title is not treate (GPT) vs UAV (CodeX) || Key_Limitations: Only 400 images; the title asserts UAV imagery while the description states deri (Claude) vs Derivative dataset with unresolved overlap, class mapping, image count, license  (GPT) vs Derived subset; geographic provenance, defect taxonomy, resolution, and QA proce (CodeX)</t>
  </si>
  <si>
    <t>Internal contradiction flagged by Claude and GPT: record titled UAV imagery but description states derivation from RDD2022 (vehicle/smartphone imagery); acquisition platform recorded UNK. Image count 400 (Claude, CodeX) vs NR (GPT).</t>
  </si>
  <si>
    <t>Zenodo record https://zenodo.org/records/17952339 title and description (derivation statement, split ratio, fixed seed), accessed 2026-08-03 [Claude] | Zenodo record 17952339, title/description/search record, accessed 2026-08-05 [GPT] | Zenodo record https://zenodo.org/records/17952339, Description; Files; Rights; accessed 2026-08-03 [CodeX]</t>
  </si>
  <si>
    <t>Resolve UAV-vs-RDD2022 provenance from the record files before use.</t>
  </si>
  <si>
    <t>10.5281/zenodo.20687211</t>
  </si>
  <si>
    <t>Surface_Condition_Good;Surface_Condition_Poor</t>
  </si>
  <si>
    <t>Image_Classification;Material_Classification</t>
  </si>
  <si>
    <t>Site_Level_Assignment</t>
  </si>
  <si>
    <t>Claude_Zendo_001:ZEN-025</t>
  </si>
  <si>
    <t>Zenodo record https://zenodo.org/records/20687211 description (site list with material and condition, band composition, platform) and file listing, accessed 2026-08-03</t>
  </si>
  <si>
    <t>UAV-based imagery for road damage detection</t>
  </si>
  <si>
    <t>Same Zenodo record 11473582 / DOI in all three; identical count (99); same Polish UAV orthophoto acquisition; labels follow the UAPD taxonomy (10.1016/j.autcon.2021.103991).</t>
  </si>
  <si>
    <t>10.5281/zenodo.11473582</t>
  </si>
  <si>
    <t>https://doi.org/10.1016/j.autcon.2021.103991 [Claude/GPT] | Junqing Zhu, Jingtao Zhong, Tao Ma, Xiaoming Huang, Weiguang Zhang, Yang Zhou, Pavement distress detection using convolutional neural networks with images captured via UAV, Automation in Construction, Vol.133, 2022, https://doi.org/10.1016/j.autcon.2021.103991. [CodeX]</t>
  </si>
  <si>
    <t>10.1016/j.autcon.2021.103991</t>
  </si>
  <si>
    <t>https://doi.org/10.1016/j.autcon.2021.103991</t>
  </si>
  <si>
    <t>2.54 cm/pixel ground sampling distance; 512x512 patches [Claude] | 512 x 512 px patches;orthophotomosaic ground sampling distance 2.54 cm/pixel [GPT] | 512x512 pixels [CodeX]</t>
  </si>
  <si>
    <t>Poznan [Claude] | Poznań [GPT/CodeX]</t>
  </si>
  <si>
    <t>UAPD_Taxonomy_Classes [Claude] | Road damage classes following UAPD taxonomy; exact class list NR [GPT] | UAPD-proposed road damage classes [CodeX]</t>
  </si>
  <si>
    <t>Object_Detection [Claude] | Object detection [GPT/CodeX]</t>
  </si>
  <si>
    <t>Manual [Claude] | Manual labeling [GPT/CodeX]</t>
  </si>
  <si>
    <t>Patches without significant road-like content discarded; used as a holdout set in a Master's thesis at Poznan University of Technology [Claude] | Patches without significant road presence were discarded; independent annotation audit NR [GPT]</t>
  </si>
  <si>
    <t>UAPD (taxonomy source)</t>
  </si>
  <si>
    <t>Claude_Zendo_001:ZEN-020; CodeX_Zendo_001:Zendo_001_D03; GPT_Zenodo_001:ZEN-002</t>
  </si>
  <si>
    <t>Image resolution: 2.54 cm/pixel ground sampling distance; 512x512 patches (Claude) vs 512 x 512 px patches;orthophotomosaic ground sampling distance 2.54 cm/pixel (GPT) vs 512x512 pixels (CodeX)</t>
  </si>
  <si>
    <t>Distress types: UAPD_Taxonomy_Classes (Claude) vs Road damage classes following UAPD taxonomy; exact class list NR (GPT) vs UAPD-proposed road damage classes (CodeX) || Label taxonomy: Object classes as proposed in the UAPD Pavement Distress Dataset (Claude) vs UAPD-derived object classes (GPT) vs UAPD-proposed classes (CodeX) || Annotation task: Object_Detection (Claude) vs Object detection (GPT/CodeX) || Annotation format: PASCAL_VOC_XML;YOLO_TXT_BBox (Claude) vs PASCAL VOC XML;YOLO TXT;GeoTIFF orthophotomosaics (GPT) vs PASCAL VOC; YOLO (CodeX) || Annotation method: Manual (Claude) vs Manual labeling (GPT/CodeX) || Annotation QC: Patches without significant road-like content discarded; used as a holdout set i (Claude) vs Patches without significant road presence were discarded; independent annotation (GPT)</t>
  </si>
  <si>
    <t>Version: 1.0 (Claude/CodeX) vs v1 (GPT) || License: CC-BY-4.0 (Claude) vs Creative Commons Attribution 4.0 International (CodeX) || AI tasks: Object_Detection (Claude) vs Object detection;Holdout evaluation (GPT) vs Object detection (CodeX) || Region/City: Poznan (Claude) vs Poznań (GPT/CodeX) || Road environment: Urban roads;three road areas (GPT) vs Road surface (CodeX) || Publications: https://doi.org/10.1016/j.autcon.2021.103991 (Claude/GPT) vs Junqing Zhu, Jingtao Zhong, Tao Ma, Xiaoming Huang, Weiguang Zhang, Yang Zhou, P (CodeX) || Acquisition platform: UAV (Claude/CodeX) vs UAV at approximately 70 m;orthophotomosaic generation (GPT) || Key_Limitations: Only 99 labelled patches from three road sections in a single city - far too sma (Claude) vs Small labeled holdout set; exact distress class counts and license are not repor (GPT) vs Small labeled-patch count; class breakdown and QA procedure not reported; holdou (CodeX)</t>
  </si>
  <si>
    <t>Flight altitude reported ~70 m (GPT) vs NR (others).</t>
  </si>
  <si>
    <t>Zenodo record https://zenodo.org/records/11473582 description (flight altitude, GSD, patching procedure, annotation formats, UAPD provenance) + related identifier DOI 10.1016/j.autcon.2021.103991, accessed 2026-08-03 [Claude] | Zenodo record 11473582, Description/Files, accessed 2026-08-05 [GPT] | Zenodo record https://zenodo.org/records/11473582, Description; Related works; Files; Rights; accessed 2026-08-03 [CodeX]</t>
  </si>
  <si>
    <t>Use as-is (small set).</t>
  </si>
  <si>
    <t>UAV-PDD2023: A benchmark dataset for pavement distress detection based on UAV images; UAV-PDD2023</t>
  </si>
  <si>
    <t>v4 [GPT/Test_Batch] | v3 [CodeX]</t>
  </si>
  <si>
    <t>Same Zenodo record 8429208 and DOI 10.5281/zenodo.8429208 in all four records; identical count (2,440); same six classes; corroborated by literature workbook 07_UAV_PDD2023.xlsx (11,158 instances; 2592x1944; DJI Zenmuse H20; China; CC BY 4.0; data article 10.1016/j.dib.2023.109692).</t>
  </si>
  <si>
    <t>Claude; GPT; CodeX; GitHub_Test_Batch (tool UNK)</t>
  </si>
  <si>
    <t>Single Zenodo deposit; also surfaced by GitHub-batch search</t>
  </si>
  <si>
    <t>10.5281/zenodo.8429208</t>
  </si>
  <si>
    <t>UAV-PDD2023: A benchmark dataset for pavement distress detection based on UAV images, Data in Brief (2023), DOI 10.1016/j.dib.2023.109692</t>
  </si>
  <si>
    <t>10.1016/j.dib.2023.109692</t>
  </si>
  <si>
    <t>2023</t>
  </si>
  <si>
    <t>11158 (per 07_UAV_PDD2023.xlsx)</t>
  </si>
  <si>
    <t>2592x1944</t>
  </si>
  <si>
    <t>Longitudinal_Crack;Transverse_Crack;Alligator_Crack;Oblique_Crack;Repair;Pothole [Claude] | Longitudinal crack;Transverse crack;Alligator crack;Oblique crack;Repair;Pothole [GPT/CodeX/Test_Batch]</t>
  </si>
  <si>
    <t>Object_Detection;Image_Classification [Claude] | Object detection;Classification [GPT] | Object detection; Image classification [CodeX] | Object detection [Test_Batch]</t>
  </si>
  <si>
    <t>Manual [Claude] | Manual annotation [GPT] | Manual bounding-box annotation [Test_Batch]</t>
  </si>
  <si>
    <t>UAV-SEG-2025 / Enhanced UAV-PDD (derived); UAPD (distinct UAV dataset)</t>
  </si>
  <si>
    <t>Claude_Zendo_001.xlsx; CodeX_Zendo_001.xlsx; GPT_Zenodo_001.xlsx; Github_Github_Test.xlsx</t>
  </si>
  <si>
    <t>Claude_Zendo_001:ZEN-005; CodeX_Zendo_001:Zendo_001_D01; GPT_Zenodo_001:ZEN-001; Github_Github_Test:GITHUB-006</t>
  </si>
  <si>
    <t>Distress types: Longitudinal_Crack;Transverse_Crack;Alligator_Crack;Oblique_Crack;Repair;Pothole (Claude) vs Longitudinal crack;Transverse crack;Alligator crack;Oblique crack;Repair;Pothole (GPT/CodeX/Test_Batch) || Label taxonomy: LC;TC;AC;OC;RP;PH (11,158 annotated instances) (Claude) vs LC;TC;AC;OC;RP;PH; 11,158 annotated instances (GPT) vs Six named damage classes; Longitudinal cracks (LC), Transverse cracks (TC), Alli (CodeX) vs LC; TC; AC; OC; Repair; Pothole (Test_Batch) || Annotation task: Object_Detection;Image_Classification (Claude) vs Object detection;Classification (GPT) vs Object detection; Image classification (CodeX) vs Object detection (Test_Batch) || Annotation format: PASCAL_VOC_XML (Claude) vs PASCAL VOC;images and XML annotations (GPT) vs PASCAL VOC (CodeX) vs Pascal VOC XML (Test_Batch) || Annotation method: Manual (Claude) vs Manual annotation (GPT) vs Manual bounding-box annotation (Test_Batch)</t>
  </si>
  <si>
    <t>Version: v4 (GPT/Test_Batch) vs v3 (CodeX) || License: CC-BY-4.0 (Claude) vs Creative Commons Attribution 4.0 International (CodeX) || AI tasks: Object_Detection;Image_Classification (Claude) vs Object detection;Classification;Benchmarking (GPT) vs Object detection; Image classification (CodeX) vs object detection (Test_Batch) || Road environment: Municipal road pavement (GPT) vs Road surface (CodeX) vs Roadway (Test_Batch) || Acquisition platform: UAV (Claude/CodeX) vs UAV at 30 m altitude (GPT) vs UAV at approximately 30 m altitude (Test_Batch) || Key_Limitations: Country and collection site not stated in the record; single fixed UAV altitude  (Claude) vs License is not displayed in the accessible record text; image resolution, collec (GPT) vs No image resolution, collection location, or QA procedure reported on canonical  (CodeX) vs Modest size and UAV-only viewpoint; no road-condition index or synchronized navi (Test_Batch)</t>
  </si>
  <si>
    <t>Version-label conflict: v3 (CodeX) vs v4 (GPT; Test batch; 07_UAV_PDD2023.xlsx) vs NR (Claude). Country UNK (Claude) vs China (CodeX; GPT; literature).</t>
  </si>
  <si>
    <t>Zenodo record https://zenodo.org/records/8429208 description and file listing; Zenodo usage statistics (10,269 downloads / 9,505 views), accessed 2026-08-03 [Claude] | Zenodo record 8429208, Description/Files/Details, accessed 2026-08-05 [GPT] | Zenodo record https://zenodo.org/records/8429208, Description; Files; Rights; accessed 2026-08-03 [CodeX] | https://zenodo.org/records/8429208; Zenodo record metadata and files; GitHub UAV-PDD2023 documentation; accessed 2026-08-01 [Test_Batch]</t>
  </si>
  <si>
    <t>Use Zenodo v4 as canonical.</t>
  </si>
  <si>
    <t>The selected UAV-PDD2023 Zenodo record reports 2,440 images/11,158 boxes and six classes at 30 m altitude. It differs from the older 2,439-image record; keep the record DOI fixed. Annotation quality, capture location and independent groups remain unverified.</t>
  </si>
  <si>
    <t>10.5281/zenodo.4244084</t>
  </si>
  <si>
    <t>Weakly supervised semantic segmentation</t>
  </si>
  <si>
    <t>Derived rough annotation of previously published datasets</t>
  </si>
  <si>
    <t>Weak-supervision annotations derived for existing crack datasets</t>
  </si>
  <si>
    <t>GPT_Zenodo_001:ZEN-006</t>
  </si>
  <si>
    <t>Zenodo record 4244084, Description/Details, accessed 2026-08-05</t>
  </si>
  <si>
    <t>Same title; same GoPro action-camera video-frame acquisition; same distress classes (cracks; alligator; severe; edge; fretting; pothole); same 2026 release; same author (Laura Pareja Prieto / Zenodo 20365503).</t>
  </si>
  <si>
    <t>Duplicate deposit on Kaggle and Zenodo</t>
  </si>
  <si>
    <t>https://www.kaggle.com/datasets/lauraparejaprieto/weather-adverse-road-defect-semantic-segmentation</t>
  </si>
  <si>
    <t>10.5281/zenodo.20365503</t>
  </si>
  <si>
    <t>Dry;Wet;Mixed [Claude] | Dry;Wet;Half (mixed moisture) [Claude]</t>
  </si>
  <si>
    <t>Crack;Alligator_Crack;Severe_Crack;Edge_Crack;Fretting;Pothole;Manhole [Claude] | Cracks;Alligator cracks;Severe cracks;Edge cracks;Fretting;Pothole [Claude]</t>
  </si>
  <si>
    <t>Semantic_Segmentation;Instance_Segmentation [Claude] | Semantic segmentation;Instance segmentation [Claude]</t>
  </si>
  <si>
    <t>sequence_id field records the source video folder so that frames from one sequence cannot leak across train/test boundaries; images anonymized [Claude] | metadata.csv carries a sequence_id (source video folder) so frames from one sequence can be kept together to prevent train/test leakage [Claude]</t>
  </si>
  <si>
    <t>Claude_Kaggle_001.xlsx; Claude_Zendo_001.xlsx</t>
  </si>
  <si>
    <t>Claude_Kaggle_001:KG-009; Claude_Zendo_001:ZEN-021</t>
  </si>
  <si>
    <t>Distress types: Crack;Alligator_Crack;Severe_Crack;Edge_Crack;Fretting;Pothole;Manhole (Claude) vs Cracks;Alligator cracks;Severe cracks;Edge cracks;Fretting;Pothole (Claude) || Label taxonomy: 9 class IDs: 0 bg;1 cracks;2 cracks_alligator;3 cracks_severe;4 edge_cracks;5 fr (Claude) vs 9-class semantic taxonomy: 0 bg;1 cracks;2 cracks_alligator;3 cracks_severe;4 ed (Claude) || Annotation task: Semantic_Segmentation;Instance_Segmentation (Claude) vs Semantic segmentation;Instance segmentation (Claude) || Annotation format: PNG_Mask;Instance_Mask (Claude) vs Single-channel grayscale semantic masks (class IDs);grayscale instance masks (ob (Claude) || Annotation QC: sequence_id field records the source video folder so that frames from one sequen (Claude) vs metadata.csv carries a sequence_id (source video folder) so frames from one sequ (Claude)</t>
  </si>
  <si>
    <t>Version: 1.0 (Claude) vs Version 3 (Claude) || Access status: Direct_Download (Claude) vs Registration (Claude) || License: CC-BY-4.0 (Claude) vs Apache 2.0 (Claude) || AI tasks: Semantic_Segmentation;Instance_Segmentation;Robustness_Benchmarking (Claude) vs Semantic segmentation;Instance segmentation;Robustness benchmarking (Claude) || Acquisition platform: Vehicle_Mounted_Camera (Claude) vs Action camera (GoPro), video frames (Claude) || Acquisition platform: Vehicle_Mounted_Camera (Claude) vs Action camera (GoPro), video frames (Claude) || Weather_Conditions: Dry;Wet;Mixed (Claude) vs Dry;Wet;Half (mixed moisture) (Claude) || Key_Limitations: Image count and country not reported; positioned by its authors as an inference  (Claude) vs Described by the author as an inference/robustness benchmark for a Master's thes (Claude)</t>
  </si>
  <si>
    <t>Claude-only dataset. License Apache 2.0 (Kaggle) vs CC-BY-4.0 (Zenodo).</t>
  </si>
  <si>
    <t>Zenodo record https://zenodo.org/records/20365503 description (sections 'Overview','Dataset Structure','Classes'), accessed 2026-08-03 [Claude] | Kaggle dataset page 'About Dataset' (directory structure, 9-class list, moisture conditions, metadata.csv fields including sequence_id); Kaggle API record /api/v1/datasets/view/lauraparejaprieto/weather-adverse-road-defect-semantic-segmentation; accessed 2026-08-03 [Claude]</t>
  </si>
  <si>
    <t>Use Zenodo deposit as canonical.</t>
  </si>
  <si>
    <t>Pothole Detection (MakeML potholes mirror, Claude KG-017) - Possible Match (both trace to the MakeML potholes set), not merged</t>
  </si>
  <si>
    <t>Claude_Kaggle_001.xlsx</t>
  </si>
  <si>
    <t>Claude_Kaggle_001:KG-016</t>
  </si>
  <si>
    <t>Kaggle dataset page 'About Dataset' (size-category definitions, VOC XML annotation directory, splits.json train/test format); Kaggle API record /api/v1/datasets/view/chitholian/annotated-potholes-dataset; accessed 2026-08-03</t>
  </si>
  <si>
    <t>Same Kaggle page (idanbaru); identical count (717); same ODbL license family.</t>
  </si>
  <si>
    <t>Single Kaggle deposit</t>
  </si>
  <si>
    <t>Object detection [Claude] | Object detection;Severity classification [GPT]</t>
  </si>
  <si>
    <t>Manual severity categorisation of an existing annotated dataset [Claude] | Initial severity labels generated with a documented custom script; 52 added images and corrections created with Label Studio [GPT]</t>
  </si>
  <si>
    <t>Missing and incorrect bounding boxes corrected; duplicate-scene leakage remains possible</t>
  </si>
  <si>
    <t>Include-Supplementary [Claude] | Include-Primary [GPT]</t>
  </si>
  <si>
    <t>Claude_Kaggle_001.xlsx; GPT_Kaggle_001.xlsx</t>
  </si>
  <si>
    <t>Claude_Kaggle_001:KG-015; GPT_Kaggle_001:KAG-005</t>
  </si>
  <si>
    <t>Label taxonomy: Three severity classes defined by risk to road users: minor_pothole;medium_potho (Claude) vs Minor pothole;Medium pothole;Major pothole;1,887 annotated objects (GPT) || Annotation task: Object detection (Claude) vs Object detection;Severity classification (GPT) || Annotation format: Pascal VOC XML (Claude) vs PASCAL VOC XML bounding boxes (GPT) || Annotation method: Manual severity categorisation of an existing annotated dataset (Claude) vs Initial severity labels generated with a documented custom script; 52 added imag (GPT)</t>
  </si>
  <si>
    <t>Release year: 2025 (Claude) vs 2024 (GPT) || License: Database: Open Database, Contents: Database Contents (Claude) vs Open Database License; Database Contents License (GPT) || Screening decision: Include-Supplementary (Claude) vs Include-Primary (GPT) || Key_Limitations: Enhanced derivative of chitholian/annotated-potholes-dataset, so it inherits tha (Claude) vs Derived from an earlier 665-image collection; the same pothole may appear from m (GPT)</t>
  </si>
  <si>
    <t>Release year 2025 (Claude, API v1 date) vs 2024 (GPT).</t>
  </si>
  <si>
    <t>Kaggle dataset page 'About Dataset' (717 images, Pascal VOC XML annotations, three severity class definitions with counts 418/869/600, statement of derivation); Kaggle API record /api/v1/datasets/view/idanbaru/annotated-potholes-with-severity-levels; accessed 2026-08-03 [Claude] | Kaggle dataset page, dataset description, class distribution, enhancement method, and license section, accessed 2026-08-06 [GPT]</t>
  </si>
  <si>
    <t>Claude_Kaggle_001:KG-042</t>
  </si>
  <si>
    <t>Kaggle dataset page (title and file listing only; description, subtitle, tags and licence fields all empty); Kaggle API record /api/v1/datasets/view/abrahamanderson/asphalt-cracks; accessed 2026-08-03</t>
  </si>
  <si>
    <t>Same Kaggle page (shubhamadsul97/cdac-dai-pavement-distress-detection) in both records.</t>
  </si>
  <si>
    <t>pavement distress</t>
  </si>
  <si>
    <t>Pending [Claude] | Include-Supplementary [CodeX]</t>
  </si>
  <si>
    <t>Claude_Kaggle_001.xlsx; CodeX_Kaggle_001.xlsx</t>
  </si>
  <si>
    <t>Claude_Kaggle_001:KG-039; CodeX_Kaggle_001:KAGGLE_001_DS02</t>
  </si>
  <si>
    <t>Access status: Registration (Claude) vs Direct_Download (CodeX) || Screening decision: Pending (Claude) vs Include-Supplementary (CodeX) || Key_Limitations: The record carries no description, no subtitle, no tags and no licence; only the (Claude) vs No description, unknown license, and no visible label/taxonomy, modality, proven (CodeX)</t>
  </si>
  <si>
    <t>Claude+CodeX dataset (not found by GPT). Image count NR with empty data card (Claude) vs 29,700 (CodeX); screening Pending (Claude) vs Include-Supplementary (CodeX); access Registration (Claude) vs Direct_Download (CodeX).</t>
  </si>
  <si>
    <t>Kaggle dataset page (title and file listing only; description, subtitle, tags and licence fields all empty); Kaggle API record /api/v1/datasets/view/shubhamadsul97/cdac-dai-pavement-distress-detection; accessed 2026-08-03 [Claude] | Kaggle Data Card, About Dataset; License; Combined Dataset; Data Explorer, accessed 2026-08-03 [CodeX]</t>
  </si>
  <si>
    <t>Download-audit required; data card is empty.</t>
  </si>
  <si>
    <t>https://github.com/cuilimeng/CrackForest-dataset;https://github.com/yhlleo/DeepCrack</t>
  </si>
  <si>
    <t>https://github.com/cuilimeng/CrackForest-dataset; https://github.com/yhlleo/DeepCrack</t>
  </si>
  <si>
    <t>Combination of Crack500, CrackForest, DeepCrack and an additional author-collected set</t>
  </si>
  <si>
    <t>Compiled from CrackForest (CFD) and DeepCrack sources</t>
  </si>
  <si>
    <t>CrackForest Dataset (CFD); DeepCrack-537</t>
  </si>
  <si>
    <t>Claude_Kaggle_001:KG-026</t>
  </si>
  <si>
    <t>Kaggle dataset page 'About Dataset' (stated constituent datasets (Crack500, CrackForest, DeepCrack, author's own), 1,000+ images with masks, train/val/test folder layout); Kaggle API record /api/v1/datasets/view/aryanbadiee/combinedcrack; accessed 2026-08-03</t>
  </si>
  <si>
    <t>Thiruvananthapuram, Kerala;Nagercoil, Tamil Nadu</t>
  </si>
  <si>
    <t>Pothole;Crack;Patchwork repair;Waterlogged section</t>
  </si>
  <si>
    <t>Multi-task (detection and segmentation)</t>
  </si>
  <si>
    <t>Claude_Kaggle_001:KG-029</t>
  </si>
  <si>
    <t>Kaggle dataset page 'About Dataset' (GoPro Hero7 dashboard capture, named collection cities, description of surface deterioration types (potholes, patchwork, cracks, speed bumps, waterlogging) and unstructured road conditions); Kaggle API record /api/v1/datasets/view/ammanaveen/custom-multitask-indian-road-dataset-cmird; accessed 2026-08-03</t>
  </si>
  <si>
    <t>Different environmental conditions stated;specific categories NR</t>
  </si>
  <si>
    <t>Different lighting conditions stated;specific categories NR</t>
  </si>
  <si>
    <t>Claude_Kaggle_001:KG-035</t>
  </si>
  <si>
    <t>Kaggle dataset page 'About Dataset' (stated highway crack focus, 80/20 train-test split, claim of varied lighting and environmental conditions); Kaggle API record /api/v1/datasets/view/ziya07/highway-surface-crack-detection; accessed 2026-08-03</t>
  </si>
  <si>
    <t>Diverse weather stated;specific categories NR</t>
  </si>
  <si>
    <t>Diverse lighting stated;specific categories NR</t>
  </si>
  <si>
    <t>Compilation and manual refinement of source datasets with removal of irrelevant or inaccurate images</t>
  </si>
  <si>
    <t>Stated refinement and evaluation pass;no protocol given</t>
  </si>
  <si>
    <t>Aggregated from open-source Kaggle and GitHub pothole datasets</t>
  </si>
  <si>
    <t>Claude_Kaggle_001:KG-024</t>
  </si>
  <si>
    <t>Kaggle dataset page 'About Dataset' (stated aggregation from Kaggle and GitHub CC0 sources, refinement process, 30,000+ annotated images, threat-level framing); Kaggle API record /api/v1/datasets/view/srajanchourasia/pothole-dataset; accessed 2026-08-03</t>
  </si>
  <si>
    <t>NR (Xinjiang Agricultural University research centre)</t>
  </si>
  <si>
    <t>Intersecting crack</t>
  </si>
  <si>
    <t>Claude_Kaggle_001:KG-028</t>
  </si>
  <si>
    <t>Kaggle dataset page 'About Dataset' (stated association with the paper 'Segmentation and Feature Extraction of Intersecting Cracks in Asphalt Pavement via Deep Learning and Image Processing', code plus dataset release, custom licence badge); Kaggle API record /api/v1/datasets/view/abdukeram/intersecting-crack-analysis; accessed 2026-08-03</t>
  </si>
  <si>
    <t>https://zindi.africa/competitions/miia-pothole-image-classification-challenge</t>
  </si>
  <si>
    <t>See Acquisition_Platform (reported: dashboard)</t>
  </si>
  <si>
    <t>Pothole;No pothole</t>
  </si>
  <si>
    <t>Challenge labels; exact annotation method NR</t>
  </si>
  <si>
    <t>Competition split provided; independent label audit NR</t>
  </si>
  <si>
    <t>Road Pothole Images for Pothole Detection (Claude KG-011) - Possible Match (both build on Nienaber South African pothole imagery), not merged</t>
  </si>
  <si>
    <t>GPT_Kaggle_001.xlsx</t>
  </si>
  <si>
    <t>GPT_Kaggle_001:KAG-004</t>
  </si>
  <si>
    <t>Zindi/MIIA challenge packaging of South African dashboard pothole imagery; possible common origin with KG-011; insufficient evidence to merge.</t>
  </si>
  <si>
    <t>Kaggle dataset page; official Zindi challenge page and associated public repository description, accessed 2026-08-06</t>
  </si>
  <si>
    <t>Turkiye</t>
  </si>
  <si>
    <t>Kahramanmaras;Hatay;Malatya;Adiyaman;Gaziantep provinces</t>
  </si>
  <si>
    <t>Crack;Seismic pavement deformation</t>
  </si>
  <si>
    <t>On-site investigation and photography</t>
  </si>
  <si>
    <t>Stated removal step (description truncated on the record)</t>
  </si>
  <si>
    <t>Claude_Kaggle_001:KG-027</t>
  </si>
  <si>
    <t>Kaggle dataset page 'About Dataset' (528 high-resolution 24 MP Canon images, on-site investigation across five named provinces, post-earthquake asphalt deformation focus); Kaggle API record /api/v1/datasets/view/bandisr/post-earthquake-asphalt-crack-classification; accessed 2026-08-03</t>
  </si>
  <si>
    <t>https://makeml.app/datasets/potholes</t>
  </si>
  <si>
    <t>MakeML potholes dataset</t>
  </si>
  <si>
    <t>Annotated Potholes Image Dataset (Claude KG-016) - Possible Match, not merged</t>
  </si>
  <si>
    <t>Claude_Kaggle_001:KG-017</t>
  </si>
  <si>
    <t>Kaggle dataset page 'About Dataset' (665 images, Pascal VOC bounding boxes, single pothole class, MakeML attribution and DbCL v1.0 statement); Kaggle API record /api/v1/datasets/view/andrewmvd/pothole-detection; accessed 2026-08-03</t>
  </si>
  <si>
    <t>Claude_Kaggle_001:KG-032</t>
  </si>
  <si>
    <t>Kaggle dataset page 'About Dataset' (author statement that images were scraped from the internet, description of the normal/potholes folder structure); Kaggle API record /api/v1/datasets/view/atulyakumar98/pothole-detection-dataset; accessed 2026-08-03</t>
  </si>
  <si>
    <t>Different lighting environments stated;specific categories NR</t>
  </si>
  <si>
    <t>Pre-split into train, validation and test partitions</t>
  </si>
  <si>
    <t>Claude_Kaggle_001:KG-036</t>
  </si>
  <si>
    <t>Kaggle dataset page 'About Dataset' (3,900+ annotated images in YOLO format with normalised bounding boxes, pre-split train/validation/test, Roboflow Universe sourcing statement); Kaggle API record /api/v1/datasets/view/muskanverma24/pothole-detection-dataset-yolov11-optimized; accessed 2026-08-03</t>
  </si>
  <si>
    <t>Diverse lighting conditions stated;specific categories NR</t>
  </si>
  <si>
    <t>Released without baked-in augmentation so that augmentation can be applied on the fly, avoiding duplicate leakage across splits</t>
  </si>
  <si>
    <t>Claude_Kaggle_001:KG-033</t>
  </si>
  <si>
    <t>Kaggle dataset page 'About Dataset' (1,986 images, 1,590/381 train-validation split, 640x640 resize, auto-orientation with EXIF removal, YOLOv8 segmentation format); Kaggle API record /api/v1/datasets/view/raunakkesharwani/pothole-image-segmentation-dataset; accessed 2026-08-03</t>
  </si>
  <si>
    <t>Pothole Image Segmentation Dataset</t>
  </si>
  <si>
    <t>Same Kaggle page (farzadnekouei); identical count (780); same Roboflow Universe source.</t>
  </si>
  <si>
    <t>Single Kaggle deposit (Roboflow export)</t>
  </si>
  <si>
    <t>https://universe.roboflow.com/farzad/pothole_segmentation_yolov8</t>
  </si>
  <si>
    <t>Roboflow preprocessing and augmentation; original annotation method NR</t>
  </si>
  <si>
    <t>Augmentation applied to the training split only, keeping the 60-image validation split free of augmented duplicates [Claude] | Dataset preprocessing documented; source-level annotation audit NR [GPT]</t>
  </si>
  <si>
    <t>YOLOv8 segmentation</t>
  </si>
  <si>
    <t>Roboflow Universe pothole_segmentation_yolov8 project</t>
  </si>
  <si>
    <t>Claude_Kaggle_001:KG-025; GPT_Kaggle_001:KAG-009</t>
  </si>
  <si>
    <t>Label taxonomy: Single class: pothole, with polygon segmentation masks (Claude) vs Pothole segmentation class (GPT) || Annotation task: Instance segmentation (Claude) vs Semantic segmentation;Object detection (GPT) || Annotation format: YOLOv8 segmentation TXT (Claude) vs YOLOv8 segmentation format (GPT) || Annotation QC: Augmentation applied to the training split only, keeping the 60-image validation (Claude) vs Dataset preprocessing documented; source-level annotation audit NR (GPT)</t>
  </si>
  <si>
    <t>Release year: 2023 (Claude) vs 2024 (GPT) || AI tasks: Instance segmentation (Claude) vs Semantic segmentation;Object detection (GPT) || Acquisition platform: Sourced via Roboflow Universe (Claude) vs Composite or Roboflow-sourced imagery; acquisition platform NR (GPT) || Key_Limitations: Only 780 images of which 720 are the augmented training split derived from a sma (Claude) vs Derived and augmented collection; original image provenance, geography, acquisit (GPT)</t>
  </si>
  <si>
    <t>Kaggle dataset page 'About Dataset' (780 images in YOLOv8 format, Roboflow source link, preprocessing (auto-orient, 640x640 stretch) and augmentation list, 720/60 train/validation split); Kaggle API record /api/v1/datasets/view/farzadnekouei/pothole-image-segmentation-dataset; accessed 2026-08-03 [Claude] | Kaggle dataset page and public tutorial referencing the dataset structure, accessed 2026-08-06 [GPT]</t>
  </si>
  <si>
    <t>Lahore</t>
  </si>
  <si>
    <t>Varied lighting conditions and angles stated;specific categories NR</t>
  </si>
  <si>
    <t>Pothole;Road degradation</t>
  </si>
  <si>
    <t>Hand-drawn polygon annotation, processed through Roboflow</t>
  </si>
  <si>
    <t>Claude_Kaggle_001:KG-021</t>
  </si>
  <si>
    <t>Kaggle dataset page 'About Dataset' (Lahore collection area, COCO polygon annotation style, Roboflow augmentation list, 2,100+ augmented images with train/val/test split); Kaggle API record /api/v1/datasets/view/abdulrahmanksaeed/pothole-patrol-normalized-dataset; accessed 2026-08-03</t>
  </si>
  <si>
    <t>https://smartathon.hackerearth.com/</t>
  </si>
  <si>
    <t>severity classification stated; class schema UNK</t>
  </si>
  <si>
    <t>CodeX_Kaggle_001.xlsx</t>
  </si>
  <si>
    <t>CodeX_Kaggle_001:KAGGLE_001_DS03</t>
  </si>
  <si>
    <t>Kaggle Data Card, About Dataset; License; Data Explorer, accessed 2026-08-03</t>
  </si>
  <si>
    <t>Pothole;Crack;Open manhole</t>
  </si>
  <si>
    <t>COCO JSON; COCO; YOLO TXT</t>
  </si>
  <si>
    <t>Augmented image compilation; original annotation method NR</t>
  </si>
  <si>
    <t>GPT_Kaggle_001:KAG-015</t>
  </si>
  <si>
    <t>Kaggle dataset page, description, class list, file formats, and split information, accessed 2026-08-06</t>
  </si>
  <si>
    <t>https://www.kaggle.com/datasets/rangerfan/pothole-600</t>
  </si>
  <si>
    <t>https://doi.org/10.1109/TIP.2018.2808770;https://doi.org/10.1109/TIP.2019.2933750</t>
  </si>
  <si>
    <t>10.1109/TIP.2018.2808770; 10.1109/TIP.2019.2933750</t>
  </si>
  <si>
    <t>https://doi.org/10.1109/TIP.2018.2808770; https://doi.org/10.1109/TIP.2019.2933750</t>
  </si>
  <si>
    <t>Stereo camera (ZED)</t>
  </si>
  <si>
    <t>Pothole regions with paired RGB, disparity and transformed-disparity representations</t>
  </si>
  <si>
    <t>Disparity estimated with PT-SRP and transformed using the authors' disparity transformation algorithm</t>
  </si>
  <si>
    <t>Pothole detection;Road surface modelling;Disparity-based segmentation</t>
  </si>
  <si>
    <t>Image count, resolution, country and annotation format are not stated on the Kaggle record (the name implies 600 samples but this is not asserted); no licence file or class list; label modality is inferred only from the linked papers</t>
  </si>
  <si>
    <t>Stereo Pothole Datasets (GitHub, ruirangerfan) - Possible Match, not merged; Pothole Mix (uses this data)</t>
  </si>
  <si>
    <t>Claude_Kaggle_001:KG-013</t>
  </si>
  <si>
    <t>Kaggle re-upload of R. Fan stereo pothole data (publications 10.1109/TIP.2018.2808770; 10.1109/TIP.2019.2933750); relationship to the GitHub stereo_pothole_datasets packaging unresolved - kept separate.</t>
  </si>
  <si>
    <t>Kaggle dataset page 'About Dataset' (ZED stereo acquisition, PT-SRP disparity estimation, disparity transformation, three IEEE citations); Kaggle API record /api/v1/datasets/view/rangerfan/pothole-600; accessed 2026-08-03</t>
  </si>
  <si>
    <t>Pothole-600's author card describes ZED stereo capture and cited disparity processing; MIT is in API metadata. The name does not prove 600 independent potholes, mask labels, numerical depth units or measurement accuracy.</t>
  </si>
  <si>
    <t>1920 x 1080 px or higher reported</t>
  </si>
  <si>
    <t>Multi-country or multi-location; exact countries NR</t>
  </si>
  <si>
    <t>More than 2,000 locations reported</t>
  </si>
  <si>
    <t>Pothole;Crack</t>
  </si>
  <si>
    <t>Pascal VOC; COCO JSON; COCO</t>
  </si>
  <si>
    <t>Crowdsourced image collection and professional annotation review</t>
  </si>
  <si>
    <t>Manually reviewed by computer-vision professionals; detailed sampling and inter-annotator QC NR</t>
  </si>
  <si>
    <t>GPT_Kaggle_001:KAG-013</t>
  </si>
  <si>
    <t>Kaggle dataset page, description, access instructions, annotation-format list, and license statements, accessed 2026-08-06</t>
  </si>
  <si>
    <t>https://arxiv.org/abs/2505.04207</t>
  </si>
  <si>
    <t>640x480</t>
  </si>
  <si>
    <t>Depth camera</t>
  </si>
  <si>
    <t>Manual labelling in Roboflow</t>
  </si>
  <si>
    <t>Claude_Kaggle_001:KG-005</t>
  </si>
  <si>
    <t>Kaggle dataset page 'About Dataset' (1,000 RGB-D pairs, RealSense D415, 640x480, Roboflow labelling, arXiv citation); Kaggle API record /api/v1/datasets/view/mahyeks/pothrgbd-rgb-and-depth-images-of-potholes; accessed 2026-08-03</t>
  </si>
  <si>
    <t>Same Kaggle page (jefmenegazzo); same Brazilian multi-vehicle, multi-sensor (camera + IMU + GPS) collection; GPT record carries Kaggle DOI 10.34740/KAGGLE/DS/1105310.</t>
  </si>
  <si>
    <t>https://www.kaggle.com/datasets/jefmenegazzo/pvs-passive-vehicular-sensors-datasets</t>
  </si>
  <si>
    <t>10.34740/KAGGLE/DS/1105310</t>
  </si>
  <si>
    <t>https://github.com/Intelligent-Vehicle-Perception/Intelligent-Vehicle-Perception-Based-on-Inertial-Sensing-and-Artificial-Intelligence [Claude] | https://doi.org/10.1109/SBESC51047.2020.9277846;https://doi.org/10.1007/s00607-021-00914-0 [GPT]</t>
  </si>
  <si>
    <t>10.1109/SBESC51047.2020.9277846; 10.1007/s00607-021-00914-0</t>
  </si>
  <si>
    <t>https://github.com/Intelligent-Vehicle-Perception/Intelligent-Vehicle-Perception-Based-on-Inertial-Sensing-and-Artificial-Intelligence; https://doi.org/10.1109/SBESC51047.2020.9277846; https://doi.org/10.1007/s00607-021-00914-0</t>
  </si>
  <si>
    <t>Brazil; Road environment: Asphalt;paved;unpaved roads;multiple road conditions</t>
  </si>
  <si>
    <t>Vehicle-mounted camera;Vehicle-mounted inertial sensors;GPS receiver [Claude] | Three vehicles;three drivers;three smartphone placements;passive vehicular sensors [GPT]</t>
  </si>
  <si>
    <t>IMU</t>
  </si>
  <si>
    <t>Pothole;Crack;Speed bump [Claude] | Pothole;Crack;Speed bump;Other road anomaly;Road conservation condition [GPT]</t>
  </si>
  <si>
    <t>Road surface type, road surface conservation condition and road surface quality labels, plus transient anomaly/obstacle events [Claude] | Road surface type;conservation condition;road-surface quality;road anomaly or obstacle labels [GPT]</t>
  </si>
  <si>
    <t>Classification [Claude] | Multimodal classification;Road-condition recognition;Sensor fusion [GPT]</t>
  </si>
  <si>
    <t>CSV sensor series with time-aligned image frames [Claude] | Camera;GPS;accelerometer;gyroscope;magnetometer;temperature data; exact file formats vary [GPT]</t>
  </si>
  <si>
    <t>Nine controlled combinations of vehicle, driver, and smartphone placement</t>
  </si>
  <si>
    <t>Reproducibility guide and experimental design documented; annotation audit NR</t>
  </si>
  <si>
    <t>Classification;Road surface condition recognition;Driving-event recognition;Inertial-sensor fusion [Claude] | Multimodal classification;Sensor fusion;Road-condition recognition [GPT]</t>
  </si>
  <si>
    <t>Attribution-NonCommercial-NoDerivatives 4.0 International (CC BY-NC-ND 4.0)</t>
  </si>
  <si>
    <t>CC BY-NC-ND blocks commercial use and redistribution of modified versions, which limits downstream reuse; labels describe surface type and conservation condition rather than per-distress annotations; image counts and resolution are not stated on the Kaggle record; last updated 2021 with no subsequent version [Claude] | Image count, resolution, collection dates, exact geographic coverage, license, and formal engineering condition indices are not reported. [GPT]</t>
  </si>
  <si>
    <t>Claude_Kaggle_001:KG-006; GPT_Kaggle_001:KAG-007</t>
  </si>
  <si>
    <t>Distress types: Pothole;Crack;Speed bump (Claude) vs Pothole;Crack;Speed bump;Other road anomaly;Road conservation condition (GPT) || Label taxonomy: Road surface type, road surface conservation condition and road surface quality  (Claude) vs Road surface type;conservation condition;road-surface quality;road anomaly or ob (GPT) || Annotation task: Classification (Claude) vs Multimodal classification;Road-condition recognition;Sensor fusion (GPT) || Annotation format: CSV sensor series with time-aligned image frames (Claude) vs Camera;GPS;accelerometer;gyroscope;magnetometer;temperature data; exact file for (GPT)</t>
  </si>
  <si>
    <t>AI tasks: Classification;Road surface condition recognition;Driving-event recognition;Iner (Claude) vs Multimodal classification;Sensor fusion;Road-condition recognition (GPT) || Acquisition platform: Vehicle-mounted camera;Vehicle-mounted inertial sensors;GPS receiver (Claude) vs Three vehicles;three drivers;three smartphone placements;passive vehicular senso (GPT) || Publications: https://github.com/Intelligent-Vehicle-Perception/Intelligent-Vehicle-Perception (Claude) vs https://doi.org/10.1109/SBESC51047.2020.9277846;https://doi.org/10.1007/s00607-0 (GPT) || Acquisition platform: Vehicle-mounted camera;Vehicle-mounted inertial sensors;GPS receiver (Claude) vs Three vehicles;three drivers;three smartphone placements;passive vehicular senso (GPT) || Key_Limitations: CC BY-NC-ND blocks commercial use and redistribution of modified versions, which (Claude) vs Image count, resolution, collection dates, exact geographic coverage, license, a (GPT)</t>
  </si>
  <si>
    <t>License conflict: CC BY-NC-ND (Claude) vs NR (GPT).</t>
  </si>
  <si>
    <t>Kaggle dataset page 'About Dataset' (sensor list, exteroception/proprioception label design, link to project GitHub) and Kaggle API record /api/v1/datasets/view/jefmenegazzo/pvs-passive-vehicular-sensors-datasets; accessed 2026-08-03 [Claude] | Kaggle canonical dataset page; dataset reproducibility guide; associated peer-reviewed publications, accessed 2026-08-06 [GPT]</t>
  </si>
  <si>
    <t>Retain PVS worked-example evidence assignments from rubric v2.0, including unresolved data-license/code-license distinctions. Nine contextual recordings do not establish arbitrary independent frame counts or engineering condition indices. Nine acquisition runs combine three vehicles/drivers with three scenarios, with route lengths reported. Distinguishing runs from frames supports C1/C3. Named task/context supports R1/R2. Camera 720p/30 Hz, GPS 1 Hz and inertial sensors 100 Hz, placements and processing support M1/M2/M3/M5. Roughness categories are not calibrated IRI. CC BY-NC-ND terms are stated, but compatibility with the exact intended processing/distribution remains U. Code/notebook links alone do not prove a reproducible baseline satisfying every V4 clause. Driver and vehicle factors are paired.</t>
  </si>
  <si>
    <t>https://link.springer.com/chapter/10.1007/978-981-97-2004-0_34</t>
  </si>
  <si>
    <t>10.1007/978-981-97-2004-0_34</t>
  </si>
  <si>
    <t>371</t>
  </si>
  <si>
    <t>Pothole;Crack;Protrusion;Manhole;Unsurfaced road;Speed bump</t>
  </si>
  <si>
    <t>Claude_Kaggle_001:KG-003</t>
  </si>
  <si>
    <t>Kaggle dataset page 'About Dataset' (image and scenario counts, class list, citation link); Kaggle API record /api/v1/datasets/view/rohitsuresh15/radroad-anomaly-detection; accessed 2026-08-03</t>
  </si>
  <si>
    <t>Single record; Kaggle re-annotation of RDD2022 with severity labels.</t>
  </si>
  <si>
    <t>Kaggle-only derived deposit</t>
  </si>
  <si>
    <t>Longitudinal crack;Transverse crack;Alligator crack;Pothole</t>
  </si>
  <si>
    <t>Manual relabelling of RDD2022, including correction of misclassifications in the original labels</t>
  </si>
  <si>
    <t>Claude_Kaggle_001:KG-014</t>
  </si>
  <si>
    <t>Kaggle dataset page 'About Dataset' (statement of derivation from RDD2022, extension of four classes into eight severity classes, manual relabelling); Kaggle API record /api/v1/datasets/view/juusos/rdd2022es; accessed 2026-08-03</t>
  </si>
  <si>
    <t>Audit severity-label provenance.</t>
  </si>
  <si>
    <t>Claude_Kaggle_001:KG-031</t>
  </si>
  <si>
    <t>Kaggle dataset page 'About Dataset' (three-class list, semantic-segmentation framing, stated PyTorch/TensorFlow compatibility); Kaggle API record /api/v1/datasets/view/rukiyeaydn/road-crack-dataset; accessed 2026-08-03</t>
  </si>
  <si>
    <t>Approximately 1080p; observed image sizes include 720 x 1280 and 1080 x 1920 px</t>
  </si>
  <si>
    <t>Pothole;Alligator crack;Longitudinal crack;Lateral crack</t>
  </si>
  <si>
    <t>All images labeled; no predefined train, validation, or test split; independent label audit NR</t>
  </si>
  <si>
    <t>GPT_Kaggle_001:KAG-002</t>
  </si>
  <si>
    <t>Kaggle canonical dataset page; Dataset Ninja dataset card, Introduction/Summary/Class balance/License, accessed 2026-08-06</t>
  </si>
  <si>
    <t>Claude_Kaggle_001:KG-041</t>
  </si>
  <si>
    <t>Kaggle dataset page (title, licence and file listing only; description, subtitle and tags empty); Kaggle API record /api/v1/datasets/view/yuzhang0211/road-defect-classification-dataset; accessed 2026-08-03</t>
  </si>
  <si>
    <t>Claude_Kaggle_001:KG-030</t>
  </si>
  <si>
    <t>Kaggle dataset page 'About Dataset' (stated purpose of enabling automatic crack detection and mobile-camera capture method); Kaggle API record /api/v1/datasets/view/patelmihir/road-defects-nonaugmented; accessed 2026-08-03</t>
  </si>
  <si>
    <t>https://www.researchgate.net/publication/282807920_Dataset_of_images_used_for_pothole_detection</t>
  </si>
  <si>
    <t>MIIA Pothole Image Classification Challenge (GPT KAG-004) - Possible Match (both build on Nienaber South African pothole imagery), not merged</t>
  </si>
  <si>
    <t>Claude_Kaggle_001:KG-011</t>
  </si>
  <si>
    <t>South African vehicle-mounted pothole imagery citing Nienaber et al.; possible common origin with the MIIA challenge set; insufficient evidence to merge.</t>
  </si>
  <si>
    <t>Kaggle dataset page 'About Dataset' (CSV annotation schema, acknowledgement of Nienaber, Booysen &amp; Kroon SATC 2015 and IEEE CIVTS 2015, original Google Drive source); Kaggle API record /api/v1/datasets/view/sovitrath/road-pothole-images-for-pothole-detection; accessed 2026-08-03</t>
  </si>
  <si>
    <t>Crack;Depression;Bump;Manhole;No anomaly</t>
  </si>
  <si>
    <t>Multimodal classification;Anomaly detection;Severity classification</t>
  </si>
  <si>
    <t>Synchronized camera, accelerometer, gyroscope, and GPS collection; optional labels</t>
  </si>
  <si>
    <t>Synchronization and schema documented; annotation audit NR</t>
  </si>
  <si>
    <t>GPT_Kaggle_001:KAG-006</t>
  </si>
  <si>
    <t>Kaggle canonical dataset page, data card/schema and license; associated publication metadata, accessed 2026-08-06</t>
  </si>
  <si>
    <t>Airmadidi, North Sulawesi</t>
  </si>
  <si>
    <t>Claude_Kaggle_001:KG-023</t>
  </si>
  <si>
    <t>Kaggle dataset page 'About Dataset' (stated purpose, real-world collection in Airmadidi, North Sulawesi, Indonesia, image-classification framing); Kaggle API record /api/v1/datasets/view/angelikafarahmanoppo/road-surface-dataset-datasetjalan; accessed 2026-08-03</t>
  </si>
  <si>
    <t>640x360</t>
  </si>
  <si>
    <t>Daylight;Shadows;Mixed illumination</t>
  </si>
  <si>
    <t>Road Damage Dataset: Potholes, Cracks and Manholes (Arcioni) - Possible Match (identical class triple, 640x360 resolution, action-camera-plus-smartphone framing), not merged</t>
  </si>
  <si>
    <t>Claude_Kaggle_001:KG-040</t>
  </si>
  <si>
    <t>Claude flagged a close descriptive fingerprint with the Arcioni dataset but no source attribution; merging risks train/test contamination; kept separate as Possible Match.</t>
  </si>
  <si>
    <t>Kaggle dataset page 'About Dataset' (class list, 640x360 resolution, device and scene-diversity statements, no provenance or country); compared against https://www.kaggle.com/datasets/lorenzoarcioni/road-damage-dataset-potholes-cracks-and-manholes; accessed 2026-08-03</t>
  </si>
  <si>
    <t>Compare file hashes with the Arcioni deposit.</t>
  </si>
  <si>
    <t>745x512</t>
  </si>
  <si>
    <t>Automated web scraping followed by manual filtering of irrelevant or low-quality images</t>
  </si>
  <si>
    <t>Manual filtering pass described</t>
  </si>
  <si>
    <t>Web-scraped imagery (SerpAPI queries)</t>
  </si>
  <si>
    <t>Claude_Kaggle_001:KG-022</t>
  </si>
  <si>
    <t>Kaggle dataset page 'About Dataset' (five class names, 745x512 resolution, SerpAPI web-scraping collection method, manual filtering, augmentation description, directory tree); Kaggle API record /api/v1/datasets/view/saadkhan0/road-conditionalert-dataset; accessed 2026-08-03</t>
  </si>
  <si>
    <t>Claude_Kaggle_001:KG-034</t>
  </si>
  <si>
    <t>Kaggle dataset page 'About Dataset' (stated coverage of asphalt roads and concrete bridges, YOLOv8 annotation format, object-detection framing); Kaggle API record /api/v1/datasets/view/danishghaffar786/roads-and-bridges-cracks-yolov8-format; accessed 2026-08-03</t>
  </si>
  <si>
    <t>Meknes</t>
  </si>
  <si>
    <t>Linear crack;Alligator crack;Pothole</t>
  </si>
  <si>
    <t>Annotated in Roboflow</t>
  </si>
  <si>
    <t>Claude_Kaggle_001:KG-038</t>
  </si>
  <si>
    <t>Kaggle dataset page 'About Dataset' (stated 200-500 dashcam images from Meknes, five-class list, Roboflow YOLO annotation, CLAHE preprocessing, ENSAM Meknes IATD 2026 project attribution, CC BY 4.0 statement in body text); Kaggle API record /api/v1/datasets/view/mohamedaminebelasri7/roadscan-dataset; accessed 2026-08-03</t>
  </si>
  <si>
    <t>Shantou University campus, Guangdong</t>
  </si>
  <si>
    <t>2022-03 to 2022-09</t>
  </si>
  <si>
    <t>Varying illumination</t>
  </si>
  <si>
    <t>Transverse crack;Longitudinal crack;Intersecting crack;Block crack;Alligator crack</t>
  </si>
  <si>
    <t>LabelMe semi-automatic annotation converted to binary PNG masks</t>
  </si>
  <si>
    <t>One-to-one image-mask pairing enforced by matching filenames</t>
  </si>
  <si>
    <t>Claude_Kaggle_001:KG-008</t>
  </si>
  <si>
    <t>Kaggle dataset page 'About Dataset' (sample count, resolution, collection window 2022-03-01 to 2022-09-30, camera and mounting height, LabelMe workflow, crack-type list, evaluation guidance); Kaggle API record /api/v1/datasets/view/guijiezhu/stu-camcrack792; accessed 2026-08-03</t>
  </si>
  <si>
    <t>UAV-SEG-2025: Segmented Pavement Distress Dataset; Enhanced UAV-PDD / UAV-SEG-2025</t>
  </si>
  <si>
    <t>Same Kaggle page (patelravi07/enhanced-uav-pdd) in all three records; all describe segmentation-converted UAV-PDD source data; two records cite the UAV-PDD2023 Zenodo record as source.</t>
  </si>
  <si>
    <t>https://zenodo.org/records/8214118</t>
  </si>
  <si>
    <t>Longitudinal crack;Transverse crack;Alligator crack;Oblique crack;Pothole;Repair [GPT] | pavement distress [CodeX]</t>
  </si>
  <si>
    <t>Semantic segmentation [Claude/GPT] | segmentation; detection; automated distress detection, quantification, and road maintenance planning. [CodeX]</t>
  </si>
  <si>
    <t>Derived pixel-level annotation of UAV-PDD images</t>
  </si>
  <si>
    <t>Claude_Kaggle_001.xlsx; CodeX_Kaggle_001.xlsx; GPT_Kaggle_001.xlsx</t>
  </si>
  <si>
    <t>Claude_Kaggle_001:KG-004; CodeX_Kaggle_001:KAGGLE_001_DS01; GPT_Kaggle_001:KAG-011</t>
  </si>
  <si>
    <t>Distress types: Longitudinal crack;Transverse crack;Alligator crack;Oblique crack;Pothole;Repair (GPT) vs pavement distress (CodeX) || Label taxonomy: Pixel-level pavement distress segmentation masks; specific class list not stated (Claude) vs Six pixel-level segmentation classes (GPT) vs PASCAL VOC XML annotations; pixel-level segmentation masks described (CodeX) || Annotation task: Semantic segmentation (Claude/GPT) vs segmentation; detection; automated distress detection, quantification, and road  (CodeX) || Annotation format: Segmentation masks;YOLO-compatible derivative representation (GPT) vs PASCAL VOC XML (CodeX)</t>
  </si>
  <si>
    <t>Access status: Registration (Claude/GPT) vs Direct_Download (CodeX) || License: Attribution 4.0 International (CC BY 4.0) (Claude/CodeX) vs CC BY 4.0 (GPT) || AI tasks: Semantic segmentation;Distress quantification;Maintenance planning (Claude) vs Semantic segmentation;Object detection (GPT) vs segmentation; detection (CodeX) || Screening decision: Include-Primary (Claude/CodeX) vs Include-Supplementary (GPT) || Acquisition platform: UAV (Claude/CodeX) vs UAV; inherited from UAV-PDD source data (GPT) || Key_Limitations: Enhanced derivative of UAVPDD0223; distress class list, image counts, resolution (Claude) vs Derived from an existing UAV pavement dataset; source overlap, exact version map (GPT) vs Kaggle page reports enhanced derivation from UAVPDD0223; geographic coverage, im (CodeX)</t>
  </si>
  <si>
    <t>Image count NR (Claude) vs 2,426 (CodeX; GPT). Screening conflict: Include-Primary (Claude, CodeX) vs Include-Supplementary (GPT).</t>
  </si>
  <si>
    <t>Kaggle dataset page 'About Dataset' (statement of derivation from UAVPDD0223 with Zenodo link, pixel-level mask description); Kaggle API record /api/v1/datasets/view/patelravi07/enhanced-uav-pdd; accessed 2026-08-03 [Claude] | Kaggle dataset page; associated Roboflow dataset/model cards, accessed 2026-08-06 [GPT] | Kaggle Data Card, About Dataset; License; Annotations; Data Explorer, accessed 2026-08-03 [CodeX]</t>
  </si>
  <si>
    <t>Confirm 2,426-image extent and mask provenance.</t>
  </si>
  <si>
    <t>66</t>
  </si>
  <si>
    <t>Road environment: Urban;Suburban;Small towns;Connecting roads</t>
  </si>
  <si>
    <t>Vehicle-mounted stereo camera (ZED 2, behind rear-view mirror)</t>
  </si>
  <si>
    <t>Multiple weather conditions stated;specific categories NR</t>
  </si>
  <si>
    <t>Variable lighting across seasons and drives;specific categories NR</t>
  </si>
  <si>
    <t>Hand-labelled road surface condition classes; the full class list is not enumerated on the record</t>
  </si>
  <si>
    <t>Manual frame-level labelling of frames extracted at 15 FPS</t>
  </si>
  <si>
    <t>Image classification;Road surface condition monitoring</t>
  </si>
  <si>
    <t>Country and cities are not named on the record (tagged 'europe' only); the class list is shown in an embedded figure rather than stated in text; total labelled image count is not given; no notebooks or publications yet linked</t>
  </si>
  <si>
    <t>Claude_Kaggle_001:KG-007</t>
  </si>
  <si>
    <t>Kaggle dataset page 'About Dataset' (66 ZED 2 recordings, 1920x1080, 15 FPS frame extraction, multi-season acquisition, location description); Kaggle API record /api/v1/datasets/view/adamnovozmsk/ward-weather-aware-road-dataset; accessed 2026-08-03</t>
  </si>
  <si>
    <t>WARD v1 describes dry/snow/wet classes, 66 recordings, 1,854 derived sequences and 54,952 frames, plus drive/context/order filenames and homography/cropping. Gaps are assumed to reduce overlap; actual group-aware splits and domain testing remain unverified.</t>
  </si>
  <si>
    <t>Other (institutional/external host)</t>
  </si>
  <si>
    <t>Crack detection; segmentation</t>
  </si>
  <si>
    <t>Manual ground truth</t>
  </si>
  <si>
    <t>Github_Github_Test:GITHUB-016</t>
  </si>
  <si>
    <t>Hosted on an institutional page (irit.fr), not on any of the six platforms; surfaced by the GitHub test batch.</t>
  </si>
  <si>
    <t>https://www.irit.fr/~Sylvie.Chambon/Crack_Detection_Database.html; dataset table referenced by GitHub public dataset lists; accessed 2026-08-01</t>
  </si>
  <si>
    <t>Original AV inventory records</t>
  </si>
  <si>
    <t>Static source values and original dataset/evidence hyperlinks. Normalized values and merge decisions are in All_Datasets and Merge_Log.</t>
  </si>
  <si>
    <t>ID</t>
  </si>
  <si>
    <t>Dataset / release family</t>
  </si>
  <si>
    <t>Condition label type</t>
  </si>
  <si>
    <t>Media provided</t>
  </si>
  <si>
    <t>Access status</t>
  </si>
  <si>
    <t>Fit to request</t>
  </si>
  <si>
    <t>Camera / footage details</t>
  </si>
  <si>
    <t>AV / ADAS relationship</t>
  </si>
  <si>
    <t>Release / paper year</t>
  </si>
  <si>
    <t>Reported size</t>
  </si>
  <si>
    <t>Label format</t>
  </si>
  <si>
    <t>License / use terms</t>
  </si>
  <si>
    <t>Access instructions</t>
  </si>
  <si>
    <t>Limits and pairing notes</t>
  </si>
  <si>
    <t>Dataset / download</t>
  </si>
  <si>
    <t>Reviewed</t>
  </si>
  <si>
    <t>Original dataset URL</t>
  </si>
  <si>
    <t>Original evidence URL</t>
  </si>
  <si>
    <t>Condition-labeled candidate</t>
  </si>
  <si>
    <t>Real 4-/6-camera MP4 sequences</t>
  </si>
  <si>
    <t>Tesla owner footage for AV research; automation engagement not established</t>
  </si>
  <si>
    <t>Hugging Face gated download; sign-in and acceptance/contact sharing</t>
  </si>
  <si>
    <t>Source evidence</t>
  </si>
  <si>
    <t>2026-10-11 00:00:00</t>
  </si>
  <si>
    <t>Forward camera frames selected from driving video with synchronized LiDAR; full continuous RGB video release not established.</t>
  </si>
  <si>
    <t>Volkswagen Passat research platform; AV/ADAS application. Autonomous operation during capture is not established.</t>
  </si>
  <si>
    <t>Public Hugging Face files linked by author GitHub; full archive not downloaded.</t>
  </si>
  <si>
    <t>External roof-camera 720p 30 Hz MP4s plus sensor/video composites and GPS/IMU records.</t>
  </si>
  <si>
    <t>Human-driven Volkswagen Saveiro, Fiat Bravo and Fiat Palio; intended AV/ADAS / road-perception applications.</t>
  </si>
  <si>
    <t>Author links Kaggle and UFSC downloads; Kaggle may require account.</t>
  </si>
  <si>
    <t>Vehicle-captured road patches (360×240); original full driving videos not documented as downloadable.</t>
  </si>
  <si>
    <t>Collected with a bonnet-mounted vehicle camera for driving assistance; autonomous operation not established.</t>
  </si>
  <si>
    <t>2022–2023</t>
  </si>
  <si>
    <t>CC BY-NC per current official download page; do not infer dataset license from MIT code repository.</t>
  </si>
  <si>
    <t>Official download page links 13.92 GB archive.</t>
  </si>
  <si>
    <t>Front/windshield-camera frames at 25 Hz synchronized with CAN, IMU and RTK GPS.</t>
  </si>
  <si>
    <t>Automated-driving research collection with Ford Mustang Mach-E-related dynamics; autonomous operation not established.</t>
  </si>
  <si>
    <t>Public per-run image ZIPs on Hugging Face; metadata CSVs and download/loader scripts on author GitHub.</t>
  </si>
  <si>
    <t>Low-resolution road images captured in driving context; separate RTK collection also contains frame sequences.</t>
  </si>
  <si>
    <t>Vehicle-navigation/road-perception research collection; autonomous mode not established.</t>
  </si>
  <si>
    <t>2020 paper; 2023 repository release</t>
  </si>
  <si>
    <t>Public Mendeley dataset.</t>
  </si>
  <si>
    <t>Four ordered road-driving frame sequences from HP Webcam HD-4110.</t>
  </si>
  <si>
    <t>Autonomous Vehicle Project; moving-vehicle webcam collection, autonomous operation not established.</t>
  </si>
  <si>
    <t>2019 (capture 2016–2017)</t>
  </si>
  <si>
    <t>Official page offers raw sequence parts and classified ground-truth folders.</t>
  </si>
  <si>
    <t>100,000 extracted road-video images; continuous videos not stated as released.</t>
  </si>
  <si>
    <t>Designed for autonomous road perception; real road video-derived imagery, not confirmed autonomous driving.</t>
  </si>
  <si>
    <t>2023 preprint; 2025 journal</t>
  </si>
  <si>
    <t>Authors request email to matifbutt@outlook.com; repository says unlabeled data will be released soon.</t>
  </si>
  <si>
    <t>641 contiguous RGB, IR and depth frames; annotated MP4 preview of the same sequence.</t>
  </si>
  <si>
    <t>Vehicle driving capture for AV/ADAS perception; vehicle make and automation state not established.</t>
  </si>
  <si>
    <t>Not stated</t>
  </si>
  <si>
    <t>Public sample files on Hugging Face; full session requires commercial license.</t>
  </si>
  <si>
    <t>100k camera keyframes; separate 1,473 x 20-second camera sequences and 29 longer drives</t>
  </si>
  <si>
    <t>Sensor-equipped AD development fleet; autonomous engagement not established for every sample</t>
  </si>
  <si>
    <t>2023; radar update 2025</t>
  </si>
  <si>
    <t>Public download through official SDK/site</t>
  </si>
  <si>
    <t>RGB stereo and gated/thermal sensor imagery; sampled road scenes; temporal extensions available</t>
  </si>
  <si>
    <t>Multisensor automotive research test vehicle; not proof of autonomous operation</t>
  </si>
  <si>
    <t>Registration/download request through DENSE site; download not executed</t>
  </si>
  <si>
    <t>Calibrated camera-derived bird's-eye road patches at multiple distances; demonstration video.</t>
  </si>
  <si>
    <t>Truck-mounted camera on test track; AV research application. Additional truck/car domain-shift subsets.</t>
  </si>
  <si>
    <t>Direct subset downloads on provider page.</t>
  </si>
  <si>
    <t>Bird's-eye road patches from calibrated cameras; demo video.</t>
  </si>
  <si>
    <t>Camera-based road-condition dataset for autonomous-vehicle robustness; autonomous capture not verified.</t>
  </si>
  <si>
    <t>Direct road-patch download links.</t>
  </si>
  <si>
    <t>Social-media near-miss and crash videos; full data by email request.</t>
  </si>
  <si>
    <t>First-person videos of ADAS-equipped vehicles. ADAS status inferred from video cues and vehicle context by authors, not vehicle telemetry.</t>
  </si>
  <si>
    <t>2025 preprint / 2026 TRB</t>
  </si>
  <si>
    <t>Request full data from shaoyan.zhai@ucf.edu; public schema only.</t>
  </si>
  <si>
    <t>4K 30 fps driving video with timestamped anomaly annotations; video links stored separately from sensor archives.</t>
  </si>
  <si>
    <t>Ordinary vehicle / smartphone collection for road monitoring; active autonomy not established.</t>
  </si>
  <si>
    <t>Paper links Figshare v3 and external Google Drive videos. Landing-page access unresolved during review; video links not individually tested.</t>
  </si>
  <si>
    <t>1920×1080 stereo images; 15 dense sequences of 8 s and 176 sparse sequences; LiDAR, IMU and RTK.</t>
  </si>
  <si>
    <t>Instrumented research vehicle; developed for AV safety/comfort. Autonomous capture not established.</t>
  </si>
  <si>
    <t>2023–2024</t>
  </si>
  <si>
    <t>Public archive links on official download page.</t>
  </si>
  <si>
    <t>4K forward/perspective road images extracted from videos; no complete video release verified.</t>
  </si>
  <si>
    <t>Vehicle-mounted Sony mirrorless cameras; automated inspection research, autonomous operation not established.</t>
  </si>
  <si>
    <t>Official GitHub links Zenodo; release note on GitHub is inconsistent ('available' and 'released soon'). Check latest archive.</t>
  </si>
  <si>
    <t>10 classes: longitudinal/transverse/alligator/repaired cracks, pothole, faded crosswalk/lane marking, manhole, patchy road, rutting.</t>
  </si>
  <si>
    <t>Road images, including inherited RDD sources; continuous video not documented.</t>
  </si>
  <si>
    <t>Extension/reannotation of RDD road imagery; not confirmed AV capture.</t>
  </si>
  <si>
    <t>2024 (v5)</t>
  </si>
  <si>
    <t>CC BY 4.0 on v5 landing page; consider upstream image terms for inherited RDD data.</t>
  </si>
  <si>
    <t>Mendeley public training/validation and test files.</t>
  </si>
  <si>
    <t>Road still images; country subsets include motorbike/drone views. No continuous driving footage required by benchmark.</t>
  </si>
  <si>
    <t>Road-monitoring collection using vehicle cameras/smartphones and other platforms; AV operation not established.</t>
  </si>
  <si>
    <t>2022; family releases 2018, 2019, 2020</t>
  </si>
  <si>
    <t>Public country ZIPs and full archive; Figshare mirror linked by authors.</t>
  </si>
  <si>
    <t>RGB/stereo camera sequences in full sensor ROS bags with LiDAR, IMU and GPS.</t>
  </si>
  <si>
    <t>Clearpath Warthog robotic ground vehicle; off-road autonomy research, not a passenger-car or truck pavement survey.</t>
  </si>
  <si>
    <t>Public downloads linked from author GitHub/project site.</t>
  </si>
  <si>
    <t>Continuous RGB driving sequences with IMU, vision-only recordings, and a separately identified synthetic subset.</t>
  </si>
  <si>
    <t>Road-surface and vehicle-maintenance research; corporate collaborators do not establish AV or Aurora/Rivian capture.</t>
  </si>
  <si>
    <t>Data by request to wlc2@cin.ufpe.br with intended use and affiliation.</t>
  </si>
  <si>
    <t>Dry, wet, snow (manual visual labels informed by drive context).</t>
  </si>
  <si>
    <t>66 recordings converted to road ROI/bird's-eye images and short sequences.</t>
  </si>
  <si>
    <t>Front-facing in-vehicle recordings for road-condition monitoring; autonomous mode unconfirmed.</t>
  </si>
  <si>
    <t>ICIAP 2025; proceedings 2026</t>
  </si>
  <si>
    <t>Not verified; contact authors / consult dataset download.</t>
  </si>
  <si>
    <t>Authors state publicly downloadable; direct archive endpoint not resolved in this research.</t>
  </si>
  <si>
    <t>https://ro.utia.cas.cz/?q=publication-details%2F0644268</t>
  </si>
  <si>
    <t>Supplemental imagery</t>
  </si>
  <si>
    <t>1200×900 road-surface stills, each representing about 2×3 m.</t>
  </si>
  <si>
    <t>Cameras on professional pavement-inspection vehicle; not an autonomous fleet dataset.</t>
  </si>
  <si>
    <t>2020–2021</t>
  </si>
  <si>
    <t>CC BY-NC 4.0 on author-associated dataset card.</t>
  </si>
  <si>
    <t>Author repository links public Hugging Face archive (~24.1 GB).</t>
  </si>
  <si>
    <t>600 pavement crack still images; full drive videos not documented.</t>
  </si>
  <si>
    <t>Pavement-inspection research; repository does not establish autonomous capture.</t>
  </si>
  <si>
    <t>Public author GitHub links Google Drive download.</t>
  </si>
  <si>
    <t>20 large top-down road-surface images, each covering 10 m.</t>
  </si>
  <si>
    <t>Pavement survey collection; not confirmed AV capture.</t>
  </si>
  <si>
    <t>Academic request and credentials through GAPs provider.</t>
  </si>
  <si>
    <t>Grayscale high-resolution pavement surface stills and derived patches.</t>
  </si>
  <si>
    <t>Professional pavement survey imagery from mobile mapping; autonomous driving not established.</t>
  </si>
  <si>
    <t>2019 (v1 2017)</t>
  </si>
  <si>
    <t>Academic request form and provider-issued login; Python downloader.</t>
  </si>
  <si>
    <t>Still street-view images; not a continuous AV video release</t>
  </si>
  <si>
    <t>Street-level imagery for driving perception; varied capture devices, not an AV fleet dataset</t>
  </si>
  <si>
    <t>2017; v2 extension</t>
  </si>
  <si>
    <t>Official dataset portal; account/terms may be required; full files not downloaded</t>
  </si>
  <si>
    <t>Top-down orthographic pavement stills (512×512).</t>
  </si>
  <si>
    <t>Highway-inspection vehicle with line-scan camera; not autonomous-driving footage.</t>
  </si>
  <si>
    <t>Public Hugging Face files (~3.49 GB).</t>
  </si>
  <si>
    <t>High-resolution pavement images; continuous video not documented.</t>
  </si>
  <si>
    <t>Designed for vision-based autonomous-driving pavement perception; capture mode not established in repository.</t>
  </si>
  <si>
    <t>2025 publication context; repository date not verified</t>
  </si>
  <si>
    <t>100-image preview in GitHub; full noncommercial access application process described as forthcoming.</t>
  </si>
  <si>
    <t>Mixed still images and 797 RGB clips with corresponding disparity videos.</t>
  </si>
  <si>
    <t>Pavement-damage research; mixed reused imagery plus near-ground RGB-D capture, not verified AV driving.</t>
  </si>
  <si>
    <t>2022 (v2)</t>
  </si>
  <si>
    <t>Public Mendeley v2 files.</t>
  </si>
  <si>
    <t>https://data.mendeley.com/datasets/kfth5g2xk3</t>
  </si>
  <si>
    <t>619 two-second pothole video clips, each 48 frames at 1080×1080.</t>
  </si>
  <si>
    <t>Top-down handheld smartphone capture; not AV driving footage.</t>
  </si>
  <si>
    <t>2024 (v3)</t>
  </si>
  <si>
    <t>Public Mendeley v3.</t>
  </si>
  <si>
    <t>600 small RGB road images with transformed disparity; top-down road viewpoint, not full drive footage.</t>
  </si>
  <si>
    <t>AV-relevant pothole perception benchmark; actively autonomous or vehicle-mounted capture not established by project page.</t>
  </si>
  <si>
    <t>Public author-linked download and Kaggle.</t>
  </si>
  <si>
    <t>https://ram-lab.com/papers/2020/fan2020we.pdf</t>
  </si>
  <si>
    <t>9,122 street-level still images; no packaged continuous drive videos.</t>
  </si>
  <si>
    <t>Crowdsourced Mapillary imagery; mixed transport/cameras, not an AV fleet dataset.</t>
  </si>
  <si>
    <t>2024 dataset; 2025 paper</t>
  </si>
  <si>
    <t>Public Zenodo image archives and metadata.</t>
  </si>
  <si>
    <t>Top/side-view images and side-view videos taken with rear phone camera.</t>
  </si>
  <si>
    <t>Mobile-phone road inspection; AV capture not established.</t>
  </si>
  <si>
    <t>Public Mendeley v2.</t>
  </si>
  <si>
    <t>Footage / image fallback</t>
  </si>
  <si>
    <t>Six-camera 360-degree imagery, five lidars and vehicle bus data</t>
  </si>
  <si>
    <t>Audi instrumented development vehicle; not proof of autonomous engagement</t>
  </si>
  <si>
    <t>2019; paper 2020</t>
  </si>
  <si>
    <t>Public AWS Open Data and official project links</t>
  </si>
  <si>
    <t>Adverse-condition street images and corresponding normal-condition images</t>
  </si>
  <si>
    <t>Driving-scene perception research; no verified autonomous fleet operation</t>
  </si>
  <si>
    <t>2021; later panoptic extension</t>
  </si>
  <si>
    <t>Official account/license-based dataset access</t>
  </si>
  <si>
    <t>Calibrated camera, lidar and radar sequences covering 360 degrees</t>
  </si>
  <si>
    <t>ADAS/AV long-range perception development vehicle</t>
  </si>
  <si>
    <t>2022; paper 2023</t>
  </si>
  <si>
    <t>Official form or provider-linked Kaggle release</t>
  </si>
  <si>
    <t>High-resolution RGB image sequences with pose and static depth</t>
  </si>
  <si>
    <t>Baidu autonomous-driving research data collection</t>
  </si>
  <si>
    <t>Official GitHub toolkit lists direct archive links; bulk download not tested</t>
  </si>
  <si>
    <t>Seven ring-camera and two stereo-camera streams with lidar and pose</t>
  </si>
  <si>
    <t>Ford Fusion Hybrid vehicles integrated with Argo self-driving technology</t>
  </si>
  <si>
    <t>Public official S3 links; use corrected v1.1</t>
  </si>
  <si>
    <t>Ring-camera imagery, lidar and HD maps</t>
  </si>
  <si>
    <t>Autonomous-driving fleet sensor recordings</t>
  </si>
  <si>
    <t>Official public downloads</t>
  </si>
  <si>
    <t>Seven ring plus two stereo cameras at 20 Hz, lidar and pose</t>
  </si>
  <si>
    <t>Public official downloads and SDK</t>
  </si>
  <si>
    <t>Seven 1920x1200 cameras, including stereo and surrounding views; LiDAR</t>
  </si>
  <si>
    <t>Uber ATG research vehicle data acquired by Aurora; not an Aurora trucking dataset</t>
  </si>
  <si>
    <t>2020 paper; 2023 public release</t>
  </si>
  <si>
    <t>Public AWS S3 pit30m bucket; SDK linked from registry</t>
  </si>
  <si>
    <t>100k approximately 40-second driving videos plus extracted annotated keyframes</t>
  </si>
  <si>
    <t>Crowdsourced dashcam videos for AD research; not verified AV or ADAS operation</t>
  </si>
  <si>
    <t>2018; paper 2020</t>
  </si>
  <si>
    <t>Official project/toolkit remains online; main download site could not be reached during this review</t>
  </si>
  <si>
    <t>5 MP camera sequences, lidar, radar, GNSS/IMU; RT adds sensors/routes</t>
  </si>
  <si>
    <t>Instrumented autonomous-driving research platform</t>
  </si>
  <si>
    <t>2021–2023; Boreas-RT 2026</t>
  </si>
  <si>
    <t>Public S3; AWS account optional with no-sign-request</t>
  </si>
  <si>
    <t>Eight-camera sequences, lidar, GNSS/INS; CADC+ adds matched clear-weather recordings</t>
  </si>
  <si>
    <t>Autonomoose modified Lincoln MKZ autonomous vehicle platform</t>
  </si>
  <si>
    <t>2020; CADC+ 2025</t>
  </si>
  <si>
    <t>Public devkit download scripts; CADC+ official lab download page</t>
  </si>
  <si>
    <t>Stereo images with preceding/trailing video frames, GPS and odometry</t>
  </si>
  <si>
    <t>Vehicle-recorded street sequences for AD perception; not proof of autonomous operation</t>
  </si>
  <si>
    <t>Register and agree to license; image sequence packages available</t>
  </si>
  <si>
    <t>Original 10k PNG still images; extra image sets include fisheye and interior views</t>
  </si>
  <si>
    <t>Real driving images captured from comma fleet</t>
  </si>
  <si>
    <t>Public GitHub repository</t>
  </si>
  <si>
    <t>Road-facing HEVC video, CAN, IMU, GNSS and frame-aligned poses</t>
  </si>
  <si>
    <t>comma EON-equipped Toyota RAV4 and Honda Civic; engagement must be checked from logs</t>
  </si>
  <si>
    <t>Official repository links to Academic Torrents; example segment in repo</t>
  </si>
  <si>
    <t>10k+ road-driving video clips; annotated traffic-object subset</t>
  </si>
  <si>
    <t>Dashcam videos from vehicles on DiDi platform, not confirmed AV fleet</t>
  </si>
  <si>
    <t>Paper remains public; functioning original full dataset download not verified</t>
  </si>
  <si>
    <t>Seven-camera PNG streams plus lidar, GPS, poses and 3D maps; ROS bags</t>
  </si>
  <si>
    <t>Fleet of Ford autonomous vehicles explicitly manually driven during collection</t>
  </si>
  <si>
    <t>2020 (captured 2017–2018)</t>
  </si>
  <si>
    <t>Public AWS-hosted official download links</t>
  </si>
  <si>
    <t>Camera images selected from 182 drive sequences; separate detection data</t>
  </si>
  <si>
    <t>Front-facing camera attached to a driven car; unstructured-driving research</t>
  </si>
  <si>
    <t>2018–2019</t>
  </si>
  <si>
    <t>Official login; license displayed before download</t>
  </si>
  <si>
    <t>Color and grayscale stereo PNG sequences at 10 Hz, lidar, GPS/IMU</t>
  </si>
  <si>
    <t>Instrumented research vehicle; autonomous engagement not established</t>
  </si>
  <si>
    <t>Registration/login required for raw download</t>
  </si>
  <si>
    <t>Front perspective stereo plus two side fisheye cameras; lidar and poses</t>
  </si>
  <si>
    <t>Instrumented station wagon for driving-scene research</t>
  </si>
  <si>
    <t>2020; paper 2022</t>
  </si>
  <si>
    <t>Register and specify intended use</t>
  </si>
  <si>
    <t>Four 10 Hz camera sequences, six LiDARs and six radars</t>
  </si>
  <si>
    <t>Heavy truck used for autonomous-driving development; active autonomy per frame not established</t>
  </si>
  <si>
    <t>Public download and AWS S3; mini/trainval/test splits</t>
  </si>
  <si>
    <t>4-/6-camera Tesla MP4 clips of approximately one minute</t>
  </si>
  <si>
    <t>Everyday-driver Tesla dashcam data for AV/world-model research; automation-active status not established</t>
  </si>
  <si>
    <t>Hugging Face; gated acceptance/contact sharing</t>
  </si>
  <si>
    <t>4-/6-camera MP4 video with vehicle telemetry</t>
  </si>
  <si>
    <t>Crowdsourced driver footage with Autopilot-state telemetry; inspect states to isolate assisted-driving segments</t>
  </si>
  <si>
    <t>Hugging Face; gated terms and contact sharing</t>
  </si>
  <si>
    <t>Camera keyframes plus temporal surrounding frames in six-second clips</t>
  </si>
  <si>
    <t>Images from Motional AV sensor platform</t>
  </si>
  <si>
    <t>Official account-based downloads</t>
  </si>
  <si>
    <t>Eight-camera sensor data, lidar, IMU and GPS for sensor subset</t>
  </si>
  <si>
    <t>Motional autonomous-driving fleet</t>
  </si>
  <si>
    <t>2021; sensor release 2023</t>
  </si>
  <si>
    <t>Sign up and obtain sensor blobs separately from planning database</t>
  </si>
  <si>
    <t>Six-camera synchronized image sequences, lidar/radar/GPS/IMU</t>
  </si>
  <si>
    <t>Autonomous-driving development fleet with complete AV sensor suite</t>
  </si>
  <si>
    <t>Official downloads require account and terms acceptance</t>
  </si>
  <si>
    <t>Multi-camera videos for all clips; lidar/radar coverage for subsets; ego motion</t>
  </si>
  <si>
    <t>Planned sensor-equipped AV/ADAS data-collection drives; engagement not established for all clips</t>
  </si>
  <si>
    <t>2025; updated 2026</t>
  </si>
  <si>
    <t>Gated Hugging Face; account and NVIDIA agreement required</t>
  </si>
  <si>
    <t>Seven-camera imagery plus lidar; calibration and sequence metadata</t>
  </si>
  <si>
    <t>Multisensor data acquisition vehicle for autonomous-driving research</t>
  </si>
  <si>
    <t>Official Google Drive/Baidu download links; choose labeled/unlabeled subsets</t>
  </si>
  <si>
    <t>YouTube video list and processing tools; released YouTube portion over 1,700h</t>
  </si>
  <si>
    <t>Public driving videos assembled for AD world-model research; autonomy and vehicle brand generally unverified</t>
  </si>
  <si>
    <t>Official video list/scripts and language files; source videos may change or disappear</t>
  </si>
  <si>
    <t>Multicamera image sequences, lidar and navigation; radar extension adds scanning radar</t>
  </si>
  <si>
    <t>RobotCar research platform; operation mode not asserted for each traversal</t>
  </si>
  <si>
    <t>2016–2017; radar extension 2019</t>
  </si>
  <si>
    <t>Academic email registration and manual approval required by current registration page</t>
  </si>
  <si>
    <t>Six-camera images, dual lidar, GPS and poses</t>
  </si>
  <si>
    <t>Vehicle equipped with commercial AV sensor suite</t>
  </si>
  <si>
    <t>2019; paper 2021</t>
  </si>
  <si>
    <t>Official devkit online; its original Scale download landing returned 404 during review</t>
  </si>
  <si>
    <t>ZED stereo camera, radar, lidar, GPS/IMU in adverse weather</t>
  </si>
  <si>
    <t>Automotive sensor research for autonomy and driver assistance</t>
  </si>
  <si>
    <t>Register through official dataset website</t>
  </si>
  <si>
    <t>11-15 cameras with synchronized LiDAR/radar, poses and calibration</t>
  </si>
  <si>
    <t>Semi-truck platform for long-range autonomous highway-driving research</t>
  </si>
  <si>
    <t>Hugging Face release; provided download script permits per-scene/per-modality access</t>
  </si>
  <si>
    <t>Forward camera; one-second sequences of 20 frames</t>
  </si>
  <si>
    <t>Autonomous-driving company benchmark; truck-mounted provenance/active autonomy not established by benchmark documentation</t>
  </si>
  <si>
    <t>Official repository now directs users to Kaggle mirror; original S3 downloads reported unavailable</t>
  </si>
  <si>
    <t>Eight surrounding cameras at 10 Hz; 20-second train/validation sequences; 12-second test sequences</t>
  </si>
  <si>
    <t>Waymo fleet; mixed manual/autonomous recordings, mode not labeled</t>
  </si>
  <si>
    <t>Waymo portal; sign-in and dataset terms</t>
  </si>
  <si>
    <t>Five synchronized camera image sequences plus LiDAR</t>
  </si>
  <si>
    <t>Waymo fleet; unlabeled mixture of manual and autonomous operation</t>
  </si>
  <si>
    <t>2019; expanded releases through 2024</t>
  </si>
  <si>
    <t>Waymo download portal; Google sign-in and dataset terms</t>
  </si>
  <si>
    <t>Synthetic supplement</t>
  </si>
  <si>
    <t>Synthetic RGB image sequences; five cameras on tractor and five on trailer</t>
  </si>
  <si>
    <t>CARLA simulated autonomous tractor-trailers, other vehicles and roadside units</t>
  </si>
  <si>
    <t>Public Hugging Face repository; ZIP downloads</t>
  </si>
  <si>
    <t>Related labels only</t>
  </si>
  <si>
    <t>Point-cloud release with RGB values; use parent RSRD for stereo imagery. Separate video archive not stated.</t>
  </si>
  <si>
    <t>Labeled subset of RSRD vehicle collection for autonomous driving comfort.</t>
  </si>
  <si>
    <t>Public links from official download page.</t>
  </si>
  <si>
    <t>Method, limitations and review instructions</t>
  </si>
  <si>
    <t>Read this protocol before interpreting the scores or beginning human review.</t>
  </si>
  <si>
    <t>Topic</t>
  </si>
  <si>
    <t>Protocol</t>
  </si>
  <si>
    <t>Merge two inventories and apply the v4 Word rubric to documentation evidence. Unit: one identified dataset/release record, not one hosted URL or one independent acquisition corpus.</t>
  </si>
  <si>
    <t>Reconciliation</t>
  </si>
  <si>
    <t>248 source records = 177 v3 + 71 AV. Merge 15 AV aliases (14 catalog matches, one probable RSCD mirror). Retain 233 IDs including 56 additions. Preserve all raw source rows and 25 relationship clusters. No payload hash or image-level duplicate scan was performed.</t>
  </si>
  <si>
    <t>Version policy</t>
  </si>
  <si>
    <t>Use one assessed release per record. DS-072 is pinned to N-RDD v5 using AV evidence. Fresh top-ten evidence supersedes older packets only for the stated release. CrackSeg9k V4 versus original-paper counts and LTPP SDR39 versus portal SDR40 remain explicit review issues.</t>
  </si>
  <si>
    <t>Core factors</t>
  </si>
  <si>
    <t>A1/A2/A3, L1/L2/L4, D1/D2/D4, C1/C2, R1/R2, M1/M2/M5. The other 24 checks remain visible in MCDM_Rubric as metadata, supporting, task or optional roles. V and E never enter the common documentation score.</t>
  </si>
  <si>
    <t>Cohorts</t>
  </si>
  <si>
    <t>Labeled-16 uses six domains weighted 1/6. CUPAC (DS-112) and explicitly unlabeled comma2k19 (DS-210), Ford Multi-AV (DS-212) and NATIX Multi-Camera (DS-217) use Unlabeled-13, removing all three L checks cohort-wide and weighting the remaining five domains 1/5. This profile is for unlabeled-use documentation. Define a different task profile if measured pose is the target. Do not compare profile scores directly.</t>
  </si>
  <si>
    <t>State definitions</t>
  </si>
  <si>
    <t>Y = cited evidence satisfies the criterion. N = affirmative evidence of failure. U = missing, inaccessible, untested or insufficient evidence. X = unresolved conflict. N/A is fixed by the cohort profile, never a favorable per-dataset denominator adjustment.</t>
  </si>
  <si>
    <t>Domain bounds</t>
  </si>
  <si>
    <t>For m active checks, lower = 5Y/m; upper = 5(Y+U+X)/m; resolved = (Y+N)/m. Dataset lower/upper = 100 times the weighted fractions. Scores are documentation indices, not validated universal quality or suitability ratings.</t>
  </si>
  <si>
    <t>95% rule</t>
  </si>
  <si>
    <t>Within each deduplicated applicable cohort, compute N/(Y+N+U+X). A nonessential check with strictly more than 95% confirmed N is a candidate for cohort-wide removal. U and X do not become N. No currently scored check crosses the threshold. Any revised profile must be documented and consistently recomputed; do not remove a criterion just because documentation is scarce.</t>
  </si>
  <si>
    <t>Manual workflow</t>
  </si>
  <si>
    <t>Start at Top10_Review. Open the dataset and evidence links. Enter Y/N/U/X in the dataset row on Manual_Review. Add your name, numeric date, and release confirmation. On MCDM_Checks, enter check-specific human URL, locator and evidence/adjudication in amber columns R:T. Blank human state retains AI evidence. An entered state without complete provenance becomes effective U and stays flagged.</t>
  </si>
  <si>
    <t>Human status</t>
  </si>
  <si>
    <t>Core review recorded means the applicable check states have complete recorded provenance. It does not mean every uncertainty is resolved or any gate has passed. Review N and X carefully. Do not copy AI answers into human fields without examining the source.</t>
  </si>
  <si>
    <t>Stage gates</t>
  </si>
  <si>
    <t>G1 identity applies to the inventory. G2 task relevance requires an explicit intended task. G3 requires rights compatibility AND verified retrieval for that task. G4 leakage applies when benchmarking. Gates do not all apply to every descriptive inventory entry, and documentation Y does not pass a reuse gate.</t>
  </si>
  <si>
    <t>Top ten</t>
  </si>
  <si>
    <t>Purposive review sequence: SDNET2018, CRACK500, RDD2022, PaveBench, CrackSeg9k, UAV-PDD2023, Pothole600, PVS, LTPP and ZOD. Covers classification, segmentation, detection, multimodal tasks, derivative lineage, UAV, stereo, inertial, engineering and AV condition metadata. CrackSeg9k shares parent data with other picks deliberately for overlap review. Never pool these as independent samples.</t>
  </si>
  <si>
    <t>Source confidence</t>
  </si>
  <si>
    <t>Ten candidates and the CAMBER Video 1 scope check have fresh primary-documentation assessments. CrackBlock also has a fresh D4 check. Other assessments reinterpret the source workbooks evidence snapshots. All are AI provisional; no payload inspection, independent human rating or successful retrieval is claimed. Each core decision has a source, locator, summary and rationale.</t>
  </si>
  <si>
    <t>AI disclosure draft</t>
  </si>
  <si>
    <t>AI assisted inventory normalization, proposed alias matches, extracted documentation evidence, drafted rubric applications and produced the workbook. Criteria came from the documented v4 protocol and meeting decisions. Human authors must verify identities, evidence, labels, intended-use rights and final inclusion decisions. Record actual system/model, date, prompts, sources, corrections and human reviewers before manuscript submission. No human validation has been fabricated.</t>
  </si>
  <si>
    <t>Label meaning</t>
  </si>
  <si>
    <t>The Annotation Evidence domain evaluates whether the available task targets are explained and supported. AV object/pose labels do not establish pavement distress targets. Pavement relevance is metadata and G2 must be assessed against the specific study task.</t>
  </si>
  <si>
    <t>Source preservation</t>
  </si>
  <si>
    <t>Source_v3 preserves the 177 input rows including historical cached scores. Source_AV preserves all 71 AV records with original links. Inputs are unchanged. Platform_Summary, Platform_Unique and AI_Tool_Summary now use the retained inventory. Vehicle_Coverage preserves the dated vehicle-specific findings.</t>
  </si>
  <si>
    <t>Sorting and updates</t>
  </si>
  <si>
    <t>Use table filters or whole-table sorts. Dataset IDs and dataset-check keys own the joins. Do not sort a single column in isolation. Adding records or changing the core profile requires extending the bounded formulas, evidence ledger and validation ranges. Reweight within a profile only with a documented sensitivity rationale.</t>
  </si>
  <si>
    <t>Compared_All_Platforms_TH_v4.0.docx, revised core rubric and meeting-resolution sections. Review snapshot: October 11-12, 2026. Current Excel file is version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</si>
</sst>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mm/dd/yy"/>
    <numFmt numFmtId="167" formatCode="0.0"/>
  </numFmts>
  <fonts count="6">
    <font>
      <sz val="11"/>
      <name val="Carlito"/>
    </font>
    <font>
      <sz val="10"/>
      <color rgb="FF202D3A"/>
      <name val="Arial"/>
    </font>
    <font>
      <b/>
      <sz val="14"/>
      <color rgb="FF243A53"/>
      <name val="Arial"/>
    </font>
    <font>
      <i/>
      <sz val="10"/>
      <color rgb="FF536779"/>
      <name val="Arial"/>
    </font>
    <font>
      <b/>
      <sz val="10"/>
      <color rgb="FFFFFFFF"/>
      <name val="Arial"/>
    </font>
    <font>
      <u/>
      <sz val="11"/>
      <color theme="10"/>
      <name val="Carlito"/>
    </font>
  </fonts>
  <fills count="6">
    <fill>
      <patternFill patternType="none"/>
    </fill>
    <fill>
      <patternFill patternType="gray125"/>
    </fill>
    <fill>
      <patternFill patternType="solid">
        <fgColor rgb="FF243A53"/>
      </patternFill>
    </fill>
    <fill>
      <patternFill patternType="solid">
        <fgColor rgb="FFFFF3CD"/>
      </patternFill>
    </fill>
    <fill>
      <patternFill patternType="solid">
        <fgColor rgb="FFE3EEF7"/>
      </patternFill>
    </fill>
    <fill>
      <patternFill patternType="solid">
        <fgColor rgb="FFE7EBEE"/>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wrapText="1"/>
    </xf>
    <xf numFmtId="0" fontId="1" fillId="0" borderId="0" xfId="0" applyFont="1" applyAlignment="1">
      <alignment vertical="center" wrapText="1"/>
    </xf>
    <xf numFmtId="0" fontId="1" fillId="3" borderId="0" xfId="0" applyFont="1" applyFill="1" applyAlignment="1">
      <alignment vertical="center" wrapText="1"/>
    </xf>
    <xf numFmtId="164" fontId="1" fillId="3" borderId="0" xfId="0" applyNumberFormat="1" applyFont="1" applyFill="1" applyAlignment="1">
      <alignment vertical="center" wrapText="1"/>
    </xf>
    <xf numFmtId="164" fontId="0" fillId="0" borderId="0" xfId="0" applyNumberFormat="1"/>
    <xf numFmtId="165" fontId="0" fillId="0" borderId="0" xfId="0" applyNumberFormat="1"/>
    <xf numFmtId="166" fontId="1" fillId="3" borderId="0" xfId="0" applyNumberFormat="1" applyFont="1" applyFill="1" applyAlignment="1">
      <alignment vertical="center" wrapText="1"/>
    </xf>
    <xf numFmtId="166" fontId="1" fillId="0" borderId="0" xfId="0" applyNumberFormat="1" applyFont="1" applyAlignment="1">
      <alignment vertical="center" wrapText="1"/>
    </xf>
    <xf numFmtId="167" fontId="1" fillId="0" borderId="0" xfId="0" applyNumberFormat="1" applyFont="1" applyAlignment="1">
      <alignment vertical="center" wrapText="1"/>
    </xf>
    <xf numFmtId="164" fontId="1" fillId="0" borderId="0" xfId="0" applyNumberFormat="1" applyFont="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5" fillId="0" borderId="0" xfId="1" applyAlignment="1">
      <alignment vertical="center" wrapText="1"/>
    </xf>
  </cellXfs>
  <cellStyles count="2">
    <cellStyle name="Hyperlink" xfId="1" builtinId="8"/>
    <cellStyle name="Normal" xfId="0" builtinId="0"/>
  </cellStyles>
  <dxfs count="5">
    <dxf>
      <fill>
        <patternFill>
          <bgColor rgb="FFFCE5E2"/>
        </patternFill>
      </fill>
    </dxf>
    <dxf>
      <fill>
        <patternFill>
          <bgColor rgb="FFE3EEF7"/>
        </patternFill>
      </fill>
    </dxf>
    <dxf>
      <fill>
        <patternFill patternType="solid">
          <bgColor rgb="FFE3EEF7"/>
        </patternFill>
      </fill>
    </dxf>
    <dxf>
      <fill>
        <patternFill patternType="solid">
          <bgColor rgb="FFE3EEF7"/>
        </patternFill>
      </fill>
    </dxf>
    <dxf>
      <fill>
        <patternFill>
          <bgColor rgb="FFE3EE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_Top10_Review" displayName="T_Top10_Review" ref="A5:P15" totalsRowShown="0">
  <tableColumns count="16">
    <tableColumn id="1" xr3:uid="{00000000-0010-0000-0000-000001000000}" name="Priority"/>
    <tableColumn id="2" xr3:uid="{00000000-0010-0000-0000-000002000000}" name="Dataset ID"/>
    <tableColumn id="3" xr3:uid="{00000000-0010-0000-0000-000003000000}" name="Dataset"/>
    <tableColumn id="4" xr3:uid="{00000000-0010-0000-0000-000004000000}" name="Representation"/>
    <tableColumn id="5" xr3:uid="{00000000-0010-0000-0000-000005000000}" name="Lower /100"/>
    <tableColumn id="6" xr3:uid="{00000000-0010-0000-0000-000006000000}" name="Upper /100"/>
    <tableColumn id="7" xr3:uid="{00000000-0010-0000-0000-000007000000}" name="Resolved share"/>
    <tableColumn id="8" xr3:uid="{00000000-0010-0000-0000-000008000000}" name="Dataset link"/>
    <tableColumn id="9" xr3:uid="{00000000-0010-0000-0000-000009000000}" name="Paper / evidence"/>
    <tableColumn id="10" xr3:uid="{00000000-0010-0000-0000-00000A000000}" name="Why selected"/>
    <tableColumn id="11" xr3:uid="{00000000-0010-0000-0000-00000B000000}" name="First manual action"/>
    <tableColumn id="12" xr3:uid="{00000000-0010-0000-0000-00000C000000}" name="Release / scope"/>
    <tableColumn id="13" xr3:uid="{00000000-0010-0000-0000-00000D000000}" name="Known limitation"/>
    <tableColumn id="14" xr3:uid="{00000000-0010-0000-0000-00000E000000}" name="Review status"/>
    <tableColumn id="15" xr3:uid="{00000000-0010-0000-0000-00000F000000}" name="Review inputs"/>
    <tableColumn id="16" xr3:uid="{00000000-0010-0000-0000-000010000000}" name="Check evid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_All_Datasets" displayName="T_All_Datasets" ref="A5:AF238" totalsRowShown="0">
  <tableColumns count="32">
    <tableColumn id="1" xr3:uid="{00000000-0010-0000-0100-000001000000}" name="Dataset ID"/>
    <tableColumn id="2" xr3:uid="{00000000-0010-0000-0100-000002000000}" name="Dataset / release"/>
    <tableColumn id="3" xr3:uid="{00000000-0010-0000-0100-000003000000}" name="Review priority"/>
    <tableColumn id="4" xr3:uid="{00000000-0010-0000-0100-000004000000}" name="Profile"/>
    <tableColumn id="5" xr3:uid="{00000000-0010-0000-0100-000005000000}" name="Lower /100"/>
    <tableColumn id="6" xr3:uid="{00000000-0010-0000-0100-000006000000}" name="Upper /100"/>
    <tableColumn id="7" xr3:uid="{00000000-0010-0000-0100-000007000000}" name="Resolved share"/>
    <tableColumn id="8" xr3:uid="{00000000-0010-0000-0100-000008000000}" name="Dataset link"/>
    <tableColumn id="9" xr3:uid="{00000000-0010-0000-0100-000009000000}" name="Evidence / paper"/>
    <tableColumn id="10" xr3:uid="{00000000-0010-0000-0100-00000A000000}" name="Assessed release"/>
    <tableColumn id="11" xr3:uid="{00000000-0010-0000-0100-00000B000000}" name="Task / target scope"/>
    <tableColumn id="12" xr3:uid="{00000000-0010-0000-0100-00000C000000}" name="Media"/>
    <tableColumn id="13" xr3:uid="{00000000-0010-0000-0100-00000D000000}" name="Capture context"/>
    <tableColumn id="14" xr3:uid="{00000000-0010-0000-0100-00000E000000}" name="Labels / targets"/>
    <tableColumn id="15" xr3:uid="{00000000-0010-0000-0100-00000F000000}" name="Annotation format"/>
    <tableColumn id="16" xr3:uid="{00000000-0010-0000-0100-000010000000}" name="Stated terms"/>
    <tableColumn id="17" xr3:uid="{00000000-0010-0000-0100-000011000000}" name="Access route"/>
    <tableColumn id="18" xr3:uid="{00000000-0010-0000-0100-000012000000}" name="Reported size and unit"/>
    <tableColumn id="19" xr3:uid="{00000000-0010-0000-0100-000013000000}" name="Geography"/>
    <tableColumn id="20" xr3:uid="{00000000-0010-0000-0100-000014000000}" name="Publisher"/>
    <tableColumn id="21" xr3:uid="{00000000-0010-0000-0100-000015000000}" name="Limitations"/>
    <tableColumn id="22" xr3:uid="{00000000-0010-0000-0100-000016000000}" name="Source IDs"/>
    <tableColumn id="23" xr3:uid="{00000000-0010-0000-0100-000017000000}" name="Merge decision"/>
    <tableColumn id="24" xr3:uid="{00000000-0010-0000-0100-000018000000}" name="Related-release flags"/>
    <tableColumn id="25" xr3:uid="{00000000-0010-0000-0100-000019000000}" name="Conflicts / release issues"/>
    <tableColumn id="26" xr3:uid="{00000000-0010-0000-0100-00001A000000}" name="Evidence basis"/>
    <tableColumn id="27" xr3:uid="{00000000-0010-0000-0100-00001B000000}" name="Manual review"/>
    <tableColumn id="28" xr3:uid="{00000000-0010-0000-0100-00001C000000}" name="Check evidence"/>
    <tableColumn id="29" xr3:uid="{00000000-0010-0000-0100-00001D000000}" name="Platforms"/>
    <tableColumn id="30" xr3:uid="{00000000-0010-0000-0100-00001E000000}" name="Primary URL"/>
    <tableColumn id="31" xr3:uid="{00000000-0010-0000-0100-00001F000000}" name="Evidence URL"/>
    <tableColumn id="32" xr3:uid="{00000000-0010-0000-0100-000020000000}" name="Source line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_MCDM_Settings" displayName="T_MCDM_Settings" ref="A5:F11" totalsRowShown="0">
  <tableColumns count="6">
    <tableColumn id="1" xr3:uid="{00000000-0010-0000-0200-000001000000}" name="Domain"/>
    <tableColumn id="2" xr3:uid="{00000000-0010-0000-0200-000002000000}" name="Definition"/>
    <tableColumn id="3" xr3:uid="{00000000-0010-0000-0200-000003000000}" name="Labeled weight"/>
    <tableColumn id="4" xr3:uid="{00000000-0010-0000-0200-000004000000}" name="Labeled checks"/>
    <tableColumn id="5" xr3:uid="{00000000-0010-0000-0200-000005000000}" name="Unlabeled weight"/>
    <tableColumn id="6" xr3:uid="{00000000-0010-0000-0200-000006000000}" name="Unlabeled check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_Manual_Review" displayName="T_Manual_Review" ref="A5:AI238" totalsRowShown="0">
  <tableColumns count="35">
    <tableColumn id="1" xr3:uid="{00000000-0010-0000-0300-000001000000}" name="Dataset ID"/>
    <tableColumn id="2" xr3:uid="{00000000-0010-0000-0300-000002000000}" name="Dataset / release"/>
    <tableColumn id="3" xr3:uid="{00000000-0010-0000-0300-000003000000}" name="Review priority"/>
    <tableColumn id="4" xr3:uid="{00000000-0010-0000-0300-000004000000}" name="Profile"/>
    <tableColumn id="5" xr3:uid="{00000000-0010-0000-0300-000005000000}" name="Assessed release"/>
    <tableColumn id="6" xr3:uid="{00000000-0010-0000-0300-000006000000}" name="Dataset link"/>
    <tableColumn id="7" xr3:uid="{00000000-0010-0000-0300-000007000000}" name="Human reviewer"/>
    <tableColumn id="8" xr3:uid="{00000000-0010-0000-0300-000008000000}" name="Human date"/>
    <tableColumn id="9" xr3:uid="{00000000-0010-0000-0300-000009000000}" name="Release confirmed"/>
    <tableColumn id="10" xr3:uid="{00000000-0010-0000-0300-00000A000000}" name="Reviewer note"/>
    <tableColumn id="11" xr3:uid="{00000000-0010-0000-0300-00000B000000}" name="A1"/>
    <tableColumn id="12" xr3:uid="{00000000-0010-0000-0300-00000C000000}" name="A2"/>
    <tableColumn id="13" xr3:uid="{00000000-0010-0000-0300-00000D000000}" name="A3"/>
    <tableColumn id="14" xr3:uid="{00000000-0010-0000-0300-00000E000000}" name="L1"/>
    <tableColumn id="15" xr3:uid="{00000000-0010-0000-0300-00000F000000}" name="L2"/>
    <tableColumn id="16" xr3:uid="{00000000-0010-0000-0300-000010000000}" name="L4"/>
    <tableColumn id="17" xr3:uid="{00000000-0010-0000-0300-000011000000}" name="D1"/>
    <tableColumn id="18" xr3:uid="{00000000-0010-0000-0300-000012000000}" name="D2"/>
    <tableColumn id="19" xr3:uid="{00000000-0010-0000-0300-000013000000}" name="D4"/>
    <tableColumn id="20" xr3:uid="{00000000-0010-0000-0300-000014000000}" name="C1"/>
    <tableColumn id="21" xr3:uid="{00000000-0010-0000-0300-000015000000}" name="C2"/>
    <tableColumn id="22" xr3:uid="{00000000-0010-0000-0300-000016000000}" name="R1"/>
    <tableColumn id="23" xr3:uid="{00000000-0010-0000-0300-000017000000}" name="R2"/>
    <tableColumn id="24" xr3:uid="{00000000-0010-0000-0300-000018000000}" name="M1"/>
    <tableColumn id="25" xr3:uid="{00000000-0010-0000-0300-000019000000}" name="M2"/>
    <tableColumn id="26" xr3:uid="{00000000-0010-0000-0300-00001A000000}" name="M5"/>
    <tableColumn id="27" xr3:uid="{00000000-0010-0000-0300-00001B000000}" name="G1 identity"/>
    <tableColumn id="28" xr3:uid="{00000000-0010-0000-0300-00001C000000}" name="G2 task fit"/>
    <tableColumn id="29" xr3:uid="{00000000-0010-0000-0300-00001D000000}" name="G3 rights"/>
    <tableColumn id="30" xr3:uid="{00000000-0010-0000-0300-00001E000000}" name="G3 retrieval"/>
    <tableColumn id="31" xr3:uid="{00000000-0010-0000-0300-00001F000000}" name="G4 leakage"/>
    <tableColumn id="32" xr3:uid="{00000000-0010-0000-0300-000020000000}" name="Gate evidence"/>
    <tableColumn id="33" xr3:uid="{00000000-0010-0000-0300-000021000000}" name="Intended task"/>
    <tableColumn id="34" xr3:uid="{00000000-0010-0000-0300-000022000000}" name="Human review status"/>
    <tableColumn id="35" xr3:uid="{00000000-0010-0000-0300-000023000000}" name="Evidence ledg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_MCDM_Grades" displayName="T_MCDM_Grades" ref="A5:AZ238" totalsRowShown="0">
  <tableColumns count="52">
    <tableColumn id="1" xr3:uid="{00000000-0010-0000-0400-000001000000}" name="Dataset ID"/>
    <tableColumn id="2" xr3:uid="{00000000-0010-0000-0400-000002000000}" name="Dataset / release"/>
    <tableColumn id="3" xr3:uid="{00000000-0010-0000-0400-000003000000}" name="Review priority"/>
    <tableColumn id="4" xr3:uid="{00000000-0010-0000-0400-000004000000}" name="Profile"/>
    <tableColumn id="5" xr3:uid="{00000000-0010-0000-0400-000005000000}" name="Lower /100"/>
    <tableColumn id="6" xr3:uid="{00000000-0010-0000-0400-000006000000}" name="Upper /100"/>
    <tableColumn id="7" xr3:uid="{00000000-0010-0000-0400-000007000000}" name="Resolved share"/>
    <tableColumn id="8" xr3:uid="{00000000-0010-0000-0400-000008000000}" name="Human review status"/>
    <tableColumn id="9" xr3:uid="{00000000-0010-0000-0400-000009000000}" name="Evidence basis"/>
    <tableColumn id="10" xr3:uid="{00000000-0010-0000-0400-00000A000000}" name="Assessed release"/>
    <tableColumn id="11" xr3:uid="{00000000-0010-0000-0400-00000B000000}" name="Dataset link"/>
    <tableColumn id="12" xr3:uid="{00000000-0010-0000-0400-00000C000000}" name="Human review"/>
    <tableColumn id="13" xr3:uid="{00000000-0010-0000-0400-00000D000000}" name="A1"/>
    <tableColumn id="14" xr3:uid="{00000000-0010-0000-0400-00000E000000}" name="A2"/>
    <tableColumn id="15" xr3:uid="{00000000-0010-0000-0400-00000F000000}" name="A3"/>
    <tableColumn id="16" xr3:uid="{00000000-0010-0000-0400-000010000000}" name="L1"/>
    <tableColumn id="17" xr3:uid="{00000000-0010-0000-0400-000011000000}" name="L2"/>
    <tableColumn id="18" xr3:uid="{00000000-0010-0000-0400-000012000000}" name="L4"/>
    <tableColumn id="19" xr3:uid="{00000000-0010-0000-0400-000013000000}" name="D1"/>
    <tableColumn id="20" xr3:uid="{00000000-0010-0000-0400-000014000000}" name="D2"/>
    <tableColumn id="21" xr3:uid="{00000000-0010-0000-0400-000015000000}" name="D4"/>
    <tableColumn id="22" xr3:uid="{00000000-0010-0000-0400-000016000000}" name="C1"/>
    <tableColumn id="23" xr3:uid="{00000000-0010-0000-0400-000017000000}" name="C2"/>
    <tableColumn id="24" xr3:uid="{00000000-0010-0000-0400-000018000000}" name="R1"/>
    <tableColumn id="25" xr3:uid="{00000000-0010-0000-0400-000019000000}" name="R2"/>
    <tableColumn id="26" xr3:uid="{00000000-0010-0000-0400-00001A000000}" name="M1"/>
    <tableColumn id="27" xr3:uid="{00000000-0010-0000-0400-00001B000000}" name="M2"/>
    <tableColumn id="28" xr3:uid="{00000000-0010-0000-0400-00001C000000}" name="M5"/>
    <tableColumn id="29" xr3:uid="{00000000-0010-0000-0400-00001D000000}" name="A lower /5"/>
    <tableColumn id="30" xr3:uid="{00000000-0010-0000-0400-00001E000000}" name="A upper /5"/>
    <tableColumn id="31" xr3:uid="{00000000-0010-0000-0400-00001F000000}" name="A resolved"/>
    <tableColumn id="32" xr3:uid="{00000000-0010-0000-0400-000020000000}" name="L lower /5"/>
    <tableColumn id="33" xr3:uid="{00000000-0010-0000-0400-000021000000}" name="L upper /5"/>
    <tableColumn id="34" xr3:uid="{00000000-0010-0000-0400-000022000000}" name="L resolved"/>
    <tableColumn id="35" xr3:uid="{00000000-0010-0000-0400-000023000000}" name="D lower /5"/>
    <tableColumn id="36" xr3:uid="{00000000-0010-0000-0400-000024000000}" name="D upper /5"/>
    <tableColumn id="37" xr3:uid="{00000000-0010-0000-0400-000025000000}" name="D resolved"/>
    <tableColumn id="38" xr3:uid="{00000000-0010-0000-0400-000026000000}" name="C lower /5"/>
    <tableColumn id="39" xr3:uid="{00000000-0010-0000-0400-000027000000}" name="C upper /5"/>
    <tableColumn id="40" xr3:uid="{00000000-0010-0000-0400-000028000000}" name="C resolved"/>
    <tableColumn id="41" xr3:uid="{00000000-0010-0000-0400-000029000000}" name="R lower /5"/>
    <tableColumn id="42" xr3:uid="{00000000-0010-0000-0400-00002A000000}" name="R upper /5"/>
    <tableColumn id="43" xr3:uid="{00000000-0010-0000-0400-00002B000000}" name="R resolved"/>
    <tableColumn id="44" xr3:uid="{00000000-0010-0000-0400-00002C000000}" name="M lower /5"/>
    <tableColumn id="45" xr3:uid="{00000000-0010-0000-0400-00002D000000}" name="M upper /5"/>
    <tableColumn id="46" xr3:uid="{00000000-0010-0000-0400-00002E000000}" name="M resolved"/>
    <tableColumn id="47" xr3:uid="{00000000-0010-0000-0400-00002F000000}" name="G1 inventory"/>
    <tableColumn id="48" xr3:uid="{00000000-0010-0000-0400-000030000000}" name="G2 task"/>
    <tableColumn id="49" xr3:uid="{00000000-0010-0000-0400-000031000000}" name="G3 reuse"/>
    <tableColumn id="50" xr3:uid="{00000000-0010-0000-0400-000032000000}" name="G4 benchmark"/>
    <tableColumn id="51" xr3:uid="{00000000-0010-0000-0400-000033000000}" name="Weight status"/>
    <tableColumn id="52" xr3:uid="{00000000-0010-0000-0400-000034000000}" name="Check-key covera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_MCDM_Checks" displayName="T_MCDM_Checks" ref="A5:Y3733" totalsRowShown="0">
  <tableColumns count="25">
    <tableColumn id="1" xr3:uid="{00000000-0010-0000-0500-000001000000}" name="Dataset-check key"/>
    <tableColumn id="2" xr3:uid="{00000000-0010-0000-0500-000002000000}" name="Dataset ID"/>
    <tableColumn id="3" xr3:uid="{00000000-0010-0000-0500-000003000000}" name="Dataset / release"/>
    <tableColumn id="4" xr3:uid="{00000000-0010-0000-0500-000004000000}" name="Profile"/>
    <tableColumn id="5" xr3:uid="{00000000-0010-0000-0500-000005000000}" name="Check ID"/>
    <tableColumn id="6" xr3:uid="{00000000-0010-0000-0500-000006000000}" name="Domain"/>
    <tableColumn id="7" xr3:uid="{00000000-0010-0000-0500-000007000000}" name="Applicable (1/0)"/>
    <tableColumn id="8" xr3:uid="{00000000-0010-0000-0500-000008000000}" name="AI state"/>
    <tableColumn id="9" xr3:uid="{00000000-0010-0000-0500-000009000000}" name="Human state"/>
    <tableColumn id="10" xr3:uid="{00000000-0010-0000-0500-00000A000000}" name="Human evidence status"/>
    <tableColumn id="11" xr3:uid="{00000000-0010-0000-0500-00000B000000}" name="Effective state"/>
    <tableColumn id="12" xr3:uid="{00000000-0010-0000-0500-00000C000000}" name="AI source URL"/>
    <tableColumn id="13" xr3:uid="{00000000-0010-0000-0500-00000D000000}" name="AI locator"/>
    <tableColumn id="14" xr3:uid="{00000000-0010-0000-0500-00000E000000}" name="AI evidence summary"/>
    <tableColumn id="15" xr3:uid="{00000000-0010-0000-0500-00000F000000}" name="AI rationale"/>
    <tableColumn id="16" xr3:uid="{00000000-0010-0000-0500-000010000000}" name="AI evidence basis"/>
    <tableColumn id="17" xr3:uid="{00000000-0010-0000-0500-000011000000}" name="AI assessment date"/>
    <tableColumn id="18" xr3:uid="{00000000-0010-0000-0500-000012000000}" name="Human source URL"/>
    <tableColumn id="19" xr3:uid="{00000000-0010-0000-0500-000013000000}" name="Human locator"/>
    <tableColumn id="20" xr3:uid="{00000000-0010-0000-0500-000014000000}" name="Human evidence / adjudication"/>
    <tableColumn id="21" xr3:uid="{00000000-0010-0000-0500-000015000000}" name="Manual row index"/>
    <tableColumn id="22" xr3:uid="{00000000-0010-0000-0500-000016000000}" name="Human reviewer"/>
    <tableColumn id="23" xr3:uid="{00000000-0010-0000-0500-000017000000}" name="Human date"/>
    <tableColumn id="24" xr3:uid="{00000000-0010-0000-0500-000018000000}" name="Release confirmed"/>
    <tableColumn id="25" xr3:uid="{00000000-0010-0000-0500-000019000000}" name="Legacy AI st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_Platform_Summary" displayName="T_Platform_Summary" ref="A5:D12" totalsRowShown="0">
  <tableColumns count="4">
    <tableColumn id="1" xr3:uid="{00000000-0010-0000-0600-000001000000}" name="Platform"/>
    <tableColumn id="2" xr3:uid="{00000000-0010-0000-0600-000002000000}" name="Retained dataset IDs"/>
    <tableColumn id="3" xr3:uid="{00000000-0010-0000-0600-000003000000}" name="Single-platform IDs"/>
    <tableColumn id="4" xr3:uid="{00000000-0010-0000-0600-000004000000}" name="Multiple-platform ID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_AI_Tool_Summary" displayName="T_AI_Tool_Summary" ref="A5:C12" totalsRowShown="0">
  <tableColumns count="3">
    <tableColumn id="1" xr3:uid="{00000000-0010-0000-0700-000001000000}" name="Reported discovery origin"/>
    <tableColumn id="2" xr3:uid="{00000000-0010-0000-0700-000002000000}" name="Retained v3 IDs"/>
    <tableColumn id="3" xr3:uid="{00000000-0010-0000-0700-000003000000}" name="Interpreta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_Platform_Unique" displayName="T_Platform_Unique" ref="A5:G266" totalsRowShown="0">
  <tableColumns count="7">
    <tableColumn id="1" xr3:uid="{00000000-0010-0000-0800-000001000000}" name="Dataset ID"/>
    <tableColumn id="2" xr3:uid="{00000000-0010-0000-0800-000002000000}" name="Dataset"/>
    <tableColumn id="3" xr3:uid="{00000000-0010-0000-0800-000003000000}" name="Platform"/>
    <tableColumn id="4" xr3:uid="{00000000-0010-0000-0800-000004000000}" name="Platform count"/>
    <tableColumn id="5" xr3:uid="{00000000-0010-0000-0800-000005000000}" name="Membership"/>
    <tableColumn id="6" xr3:uid="{00000000-0010-0000-0800-000006000000}" name="Dataset link"/>
    <tableColumn id="7" xr3:uid="{00000000-0010-0000-0800-000007000000}" name="Source ID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_MCDM_Rubric" displayName="T_MCDM_Rubric" ref="A5:U45" totalsRowShown="0">
  <tableColumns count="21">
    <tableColumn id="1" xr3:uid="{00000000-0010-0000-0900-000001000000}" name="Check ID"/>
    <tableColumn id="2" xr3:uid="{00000000-0010-0000-0900-000002000000}" name="Domain"/>
    <tableColumn id="3" xr3:uid="{00000000-0010-0000-0900-000003000000}" name="Domain name"/>
    <tableColumn id="4" xr3:uid="{00000000-0010-0000-0900-000004000000}" name="Criterion"/>
    <tableColumn id="5" xr3:uid="{00000000-0010-0000-0900-000005000000}" name="Role"/>
    <tableColumn id="6" xr3:uid="{00000000-0010-0000-0900-000006000000}" name="Definition"/>
    <tableColumn id="7" xr3:uid="{00000000-0010-0000-0900-000007000000}" name="Labeled applicable"/>
    <tableColumn id="8" xr3:uid="{00000000-0010-0000-0900-000008000000}" name="Labeled Y"/>
    <tableColumn id="9" xr3:uid="{00000000-0010-0000-0900-000009000000}" name="Labeled N"/>
    <tableColumn id="10" xr3:uid="{00000000-0010-0000-0900-00000A000000}" name="Labeled U"/>
    <tableColumn id="11" xr3:uid="{00000000-0010-0000-0900-00000B000000}" name="Labeled X"/>
    <tableColumn id="12" xr3:uid="{00000000-0010-0000-0900-00000C000000}" name="Labeled N share"/>
    <tableColumn id="13" xr3:uid="{00000000-0010-0000-0900-00000D000000}" name="Unlabeled applicable"/>
    <tableColumn id="14" xr3:uid="{00000000-0010-0000-0900-00000E000000}" name="Unlabeled Y"/>
    <tableColumn id="15" xr3:uid="{00000000-0010-0000-0900-00000F000000}" name="Unlabeled N"/>
    <tableColumn id="16" xr3:uid="{00000000-0010-0000-0900-000010000000}" name="Unlabeled U"/>
    <tableColumn id="17" xr3:uid="{00000000-0010-0000-0900-000011000000}" name="Unlabeled X"/>
    <tableColumn id="18" xr3:uid="{00000000-0010-0000-0900-000012000000}" name="Unlabeled N share"/>
    <tableColumn id="19" xr3:uid="{00000000-0010-0000-0900-000013000000}" name="95% diagnostic"/>
    <tableColumn id="20" xr3:uid="{00000000-0010-0000-0900-000014000000}" name="Method source"/>
    <tableColumn id="21" xr3:uid="{00000000-0010-0000-0900-000015000000}" name="Locato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_Merge_Log" displayName="T_Merge_Log" ref="A5:L253" totalsRowShown="0">
  <tableColumns count="12">
    <tableColumn id="1" xr3:uid="{00000000-0010-0000-0A00-000001000000}" name="Source workbook"/>
    <tableColumn id="2" xr3:uid="{00000000-0010-0000-0A00-000002000000}" name="Source sheet"/>
    <tableColumn id="3" xr3:uid="{00000000-0010-0000-0A00-000003000000}" name="Source row"/>
    <tableColumn id="4" xr3:uid="{00000000-0010-0000-0A00-000004000000}" name="Source ID"/>
    <tableColumn id="5" xr3:uid="{00000000-0010-0000-0A00-000005000000}" name="Original name"/>
    <tableColumn id="6" xr3:uid="{00000000-0010-0000-0A00-000006000000}" name="Retained ID"/>
    <tableColumn id="7" xr3:uid="{00000000-0010-0000-0A00-000007000000}" name="Canonical name"/>
    <tableColumn id="8" xr3:uid="{00000000-0010-0000-0A00-000008000000}" name="Decision"/>
    <tableColumn id="9" xr3:uid="{00000000-0010-0000-0A00-000009000000}" name="Resolution"/>
    <tableColumn id="10" xr3:uid="{00000000-0010-0000-0A00-00000A000000}" name="Evidence links"/>
    <tableColumn id="11" xr3:uid="{00000000-0010-0000-0A00-00000B000000}" name="Conflicts"/>
    <tableColumn id="12" xr3:uid="{00000000-0010-0000-0A00-00000C000000}" name="Relation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_Relationships" displayName="T_Relationships" ref="A5:E30" totalsRowShown="0">
  <tableColumns count="5">
    <tableColumn id="1" xr3:uid="{00000000-0010-0000-0B00-000001000000}" name="Related dataset IDs"/>
    <tableColumn id="2" xr3:uid="{00000000-0010-0000-0B00-000002000000}" name="Relationship"/>
    <tableColumn id="3" xr3:uid="{00000000-0010-0000-0B00-000003000000}" name="Resolution"/>
    <tableColumn id="4" xr3:uid="{00000000-0010-0000-0B00-000004000000}" name="Reason"/>
    <tableColumn id="5" xr3:uid="{00000000-0010-0000-0B00-000005000000}" name="Evidence link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_Vehicle_Coverage" displayName="T_Vehicle_Coverage" ref="A5:H12" totalsRowShown="0">
  <tableColumns count="8">
    <tableColumn id="1" xr3:uid="{00000000-0010-0000-0C00-000001000000}" name="Vehicle / company"/>
    <tableColumn id="2" xr3:uid="{00000000-0010-0000-0C00-000002000000}" name="Finding"/>
    <tableColumn id="3" xr3:uid="{00000000-0010-0000-0C00-000003000000}" name="Dataset lead"/>
    <tableColumn id="4" xr3:uid="{00000000-0010-0000-0C00-000004000000}" name="Footage status"/>
    <tableColumn id="5" xr3:uid="{00000000-0010-0000-0C00-000005000000}" name="Pavement labels"/>
    <tableColumn id="6" xr3:uid="{00000000-0010-0000-0C00-000006000000}" name="Limitation"/>
    <tableColumn id="7" xr3:uid="{00000000-0010-0000-0C00-000007000000}" name="Source link"/>
    <tableColumn id="8" xr3:uid="{00000000-0010-0000-0C00-000008000000}" name="Source review dat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_Source_v3" displayName="T_Source_v3" ref="A5:FB182" totalsRowShown="0">
  <tableColumns count="158">
    <tableColumn id="1" xr3:uid="{00000000-0010-0000-0D00-000001000000}" name="Reconciled_Dataset_ID"/>
    <tableColumn id="2" xr3:uid="{00000000-0010-0000-0D00-000002000000}" name="Standardized_Dataset_Name"/>
    <tableColumn id="3" xr3:uid="{00000000-0010-0000-0D00-000003000000}" name="Alternate_Dataset_Names"/>
    <tableColumn id="4" xr3:uid="{00000000-0010-0000-0D00-000004000000}" name="Dataset_Version"/>
    <tableColumn id="5" xr3:uid="{00000000-0010-0000-0D00-000005000000}" name="Match_Classification"/>
    <tableColumn id="6" xr3:uid="{00000000-0010-0000-0D00-000006000000}" name="Match_Confidence"/>
    <tableColumn id="7" xr3:uid="{00000000-0010-0000-0D00-000007000000}" name="Match_Evidence"/>
    <tableColumn id="8" xr3:uid="{00000000-0010-0000-0D00-000008000000}" name="AI_Tools_Identifying_Dataset"/>
    <tableColumn id="9" xr3:uid="{00000000-0010-0000-0D00-000009000000}" name="Data_Platforms"/>
    <tableColumn id="10" xr3:uid="{00000000-0010-0000-0D00-00000A000000}" name="Appears_on_Multiple_Platforms"/>
    <tableColumn id="11" xr3:uid="{00000000-0010-0000-0D00-00000B000000}" name="Platform_Relationship"/>
    <tableColumn id="12" xr3:uid="{00000000-0010-0000-0D00-00000C000000}" name="Preferred_Dataset_URL"/>
    <tableColumn id="13" xr3:uid="{00000000-0010-0000-0D00-00000D000000}" name="GitHub_URL"/>
    <tableColumn id="14" xr3:uid="{00000000-0010-0000-0D00-00000E000000}" name="DataGov_URL"/>
    <tableColumn id="15" xr3:uid="{00000000-0010-0000-0D00-00000F000000}" name="Mendeley_Data_URL"/>
    <tableColumn id="16" xr3:uid="{00000000-0010-0000-0D00-000010000000}" name="HuggingFace_URL"/>
    <tableColumn id="17" xr3:uid="{00000000-0010-0000-0D00-000011000000}" name="Zenodo_URL"/>
    <tableColumn id="18" xr3:uid="{00000000-0010-0000-0D00-000012000000}" name="Kaggle_URL"/>
    <tableColumn id="19" xr3:uid="{00000000-0010-0000-0D00-000013000000}" name="Other_Dataset_URLs"/>
    <tableColumn id="20" xr3:uid="{00000000-0010-0000-0D00-000014000000}" name="DOI_or_Persistent_ID"/>
    <tableColumn id="21" xr3:uid="{00000000-0010-0000-0D00-000015000000}" name="Related_Publication"/>
    <tableColumn id="22" xr3:uid="{00000000-0010-0000-0D00-000016000000}" name="Publication_Citation"/>
    <tableColumn id="23" xr3:uid="{00000000-0010-0000-0D00-000017000000}" name="Publication_DOI"/>
    <tableColumn id="24" xr3:uid="{00000000-0010-0000-0D00-000018000000}" name="Publication_URL"/>
    <tableColumn id="25" xr3:uid="{00000000-0010-0000-0D00-000019000000}" name="Publication_Year"/>
    <tableColumn id="26" xr3:uid="{00000000-0010-0000-0D00-00001A000000}" name="Peer_Reviewed_Publication"/>
    <tableColumn id="27" xr3:uid="{00000000-0010-0000-0D00-00001B000000}" name="Publication_Dataset_Relationship"/>
    <tableColumn id="28" xr3:uid="{00000000-0010-0000-0D00-00001C000000}" name="Dataset_Scale_Type"/>
    <tableColumn id="29" xr3:uid="{00000000-0010-0000-0D00-00001D000000}" name="Number_of_Images"/>
    <tableColumn id="30" xr3:uid="{00000000-0010-0000-0D00-00001E000000}" name="Number_of_Videos"/>
    <tableColumn id="31" xr3:uid="{00000000-0010-0000-0D00-00001F000000}" name="Number_of_Frames"/>
    <tableColumn id="32" xr3:uid="{00000000-0010-0000-0D00-000020000000}" name="Number_of_Samples"/>
    <tableColumn id="33" xr3:uid="{00000000-0010-0000-0D00-000021000000}" name="Number_of_Road_Segments"/>
    <tableColumn id="34" xr3:uid="{00000000-0010-0000-0D00-000022000000}" name="Number_of_Annotated_Instances"/>
    <tableColumn id="35" xr3:uid="{00000000-0010-0000-0D00-000023000000}" name="Number_of_Classes"/>
    <tableColumn id="36" xr3:uid="{00000000-0010-0000-0D00-000024000000}" name="Training_Set_Size"/>
    <tableColumn id="37" xr3:uid="{00000000-0010-0000-0D00-000025000000}" name="Validation_Set_Size"/>
    <tableColumn id="38" xr3:uid="{00000000-0010-0000-0D00-000026000000}" name="Testing_Set_Size"/>
    <tableColumn id="39" xr3:uid="{00000000-0010-0000-0D00-000027000000}" name="Dataset_Storage_Size"/>
    <tableColumn id="40" xr3:uid="{00000000-0010-0000-0D00-000028000000}" name="Image_Resolution"/>
    <tableColumn id="41" xr3:uid="{00000000-0010-0000-0D00-000029000000}" name="Video_Resolution"/>
    <tableColumn id="42" xr3:uid="{00000000-0010-0000-0D00-00002A000000}" name="Country"/>
    <tableColumn id="43" xr3:uid="{00000000-0010-0000-0D00-00002B000000}" name="State_or_Province"/>
    <tableColumn id="44" xr3:uid="{00000000-0010-0000-0D00-00002C000000}" name="City_or_Region"/>
    <tableColumn id="45" xr3:uid="{00000000-0010-0000-0D00-00002D000000}" name="Geographic_Coverage"/>
    <tableColumn id="46" xr3:uid="{00000000-0010-0000-0D00-00002E000000}" name="Temporal_Coverage"/>
    <tableColumn id="47" xr3:uid="{00000000-0010-0000-0D00-00002F000000}" name="Acquisition_Platform"/>
    <tableColumn id="48" xr3:uid="{00000000-0010-0000-0D00-000030000000}" name="Vehicle_Type"/>
    <tableColumn id="49" xr3:uid="{00000000-0010-0000-0D00-000031000000}" name="Camera_Type"/>
    <tableColumn id="50" xr3:uid="{00000000-0010-0000-0D00-000032000000}" name="Camera_Position"/>
    <tableColumn id="51" xr3:uid="{00000000-0010-0000-0D00-000033000000}" name="Smartphone_Data"/>
    <tableColumn id="52" xr3:uid="{00000000-0010-0000-0D00-000034000000}" name="Drone_or_Aerial_Data"/>
    <tableColumn id="53" xr3:uid="{00000000-0010-0000-0D00-000035000000}" name="CAV_AV_ADAS_Data"/>
    <tableColumn id="54" xr3:uid="{00000000-0010-0000-0D00-000036000000}" name="LiDAR_Availability"/>
    <tableColumn id="55" xr3:uid="{00000000-0010-0000-0D00-000037000000}" name="GPS_or_Geolocation"/>
    <tableColumn id="56" xr3:uid="{00000000-0010-0000-0D00-000038000000}" name="Other_Sensors"/>
    <tableColumn id="57" xr3:uid="{00000000-0010-0000-0D00-000039000000}" name="Weather_Conditions"/>
    <tableColumn id="58" xr3:uid="{00000000-0010-0000-0D00-00003A000000}" name="Lighting_Conditions"/>
    <tableColumn id="59" xr3:uid="{00000000-0010-0000-0D00-00003B000000}" name="Traffic_Conditions"/>
    <tableColumn id="60" xr3:uid="{00000000-0010-0000-0D00-00003C000000}" name="Distress_Types"/>
    <tableColumn id="61" xr3:uid="{00000000-0010-0000-0D00-00003D000000}" name="Pavement_Condition_Labels"/>
    <tableColumn id="62" xr3:uid="{00000000-0010-0000-0D00-00003E000000}" name="Label_Taxonomy"/>
    <tableColumn id="63" xr3:uid="{00000000-0010-0000-0D00-00003F000000}" name="Number_of_Label_Classes"/>
    <tableColumn id="64" xr3:uid="{00000000-0010-0000-0D00-000040000000}" name="Annotation_Task_Type"/>
    <tableColumn id="65" xr3:uid="{00000000-0010-0000-0D00-000041000000}" name="Annotation_Style"/>
    <tableColumn id="66" xr3:uid="{00000000-0010-0000-0D00-000042000000}" name="Annotation_Format"/>
    <tableColumn id="67" xr3:uid="{00000000-0010-0000-0D00-000043000000}" name="Annotation_File_Format"/>
    <tableColumn id="68" xr3:uid="{00000000-0010-0000-0D00-000044000000}" name="Classification_Labels"/>
    <tableColumn id="69" xr3:uid="{00000000-0010-0000-0D00-000045000000}" name="Bounding_Boxes"/>
    <tableColumn id="70" xr3:uid="{00000000-0010-0000-0D00-000046000000}" name="Segmentation_Masks"/>
    <tableColumn id="71" xr3:uid="{00000000-0010-0000-0D00-000047000000}" name="Polygons"/>
    <tableColumn id="72" xr3:uid="{00000000-0010-0000-0D00-000048000000}" name="Keypoints"/>
    <tableColumn id="73" xr3:uid="{00000000-0010-0000-0D00-000049000000}" name="Severity_Labels"/>
    <tableColumn id="74" xr3:uid="{00000000-0010-0000-0D00-00004A000000}" name="PCI_Availability"/>
    <tableColumn id="75" xr3:uid="{00000000-0010-0000-0D00-00004B000000}" name="IRI_Availability"/>
    <tableColumn id="76" xr3:uid="{00000000-0010-0000-0D00-00004C000000}" name="Maintenance_Record_Availability"/>
    <tableColumn id="77" xr3:uid="{00000000-0010-0000-0D00-00004D000000}" name="Annotation_Source"/>
    <tableColumn id="78" xr3:uid="{00000000-0010-0000-0D00-00004E000000}" name="Annotation_Quality_Control"/>
    <tableColumn id="79" xr3:uid="{00000000-0010-0000-0D00-00004F000000}" name="Class_Balance"/>
    <tableColumn id="80" xr3:uid="{00000000-0010-0000-0D00-000050000000}" name="Unlabeled_Data_Availability"/>
    <tableColumn id="81" xr3:uid="{00000000-0010-0000-0D00-000051000000}" name="Reported_AI_Tasks"/>
    <tableColumn id="82" xr3:uid="{00000000-0010-0000-0D00-000052000000}" name="Reported_AI_Methods"/>
    <tableColumn id="83" xr3:uid="{00000000-0010-0000-0D00-000053000000}" name="Reported_Models_or_Architectures"/>
    <tableColumn id="84" xr3:uid="{00000000-0010-0000-0D00-000054000000}" name="AI_Task_Evidence"/>
    <tableColumn id="85" xr3:uid="{00000000-0010-0000-0D00-000055000000}" name="Evaluation_Metrics"/>
    <tableColumn id="86" xr3:uid="{00000000-0010-0000-0D00-000056000000}" name="Benchmark_Results"/>
    <tableColumn id="87" xr3:uid="{00000000-0010-0000-0D00-000057000000}" name="Screening_Decision"/>
    <tableColumn id="88" xr3:uid="{00000000-0010-0000-0D00-000058000000}" name="Access_Status"/>
    <tableColumn id="89" xr3:uid="{00000000-0010-0000-0D00-000059000000}" name="License"/>
    <tableColumn id="90" xr3:uid="{00000000-0010-0000-0D00-00005A000000}" name="Registration_Requirement"/>
    <tableColumn id="91" xr3:uid="{00000000-0010-0000-0D00-00005B000000}" name="Download_Requirement"/>
    <tableColumn id="92" xr3:uid="{00000000-0010-0000-0D00-00005C000000}" name="Documentation_Quality"/>
    <tableColumn id="93" xr3:uid="{00000000-0010-0000-0D00-00005D000000}" name="Label_Documentation_Quality"/>
    <tableColumn id="94" xr3:uid="{00000000-0010-0000-0D00-00005E000000}" name="Broken_or_Inaccessible_Link"/>
    <tableColumn id="95" xr3:uid="{00000000-0010-0000-0D00-00005F000000}" name="Key_Limitations"/>
    <tableColumn id="96" xr3:uid="{00000000-0010-0000-0D00-000060000000}" name="Original_Derived_or_Compiled"/>
    <tableColumn id="97" xr3:uid="{00000000-0010-0000-0D00-000061000000}" name="Repository_Mirror"/>
    <tableColumn id="98" xr3:uid="{00000000-0010-0000-0D00-000062000000}" name="Different_Version"/>
    <tableColumn id="99" xr3:uid="{00000000-0010-0000-0D00-000063000000}" name="Derived_or_Reformatted"/>
    <tableColumn id="100" xr3:uid="{00000000-0010-0000-0D00-000064000000}" name="Parent_Dataset"/>
    <tableColumn id="101" xr3:uid="{00000000-0010-0000-0D00-000065000000}" name="Related_Datasets"/>
    <tableColumn id="102" xr3:uid="{00000000-0010-0000-0D00-000066000000}" name="Source_Filenames"/>
    <tableColumn id="103" xr3:uid="{00000000-0010-0000-0D00-000067000000}" name="Source_Record_IDs"/>
    <tableColumn id="104" xr3:uid="{00000000-0010-0000-0D00-000068000000}" name="Claude_Reported_Values_Conflict"/>
    <tableColumn id="105" xr3:uid="{00000000-0010-0000-0D00-000069000000}" name="GPT_Reported_Values_Conflict"/>
    <tableColumn id="106" xr3:uid="{00000000-0010-0000-0D00-00006A000000}" name="Scale_Conflicts"/>
    <tableColumn id="107" xr3:uid="{00000000-0010-0000-0D00-00006B000000}" name="Label_Conflicts"/>
    <tableColumn id="108" xr3:uid="{00000000-0010-0000-0D00-00006C000000}" name="Platform_Conflicts"/>
    <tableColumn id="109" xr3:uid="{00000000-0010-0000-0D00-00006D000000}" name="Other_Metadata_Conflicts"/>
    <tableColumn id="110" xr3:uid="{00000000-0010-0000-0D00-00006E000000}" name="Include_Exclude_Conflict"/>
    <tableColumn id="111" xr3:uid="{00000000-0010-0000-0D00-00006F000000}" name="Reconciliation_Notes"/>
    <tableColumn id="112" xr3:uid="{00000000-0010-0000-0D00-000070000000}" name="Evidence_Locator"/>
    <tableColumn id="113" xr3:uid="{00000000-0010-0000-0D00-000071000000}" name="Confidence_Level"/>
    <tableColumn id="114" xr3:uid="{00000000-0010-0000-0D00-000072000000}" name="Verification_Priority"/>
    <tableColumn id="115" xr3:uid="{00000000-0010-0000-0D00-000073000000}" name="Recommended_Action"/>
    <tableColumn id="116" xr3:uid="{00000000-0010-0000-0D00-000074000000}" name="AIR_Accessibility_0_5"/>
    <tableColumn id="117" xr3:uid="{00000000-0010-0000-0D00-000075000000}" name="AIR_Annotation_Quality_0_5"/>
    <tableColumn id="118" xr3:uid="{00000000-0010-0000-0D00-000076000000}" name="AIR_Documentation_0_5"/>
    <tableColumn id="119" xr3:uid="{00000000-0010-0000-0D00-000077000000}" name="AIR_Scale_0_5"/>
    <tableColumn id="120" xr3:uid="{00000000-0010-0000-0D00-000078000000}" name="AIR_Diversity_0_5"/>
    <tableColumn id="121" xr3:uid="{00000000-0010-0000-0D00-000079000000}" name="AIR_Sensor_Metadata_0_5"/>
    <tableColumn id="122" xr3:uid="{00000000-0010-0000-0D00-00007A000000}" name="AIR_Agency_Ground_Truth_0_5"/>
    <tableColumn id="123" xr3:uid="{00000000-0010-0000-0D00-00007B000000}" name="AIR_Overall_Default_Weights_0_100"/>
    <tableColumn id="124" xr3:uid="{00000000-0010-0000-0D00-00007C000000}" name="AIR_Score_Basis"/>
    <tableColumn id="125" xr3:uid="{00000000-0010-0000-0D00-00007D000000}" name="AIR_Scored_Source_Records"/>
    <tableColumn id="126" xr3:uid="{00000000-0010-0000-0D00-00007E000000}" name="V3_AI_Grade"/>
    <tableColumn id="127" xr3:uid="{00000000-0010-0000-0D00-00007F000000}" name="V3_Human_Grade"/>
    <tableColumn id="128" xr3:uid="{00000000-0010-0000-0D00-000080000000}" name="V3_AI_Confirmed_100"/>
    <tableColumn id="129" xr3:uid="{00000000-0010-0000-0D00-000081000000}" name="V3_Human_Confirmed_100"/>
    <tableColumn id="130" xr3:uid="{00000000-0010-0000-0D00-000082000000}" name="V3_AI_Upper_100"/>
    <tableColumn id="131" xr3:uid="{00000000-0010-0000-0D00-000083000000}" name="V3_Human_Upper_100"/>
    <tableColumn id="132" xr3:uid="{00000000-0010-0000-0D00-000084000000}" name="V3_AI_Resolved_Pct"/>
    <tableColumn id="133" xr3:uid="{00000000-0010-0000-0D00-000085000000}" name="V3_Human_Resolved_Pct"/>
    <tableColumn id="134" xr3:uid="{00000000-0010-0000-0D00-000086000000}" name="V3_AI_Access_5"/>
    <tableColumn id="135" xr3:uid="{00000000-0010-0000-0D00-000087000000}" name="V3_Human_Access_5"/>
    <tableColumn id="136" xr3:uid="{00000000-0010-0000-0D00-000088000000}" name="V3_AI_Label_Quality_5"/>
    <tableColumn id="137" xr3:uid="{00000000-0010-0000-0D00-000089000000}" name="V3_Human_Label_Quality_5"/>
    <tableColumn id="138" xr3:uid="{00000000-0010-0000-0D00-00008A000000}" name="V3_AI_Documentation_5"/>
    <tableColumn id="139" xr3:uid="{00000000-0010-0000-0D00-00008B000000}" name="V3_Human_Documentation_5"/>
    <tableColumn id="140" xr3:uid="{00000000-0010-0000-0D00-00008C000000}" name="V3_AI_Sample_Size_5"/>
    <tableColumn id="141" xr3:uid="{00000000-0010-0000-0D00-00008D000000}" name="V3_Human_Sample_Size_5"/>
    <tableColumn id="142" xr3:uid="{00000000-0010-0000-0D00-00008E000000}" name="V3_AI_Domain_Fit_5"/>
    <tableColumn id="143" xr3:uid="{00000000-0010-0000-0D00-00008F000000}" name="V3_Human_Domain_Fit_5"/>
    <tableColumn id="144" xr3:uid="{00000000-0010-0000-0D00-000090000000}" name="V3_AI_Sensor_Details_5"/>
    <tableColumn id="145" xr3:uid="{00000000-0010-0000-0D00-000091000000}" name="V3_Human_Sensor_Details_5"/>
    <tableColumn id="146" xr3:uid="{00000000-0010-0000-0D00-000092000000}" name="V3_AI_Test_Readiness_5"/>
    <tableColumn id="147" xr3:uid="{00000000-0010-0000-0D00-000093000000}" name="V3_Human_Test_Readiness_5"/>
    <tableColumn id="148" xr3:uid="{00000000-0010-0000-0D00-000094000000}" name="V3_AI_Engineering_Value_5"/>
    <tableColumn id="149" xr3:uid="{00000000-0010-0000-0D00-000095000000}" name="V3_Human_Engineering_Value_5"/>
    <tableColumn id="150" xr3:uid="{00000000-0010-0000-0D00-000096000000}" name="V3_AI_Eligibility"/>
    <tableColumn id="151" xr3:uid="{00000000-0010-0000-0D00-000097000000}" name="V3_Human_Eligibility"/>
    <tableColumn id="152" xr3:uid="{00000000-0010-0000-0D00-000098000000}" name="V3_Human_Completion_Pct"/>
    <tableColumn id="153" xr3:uid="{00000000-0010-0000-0D00-000099000000}" name="V3_Human_minus_AI_Confirmed"/>
    <tableColumn id="154" xr3:uid="{00000000-0010-0000-0D00-00009A000000}" name="V3_State_Agreement_Pct"/>
    <tableColumn id="155" xr3:uid="{00000000-0010-0000-0D00-00009B000000}" name="V3_AI_Evidence_Note"/>
    <tableColumn id="156" xr3:uid="{00000000-0010-0000-0D00-00009C000000}" name="V3_Human_Evidence_Note"/>
    <tableColumn id="157" xr3:uid="{00000000-0010-0000-0D00-00009D000000}" name="V3_AI_Source_URL"/>
    <tableColumn id="158" xr3:uid="{00000000-0010-0000-0D00-00009E000000}" name="V3_Human_Source_URL"/>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_Source_AV" displayName="T_Source_AV" ref="A5:W76" totalsRowShown="0">
  <tableColumns count="23">
    <tableColumn id="1" xr3:uid="{00000000-0010-0000-0E00-000001000000}" name="ID"/>
    <tableColumn id="2" xr3:uid="{00000000-0010-0000-0E00-000002000000}" name="Dataset / release family"/>
    <tableColumn id="3" xr3:uid="{00000000-0010-0000-0E00-000003000000}" name="Condition label type"/>
    <tableColumn id="4" xr3:uid="{00000000-0010-0000-0E00-000004000000}" name="Media provided"/>
    <tableColumn id="5" xr3:uid="{00000000-0010-0000-0E00-000005000000}" name="Capture context"/>
    <tableColumn id="6" xr3:uid="{00000000-0010-0000-0E00-000006000000}" name="Access status"/>
    <tableColumn id="7" xr3:uid="{00000000-0010-0000-0E00-000007000000}" name="Fit to request"/>
    <tableColumn id="8" xr3:uid="{00000000-0010-0000-0E00-000008000000}" name="Pavement labels"/>
    <tableColumn id="9" xr3:uid="{00000000-0010-0000-0E00-000009000000}" name="Camera / footage details"/>
    <tableColumn id="10" xr3:uid="{00000000-0010-0000-0E00-00000A000000}" name="AV / ADAS relationship"/>
    <tableColumn id="11" xr3:uid="{00000000-0010-0000-0E00-00000B000000}" name="Publisher"/>
    <tableColumn id="12" xr3:uid="{00000000-0010-0000-0E00-00000C000000}" name="Release / paper year"/>
    <tableColumn id="13" xr3:uid="{00000000-0010-0000-0E00-00000D000000}" name="Reported size"/>
    <tableColumn id="14" xr3:uid="{00000000-0010-0000-0E00-00000E000000}" name="Geography"/>
    <tableColumn id="15" xr3:uid="{00000000-0010-0000-0E00-00000F000000}" name="Label format"/>
    <tableColumn id="16" xr3:uid="{00000000-0010-0000-0E00-000010000000}" name="License / use terms"/>
    <tableColumn id="17" xr3:uid="{00000000-0010-0000-0E00-000011000000}" name="Access instructions"/>
    <tableColumn id="18" xr3:uid="{00000000-0010-0000-0E00-000012000000}" name="Limits and pairing notes"/>
    <tableColumn id="19" xr3:uid="{00000000-0010-0000-0E00-000013000000}" name="Dataset / download"/>
    <tableColumn id="20" xr3:uid="{00000000-0010-0000-0E00-000014000000}" name="Evidence / paper"/>
    <tableColumn id="21" xr3:uid="{00000000-0010-0000-0E00-000015000000}" name="Reviewed"/>
    <tableColumn id="22" xr3:uid="{00000000-0010-0000-0E00-000016000000}" name="Original dataset URL"/>
    <tableColumn id="23" xr3:uid="{00000000-0010-0000-0E00-000017000000}" name="Original evidence URL"/>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_MCDM_Method" displayName="T_MCDM_Method" ref="A5:B23" totalsRowShown="0">
  <tableColumns count="2">
    <tableColumn id="1" xr3:uid="{00000000-0010-0000-0F00-000001000000}" name="Topic"/>
    <tableColumn id="2" xr3:uid="{00000000-0010-0000-0F00-000002000000}" name="Protoco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tu-ilmenau.de/universitaet/fakultaeten/fakultaet-informatik-und-automatisierung/profil/institute-und-fachgebiete/institut-fuer-technische-informatik-und-ingenieurinformatik/fachgebiet-neuroinformatik-und-kognitive-robotik/data-sets-code/german-asphalt-pavement-distress-dataset-gaps" TargetMode="External"/><Relationship Id="rId1" Type="http://schemas.openxmlformats.org/officeDocument/2006/relationships/hyperlink" Target="https://www.tu-ilmenau.de/universitaet/fakultaeten/fakultaet-informatik-und-automatisierung/profil/institute-und-fachgebiete/institut-fuer-technische-informatik-und-ingenieurinformatik/fachgebiet-neuroinformatik-und-kognitive-robotik/data-sets-code/german-asphalt-pavement-distress-dataset-gap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tu-ilmenau.de/universitaet/fakultaeten/fakultaet-informatik-und-automatisierung/profil/institute-und-fachgebiete/institut-fuer-technische-informatik-und-ingenieurinformatik/fachgebiet-neuroinformatik-und-kognitive-robotik/data-sets-code/german-asphalt-pavement-distress-dataset-gap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tu-ilmenau.de/universitaet/fakultaeten/fakultaet-informatik-und-automatisierung/profil/institute-und-fachgebiete/institut-fuer-technische-informatik-und-ingenieurinformatik/fachgebiet-neuroinformatik-und-kognitive-robotik/data-sets-code/german-asphalt-pavement-distress-dataset-gap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tu-ilmenau.de/universitaet/fakultaeten/fakultaet-informatik-und-automatisierung/profil/institute-und-fachgebiete/institut-fuer-technische-informatik-und-ingenieurinformatik/fachgebiet-neuroinformatik-und-kognitive-robotik/data-sets-code/german-asphalt-pavement-distress-dataset-gaps"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A53"/>
  </sheetPr>
  <dimension ref="A1:P15"/>
  <sheetViews>
    <sheetView showGridLines="0" tabSelected="1"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0" customWidth="1"/>
    <col min="2" max="2" width="13" customWidth="1"/>
    <col min="3" max="3" width="31" customWidth="1"/>
    <col min="4" max="4" width="29" customWidth="1"/>
    <col min="5" max="6" width="14" customWidth="1"/>
    <col min="7" max="7" width="15" customWidth="1"/>
    <col min="8" max="8" width="17" customWidth="1"/>
    <col min="9" max="9" width="20" customWidth="1"/>
    <col min="10" max="10" width="63" customWidth="1"/>
    <col min="11" max="11" width="70" customWidth="1"/>
    <col min="12" max="12" width="62" customWidth="1"/>
    <col min="13" max="13" width="75" customWidth="1"/>
    <col min="14" max="14" width="35" customWidth="1"/>
    <col min="15" max="15" width="20" customWidth="1"/>
    <col min="16" max="16" width="22" customWidth="1"/>
  </cols>
  <sheetData>
    <row r="1" spans="1:16" ht="12" customHeight="1">
      <c r="A1" s="1"/>
      <c r="B1" s="1"/>
      <c r="C1" s="1"/>
      <c r="D1" s="1"/>
      <c r="E1" s="1"/>
      <c r="F1" s="1"/>
      <c r="G1" s="1"/>
      <c r="H1" s="1"/>
      <c r="I1" s="1"/>
      <c r="J1" s="1"/>
      <c r="K1" s="1"/>
      <c r="L1" s="1"/>
      <c r="M1" s="1"/>
      <c r="N1" s="1"/>
      <c r="O1" s="1"/>
      <c r="P1" s="1"/>
    </row>
    <row r="2" spans="1:16" ht="24" customHeight="1">
      <c r="A2" s="2" t="s">
        <v>0</v>
      </c>
      <c r="B2" s="1"/>
      <c r="C2" s="1"/>
      <c r="D2" s="1"/>
      <c r="E2" s="1"/>
      <c r="F2" s="1"/>
      <c r="G2" s="1"/>
      <c r="H2" s="1"/>
      <c r="I2" s="1"/>
      <c r="J2" s="1"/>
      <c r="K2" s="1"/>
      <c r="L2" s="1"/>
      <c r="M2" s="1"/>
      <c r="N2" s="1"/>
      <c r="O2" s="1"/>
      <c r="P2" s="1"/>
    </row>
    <row r="3" spans="1:16" ht="21" customHeight="1">
      <c r="A3" s="3" t="s">
        <v>1</v>
      </c>
      <c r="B3" s="1"/>
      <c r="C3" s="1"/>
      <c r="D3" s="1"/>
      <c r="E3" s="1"/>
      <c r="F3" s="1"/>
      <c r="G3" s="1"/>
      <c r="H3" s="1"/>
      <c r="I3" s="1"/>
      <c r="J3" s="1"/>
      <c r="K3" s="1"/>
      <c r="L3" s="1"/>
      <c r="M3" s="1"/>
      <c r="N3" s="1"/>
      <c r="O3" s="1"/>
      <c r="P3" s="1"/>
    </row>
    <row r="4" spans="1:16" ht="9.9499999999999993" customHeight="1">
      <c r="A4" s="1"/>
      <c r="B4" s="1"/>
      <c r="C4" s="1"/>
      <c r="D4" s="1"/>
      <c r="E4" s="1"/>
      <c r="F4" s="1"/>
      <c r="G4" s="1"/>
      <c r="H4" s="1"/>
      <c r="I4" s="1"/>
      <c r="J4" s="1"/>
      <c r="K4" s="1"/>
      <c r="L4" s="1"/>
      <c r="M4" s="1"/>
      <c r="N4" s="1"/>
      <c r="O4" s="1"/>
      <c r="P4" s="1"/>
    </row>
    <row r="5" spans="1:16" ht="42.95" customHeight="1">
      <c r="A5" s="4" t="s">
        <v>2</v>
      </c>
      <c r="B5" s="4" t="s">
        <v>3</v>
      </c>
      <c r="C5" s="4" t="s">
        <v>4</v>
      </c>
      <c r="D5" s="4" t="s">
        <v>5</v>
      </c>
      <c r="E5" s="4" t="s">
        <v>6</v>
      </c>
      <c r="F5" s="4" t="s">
        <v>7</v>
      </c>
      <c r="G5" s="4" t="s">
        <v>8</v>
      </c>
      <c r="H5" s="4" t="s">
        <v>9</v>
      </c>
      <c r="I5" s="4" t="s">
        <v>10</v>
      </c>
      <c r="J5" s="4" t="s">
        <v>11</v>
      </c>
      <c r="K5" s="4" t="s">
        <v>12</v>
      </c>
      <c r="L5" s="4" t="s">
        <v>13</v>
      </c>
      <c r="M5" s="4" t="s">
        <v>14</v>
      </c>
      <c r="N5" s="4" t="s">
        <v>15</v>
      </c>
      <c r="O5" s="4" t="s">
        <v>16</v>
      </c>
      <c r="P5" s="4" t="s">
        <v>17</v>
      </c>
    </row>
    <row r="6" spans="1:16" ht="25.5">
      <c r="A6" s="14">
        <v>1</v>
      </c>
      <c r="B6" s="14" t="s">
        <v>18</v>
      </c>
      <c r="C6" s="14" t="s">
        <v>19</v>
      </c>
      <c r="D6" s="14" t="s">
        <v>20</v>
      </c>
      <c r="E6" s="12">
        <f>INDEX(MCDM_Grades!$E$6:$E$238,MATCH(B6,MCDM_Grades!$A$6:$A$238,0))</f>
        <v>88.888888888888872</v>
      </c>
      <c r="F6" s="12">
        <f>INDEX(MCDM_Grades!$F$6:$F$238,MATCH(B6,MCDM_Grades!$A$6:$A$238,0))</f>
        <v>99.999999999999986</v>
      </c>
      <c r="G6" s="13">
        <f>INDEX(MCDM_Grades!$G$6:$G$238,MATCH(B6,MCDM_Grades!$A$6:$A$238,0))</f>
        <v>0.88888888888888884</v>
      </c>
      <c r="H6" s="5" t="str">
        <f>HYPERLINK("https://digitalcommons.usu.edu/all_datasets/48/","Dataset")</f>
        <v>Dataset</v>
      </c>
      <c r="I6" s="5" t="str">
        <f>HYPERLINK("https://doi.org/10.1016/j.dib.2018.11.015","Evidence")</f>
        <v>Evidence</v>
      </c>
      <c r="J6" s="5" t="s">
        <v>21</v>
      </c>
      <c r="K6" s="5" t="s">
        <v>22</v>
      </c>
      <c r="L6" s="5" t="s">
        <v>23</v>
      </c>
      <c r="M6" s="5" t="s">
        <v>24</v>
      </c>
      <c r="N6" s="5" t="str">
        <f>INDEX(Manual_Review!$AH$6:$AH$238,MATCH(B6,Manual_Review!$A$6:$A$238,0))</f>
        <v>Not started</v>
      </c>
      <c r="O6" s="5" t="str">
        <f>HYPERLINK("#'Manual_Review'!A"&amp;(MATCH("DS-084",Manual_Review!$A$6:$A$238,0)+5),"Enter review")</f>
        <v>Enter review</v>
      </c>
      <c r="P6" s="5" t="str">
        <f>HYPERLINK("#'MCDM_Checks'!A"&amp;(MATCH("DS-084",MCDM_Checks!$B$6:$B$3733,0)+5),"Check evidence")</f>
        <v>Check evidence</v>
      </c>
    </row>
    <row r="7" spans="1:16" ht="25.5">
      <c r="A7" s="14">
        <v>2</v>
      </c>
      <c r="B7" s="14" t="s">
        <v>25</v>
      </c>
      <c r="C7" s="14" t="s">
        <v>26</v>
      </c>
      <c r="D7" s="14" t="s">
        <v>27</v>
      </c>
      <c r="E7" s="12">
        <f>INDEX(MCDM_Grades!$E$6:$E$238,MATCH(B7,MCDM_Grades!$A$6:$A$238,0))</f>
        <v>77.777777777777771</v>
      </c>
      <c r="F7" s="12">
        <f>INDEX(MCDM_Grades!$F$6:$F$238,MATCH(B7,MCDM_Grades!$A$6:$A$238,0))</f>
        <v>99.999999999999986</v>
      </c>
      <c r="G7" s="13">
        <f>INDEX(MCDM_Grades!$G$6:$G$238,MATCH(B7,MCDM_Grades!$A$6:$A$238,0))</f>
        <v>0.77777777777777768</v>
      </c>
      <c r="H7" s="5" t="str">
        <f>HYPERLINK("https://github.com/fyangneil/pavement-crack-detection","Dataset")</f>
        <v>Dataset</v>
      </c>
      <c r="I7" s="5" t="str">
        <f>HYPERLINK("https://arxiv.org/abs/1901.06340","Evidence")</f>
        <v>Evidence</v>
      </c>
      <c r="J7" s="5" t="s">
        <v>28</v>
      </c>
      <c r="K7" s="5" t="s">
        <v>29</v>
      </c>
      <c r="L7" s="5" t="s">
        <v>30</v>
      </c>
      <c r="M7" s="5" t="s">
        <v>31</v>
      </c>
      <c r="N7" s="5" t="str">
        <f>INDEX(Manual_Review!$AH$6:$AH$238,MATCH(B7,Manual_Review!$A$6:$A$238,0))</f>
        <v>Not started</v>
      </c>
      <c r="O7" s="5" t="str">
        <f>HYPERLINK("#'Manual_Review'!A"&amp;(MATCH("DS-007",Manual_Review!$A$6:$A$238,0)+5),"Enter review")</f>
        <v>Enter review</v>
      </c>
      <c r="P7" s="5" t="str">
        <f>HYPERLINK("#'MCDM_Checks'!A"&amp;(MATCH("DS-007",MCDM_Checks!$B$6:$B$3733,0)+5),"Check evidence")</f>
        <v>Check evidence</v>
      </c>
    </row>
    <row r="8" spans="1:16" ht="25.5">
      <c r="A8" s="14">
        <v>3</v>
      </c>
      <c r="B8" s="14" t="s">
        <v>32</v>
      </c>
      <c r="C8" s="14" t="s">
        <v>33</v>
      </c>
      <c r="D8" s="14" t="s">
        <v>34</v>
      </c>
      <c r="E8" s="12">
        <f>INDEX(MCDM_Grades!$E$6:$E$238,MATCH(B8,MCDM_Grades!$A$6:$A$238,0))</f>
        <v>94.444444444444429</v>
      </c>
      <c r="F8" s="12">
        <f>INDEX(MCDM_Grades!$F$6:$F$238,MATCH(B8,MCDM_Grades!$A$6:$A$238,0))</f>
        <v>99.999999999999986</v>
      </c>
      <c r="G8" s="13">
        <f>INDEX(MCDM_Grades!$G$6:$G$238,MATCH(B8,MCDM_Grades!$A$6:$A$238,0))</f>
        <v>0.94444444444444431</v>
      </c>
      <c r="H8" s="5" t="str">
        <f>HYPERLINK("https://figshare.com/articles/dataset/RDD2022_-_The_multi-national_Road_Damage_Dataset_released_through_CRDDC_2022/21431547/1","Dataset")</f>
        <v>Dataset</v>
      </c>
      <c r="I8" s="5" t="str">
        <f>HYPERLINK("https://arxiv.org/abs/2209.08538","Evidence")</f>
        <v>Evidence</v>
      </c>
      <c r="J8" s="5" t="s">
        <v>35</v>
      </c>
      <c r="K8" s="5" t="s">
        <v>36</v>
      </c>
      <c r="L8" s="5" t="s">
        <v>37</v>
      </c>
      <c r="M8" s="5" t="s">
        <v>38</v>
      </c>
      <c r="N8" s="5" t="str">
        <f>INDEX(Manual_Review!$AH$6:$AH$238,MATCH(B8,Manual_Review!$A$6:$A$238,0))</f>
        <v>Not started</v>
      </c>
      <c r="O8" s="5" t="str">
        <f>HYPERLINK("#'Manual_Review'!A"&amp;(MATCH("DS-035",Manual_Review!$A$6:$A$238,0)+5),"Enter review")</f>
        <v>Enter review</v>
      </c>
      <c r="P8" s="5" t="str">
        <f>HYPERLINK("#'MCDM_Checks'!A"&amp;(MATCH("DS-035",MCDM_Checks!$B$6:$B$3733,0)+5),"Check evidence")</f>
        <v>Check evidence</v>
      </c>
    </row>
    <row r="9" spans="1:16" ht="25.5">
      <c r="A9" s="14">
        <v>4</v>
      </c>
      <c r="B9" s="14" t="s">
        <v>39</v>
      </c>
      <c r="C9" s="14" t="s">
        <v>40</v>
      </c>
      <c r="D9" s="14" t="s">
        <v>41</v>
      </c>
      <c r="E9" s="12">
        <f>INDEX(MCDM_Grades!$E$6:$E$238,MATCH(B9,MCDM_Grades!$A$6:$A$238,0))</f>
        <v>99.999999999999986</v>
      </c>
      <c r="F9" s="12">
        <f>INDEX(MCDM_Grades!$F$6:$F$238,MATCH(B9,MCDM_Grades!$A$6:$A$238,0))</f>
        <v>99.999999999999986</v>
      </c>
      <c r="G9" s="13">
        <f>INDEX(MCDM_Grades!$G$6:$G$238,MATCH(B9,MCDM_Grades!$A$6:$A$238,0))</f>
        <v>0.99999999999999989</v>
      </c>
      <c r="H9" s="5" t="str">
        <f>HYPERLINK("https://huggingface.co/datasets/MML-Group/PaveBench","Dataset")</f>
        <v>Dataset</v>
      </c>
      <c r="I9" s="5" t="str">
        <f>HYPERLINK("https://arxiv.org/abs/2604.02804","Evidence")</f>
        <v>Evidence</v>
      </c>
      <c r="J9" s="5" t="s">
        <v>42</v>
      </c>
      <c r="K9" s="5" t="s">
        <v>43</v>
      </c>
      <c r="L9" s="5" t="s">
        <v>44</v>
      </c>
      <c r="M9" s="5" t="s">
        <v>45</v>
      </c>
      <c r="N9" s="5" t="str">
        <f>INDEX(Manual_Review!$AH$6:$AH$238,MATCH(B9,Manual_Review!$A$6:$A$238,0))</f>
        <v>Not started</v>
      </c>
      <c r="O9" s="5" t="str">
        <f>HYPERLINK("#'Manual_Review'!A"&amp;(MATCH("DS-096",Manual_Review!$A$6:$A$238,0)+5),"Enter review")</f>
        <v>Enter review</v>
      </c>
      <c r="P9" s="5" t="str">
        <f>HYPERLINK("#'MCDM_Checks'!A"&amp;(MATCH("DS-096",MCDM_Checks!$B$6:$B$3733,0)+5),"Check evidence")</f>
        <v>Check evidence</v>
      </c>
    </row>
    <row r="10" spans="1:16" ht="25.5">
      <c r="A10" s="14">
        <v>5</v>
      </c>
      <c r="B10" s="14" t="s">
        <v>46</v>
      </c>
      <c r="C10" s="14" t="s">
        <v>47</v>
      </c>
      <c r="D10" s="14" t="s">
        <v>48</v>
      </c>
      <c r="E10" s="12">
        <f>INDEX(MCDM_Grades!$E$6:$E$238,MATCH(B10,MCDM_Grades!$A$6:$A$238,0))</f>
        <v>58.333333333333321</v>
      </c>
      <c r="F10" s="12">
        <f>INDEX(MCDM_Grades!$F$6:$F$238,MATCH(B10,MCDM_Grades!$A$6:$A$238,0))</f>
        <v>99.999999999999986</v>
      </c>
      <c r="G10" s="13">
        <f>INDEX(MCDM_Grades!$G$6:$G$238,MATCH(B10,MCDM_Grades!$A$6:$A$238,0))</f>
        <v>0.58333333333333337</v>
      </c>
      <c r="H10" s="5" t="str">
        <f>HYPERLINK("https://dataverse.harvard.edu/dataset.xhtml?persistentId=doi:10.7910/DVN/EGIEBY&amp;version=4.0","Dataset")</f>
        <v>Dataset</v>
      </c>
      <c r="I10" s="5" t="str">
        <f>HYPERLINK("https://arxiv.org/abs/2208.13054","Evidence")</f>
        <v>Evidence</v>
      </c>
      <c r="J10" s="5" t="s">
        <v>49</v>
      </c>
      <c r="K10" s="5" t="s">
        <v>50</v>
      </c>
      <c r="L10" s="5" t="s">
        <v>51</v>
      </c>
      <c r="M10" s="5" t="s">
        <v>52</v>
      </c>
      <c r="N10" s="5" t="str">
        <f>INDEX(Manual_Review!$AH$6:$AH$238,MATCH(B10,Manual_Review!$A$6:$A$238,0))</f>
        <v>Not started</v>
      </c>
      <c r="O10" s="5" t="str">
        <f>HYPERLINK("#'Manual_Review'!A"&amp;(MATCH("DS-011",Manual_Review!$A$6:$A$238,0)+5),"Enter review")</f>
        <v>Enter review</v>
      </c>
      <c r="P10" s="5" t="str">
        <f>HYPERLINK("#'MCDM_Checks'!A"&amp;(MATCH("DS-011",MCDM_Checks!$B$6:$B$3733,0)+5),"Check evidence")</f>
        <v>Check evidence</v>
      </c>
    </row>
    <row r="11" spans="1:16" ht="25.5">
      <c r="A11" s="14">
        <v>6</v>
      </c>
      <c r="B11" s="14" t="s">
        <v>53</v>
      </c>
      <c r="C11" s="14" t="s">
        <v>54</v>
      </c>
      <c r="D11" s="14" t="s">
        <v>55</v>
      </c>
      <c r="E11" s="12">
        <f>INDEX(MCDM_Grades!$E$6:$E$238,MATCH(B11,MCDM_Grades!$A$6:$A$238,0))</f>
        <v>99.999999999999986</v>
      </c>
      <c r="F11" s="12">
        <f>INDEX(MCDM_Grades!$F$6:$F$238,MATCH(B11,MCDM_Grades!$A$6:$A$238,0))</f>
        <v>99.999999999999986</v>
      </c>
      <c r="G11" s="13">
        <f>INDEX(MCDM_Grades!$G$6:$G$238,MATCH(B11,MCDM_Grades!$A$6:$A$238,0))</f>
        <v>0.99999999999999989</v>
      </c>
      <c r="H11" s="5" t="str">
        <f>HYPERLINK("https://zenodo.org/records/8429208","Dataset")</f>
        <v>Dataset</v>
      </c>
      <c r="I11" s="5" t="str">
        <f>HYPERLINK("https://doi.org/10.1016/j.dib.2023.109692","Evidence")</f>
        <v>Evidence</v>
      </c>
      <c r="J11" s="5" t="s">
        <v>56</v>
      </c>
      <c r="K11" s="5" t="s">
        <v>57</v>
      </c>
      <c r="L11" s="5" t="s">
        <v>58</v>
      </c>
      <c r="M11" s="5" t="s">
        <v>59</v>
      </c>
      <c r="N11" s="5" t="str">
        <f>INDEX(Manual_Review!$AH$6:$AH$238,MATCH(B11,Manual_Review!$A$6:$A$238,0))</f>
        <v>Not started</v>
      </c>
      <c r="O11" s="5" t="str">
        <f>HYPERLINK("#'Manual_Review'!A"&amp;(MATCH("DS-135",Manual_Review!$A$6:$A$238,0)+5),"Enter review")</f>
        <v>Enter review</v>
      </c>
      <c r="P11" s="5" t="str">
        <f>HYPERLINK("#'MCDM_Checks'!A"&amp;(MATCH("DS-135",MCDM_Checks!$B$6:$B$3733,0)+5),"Check evidence")</f>
        <v>Check evidence</v>
      </c>
    </row>
    <row r="12" spans="1:16" ht="25.5">
      <c r="A12" s="14">
        <v>7</v>
      </c>
      <c r="B12" s="14" t="s">
        <v>60</v>
      </c>
      <c r="C12" s="14" t="s">
        <v>61</v>
      </c>
      <c r="D12" s="14" t="s">
        <v>62</v>
      </c>
      <c r="E12" s="12">
        <f>INDEX(MCDM_Grades!$E$6:$E$238,MATCH(B12,MCDM_Grades!$A$6:$A$238,0))</f>
        <v>55.555555555555557</v>
      </c>
      <c r="F12" s="12">
        <f>INDEX(MCDM_Grades!$F$6:$F$238,MATCH(B12,MCDM_Grades!$A$6:$A$238,0))</f>
        <v>99.999999999999986</v>
      </c>
      <c r="G12" s="13">
        <f>INDEX(MCDM_Grades!$G$6:$G$238,MATCH(B12,MCDM_Grades!$A$6:$A$238,0))</f>
        <v>0.55555555555555558</v>
      </c>
      <c r="H12" s="5" t="str">
        <f>HYPERLINK("https://sites.google.com/view/pothole-600/dataset","Dataset")</f>
        <v>Dataset</v>
      </c>
      <c r="I12" s="5" t="str">
        <f>HYPERLINK("https://arxiv.org/abs/2008.06840","Evidence")</f>
        <v>Evidence</v>
      </c>
      <c r="J12" s="5" t="s">
        <v>63</v>
      </c>
      <c r="K12" s="5" t="s">
        <v>64</v>
      </c>
      <c r="L12" s="5" t="s">
        <v>65</v>
      </c>
      <c r="M12" s="5" t="s">
        <v>66</v>
      </c>
      <c r="N12" s="5" t="str">
        <f>INDEX(Manual_Review!$AH$6:$AH$238,MATCH(B12,Manual_Review!$A$6:$A$238,0))</f>
        <v>Not started</v>
      </c>
      <c r="O12" s="5" t="str">
        <f>HYPERLINK("#'Manual_Review'!A"&amp;(MATCH("DS-157",Manual_Review!$A$6:$A$238,0)+5),"Enter review")</f>
        <v>Enter review</v>
      </c>
      <c r="P12" s="5" t="str">
        <f>HYPERLINK("#'MCDM_Checks'!A"&amp;(MATCH("DS-157",MCDM_Checks!$B$6:$B$3733,0)+5),"Check evidence")</f>
        <v>Check evidence</v>
      </c>
    </row>
    <row r="13" spans="1:16" ht="25.5">
      <c r="A13" s="14">
        <v>8</v>
      </c>
      <c r="B13" s="14" t="s">
        <v>67</v>
      </c>
      <c r="C13" s="14" t="s">
        <v>68</v>
      </c>
      <c r="D13" s="14" t="s">
        <v>69</v>
      </c>
      <c r="E13" s="12">
        <f>INDEX(MCDM_Grades!$E$6:$E$238,MATCH(B13,MCDM_Grades!$A$6:$A$238,0))</f>
        <v>75</v>
      </c>
      <c r="F13" s="12">
        <f>INDEX(MCDM_Grades!$F$6:$F$238,MATCH(B13,MCDM_Grades!$A$6:$A$238,0))</f>
        <v>99.999999999999986</v>
      </c>
      <c r="G13" s="13">
        <f>INDEX(MCDM_Grades!$G$6:$G$238,MATCH(B13,MCDM_Grades!$A$6:$A$238,0))</f>
        <v>0.75</v>
      </c>
      <c r="H13" s="5" t="str">
        <f>HYPERLINK("https://github.com/jefmenegazzo/Intelligent-Vehicle-Perception-Based-on-Inertial-Sensing-and-Artificial-Intelligence","Dataset")</f>
        <v>Dataset</v>
      </c>
      <c r="I13" s="5" t="str">
        <f>HYPERLINK("https://doi.org/10.1109/SBESC51047.2020.9277846","Evidence")</f>
        <v>Evidence</v>
      </c>
      <c r="J13" s="5" t="s">
        <v>70</v>
      </c>
      <c r="K13" s="5" t="s">
        <v>71</v>
      </c>
      <c r="L13" s="5" t="s">
        <v>72</v>
      </c>
      <c r="M13" s="5" t="s">
        <v>73</v>
      </c>
      <c r="N13" s="5" t="str">
        <f>INDEX(Manual_Review!$AH$6:$AH$238,MATCH(B13,Manual_Review!$A$6:$A$238,0))</f>
        <v>Not started</v>
      </c>
      <c r="O13" s="5" t="str">
        <f>HYPERLINK("#'Manual_Review'!A"&amp;(MATCH("DS-160",Manual_Review!$A$6:$A$238,0)+5),"Enter review")</f>
        <v>Enter review</v>
      </c>
      <c r="P13" s="5" t="str">
        <f>HYPERLINK("#'MCDM_Checks'!A"&amp;(MATCH("DS-160",MCDM_Checks!$B$6:$B$3733,0)+5),"Check evidence")</f>
        <v>Check evidence</v>
      </c>
    </row>
    <row r="14" spans="1:16" ht="25.5">
      <c r="A14" s="14">
        <v>9</v>
      </c>
      <c r="B14" s="14" t="s">
        <v>74</v>
      </c>
      <c r="C14" s="14" t="s">
        <v>75</v>
      </c>
      <c r="D14" s="14" t="s">
        <v>76</v>
      </c>
      <c r="E14" s="12">
        <f>INDEX(MCDM_Grades!$E$6:$E$238,MATCH(B14,MCDM_Grades!$A$6:$A$238,0))</f>
        <v>83.333333333333314</v>
      </c>
      <c r="F14" s="12">
        <f>INDEX(MCDM_Grades!$F$6:$F$238,MATCH(B14,MCDM_Grades!$A$6:$A$238,0))</f>
        <v>99.999999999999986</v>
      </c>
      <c r="G14" s="13">
        <f>INDEX(MCDM_Grades!$G$6:$G$238,MATCH(B14,MCDM_Grades!$A$6:$A$238,0))</f>
        <v>0.83333333333333326</v>
      </c>
      <c r="H14" s="5" t="str">
        <f>HYPERLINK("https://infopave.fhwa.dot.gov/Data/StandardDataRelease","Dataset")</f>
        <v>Dataset</v>
      </c>
      <c r="I14" s="5" t="str">
        <f>HYPERLINK("https://infopave.fhwa.dot.gov/InfoPave_Repository/files/FHWA-HRT-21-038.pdf","Evidence")</f>
        <v>Evidence</v>
      </c>
      <c r="J14" s="5" t="s">
        <v>77</v>
      </c>
      <c r="K14" s="5" t="s">
        <v>78</v>
      </c>
      <c r="L14" s="5" t="s">
        <v>79</v>
      </c>
      <c r="M14" s="5" t="s">
        <v>80</v>
      </c>
      <c r="N14" s="5" t="str">
        <f>INDEX(Manual_Review!$AH$6:$AH$238,MATCH(B14,Manual_Review!$A$6:$A$238,0))</f>
        <v>Not started</v>
      </c>
      <c r="O14" s="5" t="str">
        <f>HYPERLINK("#'Manual_Review'!A"&amp;(MATCH("DS-047",Manual_Review!$A$6:$A$238,0)+5),"Enter review")</f>
        <v>Enter review</v>
      </c>
      <c r="P14" s="5" t="str">
        <f>HYPERLINK("#'MCDM_Checks'!A"&amp;(MATCH("DS-047",MCDM_Checks!$B$6:$B$3733,0)+5),"Check evidence")</f>
        <v>Check evidence</v>
      </c>
    </row>
    <row r="15" spans="1:16" ht="25.5">
      <c r="A15" s="14">
        <v>10</v>
      </c>
      <c r="B15" s="14" t="s">
        <v>81</v>
      </c>
      <c r="C15" s="14" t="s">
        <v>82</v>
      </c>
      <c r="D15" s="14" t="s">
        <v>83</v>
      </c>
      <c r="E15" s="12">
        <f>INDEX(MCDM_Grades!$E$6:$E$238,MATCH(B15,MCDM_Grades!$A$6:$A$238,0))</f>
        <v>88.888888888888872</v>
      </c>
      <c r="F15" s="12">
        <f>INDEX(MCDM_Grades!$F$6:$F$238,MATCH(B15,MCDM_Grades!$A$6:$A$238,0))</f>
        <v>99.999999999999986</v>
      </c>
      <c r="G15" s="13">
        <f>INDEX(MCDM_Grades!$G$6:$G$238,MATCH(B15,MCDM_Grades!$A$6:$A$238,0))</f>
        <v>0.88888888888888884</v>
      </c>
      <c r="H15" s="5" t="str">
        <f>HYPERLINK("https://zod.zenseact.com/frames/","Dataset")</f>
        <v>Dataset</v>
      </c>
      <c r="I15" s="5" t="str">
        <f>HYPERLINK("https://arxiv.org/abs/2305.02008","Evidence")</f>
        <v>Evidence</v>
      </c>
      <c r="J15" s="5" t="s">
        <v>84</v>
      </c>
      <c r="K15" s="5" t="s">
        <v>85</v>
      </c>
      <c r="L15" s="5" t="s">
        <v>86</v>
      </c>
      <c r="M15" s="5" t="s">
        <v>87</v>
      </c>
      <c r="N15" s="5" t="str">
        <f>INDEX(Manual_Review!$AH$6:$AH$238,MATCH(B15,Manual_Review!$A$6:$A$238,0))</f>
        <v>Not started</v>
      </c>
      <c r="O15" s="5" t="str">
        <f>HYPERLINK("#'Manual_Review'!A"&amp;(MATCH("DS-183",Manual_Review!$A$6:$A$238,0)+5),"Enter review")</f>
        <v>Enter review</v>
      </c>
      <c r="P15" s="5" t="str">
        <f>HYPERLINK("#'MCDM_Checks'!A"&amp;(MATCH("DS-183",MCDM_Checks!$B$6:$B$3733,0)+5),"Check evidence")</f>
        <v>Check evidence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3A53"/>
  </sheetPr>
  <dimension ref="A1:AF23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3" customWidth="1"/>
    <col min="2" max="2" width="42" customWidth="1"/>
    <col min="3" max="3" width="12" customWidth="1"/>
    <col min="4" max="4" width="18" customWidth="1"/>
    <col min="5" max="6" width="15" customWidth="1"/>
    <col min="7" max="7" width="16" customWidth="1"/>
    <col min="8" max="8" width="18" customWidth="1"/>
    <col min="9" max="9" width="20" customWidth="1"/>
    <col min="10" max="10" width="50" customWidth="1"/>
    <col min="11" max="11" width="38" customWidth="1"/>
    <col min="12" max="12" width="25" customWidth="1"/>
    <col min="13" max="13" width="33" customWidth="1"/>
    <col min="14" max="14" width="65" customWidth="1"/>
    <col min="15" max="15" width="40" customWidth="1"/>
    <col min="16" max="16" width="50" customWidth="1"/>
    <col min="17" max="17" width="35" customWidth="1"/>
    <col min="18" max="20" width="40" customWidth="1"/>
    <col min="21" max="21" width="90" customWidth="1"/>
    <col min="22" max="22" width="30" customWidth="1"/>
    <col min="23" max="23" width="32" customWidth="1"/>
    <col min="24" max="24" width="85" customWidth="1"/>
    <col min="25" max="25" width="95" customWidth="1"/>
    <col min="26" max="26" width="33" customWidth="1"/>
    <col min="27" max="27" width="19" customWidth="1"/>
    <col min="28" max="28" width="20" customWidth="1"/>
    <col min="29" max="29" width="33" customWidth="1"/>
    <col min="30" max="31" width="55" customWidth="1"/>
    <col min="32" max="32" width="80" customWidth="1"/>
  </cols>
  <sheetData>
    <row r="1" spans="1:32"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24" customHeight="1">
      <c r="A2" s="2" t="s">
        <v>88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21" customHeight="1">
      <c r="A3" s="3" t="s">
        <v>89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2" ht="9.9499999999999993"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42.95" customHeight="1">
      <c r="A5" s="4" t="s">
        <v>3</v>
      </c>
      <c r="B5" s="4" t="s">
        <v>90</v>
      </c>
      <c r="C5" s="4" t="s">
        <v>91</v>
      </c>
      <c r="D5" s="4" t="s">
        <v>92</v>
      </c>
      <c r="E5" s="4" t="s">
        <v>6</v>
      </c>
      <c r="F5" s="4" t="s">
        <v>7</v>
      </c>
      <c r="G5" s="4" t="s">
        <v>8</v>
      </c>
      <c r="H5" s="4" t="s">
        <v>9</v>
      </c>
      <c r="I5" s="4" t="s">
        <v>93</v>
      </c>
      <c r="J5" s="4" t="s">
        <v>94</v>
      </c>
      <c r="K5" s="4" t="s">
        <v>95</v>
      </c>
      <c r="L5" s="4" t="s">
        <v>96</v>
      </c>
      <c r="M5" s="4" t="s">
        <v>97</v>
      </c>
      <c r="N5" s="4" t="s">
        <v>98</v>
      </c>
      <c r="O5" s="4" t="s">
        <v>99</v>
      </c>
      <c r="P5" s="4" t="s">
        <v>100</v>
      </c>
      <c r="Q5" s="4" t="s">
        <v>101</v>
      </c>
      <c r="R5" s="4" t="s">
        <v>102</v>
      </c>
      <c r="S5" s="4" t="s">
        <v>103</v>
      </c>
      <c r="T5" s="4" t="s">
        <v>104</v>
      </c>
      <c r="U5" s="4" t="s">
        <v>105</v>
      </c>
      <c r="V5" s="4" t="s">
        <v>106</v>
      </c>
      <c r="W5" s="4" t="s">
        <v>107</v>
      </c>
      <c r="X5" s="4" t="s">
        <v>108</v>
      </c>
      <c r="Y5" s="4" t="s">
        <v>109</v>
      </c>
      <c r="Z5" s="4" t="s">
        <v>110</v>
      </c>
      <c r="AA5" s="4" t="s">
        <v>111</v>
      </c>
      <c r="AB5" s="4" t="s">
        <v>17</v>
      </c>
      <c r="AC5" s="4" t="s">
        <v>112</v>
      </c>
      <c r="AD5" s="4" t="s">
        <v>113</v>
      </c>
      <c r="AE5" s="4" t="s">
        <v>114</v>
      </c>
      <c r="AF5" s="4" t="s">
        <v>115</v>
      </c>
    </row>
    <row r="6" spans="1:32" ht="25.5">
      <c r="A6" s="5" t="s">
        <v>116</v>
      </c>
      <c r="B6" s="5" t="s">
        <v>117</v>
      </c>
      <c r="C6" s="5"/>
      <c r="D6" s="5" t="s">
        <v>118</v>
      </c>
      <c r="E6" s="12">
        <f>INDEX(MCDM_Grades!$E$6:$E$238,MATCH(A6,MCDM_Grades!$A$6:$A$238,0))</f>
        <v>11.111111111111111</v>
      </c>
      <c r="F6" s="12">
        <f>INDEX(MCDM_Grades!$F$6:$F$238,MATCH(A6,MCDM_Grades!$A$6:$A$238,0))</f>
        <v>99.999999999999986</v>
      </c>
      <c r="G6" s="13">
        <f>INDEX(MCDM_Grades!$G$6:$G$238,MATCH(A6,MCDM_Grades!$A$6:$A$238,0))</f>
        <v>0.1111111111111111</v>
      </c>
      <c r="H6" s="5" t="str">
        <f>HYPERLINK("https://github.com/summoners29/Asphalt-Pavement-Crack-Data","Dataset")</f>
        <v>Dataset</v>
      </c>
      <c r="I6" s="5" t="str">
        <f>HYPERLINK("https://github.com/summoners29/Asphalt-Pavement-Crack-Data","Evidence / paper")</f>
        <v>Evidence / paper</v>
      </c>
      <c r="J6" s="5" t="s">
        <v>119</v>
      </c>
      <c r="K6" s="5" t="s">
        <v>120</v>
      </c>
      <c r="L6" s="5" t="s">
        <v>121</v>
      </c>
      <c r="M6" s="5" t="s">
        <v>121</v>
      </c>
      <c r="N6" s="5" t="s">
        <v>122</v>
      </c>
      <c r="O6" s="5" t="s">
        <v>123</v>
      </c>
      <c r="P6" s="5" t="s">
        <v>121</v>
      </c>
      <c r="Q6" s="5" t="s">
        <v>124</v>
      </c>
      <c r="R6" s="5" t="s">
        <v>121</v>
      </c>
      <c r="S6" s="5" t="s">
        <v>125</v>
      </c>
      <c r="T6" s="5"/>
      <c r="U6" s="5" t="s">
        <v>126</v>
      </c>
      <c r="V6" s="5" t="s">
        <v>116</v>
      </c>
      <c r="W6" s="5" t="s">
        <v>127</v>
      </c>
      <c r="X6" s="5"/>
      <c r="Y6" s="5"/>
      <c r="Z6" s="5" t="s">
        <v>128</v>
      </c>
      <c r="AA6" s="5" t="str">
        <f>HYPERLINK("#'Manual_Review'!A"&amp;(MATCH("DS-001",Manual_Review!$A$6:$A$238,0)+5),"Enter review")</f>
        <v>Enter review</v>
      </c>
      <c r="AB6" s="5" t="str">
        <f>HYPERLINK("#'MCDM_Checks'!A"&amp;(MATCH("DS-001",MCDM_Checks!$B$6:$B$3733,0)+5),"Check evidence")</f>
        <v>Check evidence</v>
      </c>
      <c r="AC6" s="5" t="s">
        <v>129</v>
      </c>
      <c r="AD6" s="5" t="s">
        <v>130</v>
      </c>
      <c r="AE6" s="5" t="s">
        <v>130</v>
      </c>
      <c r="AF6" s="5" t="s">
        <v>131</v>
      </c>
    </row>
    <row r="7" spans="1:32" ht="51">
      <c r="A7" s="5" t="s">
        <v>132</v>
      </c>
      <c r="B7" s="5" t="s">
        <v>133</v>
      </c>
      <c r="C7" s="5"/>
      <c r="D7" s="5" t="s">
        <v>118</v>
      </c>
      <c r="E7" s="12">
        <f>INDEX(MCDM_Grades!$E$6:$E$238,MATCH(A7,MCDM_Grades!$A$6:$A$238,0))</f>
        <v>11.111111111111111</v>
      </c>
      <c r="F7" s="12">
        <f>INDEX(MCDM_Grades!$F$6:$F$238,MATCH(A7,MCDM_Grades!$A$6:$A$238,0))</f>
        <v>99.999999999999986</v>
      </c>
      <c r="G7" s="13">
        <f>INDEX(MCDM_Grades!$G$6:$G$238,MATCH(A7,MCDM_Grades!$A$6:$A$238,0))</f>
        <v>0.1111111111111111</v>
      </c>
      <c r="H7" s="5" t="str">
        <f>HYPERLINK("https://github.com/Oct-Sunn/Asphalt-Pavement-Distress-Dataset","Dataset")</f>
        <v>Dataset</v>
      </c>
      <c r="I7" s="5" t="str">
        <f>HYPERLINK("https://github.com/Oct-Sunn/Asphalt-Pavement-Distress-Dataset","Evidence / paper")</f>
        <v>Evidence / paper</v>
      </c>
      <c r="J7" s="5" t="s">
        <v>119</v>
      </c>
      <c r="K7" s="5" t="s">
        <v>134</v>
      </c>
      <c r="L7" s="5" t="s">
        <v>121</v>
      </c>
      <c r="M7" s="5" t="s">
        <v>121</v>
      </c>
      <c r="N7" s="5" t="s">
        <v>135</v>
      </c>
      <c r="O7" s="5" t="s">
        <v>136</v>
      </c>
      <c r="P7" s="5" t="s">
        <v>121</v>
      </c>
      <c r="Q7" s="5" t="s">
        <v>137</v>
      </c>
      <c r="R7" s="5" t="s">
        <v>121</v>
      </c>
      <c r="S7" s="5" t="s">
        <v>138</v>
      </c>
      <c r="T7" s="5"/>
      <c r="U7" s="5" t="s">
        <v>139</v>
      </c>
      <c r="V7" s="5" t="s">
        <v>132</v>
      </c>
      <c r="W7" s="5" t="s">
        <v>127</v>
      </c>
      <c r="X7" s="5"/>
      <c r="Y7" s="5"/>
      <c r="Z7" s="5" t="s">
        <v>128</v>
      </c>
      <c r="AA7" s="5" t="str">
        <f>HYPERLINK("#'Manual_Review'!A"&amp;(MATCH("DS-002",Manual_Review!$A$6:$A$238,0)+5),"Enter review")</f>
        <v>Enter review</v>
      </c>
      <c r="AB7" s="5" t="str">
        <f>HYPERLINK("#'MCDM_Checks'!A"&amp;(MATCH("DS-002",MCDM_Checks!$B$6:$B$3733,0)+5),"Check evidence")</f>
        <v>Check evidence</v>
      </c>
      <c r="AC7" s="5" t="s">
        <v>129</v>
      </c>
      <c r="AD7" s="5" t="s">
        <v>140</v>
      </c>
      <c r="AE7" s="5" t="s">
        <v>140</v>
      </c>
      <c r="AF7" s="5" t="s">
        <v>141</v>
      </c>
    </row>
    <row r="8" spans="1:32" ht="25.5">
      <c r="A8" s="5" t="s">
        <v>142</v>
      </c>
      <c r="B8" s="5" t="s">
        <v>143</v>
      </c>
      <c r="C8" s="5"/>
      <c r="D8" s="5" t="s">
        <v>118</v>
      </c>
      <c r="E8" s="12">
        <f>INDEX(MCDM_Grades!$E$6:$E$238,MATCH(A8,MCDM_Grades!$A$6:$A$238,0))</f>
        <v>11.111111111111111</v>
      </c>
      <c r="F8" s="12">
        <f>INDEX(MCDM_Grades!$F$6:$F$238,MATCH(A8,MCDM_Grades!$A$6:$A$238,0))</f>
        <v>99.999999999999986</v>
      </c>
      <c r="G8" s="13">
        <f>INDEX(MCDM_Grades!$G$6:$G$238,MATCH(A8,MCDM_Grades!$A$6:$A$238,0))</f>
        <v>0.1111111111111111</v>
      </c>
      <c r="H8" s="5" t="str">
        <f>HYPERLINK("https://github.com/DrEdwardLee/Pavement-Crack-Dataset","Dataset")</f>
        <v>Dataset</v>
      </c>
      <c r="I8" s="5" t="str">
        <f>HYPERLINK("https://github.com/DrEdwardLee/Pavement-Crack-Dataset","Evidence / paper")</f>
        <v>Evidence / paper</v>
      </c>
      <c r="J8" s="5" t="s">
        <v>144</v>
      </c>
      <c r="K8" s="5" t="s">
        <v>145</v>
      </c>
      <c r="L8" s="5" t="s">
        <v>121</v>
      </c>
      <c r="M8" s="5" t="s">
        <v>121</v>
      </c>
      <c r="N8" s="5" t="s">
        <v>146</v>
      </c>
      <c r="O8" s="5" t="s">
        <v>121</v>
      </c>
      <c r="P8" s="5" t="s">
        <v>121</v>
      </c>
      <c r="Q8" s="5" t="s">
        <v>124</v>
      </c>
      <c r="R8" s="5" t="s">
        <v>121</v>
      </c>
      <c r="S8" s="5" t="s">
        <v>147</v>
      </c>
      <c r="T8" s="5"/>
      <c r="U8" s="5" t="s">
        <v>148</v>
      </c>
      <c r="V8" s="5" t="s">
        <v>142</v>
      </c>
      <c r="W8" s="5" t="s">
        <v>127</v>
      </c>
      <c r="X8" s="5" t="s">
        <v>149</v>
      </c>
      <c r="Y8" s="5"/>
      <c r="Z8" s="5" t="s">
        <v>128</v>
      </c>
      <c r="AA8" s="5" t="str">
        <f>HYPERLINK("#'Manual_Review'!A"&amp;(MATCH("DS-003",Manual_Review!$A$6:$A$238,0)+5),"Enter review")</f>
        <v>Enter review</v>
      </c>
      <c r="AB8" s="5" t="str">
        <f>HYPERLINK("#'MCDM_Checks'!A"&amp;(MATCH("DS-003",MCDM_Checks!$B$6:$B$3733,0)+5),"Check evidence")</f>
        <v>Check evidence</v>
      </c>
      <c r="AC8" s="5" t="s">
        <v>129</v>
      </c>
      <c r="AD8" s="5" t="s">
        <v>150</v>
      </c>
      <c r="AE8" s="5" t="s">
        <v>150</v>
      </c>
      <c r="AF8" s="5" t="s">
        <v>151</v>
      </c>
    </row>
    <row r="9" spans="1:32" ht="25.5">
      <c r="A9" s="5" t="s">
        <v>152</v>
      </c>
      <c r="B9" s="5" t="s">
        <v>153</v>
      </c>
      <c r="C9" s="5"/>
      <c r="D9" s="5" t="s">
        <v>118</v>
      </c>
      <c r="E9" s="12">
        <f>INDEX(MCDM_Grades!$E$6:$E$238,MATCH(A9,MCDM_Grades!$A$6:$A$238,0))</f>
        <v>36.111111111111107</v>
      </c>
      <c r="F9" s="12">
        <f>INDEX(MCDM_Grades!$F$6:$F$238,MATCH(A9,MCDM_Grades!$A$6:$A$238,0))</f>
        <v>99.999999999999986</v>
      </c>
      <c r="G9" s="13">
        <f>INDEX(MCDM_Grades!$G$6:$G$238,MATCH(A9,MCDM_Grades!$A$6:$A$238,0))</f>
        <v>0.36111111111111105</v>
      </c>
      <c r="H9" s="5" t="str">
        <f>HYPERLINK("https://github.com/SEU-zhc/complexPavementCrackDataset","Dataset")</f>
        <v>Dataset</v>
      </c>
      <c r="I9" s="5" t="str">
        <f>HYPERLINK("https://github.com/SEU-zhc/complexPavementCrackDataset","Evidence / paper")</f>
        <v>Evidence / paper</v>
      </c>
      <c r="J9" s="5" t="s">
        <v>119</v>
      </c>
      <c r="K9" s="5" t="s">
        <v>154</v>
      </c>
      <c r="L9" s="5" t="s">
        <v>155</v>
      </c>
      <c r="M9" s="5" t="s">
        <v>156</v>
      </c>
      <c r="N9" s="5" t="s">
        <v>157</v>
      </c>
      <c r="O9" s="5" t="s">
        <v>158</v>
      </c>
      <c r="P9" s="5" t="s">
        <v>121</v>
      </c>
      <c r="Q9" s="5" t="s">
        <v>159</v>
      </c>
      <c r="R9" s="5" t="s">
        <v>160</v>
      </c>
      <c r="S9" s="5" t="s">
        <v>161</v>
      </c>
      <c r="T9" s="5"/>
      <c r="U9" s="5" t="s">
        <v>162</v>
      </c>
      <c r="V9" s="5" t="s">
        <v>152</v>
      </c>
      <c r="W9" s="5" t="s">
        <v>127</v>
      </c>
      <c r="X9" s="5"/>
      <c r="Y9" s="5"/>
      <c r="Z9" s="5" t="s">
        <v>128</v>
      </c>
      <c r="AA9" s="5" t="str">
        <f>HYPERLINK("#'Manual_Review'!A"&amp;(MATCH("DS-004",Manual_Review!$A$6:$A$238,0)+5),"Enter review")</f>
        <v>Enter review</v>
      </c>
      <c r="AB9" s="5" t="str">
        <f>HYPERLINK("#'MCDM_Checks'!A"&amp;(MATCH("DS-004",MCDM_Checks!$B$6:$B$3733,0)+5),"Check evidence")</f>
        <v>Check evidence</v>
      </c>
      <c r="AC9" s="5" t="s">
        <v>129</v>
      </c>
      <c r="AD9" s="5" t="s">
        <v>163</v>
      </c>
      <c r="AE9" s="5" t="s">
        <v>163</v>
      </c>
      <c r="AF9" s="5" t="s">
        <v>164</v>
      </c>
    </row>
    <row r="10" spans="1:32" ht="25.5">
      <c r="A10" s="5" t="s">
        <v>165</v>
      </c>
      <c r="B10" s="5" t="s">
        <v>166</v>
      </c>
      <c r="C10" s="5"/>
      <c r="D10" s="5" t="s">
        <v>118</v>
      </c>
      <c r="E10" s="12">
        <f>INDEX(MCDM_Grades!$E$6:$E$238,MATCH(A10,MCDM_Grades!$A$6:$A$238,0))</f>
        <v>61.111111111111107</v>
      </c>
      <c r="F10" s="12">
        <f>INDEX(MCDM_Grades!$F$6:$F$238,MATCH(A10,MCDM_Grades!$A$6:$A$238,0))</f>
        <v>99.999999999999986</v>
      </c>
      <c r="G10" s="13">
        <f>INDEX(MCDM_Grades!$G$6:$G$238,MATCH(A10,MCDM_Grades!$A$6:$A$238,0))</f>
        <v>0.61111111111111116</v>
      </c>
      <c r="H10" s="5" t="str">
        <f>HYPERLINK("https://huggingface.co/datasets/Dearcat/CQU-BPDD","Dataset")</f>
        <v>Dataset</v>
      </c>
      <c r="I10" s="5" t="str">
        <f>HYPERLINK("https://github.com/DearCaat/Pavement-Distress-Classification","Evidence / paper")</f>
        <v>Evidence / paper</v>
      </c>
      <c r="J10" s="5" t="s">
        <v>167</v>
      </c>
      <c r="K10" s="5" t="s">
        <v>168</v>
      </c>
      <c r="L10" s="5" t="s">
        <v>169</v>
      </c>
      <c r="M10" s="5" t="s">
        <v>170</v>
      </c>
      <c r="N10" s="5" t="s">
        <v>171</v>
      </c>
      <c r="O10" s="5" t="s">
        <v>172</v>
      </c>
      <c r="P10" s="5" t="s">
        <v>173</v>
      </c>
      <c r="Q10" s="5" t="s">
        <v>174</v>
      </c>
      <c r="R10" s="5" t="s">
        <v>175</v>
      </c>
      <c r="S10" s="5" t="s">
        <v>176</v>
      </c>
      <c r="T10" s="5" t="s">
        <v>177</v>
      </c>
      <c r="U10" s="5" t="s">
        <v>178</v>
      </c>
      <c r="V10" s="5" t="s">
        <v>179</v>
      </c>
      <c r="W10" s="5" t="s">
        <v>180</v>
      </c>
      <c r="X10" s="5"/>
      <c r="Y10" s="5" t="s">
        <v>181</v>
      </c>
      <c r="Z10" s="5" t="s">
        <v>182</v>
      </c>
      <c r="AA10" s="5" t="str">
        <f>HYPERLINK("#'Manual_Review'!A"&amp;(MATCH("DS-005",Manual_Review!$A$6:$A$238,0)+5),"Enter review")</f>
        <v>Enter review</v>
      </c>
      <c r="AB10" s="5" t="str">
        <f>HYPERLINK("#'MCDM_Checks'!A"&amp;(MATCH("DS-005",MCDM_Checks!$B$6:$B$3733,0)+5),"Check evidence")</f>
        <v>Check evidence</v>
      </c>
      <c r="AC10" s="5" t="s">
        <v>183</v>
      </c>
      <c r="AD10" s="5" t="s">
        <v>184</v>
      </c>
      <c r="AE10" s="5" t="s">
        <v>185</v>
      </c>
      <c r="AF10" s="5" t="s">
        <v>186</v>
      </c>
    </row>
    <row r="11" spans="1:32" ht="25.5">
      <c r="A11" s="5" t="s">
        <v>187</v>
      </c>
      <c r="B11" s="5" t="s">
        <v>188</v>
      </c>
      <c r="C11" s="5"/>
      <c r="D11" s="5" t="s">
        <v>118</v>
      </c>
      <c r="E11" s="12">
        <f>INDEX(MCDM_Grades!$E$6:$E$238,MATCH(A11,MCDM_Grades!$A$6:$A$238,0))</f>
        <v>50</v>
      </c>
      <c r="F11" s="12">
        <f>INDEX(MCDM_Grades!$F$6:$F$238,MATCH(A11,MCDM_Grades!$A$6:$A$238,0))</f>
        <v>99.999999999999986</v>
      </c>
      <c r="G11" s="13">
        <f>INDEX(MCDM_Grades!$G$6:$G$238,MATCH(A11,MCDM_Grades!$A$6:$A$238,0))</f>
        <v>0.5</v>
      </c>
      <c r="H11" s="5" t="str">
        <f>HYPERLINK("https://github.com/0110TJY/Crack-Classification-Dataset","Dataset")</f>
        <v>Dataset</v>
      </c>
      <c r="I11" s="5" t="str">
        <f>HYPERLINK("https://github.com/0110TJY/Crack-Classification-Dataset","Evidence / paper")</f>
        <v>Evidence / paper</v>
      </c>
      <c r="J11" s="5" t="s">
        <v>119</v>
      </c>
      <c r="K11" s="5" t="s">
        <v>120</v>
      </c>
      <c r="L11" s="5" t="s">
        <v>155</v>
      </c>
      <c r="M11" s="5" t="s">
        <v>189</v>
      </c>
      <c r="N11" s="5" t="s">
        <v>190</v>
      </c>
      <c r="O11" s="5" t="s">
        <v>191</v>
      </c>
      <c r="P11" s="5" t="s">
        <v>121</v>
      </c>
      <c r="Q11" s="5" t="s">
        <v>124</v>
      </c>
      <c r="R11" s="5" t="s">
        <v>192</v>
      </c>
      <c r="S11" s="5" t="s">
        <v>147</v>
      </c>
      <c r="T11" s="5"/>
      <c r="U11" s="5" t="s">
        <v>193</v>
      </c>
      <c r="V11" s="5" t="s">
        <v>187</v>
      </c>
      <c r="W11" s="5" t="s">
        <v>127</v>
      </c>
      <c r="X11" s="5"/>
      <c r="Y11" s="5"/>
      <c r="Z11" s="5" t="s">
        <v>128</v>
      </c>
      <c r="AA11" s="5" t="str">
        <f>HYPERLINK("#'Manual_Review'!A"&amp;(MATCH("DS-006",Manual_Review!$A$6:$A$238,0)+5),"Enter review")</f>
        <v>Enter review</v>
      </c>
      <c r="AB11" s="5" t="str">
        <f>HYPERLINK("#'MCDM_Checks'!A"&amp;(MATCH("DS-006",MCDM_Checks!$B$6:$B$3733,0)+5),"Check evidence")</f>
        <v>Check evidence</v>
      </c>
      <c r="AC11" s="5" t="s">
        <v>129</v>
      </c>
      <c r="AD11" s="5" t="s">
        <v>194</v>
      </c>
      <c r="AE11" s="5" t="s">
        <v>194</v>
      </c>
      <c r="AF11" s="5" t="s">
        <v>195</v>
      </c>
    </row>
    <row r="12" spans="1:32" ht="114.75">
      <c r="A12" s="5" t="s">
        <v>25</v>
      </c>
      <c r="B12" s="5" t="s">
        <v>196</v>
      </c>
      <c r="C12" s="5">
        <v>2</v>
      </c>
      <c r="D12" s="5" t="s">
        <v>118</v>
      </c>
      <c r="E12" s="12">
        <f>INDEX(MCDM_Grades!$E$6:$E$238,MATCH(A12,MCDM_Grades!$A$6:$A$238,0))</f>
        <v>77.777777777777771</v>
      </c>
      <c r="F12" s="12">
        <f>INDEX(MCDM_Grades!$F$6:$F$238,MATCH(A12,MCDM_Grades!$A$6:$A$238,0))</f>
        <v>99.999999999999986</v>
      </c>
      <c r="G12" s="13">
        <f>INDEX(MCDM_Grades!$G$6:$G$238,MATCH(A12,MCDM_Grades!$A$6:$A$238,0))</f>
        <v>0.77777777777777768</v>
      </c>
      <c r="H12" s="5" t="str">
        <f>HYPERLINK("https://github.com/fyangneil/pavement-crack-detection","Dataset")</f>
        <v>Dataset</v>
      </c>
      <c r="I12" s="5" t="str">
        <f>HYPERLINK("https://arxiv.org/abs/1901.06340","Evidence / paper")</f>
        <v>Evidence / paper</v>
      </c>
      <c r="J12" s="5" t="s">
        <v>30</v>
      </c>
      <c r="K12" s="5" t="s">
        <v>197</v>
      </c>
      <c r="L12" s="5" t="s">
        <v>155</v>
      </c>
      <c r="M12" s="5" t="s">
        <v>198</v>
      </c>
      <c r="N12" s="5" t="s">
        <v>199</v>
      </c>
      <c r="O12" s="5" t="s">
        <v>200</v>
      </c>
      <c r="P12" s="5" t="s">
        <v>121</v>
      </c>
      <c r="Q12" s="5" t="s">
        <v>201</v>
      </c>
      <c r="R12" s="5" t="s">
        <v>202</v>
      </c>
      <c r="S12" s="5" t="s">
        <v>203</v>
      </c>
      <c r="T12" s="5"/>
      <c r="U12" s="5" t="s">
        <v>204</v>
      </c>
      <c r="V12" s="5" t="s">
        <v>25</v>
      </c>
      <c r="W12" s="5" t="s">
        <v>127</v>
      </c>
      <c r="X12" s="5" t="s">
        <v>205</v>
      </c>
      <c r="Y12" s="5" t="s">
        <v>31</v>
      </c>
      <c r="Z12" s="5" t="s">
        <v>206</v>
      </c>
      <c r="AA12" s="5" t="str">
        <f>HYPERLINK("#'Manual_Review'!A"&amp;(MATCH("DS-007",Manual_Review!$A$6:$A$238,0)+5),"Enter review")</f>
        <v>Enter review</v>
      </c>
      <c r="AB12" s="5" t="str">
        <f>HYPERLINK("#'MCDM_Checks'!A"&amp;(MATCH("DS-007",MCDM_Checks!$B$6:$B$3733,0)+5),"Check evidence")</f>
        <v>Check evidence</v>
      </c>
      <c r="AC12" s="5" t="s">
        <v>207</v>
      </c>
      <c r="AD12" s="5" t="s">
        <v>208</v>
      </c>
      <c r="AE12" s="5" t="s">
        <v>209</v>
      </c>
      <c r="AF12" s="5" t="s">
        <v>210</v>
      </c>
    </row>
    <row r="13" spans="1:32">
      <c r="A13" s="5" t="s">
        <v>211</v>
      </c>
      <c r="B13" s="5" t="s">
        <v>212</v>
      </c>
      <c r="C13" s="5"/>
      <c r="D13" s="5" t="s">
        <v>118</v>
      </c>
      <c r="E13" s="12">
        <f>INDEX(MCDM_Grades!$E$6:$E$238,MATCH(A13,MCDM_Grades!$A$6:$A$238,0))</f>
        <v>69.444444444444443</v>
      </c>
      <c r="F13" s="12">
        <f>INDEX(MCDM_Grades!$F$6:$F$238,MATCH(A13,MCDM_Grades!$A$6:$A$238,0))</f>
        <v>99.999999999999986</v>
      </c>
      <c r="G13" s="13">
        <f>INDEX(MCDM_Grades!$G$6:$G$238,MATCH(A13,MCDM_Grades!$A$6:$A$238,0))</f>
        <v>0.69444444444444442</v>
      </c>
      <c r="H13" s="5" t="str">
        <f>HYPERLINK("https://github.com/cuilimeng/CrackForest-dataset","Dataset")</f>
        <v>Dataset</v>
      </c>
      <c r="I13" s="5" t="str">
        <f>HYPERLINK("https://github.com/cuilimeng/CrackForest-dataset","Evidence / paper")</f>
        <v>Evidence / paper</v>
      </c>
      <c r="J13" s="5" t="s">
        <v>121</v>
      </c>
      <c r="K13" s="5" t="s">
        <v>213</v>
      </c>
      <c r="L13" s="5" t="s">
        <v>155</v>
      </c>
      <c r="M13" s="5" t="s">
        <v>214</v>
      </c>
      <c r="N13" s="5" t="s">
        <v>215</v>
      </c>
      <c r="O13" s="5" t="s">
        <v>216</v>
      </c>
      <c r="P13" s="5" t="s">
        <v>121</v>
      </c>
      <c r="Q13" s="5" t="s">
        <v>124</v>
      </c>
      <c r="R13" s="5" t="s">
        <v>217</v>
      </c>
      <c r="S13" s="5" t="s">
        <v>218</v>
      </c>
      <c r="T13" s="5"/>
      <c r="U13" s="5" t="s">
        <v>219</v>
      </c>
      <c r="V13" s="5" t="s">
        <v>211</v>
      </c>
      <c r="W13" s="5" t="s">
        <v>127</v>
      </c>
      <c r="X13" s="5" t="s">
        <v>220</v>
      </c>
      <c r="Y13" s="5"/>
      <c r="Z13" s="5" t="s">
        <v>128</v>
      </c>
      <c r="AA13" s="5" t="str">
        <f>HYPERLINK("#'Manual_Review'!A"&amp;(MATCH("DS-008",Manual_Review!$A$6:$A$238,0)+5),"Enter review")</f>
        <v>Enter review</v>
      </c>
      <c r="AB13" s="5" t="str">
        <f>HYPERLINK("#'MCDM_Checks'!A"&amp;(MATCH("DS-008",MCDM_Checks!$B$6:$B$3733,0)+5),"Check evidence")</f>
        <v>Check evidence</v>
      </c>
      <c r="AC13" s="5" t="s">
        <v>129</v>
      </c>
      <c r="AD13" s="5" t="s">
        <v>221</v>
      </c>
      <c r="AE13" s="5" t="s">
        <v>221</v>
      </c>
      <c r="AF13" s="5" t="s">
        <v>222</v>
      </c>
    </row>
    <row r="14" spans="1:32" ht="25.5">
      <c r="A14" s="5" t="s">
        <v>223</v>
      </c>
      <c r="B14" s="5" t="s">
        <v>224</v>
      </c>
      <c r="C14" s="5"/>
      <c r="D14" s="5" t="s">
        <v>118</v>
      </c>
      <c r="E14" s="12">
        <f>INDEX(MCDM_Grades!$E$6:$E$238,MATCH(A14,MCDM_Grades!$A$6:$A$238,0))</f>
        <v>41.666666666666657</v>
      </c>
      <c r="F14" s="12">
        <f>INDEX(MCDM_Grades!$F$6:$F$238,MATCH(A14,MCDM_Grades!$A$6:$A$238,0))</f>
        <v>99.999999999999986</v>
      </c>
      <c r="G14" s="13">
        <f>INDEX(MCDM_Grades!$G$6:$G$238,MATCH(A14,MCDM_Grades!$A$6:$A$238,0))</f>
        <v>0.41666666666666663</v>
      </c>
      <c r="H14" s="5" t="str">
        <f>HYPERLINK("https://github.com/qinnzou/DeepCrack","Dataset")</f>
        <v>Dataset</v>
      </c>
      <c r="I14" s="5" t="str">
        <f>HYPERLINK("https://github.com/qinnzou/DeepCrack","Evidence / paper")</f>
        <v>Evidence / paper</v>
      </c>
      <c r="J14" s="5" t="s">
        <v>224</v>
      </c>
      <c r="K14" s="5" t="s">
        <v>213</v>
      </c>
      <c r="L14" s="5" t="s">
        <v>155</v>
      </c>
      <c r="M14" s="5" t="s">
        <v>225</v>
      </c>
      <c r="N14" s="5" t="s">
        <v>226</v>
      </c>
      <c r="O14" s="5" t="s">
        <v>227</v>
      </c>
      <c r="P14" s="5" t="s">
        <v>121</v>
      </c>
      <c r="Q14" s="5" t="s">
        <v>124</v>
      </c>
      <c r="R14" s="5" t="s">
        <v>228</v>
      </c>
      <c r="S14" s="5" t="s">
        <v>229</v>
      </c>
      <c r="T14" s="5"/>
      <c r="U14" s="5" t="s">
        <v>230</v>
      </c>
      <c r="V14" s="5" t="s">
        <v>223</v>
      </c>
      <c r="W14" s="5" t="s">
        <v>127</v>
      </c>
      <c r="X14" s="5" t="s">
        <v>231</v>
      </c>
      <c r="Y14" s="5"/>
      <c r="Z14" s="5" t="s">
        <v>128</v>
      </c>
      <c r="AA14" s="5" t="str">
        <f>HYPERLINK("#'Manual_Review'!A"&amp;(MATCH("DS-009",Manual_Review!$A$6:$A$238,0)+5),"Enter review")</f>
        <v>Enter review</v>
      </c>
      <c r="AB14" s="5" t="str">
        <f>HYPERLINK("#'MCDM_Checks'!A"&amp;(MATCH("DS-009",MCDM_Checks!$B$6:$B$3733,0)+5),"Check evidence")</f>
        <v>Check evidence</v>
      </c>
      <c r="AC14" s="5" t="s">
        <v>129</v>
      </c>
      <c r="AD14" s="5" t="s">
        <v>232</v>
      </c>
      <c r="AE14" s="5" t="s">
        <v>232</v>
      </c>
      <c r="AF14" s="5" t="s">
        <v>233</v>
      </c>
    </row>
    <row r="15" spans="1:32" ht="38.25">
      <c r="A15" s="5" t="s">
        <v>234</v>
      </c>
      <c r="B15" s="5" t="s">
        <v>235</v>
      </c>
      <c r="C15" s="5"/>
      <c r="D15" s="5" t="s">
        <v>118</v>
      </c>
      <c r="E15" s="12">
        <f>INDEX(MCDM_Grades!$E$6:$E$238,MATCH(A15,MCDM_Grades!$A$6:$A$238,0))</f>
        <v>58.333333333333321</v>
      </c>
      <c r="F15" s="12">
        <f>INDEX(MCDM_Grades!$F$6:$F$238,MATCH(A15,MCDM_Grades!$A$6:$A$238,0))</f>
        <v>99.999999999999986</v>
      </c>
      <c r="G15" s="13">
        <f>INDEX(MCDM_Grades!$G$6:$G$238,MATCH(A15,MCDM_Grades!$A$6:$A$238,0))</f>
        <v>0.58333333333333337</v>
      </c>
      <c r="H15" s="5" t="str">
        <f>HYPERLINK("https://data.mendeley.com/datasets/t576ydh9v8/4","Dataset")</f>
        <v>Dataset</v>
      </c>
      <c r="I15" s="5" t="str">
        <f>HYPERLINK("https://data.mendeley.com/datasets/t576ydh9v8/4","Evidence / paper")</f>
        <v>Evidence / paper</v>
      </c>
      <c r="J15" s="5" t="s">
        <v>236</v>
      </c>
      <c r="K15" s="5" t="s">
        <v>237</v>
      </c>
      <c r="L15" s="5" t="s">
        <v>155</v>
      </c>
      <c r="M15" s="5" t="s">
        <v>238</v>
      </c>
      <c r="N15" s="5" t="s">
        <v>239</v>
      </c>
      <c r="O15" s="5" t="s">
        <v>240</v>
      </c>
      <c r="P15" s="5" t="s">
        <v>241</v>
      </c>
      <c r="Q15" s="5" t="s">
        <v>124</v>
      </c>
      <c r="R15" s="5" t="s">
        <v>242</v>
      </c>
      <c r="S15" s="5" t="s">
        <v>243</v>
      </c>
      <c r="T15" s="5"/>
      <c r="U15" s="5" t="s">
        <v>244</v>
      </c>
      <c r="V15" s="5" t="s">
        <v>234</v>
      </c>
      <c r="W15" s="5" t="s">
        <v>127</v>
      </c>
      <c r="X15" s="5"/>
      <c r="Y15" s="5"/>
      <c r="Z15" s="5" t="s">
        <v>128</v>
      </c>
      <c r="AA15" s="5" t="str">
        <f>HYPERLINK("#'Manual_Review'!A"&amp;(MATCH("DS-010",Manual_Review!$A$6:$A$238,0)+5),"Enter review")</f>
        <v>Enter review</v>
      </c>
      <c r="AB15" s="5" t="str">
        <f>HYPERLINK("#'MCDM_Checks'!A"&amp;(MATCH("DS-010",MCDM_Checks!$B$6:$B$3733,0)+5),"Check evidence")</f>
        <v>Check evidence</v>
      </c>
      <c r="AC15" s="5" t="s">
        <v>245</v>
      </c>
      <c r="AD15" s="5" t="s">
        <v>246</v>
      </c>
      <c r="AE15" s="5" t="s">
        <v>246</v>
      </c>
      <c r="AF15" s="5" t="s">
        <v>247</v>
      </c>
    </row>
    <row r="16" spans="1:32" ht="25.5">
      <c r="A16" s="5" t="s">
        <v>46</v>
      </c>
      <c r="B16" s="5" t="s">
        <v>47</v>
      </c>
      <c r="C16" s="5">
        <v>5</v>
      </c>
      <c r="D16" s="5" t="s">
        <v>118</v>
      </c>
      <c r="E16" s="12">
        <f>INDEX(MCDM_Grades!$E$6:$E$238,MATCH(A16,MCDM_Grades!$A$6:$A$238,0))</f>
        <v>58.333333333333321</v>
      </c>
      <c r="F16" s="12">
        <f>INDEX(MCDM_Grades!$F$6:$F$238,MATCH(A16,MCDM_Grades!$A$6:$A$238,0))</f>
        <v>99.999999999999986</v>
      </c>
      <c r="G16" s="13">
        <f>INDEX(MCDM_Grades!$G$6:$G$238,MATCH(A16,MCDM_Grades!$A$6:$A$238,0))</f>
        <v>0.58333333333333337</v>
      </c>
      <c r="H16" s="5" t="str">
        <f>HYPERLINK("https://dataverse.harvard.edu/dataset.xhtml?persistentId=doi:10.7910/DVN/EGIEBY&amp;version=4.0","Dataset")</f>
        <v>Dataset</v>
      </c>
      <c r="I16" s="5" t="str">
        <f>HYPERLINK("https://arxiv.org/abs/2208.13054","Evidence / paper")</f>
        <v>Evidence / paper</v>
      </c>
      <c r="J16" s="5" t="s">
        <v>51</v>
      </c>
      <c r="K16" s="5" t="s">
        <v>248</v>
      </c>
      <c r="L16" s="5" t="s">
        <v>121</v>
      </c>
      <c r="M16" s="5" t="s">
        <v>249</v>
      </c>
      <c r="N16" s="5" t="s">
        <v>226</v>
      </c>
      <c r="O16" s="5" t="s">
        <v>227</v>
      </c>
      <c r="P16" s="5" t="s">
        <v>121</v>
      </c>
      <c r="Q16" s="5" t="s">
        <v>124</v>
      </c>
      <c r="R16" s="5" t="s">
        <v>121</v>
      </c>
      <c r="S16" s="5" t="s">
        <v>250</v>
      </c>
      <c r="T16" s="5"/>
      <c r="U16" s="5" t="s">
        <v>251</v>
      </c>
      <c r="V16" s="5" t="s">
        <v>46</v>
      </c>
      <c r="W16" s="5" t="s">
        <v>127</v>
      </c>
      <c r="X16" s="5" t="s">
        <v>220</v>
      </c>
      <c r="Y16" s="5" t="s">
        <v>52</v>
      </c>
      <c r="Z16" s="5" t="s">
        <v>206</v>
      </c>
      <c r="AA16" s="5" t="str">
        <f>HYPERLINK("#'Manual_Review'!A"&amp;(MATCH("DS-011",Manual_Review!$A$6:$A$238,0)+5),"Enter review")</f>
        <v>Enter review</v>
      </c>
      <c r="AB16" s="5" t="str">
        <f>HYPERLINK("#'MCDM_Checks'!A"&amp;(MATCH("DS-011",MCDM_Checks!$B$6:$B$3733,0)+5),"Check evidence")</f>
        <v>Check evidence</v>
      </c>
      <c r="AC16" s="5" t="s">
        <v>252</v>
      </c>
      <c r="AD16" s="5" t="s">
        <v>253</v>
      </c>
      <c r="AE16" s="5" t="s">
        <v>254</v>
      </c>
      <c r="AF16" s="5" t="s">
        <v>255</v>
      </c>
    </row>
    <row r="17" spans="1:32" ht="25.5">
      <c r="A17" s="5" t="s">
        <v>256</v>
      </c>
      <c r="B17" s="5" t="s">
        <v>257</v>
      </c>
      <c r="C17" s="5"/>
      <c r="D17" s="5" t="s">
        <v>118</v>
      </c>
      <c r="E17" s="12">
        <f>INDEX(MCDM_Grades!$E$6:$E$238,MATCH(A17,MCDM_Grades!$A$6:$A$238,0))</f>
        <v>44.444444444444436</v>
      </c>
      <c r="F17" s="12">
        <f>INDEX(MCDM_Grades!$F$6:$F$238,MATCH(A17,MCDM_Grades!$A$6:$A$238,0))</f>
        <v>99.999999999999986</v>
      </c>
      <c r="G17" s="13">
        <f>INDEX(MCDM_Grades!$G$6:$G$238,MATCH(A17,MCDM_Grades!$A$6:$A$238,0))</f>
        <v>0.44444444444444442</v>
      </c>
      <c r="H17" s="5" t="str">
        <f>HYPERLINK("https://github.com/JZhongUTK/Pavement-crack-dataset","Dataset")</f>
        <v>Dataset</v>
      </c>
      <c r="I17" s="5" t="str">
        <f>HYPERLINK("https://github.com/JZhongUTK/Pavement-crack-dataset","Evidence / paper")</f>
        <v>Evidence / paper</v>
      </c>
      <c r="J17" s="5" t="s">
        <v>119</v>
      </c>
      <c r="K17" s="5" t="s">
        <v>258</v>
      </c>
      <c r="L17" s="5" t="s">
        <v>155</v>
      </c>
      <c r="M17" s="5" t="s">
        <v>259</v>
      </c>
      <c r="N17" s="5" t="s">
        <v>260</v>
      </c>
      <c r="O17" s="5" t="s">
        <v>261</v>
      </c>
      <c r="P17" s="5" t="s">
        <v>262</v>
      </c>
      <c r="Q17" s="5" t="s">
        <v>124</v>
      </c>
      <c r="R17" s="5" t="s">
        <v>263</v>
      </c>
      <c r="S17" s="5" t="s">
        <v>264</v>
      </c>
      <c r="T17" s="5"/>
      <c r="U17" s="5" t="s">
        <v>265</v>
      </c>
      <c r="V17" s="5" t="s">
        <v>256</v>
      </c>
      <c r="W17" s="5" t="s">
        <v>127</v>
      </c>
      <c r="X17" s="5"/>
      <c r="Y17" s="5"/>
      <c r="Z17" s="5" t="s">
        <v>128</v>
      </c>
      <c r="AA17" s="5" t="str">
        <f>HYPERLINK("#'Manual_Review'!A"&amp;(MATCH("DS-012",Manual_Review!$A$6:$A$238,0)+5),"Enter review")</f>
        <v>Enter review</v>
      </c>
      <c r="AB17" s="5" t="str">
        <f>HYPERLINK("#'MCDM_Checks'!A"&amp;(MATCH("DS-012",MCDM_Checks!$B$6:$B$3733,0)+5),"Check evidence")</f>
        <v>Check evidence</v>
      </c>
      <c r="AC17" s="5" t="s">
        <v>129</v>
      </c>
      <c r="AD17" s="5" t="s">
        <v>266</v>
      </c>
      <c r="AE17" s="5" t="s">
        <v>266</v>
      </c>
      <c r="AF17" s="5" t="s">
        <v>267</v>
      </c>
    </row>
    <row r="18" spans="1:32">
      <c r="A18" s="5" t="s">
        <v>268</v>
      </c>
      <c r="B18" s="5" t="s">
        <v>269</v>
      </c>
      <c r="C18" s="5"/>
      <c r="D18" s="5" t="s">
        <v>118</v>
      </c>
      <c r="E18" s="12">
        <f>INDEX(MCDM_Grades!$E$6:$E$238,MATCH(A18,MCDM_Grades!$A$6:$A$238,0))</f>
        <v>61.111111111111107</v>
      </c>
      <c r="F18" s="12">
        <f>INDEX(MCDM_Grades!$F$6:$F$238,MATCH(A18,MCDM_Grades!$A$6:$A$238,0))</f>
        <v>99.999999999999986</v>
      </c>
      <c r="G18" s="13">
        <f>INDEX(MCDM_Grades!$G$6:$G$238,MATCH(A18,MCDM_Grades!$A$6:$A$238,0))</f>
        <v>0.61111111111111105</v>
      </c>
      <c r="H18" s="5" t="str">
        <f>HYPERLINK("https://github.com/qinnzou/DeepCrack","Dataset")</f>
        <v>Dataset</v>
      </c>
      <c r="I18" s="5" t="str">
        <f>HYPERLINK("https://github.com/qinnzou/DeepCrack","Evidence / paper")</f>
        <v>Evidence / paper</v>
      </c>
      <c r="J18" s="5" t="s">
        <v>269</v>
      </c>
      <c r="K18" s="5" t="s">
        <v>213</v>
      </c>
      <c r="L18" s="5" t="s">
        <v>155</v>
      </c>
      <c r="M18" s="5" t="s">
        <v>270</v>
      </c>
      <c r="N18" s="5" t="s">
        <v>226</v>
      </c>
      <c r="O18" s="5" t="s">
        <v>227</v>
      </c>
      <c r="P18" s="5" t="s">
        <v>121</v>
      </c>
      <c r="Q18" s="5" t="s">
        <v>124</v>
      </c>
      <c r="R18" s="5" t="s">
        <v>271</v>
      </c>
      <c r="S18" s="5" t="s">
        <v>229</v>
      </c>
      <c r="T18" s="5"/>
      <c r="U18" s="5" t="s">
        <v>272</v>
      </c>
      <c r="V18" s="5" t="s">
        <v>268</v>
      </c>
      <c r="W18" s="5" t="s">
        <v>127</v>
      </c>
      <c r="X18" s="5" t="s">
        <v>231</v>
      </c>
      <c r="Y18" s="5"/>
      <c r="Z18" s="5" t="s">
        <v>128</v>
      </c>
      <c r="AA18" s="5" t="str">
        <f>HYPERLINK("#'Manual_Review'!A"&amp;(MATCH("DS-013",Manual_Review!$A$6:$A$238,0)+5),"Enter review")</f>
        <v>Enter review</v>
      </c>
      <c r="AB18" s="5" t="str">
        <f>HYPERLINK("#'MCDM_Checks'!A"&amp;(MATCH("DS-013",MCDM_Checks!$B$6:$B$3733,0)+5),"Check evidence")</f>
        <v>Check evidence</v>
      </c>
      <c r="AC18" s="5" t="s">
        <v>129</v>
      </c>
      <c r="AD18" s="5" t="s">
        <v>232</v>
      </c>
      <c r="AE18" s="5" t="s">
        <v>232</v>
      </c>
      <c r="AF18" s="5" t="s">
        <v>273</v>
      </c>
    </row>
    <row r="19" spans="1:32" ht="25.5">
      <c r="A19" s="5" t="s">
        <v>274</v>
      </c>
      <c r="B19" s="5" t="s">
        <v>275</v>
      </c>
      <c r="C19" s="5"/>
      <c r="D19" s="5" t="s">
        <v>118</v>
      </c>
      <c r="E19" s="12">
        <f>INDEX(MCDM_Grades!$E$6:$E$238,MATCH(A19,MCDM_Grades!$A$6:$A$238,0))</f>
        <v>49.999999999999993</v>
      </c>
      <c r="F19" s="12">
        <f>INDEX(MCDM_Grades!$F$6:$F$238,MATCH(A19,MCDM_Grades!$A$6:$A$238,0))</f>
        <v>99.999999999999986</v>
      </c>
      <c r="G19" s="13">
        <f>INDEX(MCDM_Grades!$G$6:$G$238,MATCH(A19,MCDM_Grades!$A$6:$A$238,0))</f>
        <v>0.5</v>
      </c>
      <c r="H19" s="5" t="str">
        <f>HYPERLINK("https://github.com/qinnzou/DeepCrack","Dataset")</f>
        <v>Dataset</v>
      </c>
      <c r="I19" s="5" t="str">
        <f>HYPERLINK("https://github.com/qinnzou/DeepCrack","Evidence / paper")</f>
        <v>Evidence / paper</v>
      </c>
      <c r="J19" s="5" t="s">
        <v>275</v>
      </c>
      <c r="K19" s="5" t="s">
        <v>213</v>
      </c>
      <c r="L19" s="5" t="s">
        <v>155</v>
      </c>
      <c r="M19" s="5" t="s">
        <v>276</v>
      </c>
      <c r="N19" s="5" t="s">
        <v>226</v>
      </c>
      <c r="O19" s="5" t="s">
        <v>227</v>
      </c>
      <c r="P19" s="5" t="s">
        <v>121</v>
      </c>
      <c r="Q19" s="5" t="s">
        <v>124</v>
      </c>
      <c r="R19" s="5" t="s">
        <v>277</v>
      </c>
      <c r="S19" s="5" t="s">
        <v>229</v>
      </c>
      <c r="T19" s="5"/>
      <c r="U19" s="5" t="s">
        <v>278</v>
      </c>
      <c r="V19" s="5" t="s">
        <v>274</v>
      </c>
      <c r="W19" s="5" t="s">
        <v>127</v>
      </c>
      <c r="X19" s="5" t="s">
        <v>231</v>
      </c>
      <c r="Y19" s="5"/>
      <c r="Z19" s="5" t="s">
        <v>128</v>
      </c>
      <c r="AA19" s="5" t="str">
        <f>HYPERLINK("#'Manual_Review'!A"&amp;(MATCH("DS-014",Manual_Review!$A$6:$A$238,0)+5),"Enter review")</f>
        <v>Enter review</v>
      </c>
      <c r="AB19" s="5" t="str">
        <f>HYPERLINK("#'MCDM_Checks'!A"&amp;(MATCH("DS-014",MCDM_Checks!$B$6:$B$3733,0)+5),"Check evidence")</f>
        <v>Check evidence</v>
      </c>
      <c r="AC19" s="5" t="s">
        <v>129</v>
      </c>
      <c r="AD19" s="5" t="s">
        <v>232</v>
      </c>
      <c r="AE19" s="5" t="s">
        <v>232</v>
      </c>
      <c r="AF19" s="5" t="s">
        <v>279</v>
      </c>
    </row>
    <row r="20" spans="1:32" ht="25.5">
      <c r="A20" s="5" t="s">
        <v>280</v>
      </c>
      <c r="B20" s="5" t="s">
        <v>281</v>
      </c>
      <c r="C20" s="5"/>
      <c r="D20" s="5" t="s">
        <v>118</v>
      </c>
      <c r="E20" s="12">
        <f>INDEX(MCDM_Grades!$E$6:$E$238,MATCH(A20,MCDM_Grades!$A$6:$A$238,0))</f>
        <v>77.777777777777771</v>
      </c>
      <c r="F20" s="12">
        <f>INDEX(MCDM_Grades!$F$6:$F$238,MATCH(A20,MCDM_Grades!$A$6:$A$238,0))</f>
        <v>99.999999999999986</v>
      </c>
      <c r="G20" s="13">
        <f>INDEX(MCDM_Grades!$G$6:$G$238,MATCH(A20,MCDM_Grades!$A$6:$A$238,0))</f>
        <v>0.77777777777777768</v>
      </c>
      <c r="H20" s="5" t="str">
        <f>HYPERLINK("https://github.com/CUHK-USR-Group/Defect-Dataset","Dataset")</f>
        <v>Dataset</v>
      </c>
      <c r="I20" s="5" t="str">
        <f>HYPERLINK("https://github.com/CUHK-USR-Group/Defect-Dataset","Evidence / paper")</f>
        <v>Evidence / paper</v>
      </c>
      <c r="J20" s="5" t="s">
        <v>282</v>
      </c>
      <c r="K20" s="5" t="s">
        <v>283</v>
      </c>
      <c r="L20" s="5" t="s">
        <v>155</v>
      </c>
      <c r="M20" s="5" t="s">
        <v>284</v>
      </c>
      <c r="N20" s="5" t="s">
        <v>285</v>
      </c>
      <c r="O20" s="5" t="s">
        <v>286</v>
      </c>
      <c r="P20" s="5" t="s">
        <v>121</v>
      </c>
      <c r="Q20" s="5" t="s">
        <v>287</v>
      </c>
      <c r="R20" s="5" t="s">
        <v>288</v>
      </c>
      <c r="S20" s="5" t="s">
        <v>289</v>
      </c>
      <c r="T20" s="5"/>
      <c r="U20" s="5" t="s">
        <v>290</v>
      </c>
      <c r="V20" s="5" t="s">
        <v>280</v>
      </c>
      <c r="W20" s="5" t="s">
        <v>127</v>
      </c>
      <c r="X20" s="5"/>
      <c r="Y20" s="5"/>
      <c r="Z20" s="5" t="s">
        <v>128</v>
      </c>
      <c r="AA20" s="5" t="str">
        <f>HYPERLINK("#'Manual_Review'!A"&amp;(MATCH("DS-015",Manual_Review!$A$6:$A$238,0)+5),"Enter review")</f>
        <v>Enter review</v>
      </c>
      <c r="AB20" s="5" t="str">
        <f>HYPERLINK("#'MCDM_Checks'!A"&amp;(MATCH("DS-015",MCDM_Checks!$B$6:$B$3733,0)+5),"Check evidence")</f>
        <v>Check evidence</v>
      </c>
      <c r="AC20" s="5" t="s">
        <v>129</v>
      </c>
      <c r="AD20" s="5" t="s">
        <v>291</v>
      </c>
      <c r="AE20" s="5" t="s">
        <v>291</v>
      </c>
      <c r="AF20" s="5" t="s">
        <v>292</v>
      </c>
    </row>
    <row r="21" spans="1:32">
      <c r="A21" s="5" t="s">
        <v>293</v>
      </c>
      <c r="B21" s="5" t="s">
        <v>294</v>
      </c>
      <c r="C21" s="5"/>
      <c r="D21" s="5" t="s">
        <v>118</v>
      </c>
      <c r="E21" s="12">
        <f>INDEX(MCDM_Grades!$E$6:$E$238,MATCH(A21,MCDM_Grades!$A$6:$A$238,0))</f>
        <v>61.111111111111107</v>
      </c>
      <c r="F21" s="12">
        <f>INDEX(MCDM_Grades!$F$6:$F$238,MATCH(A21,MCDM_Grades!$A$6:$A$238,0))</f>
        <v>99.999999999999986</v>
      </c>
      <c r="G21" s="13">
        <f>INDEX(MCDM_Grades!$G$6:$G$238,MATCH(A21,MCDM_Grades!$A$6:$A$238,0))</f>
        <v>0.61111111111111116</v>
      </c>
      <c r="H21" s="5" t="str">
        <f>HYPERLINK("https://github.com/yhlleo/DeepCrack","Dataset")</f>
        <v>Dataset</v>
      </c>
      <c r="I21" s="5" t="str">
        <f>HYPERLINK("https://github.com/yhlleo/DeepCrack","Evidence / paper")</f>
        <v>Evidence / paper</v>
      </c>
      <c r="J21" s="5" t="s">
        <v>295</v>
      </c>
      <c r="K21" s="5" t="s">
        <v>213</v>
      </c>
      <c r="L21" s="5" t="s">
        <v>155</v>
      </c>
      <c r="M21" s="5" t="s">
        <v>296</v>
      </c>
      <c r="N21" s="5" t="s">
        <v>226</v>
      </c>
      <c r="O21" s="5" t="s">
        <v>227</v>
      </c>
      <c r="P21" s="5" t="s">
        <v>121</v>
      </c>
      <c r="Q21" s="5" t="s">
        <v>124</v>
      </c>
      <c r="R21" s="5" t="s">
        <v>297</v>
      </c>
      <c r="S21" s="5" t="s">
        <v>298</v>
      </c>
      <c r="T21" s="5"/>
      <c r="U21" s="5" t="s">
        <v>299</v>
      </c>
      <c r="V21" s="5" t="s">
        <v>293</v>
      </c>
      <c r="W21" s="5" t="s">
        <v>127</v>
      </c>
      <c r="X21" s="5" t="s">
        <v>220</v>
      </c>
      <c r="Y21" s="5"/>
      <c r="Z21" s="5" t="s">
        <v>128</v>
      </c>
      <c r="AA21" s="5" t="str">
        <f>HYPERLINK("#'Manual_Review'!A"&amp;(MATCH("DS-016",Manual_Review!$A$6:$A$238,0)+5),"Enter review")</f>
        <v>Enter review</v>
      </c>
      <c r="AB21" s="5" t="str">
        <f>HYPERLINK("#'MCDM_Checks'!A"&amp;(MATCH("DS-016",MCDM_Checks!$B$6:$B$3733,0)+5),"Check evidence")</f>
        <v>Check evidence</v>
      </c>
      <c r="AC21" s="5" t="s">
        <v>129</v>
      </c>
      <c r="AD21" s="5" t="s">
        <v>300</v>
      </c>
      <c r="AE21" s="5" t="s">
        <v>300</v>
      </c>
      <c r="AF21" s="5" t="s">
        <v>301</v>
      </c>
    </row>
    <row r="22" spans="1:32" ht="25.5">
      <c r="A22" s="5" t="s">
        <v>302</v>
      </c>
      <c r="B22" s="5" t="s">
        <v>303</v>
      </c>
      <c r="C22" s="5"/>
      <c r="D22" s="5" t="s">
        <v>118</v>
      </c>
      <c r="E22" s="12">
        <f>INDEX(MCDM_Grades!$E$6:$E$238,MATCH(A22,MCDM_Grades!$A$6:$A$238,0))</f>
        <v>44.444444444444436</v>
      </c>
      <c r="F22" s="12">
        <f>INDEX(MCDM_Grades!$F$6:$F$238,MATCH(A22,MCDM_Grades!$A$6:$A$238,0))</f>
        <v>99.999999999999986</v>
      </c>
      <c r="G22" s="13">
        <f>INDEX(MCDM_Grades!$G$6:$G$238,MATCH(A22,MCDM_Grades!$A$6:$A$238,0))</f>
        <v>0.44444444444444442</v>
      </c>
      <c r="H22" s="5" t="str">
        <f>HYPERLINK("https://github.com/mqp2259/EdmCrack600","Dataset")</f>
        <v>Dataset</v>
      </c>
      <c r="I22" s="5" t="str">
        <f>HYPERLINK("https://github.com/mqp2259/EdmCrack600","Evidence / paper")</f>
        <v>Evidence / paper</v>
      </c>
      <c r="J22" s="5" t="s">
        <v>304</v>
      </c>
      <c r="K22" s="5" t="s">
        <v>168</v>
      </c>
      <c r="L22" s="5" t="s">
        <v>169</v>
      </c>
      <c r="M22" s="5" t="s">
        <v>305</v>
      </c>
      <c r="N22" s="5" t="s">
        <v>306</v>
      </c>
      <c r="O22" s="5" t="s">
        <v>307</v>
      </c>
      <c r="P22" s="5" t="s">
        <v>308</v>
      </c>
      <c r="Q22" s="5" t="s">
        <v>174</v>
      </c>
      <c r="R22" s="5" t="s">
        <v>309</v>
      </c>
      <c r="S22" s="5" t="s">
        <v>310</v>
      </c>
      <c r="T22" s="5" t="s">
        <v>311</v>
      </c>
      <c r="U22" s="5" t="s">
        <v>312</v>
      </c>
      <c r="V22" s="5" t="s">
        <v>313</v>
      </c>
      <c r="W22" s="5" t="s">
        <v>314</v>
      </c>
      <c r="X22" s="5"/>
      <c r="Y22" s="5"/>
      <c r="Z22" s="5" t="s">
        <v>182</v>
      </c>
      <c r="AA22" s="5" t="str">
        <f>HYPERLINK("#'Manual_Review'!A"&amp;(MATCH("DS-017",Manual_Review!$A$6:$A$238,0)+5),"Enter review")</f>
        <v>Enter review</v>
      </c>
      <c r="AB22" s="5" t="str">
        <f>HYPERLINK("#'MCDM_Checks'!A"&amp;(MATCH("DS-017",MCDM_Checks!$B$6:$B$3733,0)+5),"Check evidence")</f>
        <v>Check evidence</v>
      </c>
      <c r="AC22" s="5" t="s">
        <v>129</v>
      </c>
      <c r="AD22" s="5" t="s">
        <v>315</v>
      </c>
      <c r="AE22" s="5" t="s">
        <v>315</v>
      </c>
      <c r="AF22" s="5" t="s">
        <v>316</v>
      </c>
    </row>
    <row r="23" spans="1:32" ht="38.25">
      <c r="A23" s="5" t="s">
        <v>317</v>
      </c>
      <c r="B23" s="5" t="s">
        <v>318</v>
      </c>
      <c r="C23" s="5"/>
      <c r="D23" s="5" t="s">
        <v>118</v>
      </c>
      <c r="E23" s="12">
        <f>INDEX(MCDM_Grades!$E$6:$E$238,MATCH(A23,MCDM_Grades!$A$6:$A$238,0))</f>
        <v>75</v>
      </c>
      <c r="F23" s="12">
        <f>INDEX(MCDM_Grades!$F$6:$F$238,MATCH(A23,MCDM_Grades!$A$6:$A$238,0))</f>
        <v>99.999999999999986</v>
      </c>
      <c r="G23" s="13">
        <f>INDEX(MCDM_Grades!$G$6:$G$238,MATCH(A23,MCDM_Grades!$A$6:$A$238,0))</f>
        <v>0.74999999999999989</v>
      </c>
      <c r="H23" s="5" t="str">
        <f>HYPERLINK("https://github.com/fyangneil/pavement-crack-detection","Dataset")</f>
        <v>Dataset</v>
      </c>
      <c r="I23" s="5" t="str">
        <f>HYPERLINK("https://github.com/fyangneil/pavement-crack-detection","Evidence / paper")</f>
        <v>Evidence / paper</v>
      </c>
      <c r="J23" s="5" t="s">
        <v>319</v>
      </c>
      <c r="K23" s="5" t="s">
        <v>320</v>
      </c>
      <c r="L23" s="5" t="s">
        <v>155</v>
      </c>
      <c r="M23" s="5" t="s">
        <v>321</v>
      </c>
      <c r="N23" s="5" t="s">
        <v>322</v>
      </c>
      <c r="O23" s="5" t="s">
        <v>323</v>
      </c>
      <c r="P23" s="5" t="s">
        <v>121</v>
      </c>
      <c r="Q23" s="5" t="s">
        <v>124</v>
      </c>
      <c r="R23" s="5" t="s">
        <v>324</v>
      </c>
      <c r="S23" s="5" t="s">
        <v>325</v>
      </c>
      <c r="T23" s="5"/>
      <c r="U23" s="5" t="s">
        <v>326</v>
      </c>
      <c r="V23" s="5" t="s">
        <v>317</v>
      </c>
      <c r="W23" s="5" t="s">
        <v>127</v>
      </c>
      <c r="X23" s="5" t="s">
        <v>327</v>
      </c>
      <c r="Y23" s="5"/>
      <c r="Z23" s="5" t="s">
        <v>128</v>
      </c>
      <c r="AA23" s="5" t="str">
        <f>HYPERLINK("#'Manual_Review'!A"&amp;(MATCH("DS-018",Manual_Review!$A$6:$A$238,0)+5),"Enter review")</f>
        <v>Enter review</v>
      </c>
      <c r="AB23" s="5" t="str">
        <f>HYPERLINK("#'MCDM_Checks'!A"&amp;(MATCH("DS-018",MCDM_Checks!$B$6:$B$3733,0)+5),"Check evidence")</f>
        <v>Check evidence</v>
      </c>
      <c r="AC23" s="5" t="s">
        <v>129</v>
      </c>
      <c r="AD23" s="5" t="s">
        <v>208</v>
      </c>
      <c r="AE23" s="5" t="s">
        <v>208</v>
      </c>
      <c r="AF23" s="5" t="s">
        <v>328</v>
      </c>
    </row>
    <row r="24" spans="1:32" ht="25.5">
      <c r="A24" s="5" t="s">
        <v>329</v>
      </c>
      <c r="B24" s="5" t="s">
        <v>330</v>
      </c>
      <c r="C24" s="5"/>
      <c r="D24" s="5" t="s">
        <v>118</v>
      </c>
      <c r="E24" s="12">
        <f>INDEX(MCDM_Grades!$E$6:$E$238,MATCH(A24,MCDM_Grades!$A$6:$A$238,0))</f>
        <v>16.666666666666668</v>
      </c>
      <c r="F24" s="12">
        <f>INDEX(MCDM_Grades!$F$6:$F$238,MATCH(A24,MCDM_Grades!$A$6:$A$238,0))</f>
        <v>94.444444444444429</v>
      </c>
      <c r="G24" s="13">
        <f>INDEX(MCDM_Grades!$G$6:$G$238,MATCH(A24,MCDM_Grades!$A$6:$A$238,0))</f>
        <v>0.22222222222222221</v>
      </c>
      <c r="H24" s="5" t="str">
        <f>HYPERLINK("https://github.com/chenxiang-web/DronePave-DfineX","Dataset")</f>
        <v>Dataset</v>
      </c>
      <c r="I24" s="5" t="str">
        <f>HYPERLINK("https://github.com/chenxiang-web/DronePave-DfineX","Evidence / paper")</f>
        <v>Evidence / paper</v>
      </c>
      <c r="J24" s="5" t="s">
        <v>331</v>
      </c>
      <c r="K24" s="5" t="s">
        <v>332</v>
      </c>
      <c r="L24" s="5" t="s">
        <v>121</v>
      </c>
      <c r="M24" s="5" t="s">
        <v>333</v>
      </c>
      <c r="N24" s="5" t="s">
        <v>334</v>
      </c>
      <c r="O24" s="5" t="s">
        <v>121</v>
      </c>
      <c r="P24" s="5" t="s">
        <v>121</v>
      </c>
      <c r="Q24" s="5" t="s">
        <v>335</v>
      </c>
      <c r="R24" s="5" t="s">
        <v>121</v>
      </c>
      <c r="S24" s="5" t="s">
        <v>336</v>
      </c>
      <c r="T24" s="5"/>
      <c r="U24" s="5" t="s">
        <v>337</v>
      </c>
      <c r="V24" s="5" t="s">
        <v>329</v>
      </c>
      <c r="W24" s="5" t="s">
        <v>127</v>
      </c>
      <c r="X24" s="5"/>
      <c r="Y24" s="5"/>
      <c r="Z24" s="5" t="s">
        <v>128</v>
      </c>
      <c r="AA24" s="5" t="str">
        <f>HYPERLINK("#'Manual_Review'!A"&amp;(MATCH("DS-019",Manual_Review!$A$6:$A$238,0)+5),"Enter review")</f>
        <v>Enter review</v>
      </c>
      <c r="AB24" s="5" t="str">
        <f>HYPERLINK("#'MCDM_Checks'!A"&amp;(MATCH("DS-019",MCDM_Checks!$B$6:$B$3733,0)+5),"Check evidence")</f>
        <v>Check evidence</v>
      </c>
      <c r="AC24" s="5" t="s">
        <v>129</v>
      </c>
      <c r="AD24" s="5" t="s">
        <v>338</v>
      </c>
      <c r="AE24" s="5" t="s">
        <v>338</v>
      </c>
      <c r="AF24" s="5" t="s">
        <v>339</v>
      </c>
    </row>
    <row r="25" spans="1:32" ht="38.25">
      <c r="A25" s="5" t="s">
        <v>340</v>
      </c>
      <c r="B25" s="5" t="s">
        <v>341</v>
      </c>
      <c r="C25" s="5"/>
      <c r="D25" s="5" t="s">
        <v>118</v>
      </c>
      <c r="E25" s="12">
        <f>INDEX(MCDM_Grades!$E$6:$E$238,MATCH(A25,MCDM_Grades!$A$6:$A$238,0))</f>
        <v>52.777777777777771</v>
      </c>
      <c r="F25" s="12">
        <f>INDEX(MCDM_Grades!$F$6:$F$238,MATCH(A25,MCDM_Grades!$A$6:$A$238,0))</f>
        <v>99.999999999999986</v>
      </c>
      <c r="G25" s="13">
        <f>INDEX(MCDM_Grades!$G$6:$G$238,MATCH(A25,MCDM_Grades!$A$6:$A$238,0))</f>
        <v>0.52777777777777779</v>
      </c>
      <c r="H25" s="5" t="str">
        <f>HYPERLINK("https://github.com/CHDyshli/PavementCrackDetection","Dataset")</f>
        <v>Dataset</v>
      </c>
      <c r="I25" s="5" t="str">
        <f>HYPERLINK("https://github.com/CHDyshli/PavementCrackDetection","Evidence / paper")</f>
        <v>Evidence / paper</v>
      </c>
      <c r="J25" s="5" t="s">
        <v>121</v>
      </c>
      <c r="K25" s="5" t="s">
        <v>342</v>
      </c>
      <c r="L25" s="5" t="s">
        <v>155</v>
      </c>
      <c r="M25" s="5" t="s">
        <v>343</v>
      </c>
      <c r="N25" s="5" t="s">
        <v>344</v>
      </c>
      <c r="O25" s="5" t="s">
        <v>121</v>
      </c>
      <c r="P25" s="5" t="s">
        <v>121</v>
      </c>
      <c r="Q25" s="5" t="s">
        <v>124</v>
      </c>
      <c r="R25" s="5" t="s">
        <v>345</v>
      </c>
      <c r="S25" s="5" t="s">
        <v>346</v>
      </c>
      <c r="T25" s="5"/>
      <c r="U25" s="5" t="s">
        <v>347</v>
      </c>
      <c r="V25" s="5" t="s">
        <v>340</v>
      </c>
      <c r="W25" s="5" t="s">
        <v>127</v>
      </c>
      <c r="X25" s="5"/>
      <c r="Y25" s="5"/>
      <c r="Z25" s="5" t="s">
        <v>128</v>
      </c>
      <c r="AA25" s="5" t="str">
        <f>HYPERLINK("#'Manual_Review'!A"&amp;(MATCH("DS-020",Manual_Review!$A$6:$A$238,0)+5),"Enter review")</f>
        <v>Enter review</v>
      </c>
      <c r="AB25" s="5" t="str">
        <f>HYPERLINK("#'MCDM_Checks'!A"&amp;(MATCH("DS-020",MCDM_Checks!$B$6:$B$3733,0)+5),"Check evidence")</f>
        <v>Check evidence</v>
      </c>
      <c r="AC25" s="5" t="s">
        <v>129</v>
      </c>
      <c r="AD25" s="5" t="s">
        <v>348</v>
      </c>
      <c r="AE25" s="5" t="s">
        <v>348</v>
      </c>
      <c r="AF25" s="5" t="s">
        <v>349</v>
      </c>
    </row>
    <row r="26" spans="1:32" ht="25.5">
      <c r="A26" s="5" t="s">
        <v>350</v>
      </c>
      <c r="B26" s="5" t="s">
        <v>351</v>
      </c>
      <c r="C26" s="5"/>
      <c r="D26" s="5" t="s">
        <v>118</v>
      </c>
      <c r="E26" s="12">
        <f>INDEX(MCDM_Grades!$E$6:$E$238,MATCH(A26,MCDM_Grades!$A$6:$A$238,0))</f>
        <v>47.222222222222221</v>
      </c>
      <c r="F26" s="12">
        <f>INDEX(MCDM_Grades!$F$6:$F$238,MATCH(A26,MCDM_Grades!$A$6:$A$238,0))</f>
        <v>99.999999999999986</v>
      </c>
      <c r="G26" s="13">
        <f>INDEX(MCDM_Grades!$G$6:$G$238,MATCH(A26,MCDM_Grades!$A$6:$A$238,0))</f>
        <v>0.47222222222222215</v>
      </c>
      <c r="H26" s="5" t="str">
        <f>HYPERLINK("https://github.com/IranRoadDamageDataset/IRRDD","Dataset")</f>
        <v>Dataset</v>
      </c>
      <c r="I26" s="5" t="str">
        <f>HYPERLINK("https://github.com/IranRoadDamageDataset/IRRDD","Evidence / paper")</f>
        <v>Evidence / paper</v>
      </c>
      <c r="J26" s="5" t="s">
        <v>352</v>
      </c>
      <c r="K26" s="5" t="s">
        <v>332</v>
      </c>
      <c r="L26" s="5" t="s">
        <v>155</v>
      </c>
      <c r="M26" s="5" t="s">
        <v>121</v>
      </c>
      <c r="N26" s="5" t="s">
        <v>353</v>
      </c>
      <c r="O26" s="5" t="s">
        <v>354</v>
      </c>
      <c r="P26" s="5" t="s">
        <v>121</v>
      </c>
      <c r="Q26" s="5" t="s">
        <v>124</v>
      </c>
      <c r="R26" s="5" t="s">
        <v>355</v>
      </c>
      <c r="S26" s="5" t="s">
        <v>356</v>
      </c>
      <c r="T26" s="5"/>
      <c r="U26" s="5" t="s">
        <v>357</v>
      </c>
      <c r="V26" s="5" t="s">
        <v>350</v>
      </c>
      <c r="W26" s="5" t="s">
        <v>127</v>
      </c>
      <c r="X26" s="5"/>
      <c r="Y26" s="5"/>
      <c r="Z26" s="5" t="s">
        <v>128</v>
      </c>
      <c r="AA26" s="5" t="str">
        <f>HYPERLINK("#'Manual_Review'!A"&amp;(MATCH("DS-021",Manual_Review!$A$6:$A$238,0)+5),"Enter review")</f>
        <v>Enter review</v>
      </c>
      <c r="AB26" s="5" t="str">
        <f>HYPERLINK("#'MCDM_Checks'!A"&amp;(MATCH("DS-021",MCDM_Checks!$B$6:$B$3733,0)+5),"Check evidence")</f>
        <v>Check evidence</v>
      </c>
      <c r="AC26" s="5" t="s">
        <v>129</v>
      </c>
      <c r="AD26" s="5" t="s">
        <v>358</v>
      </c>
      <c r="AE26" s="5" t="s">
        <v>358</v>
      </c>
      <c r="AF26" s="5" t="s">
        <v>359</v>
      </c>
    </row>
    <row r="27" spans="1:32" ht="76.5">
      <c r="A27" s="5" t="s">
        <v>360</v>
      </c>
      <c r="B27" s="5" t="s">
        <v>361</v>
      </c>
      <c r="C27" s="5"/>
      <c r="D27" s="5" t="s">
        <v>118</v>
      </c>
      <c r="E27" s="12">
        <f>INDEX(MCDM_Grades!$E$6:$E$238,MATCH(A27,MCDM_Grades!$A$6:$A$238,0))</f>
        <v>75</v>
      </c>
      <c r="F27" s="12">
        <f>INDEX(MCDM_Grades!$F$6:$F$238,MATCH(A27,MCDM_Grades!$A$6:$A$238,0))</f>
        <v>99.999999999999986</v>
      </c>
      <c r="G27" s="13">
        <f>INDEX(MCDM_Grades!$G$6:$G$238,MATCH(A27,MCDM_Grades!$A$6:$A$238,0))</f>
        <v>0.74999999999999989</v>
      </c>
      <c r="H27" s="5" t="str">
        <f>HYPERLINK("https://github.com/lfangyu09/IR-Crack-detection","Dataset")</f>
        <v>Dataset</v>
      </c>
      <c r="I27" s="5" t="str">
        <f>HYPERLINK("https://github.com/lfangyu09/IR-Crack-detection","Evidence / paper")</f>
        <v>Evidence / paper</v>
      </c>
      <c r="J27" s="5" t="s">
        <v>362</v>
      </c>
      <c r="K27" s="5" t="s">
        <v>363</v>
      </c>
      <c r="L27" s="5" t="s">
        <v>155</v>
      </c>
      <c r="M27" s="5" t="s">
        <v>364</v>
      </c>
      <c r="N27" s="5" t="s">
        <v>365</v>
      </c>
      <c r="O27" s="5" t="s">
        <v>366</v>
      </c>
      <c r="P27" s="5" t="s">
        <v>367</v>
      </c>
      <c r="Q27" s="5" t="s">
        <v>368</v>
      </c>
      <c r="R27" s="5" t="s">
        <v>369</v>
      </c>
      <c r="S27" s="5" t="s">
        <v>370</v>
      </c>
      <c r="T27" s="5"/>
      <c r="U27" s="5" t="s">
        <v>371</v>
      </c>
      <c r="V27" s="5" t="s">
        <v>360</v>
      </c>
      <c r="W27" s="5" t="s">
        <v>127</v>
      </c>
      <c r="X27" s="5" t="s">
        <v>372</v>
      </c>
      <c r="Y27" s="5"/>
      <c r="Z27" s="5" t="s">
        <v>128</v>
      </c>
      <c r="AA27" s="5" t="str">
        <f>HYPERLINK("#'Manual_Review'!A"&amp;(MATCH("DS-022",Manual_Review!$A$6:$A$238,0)+5),"Enter review")</f>
        <v>Enter review</v>
      </c>
      <c r="AB27" s="5" t="str">
        <f>HYPERLINK("#'MCDM_Checks'!A"&amp;(MATCH("DS-022",MCDM_Checks!$B$6:$B$3733,0)+5),"Check evidence")</f>
        <v>Check evidence</v>
      </c>
      <c r="AC27" s="5" t="s">
        <v>373</v>
      </c>
      <c r="AD27" s="5" t="s">
        <v>374</v>
      </c>
      <c r="AE27" s="5" t="s">
        <v>374</v>
      </c>
      <c r="AF27" s="5" t="s">
        <v>375</v>
      </c>
    </row>
    <row r="28" spans="1:32" ht="38.25">
      <c r="A28" s="5" t="s">
        <v>376</v>
      </c>
      <c r="B28" s="5" t="s">
        <v>377</v>
      </c>
      <c r="C28" s="5"/>
      <c r="D28" s="5" t="s">
        <v>118</v>
      </c>
      <c r="E28" s="12">
        <f>INDEX(MCDM_Grades!$E$6:$E$238,MATCH(A28,MCDM_Grades!$A$6:$A$238,0))</f>
        <v>36.111111111111114</v>
      </c>
      <c r="F28" s="12">
        <f>INDEX(MCDM_Grades!$F$6:$F$238,MATCH(A28,MCDM_Grades!$A$6:$A$238,0))</f>
        <v>99.999999999999986</v>
      </c>
      <c r="G28" s="13">
        <f>INDEX(MCDM_Grades!$G$6:$G$238,MATCH(A28,MCDM_Grades!$A$6:$A$238,0))</f>
        <v>0.3611111111111111</v>
      </c>
      <c r="H28" s="5" t="str">
        <f>HYPERLINK("https://github.com/lfangyu09/IR-Crack-detection","Dataset")</f>
        <v>Dataset</v>
      </c>
      <c r="I28" s="5" t="str">
        <f>HYPERLINK("https://github.com/lfangyu09/IR-Crack-detection","Evidence / paper")</f>
        <v>Evidence / paper</v>
      </c>
      <c r="J28" s="5" t="s">
        <v>378</v>
      </c>
      <c r="K28" s="5" t="s">
        <v>379</v>
      </c>
      <c r="L28" s="5" t="s">
        <v>121</v>
      </c>
      <c r="M28" s="5" t="s">
        <v>380</v>
      </c>
      <c r="N28" s="5" t="s">
        <v>381</v>
      </c>
      <c r="O28" s="5" t="s">
        <v>382</v>
      </c>
      <c r="P28" s="5" t="s">
        <v>383</v>
      </c>
      <c r="Q28" s="5" t="s">
        <v>124</v>
      </c>
      <c r="R28" s="5" t="s">
        <v>121</v>
      </c>
      <c r="S28" s="5" t="s">
        <v>384</v>
      </c>
      <c r="T28" s="5"/>
      <c r="U28" s="5" t="s">
        <v>385</v>
      </c>
      <c r="V28" s="5" t="s">
        <v>376</v>
      </c>
      <c r="W28" s="5" t="s">
        <v>127</v>
      </c>
      <c r="X28" s="5" t="s">
        <v>372</v>
      </c>
      <c r="Y28" s="5"/>
      <c r="Z28" s="5" t="s">
        <v>128</v>
      </c>
      <c r="AA28" s="5" t="str">
        <f>HYPERLINK("#'Manual_Review'!A"&amp;(MATCH("DS-023",Manual_Review!$A$6:$A$238,0)+5),"Enter review")</f>
        <v>Enter review</v>
      </c>
      <c r="AB28" s="5" t="str">
        <f>HYPERLINK("#'MCDM_Checks'!A"&amp;(MATCH("DS-023",MCDM_Checks!$B$6:$B$3733,0)+5),"Check evidence")</f>
        <v>Check evidence</v>
      </c>
      <c r="AC28" s="5" t="s">
        <v>373</v>
      </c>
      <c r="AD28" s="5" t="s">
        <v>374</v>
      </c>
      <c r="AE28" s="5" t="s">
        <v>374</v>
      </c>
      <c r="AF28" s="5" t="s">
        <v>386</v>
      </c>
    </row>
    <row r="29" spans="1:32" ht="63.75">
      <c r="A29" s="5" t="s">
        <v>387</v>
      </c>
      <c r="B29" s="5" t="s">
        <v>388</v>
      </c>
      <c r="C29" s="5"/>
      <c r="D29" s="5" t="s">
        <v>118</v>
      </c>
      <c r="E29" s="12">
        <f>INDEX(MCDM_Grades!$E$6:$E$238,MATCH(A29,MCDM_Grades!$A$6:$A$238,0))</f>
        <v>38.888888888888886</v>
      </c>
      <c r="F29" s="12">
        <f>INDEX(MCDM_Grades!$F$6:$F$238,MATCH(A29,MCDM_Grades!$A$6:$A$238,0))</f>
        <v>99.999999999999986</v>
      </c>
      <c r="G29" s="13">
        <f>INDEX(MCDM_Grades!$G$6:$G$238,MATCH(A29,MCDM_Grades!$A$6:$A$238,0))</f>
        <v>0.38888888888888884</v>
      </c>
      <c r="H29" s="5" t="str">
        <f>HYPERLINK("https://github.com/neemajakisa/Pavement-Distress-Dataset","Dataset")</f>
        <v>Dataset</v>
      </c>
      <c r="I29" s="5" t="str">
        <f>HYPERLINK("https://github.com/neemajakisa/Pavement-Distress-Dataset","Evidence / paper")</f>
        <v>Evidence / paper</v>
      </c>
      <c r="J29" s="5" t="s">
        <v>119</v>
      </c>
      <c r="K29" s="5" t="s">
        <v>389</v>
      </c>
      <c r="L29" s="5" t="s">
        <v>121</v>
      </c>
      <c r="M29" s="5" t="s">
        <v>390</v>
      </c>
      <c r="N29" s="5" t="s">
        <v>391</v>
      </c>
      <c r="O29" s="5" t="s">
        <v>392</v>
      </c>
      <c r="P29" s="5" t="s">
        <v>121</v>
      </c>
      <c r="Q29" s="5" t="s">
        <v>124</v>
      </c>
      <c r="R29" s="5" t="s">
        <v>121</v>
      </c>
      <c r="S29" s="5" t="s">
        <v>393</v>
      </c>
      <c r="T29" s="5"/>
      <c r="U29" s="5" t="s">
        <v>394</v>
      </c>
      <c r="V29" s="5" t="s">
        <v>387</v>
      </c>
      <c r="W29" s="5" t="s">
        <v>127</v>
      </c>
      <c r="X29" s="5"/>
      <c r="Y29" s="5"/>
      <c r="Z29" s="5" t="s">
        <v>128</v>
      </c>
      <c r="AA29" s="5" t="str">
        <f>HYPERLINK("#'Manual_Review'!A"&amp;(MATCH("DS-024",Manual_Review!$A$6:$A$238,0)+5),"Enter review")</f>
        <v>Enter review</v>
      </c>
      <c r="AB29" s="5" t="str">
        <f>HYPERLINK("#'MCDM_Checks'!A"&amp;(MATCH("DS-024",MCDM_Checks!$B$6:$B$3733,0)+5),"Check evidence")</f>
        <v>Check evidence</v>
      </c>
      <c r="AC29" s="5" t="s">
        <v>129</v>
      </c>
      <c r="AD29" s="5" t="s">
        <v>395</v>
      </c>
      <c r="AE29" s="5" t="s">
        <v>395</v>
      </c>
      <c r="AF29" s="5" t="s">
        <v>396</v>
      </c>
    </row>
    <row r="30" spans="1:32" ht="25.5">
      <c r="A30" s="5" t="s">
        <v>397</v>
      </c>
      <c r="B30" s="5" t="s">
        <v>398</v>
      </c>
      <c r="C30" s="5"/>
      <c r="D30" s="5" t="s">
        <v>118</v>
      </c>
      <c r="E30" s="12">
        <f>INDEX(MCDM_Grades!$E$6:$E$238,MATCH(A30,MCDM_Grades!$A$6:$A$238,0))</f>
        <v>11.111111111111111</v>
      </c>
      <c r="F30" s="12">
        <f>INDEX(MCDM_Grades!$F$6:$F$238,MATCH(A30,MCDM_Grades!$A$6:$A$238,0))</f>
        <v>99.999999999999986</v>
      </c>
      <c r="G30" s="13">
        <f>INDEX(MCDM_Grades!$G$6:$G$238,MATCH(A30,MCDM_Grades!$A$6:$A$238,0))</f>
        <v>0.1111111111111111</v>
      </c>
      <c r="H30" s="5" t="str">
        <f>HYPERLINK("https://github.com/DrEdwardLee/Pavement-Crack-Dataset","Dataset")</f>
        <v>Dataset</v>
      </c>
      <c r="I30" s="5" t="str">
        <f>HYPERLINK("https://github.com/DrEdwardLee/Pavement-Crack-Dataset","Evidence / paper")</f>
        <v>Evidence / paper</v>
      </c>
      <c r="J30" s="5" t="s">
        <v>399</v>
      </c>
      <c r="K30" s="5" t="s">
        <v>145</v>
      </c>
      <c r="L30" s="5" t="s">
        <v>121</v>
      </c>
      <c r="M30" s="5" t="s">
        <v>121</v>
      </c>
      <c r="N30" s="5" t="s">
        <v>146</v>
      </c>
      <c r="O30" s="5" t="s">
        <v>121</v>
      </c>
      <c r="P30" s="5" t="s">
        <v>121</v>
      </c>
      <c r="Q30" s="5" t="s">
        <v>124</v>
      </c>
      <c r="R30" s="5" t="s">
        <v>121</v>
      </c>
      <c r="S30" s="5" t="s">
        <v>147</v>
      </c>
      <c r="T30" s="5"/>
      <c r="U30" s="5" t="s">
        <v>400</v>
      </c>
      <c r="V30" s="5" t="s">
        <v>397</v>
      </c>
      <c r="W30" s="5" t="s">
        <v>127</v>
      </c>
      <c r="X30" s="5" t="s">
        <v>149</v>
      </c>
      <c r="Y30" s="5"/>
      <c r="Z30" s="5" t="s">
        <v>128</v>
      </c>
      <c r="AA30" s="5" t="str">
        <f>HYPERLINK("#'Manual_Review'!A"&amp;(MATCH("DS-025",Manual_Review!$A$6:$A$238,0)+5),"Enter review")</f>
        <v>Enter review</v>
      </c>
      <c r="AB30" s="5" t="str">
        <f>HYPERLINK("#'MCDM_Checks'!A"&amp;(MATCH("DS-025",MCDM_Checks!$B$6:$B$3733,0)+5),"Check evidence")</f>
        <v>Check evidence</v>
      </c>
      <c r="AC30" s="5" t="s">
        <v>129</v>
      </c>
      <c r="AD30" s="5" t="s">
        <v>150</v>
      </c>
      <c r="AE30" s="5" t="s">
        <v>150</v>
      </c>
      <c r="AF30" s="5" t="s">
        <v>401</v>
      </c>
    </row>
    <row r="31" spans="1:32" ht="38.25">
      <c r="A31" s="5" t="s">
        <v>402</v>
      </c>
      <c r="B31" s="5" t="s">
        <v>403</v>
      </c>
      <c r="C31" s="5"/>
      <c r="D31" s="5" t="s">
        <v>118</v>
      </c>
      <c r="E31" s="12">
        <f>INDEX(MCDM_Grades!$E$6:$E$238,MATCH(A31,MCDM_Grades!$A$6:$A$238,0))</f>
        <v>25</v>
      </c>
      <c r="F31" s="12">
        <f>INDEX(MCDM_Grades!$F$6:$F$238,MATCH(A31,MCDM_Grades!$A$6:$A$238,0))</f>
        <v>94.444444444444429</v>
      </c>
      <c r="G31" s="13">
        <f>INDEX(MCDM_Grades!$G$6:$G$238,MATCH(A31,MCDM_Grades!$A$6:$A$238,0))</f>
        <v>0.30555555555555558</v>
      </c>
      <c r="H31" s="5" t="str">
        <f>HYPERLINK("https://github.com/FwDeng/MTPDSD","Dataset")</f>
        <v>Dataset</v>
      </c>
      <c r="I31" s="5" t="str">
        <f>HYPERLINK("https://github.com/FwDeng/MTPDSD","Evidence / paper")</f>
        <v>Evidence / paper</v>
      </c>
      <c r="J31" s="5" t="s">
        <v>404</v>
      </c>
      <c r="K31" s="5" t="s">
        <v>405</v>
      </c>
      <c r="L31" s="5" t="s">
        <v>155</v>
      </c>
      <c r="M31" s="5" t="s">
        <v>406</v>
      </c>
      <c r="N31" s="5" t="s">
        <v>407</v>
      </c>
      <c r="O31" s="5" t="s">
        <v>121</v>
      </c>
      <c r="P31" s="5" t="s">
        <v>121</v>
      </c>
      <c r="Q31" s="5" t="s">
        <v>335</v>
      </c>
      <c r="R31" s="5" t="s">
        <v>408</v>
      </c>
      <c r="S31" s="5" t="s">
        <v>409</v>
      </c>
      <c r="T31" s="5"/>
      <c r="U31" s="5" t="s">
        <v>410</v>
      </c>
      <c r="V31" s="5" t="s">
        <v>402</v>
      </c>
      <c r="W31" s="5" t="s">
        <v>127</v>
      </c>
      <c r="X31" s="5"/>
      <c r="Y31" s="5"/>
      <c r="Z31" s="5" t="s">
        <v>128</v>
      </c>
      <c r="AA31" s="5" t="str">
        <f>HYPERLINK("#'Manual_Review'!A"&amp;(MATCH("DS-026",Manual_Review!$A$6:$A$238,0)+5),"Enter review")</f>
        <v>Enter review</v>
      </c>
      <c r="AB31" s="5" t="str">
        <f>HYPERLINK("#'MCDM_Checks'!A"&amp;(MATCH("DS-026",MCDM_Checks!$B$6:$B$3733,0)+5),"Check evidence")</f>
        <v>Check evidence</v>
      </c>
      <c r="AC31" s="5" t="s">
        <v>129</v>
      </c>
      <c r="AD31" s="5" t="s">
        <v>411</v>
      </c>
      <c r="AE31" s="5" t="s">
        <v>411</v>
      </c>
      <c r="AF31" s="5" t="s">
        <v>412</v>
      </c>
    </row>
    <row r="32" spans="1:32">
      <c r="A32" s="5" t="s">
        <v>413</v>
      </c>
      <c r="B32" s="5" t="s">
        <v>414</v>
      </c>
      <c r="C32" s="5"/>
      <c r="D32" s="5" t="s">
        <v>118</v>
      </c>
      <c r="E32" s="12">
        <f>INDEX(MCDM_Grades!$E$6:$E$238,MATCH(A32,MCDM_Grades!$A$6:$A$238,0))</f>
        <v>11.111111111111111</v>
      </c>
      <c r="F32" s="12">
        <f>INDEX(MCDM_Grades!$F$6:$F$238,MATCH(A32,MCDM_Grades!$A$6:$A$238,0))</f>
        <v>99.999999999999986</v>
      </c>
      <c r="G32" s="13">
        <f>INDEX(MCDM_Grades!$G$6:$G$238,MATCH(A32,MCDM_Grades!$A$6:$A$238,0))</f>
        <v>0.1111111111111111</v>
      </c>
      <c r="H32" s="5" t="str">
        <f>HYPERLINK("https://github.com/FXBIOVELSY/NightInspect-dataset","Dataset")</f>
        <v>Dataset</v>
      </c>
      <c r="I32" s="5" t="str">
        <f>HYPERLINK("https://github.com/FXBIOVELSY/NightInspect-dataset","Evidence / paper")</f>
        <v>Evidence / paper</v>
      </c>
      <c r="J32" s="5" t="s">
        <v>119</v>
      </c>
      <c r="K32" s="5" t="s">
        <v>415</v>
      </c>
      <c r="L32" s="5" t="s">
        <v>121</v>
      </c>
      <c r="M32" s="5" t="s">
        <v>121</v>
      </c>
      <c r="N32" s="5" t="s">
        <v>121</v>
      </c>
      <c r="O32" s="5" t="s">
        <v>121</v>
      </c>
      <c r="P32" s="5" t="s">
        <v>121</v>
      </c>
      <c r="Q32" s="5" t="s">
        <v>159</v>
      </c>
      <c r="R32" s="5" t="s">
        <v>121</v>
      </c>
      <c r="S32" s="5" t="s">
        <v>416</v>
      </c>
      <c r="T32" s="5"/>
      <c r="U32" s="5" t="s">
        <v>417</v>
      </c>
      <c r="V32" s="5" t="s">
        <v>413</v>
      </c>
      <c r="W32" s="5" t="s">
        <v>127</v>
      </c>
      <c r="X32" s="5"/>
      <c r="Y32" s="5"/>
      <c r="Z32" s="5" t="s">
        <v>128</v>
      </c>
      <c r="AA32" s="5" t="str">
        <f>HYPERLINK("#'Manual_Review'!A"&amp;(MATCH("DS-027",Manual_Review!$A$6:$A$238,0)+5),"Enter review")</f>
        <v>Enter review</v>
      </c>
      <c r="AB32" s="5" t="str">
        <f>HYPERLINK("#'MCDM_Checks'!A"&amp;(MATCH("DS-027",MCDM_Checks!$B$6:$B$3733,0)+5),"Check evidence")</f>
        <v>Check evidence</v>
      </c>
      <c r="AC32" s="5" t="s">
        <v>129</v>
      </c>
      <c r="AD32" s="5" t="s">
        <v>418</v>
      </c>
      <c r="AE32" s="5" t="s">
        <v>418</v>
      </c>
      <c r="AF32" s="5" t="s">
        <v>419</v>
      </c>
    </row>
    <row r="33" spans="1:32" ht="25.5">
      <c r="A33" s="5" t="s">
        <v>420</v>
      </c>
      <c r="B33" s="5" t="s">
        <v>421</v>
      </c>
      <c r="C33" s="5"/>
      <c r="D33" s="5" t="s">
        <v>118</v>
      </c>
      <c r="E33" s="12">
        <f>INDEX(MCDM_Grades!$E$6:$E$238,MATCH(A33,MCDM_Grades!$A$6:$A$238,0))</f>
        <v>25</v>
      </c>
      <c r="F33" s="12">
        <f>INDEX(MCDM_Grades!$F$6:$F$238,MATCH(A33,MCDM_Grades!$A$6:$A$238,0))</f>
        <v>99.999999999999986</v>
      </c>
      <c r="G33" s="13">
        <f>INDEX(MCDM_Grades!$G$6:$G$238,MATCH(A33,MCDM_Grades!$A$6:$A$238,0))</f>
        <v>0.25</v>
      </c>
      <c r="H33" s="5" t="str">
        <f>HYPERLINK("https://github.com/tongzheng1992/Pavementscapes","Dataset")</f>
        <v>Dataset</v>
      </c>
      <c r="I33" s="5" t="str">
        <f>HYPERLINK("https://github.com/tongzheng1992/Pavementscapes","Evidence / paper")</f>
        <v>Evidence / paper</v>
      </c>
      <c r="J33" s="5" t="s">
        <v>121</v>
      </c>
      <c r="K33" s="5" t="s">
        <v>422</v>
      </c>
      <c r="L33" s="5" t="s">
        <v>155</v>
      </c>
      <c r="M33" s="5" t="s">
        <v>423</v>
      </c>
      <c r="N33" s="5" t="s">
        <v>424</v>
      </c>
      <c r="O33" s="5" t="s">
        <v>425</v>
      </c>
      <c r="P33" s="5" t="s">
        <v>121</v>
      </c>
      <c r="Q33" s="5" t="s">
        <v>426</v>
      </c>
      <c r="R33" s="5" t="s">
        <v>427</v>
      </c>
      <c r="S33" s="5" t="s">
        <v>428</v>
      </c>
      <c r="T33" s="5"/>
      <c r="U33" s="5" t="s">
        <v>429</v>
      </c>
      <c r="V33" s="5" t="s">
        <v>420</v>
      </c>
      <c r="W33" s="5" t="s">
        <v>127</v>
      </c>
      <c r="X33" s="5"/>
      <c r="Y33" s="5"/>
      <c r="Z33" s="5" t="s">
        <v>128</v>
      </c>
      <c r="AA33" s="5" t="str">
        <f>HYPERLINK("#'Manual_Review'!A"&amp;(MATCH("DS-028",Manual_Review!$A$6:$A$238,0)+5),"Enter review")</f>
        <v>Enter review</v>
      </c>
      <c r="AB33" s="5" t="str">
        <f>HYPERLINK("#'MCDM_Checks'!A"&amp;(MATCH("DS-028",MCDM_Checks!$B$6:$B$3733,0)+5),"Check evidence")</f>
        <v>Check evidence</v>
      </c>
      <c r="AC33" s="5" t="s">
        <v>430</v>
      </c>
      <c r="AD33" s="5" t="s">
        <v>431</v>
      </c>
      <c r="AE33" s="5" t="s">
        <v>431</v>
      </c>
      <c r="AF33" s="5" t="s">
        <v>432</v>
      </c>
    </row>
    <row r="34" spans="1:32" ht="25.5">
      <c r="A34" s="5" t="s">
        <v>433</v>
      </c>
      <c r="B34" s="5" t="s">
        <v>434</v>
      </c>
      <c r="C34" s="5"/>
      <c r="D34" s="5" t="s">
        <v>118</v>
      </c>
      <c r="E34" s="12">
        <f>INDEX(MCDM_Grades!$E$6:$E$238,MATCH(A34,MCDM_Grades!$A$6:$A$238,0))</f>
        <v>61.111111111111107</v>
      </c>
      <c r="F34" s="12">
        <f>INDEX(MCDM_Grades!$F$6:$F$238,MATCH(A34,MCDM_Grades!$A$6:$A$238,0))</f>
        <v>94.444444444444429</v>
      </c>
      <c r="G34" s="13">
        <f>INDEX(MCDM_Grades!$G$6:$G$238,MATCH(A34,MCDM_Grades!$A$6:$A$238,0))</f>
        <v>0.66666666666666663</v>
      </c>
      <c r="H34" s="5" t="str">
        <f>HYPERLINK("https://github.com/FuturePave/PaveSeg-Dataset","Dataset")</f>
        <v>Dataset</v>
      </c>
      <c r="I34" s="5" t="str">
        <f>HYPERLINK("https://github.com/FuturePave/PaveSeg-Dataset","Evidence / paper")</f>
        <v>Evidence / paper</v>
      </c>
      <c r="J34" s="5" t="s">
        <v>435</v>
      </c>
      <c r="K34" s="5" t="s">
        <v>168</v>
      </c>
      <c r="L34" s="5" t="s">
        <v>169</v>
      </c>
      <c r="M34" s="5" t="s">
        <v>305</v>
      </c>
      <c r="N34" s="5" t="s">
        <v>436</v>
      </c>
      <c r="O34" s="5" t="s">
        <v>437</v>
      </c>
      <c r="P34" s="5" t="s">
        <v>438</v>
      </c>
      <c r="Q34" s="5" t="s">
        <v>439</v>
      </c>
      <c r="R34" s="5" t="s">
        <v>440</v>
      </c>
      <c r="S34" s="5" t="s">
        <v>441</v>
      </c>
      <c r="T34" s="5" t="s">
        <v>442</v>
      </c>
      <c r="U34" s="5" t="s">
        <v>443</v>
      </c>
      <c r="V34" s="5" t="s">
        <v>444</v>
      </c>
      <c r="W34" s="5" t="s">
        <v>445</v>
      </c>
      <c r="X34" s="5"/>
      <c r="Y34" s="5"/>
      <c r="Z34" s="5" t="s">
        <v>182</v>
      </c>
      <c r="AA34" s="5" t="str">
        <f>HYPERLINK("#'Manual_Review'!A"&amp;(MATCH("DS-029",Manual_Review!$A$6:$A$238,0)+5),"Enter review")</f>
        <v>Enter review</v>
      </c>
      <c r="AB34" s="5" t="str">
        <f>HYPERLINK("#'MCDM_Checks'!A"&amp;(MATCH("DS-029",MCDM_Checks!$B$6:$B$3733,0)+5),"Check evidence")</f>
        <v>Check evidence</v>
      </c>
      <c r="AC34" s="5" t="s">
        <v>129</v>
      </c>
      <c r="AD34" s="5" t="s">
        <v>446</v>
      </c>
      <c r="AE34" s="5" t="s">
        <v>446</v>
      </c>
      <c r="AF34" s="5" t="s">
        <v>447</v>
      </c>
    </row>
    <row r="35" spans="1:32" ht="38.25">
      <c r="A35" s="5" t="s">
        <v>448</v>
      </c>
      <c r="B35" s="5" t="s">
        <v>449</v>
      </c>
      <c r="C35" s="5"/>
      <c r="D35" s="5" t="s">
        <v>118</v>
      </c>
      <c r="E35" s="12">
        <f>INDEX(MCDM_Grades!$E$6:$E$238,MATCH(A35,MCDM_Grades!$A$6:$A$238,0))</f>
        <v>50</v>
      </c>
      <c r="F35" s="12">
        <f>INDEX(MCDM_Grades!$F$6:$F$238,MATCH(A35,MCDM_Grades!$A$6:$A$238,0))</f>
        <v>99.999999999999986</v>
      </c>
      <c r="G35" s="13">
        <f>INDEX(MCDM_Grades!$G$6:$G$238,MATCH(A35,MCDM_Grades!$A$6:$A$238,0))</f>
        <v>0.5</v>
      </c>
      <c r="H35" s="5" t="str">
        <f>HYPERLINK("https://github.com/Nan2020/PID-Pavement-Image-Dataset","Dataset")</f>
        <v>Dataset</v>
      </c>
      <c r="I35" s="5" t="str">
        <f>HYPERLINK("https://github.com/Nan2020/PID-Pavement-Image-Dataset","Evidence / paper")</f>
        <v>Evidence / paper</v>
      </c>
      <c r="J35" s="5" t="s">
        <v>450</v>
      </c>
      <c r="K35" s="5" t="s">
        <v>451</v>
      </c>
      <c r="L35" s="5" t="s">
        <v>155</v>
      </c>
      <c r="M35" s="5" t="s">
        <v>452</v>
      </c>
      <c r="N35" s="5" t="s">
        <v>453</v>
      </c>
      <c r="O35" s="5" t="s">
        <v>454</v>
      </c>
      <c r="P35" s="5" t="s">
        <v>121</v>
      </c>
      <c r="Q35" s="5" t="s">
        <v>455</v>
      </c>
      <c r="R35" s="5" t="s">
        <v>456</v>
      </c>
      <c r="S35" s="5" t="s">
        <v>457</v>
      </c>
      <c r="T35" s="5"/>
      <c r="U35" s="5" t="s">
        <v>458</v>
      </c>
      <c r="V35" s="5" t="s">
        <v>448</v>
      </c>
      <c r="W35" s="5" t="s">
        <v>127</v>
      </c>
      <c r="X35" s="5"/>
      <c r="Y35" s="5"/>
      <c r="Z35" s="5" t="s">
        <v>128</v>
      </c>
      <c r="AA35" s="5" t="str">
        <f>HYPERLINK("#'Manual_Review'!A"&amp;(MATCH("DS-030",Manual_Review!$A$6:$A$238,0)+5),"Enter review")</f>
        <v>Enter review</v>
      </c>
      <c r="AB35" s="5" t="str">
        <f>HYPERLINK("#'MCDM_Checks'!A"&amp;(MATCH("DS-030",MCDM_Checks!$B$6:$B$3733,0)+5),"Check evidence")</f>
        <v>Check evidence</v>
      </c>
      <c r="AC35" s="5" t="s">
        <v>430</v>
      </c>
      <c r="AD35" s="5" t="s">
        <v>459</v>
      </c>
      <c r="AE35" s="5" t="s">
        <v>459</v>
      </c>
      <c r="AF35" s="5" t="s">
        <v>460</v>
      </c>
    </row>
    <row r="36" spans="1:32" ht="25.5">
      <c r="A36" s="5" t="s">
        <v>461</v>
      </c>
      <c r="B36" s="5" t="s">
        <v>462</v>
      </c>
      <c r="C36" s="5"/>
      <c r="D36" s="5" t="s">
        <v>118</v>
      </c>
      <c r="E36" s="12">
        <f>INDEX(MCDM_Grades!$E$6:$E$238,MATCH(A36,MCDM_Grades!$A$6:$A$238,0))</f>
        <v>41.666666666666657</v>
      </c>
      <c r="F36" s="12">
        <f>INDEX(MCDM_Grades!$F$6:$F$238,MATCH(A36,MCDM_Grades!$A$6:$A$238,0))</f>
        <v>99.999999999999986</v>
      </c>
      <c r="G36" s="13">
        <f>INDEX(MCDM_Grades!$G$6:$G$238,MATCH(A36,MCDM_Grades!$A$6:$A$238,0))</f>
        <v>0.41666666666666663</v>
      </c>
      <c r="H36" s="5" t="str">
        <f>HYPERLINK("https://github.com/jaygala24/pothole-detection","Dataset")</f>
        <v>Dataset</v>
      </c>
      <c r="I36" s="5" t="str">
        <f>HYPERLINK("https://github.com/jaygala24/pothole-detection","Evidence / paper")</f>
        <v>Evidence / paper</v>
      </c>
      <c r="J36" s="5" t="s">
        <v>121</v>
      </c>
      <c r="K36" s="5" t="s">
        <v>342</v>
      </c>
      <c r="L36" s="5" t="s">
        <v>155</v>
      </c>
      <c r="M36" s="5" t="s">
        <v>463</v>
      </c>
      <c r="N36" s="5" t="s">
        <v>464</v>
      </c>
      <c r="O36" s="5" t="s">
        <v>465</v>
      </c>
      <c r="P36" s="5" t="s">
        <v>121</v>
      </c>
      <c r="Q36" s="5" t="s">
        <v>124</v>
      </c>
      <c r="R36" s="5" t="s">
        <v>466</v>
      </c>
      <c r="S36" s="5" t="s">
        <v>428</v>
      </c>
      <c r="T36" s="5"/>
      <c r="U36" s="5" t="s">
        <v>467</v>
      </c>
      <c r="V36" s="5" t="s">
        <v>461</v>
      </c>
      <c r="W36" s="5" t="s">
        <v>127</v>
      </c>
      <c r="X36" s="5"/>
      <c r="Y36" s="5"/>
      <c r="Z36" s="5" t="s">
        <v>128</v>
      </c>
      <c r="AA36" s="5" t="str">
        <f>HYPERLINK("#'Manual_Review'!A"&amp;(MATCH("DS-031",Manual_Review!$A$6:$A$238,0)+5),"Enter review")</f>
        <v>Enter review</v>
      </c>
      <c r="AB36" s="5" t="str">
        <f>HYPERLINK("#'MCDM_Checks'!A"&amp;(MATCH("DS-031",MCDM_Checks!$B$6:$B$3733,0)+5),"Check evidence")</f>
        <v>Check evidence</v>
      </c>
      <c r="AC36" s="5" t="s">
        <v>129</v>
      </c>
      <c r="AD36" s="5" t="s">
        <v>468</v>
      </c>
      <c r="AE36" s="5" t="s">
        <v>468</v>
      </c>
      <c r="AF36" s="5" t="s">
        <v>469</v>
      </c>
    </row>
    <row r="37" spans="1:32" ht="25.5">
      <c r="A37" s="5" t="s">
        <v>470</v>
      </c>
      <c r="B37" s="5" t="s">
        <v>471</v>
      </c>
      <c r="C37" s="5"/>
      <c r="D37" s="5" t="s">
        <v>118</v>
      </c>
      <c r="E37" s="12">
        <f>INDEX(MCDM_Grades!$E$6:$E$238,MATCH(A37,MCDM_Grades!$A$6:$A$238,0))</f>
        <v>58.333333333333343</v>
      </c>
      <c r="F37" s="12">
        <f>INDEX(MCDM_Grades!$F$6:$F$238,MATCH(A37,MCDM_Grades!$A$6:$A$238,0))</f>
        <v>99.999999999999986</v>
      </c>
      <c r="G37" s="13">
        <f>INDEX(MCDM_Grades!$G$6:$G$238,MATCH(A37,MCDM_Grades!$A$6:$A$238,0))</f>
        <v>0.58333333333333326</v>
      </c>
      <c r="H37" s="5" t="str">
        <f>HYPERLINK("https://github.com/moatifbutt/r2s100k","Dataset")</f>
        <v>Dataset</v>
      </c>
      <c r="I37" s="5" t="str">
        <f>HYPERLINK("https://github.com/moatifbutt/r2s100k","Evidence / paper")</f>
        <v>Evidence / paper</v>
      </c>
      <c r="J37" s="5" t="s">
        <v>472</v>
      </c>
      <c r="K37" s="5" t="s">
        <v>168</v>
      </c>
      <c r="L37" s="5" t="s">
        <v>169</v>
      </c>
      <c r="M37" s="5" t="s">
        <v>170</v>
      </c>
      <c r="N37" s="5" t="s">
        <v>473</v>
      </c>
      <c r="O37" s="5" t="s">
        <v>474</v>
      </c>
      <c r="P37" s="5" t="s">
        <v>475</v>
      </c>
      <c r="Q37" s="5" t="s">
        <v>476</v>
      </c>
      <c r="R37" s="5" t="s">
        <v>477</v>
      </c>
      <c r="S37" s="5" t="s">
        <v>478</v>
      </c>
      <c r="T37" s="5" t="s">
        <v>479</v>
      </c>
      <c r="U37" s="5" t="s">
        <v>480</v>
      </c>
      <c r="V37" s="5" t="s">
        <v>481</v>
      </c>
      <c r="W37" s="5" t="s">
        <v>445</v>
      </c>
      <c r="X37" s="5"/>
      <c r="Y37" s="5"/>
      <c r="Z37" s="5" t="s">
        <v>182</v>
      </c>
      <c r="AA37" s="5" t="str">
        <f>HYPERLINK("#'Manual_Review'!A"&amp;(MATCH("DS-032",Manual_Review!$A$6:$A$238,0)+5),"Enter review")</f>
        <v>Enter review</v>
      </c>
      <c r="AB37" s="5" t="str">
        <f>HYPERLINK("#'MCDM_Checks'!A"&amp;(MATCH("DS-032",MCDM_Checks!$B$6:$B$3733,0)+5),"Check evidence")</f>
        <v>Check evidence</v>
      </c>
      <c r="AC37" s="5" t="s">
        <v>129</v>
      </c>
      <c r="AD37" s="5" t="s">
        <v>482</v>
      </c>
      <c r="AE37" s="5" t="s">
        <v>482</v>
      </c>
      <c r="AF37" s="5" t="s">
        <v>483</v>
      </c>
    </row>
    <row r="38" spans="1:32" ht="25.5">
      <c r="A38" s="5" t="s">
        <v>484</v>
      </c>
      <c r="B38" s="5" t="s">
        <v>485</v>
      </c>
      <c r="C38" s="5"/>
      <c r="D38" s="5" t="s">
        <v>118</v>
      </c>
      <c r="E38" s="12">
        <f>INDEX(MCDM_Grades!$E$6:$E$238,MATCH(A38,MCDM_Grades!$A$6:$A$238,0))</f>
        <v>55.555555555555557</v>
      </c>
      <c r="F38" s="12">
        <f>INDEX(MCDM_Grades!$F$6:$F$238,MATCH(A38,MCDM_Grades!$A$6:$A$238,0))</f>
        <v>99.999999999999986</v>
      </c>
      <c r="G38" s="13">
        <f>INDEX(MCDM_Grades!$G$6:$G$238,MATCH(A38,MCDM_Grades!$A$6:$A$238,0))</f>
        <v>0.55555555555555558</v>
      </c>
      <c r="H38" s="5" t="str">
        <f>HYPERLINK("https://github.com/ArselanAshraf/RCD-IIUM-Road-Crack-Detection-Dataset-","Dataset")</f>
        <v>Dataset</v>
      </c>
      <c r="I38" s="5" t="str">
        <f>HYPERLINK("https://github.com/ArselanAshraf/RCD-IIUM-Road-Crack-Detection-Dataset-","Evidence / paper")</f>
        <v>Evidence / paper</v>
      </c>
      <c r="J38" s="5" t="s">
        <v>121</v>
      </c>
      <c r="K38" s="5" t="s">
        <v>486</v>
      </c>
      <c r="L38" s="5" t="s">
        <v>121</v>
      </c>
      <c r="M38" s="5" t="s">
        <v>487</v>
      </c>
      <c r="N38" s="5" t="s">
        <v>488</v>
      </c>
      <c r="O38" s="5" t="s">
        <v>489</v>
      </c>
      <c r="P38" s="5" t="s">
        <v>121</v>
      </c>
      <c r="Q38" s="5" t="s">
        <v>124</v>
      </c>
      <c r="R38" s="5" t="s">
        <v>121</v>
      </c>
      <c r="S38" s="5" t="s">
        <v>490</v>
      </c>
      <c r="T38" s="5"/>
      <c r="U38" s="5" t="s">
        <v>491</v>
      </c>
      <c r="V38" s="5" t="s">
        <v>484</v>
      </c>
      <c r="W38" s="5" t="s">
        <v>127</v>
      </c>
      <c r="X38" s="5"/>
      <c r="Y38" s="5"/>
      <c r="Z38" s="5" t="s">
        <v>128</v>
      </c>
      <c r="AA38" s="5" t="str">
        <f>HYPERLINK("#'Manual_Review'!A"&amp;(MATCH("DS-033",Manual_Review!$A$6:$A$238,0)+5),"Enter review")</f>
        <v>Enter review</v>
      </c>
      <c r="AB38" s="5" t="str">
        <f>HYPERLINK("#'MCDM_Checks'!A"&amp;(MATCH("DS-033",MCDM_Checks!$B$6:$B$3733,0)+5),"Check evidence")</f>
        <v>Check evidence</v>
      </c>
      <c r="AC38" s="5" t="s">
        <v>129</v>
      </c>
      <c r="AD38" s="5" t="s">
        <v>492</v>
      </c>
      <c r="AE38" s="5" t="s">
        <v>492</v>
      </c>
      <c r="AF38" s="5" t="s">
        <v>493</v>
      </c>
    </row>
    <row r="39" spans="1:32" ht="140.25">
      <c r="A39" s="5" t="s">
        <v>494</v>
      </c>
      <c r="B39" s="5" t="s">
        <v>495</v>
      </c>
      <c r="C39" s="5"/>
      <c r="D39" s="5" t="s">
        <v>118</v>
      </c>
      <c r="E39" s="12">
        <f>INDEX(MCDM_Grades!$E$6:$E$238,MATCH(A39,MCDM_Grades!$A$6:$A$238,0))</f>
        <v>69.444444444444429</v>
      </c>
      <c r="F39" s="12">
        <f>INDEX(MCDM_Grades!$F$6:$F$238,MATCH(A39,MCDM_Grades!$A$6:$A$238,0))</f>
        <v>99.999999999999986</v>
      </c>
      <c r="G39" s="13">
        <f>INDEX(MCDM_Grades!$G$6:$G$238,MATCH(A39,MCDM_Grades!$A$6:$A$238,0))</f>
        <v>0.69444444444444442</v>
      </c>
      <c r="H39" s="5" t="str">
        <f>HYPERLINK("https://data.mendeley.com/datasets/5ty2wb6gvg/1","Dataset")</f>
        <v>Dataset</v>
      </c>
      <c r="I39" s="5" t="str">
        <f>HYPERLINK("https://data.mendeley.com/datasets/5ty2wb6gvg/1","Evidence / paper")</f>
        <v>Evidence / paper</v>
      </c>
      <c r="J39" s="5" t="s">
        <v>496</v>
      </c>
      <c r="K39" s="5" t="s">
        <v>497</v>
      </c>
      <c r="L39" s="5" t="s">
        <v>155</v>
      </c>
      <c r="M39" s="5" t="s">
        <v>498</v>
      </c>
      <c r="N39" s="5" t="s">
        <v>499</v>
      </c>
      <c r="O39" s="5" t="s">
        <v>500</v>
      </c>
      <c r="P39" s="5" t="s">
        <v>501</v>
      </c>
      <c r="Q39" s="5" t="s">
        <v>124</v>
      </c>
      <c r="R39" s="5" t="s">
        <v>502</v>
      </c>
      <c r="S39" s="5" t="s">
        <v>503</v>
      </c>
      <c r="T39" s="5"/>
      <c r="U39" s="5" t="s">
        <v>504</v>
      </c>
      <c r="V39" s="5" t="s">
        <v>494</v>
      </c>
      <c r="W39" s="5" t="s">
        <v>127</v>
      </c>
      <c r="X39" s="5" t="s">
        <v>505</v>
      </c>
      <c r="Y39" s="5"/>
      <c r="Z39" s="5" t="s">
        <v>128</v>
      </c>
      <c r="AA39" s="5" t="str">
        <f>HYPERLINK("#'Manual_Review'!A"&amp;(MATCH("DS-034",Manual_Review!$A$6:$A$238,0)+5),"Enter review")</f>
        <v>Enter review</v>
      </c>
      <c r="AB39" s="5" t="str">
        <f>HYPERLINK("#'MCDM_Checks'!A"&amp;(MATCH("DS-034",MCDM_Checks!$B$6:$B$3733,0)+5),"Check evidence")</f>
        <v>Check evidence</v>
      </c>
      <c r="AC39" s="5" t="s">
        <v>245</v>
      </c>
      <c r="AD39" s="5" t="s">
        <v>506</v>
      </c>
      <c r="AE39" s="5" t="s">
        <v>506</v>
      </c>
      <c r="AF39" s="5" t="s">
        <v>507</v>
      </c>
    </row>
    <row r="40" spans="1:32" ht="38.25">
      <c r="A40" s="5" t="s">
        <v>32</v>
      </c>
      <c r="B40" s="5" t="s">
        <v>508</v>
      </c>
      <c r="C40" s="5">
        <v>3</v>
      </c>
      <c r="D40" s="5" t="s">
        <v>118</v>
      </c>
      <c r="E40" s="12">
        <f>INDEX(MCDM_Grades!$E$6:$E$238,MATCH(A40,MCDM_Grades!$A$6:$A$238,0))</f>
        <v>94.444444444444429</v>
      </c>
      <c r="F40" s="12">
        <f>INDEX(MCDM_Grades!$F$6:$F$238,MATCH(A40,MCDM_Grades!$A$6:$A$238,0))</f>
        <v>99.999999999999986</v>
      </c>
      <c r="G40" s="13">
        <f>INDEX(MCDM_Grades!$G$6:$G$238,MATCH(A40,MCDM_Grades!$A$6:$A$238,0))</f>
        <v>0.94444444444444431</v>
      </c>
      <c r="H40" s="5" t="str">
        <f>HYPERLINK("https://figshare.com/articles/dataset/RDD2022_-_The_multi-national_Road_Damage_Dataset_released_through_CRDDC_2022/21431547/1","Dataset")</f>
        <v>Dataset</v>
      </c>
      <c r="I40" s="5" t="str">
        <f>HYPERLINK("https://arxiv.org/abs/2209.08538","Evidence / paper")</f>
        <v>Evidence / paper</v>
      </c>
      <c r="J40" s="5" t="s">
        <v>37</v>
      </c>
      <c r="K40" s="5" t="s">
        <v>168</v>
      </c>
      <c r="L40" s="5" t="s">
        <v>169</v>
      </c>
      <c r="M40" s="5" t="s">
        <v>170</v>
      </c>
      <c r="N40" s="5" t="s">
        <v>509</v>
      </c>
      <c r="O40" s="5" t="s">
        <v>510</v>
      </c>
      <c r="P40" s="5" t="s">
        <v>511</v>
      </c>
      <c r="Q40" s="5" t="s">
        <v>174</v>
      </c>
      <c r="R40" s="5" t="s">
        <v>512</v>
      </c>
      <c r="S40" s="5" t="s">
        <v>513</v>
      </c>
      <c r="T40" s="5" t="s">
        <v>514</v>
      </c>
      <c r="U40" s="5" t="s">
        <v>515</v>
      </c>
      <c r="V40" s="5" t="s">
        <v>516</v>
      </c>
      <c r="W40" s="5" t="s">
        <v>314</v>
      </c>
      <c r="X40" s="5" t="s">
        <v>517</v>
      </c>
      <c r="Y40" s="5" t="s">
        <v>38</v>
      </c>
      <c r="Z40" s="5" t="s">
        <v>206</v>
      </c>
      <c r="AA40" s="5" t="str">
        <f>HYPERLINK("#'Manual_Review'!A"&amp;(MATCH("DS-035",Manual_Review!$A$6:$A$238,0)+5),"Enter review")</f>
        <v>Enter review</v>
      </c>
      <c r="AB40" s="5" t="str">
        <f>HYPERLINK("#'MCDM_Checks'!A"&amp;(MATCH("DS-035",MCDM_Checks!$B$6:$B$3733,0)+5),"Check evidence")</f>
        <v>Check evidence</v>
      </c>
      <c r="AC40" s="5" t="s">
        <v>518</v>
      </c>
      <c r="AD40" s="5" t="s">
        <v>519</v>
      </c>
      <c r="AE40" s="5" t="s">
        <v>520</v>
      </c>
      <c r="AF40" s="5" t="s">
        <v>521</v>
      </c>
    </row>
    <row r="41" spans="1:32" ht="38.25">
      <c r="A41" s="5" t="s">
        <v>522</v>
      </c>
      <c r="B41" s="5" t="s">
        <v>523</v>
      </c>
      <c r="C41" s="5"/>
      <c r="D41" s="5" t="s">
        <v>118</v>
      </c>
      <c r="E41" s="12">
        <f>INDEX(MCDM_Grades!$E$6:$E$238,MATCH(A41,MCDM_Grades!$A$6:$A$238,0))</f>
        <v>50</v>
      </c>
      <c r="F41" s="12">
        <f>INDEX(MCDM_Grades!$F$6:$F$238,MATCH(A41,MCDM_Grades!$A$6:$A$238,0))</f>
        <v>99.999999999999986</v>
      </c>
      <c r="G41" s="13">
        <f>INDEX(MCDM_Grades!$G$6:$G$238,MATCH(A41,MCDM_Grades!$A$6:$A$238,0))</f>
        <v>0.49999999999999994</v>
      </c>
      <c r="H41" s="5" t="str">
        <f>HYPERLINK("https://github.com/endurancechallengeindonesia/RDDC2024-ID","Dataset")</f>
        <v>Dataset</v>
      </c>
      <c r="I41" s="5" t="str">
        <f>HYPERLINK("https://github.com/endurancechallengeindonesia/RDDC2024-ID","Evidence / paper")</f>
        <v>Evidence / paper</v>
      </c>
      <c r="J41" s="5" t="s">
        <v>524</v>
      </c>
      <c r="K41" s="5" t="s">
        <v>332</v>
      </c>
      <c r="L41" s="5" t="s">
        <v>155</v>
      </c>
      <c r="M41" s="5" t="s">
        <v>525</v>
      </c>
      <c r="N41" s="5" t="s">
        <v>526</v>
      </c>
      <c r="O41" s="5" t="s">
        <v>354</v>
      </c>
      <c r="P41" s="5" t="s">
        <v>121</v>
      </c>
      <c r="Q41" s="5" t="s">
        <v>124</v>
      </c>
      <c r="R41" s="5" t="s">
        <v>527</v>
      </c>
      <c r="S41" s="5" t="s">
        <v>528</v>
      </c>
      <c r="T41" s="5"/>
      <c r="U41" s="5" t="s">
        <v>529</v>
      </c>
      <c r="V41" s="5" t="s">
        <v>522</v>
      </c>
      <c r="W41" s="5" t="s">
        <v>127</v>
      </c>
      <c r="X41" s="5"/>
      <c r="Y41" s="5"/>
      <c r="Z41" s="5" t="s">
        <v>128</v>
      </c>
      <c r="AA41" s="5" t="str">
        <f>HYPERLINK("#'Manual_Review'!A"&amp;(MATCH("DS-036",Manual_Review!$A$6:$A$238,0)+5),"Enter review")</f>
        <v>Enter review</v>
      </c>
      <c r="AB41" s="5" t="str">
        <f>HYPERLINK("#'MCDM_Checks'!A"&amp;(MATCH("DS-036",MCDM_Checks!$B$6:$B$3733,0)+5),"Check evidence")</f>
        <v>Check evidence</v>
      </c>
      <c r="AC41" s="5" t="s">
        <v>129</v>
      </c>
      <c r="AD41" s="5" t="s">
        <v>530</v>
      </c>
      <c r="AE41" s="5" t="s">
        <v>530</v>
      </c>
      <c r="AF41" s="5" t="s">
        <v>531</v>
      </c>
    </row>
    <row r="42" spans="1:32" ht="38.25">
      <c r="A42" s="5" t="s">
        <v>532</v>
      </c>
      <c r="B42" s="5" t="s">
        <v>533</v>
      </c>
      <c r="C42" s="5"/>
      <c r="D42" s="5" t="s">
        <v>118</v>
      </c>
      <c r="E42" s="12">
        <f>INDEX(MCDM_Grades!$E$6:$E$238,MATCH(A42,MCDM_Grades!$A$6:$A$238,0))</f>
        <v>74.999999999999986</v>
      </c>
      <c r="F42" s="12">
        <f>INDEX(MCDM_Grades!$F$6:$F$238,MATCH(A42,MCDM_Grades!$A$6:$A$238,0))</f>
        <v>99.999999999999986</v>
      </c>
      <c r="G42" s="13">
        <f>INDEX(MCDM_Grades!$G$6:$G$238,MATCH(A42,MCDM_Grades!$A$6:$A$238,0))</f>
        <v>0.75</v>
      </c>
      <c r="H42" s="5" t="str">
        <f>HYPERLINK("https://github.com/sekilab/RoadDamageDetector","Dataset")</f>
        <v>Dataset</v>
      </c>
      <c r="I42" s="5" t="str">
        <f>HYPERLINK("https://github.com/sekilab/RoadDamageDetector","Evidence / paper")</f>
        <v>Evidence / paper</v>
      </c>
      <c r="J42" s="5" t="s">
        <v>534</v>
      </c>
      <c r="K42" s="5" t="s">
        <v>535</v>
      </c>
      <c r="L42" s="5" t="s">
        <v>155</v>
      </c>
      <c r="M42" s="5" t="s">
        <v>536</v>
      </c>
      <c r="N42" s="5" t="s">
        <v>537</v>
      </c>
      <c r="O42" s="5" t="s">
        <v>538</v>
      </c>
      <c r="P42" s="5" t="s">
        <v>539</v>
      </c>
      <c r="Q42" s="5" t="s">
        <v>124</v>
      </c>
      <c r="R42" s="5" t="s">
        <v>540</v>
      </c>
      <c r="S42" s="5" t="s">
        <v>541</v>
      </c>
      <c r="T42" s="5"/>
      <c r="U42" s="5" t="s">
        <v>542</v>
      </c>
      <c r="V42" s="5" t="s">
        <v>532</v>
      </c>
      <c r="W42" s="5" t="s">
        <v>127</v>
      </c>
      <c r="X42" s="5" t="s">
        <v>505</v>
      </c>
      <c r="Y42" s="5"/>
      <c r="Z42" s="5" t="s">
        <v>128</v>
      </c>
      <c r="AA42" s="5" t="str">
        <f>HYPERLINK("#'Manual_Review'!A"&amp;(MATCH("DS-037",Manual_Review!$A$6:$A$238,0)+5),"Enter review")</f>
        <v>Enter review</v>
      </c>
      <c r="AB42" s="5" t="str">
        <f>HYPERLINK("#'MCDM_Checks'!A"&amp;(MATCH("DS-037",MCDM_Checks!$B$6:$B$3733,0)+5),"Check evidence")</f>
        <v>Check evidence</v>
      </c>
      <c r="AC42" s="5" t="s">
        <v>129</v>
      </c>
      <c r="AD42" s="5" t="s">
        <v>543</v>
      </c>
      <c r="AE42" s="5" t="s">
        <v>543</v>
      </c>
      <c r="AF42" s="5" t="s">
        <v>544</v>
      </c>
    </row>
    <row r="43" spans="1:32" ht="38.25">
      <c r="A43" s="5" t="s">
        <v>545</v>
      </c>
      <c r="B43" s="5" t="s">
        <v>546</v>
      </c>
      <c r="C43" s="5"/>
      <c r="D43" s="5" t="s">
        <v>118</v>
      </c>
      <c r="E43" s="12">
        <f>INDEX(MCDM_Grades!$E$6:$E$238,MATCH(A43,MCDM_Grades!$A$6:$A$238,0))</f>
        <v>44.444444444444443</v>
      </c>
      <c r="F43" s="12">
        <f>INDEX(MCDM_Grades!$F$6:$F$238,MATCH(A43,MCDM_Grades!$A$6:$A$238,0))</f>
        <v>99.999999999999986</v>
      </c>
      <c r="G43" s="13">
        <f>INDEX(MCDM_Grades!$G$6:$G$238,MATCH(A43,MCDM_Grades!$A$6:$A$238,0))</f>
        <v>0.44444444444444442</v>
      </c>
      <c r="H43" s="5" t="str">
        <f>HYPERLINK("https://github.com/sekilab/RoadDamageDetector","Dataset")</f>
        <v>Dataset</v>
      </c>
      <c r="I43" s="5" t="str">
        <f>HYPERLINK("https://github.com/sekilab/RoadDamageDetector","Evidence / paper")</f>
        <v>Evidence / paper</v>
      </c>
      <c r="J43" s="5" t="s">
        <v>547</v>
      </c>
      <c r="K43" s="5" t="s">
        <v>548</v>
      </c>
      <c r="L43" s="5" t="s">
        <v>121</v>
      </c>
      <c r="M43" s="5" t="s">
        <v>549</v>
      </c>
      <c r="N43" s="5" t="s">
        <v>550</v>
      </c>
      <c r="O43" s="5" t="s">
        <v>538</v>
      </c>
      <c r="P43" s="5" t="s">
        <v>121</v>
      </c>
      <c r="Q43" s="5" t="s">
        <v>124</v>
      </c>
      <c r="R43" s="5" t="s">
        <v>121</v>
      </c>
      <c r="S43" s="5" t="s">
        <v>551</v>
      </c>
      <c r="T43" s="5"/>
      <c r="U43" s="5" t="s">
        <v>552</v>
      </c>
      <c r="V43" s="5" t="s">
        <v>545</v>
      </c>
      <c r="W43" s="5" t="s">
        <v>127</v>
      </c>
      <c r="X43" s="5" t="s">
        <v>505</v>
      </c>
      <c r="Y43" s="5"/>
      <c r="Z43" s="5" t="s">
        <v>128</v>
      </c>
      <c r="AA43" s="5" t="str">
        <f>HYPERLINK("#'Manual_Review'!A"&amp;(MATCH("DS-038",Manual_Review!$A$6:$A$238,0)+5),"Enter review")</f>
        <v>Enter review</v>
      </c>
      <c r="AB43" s="5" t="str">
        <f>HYPERLINK("#'MCDM_Checks'!A"&amp;(MATCH("DS-038",MCDM_Checks!$B$6:$B$3733,0)+5),"Check evidence")</f>
        <v>Check evidence</v>
      </c>
      <c r="AC43" s="5" t="s">
        <v>129</v>
      </c>
      <c r="AD43" s="5" t="s">
        <v>543</v>
      </c>
      <c r="AE43" s="5" t="s">
        <v>543</v>
      </c>
      <c r="AF43" s="5" t="s">
        <v>553</v>
      </c>
    </row>
    <row r="44" spans="1:32" ht="38.25">
      <c r="A44" s="5" t="s">
        <v>554</v>
      </c>
      <c r="B44" s="5" t="s">
        <v>555</v>
      </c>
      <c r="C44" s="5"/>
      <c r="D44" s="5" t="s">
        <v>118</v>
      </c>
      <c r="E44" s="12">
        <f>INDEX(MCDM_Grades!$E$6:$E$238,MATCH(A44,MCDM_Grades!$A$6:$A$238,0))</f>
        <v>36.111111111111107</v>
      </c>
      <c r="F44" s="12">
        <f>INDEX(MCDM_Grades!$F$6:$F$238,MATCH(A44,MCDM_Grades!$A$6:$A$238,0))</f>
        <v>99.999999999999986</v>
      </c>
      <c r="G44" s="13">
        <f>INDEX(MCDM_Grades!$G$6:$G$238,MATCH(A44,MCDM_Grades!$A$6:$A$238,0))</f>
        <v>0.3611111111111111</v>
      </c>
      <c r="H44" s="5" t="str">
        <f>HYPERLINK("https://data.mendeley.com/datasets/v8mbnvx8pv/1","Dataset")</f>
        <v>Dataset</v>
      </c>
      <c r="I44" s="5" t="str">
        <f>HYPERLINK("https://data.mendeley.com/datasets/v8mbnvx8pv/1","Evidence / paper")</f>
        <v>Evidence / paper</v>
      </c>
      <c r="J44" s="5" t="s">
        <v>556</v>
      </c>
      <c r="K44" s="5" t="s">
        <v>557</v>
      </c>
      <c r="L44" s="5" t="s">
        <v>155</v>
      </c>
      <c r="M44" s="5" t="s">
        <v>121</v>
      </c>
      <c r="N44" s="5" t="s">
        <v>558</v>
      </c>
      <c r="O44" s="5" t="s">
        <v>559</v>
      </c>
      <c r="P44" s="5" t="s">
        <v>241</v>
      </c>
      <c r="Q44" s="5" t="s">
        <v>124</v>
      </c>
      <c r="R44" s="5" t="s">
        <v>560</v>
      </c>
      <c r="S44" s="5" t="s">
        <v>428</v>
      </c>
      <c r="T44" s="5"/>
      <c r="U44" s="5" t="s">
        <v>561</v>
      </c>
      <c r="V44" s="5" t="s">
        <v>554</v>
      </c>
      <c r="W44" s="5" t="s">
        <v>127</v>
      </c>
      <c r="X44" s="5"/>
      <c r="Y44" s="5"/>
      <c r="Z44" s="5" t="s">
        <v>128</v>
      </c>
      <c r="AA44" s="5" t="str">
        <f>HYPERLINK("#'Manual_Review'!A"&amp;(MATCH("DS-039",Manual_Review!$A$6:$A$238,0)+5),"Enter review")</f>
        <v>Enter review</v>
      </c>
      <c r="AB44" s="5" t="str">
        <f>HYPERLINK("#'MCDM_Checks'!A"&amp;(MATCH("DS-039",MCDM_Checks!$B$6:$B$3733,0)+5),"Check evidence")</f>
        <v>Check evidence</v>
      </c>
      <c r="AC44" s="5" t="s">
        <v>562</v>
      </c>
      <c r="AD44" s="5" t="s">
        <v>563</v>
      </c>
      <c r="AE44" s="5" t="s">
        <v>563</v>
      </c>
      <c r="AF44" s="5" t="s">
        <v>564</v>
      </c>
    </row>
    <row r="45" spans="1:32" ht="25.5">
      <c r="A45" s="5" t="s">
        <v>565</v>
      </c>
      <c r="B45" s="5" t="s">
        <v>566</v>
      </c>
      <c r="C45" s="5"/>
      <c r="D45" s="5" t="s">
        <v>118</v>
      </c>
      <c r="E45" s="12">
        <f>INDEX(MCDM_Grades!$E$6:$E$238,MATCH(A45,MCDM_Grades!$A$6:$A$238,0))</f>
        <v>77.777777777777771</v>
      </c>
      <c r="F45" s="12">
        <f>INDEX(MCDM_Grades!$F$6:$F$238,MATCH(A45,MCDM_Grades!$A$6:$A$238,0))</f>
        <v>99.999999999999986</v>
      </c>
      <c r="G45" s="13">
        <f>INDEX(MCDM_Grades!$G$6:$G$238,MATCH(A45,MCDM_Grades!$A$6:$A$238,0))</f>
        <v>0.77777777777777768</v>
      </c>
      <c r="H45" s="5" t="str">
        <f>HYPERLINK("https://data.mendeley.com/datasets/hssswvmjwf/1","Dataset")</f>
        <v>Dataset</v>
      </c>
      <c r="I45" s="5" t="str">
        <f>HYPERLINK("https://data.mendeley.com/datasets/hssswvmjwf/1","Evidence / paper")</f>
        <v>Evidence / paper</v>
      </c>
      <c r="J45" s="5" t="s">
        <v>567</v>
      </c>
      <c r="K45" s="5" t="s">
        <v>168</v>
      </c>
      <c r="L45" s="5" t="s">
        <v>169</v>
      </c>
      <c r="M45" s="5" t="s">
        <v>568</v>
      </c>
      <c r="N45" s="5" t="s">
        <v>569</v>
      </c>
      <c r="O45" s="5" t="s">
        <v>570</v>
      </c>
      <c r="P45" s="5" t="s">
        <v>571</v>
      </c>
      <c r="Q45" s="5" t="s">
        <v>174</v>
      </c>
      <c r="R45" s="5" t="s">
        <v>572</v>
      </c>
      <c r="S45" s="5" t="s">
        <v>573</v>
      </c>
      <c r="T45" s="5" t="s">
        <v>574</v>
      </c>
      <c r="U45" s="5" t="s">
        <v>575</v>
      </c>
      <c r="V45" s="5" t="s">
        <v>576</v>
      </c>
      <c r="W45" s="5" t="s">
        <v>314</v>
      </c>
      <c r="X45" s="5" t="s">
        <v>577</v>
      </c>
      <c r="Y45" s="5"/>
      <c r="Z45" s="5" t="s">
        <v>182</v>
      </c>
      <c r="AA45" s="5" t="str">
        <f>HYPERLINK("#'Manual_Review'!A"&amp;(MATCH("DS-040",Manual_Review!$A$6:$A$238,0)+5),"Enter review")</f>
        <v>Enter review</v>
      </c>
      <c r="AB45" s="5" t="str">
        <f>HYPERLINK("#'MCDM_Checks'!A"&amp;(MATCH("DS-040",MCDM_Checks!$B$6:$B$3733,0)+5),"Check evidence")</f>
        <v>Check evidence</v>
      </c>
      <c r="AC45" s="5" t="s">
        <v>578</v>
      </c>
      <c r="AD45" s="5" t="s">
        <v>579</v>
      </c>
      <c r="AE45" s="5" t="s">
        <v>579</v>
      </c>
      <c r="AF45" s="5" t="s">
        <v>580</v>
      </c>
    </row>
    <row r="46" spans="1:32" ht="25.5">
      <c r="A46" s="5" t="s">
        <v>581</v>
      </c>
      <c r="B46" s="5" t="s">
        <v>582</v>
      </c>
      <c r="C46" s="5"/>
      <c r="D46" s="5" t="s">
        <v>118</v>
      </c>
      <c r="E46" s="12">
        <f>INDEX(MCDM_Grades!$E$6:$E$238,MATCH(A46,MCDM_Grades!$A$6:$A$238,0))</f>
        <v>11.111111111111111</v>
      </c>
      <c r="F46" s="12">
        <f>INDEX(MCDM_Grades!$F$6:$F$238,MATCH(A46,MCDM_Grades!$A$6:$A$238,0))</f>
        <v>94.444444444444429</v>
      </c>
      <c r="G46" s="13">
        <f>INDEX(MCDM_Grades!$G$6:$G$238,MATCH(A46,MCDM_Grades!$A$6:$A$238,0))</f>
        <v>0.16666666666666666</v>
      </c>
      <c r="H46" s="5" t="str">
        <f>HYPERLINK("https://github.com/SEUxia/Asphalt-pavement-crack-dataset","Dataset")</f>
        <v>Dataset</v>
      </c>
      <c r="I46" s="5" t="str">
        <f>HYPERLINK("https://github.com/SEUxia/Asphalt-pavement-crack-dataset","Evidence / paper")</f>
        <v>Evidence / paper</v>
      </c>
      <c r="J46" s="5" t="s">
        <v>404</v>
      </c>
      <c r="K46" s="5" t="s">
        <v>121</v>
      </c>
      <c r="L46" s="5" t="s">
        <v>121</v>
      </c>
      <c r="M46" s="5" t="s">
        <v>121</v>
      </c>
      <c r="N46" s="5" t="s">
        <v>121</v>
      </c>
      <c r="O46" s="5" t="s">
        <v>121</v>
      </c>
      <c r="P46" s="5" t="s">
        <v>121</v>
      </c>
      <c r="Q46" s="5" t="s">
        <v>335</v>
      </c>
      <c r="R46" s="5" t="s">
        <v>121</v>
      </c>
      <c r="S46" s="5" t="s">
        <v>125</v>
      </c>
      <c r="T46" s="5"/>
      <c r="U46" s="5" t="s">
        <v>583</v>
      </c>
      <c r="V46" s="5" t="s">
        <v>581</v>
      </c>
      <c r="W46" s="5" t="s">
        <v>127</v>
      </c>
      <c r="X46" s="5"/>
      <c r="Y46" s="5"/>
      <c r="Z46" s="5" t="s">
        <v>128</v>
      </c>
      <c r="AA46" s="5" t="str">
        <f>HYPERLINK("#'Manual_Review'!A"&amp;(MATCH("DS-041",Manual_Review!$A$6:$A$238,0)+5),"Enter review")</f>
        <v>Enter review</v>
      </c>
      <c r="AB46" s="5" t="str">
        <f>HYPERLINK("#'MCDM_Checks'!A"&amp;(MATCH("DS-041",MCDM_Checks!$B$6:$B$3733,0)+5),"Check evidence")</f>
        <v>Check evidence</v>
      </c>
      <c r="AC46" s="5" t="s">
        <v>129</v>
      </c>
      <c r="AD46" s="5" t="s">
        <v>584</v>
      </c>
      <c r="AE46" s="5" t="s">
        <v>584</v>
      </c>
      <c r="AF46" s="5" t="s">
        <v>585</v>
      </c>
    </row>
    <row r="47" spans="1:32">
      <c r="A47" s="5" t="s">
        <v>586</v>
      </c>
      <c r="B47" s="5" t="s">
        <v>587</v>
      </c>
      <c r="C47" s="5"/>
      <c r="D47" s="5" t="s">
        <v>118</v>
      </c>
      <c r="E47" s="12">
        <f>INDEX(MCDM_Grades!$E$6:$E$238,MATCH(A47,MCDM_Grades!$A$6:$A$238,0))</f>
        <v>58.333333333333343</v>
      </c>
      <c r="F47" s="12">
        <f>INDEX(MCDM_Grades!$F$6:$F$238,MATCH(A47,MCDM_Grades!$A$6:$A$238,0))</f>
        <v>99.999999999999986</v>
      </c>
      <c r="G47" s="13">
        <f>INDEX(MCDM_Grades!$G$6:$G$238,MATCH(A47,MCDM_Grades!$A$6:$A$238,0))</f>
        <v>0.58333333333333326</v>
      </c>
      <c r="H47" s="5" t="str">
        <f>HYPERLINK("https://github.com/achireistefan/Pothole-Detection","Dataset")</f>
        <v>Dataset</v>
      </c>
      <c r="I47" s="5" t="str">
        <f>HYPERLINK("https://github.com/achireistefan/Pothole-Detection","Evidence / paper")</f>
        <v>Evidence / paper</v>
      </c>
      <c r="J47" s="5" t="s">
        <v>121</v>
      </c>
      <c r="K47" s="5" t="s">
        <v>588</v>
      </c>
      <c r="L47" s="5" t="s">
        <v>155</v>
      </c>
      <c r="M47" s="5" t="s">
        <v>589</v>
      </c>
      <c r="N47" s="5" t="s">
        <v>590</v>
      </c>
      <c r="O47" s="5" t="s">
        <v>591</v>
      </c>
      <c r="P47" s="5" t="s">
        <v>121</v>
      </c>
      <c r="Q47" s="5" t="s">
        <v>124</v>
      </c>
      <c r="R47" s="5" t="s">
        <v>592</v>
      </c>
      <c r="S47" s="5" t="s">
        <v>428</v>
      </c>
      <c r="T47" s="5"/>
      <c r="U47" s="5" t="s">
        <v>593</v>
      </c>
      <c r="V47" s="5" t="s">
        <v>586</v>
      </c>
      <c r="W47" s="5" t="s">
        <v>127</v>
      </c>
      <c r="X47" s="5"/>
      <c r="Y47" s="5"/>
      <c r="Z47" s="5" t="s">
        <v>128</v>
      </c>
      <c r="AA47" s="5" t="str">
        <f>HYPERLINK("#'Manual_Review'!A"&amp;(MATCH("DS-042",Manual_Review!$A$6:$A$238,0)+5),"Enter review")</f>
        <v>Enter review</v>
      </c>
      <c r="AB47" s="5" t="str">
        <f>HYPERLINK("#'MCDM_Checks'!A"&amp;(MATCH("DS-042",MCDM_Checks!$B$6:$B$3733,0)+5),"Check evidence")</f>
        <v>Check evidence</v>
      </c>
      <c r="AC47" s="5" t="s">
        <v>129</v>
      </c>
      <c r="AD47" s="5" t="s">
        <v>594</v>
      </c>
      <c r="AE47" s="5" t="s">
        <v>594</v>
      </c>
      <c r="AF47" s="5" t="s">
        <v>595</v>
      </c>
    </row>
    <row r="48" spans="1:32" ht="25.5">
      <c r="A48" s="5" t="s">
        <v>596</v>
      </c>
      <c r="B48" s="5" t="s">
        <v>597</v>
      </c>
      <c r="C48" s="5"/>
      <c r="D48" s="5" t="s">
        <v>118</v>
      </c>
      <c r="E48" s="12">
        <f>INDEX(MCDM_Grades!$E$6:$E$238,MATCH(A48,MCDM_Grades!$A$6:$A$238,0))</f>
        <v>58.333333333333343</v>
      </c>
      <c r="F48" s="12">
        <f>INDEX(MCDM_Grades!$F$6:$F$238,MATCH(A48,MCDM_Grades!$A$6:$A$238,0))</f>
        <v>99.999999999999986</v>
      </c>
      <c r="G48" s="13">
        <f>INDEX(MCDM_Grades!$G$6:$G$238,MATCH(A48,MCDM_Grades!$A$6:$A$238,0))</f>
        <v>0.58333333333333326</v>
      </c>
      <c r="H48" s="5" t="str">
        <f>HYPERLINK("https://github.com/ruirangerfan/stereo_pothole_datasets","Dataset")</f>
        <v>Dataset</v>
      </c>
      <c r="I48" s="5" t="str">
        <f>HYPERLINK("https://github.com/ruirangerfan/stereo_pothole_datasets","Evidence / paper")</f>
        <v>Evidence / paper</v>
      </c>
      <c r="J48" s="5" t="s">
        <v>121</v>
      </c>
      <c r="K48" s="5" t="s">
        <v>598</v>
      </c>
      <c r="L48" s="5" t="s">
        <v>121</v>
      </c>
      <c r="M48" s="5" t="s">
        <v>599</v>
      </c>
      <c r="N48" s="5" t="s">
        <v>600</v>
      </c>
      <c r="O48" s="5" t="s">
        <v>601</v>
      </c>
      <c r="P48" s="5" t="s">
        <v>121</v>
      </c>
      <c r="Q48" s="5" t="s">
        <v>124</v>
      </c>
      <c r="R48" s="5" t="s">
        <v>121</v>
      </c>
      <c r="S48" s="5" t="s">
        <v>428</v>
      </c>
      <c r="T48" s="5"/>
      <c r="U48" s="5" t="s">
        <v>602</v>
      </c>
      <c r="V48" s="5" t="s">
        <v>596</v>
      </c>
      <c r="W48" s="5" t="s">
        <v>127</v>
      </c>
      <c r="X48" s="5" t="s">
        <v>603</v>
      </c>
      <c r="Y48" s="5"/>
      <c r="Z48" s="5" t="s">
        <v>128</v>
      </c>
      <c r="AA48" s="5" t="str">
        <f>HYPERLINK("#'Manual_Review'!A"&amp;(MATCH("DS-043",Manual_Review!$A$6:$A$238,0)+5),"Enter review")</f>
        <v>Enter review</v>
      </c>
      <c r="AB48" s="5" t="str">
        <f>HYPERLINK("#'MCDM_Checks'!A"&amp;(MATCH("DS-043",MCDM_Checks!$B$6:$B$3733,0)+5),"Check evidence")</f>
        <v>Check evidence</v>
      </c>
      <c r="AC48" s="5" t="s">
        <v>129</v>
      </c>
      <c r="AD48" s="5" t="s">
        <v>604</v>
      </c>
      <c r="AE48" s="5" t="s">
        <v>604</v>
      </c>
      <c r="AF48" s="5" t="s">
        <v>605</v>
      </c>
    </row>
    <row r="49" spans="1:32" ht="76.5">
      <c r="A49" s="5" t="s">
        <v>606</v>
      </c>
      <c r="B49" s="5" t="s">
        <v>607</v>
      </c>
      <c r="C49" s="5"/>
      <c r="D49" s="5" t="s">
        <v>118</v>
      </c>
      <c r="E49" s="12">
        <f>INDEX(MCDM_Grades!$E$6:$E$238,MATCH(A49,MCDM_Grades!$A$6:$A$238,0))</f>
        <v>44.444444444444436</v>
      </c>
      <c r="F49" s="12">
        <f>INDEX(MCDM_Grades!$F$6:$F$238,MATCH(A49,MCDM_Grades!$A$6:$A$238,0))</f>
        <v>99.999999999999986</v>
      </c>
      <c r="G49" s="13">
        <f>INDEX(MCDM_Grades!$G$6:$G$238,MATCH(A49,MCDM_Grades!$A$6:$A$238,0))</f>
        <v>0.44444444444444442</v>
      </c>
      <c r="H49" s="5" t="str">
        <f>HYPERLINK("https://data.mendeley.com/datasets/gsbmknrhkv/6","Dataset")</f>
        <v>Dataset</v>
      </c>
      <c r="I49" s="5" t="str">
        <f>HYPERLINK("https://data.mendeley.com/datasets/gsbmknrhkv/6","Evidence / paper")</f>
        <v>Evidence / paper</v>
      </c>
      <c r="J49" s="5" t="s">
        <v>608</v>
      </c>
      <c r="K49" s="5" t="s">
        <v>609</v>
      </c>
      <c r="L49" s="5" t="s">
        <v>155</v>
      </c>
      <c r="M49" s="5" t="s">
        <v>610</v>
      </c>
      <c r="N49" s="5" t="s">
        <v>611</v>
      </c>
      <c r="O49" s="5" t="s">
        <v>612</v>
      </c>
      <c r="P49" s="5" t="s">
        <v>613</v>
      </c>
      <c r="Q49" s="5" t="s">
        <v>124</v>
      </c>
      <c r="R49" s="5" t="s">
        <v>614</v>
      </c>
      <c r="S49" s="5" t="s">
        <v>615</v>
      </c>
      <c r="T49" s="5"/>
      <c r="U49" s="5" t="s">
        <v>616</v>
      </c>
      <c r="V49" s="5" t="s">
        <v>606</v>
      </c>
      <c r="W49" s="5" t="s">
        <v>127</v>
      </c>
      <c r="X49" s="5"/>
      <c r="Y49" s="5"/>
      <c r="Z49" s="5" t="s">
        <v>128</v>
      </c>
      <c r="AA49" s="5" t="str">
        <f>HYPERLINK("#'Manual_Review'!A"&amp;(MATCH("DS-044",Manual_Review!$A$6:$A$238,0)+5),"Enter review")</f>
        <v>Enter review</v>
      </c>
      <c r="AB49" s="5" t="str">
        <f>HYPERLINK("#'MCDM_Checks'!A"&amp;(MATCH("DS-044",MCDM_Checks!$B$6:$B$3733,0)+5),"Check evidence")</f>
        <v>Check evidence</v>
      </c>
      <c r="AC49" s="5" t="s">
        <v>245</v>
      </c>
      <c r="AD49" s="5" t="s">
        <v>617</v>
      </c>
      <c r="AE49" s="5" t="s">
        <v>617</v>
      </c>
      <c r="AF49" s="5" t="s">
        <v>618</v>
      </c>
    </row>
    <row r="50" spans="1:32" ht="38.25">
      <c r="A50" s="5" t="s">
        <v>619</v>
      </c>
      <c r="B50" s="5" t="s">
        <v>620</v>
      </c>
      <c r="C50" s="5"/>
      <c r="D50" s="5" t="s">
        <v>118</v>
      </c>
      <c r="E50" s="12">
        <f>INDEX(MCDM_Grades!$E$6:$E$238,MATCH(A50,MCDM_Grades!$A$6:$A$238,0))</f>
        <v>52.777777777777771</v>
      </c>
      <c r="F50" s="12">
        <f>INDEX(MCDM_Grades!$F$6:$F$238,MATCH(A50,MCDM_Grades!$A$6:$A$238,0))</f>
        <v>99.999999999999986</v>
      </c>
      <c r="G50" s="13">
        <f>INDEX(MCDM_Grades!$G$6:$G$238,MATCH(A50,MCDM_Grades!$A$6:$A$238,0))</f>
        <v>0.52777777777777779</v>
      </c>
      <c r="H50" s="5" t="str">
        <f>HYPERLINK("https://github.com/tantantetetao/UAPD-Pavement-Distress-Dataset","Dataset")</f>
        <v>Dataset</v>
      </c>
      <c r="I50" s="5" t="str">
        <f>HYPERLINK("https://github.com/tantantetetao/UAPD-Pavement-Distress-Dataset","Evidence / paper")</f>
        <v>Evidence / paper</v>
      </c>
      <c r="J50" s="5" t="s">
        <v>621</v>
      </c>
      <c r="K50" s="5" t="s">
        <v>622</v>
      </c>
      <c r="L50" s="5" t="s">
        <v>155</v>
      </c>
      <c r="M50" s="5" t="s">
        <v>623</v>
      </c>
      <c r="N50" s="5" t="s">
        <v>624</v>
      </c>
      <c r="O50" s="5" t="s">
        <v>121</v>
      </c>
      <c r="P50" s="5" t="s">
        <v>121</v>
      </c>
      <c r="Q50" s="5" t="s">
        <v>124</v>
      </c>
      <c r="R50" s="5" t="s">
        <v>625</v>
      </c>
      <c r="S50" s="5" t="s">
        <v>626</v>
      </c>
      <c r="T50" s="5"/>
      <c r="U50" s="5" t="s">
        <v>627</v>
      </c>
      <c r="V50" s="5" t="s">
        <v>619</v>
      </c>
      <c r="W50" s="5" t="s">
        <v>127</v>
      </c>
      <c r="X50" s="5"/>
      <c r="Y50" s="5"/>
      <c r="Z50" s="5" t="s">
        <v>128</v>
      </c>
      <c r="AA50" s="5" t="str">
        <f>HYPERLINK("#'Manual_Review'!A"&amp;(MATCH("DS-045",Manual_Review!$A$6:$A$238,0)+5),"Enter review")</f>
        <v>Enter review</v>
      </c>
      <c r="AB50" s="5" t="str">
        <f>HYPERLINK("#'MCDM_Checks'!A"&amp;(MATCH("DS-045",MCDM_Checks!$B$6:$B$3733,0)+5),"Check evidence")</f>
        <v>Check evidence</v>
      </c>
      <c r="AC50" s="5" t="s">
        <v>129</v>
      </c>
      <c r="AD50" s="5" t="s">
        <v>628</v>
      </c>
      <c r="AE50" s="5" t="s">
        <v>628</v>
      </c>
      <c r="AF50" s="5" t="s">
        <v>629</v>
      </c>
    </row>
    <row r="51" spans="1:32" ht="25.5">
      <c r="A51" s="5" t="s">
        <v>630</v>
      </c>
      <c r="B51" s="5" t="s">
        <v>631</v>
      </c>
      <c r="C51" s="5"/>
      <c r="D51" s="5" t="s">
        <v>118</v>
      </c>
      <c r="E51" s="12">
        <f>INDEX(MCDM_Grades!$E$6:$E$238,MATCH(A51,MCDM_Grades!$A$6:$A$238,0))</f>
        <v>52.777777777777779</v>
      </c>
      <c r="F51" s="12">
        <f>INDEX(MCDM_Grades!$F$6:$F$238,MATCH(A51,MCDM_Grades!$A$6:$A$238,0))</f>
        <v>99.999999999999986</v>
      </c>
      <c r="G51" s="13">
        <f>INDEX(MCDM_Grades!$G$6:$G$238,MATCH(A51,MCDM_Grades!$A$6:$A$238,0))</f>
        <v>0.52777777777777768</v>
      </c>
      <c r="H51" s="5" t="str">
        <f>HYPERLINK("https://github.com/SHAN-JH/UAV-CrackX-Datasets","Dataset")</f>
        <v>Dataset</v>
      </c>
      <c r="I51" s="5" t="str">
        <f>HYPERLINK("https://github.com/SHAN-JH/UAV-CrackX-Datasets","Evidence / paper")</f>
        <v>Evidence / paper</v>
      </c>
      <c r="J51" s="5" t="s">
        <v>632</v>
      </c>
      <c r="K51" s="5" t="s">
        <v>633</v>
      </c>
      <c r="L51" s="5" t="s">
        <v>155</v>
      </c>
      <c r="M51" s="5" t="s">
        <v>634</v>
      </c>
      <c r="N51" s="5" t="s">
        <v>635</v>
      </c>
      <c r="O51" s="5" t="s">
        <v>636</v>
      </c>
      <c r="P51" s="5" t="s">
        <v>121</v>
      </c>
      <c r="Q51" s="5" t="s">
        <v>426</v>
      </c>
      <c r="R51" s="5" t="s">
        <v>637</v>
      </c>
      <c r="S51" s="5" t="s">
        <v>638</v>
      </c>
      <c r="T51" s="5"/>
      <c r="U51" s="5" t="s">
        <v>639</v>
      </c>
      <c r="V51" s="5" t="s">
        <v>630</v>
      </c>
      <c r="W51" s="5" t="s">
        <v>127</v>
      </c>
      <c r="X51" s="5"/>
      <c r="Y51" s="5"/>
      <c r="Z51" s="5" t="s">
        <v>128</v>
      </c>
      <c r="AA51" s="5" t="str">
        <f>HYPERLINK("#'Manual_Review'!A"&amp;(MATCH("DS-046",Manual_Review!$A$6:$A$238,0)+5),"Enter review")</f>
        <v>Enter review</v>
      </c>
      <c r="AB51" s="5" t="str">
        <f>HYPERLINK("#'MCDM_Checks'!A"&amp;(MATCH("DS-046",MCDM_Checks!$B$6:$B$3733,0)+5),"Check evidence")</f>
        <v>Check evidence</v>
      </c>
      <c r="AC51" s="5" t="s">
        <v>129</v>
      </c>
      <c r="AD51" s="5" t="s">
        <v>640</v>
      </c>
      <c r="AE51" s="5" t="s">
        <v>640</v>
      </c>
      <c r="AF51" s="5" t="s">
        <v>641</v>
      </c>
    </row>
    <row r="52" spans="1:32" ht="89.25">
      <c r="A52" s="5" t="s">
        <v>74</v>
      </c>
      <c r="B52" s="5" t="s">
        <v>642</v>
      </c>
      <c r="C52" s="5">
        <v>9</v>
      </c>
      <c r="D52" s="5" t="s">
        <v>118</v>
      </c>
      <c r="E52" s="12">
        <f>INDEX(MCDM_Grades!$E$6:$E$238,MATCH(A52,MCDM_Grades!$A$6:$A$238,0))</f>
        <v>83.333333333333314</v>
      </c>
      <c r="F52" s="12">
        <f>INDEX(MCDM_Grades!$F$6:$F$238,MATCH(A52,MCDM_Grades!$A$6:$A$238,0))</f>
        <v>99.999999999999986</v>
      </c>
      <c r="G52" s="13">
        <f>INDEX(MCDM_Grades!$G$6:$G$238,MATCH(A52,MCDM_Grades!$A$6:$A$238,0))</f>
        <v>0.83333333333333326</v>
      </c>
      <c r="H52" s="5" t="str">
        <f>HYPERLINK("https://infopave.fhwa.dot.gov/Data/StandardDataRelease","Dataset")</f>
        <v>Dataset</v>
      </c>
      <c r="I52" s="5" t="str">
        <f>HYPERLINK("https://infopave.fhwa.dot.gov/InfoPave_Repository/files/FHWA-HRT-21-038.pdf","Evidence / paper")</f>
        <v>Evidence / paper</v>
      </c>
      <c r="J52" s="5" t="s">
        <v>79</v>
      </c>
      <c r="K52" s="5" t="s">
        <v>121</v>
      </c>
      <c r="L52" s="5" t="s">
        <v>121</v>
      </c>
      <c r="M52" s="5" t="s">
        <v>643</v>
      </c>
      <c r="N52" s="5" t="s">
        <v>644</v>
      </c>
      <c r="O52" s="5" t="s">
        <v>645</v>
      </c>
      <c r="P52" s="5" t="s">
        <v>121</v>
      </c>
      <c r="Q52" s="5" t="s">
        <v>646</v>
      </c>
      <c r="R52" s="5" t="s">
        <v>121</v>
      </c>
      <c r="S52" s="5" t="s">
        <v>647</v>
      </c>
      <c r="T52" s="5"/>
      <c r="U52" s="5" t="s">
        <v>648</v>
      </c>
      <c r="V52" s="5" t="s">
        <v>74</v>
      </c>
      <c r="W52" s="5" t="s">
        <v>127</v>
      </c>
      <c r="X52" s="5"/>
      <c r="Y52" s="5" t="s">
        <v>80</v>
      </c>
      <c r="Z52" s="5" t="s">
        <v>206</v>
      </c>
      <c r="AA52" s="5" t="str">
        <f>HYPERLINK("#'Manual_Review'!A"&amp;(MATCH("DS-047",Manual_Review!$A$6:$A$238,0)+5),"Enter review")</f>
        <v>Enter review</v>
      </c>
      <c r="AB52" s="5" t="str">
        <f>HYPERLINK("#'MCDM_Checks'!A"&amp;(MATCH("DS-047",MCDM_Checks!$B$6:$B$3733,0)+5),"Check evidence")</f>
        <v>Check evidence</v>
      </c>
      <c r="AC52" s="5" t="s">
        <v>649</v>
      </c>
      <c r="AD52" s="5" t="s">
        <v>650</v>
      </c>
      <c r="AE52" s="5" t="s">
        <v>651</v>
      </c>
      <c r="AF52" s="5" t="s">
        <v>652</v>
      </c>
    </row>
    <row r="53" spans="1:32" ht="38.25">
      <c r="A53" s="5" t="s">
        <v>653</v>
      </c>
      <c r="B53" s="5" t="s">
        <v>654</v>
      </c>
      <c r="C53" s="5"/>
      <c r="D53" s="5" t="s">
        <v>118</v>
      </c>
      <c r="E53" s="12">
        <f>INDEX(MCDM_Grades!$E$6:$E$238,MATCH(A53,MCDM_Grades!$A$6:$A$238,0))</f>
        <v>0</v>
      </c>
      <c r="F53" s="12">
        <f>INDEX(MCDM_Grades!$F$6:$F$238,MATCH(A53,MCDM_Grades!$A$6:$A$238,0))</f>
        <v>99.999999999999986</v>
      </c>
      <c r="G53" s="13">
        <f>INDEX(MCDM_Grades!$G$6:$G$238,MATCH(A53,MCDM_Grades!$A$6:$A$238,0))</f>
        <v>0</v>
      </c>
      <c r="H53" s="5" t="str">
        <f>HYPERLINK("https://infopave.fhwa.dot.gov/?Goto=NON-LTPP","Dataset")</f>
        <v>Dataset</v>
      </c>
      <c r="I53" s="5" t="str">
        <f>HYPERLINK("https://infopave.fhwa.dot.gov/?Goto=NON-LTPP","Evidence / paper")</f>
        <v>Evidence / paper</v>
      </c>
      <c r="J53" s="5" t="s">
        <v>655</v>
      </c>
      <c r="K53" s="5" t="s">
        <v>121</v>
      </c>
      <c r="L53" s="5" t="s">
        <v>121</v>
      </c>
      <c r="M53" s="5" t="s">
        <v>121</v>
      </c>
      <c r="N53" s="5" t="s">
        <v>121</v>
      </c>
      <c r="O53" s="5" t="s">
        <v>656</v>
      </c>
      <c r="P53" s="5" t="s">
        <v>121</v>
      </c>
      <c r="Q53" s="5" t="s">
        <v>426</v>
      </c>
      <c r="R53" s="5" t="s">
        <v>121</v>
      </c>
      <c r="S53" s="5" t="s">
        <v>657</v>
      </c>
      <c r="T53" s="5"/>
      <c r="U53" s="5" t="s">
        <v>658</v>
      </c>
      <c r="V53" s="5" t="s">
        <v>653</v>
      </c>
      <c r="W53" s="5" t="s">
        <v>127</v>
      </c>
      <c r="X53" s="5"/>
      <c r="Y53" s="5"/>
      <c r="Z53" s="5" t="s">
        <v>128</v>
      </c>
      <c r="AA53" s="5" t="str">
        <f>HYPERLINK("#'Manual_Review'!A"&amp;(MATCH("DS-048",Manual_Review!$A$6:$A$238,0)+5),"Enter review")</f>
        <v>Enter review</v>
      </c>
      <c r="AB53" s="5" t="str">
        <f>HYPERLINK("#'MCDM_Checks'!A"&amp;(MATCH("DS-048",MCDM_Checks!$B$6:$B$3733,0)+5),"Check evidence")</f>
        <v>Check evidence</v>
      </c>
      <c r="AC53" s="5" t="s">
        <v>659</v>
      </c>
      <c r="AD53" s="5" t="s">
        <v>660</v>
      </c>
      <c r="AE53" s="5" t="s">
        <v>660</v>
      </c>
      <c r="AF53" s="5" t="s">
        <v>661</v>
      </c>
    </row>
    <row r="54" spans="1:32" ht="38.25">
      <c r="A54" s="5" t="s">
        <v>662</v>
      </c>
      <c r="B54" s="5" t="s">
        <v>663</v>
      </c>
      <c r="C54" s="5"/>
      <c r="D54" s="5" t="s">
        <v>118</v>
      </c>
      <c r="E54" s="12">
        <f>INDEX(MCDM_Grades!$E$6:$E$238,MATCH(A54,MCDM_Grades!$A$6:$A$238,0))</f>
        <v>55.555555555555557</v>
      </c>
      <c r="F54" s="12">
        <f>INDEX(MCDM_Grades!$F$6:$F$238,MATCH(A54,MCDM_Grades!$A$6:$A$238,0))</f>
        <v>99.999999999999986</v>
      </c>
      <c r="G54" s="13">
        <f>INDEX(MCDM_Grades!$G$6:$G$238,MATCH(A54,MCDM_Grades!$A$6:$A$238,0))</f>
        <v>0.55555555555555558</v>
      </c>
      <c r="H54" s="5" t="str">
        <f>HYPERLINK("https://data.mendeley.com/datasets/s3k75x9zf4/2","Dataset")</f>
        <v>Dataset</v>
      </c>
      <c r="I54" s="5" t="str">
        <f>HYPERLINK("https://data.mendeley.com/datasets/s3k75x9zf4/2","Evidence / paper")</f>
        <v>Evidence / paper</v>
      </c>
      <c r="J54" s="5" t="s">
        <v>664</v>
      </c>
      <c r="K54" s="5" t="s">
        <v>665</v>
      </c>
      <c r="L54" s="5" t="s">
        <v>155</v>
      </c>
      <c r="M54" s="5" t="s">
        <v>121</v>
      </c>
      <c r="N54" s="5" t="s">
        <v>666</v>
      </c>
      <c r="O54" s="5" t="s">
        <v>667</v>
      </c>
      <c r="P54" s="5" t="s">
        <v>241</v>
      </c>
      <c r="Q54" s="5" t="s">
        <v>124</v>
      </c>
      <c r="R54" s="5" t="s">
        <v>668</v>
      </c>
      <c r="S54" s="5" t="s">
        <v>121</v>
      </c>
      <c r="T54" s="5"/>
      <c r="U54" s="5" t="s">
        <v>669</v>
      </c>
      <c r="V54" s="5" t="s">
        <v>662</v>
      </c>
      <c r="W54" s="5" t="s">
        <v>127</v>
      </c>
      <c r="X54" s="5"/>
      <c r="Y54" s="5"/>
      <c r="Z54" s="5" t="s">
        <v>128</v>
      </c>
      <c r="AA54" s="5" t="str">
        <f>HYPERLINK("#'Manual_Review'!A"&amp;(MATCH("DS-049",Manual_Review!$A$6:$A$238,0)+5),"Enter review")</f>
        <v>Enter review</v>
      </c>
      <c r="AB54" s="5" t="str">
        <f>HYPERLINK("#'MCDM_Checks'!A"&amp;(MATCH("DS-049",MCDM_Checks!$B$6:$B$3733,0)+5),"Check evidence")</f>
        <v>Check evidence</v>
      </c>
      <c r="AC54" s="5" t="s">
        <v>562</v>
      </c>
      <c r="AD54" s="5" t="s">
        <v>670</v>
      </c>
      <c r="AE54" s="5" t="s">
        <v>670</v>
      </c>
      <c r="AF54" s="5" t="s">
        <v>671</v>
      </c>
    </row>
    <row r="55" spans="1:32" ht="38.25">
      <c r="A55" s="5" t="s">
        <v>672</v>
      </c>
      <c r="B55" s="5" t="s">
        <v>673</v>
      </c>
      <c r="C55" s="5"/>
      <c r="D55" s="5" t="s">
        <v>118</v>
      </c>
      <c r="E55" s="12">
        <f>INDEX(MCDM_Grades!$E$6:$E$238,MATCH(A55,MCDM_Grades!$A$6:$A$238,0))</f>
        <v>44.444444444444443</v>
      </c>
      <c r="F55" s="12">
        <f>INDEX(MCDM_Grades!$F$6:$F$238,MATCH(A55,MCDM_Grades!$A$6:$A$238,0))</f>
        <v>99.999999999999986</v>
      </c>
      <c r="G55" s="13">
        <f>INDEX(MCDM_Grades!$G$6:$G$238,MATCH(A55,MCDM_Grades!$A$6:$A$238,0))</f>
        <v>0.44444444444444442</v>
      </c>
      <c r="H55" s="5" t="str">
        <f>HYPERLINK("https://data.mendeley.com/datasets/7zzcmv2wz7/1","Dataset")</f>
        <v>Dataset</v>
      </c>
      <c r="I55" s="5" t="str">
        <f>HYPERLINK("https://data.mendeley.com/datasets/7zzcmv2wz7/1","Evidence / paper")</f>
        <v>Evidence / paper</v>
      </c>
      <c r="J55" s="5" t="s">
        <v>556</v>
      </c>
      <c r="K55" s="5" t="s">
        <v>674</v>
      </c>
      <c r="L55" s="5" t="s">
        <v>121</v>
      </c>
      <c r="M55" s="5" t="s">
        <v>121</v>
      </c>
      <c r="N55" s="5" t="s">
        <v>675</v>
      </c>
      <c r="O55" s="5" t="s">
        <v>676</v>
      </c>
      <c r="P55" s="5" t="s">
        <v>241</v>
      </c>
      <c r="Q55" s="5" t="s">
        <v>124</v>
      </c>
      <c r="R55" s="5" t="s">
        <v>121</v>
      </c>
      <c r="S55" s="5" t="s">
        <v>677</v>
      </c>
      <c r="T55" s="5"/>
      <c r="U55" s="5" t="s">
        <v>678</v>
      </c>
      <c r="V55" s="5" t="s">
        <v>672</v>
      </c>
      <c r="W55" s="5" t="s">
        <v>127</v>
      </c>
      <c r="X55" s="5"/>
      <c r="Y55" s="5"/>
      <c r="Z55" s="5" t="s">
        <v>128</v>
      </c>
      <c r="AA55" s="5" t="str">
        <f>HYPERLINK("#'Manual_Review'!A"&amp;(MATCH("DS-050",Manual_Review!$A$6:$A$238,0)+5),"Enter review")</f>
        <v>Enter review</v>
      </c>
      <c r="AB55" s="5" t="str">
        <f>HYPERLINK("#'MCDM_Checks'!A"&amp;(MATCH("DS-050",MCDM_Checks!$B$6:$B$3733,0)+5),"Check evidence")</f>
        <v>Check evidence</v>
      </c>
      <c r="AC55" s="5" t="s">
        <v>562</v>
      </c>
      <c r="AD55" s="5" t="s">
        <v>679</v>
      </c>
      <c r="AE55" s="5" t="s">
        <v>679</v>
      </c>
      <c r="AF55" s="5" t="s">
        <v>680</v>
      </c>
    </row>
    <row r="56" spans="1:32" ht="25.5">
      <c r="A56" s="5" t="s">
        <v>681</v>
      </c>
      <c r="B56" s="5" t="s">
        <v>682</v>
      </c>
      <c r="C56" s="5"/>
      <c r="D56" s="5" t="s">
        <v>118</v>
      </c>
      <c r="E56" s="12">
        <f>INDEX(MCDM_Grades!$E$6:$E$238,MATCH(A56,MCDM_Grades!$A$6:$A$238,0))</f>
        <v>30.555555555555554</v>
      </c>
      <c r="F56" s="12">
        <f>INDEX(MCDM_Grades!$F$6:$F$238,MATCH(A56,MCDM_Grades!$A$6:$A$238,0))</f>
        <v>99.999999999999986</v>
      </c>
      <c r="G56" s="13">
        <f>INDEX(MCDM_Grades!$G$6:$G$238,MATCH(A56,MCDM_Grades!$A$6:$A$238,0))</f>
        <v>0.30555555555555552</v>
      </c>
      <c r="H56" s="5" t="str">
        <f>HYPERLINK("https://data.mendeley.com/datasets/tp95cdvgm8/1","Dataset")</f>
        <v>Dataset</v>
      </c>
      <c r="I56" s="5" t="str">
        <f>HYPERLINK("https://data.mendeley.com/datasets/tp95cdvgm8/1","Evidence / paper")</f>
        <v>Evidence / paper</v>
      </c>
      <c r="J56" s="5" t="s">
        <v>556</v>
      </c>
      <c r="K56" s="5" t="s">
        <v>683</v>
      </c>
      <c r="L56" s="5" t="s">
        <v>121</v>
      </c>
      <c r="M56" s="5" t="s">
        <v>684</v>
      </c>
      <c r="N56" s="5" t="s">
        <v>685</v>
      </c>
      <c r="O56" s="5" t="s">
        <v>686</v>
      </c>
      <c r="P56" s="5" t="s">
        <v>241</v>
      </c>
      <c r="Q56" s="5" t="s">
        <v>124</v>
      </c>
      <c r="R56" s="5" t="s">
        <v>121</v>
      </c>
      <c r="S56" s="5" t="s">
        <v>687</v>
      </c>
      <c r="T56" s="5"/>
      <c r="U56" s="5" t="s">
        <v>688</v>
      </c>
      <c r="V56" s="5" t="s">
        <v>681</v>
      </c>
      <c r="W56" s="5" t="s">
        <v>127</v>
      </c>
      <c r="X56" s="5"/>
      <c r="Y56" s="5"/>
      <c r="Z56" s="5" t="s">
        <v>128</v>
      </c>
      <c r="AA56" s="5" t="str">
        <f>HYPERLINK("#'Manual_Review'!A"&amp;(MATCH("DS-051",Manual_Review!$A$6:$A$238,0)+5),"Enter review")</f>
        <v>Enter review</v>
      </c>
      <c r="AB56" s="5" t="str">
        <f>HYPERLINK("#'MCDM_Checks'!A"&amp;(MATCH("DS-051",MCDM_Checks!$B$6:$B$3733,0)+5),"Check evidence")</f>
        <v>Check evidence</v>
      </c>
      <c r="AC56" s="5" t="s">
        <v>562</v>
      </c>
      <c r="AD56" s="5" t="s">
        <v>689</v>
      </c>
      <c r="AE56" s="5" t="s">
        <v>689</v>
      </c>
      <c r="AF56" s="5" t="s">
        <v>690</v>
      </c>
    </row>
    <row r="57" spans="1:32" ht="25.5">
      <c r="A57" s="5" t="s">
        <v>691</v>
      </c>
      <c r="B57" s="5" t="s">
        <v>692</v>
      </c>
      <c r="C57" s="5"/>
      <c r="D57" s="5" t="s">
        <v>118</v>
      </c>
      <c r="E57" s="12">
        <f>INDEX(MCDM_Grades!$E$6:$E$238,MATCH(A57,MCDM_Grades!$A$6:$A$238,0))</f>
        <v>36.111111111111107</v>
      </c>
      <c r="F57" s="12">
        <f>INDEX(MCDM_Grades!$F$6:$F$238,MATCH(A57,MCDM_Grades!$A$6:$A$238,0))</f>
        <v>99.999999999999986</v>
      </c>
      <c r="G57" s="13">
        <f>INDEX(MCDM_Grades!$G$6:$G$238,MATCH(A57,MCDM_Grades!$A$6:$A$238,0))</f>
        <v>0.36111111111111105</v>
      </c>
      <c r="H57" s="5" t="str">
        <f>HYPERLINK("https://data.mendeley.com/datasets/xnzhj3x8v4/2","Dataset")</f>
        <v>Dataset</v>
      </c>
      <c r="I57" s="5" t="str">
        <f>HYPERLINK("https://data.mendeley.com/datasets/xnzhj3x8v4/2","Evidence / paper")</f>
        <v>Evidence / paper</v>
      </c>
      <c r="J57" s="5" t="s">
        <v>664</v>
      </c>
      <c r="K57" s="5" t="s">
        <v>120</v>
      </c>
      <c r="L57" s="5" t="s">
        <v>155</v>
      </c>
      <c r="M57" s="5" t="s">
        <v>693</v>
      </c>
      <c r="N57" s="5" t="s">
        <v>694</v>
      </c>
      <c r="O57" s="5" t="s">
        <v>121</v>
      </c>
      <c r="P57" s="5" t="s">
        <v>241</v>
      </c>
      <c r="Q57" s="5" t="s">
        <v>124</v>
      </c>
      <c r="R57" s="5" t="s">
        <v>695</v>
      </c>
      <c r="S57" s="5" t="s">
        <v>121</v>
      </c>
      <c r="T57" s="5"/>
      <c r="U57" s="5" t="s">
        <v>696</v>
      </c>
      <c r="V57" s="5" t="s">
        <v>691</v>
      </c>
      <c r="W57" s="5" t="s">
        <v>127</v>
      </c>
      <c r="X57" s="5"/>
      <c r="Y57" s="5"/>
      <c r="Z57" s="5" t="s">
        <v>128</v>
      </c>
      <c r="AA57" s="5" t="str">
        <f>HYPERLINK("#'Manual_Review'!A"&amp;(MATCH("DS-052",Manual_Review!$A$6:$A$238,0)+5),"Enter review")</f>
        <v>Enter review</v>
      </c>
      <c r="AB57" s="5" t="str">
        <f>HYPERLINK("#'MCDM_Checks'!A"&amp;(MATCH("DS-052",MCDM_Checks!$B$6:$B$3733,0)+5),"Check evidence")</f>
        <v>Check evidence</v>
      </c>
      <c r="AC57" s="5" t="s">
        <v>562</v>
      </c>
      <c r="AD57" s="5" t="s">
        <v>697</v>
      </c>
      <c r="AE57" s="5" t="s">
        <v>697</v>
      </c>
      <c r="AF57" s="5" t="s">
        <v>698</v>
      </c>
    </row>
    <row r="58" spans="1:32" ht="38.25">
      <c r="A58" s="5" t="s">
        <v>699</v>
      </c>
      <c r="B58" s="5" t="s">
        <v>700</v>
      </c>
      <c r="C58" s="5"/>
      <c r="D58" s="5" t="s">
        <v>118</v>
      </c>
      <c r="E58" s="12">
        <f>INDEX(MCDM_Grades!$E$6:$E$238,MATCH(A58,MCDM_Grades!$A$6:$A$238,0))</f>
        <v>80.555555555555557</v>
      </c>
      <c r="F58" s="12">
        <f>INDEX(MCDM_Grades!$F$6:$F$238,MATCH(A58,MCDM_Grades!$A$6:$A$238,0))</f>
        <v>99.999999999999986</v>
      </c>
      <c r="G58" s="13">
        <f>INDEX(MCDM_Grades!$G$6:$G$238,MATCH(A58,MCDM_Grades!$A$6:$A$238,0))</f>
        <v>0.80555555555555558</v>
      </c>
      <c r="H58" s="5" t="str">
        <f>HYPERLINK("https://data.mendeley.com/datasets/88kdyyc73h/1","Dataset")</f>
        <v>Dataset</v>
      </c>
      <c r="I58" s="5" t="str">
        <f>HYPERLINK("https://data.mendeley.com/datasets/88kdyyc73h/1","Evidence / paper")</f>
        <v>Evidence / paper</v>
      </c>
      <c r="J58" s="5" t="s">
        <v>556</v>
      </c>
      <c r="K58" s="5" t="s">
        <v>120</v>
      </c>
      <c r="L58" s="5" t="s">
        <v>155</v>
      </c>
      <c r="M58" s="5" t="s">
        <v>701</v>
      </c>
      <c r="N58" s="5" t="s">
        <v>702</v>
      </c>
      <c r="O58" s="5" t="s">
        <v>676</v>
      </c>
      <c r="P58" s="5" t="s">
        <v>241</v>
      </c>
      <c r="Q58" s="5" t="s">
        <v>124</v>
      </c>
      <c r="R58" s="5" t="s">
        <v>703</v>
      </c>
      <c r="S58" s="5" t="s">
        <v>704</v>
      </c>
      <c r="T58" s="5"/>
      <c r="U58" s="5" t="s">
        <v>705</v>
      </c>
      <c r="V58" s="5" t="s">
        <v>699</v>
      </c>
      <c r="W58" s="5" t="s">
        <v>127</v>
      </c>
      <c r="X58" s="5"/>
      <c r="Y58" s="5"/>
      <c r="Z58" s="5" t="s">
        <v>128</v>
      </c>
      <c r="AA58" s="5" t="str">
        <f>HYPERLINK("#'Manual_Review'!A"&amp;(MATCH("DS-053",Manual_Review!$A$6:$A$238,0)+5),"Enter review")</f>
        <v>Enter review</v>
      </c>
      <c r="AB58" s="5" t="str">
        <f>HYPERLINK("#'MCDM_Checks'!A"&amp;(MATCH("DS-053",MCDM_Checks!$B$6:$B$3733,0)+5),"Check evidence")</f>
        <v>Check evidence</v>
      </c>
      <c r="AC58" s="5" t="s">
        <v>562</v>
      </c>
      <c r="AD58" s="5" t="s">
        <v>706</v>
      </c>
      <c r="AE58" s="5" t="s">
        <v>706</v>
      </c>
      <c r="AF58" s="5" t="s">
        <v>707</v>
      </c>
    </row>
    <row r="59" spans="1:32" ht="51">
      <c r="A59" s="5" t="s">
        <v>708</v>
      </c>
      <c r="B59" s="5" t="s">
        <v>709</v>
      </c>
      <c r="C59" s="5"/>
      <c r="D59" s="5" t="s">
        <v>118</v>
      </c>
      <c r="E59" s="12">
        <f>INDEX(MCDM_Grades!$E$6:$E$238,MATCH(A59,MCDM_Grades!$A$6:$A$238,0))</f>
        <v>63.888888888888872</v>
      </c>
      <c r="F59" s="12">
        <f>INDEX(MCDM_Grades!$F$6:$F$238,MATCH(A59,MCDM_Grades!$A$6:$A$238,0))</f>
        <v>99.999999999999986</v>
      </c>
      <c r="G59" s="13">
        <f>INDEX(MCDM_Grades!$G$6:$G$238,MATCH(A59,MCDM_Grades!$A$6:$A$238,0))</f>
        <v>0.63888888888888884</v>
      </c>
      <c r="H59" s="5" t="str">
        <f>HYPERLINK("https://data.mendeley.com/datasets/nykrzdm74f/1","Dataset")</f>
        <v>Dataset</v>
      </c>
      <c r="I59" s="5" t="str">
        <f>HYPERLINK("https://data.mendeley.com/datasets/nykrzdm74f/1","Evidence / paper")</f>
        <v>Evidence / paper</v>
      </c>
      <c r="J59" s="5" t="s">
        <v>556</v>
      </c>
      <c r="K59" s="5" t="s">
        <v>710</v>
      </c>
      <c r="L59" s="5" t="s">
        <v>155</v>
      </c>
      <c r="M59" s="5" t="s">
        <v>711</v>
      </c>
      <c r="N59" s="5" t="s">
        <v>712</v>
      </c>
      <c r="O59" s="5" t="s">
        <v>713</v>
      </c>
      <c r="P59" s="5" t="s">
        <v>241</v>
      </c>
      <c r="Q59" s="5" t="s">
        <v>124</v>
      </c>
      <c r="R59" s="5" t="s">
        <v>714</v>
      </c>
      <c r="S59" s="5" t="s">
        <v>715</v>
      </c>
      <c r="T59" s="5"/>
      <c r="U59" s="5" t="s">
        <v>716</v>
      </c>
      <c r="V59" s="5" t="s">
        <v>708</v>
      </c>
      <c r="W59" s="5" t="s">
        <v>127</v>
      </c>
      <c r="X59" s="5"/>
      <c r="Y59" s="5"/>
      <c r="Z59" s="5" t="s">
        <v>128</v>
      </c>
      <c r="AA59" s="5" t="str">
        <f>HYPERLINK("#'Manual_Review'!A"&amp;(MATCH("DS-054",Manual_Review!$A$6:$A$238,0)+5),"Enter review")</f>
        <v>Enter review</v>
      </c>
      <c r="AB59" s="5" t="str">
        <f>HYPERLINK("#'MCDM_Checks'!A"&amp;(MATCH("DS-054",MCDM_Checks!$B$6:$B$3733,0)+5),"Check evidence")</f>
        <v>Check evidence</v>
      </c>
      <c r="AC59" s="5" t="s">
        <v>562</v>
      </c>
      <c r="AD59" s="5" t="s">
        <v>717</v>
      </c>
      <c r="AE59" s="5" t="s">
        <v>717</v>
      </c>
      <c r="AF59" s="5" t="s">
        <v>718</v>
      </c>
    </row>
    <row r="60" spans="1:32" ht="25.5">
      <c r="A60" s="5" t="s">
        <v>719</v>
      </c>
      <c r="B60" s="5" t="s">
        <v>720</v>
      </c>
      <c r="C60" s="5"/>
      <c r="D60" s="5" t="s">
        <v>118</v>
      </c>
      <c r="E60" s="12">
        <f>INDEX(MCDM_Grades!$E$6:$E$238,MATCH(A60,MCDM_Grades!$A$6:$A$238,0))</f>
        <v>58.333333333333343</v>
      </c>
      <c r="F60" s="12">
        <f>INDEX(MCDM_Grades!$F$6:$F$238,MATCH(A60,MCDM_Grades!$A$6:$A$238,0))</f>
        <v>99.999999999999986</v>
      </c>
      <c r="G60" s="13">
        <f>INDEX(MCDM_Grades!$G$6:$G$238,MATCH(A60,MCDM_Grades!$A$6:$A$238,0))</f>
        <v>0.58333333333333326</v>
      </c>
      <c r="H60" s="5" t="str">
        <f>HYPERLINK("https://data.mendeley.com/datasets/rgymy6dwdd/1","Dataset")</f>
        <v>Dataset</v>
      </c>
      <c r="I60" s="5" t="str">
        <f>HYPERLINK("https://data.mendeley.com/datasets/rgymy6dwdd/1","Evidence / paper")</f>
        <v>Evidence / paper</v>
      </c>
      <c r="J60" s="5" t="s">
        <v>556</v>
      </c>
      <c r="K60" s="5" t="s">
        <v>665</v>
      </c>
      <c r="L60" s="5" t="s">
        <v>155</v>
      </c>
      <c r="M60" s="5" t="s">
        <v>121</v>
      </c>
      <c r="N60" s="5" t="s">
        <v>721</v>
      </c>
      <c r="O60" s="5" t="s">
        <v>121</v>
      </c>
      <c r="P60" s="5" t="s">
        <v>241</v>
      </c>
      <c r="Q60" s="5" t="s">
        <v>124</v>
      </c>
      <c r="R60" s="5" t="s">
        <v>722</v>
      </c>
      <c r="S60" s="5" t="s">
        <v>723</v>
      </c>
      <c r="T60" s="5"/>
      <c r="U60" s="5" t="s">
        <v>724</v>
      </c>
      <c r="V60" s="5" t="s">
        <v>719</v>
      </c>
      <c r="W60" s="5" t="s">
        <v>127</v>
      </c>
      <c r="X60" s="5"/>
      <c r="Y60" s="5"/>
      <c r="Z60" s="5" t="s">
        <v>128</v>
      </c>
      <c r="AA60" s="5" t="str">
        <f>HYPERLINK("#'Manual_Review'!A"&amp;(MATCH("DS-055",Manual_Review!$A$6:$A$238,0)+5),"Enter review")</f>
        <v>Enter review</v>
      </c>
      <c r="AB60" s="5" t="str">
        <f>HYPERLINK("#'MCDM_Checks'!A"&amp;(MATCH("DS-055",MCDM_Checks!$B$6:$B$3733,0)+5),"Check evidence")</f>
        <v>Check evidence</v>
      </c>
      <c r="AC60" s="5" t="s">
        <v>562</v>
      </c>
      <c r="AD60" s="5" t="s">
        <v>725</v>
      </c>
      <c r="AE60" s="5" t="s">
        <v>725</v>
      </c>
      <c r="AF60" s="5" t="s">
        <v>726</v>
      </c>
    </row>
    <row r="61" spans="1:32" ht="51">
      <c r="A61" s="5" t="s">
        <v>727</v>
      </c>
      <c r="B61" s="5" t="s">
        <v>728</v>
      </c>
      <c r="C61" s="5"/>
      <c r="D61" s="5" t="s">
        <v>118</v>
      </c>
      <c r="E61" s="12">
        <f>INDEX(MCDM_Grades!$E$6:$E$238,MATCH(A61,MCDM_Grades!$A$6:$A$238,0))</f>
        <v>61.111111111111107</v>
      </c>
      <c r="F61" s="12">
        <f>INDEX(MCDM_Grades!$F$6:$F$238,MATCH(A61,MCDM_Grades!$A$6:$A$238,0))</f>
        <v>99.999999999999986</v>
      </c>
      <c r="G61" s="13">
        <f>INDEX(MCDM_Grades!$G$6:$G$238,MATCH(A61,MCDM_Grades!$A$6:$A$238,0))</f>
        <v>0.61111111111111116</v>
      </c>
      <c r="H61" s="5" t="str">
        <f>HYPERLINK("https://data.mendeley.com/datasets/ktnx66vtmc/1","Dataset")</f>
        <v>Dataset</v>
      </c>
      <c r="I61" s="5" t="str">
        <f>HYPERLINK("https://data.mendeley.com/datasets/ktnx66vtmc/1","Evidence / paper")</f>
        <v>Evidence / paper</v>
      </c>
      <c r="J61" s="5" t="s">
        <v>556</v>
      </c>
      <c r="K61" s="5" t="s">
        <v>729</v>
      </c>
      <c r="L61" s="5" t="s">
        <v>121</v>
      </c>
      <c r="M61" s="5" t="s">
        <v>730</v>
      </c>
      <c r="N61" s="5" t="s">
        <v>731</v>
      </c>
      <c r="O61" s="5" t="s">
        <v>732</v>
      </c>
      <c r="P61" s="5" t="s">
        <v>241</v>
      </c>
      <c r="Q61" s="5" t="s">
        <v>124</v>
      </c>
      <c r="R61" s="5" t="s">
        <v>121</v>
      </c>
      <c r="S61" s="5" t="s">
        <v>733</v>
      </c>
      <c r="T61" s="5"/>
      <c r="U61" s="5" t="s">
        <v>734</v>
      </c>
      <c r="V61" s="5" t="s">
        <v>727</v>
      </c>
      <c r="W61" s="5" t="s">
        <v>127</v>
      </c>
      <c r="X61" s="5"/>
      <c r="Y61" s="5"/>
      <c r="Z61" s="5" t="s">
        <v>128</v>
      </c>
      <c r="AA61" s="5" t="str">
        <f>HYPERLINK("#'Manual_Review'!A"&amp;(MATCH("DS-056",Manual_Review!$A$6:$A$238,0)+5),"Enter review")</f>
        <v>Enter review</v>
      </c>
      <c r="AB61" s="5" t="str">
        <f>HYPERLINK("#'MCDM_Checks'!A"&amp;(MATCH("DS-056",MCDM_Checks!$B$6:$B$3733,0)+5),"Check evidence")</f>
        <v>Check evidence</v>
      </c>
      <c r="AC61" s="5" t="s">
        <v>562</v>
      </c>
      <c r="AD61" s="5" t="s">
        <v>735</v>
      </c>
      <c r="AE61" s="5" t="s">
        <v>735</v>
      </c>
      <c r="AF61" s="5" t="s">
        <v>736</v>
      </c>
    </row>
    <row r="62" spans="1:32" ht="51">
      <c r="A62" s="5" t="s">
        <v>737</v>
      </c>
      <c r="B62" s="5" t="s">
        <v>738</v>
      </c>
      <c r="C62" s="5"/>
      <c r="D62" s="5" t="s">
        <v>118</v>
      </c>
      <c r="E62" s="12">
        <f>INDEX(MCDM_Grades!$E$6:$E$238,MATCH(A62,MCDM_Grades!$A$6:$A$238,0))</f>
        <v>88.888888888888872</v>
      </c>
      <c r="F62" s="12">
        <f>INDEX(MCDM_Grades!$F$6:$F$238,MATCH(A62,MCDM_Grades!$A$6:$A$238,0))</f>
        <v>99.999999999999986</v>
      </c>
      <c r="G62" s="13">
        <f>INDEX(MCDM_Grades!$G$6:$G$238,MATCH(A62,MCDM_Grades!$A$6:$A$238,0))</f>
        <v>0.88888888888888884</v>
      </c>
      <c r="H62" s="5" t="str">
        <f>HYPERLINK("https://data.mendeley.com/datasets/z3nx8n396g/3","Dataset")</f>
        <v>Dataset</v>
      </c>
      <c r="I62" s="5" t="str">
        <f>HYPERLINK("https://data.mendeley.com/datasets/z3nx8n396g/3","Evidence / paper")</f>
        <v>Evidence / paper</v>
      </c>
      <c r="J62" s="5" t="s">
        <v>739</v>
      </c>
      <c r="K62" s="5" t="s">
        <v>740</v>
      </c>
      <c r="L62" s="5" t="s">
        <v>155</v>
      </c>
      <c r="M62" s="5" t="s">
        <v>741</v>
      </c>
      <c r="N62" s="5" t="s">
        <v>742</v>
      </c>
      <c r="O62" s="5" t="s">
        <v>743</v>
      </c>
      <c r="P62" s="5" t="s">
        <v>241</v>
      </c>
      <c r="Q62" s="5" t="s">
        <v>124</v>
      </c>
      <c r="R62" s="5" t="s">
        <v>744</v>
      </c>
      <c r="S62" s="5" t="s">
        <v>745</v>
      </c>
      <c r="T62" s="5"/>
      <c r="U62" s="5" t="s">
        <v>746</v>
      </c>
      <c r="V62" s="5" t="s">
        <v>737</v>
      </c>
      <c r="W62" s="5" t="s">
        <v>127</v>
      </c>
      <c r="X62" s="5"/>
      <c r="Y62" s="5"/>
      <c r="Z62" s="5" t="s">
        <v>128</v>
      </c>
      <c r="AA62" s="5" t="str">
        <f>HYPERLINK("#'Manual_Review'!A"&amp;(MATCH("DS-057",Manual_Review!$A$6:$A$238,0)+5),"Enter review")</f>
        <v>Enter review</v>
      </c>
      <c r="AB62" s="5" t="str">
        <f>HYPERLINK("#'MCDM_Checks'!A"&amp;(MATCH("DS-057",MCDM_Checks!$B$6:$B$3733,0)+5),"Check evidence")</f>
        <v>Check evidence</v>
      </c>
      <c r="AC62" s="5" t="s">
        <v>562</v>
      </c>
      <c r="AD62" s="5" t="s">
        <v>747</v>
      </c>
      <c r="AE62" s="5" t="s">
        <v>747</v>
      </c>
      <c r="AF62" s="5" t="s">
        <v>748</v>
      </c>
    </row>
    <row r="63" spans="1:32" ht="25.5">
      <c r="A63" s="5" t="s">
        <v>749</v>
      </c>
      <c r="B63" s="5" t="s">
        <v>750</v>
      </c>
      <c r="C63" s="5"/>
      <c r="D63" s="5" t="s">
        <v>118</v>
      </c>
      <c r="E63" s="12">
        <f>INDEX(MCDM_Grades!$E$6:$E$238,MATCH(A63,MCDM_Grades!$A$6:$A$238,0))</f>
        <v>58.333333333333321</v>
      </c>
      <c r="F63" s="12">
        <f>INDEX(MCDM_Grades!$F$6:$F$238,MATCH(A63,MCDM_Grades!$A$6:$A$238,0))</f>
        <v>99.999999999999986</v>
      </c>
      <c r="G63" s="13">
        <f>INDEX(MCDM_Grades!$G$6:$G$238,MATCH(A63,MCDM_Grades!$A$6:$A$238,0))</f>
        <v>0.58333333333333337</v>
      </c>
      <c r="H63" s="5" t="str">
        <f>HYPERLINK("https://data.mendeley.com/datasets/n6cvjnx3b6/1","Dataset")</f>
        <v>Dataset</v>
      </c>
      <c r="I63" s="5" t="str">
        <f>HYPERLINK("https://data.mendeley.com/datasets/n6cvjnx3b6/1","Evidence / paper")</f>
        <v>Evidence / paper</v>
      </c>
      <c r="J63" s="5" t="s">
        <v>556</v>
      </c>
      <c r="K63" s="5" t="s">
        <v>751</v>
      </c>
      <c r="L63" s="5" t="s">
        <v>155</v>
      </c>
      <c r="M63" s="5" t="s">
        <v>752</v>
      </c>
      <c r="N63" s="5" t="s">
        <v>753</v>
      </c>
      <c r="O63" s="5" t="s">
        <v>121</v>
      </c>
      <c r="P63" s="5" t="s">
        <v>241</v>
      </c>
      <c r="Q63" s="5" t="s">
        <v>124</v>
      </c>
      <c r="R63" s="5" t="s">
        <v>754</v>
      </c>
      <c r="S63" s="5" t="s">
        <v>755</v>
      </c>
      <c r="T63" s="5"/>
      <c r="U63" s="5" t="s">
        <v>756</v>
      </c>
      <c r="V63" s="5" t="s">
        <v>749</v>
      </c>
      <c r="W63" s="5" t="s">
        <v>127</v>
      </c>
      <c r="X63" s="5"/>
      <c r="Y63" s="5"/>
      <c r="Z63" s="5" t="s">
        <v>128</v>
      </c>
      <c r="AA63" s="5" t="str">
        <f>HYPERLINK("#'Manual_Review'!A"&amp;(MATCH("DS-058",Manual_Review!$A$6:$A$238,0)+5),"Enter review")</f>
        <v>Enter review</v>
      </c>
      <c r="AB63" s="5" t="str">
        <f>HYPERLINK("#'MCDM_Checks'!A"&amp;(MATCH("DS-058",MCDM_Checks!$B$6:$B$3733,0)+5),"Check evidence")</f>
        <v>Check evidence</v>
      </c>
      <c r="AC63" s="5" t="s">
        <v>562</v>
      </c>
      <c r="AD63" s="5" t="s">
        <v>757</v>
      </c>
      <c r="AE63" s="5" t="s">
        <v>757</v>
      </c>
      <c r="AF63" s="5" t="s">
        <v>758</v>
      </c>
    </row>
    <row r="64" spans="1:32" ht="25.5">
      <c r="A64" s="5" t="s">
        <v>759</v>
      </c>
      <c r="B64" s="5" t="s">
        <v>760</v>
      </c>
      <c r="C64" s="5"/>
      <c r="D64" s="5" t="s">
        <v>118</v>
      </c>
      <c r="E64" s="12">
        <f>INDEX(MCDM_Grades!$E$6:$E$238,MATCH(A64,MCDM_Grades!$A$6:$A$238,0))</f>
        <v>83.333333333333314</v>
      </c>
      <c r="F64" s="12">
        <f>INDEX(MCDM_Grades!$F$6:$F$238,MATCH(A64,MCDM_Grades!$A$6:$A$238,0))</f>
        <v>99.999999999999986</v>
      </c>
      <c r="G64" s="13">
        <f>INDEX(MCDM_Grades!$G$6:$G$238,MATCH(A64,MCDM_Grades!$A$6:$A$238,0))</f>
        <v>0.83333333333333326</v>
      </c>
      <c r="H64" s="5" t="str">
        <f>HYPERLINK("https://data.mendeley.com/datasets/snyyfknw56/1","Dataset")</f>
        <v>Dataset</v>
      </c>
      <c r="I64" s="5" t="str">
        <f>HYPERLINK("https://data.mendeley.com/datasets/snyyfknw56/1","Evidence / paper")</f>
        <v>Evidence / paper</v>
      </c>
      <c r="J64" s="5" t="s">
        <v>556</v>
      </c>
      <c r="K64" s="5" t="s">
        <v>665</v>
      </c>
      <c r="L64" s="5" t="s">
        <v>155</v>
      </c>
      <c r="M64" s="5" t="s">
        <v>761</v>
      </c>
      <c r="N64" s="5" t="s">
        <v>762</v>
      </c>
      <c r="O64" s="5" t="s">
        <v>763</v>
      </c>
      <c r="P64" s="5" t="s">
        <v>241</v>
      </c>
      <c r="Q64" s="5" t="s">
        <v>124</v>
      </c>
      <c r="R64" s="5" t="s">
        <v>764</v>
      </c>
      <c r="S64" s="5" t="s">
        <v>765</v>
      </c>
      <c r="T64" s="5"/>
      <c r="U64" s="5" t="s">
        <v>766</v>
      </c>
      <c r="V64" s="5" t="s">
        <v>759</v>
      </c>
      <c r="W64" s="5" t="s">
        <v>127</v>
      </c>
      <c r="X64" s="5" t="s">
        <v>767</v>
      </c>
      <c r="Y64" s="5"/>
      <c r="Z64" s="5" t="s">
        <v>128</v>
      </c>
      <c r="AA64" s="5" t="str">
        <f>HYPERLINK("#'Manual_Review'!A"&amp;(MATCH("DS-059",Manual_Review!$A$6:$A$238,0)+5),"Enter review")</f>
        <v>Enter review</v>
      </c>
      <c r="AB64" s="5" t="str">
        <f>HYPERLINK("#'MCDM_Checks'!A"&amp;(MATCH("DS-059",MCDM_Checks!$B$6:$B$3733,0)+5),"Check evidence")</f>
        <v>Check evidence</v>
      </c>
      <c r="AC64" s="5" t="s">
        <v>562</v>
      </c>
      <c r="AD64" s="5" t="s">
        <v>768</v>
      </c>
      <c r="AE64" s="5" t="s">
        <v>768</v>
      </c>
      <c r="AF64" s="5" t="s">
        <v>769</v>
      </c>
    </row>
    <row r="65" spans="1:32" ht="25.5">
      <c r="A65" s="5" t="s">
        <v>770</v>
      </c>
      <c r="B65" s="5" t="s">
        <v>771</v>
      </c>
      <c r="C65" s="5"/>
      <c r="D65" s="5" t="s">
        <v>118</v>
      </c>
      <c r="E65" s="12">
        <f>INDEX(MCDM_Grades!$E$6:$E$238,MATCH(A65,MCDM_Grades!$A$6:$A$238,0))</f>
        <v>88.888888888888872</v>
      </c>
      <c r="F65" s="12">
        <f>INDEX(MCDM_Grades!$F$6:$F$238,MATCH(A65,MCDM_Grades!$A$6:$A$238,0))</f>
        <v>99.999999999999986</v>
      </c>
      <c r="G65" s="13">
        <f>INDEX(MCDM_Grades!$G$6:$G$238,MATCH(A65,MCDM_Grades!$A$6:$A$238,0))</f>
        <v>0.88888888888888884</v>
      </c>
      <c r="H65" s="5" t="str">
        <f>HYPERLINK("https://data.mendeley.com/datasets/2dfyh84pdf/1","Dataset")</f>
        <v>Dataset</v>
      </c>
      <c r="I65" s="5" t="str">
        <f>HYPERLINK("https://data.mendeley.com/datasets/2dfyh84pdf/1","Evidence / paper")</f>
        <v>Evidence / paper</v>
      </c>
      <c r="J65" s="5" t="s">
        <v>556</v>
      </c>
      <c r="K65" s="5" t="s">
        <v>665</v>
      </c>
      <c r="L65" s="5" t="s">
        <v>155</v>
      </c>
      <c r="M65" s="5" t="s">
        <v>761</v>
      </c>
      <c r="N65" s="5" t="s">
        <v>772</v>
      </c>
      <c r="O65" s="5" t="s">
        <v>773</v>
      </c>
      <c r="P65" s="5" t="s">
        <v>241</v>
      </c>
      <c r="Q65" s="5" t="s">
        <v>124</v>
      </c>
      <c r="R65" s="5" t="s">
        <v>764</v>
      </c>
      <c r="S65" s="5" t="s">
        <v>765</v>
      </c>
      <c r="T65" s="5"/>
      <c r="U65" s="5" t="s">
        <v>774</v>
      </c>
      <c r="V65" s="5" t="s">
        <v>770</v>
      </c>
      <c r="W65" s="5" t="s">
        <v>127</v>
      </c>
      <c r="X65" s="5" t="s">
        <v>767</v>
      </c>
      <c r="Y65" s="5"/>
      <c r="Z65" s="5" t="s">
        <v>128</v>
      </c>
      <c r="AA65" s="5" t="str">
        <f>HYPERLINK("#'Manual_Review'!A"&amp;(MATCH("DS-060",Manual_Review!$A$6:$A$238,0)+5),"Enter review")</f>
        <v>Enter review</v>
      </c>
      <c r="AB65" s="5" t="str">
        <f>HYPERLINK("#'MCDM_Checks'!A"&amp;(MATCH("DS-060",MCDM_Checks!$B$6:$B$3733,0)+5),"Check evidence")</f>
        <v>Check evidence</v>
      </c>
      <c r="AC65" s="5" t="s">
        <v>562</v>
      </c>
      <c r="AD65" s="5" t="s">
        <v>775</v>
      </c>
      <c r="AE65" s="5" t="s">
        <v>775</v>
      </c>
      <c r="AF65" s="5" t="s">
        <v>776</v>
      </c>
    </row>
    <row r="66" spans="1:32" ht="102">
      <c r="A66" s="5" t="s">
        <v>777</v>
      </c>
      <c r="B66" s="5" t="s">
        <v>778</v>
      </c>
      <c r="C66" s="5"/>
      <c r="D66" s="5" t="s">
        <v>118</v>
      </c>
      <c r="E66" s="12">
        <f>INDEX(MCDM_Grades!$E$6:$E$238,MATCH(A66,MCDM_Grades!$A$6:$A$238,0))</f>
        <v>75</v>
      </c>
      <c r="F66" s="12">
        <f>INDEX(MCDM_Grades!$F$6:$F$238,MATCH(A66,MCDM_Grades!$A$6:$A$238,0))</f>
        <v>99.999999999999986</v>
      </c>
      <c r="G66" s="13">
        <f>INDEX(MCDM_Grades!$G$6:$G$238,MATCH(A66,MCDM_Grades!$A$6:$A$238,0))</f>
        <v>0.74999999999999989</v>
      </c>
      <c r="H66" s="5" t="str">
        <f>HYPERLINK("https://data.mendeley.com/datasets/429vzbgmbx/1","Dataset")</f>
        <v>Dataset</v>
      </c>
      <c r="I66" s="5" t="str">
        <f>HYPERLINK("https://data.mendeley.com/datasets/429vzbgmbx/1","Evidence / paper")</f>
        <v>Evidence / paper</v>
      </c>
      <c r="J66" s="5" t="s">
        <v>779</v>
      </c>
      <c r="K66" s="5" t="s">
        <v>780</v>
      </c>
      <c r="L66" s="5" t="s">
        <v>155</v>
      </c>
      <c r="M66" s="5" t="s">
        <v>781</v>
      </c>
      <c r="N66" s="5" t="s">
        <v>782</v>
      </c>
      <c r="O66" s="5" t="s">
        <v>783</v>
      </c>
      <c r="P66" s="5" t="s">
        <v>784</v>
      </c>
      <c r="Q66" s="5" t="s">
        <v>785</v>
      </c>
      <c r="R66" s="5" t="s">
        <v>786</v>
      </c>
      <c r="S66" s="5" t="s">
        <v>787</v>
      </c>
      <c r="T66" s="5"/>
      <c r="U66" s="5" t="s">
        <v>788</v>
      </c>
      <c r="V66" s="5" t="s">
        <v>777</v>
      </c>
      <c r="W66" s="5" t="s">
        <v>127</v>
      </c>
      <c r="X66" s="5"/>
      <c r="Y66" s="5"/>
      <c r="Z66" s="5" t="s">
        <v>128</v>
      </c>
      <c r="AA66" s="5" t="str">
        <f>HYPERLINK("#'Manual_Review'!A"&amp;(MATCH("DS-061",Manual_Review!$A$6:$A$238,0)+5),"Enter review")</f>
        <v>Enter review</v>
      </c>
      <c r="AB66" s="5" t="str">
        <f>HYPERLINK("#'MCDM_Checks'!A"&amp;(MATCH("DS-061",MCDM_Checks!$B$6:$B$3733,0)+5),"Check evidence")</f>
        <v>Check evidence</v>
      </c>
      <c r="AC66" s="5" t="s">
        <v>789</v>
      </c>
      <c r="AD66" s="5" t="s">
        <v>790</v>
      </c>
      <c r="AE66" s="5" t="s">
        <v>790</v>
      </c>
      <c r="AF66" s="5" t="s">
        <v>791</v>
      </c>
    </row>
    <row r="67" spans="1:32" ht="51">
      <c r="A67" s="5" t="s">
        <v>792</v>
      </c>
      <c r="B67" s="5" t="s">
        <v>793</v>
      </c>
      <c r="C67" s="5"/>
      <c r="D67" s="5" t="s">
        <v>118</v>
      </c>
      <c r="E67" s="12">
        <f>INDEX(MCDM_Grades!$E$6:$E$238,MATCH(A67,MCDM_Grades!$A$6:$A$238,0))</f>
        <v>58.333333333333329</v>
      </c>
      <c r="F67" s="12">
        <f>INDEX(MCDM_Grades!$F$6:$F$238,MATCH(A67,MCDM_Grades!$A$6:$A$238,0))</f>
        <v>99.999999999999986</v>
      </c>
      <c r="G67" s="13">
        <f>INDEX(MCDM_Grades!$G$6:$G$238,MATCH(A67,MCDM_Grades!$A$6:$A$238,0))</f>
        <v>0.58333333333333337</v>
      </c>
      <c r="H67" s="5" t="str">
        <f>HYPERLINK("https://data.mendeley.com/datasets/wddt4gbttd/1","Dataset")</f>
        <v>Dataset</v>
      </c>
      <c r="I67" s="5" t="str">
        <f>HYPERLINK("https://data.mendeley.com/datasets/wddt4gbttd/1","Evidence / paper")</f>
        <v>Evidence / paper</v>
      </c>
      <c r="J67" s="5" t="s">
        <v>556</v>
      </c>
      <c r="K67" s="5" t="s">
        <v>794</v>
      </c>
      <c r="L67" s="5" t="s">
        <v>121</v>
      </c>
      <c r="M67" s="5" t="s">
        <v>795</v>
      </c>
      <c r="N67" s="5" t="s">
        <v>796</v>
      </c>
      <c r="O67" s="5" t="s">
        <v>797</v>
      </c>
      <c r="P67" s="5" t="s">
        <v>241</v>
      </c>
      <c r="Q67" s="5" t="s">
        <v>124</v>
      </c>
      <c r="R67" s="5" t="s">
        <v>121</v>
      </c>
      <c r="S67" s="5" t="s">
        <v>798</v>
      </c>
      <c r="T67" s="5"/>
      <c r="U67" s="5" t="s">
        <v>799</v>
      </c>
      <c r="V67" s="5" t="s">
        <v>792</v>
      </c>
      <c r="W67" s="5" t="s">
        <v>127</v>
      </c>
      <c r="X67" s="5" t="s">
        <v>800</v>
      </c>
      <c r="Y67" s="5"/>
      <c r="Z67" s="5" t="s">
        <v>128</v>
      </c>
      <c r="AA67" s="5" t="str">
        <f>HYPERLINK("#'Manual_Review'!A"&amp;(MATCH("DS-062",Manual_Review!$A$6:$A$238,0)+5),"Enter review")</f>
        <v>Enter review</v>
      </c>
      <c r="AB67" s="5" t="str">
        <f>HYPERLINK("#'MCDM_Checks'!A"&amp;(MATCH("DS-062",MCDM_Checks!$B$6:$B$3733,0)+5),"Check evidence")</f>
        <v>Check evidence</v>
      </c>
      <c r="AC67" s="5" t="s">
        <v>562</v>
      </c>
      <c r="AD67" s="5" t="s">
        <v>801</v>
      </c>
      <c r="AE67" s="5" t="s">
        <v>801</v>
      </c>
      <c r="AF67" s="5" t="s">
        <v>802</v>
      </c>
    </row>
    <row r="68" spans="1:32" ht="38.25">
      <c r="A68" s="5" t="s">
        <v>803</v>
      </c>
      <c r="B68" s="5" t="s">
        <v>804</v>
      </c>
      <c r="C68" s="5"/>
      <c r="D68" s="5" t="s">
        <v>118</v>
      </c>
      <c r="E68" s="12">
        <f>INDEX(MCDM_Grades!$E$6:$E$238,MATCH(A68,MCDM_Grades!$A$6:$A$238,0))</f>
        <v>75</v>
      </c>
      <c r="F68" s="12">
        <f>INDEX(MCDM_Grades!$F$6:$F$238,MATCH(A68,MCDM_Grades!$A$6:$A$238,0))</f>
        <v>99.999999999999986</v>
      </c>
      <c r="G68" s="13">
        <f>INDEX(MCDM_Grades!$G$6:$G$238,MATCH(A68,MCDM_Grades!$A$6:$A$238,0))</f>
        <v>0.74999999999999989</v>
      </c>
      <c r="H68" s="5" t="str">
        <f>HYPERLINK("https://data.mendeley.com/datasets/3v5r2fxf89/1","Dataset")</f>
        <v>Dataset</v>
      </c>
      <c r="I68" s="5" t="str">
        <f>HYPERLINK("https://data.mendeley.com/datasets/3v5r2fxf89/1","Evidence / paper")</f>
        <v>Evidence / paper</v>
      </c>
      <c r="J68" s="5" t="s">
        <v>556</v>
      </c>
      <c r="K68" s="5" t="s">
        <v>794</v>
      </c>
      <c r="L68" s="5" t="s">
        <v>155</v>
      </c>
      <c r="M68" s="5" t="s">
        <v>805</v>
      </c>
      <c r="N68" s="5" t="s">
        <v>806</v>
      </c>
      <c r="O68" s="5" t="s">
        <v>121</v>
      </c>
      <c r="P68" s="5" t="s">
        <v>241</v>
      </c>
      <c r="Q68" s="5" t="s">
        <v>124</v>
      </c>
      <c r="R68" s="5" t="s">
        <v>807</v>
      </c>
      <c r="S68" s="5" t="s">
        <v>808</v>
      </c>
      <c r="T68" s="5"/>
      <c r="U68" s="5" t="s">
        <v>809</v>
      </c>
      <c r="V68" s="5" t="s">
        <v>803</v>
      </c>
      <c r="W68" s="5" t="s">
        <v>127</v>
      </c>
      <c r="X68" s="5"/>
      <c r="Y68" s="5"/>
      <c r="Z68" s="5" t="s">
        <v>128</v>
      </c>
      <c r="AA68" s="5" t="str">
        <f>HYPERLINK("#'Manual_Review'!A"&amp;(MATCH("DS-063",Manual_Review!$A$6:$A$238,0)+5),"Enter review")</f>
        <v>Enter review</v>
      </c>
      <c r="AB68" s="5" t="str">
        <f>HYPERLINK("#'MCDM_Checks'!A"&amp;(MATCH("DS-063",MCDM_Checks!$B$6:$B$3733,0)+5),"Check evidence")</f>
        <v>Check evidence</v>
      </c>
      <c r="AC68" s="5" t="s">
        <v>562</v>
      </c>
      <c r="AD68" s="5" t="s">
        <v>810</v>
      </c>
      <c r="AE68" s="5" t="s">
        <v>810</v>
      </c>
      <c r="AF68" s="5" t="s">
        <v>811</v>
      </c>
    </row>
    <row r="69" spans="1:32" ht="89.25">
      <c r="A69" s="5" t="s">
        <v>812</v>
      </c>
      <c r="B69" s="5" t="s">
        <v>813</v>
      </c>
      <c r="C69" s="5"/>
      <c r="D69" s="5" t="s">
        <v>118</v>
      </c>
      <c r="E69" s="12">
        <f>INDEX(MCDM_Grades!$E$6:$E$238,MATCH(A69,MCDM_Grades!$A$6:$A$238,0))</f>
        <v>52.777777777777771</v>
      </c>
      <c r="F69" s="12">
        <f>INDEX(MCDM_Grades!$F$6:$F$238,MATCH(A69,MCDM_Grades!$A$6:$A$238,0))</f>
        <v>99.999999999999986</v>
      </c>
      <c r="G69" s="13">
        <f>INDEX(MCDM_Grades!$G$6:$G$238,MATCH(A69,MCDM_Grades!$A$6:$A$238,0))</f>
        <v>0.52777777777777768</v>
      </c>
      <c r="H69" s="5" t="str">
        <f>HYPERLINK("https://data.mendeley.com/datasets/csd32bm8zx/1","Dataset")</f>
        <v>Dataset</v>
      </c>
      <c r="I69" s="5" t="str">
        <f>HYPERLINK("https://data.mendeley.com/datasets/csd32bm8zx/1","Evidence / paper")</f>
        <v>Evidence / paper</v>
      </c>
      <c r="J69" s="5" t="s">
        <v>814</v>
      </c>
      <c r="K69" s="5" t="s">
        <v>815</v>
      </c>
      <c r="L69" s="5" t="s">
        <v>121</v>
      </c>
      <c r="M69" s="5" t="s">
        <v>816</v>
      </c>
      <c r="N69" s="5" t="s">
        <v>817</v>
      </c>
      <c r="O69" s="5" t="s">
        <v>121</v>
      </c>
      <c r="P69" s="5" t="s">
        <v>818</v>
      </c>
      <c r="Q69" s="5" t="s">
        <v>819</v>
      </c>
      <c r="R69" s="5" t="s">
        <v>121</v>
      </c>
      <c r="S69" s="5" t="s">
        <v>820</v>
      </c>
      <c r="T69" s="5"/>
      <c r="U69" s="5" t="s">
        <v>821</v>
      </c>
      <c r="V69" s="5" t="s">
        <v>812</v>
      </c>
      <c r="W69" s="5" t="s">
        <v>127</v>
      </c>
      <c r="X69" s="5"/>
      <c r="Y69" s="5"/>
      <c r="Z69" s="5" t="s">
        <v>128</v>
      </c>
      <c r="AA69" s="5" t="str">
        <f>HYPERLINK("#'Manual_Review'!A"&amp;(MATCH("DS-064",Manual_Review!$A$6:$A$238,0)+5),"Enter review")</f>
        <v>Enter review</v>
      </c>
      <c r="AB69" s="5" t="str">
        <f>HYPERLINK("#'MCDM_Checks'!A"&amp;(MATCH("DS-064",MCDM_Checks!$B$6:$B$3733,0)+5),"Check evidence")</f>
        <v>Check evidence</v>
      </c>
      <c r="AC69" s="5" t="s">
        <v>789</v>
      </c>
      <c r="AD69" s="5" t="s">
        <v>822</v>
      </c>
      <c r="AE69" s="5" t="s">
        <v>822</v>
      </c>
      <c r="AF69" s="5" t="s">
        <v>823</v>
      </c>
    </row>
    <row r="70" spans="1:32" ht="25.5">
      <c r="A70" s="5" t="s">
        <v>824</v>
      </c>
      <c r="B70" s="5" t="s">
        <v>825</v>
      </c>
      <c r="C70" s="5"/>
      <c r="D70" s="5" t="s">
        <v>118</v>
      </c>
      <c r="E70" s="12">
        <f>INDEX(MCDM_Grades!$E$6:$E$238,MATCH(A70,MCDM_Grades!$A$6:$A$238,0))</f>
        <v>69.444444444444443</v>
      </c>
      <c r="F70" s="12">
        <f>INDEX(MCDM_Grades!$F$6:$F$238,MATCH(A70,MCDM_Grades!$A$6:$A$238,0))</f>
        <v>99.999999999999986</v>
      </c>
      <c r="G70" s="13">
        <f>INDEX(MCDM_Grades!$G$6:$G$238,MATCH(A70,MCDM_Grades!$A$6:$A$238,0))</f>
        <v>0.69444444444444442</v>
      </c>
      <c r="H70" s="5" t="str">
        <f>HYPERLINK("https://data.mendeley.com/datasets/tj2m7zz4rg/2","Dataset")</f>
        <v>Dataset</v>
      </c>
      <c r="I70" s="5" t="str">
        <f>HYPERLINK("https://data.mendeley.com/datasets/tj2m7zz4rg/2","Evidence / paper")</f>
        <v>Evidence / paper</v>
      </c>
      <c r="J70" s="5" t="s">
        <v>826</v>
      </c>
      <c r="K70" s="5" t="s">
        <v>168</v>
      </c>
      <c r="L70" s="5" t="s">
        <v>827</v>
      </c>
      <c r="M70" s="5" t="s">
        <v>305</v>
      </c>
      <c r="N70" s="5" t="s">
        <v>828</v>
      </c>
      <c r="O70" s="5" t="s">
        <v>829</v>
      </c>
      <c r="P70" s="5" t="s">
        <v>241</v>
      </c>
      <c r="Q70" s="5" t="s">
        <v>174</v>
      </c>
      <c r="R70" s="5" t="s">
        <v>830</v>
      </c>
      <c r="S70" s="5" t="s">
        <v>831</v>
      </c>
      <c r="T70" s="5" t="s">
        <v>832</v>
      </c>
      <c r="U70" s="5" t="s">
        <v>833</v>
      </c>
      <c r="V70" s="5" t="s">
        <v>834</v>
      </c>
      <c r="W70" s="5" t="s">
        <v>314</v>
      </c>
      <c r="X70" s="5"/>
      <c r="Y70" s="5"/>
      <c r="Z70" s="5" t="s">
        <v>182</v>
      </c>
      <c r="AA70" s="5" t="str">
        <f>HYPERLINK("#'Manual_Review'!A"&amp;(MATCH("DS-065",Manual_Review!$A$6:$A$238,0)+5),"Enter review")</f>
        <v>Enter review</v>
      </c>
      <c r="AB70" s="5" t="str">
        <f>HYPERLINK("#'MCDM_Checks'!A"&amp;(MATCH("DS-065",MCDM_Checks!$B$6:$B$3733,0)+5),"Check evidence")</f>
        <v>Check evidence</v>
      </c>
      <c r="AC70" s="5" t="s">
        <v>562</v>
      </c>
      <c r="AD70" s="5" t="s">
        <v>835</v>
      </c>
      <c r="AE70" s="5" t="s">
        <v>835</v>
      </c>
      <c r="AF70" s="5" t="s">
        <v>836</v>
      </c>
    </row>
    <row r="71" spans="1:32" ht="38.25">
      <c r="A71" s="5" t="s">
        <v>837</v>
      </c>
      <c r="B71" s="5" t="s">
        <v>838</v>
      </c>
      <c r="C71" s="5"/>
      <c r="D71" s="5" t="s">
        <v>118</v>
      </c>
      <c r="E71" s="12">
        <f>INDEX(MCDM_Grades!$E$6:$E$238,MATCH(A71,MCDM_Grades!$A$6:$A$238,0))</f>
        <v>77.777777777777771</v>
      </c>
      <c r="F71" s="12">
        <f>INDEX(MCDM_Grades!$F$6:$F$238,MATCH(A71,MCDM_Grades!$A$6:$A$238,0))</f>
        <v>99.999999999999986</v>
      </c>
      <c r="G71" s="13">
        <f>INDEX(MCDM_Grades!$G$6:$G$238,MATCH(A71,MCDM_Grades!$A$6:$A$238,0))</f>
        <v>0.77777777777777779</v>
      </c>
      <c r="H71" s="5" t="str">
        <f>HYPERLINK("https://data.mendeley.com/datasets/7wr6hxk54h/1","Dataset")</f>
        <v>Dataset</v>
      </c>
      <c r="I71" s="5" t="str">
        <f>HYPERLINK("https://data.mendeley.com/datasets/7wr6hxk54h/1","Evidence / paper")</f>
        <v>Evidence / paper</v>
      </c>
      <c r="J71" s="5" t="s">
        <v>556</v>
      </c>
      <c r="K71" s="5" t="s">
        <v>794</v>
      </c>
      <c r="L71" s="5" t="s">
        <v>155</v>
      </c>
      <c r="M71" s="5" t="s">
        <v>839</v>
      </c>
      <c r="N71" s="5" t="s">
        <v>840</v>
      </c>
      <c r="O71" s="5" t="s">
        <v>841</v>
      </c>
      <c r="P71" s="5" t="s">
        <v>241</v>
      </c>
      <c r="Q71" s="5" t="s">
        <v>124</v>
      </c>
      <c r="R71" s="5" t="s">
        <v>842</v>
      </c>
      <c r="S71" s="5" t="s">
        <v>843</v>
      </c>
      <c r="T71" s="5"/>
      <c r="U71" s="5" t="s">
        <v>844</v>
      </c>
      <c r="V71" s="5" t="s">
        <v>837</v>
      </c>
      <c r="W71" s="5" t="s">
        <v>127</v>
      </c>
      <c r="X71" s="5"/>
      <c r="Y71" s="5"/>
      <c r="Z71" s="5" t="s">
        <v>128</v>
      </c>
      <c r="AA71" s="5" t="str">
        <f>HYPERLINK("#'Manual_Review'!A"&amp;(MATCH("DS-066",Manual_Review!$A$6:$A$238,0)+5),"Enter review")</f>
        <v>Enter review</v>
      </c>
      <c r="AB71" s="5" t="str">
        <f>HYPERLINK("#'MCDM_Checks'!A"&amp;(MATCH("DS-066",MCDM_Checks!$B$6:$B$3733,0)+5),"Check evidence")</f>
        <v>Check evidence</v>
      </c>
      <c r="AC71" s="5" t="s">
        <v>562</v>
      </c>
      <c r="AD71" s="5" t="s">
        <v>845</v>
      </c>
      <c r="AE71" s="5" t="s">
        <v>845</v>
      </c>
      <c r="AF71" s="5" t="s">
        <v>846</v>
      </c>
    </row>
    <row r="72" spans="1:32" ht="63.75">
      <c r="A72" s="5" t="s">
        <v>847</v>
      </c>
      <c r="B72" s="5" t="s">
        <v>848</v>
      </c>
      <c r="C72" s="5"/>
      <c r="D72" s="5" t="s">
        <v>118</v>
      </c>
      <c r="E72" s="12">
        <f>INDEX(MCDM_Grades!$E$6:$E$238,MATCH(A72,MCDM_Grades!$A$6:$A$238,0))</f>
        <v>99.999999999999986</v>
      </c>
      <c r="F72" s="12">
        <f>INDEX(MCDM_Grades!$F$6:$F$238,MATCH(A72,MCDM_Grades!$A$6:$A$238,0))</f>
        <v>99.999999999999986</v>
      </c>
      <c r="G72" s="13">
        <f>INDEX(MCDM_Grades!$G$6:$G$238,MATCH(A72,MCDM_Grades!$A$6:$A$238,0))</f>
        <v>0.99999999999999989</v>
      </c>
      <c r="H72" s="5" t="str">
        <f>HYPERLINK("https://data.mendeley.com/datasets/sywswj7djj/1","Dataset")</f>
        <v>Dataset</v>
      </c>
      <c r="I72" s="5" t="str">
        <f>HYPERLINK("https://data.mendeley.com/datasets/sywswj7djj/1","Evidence / paper")</f>
        <v>Evidence / paper</v>
      </c>
      <c r="J72" s="5" t="s">
        <v>556</v>
      </c>
      <c r="K72" s="5" t="s">
        <v>849</v>
      </c>
      <c r="L72" s="5" t="s">
        <v>155</v>
      </c>
      <c r="M72" s="5" t="s">
        <v>850</v>
      </c>
      <c r="N72" s="5" t="s">
        <v>851</v>
      </c>
      <c r="O72" s="5" t="s">
        <v>852</v>
      </c>
      <c r="P72" s="5" t="s">
        <v>241</v>
      </c>
      <c r="Q72" s="5" t="s">
        <v>124</v>
      </c>
      <c r="R72" s="5" t="s">
        <v>853</v>
      </c>
      <c r="S72" s="5" t="s">
        <v>854</v>
      </c>
      <c r="T72" s="5"/>
      <c r="U72" s="5" t="s">
        <v>855</v>
      </c>
      <c r="V72" s="5" t="s">
        <v>847</v>
      </c>
      <c r="W72" s="5" t="s">
        <v>127</v>
      </c>
      <c r="X72" s="5"/>
      <c r="Y72" s="5"/>
      <c r="Z72" s="5" t="s">
        <v>128</v>
      </c>
      <c r="AA72" s="5" t="str">
        <f>HYPERLINK("#'Manual_Review'!A"&amp;(MATCH("DS-067",Manual_Review!$A$6:$A$238,0)+5),"Enter review")</f>
        <v>Enter review</v>
      </c>
      <c r="AB72" s="5" t="str">
        <f>HYPERLINK("#'MCDM_Checks'!A"&amp;(MATCH("DS-067",MCDM_Checks!$B$6:$B$3733,0)+5),"Check evidence")</f>
        <v>Check evidence</v>
      </c>
      <c r="AC72" s="5" t="s">
        <v>562</v>
      </c>
      <c r="AD72" s="5" t="s">
        <v>856</v>
      </c>
      <c r="AE72" s="5" t="s">
        <v>856</v>
      </c>
      <c r="AF72" s="5" t="s">
        <v>857</v>
      </c>
    </row>
    <row r="73" spans="1:32" ht="38.25">
      <c r="A73" s="5" t="s">
        <v>858</v>
      </c>
      <c r="B73" s="5" t="s">
        <v>859</v>
      </c>
      <c r="C73" s="5"/>
      <c r="D73" s="5" t="s">
        <v>118</v>
      </c>
      <c r="E73" s="12">
        <f>INDEX(MCDM_Grades!$E$6:$E$238,MATCH(A73,MCDM_Grades!$A$6:$A$238,0))</f>
        <v>55.555555555555557</v>
      </c>
      <c r="F73" s="12">
        <f>INDEX(MCDM_Grades!$F$6:$F$238,MATCH(A73,MCDM_Grades!$A$6:$A$238,0))</f>
        <v>99.999999999999986</v>
      </c>
      <c r="G73" s="13">
        <f>INDEX(MCDM_Grades!$G$6:$G$238,MATCH(A73,MCDM_Grades!$A$6:$A$238,0))</f>
        <v>0.55555555555555558</v>
      </c>
      <c r="H73" s="5" t="str">
        <f>HYPERLINK("https://data.mendeley.com/datasets/ftcrvjz92c/1","Dataset")</f>
        <v>Dataset</v>
      </c>
      <c r="I73" s="5" t="str">
        <f>HYPERLINK("https://data.mendeley.com/datasets/ftcrvjz92c/1","Evidence / paper")</f>
        <v>Evidence / paper</v>
      </c>
      <c r="J73" s="5" t="s">
        <v>556</v>
      </c>
      <c r="K73" s="5" t="s">
        <v>120</v>
      </c>
      <c r="L73" s="5" t="s">
        <v>121</v>
      </c>
      <c r="M73" s="5" t="s">
        <v>259</v>
      </c>
      <c r="N73" s="5" t="s">
        <v>860</v>
      </c>
      <c r="O73" s="5" t="s">
        <v>121</v>
      </c>
      <c r="P73" s="5" t="s">
        <v>241</v>
      </c>
      <c r="Q73" s="5" t="s">
        <v>124</v>
      </c>
      <c r="R73" s="5" t="s">
        <v>121</v>
      </c>
      <c r="S73" s="5" t="s">
        <v>861</v>
      </c>
      <c r="T73" s="5"/>
      <c r="U73" s="5" t="s">
        <v>862</v>
      </c>
      <c r="V73" s="5" t="s">
        <v>858</v>
      </c>
      <c r="W73" s="5" t="s">
        <v>127</v>
      </c>
      <c r="X73" s="5"/>
      <c r="Y73" s="5"/>
      <c r="Z73" s="5" t="s">
        <v>128</v>
      </c>
      <c r="AA73" s="5" t="str">
        <f>HYPERLINK("#'Manual_Review'!A"&amp;(MATCH("DS-068",Manual_Review!$A$6:$A$238,0)+5),"Enter review")</f>
        <v>Enter review</v>
      </c>
      <c r="AB73" s="5" t="str">
        <f>HYPERLINK("#'MCDM_Checks'!A"&amp;(MATCH("DS-068",MCDM_Checks!$B$6:$B$3733,0)+5),"Check evidence")</f>
        <v>Check evidence</v>
      </c>
      <c r="AC73" s="5" t="s">
        <v>562</v>
      </c>
      <c r="AD73" s="5" t="s">
        <v>863</v>
      </c>
      <c r="AE73" s="5" t="s">
        <v>863</v>
      </c>
      <c r="AF73" s="5" t="s">
        <v>864</v>
      </c>
    </row>
    <row r="74" spans="1:32" ht="102">
      <c r="A74" s="5" t="s">
        <v>865</v>
      </c>
      <c r="B74" s="5" t="s">
        <v>866</v>
      </c>
      <c r="C74" s="5"/>
      <c r="D74" s="5" t="s">
        <v>118</v>
      </c>
      <c r="E74" s="12">
        <f>INDEX(MCDM_Grades!$E$6:$E$238,MATCH(A74,MCDM_Grades!$A$6:$A$238,0))</f>
        <v>30.555555555555554</v>
      </c>
      <c r="F74" s="12">
        <f>INDEX(MCDM_Grades!$F$6:$F$238,MATCH(A74,MCDM_Grades!$A$6:$A$238,0))</f>
        <v>99.999999999999986</v>
      </c>
      <c r="G74" s="13">
        <f>INDEX(MCDM_Grades!$G$6:$G$238,MATCH(A74,MCDM_Grades!$A$6:$A$238,0))</f>
        <v>0.30555555555555558</v>
      </c>
      <c r="H74" s="5" t="str">
        <f>HYPERLINK("https://data.mendeley.com/datasets/s5hx9n2jc3/2","Dataset")</f>
        <v>Dataset</v>
      </c>
      <c r="I74" s="5" t="str">
        <f>HYPERLINK("https://data.mendeley.com/datasets/s5hx9n2jc3/2","Evidence / paper")</f>
        <v>Evidence / paper</v>
      </c>
      <c r="J74" s="5" t="s">
        <v>867</v>
      </c>
      <c r="K74" s="5" t="s">
        <v>868</v>
      </c>
      <c r="L74" s="5" t="s">
        <v>121</v>
      </c>
      <c r="M74" s="5" t="s">
        <v>121</v>
      </c>
      <c r="N74" s="5" t="s">
        <v>869</v>
      </c>
      <c r="O74" s="5" t="s">
        <v>121</v>
      </c>
      <c r="P74" s="5" t="s">
        <v>870</v>
      </c>
      <c r="Q74" s="5" t="s">
        <v>871</v>
      </c>
      <c r="R74" s="5" t="s">
        <v>121</v>
      </c>
      <c r="S74" s="5" t="s">
        <v>872</v>
      </c>
      <c r="T74" s="5"/>
      <c r="U74" s="5" t="s">
        <v>873</v>
      </c>
      <c r="V74" s="5" t="s">
        <v>865</v>
      </c>
      <c r="W74" s="5" t="s">
        <v>127</v>
      </c>
      <c r="X74" s="5"/>
      <c r="Y74" s="5"/>
      <c r="Z74" s="5" t="s">
        <v>128</v>
      </c>
      <c r="AA74" s="5" t="str">
        <f>HYPERLINK("#'Manual_Review'!A"&amp;(MATCH("DS-069",Manual_Review!$A$6:$A$238,0)+5),"Enter review")</f>
        <v>Enter review</v>
      </c>
      <c r="AB74" s="5" t="str">
        <f>HYPERLINK("#'MCDM_Checks'!A"&amp;(MATCH("DS-069",MCDM_Checks!$B$6:$B$3733,0)+5),"Check evidence")</f>
        <v>Check evidence</v>
      </c>
      <c r="AC74" s="5" t="s">
        <v>789</v>
      </c>
      <c r="AD74" s="5" t="s">
        <v>874</v>
      </c>
      <c r="AE74" s="5" t="s">
        <v>874</v>
      </c>
      <c r="AF74" s="5" t="s">
        <v>875</v>
      </c>
    </row>
    <row r="75" spans="1:32" ht="38.25">
      <c r="A75" s="5" t="s">
        <v>876</v>
      </c>
      <c r="B75" s="5" t="s">
        <v>877</v>
      </c>
      <c r="C75" s="5"/>
      <c r="D75" s="5" t="s">
        <v>118</v>
      </c>
      <c r="E75" s="12">
        <f>INDEX(MCDM_Grades!$E$6:$E$238,MATCH(A75,MCDM_Grades!$A$6:$A$238,0))</f>
        <v>55.555555555555557</v>
      </c>
      <c r="F75" s="12">
        <f>INDEX(MCDM_Grades!$F$6:$F$238,MATCH(A75,MCDM_Grades!$A$6:$A$238,0))</f>
        <v>99.999999999999986</v>
      </c>
      <c r="G75" s="13">
        <f>INDEX(MCDM_Grades!$G$6:$G$238,MATCH(A75,MCDM_Grades!$A$6:$A$238,0))</f>
        <v>0.55555555555555558</v>
      </c>
      <c r="H75" s="5" t="str">
        <f>HYPERLINK("https://data.mendeley.com/datasets/697w4jkr2x/2","Dataset")</f>
        <v>Dataset</v>
      </c>
      <c r="I75" s="5" t="str">
        <f>HYPERLINK("https://data.mendeley.com/datasets/697w4jkr2x/2","Evidence / paper")</f>
        <v>Evidence / paper</v>
      </c>
      <c r="J75" s="5" t="s">
        <v>664</v>
      </c>
      <c r="K75" s="5" t="s">
        <v>120</v>
      </c>
      <c r="L75" s="5" t="s">
        <v>155</v>
      </c>
      <c r="M75" s="5" t="s">
        <v>121</v>
      </c>
      <c r="N75" s="5" t="s">
        <v>878</v>
      </c>
      <c r="O75" s="5" t="s">
        <v>676</v>
      </c>
      <c r="P75" s="5" t="s">
        <v>241</v>
      </c>
      <c r="Q75" s="5" t="s">
        <v>124</v>
      </c>
      <c r="R75" s="5" t="s">
        <v>879</v>
      </c>
      <c r="S75" s="5" t="s">
        <v>121</v>
      </c>
      <c r="T75" s="5"/>
      <c r="U75" s="5" t="s">
        <v>880</v>
      </c>
      <c r="V75" s="5" t="s">
        <v>876</v>
      </c>
      <c r="W75" s="5" t="s">
        <v>127</v>
      </c>
      <c r="X75" s="5"/>
      <c r="Y75" s="5"/>
      <c r="Z75" s="5" t="s">
        <v>128</v>
      </c>
      <c r="AA75" s="5" t="str">
        <f>HYPERLINK("#'Manual_Review'!A"&amp;(MATCH("DS-070",Manual_Review!$A$6:$A$238,0)+5),"Enter review")</f>
        <v>Enter review</v>
      </c>
      <c r="AB75" s="5" t="str">
        <f>HYPERLINK("#'MCDM_Checks'!A"&amp;(MATCH("DS-070",MCDM_Checks!$B$6:$B$3733,0)+5),"Check evidence")</f>
        <v>Check evidence</v>
      </c>
      <c r="AC75" s="5" t="s">
        <v>562</v>
      </c>
      <c r="AD75" s="5" t="s">
        <v>881</v>
      </c>
      <c r="AE75" s="5" t="s">
        <v>881</v>
      </c>
      <c r="AF75" s="5" t="s">
        <v>882</v>
      </c>
    </row>
    <row r="76" spans="1:32" ht="76.5">
      <c r="A76" s="5" t="s">
        <v>883</v>
      </c>
      <c r="B76" s="5" t="s">
        <v>884</v>
      </c>
      <c r="C76" s="5"/>
      <c r="D76" s="5" t="s">
        <v>118</v>
      </c>
      <c r="E76" s="12">
        <f>INDEX(MCDM_Grades!$E$6:$E$238,MATCH(A76,MCDM_Grades!$A$6:$A$238,0))</f>
        <v>36.111111111111107</v>
      </c>
      <c r="F76" s="12">
        <f>INDEX(MCDM_Grades!$F$6:$F$238,MATCH(A76,MCDM_Grades!$A$6:$A$238,0))</f>
        <v>99.999999999999986</v>
      </c>
      <c r="G76" s="13">
        <f>INDEX(MCDM_Grades!$G$6:$G$238,MATCH(A76,MCDM_Grades!$A$6:$A$238,0))</f>
        <v>0.36111111111111105</v>
      </c>
      <c r="H76" s="5" t="str">
        <f>HYPERLINK("https://data.mendeley.com/datasets/zs3t38sxds/1","Dataset")</f>
        <v>Dataset</v>
      </c>
      <c r="I76" s="5" t="str">
        <f>HYPERLINK("https://data.mendeley.com/datasets/zs3t38sxds/1","Evidence / paper")</f>
        <v>Evidence / paper</v>
      </c>
      <c r="J76" s="5" t="s">
        <v>885</v>
      </c>
      <c r="K76" s="5" t="s">
        <v>886</v>
      </c>
      <c r="L76" s="5" t="s">
        <v>121</v>
      </c>
      <c r="M76" s="5" t="s">
        <v>887</v>
      </c>
      <c r="N76" s="5" t="s">
        <v>888</v>
      </c>
      <c r="O76" s="5" t="s">
        <v>121</v>
      </c>
      <c r="P76" s="5" t="s">
        <v>889</v>
      </c>
      <c r="Q76" s="5" t="s">
        <v>871</v>
      </c>
      <c r="R76" s="5" t="s">
        <v>121</v>
      </c>
      <c r="S76" s="5" t="s">
        <v>890</v>
      </c>
      <c r="T76" s="5"/>
      <c r="U76" s="5" t="s">
        <v>891</v>
      </c>
      <c r="V76" s="5" t="s">
        <v>883</v>
      </c>
      <c r="W76" s="5" t="s">
        <v>127</v>
      </c>
      <c r="X76" s="5"/>
      <c r="Y76" s="5"/>
      <c r="Z76" s="5" t="s">
        <v>128</v>
      </c>
      <c r="AA76" s="5" t="str">
        <f>HYPERLINK("#'Manual_Review'!A"&amp;(MATCH("DS-071",Manual_Review!$A$6:$A$238,0)+5),"Enter review")</f>
        <v>Enter review</v>
      </c>
      <c r="AB76" s="5" t="str">
        <f>HYPERLINK("#'MCDM_Checks'!A"&amp;(MATCH("DS-071",MCDM_Checks!$B$6:$B$3733,0)+5),"Check evidence")</f>
        <v>Check evidence</v>
      </c>
      <c r="AC76" s="5" t="s">
        <v>789</v>
      </c>
      <c r="AD76" s="5" t="s">
        <v>892</v>
      </c>
      <c r="AE76" s="5" t="s">
        <v>892</v>
      </c>
      <c r="AF76" s="5" t="s">
        <v>893</v>
      </c>
    </row>
    <row r="77" spans="1:32" ht="38.25">
      <c r="A77" s="5" t="s">
        <v>894</v>
      </c>
      <c r="B77" s="5" t="s">
        <v>895</v>
      </c>
      <c r="C77" s="5"/>
      <c r="D77" s="5" t="s">
        <v>118</v>
      </c>
      <c r="E77" s="12">
        <f>INDEX(MCDM_Grades!$E$6:$E$238,MATCH(A77,MCDM_Grades!$A$6:$A$238,0))</f>
        <v>47.222222222222221</v>
      </c>
      <c r="F77" s="12">
        <f>INDEX(MCDM_Grades!$F$6:$F$238,MATCH(A77,MCDM_Grades!$A$6:$A$238,0))</f>
        <v>99.999999999999986</v>
      </c>
      <c r="G77" s="13">
        <f>INDEX(MCDM_Grades!$G$6:$G$238,MATCH(A77,MCDM_Grades!$A$6:$A$238,0))</f>
        <v>0.47222222222222221</v>
      </c>
      <c r="H77" s="5" t="str">
        <f>HYPERLINK("https://data.mendeley.com/datasets/27c8pwsd6v/5","Dataset")</f>
        <v>Dataset</v>
      </c>
      <c r="I77" s="5" t="str">
        <f>HYPERLINK("https://data.mendeley.com/datasets/27c8pwsd6v/5","Evidence / paper")</f>
        <v>Evidence / paper</v>
      </c>
      <c r="J77" s="5" t="s">
        <v>896</v>
      </c>
      <c r="K77" s="5" t="s">
        <v>168</v>
      </c>
      <c r="L77" s="5" t="s">
        <v>169</v>
      </c>
      <c r="M77" s="5" t="s">
        <v>170</v>
      </c>
      <c r="N77" s="5" t="s">
        <v>897</v>
      </c>
      <c r="O77" s="5" t="s">
        <v>898</v>
      </c>
      <c r="P77" s="5" t="s">
        <v>241</v>
      </c>
      <c r="Q77" s="5" t="s">
        <v>174</v>
      </c>
      <c r="R77" s="5" t="s">
        <v>899</v>
      </c>
      <c r="S77" s="5" t="s">
        <v>900</v>
      </c>
      <c r="T77" s="5" t="s">
        <v>901</v>
      </c>
      <c r="U77" s="5" t="s">
        <v>902</v>
      </c>
      <c r="V77" s="5" t="s">
        <v>903</v>
      </c>
      <c r="W77" s="5" t="s">
        <v>904</v>
      </c>
      <c r="X77" s="5" t="s">
        <v>905</v>
      </c>
      <c r="Y77" s="5" t="s">
        <v>906</v>
      </c>
      <c r="Z77" s="5" t="s">
        <v>182</v>
      </c>
      <c r="AA77" s="5" t="str">
        <f>HYPERLINK("#'Manual_Review'!A"&amp;(MATCH("DS-072",Manual_Review!$A$6:$A$238,0)+5),"Enter review")</f>
        <v>Enter review</v>
      </c>
      <c r="AB77" s="5" t="str">
        <f>HYPERLINK("#'MCDM_Checks'!A"&amp;(MATCH("DS-072",MCDM_Checks!$B$6:$B$3733,0)+5),"Check evidence")</f>
        <v>Check evidence</v>
      </c>
      <c r="AC77" s="5" t="s">
        <v>562</v>
      </c>
      <c r="AD77" s="5" t="s">
        <v>907</v>
      </c>
      <c r="AE77" s="5" t="s">
        <v>907</v>
      </c>
      <c r="AF77" s="5" t="s">
        <v>908</v>
      </c>
    </row>
    <row r="78" spans="1:32" ht="25.5">
      <c r="A78" s="5" t="s">
        <v>909</v>
      </c>
      <c r="B78" s="5" t="s">
        <v>910</v>
      </c>
      <c r="C78" s="5"/>
      <c r="D78" s="5" t="s">
        <v>118</v>
      </c>
      <c r="E78" s="12">
        <f>INDEX(MCDM_Grades!$E$6:$E$238,MATCH(A78,MCDM_Grades!$A$6:$A$238,0))</f>
        <v>63.888888888888872</v>
      </c>
      <c r="F78" s="12">
        <f>INDEX(MCDM_Grades!$F$6:$F$238,MATCH(A78,MCDM_Grades!$A$6:$A$238,0))</f>
        <v>99.999999999999986</v>
      </c>
      <c r="G78" s="13">
        <f>INDEX(MCDM_Grades!$G$6:$G$238,MATCH(A78,MCDM_Grades!$A$6:$A$238,0))</f>
        <v>0.63888888888888884</v>
      </c>
      <c r="H78" s="5" t="str">
        <f>HYPERLINK("https://data.mendeley.com/datasets/6p52w7d5xd/2","Dataset")</f>
        <v>Dataset</v>
      </c>
      <c r="I78" s="5" t="str">
        <f>HYPERLINK("https://data.mendeley.com/datasets/6p52w7d5xd/2","Evidence / paper")</f>
        <v>Evidence / paper</v>
      </c>
      <c r="J78" s="5" t="s">
        <v>664</v>
      </c>
      <c r="K78" s="5" t="s">
        <v>911</v>
      </c>
      <c r="L78" s="5" t="s">
        <v>155</v>
      </c>
      <c r="M78" s="5" t="s">
        <v>912</v>
      </c>
      <c r="N78" s="5" t="s">
        <v>913</v>
      </c>
      <c r="O78" s="5" t="s">
        <v>914</v>
      </c>
      <c r="P78" s="5" t="s">
        <v>121</v>
      </c>
      <c r="Q78" s="5" t="s">
        <v>124</v>
      </c>
      <c r="R78" s="5" t="s">
        <v>915</v>
      </c>
      <c r="S78" s="5" t="s">
        <v>916</v>
      </c>
      <c r="T78" s="5"/>
      <c r="U78" s="5" t="s">
        <v>917</v>
      </c>
      <c r="V78" s="5" t="s">
        <v>909</v>
      </c>
      <c r="W78" s="5" t="s">
        <v>127</v>
      </c>
      <c r="X78" s="5"/>
      <c r="Y78" s="5"/>
      <c r="Z78" s="5" t="s">
        <v>128</v>
      </c>
      <c r="AA78" s="5" t="str">
        <f>HYPERLINK("#'Manual_Review'!A"&amp;(MATCH("DS-073",Manual_Review!$A$6:$A$238,0)+5),"Enter review")</f>
        <v>Enter review</v>
      </c>
      <c r="AB78" s="5" t="str">
        <f>HYPERLINK("#'MCDM_Checks'!A"&amp;(MATCH("DS-073",MCDM_Checks!$B$6:$B$3733,0)+5),"Check evidence")</f>
        <v>Check evidence</v>
      </c>
      <c r="AC78" s="5" t="s">
        <v>562</v>
      </c>
      <c r="AD78" s="5" t="s">
        <v>918</v>
      </c>
      <c r="AE78" s="5" t="s">
        <v>918</v>
      </c>
      <c r="AF78" s="5" t="s">
        <v>919</v>
      </c>
    </row>
    <row r="79" spans="1:32" ht="63.75">
      <c r="A79" s="5" t="s">
        <v>920</v>
      </c>
      <c r="B79" s="5" t="s">
        <v>921</v>
      </c>
      <c r="C79" s="5"/>
      <c r="D79" s="5" t="s">
        <v>118</v>
      </c>
      <c r="E79" s="12">
        <f>INDEX(MCDM_Grades!$E$6:$E$238,MATCH(A79,MCDM_Grades!$A$6:$A$238,0))</f>
        <v>94.444444444444429</v>
      </c>
      <c r="F79" s="12">
        <f>INDEX(MCDM_Grades!$F$6:$F$238,MATCH(A79,MCDM_Grades!$A$6:$A$238,0))</f>
        <v>99.999999999999986</v>
      </c>
      <c r="G79" s="13">
        <f>INDEX(MCDM_Grades!$G$6:$G$238,MATCH(A79,MCDM_Grades!$A$6:$A$238,0))</f>
        <v>0.94444444444444431</v>
      </c>
      <c r="H79" s="5" t="str">
        <f>HYPERLINK("https://data.mendeley.com/datasets/8b27pdcxv7/1","Dataset")</f>
        <v>Dataset</v>
      </c>
      <c r="I79" s="5" t="str">
        <f>HYPERLINK("https://data.mendeley.com/datasets/8b27pdcxv7/1","Evidence / paper")</f>
        <v>Evidence / paper</v>
      </c>
      <c r="J79" s="5" t="s">
        <v>556</v>
      </c>
      <c r="K79" s="5" t="s">
        <v>794</v>
      </c>
      <c r="L79" s="5" t="s">
        <v>155</v>
      </c>
      <c r="M79" s="5" t="s">
        <v>922</v>
      </c>
      <c r="N79" s="5" t="s">
        <v>923</v>
      </c>
      <c r="O79" s="5" t="s">
        <v>924</v>
      </c>
      <c r="P79" s="5" t="s">
        <v>241</v>
      </c>
      <c r="Q79" s="5" t="s">
        <v>124</v>
      </c>
      <c r="R79" s="5" t="s">
        <v>925</v>
      </c>
      <c r="S79" s="5" t="s">
        <v>926</v>
      </c>
      <c r="T79" s="5"/>
      <c r="U79" s="5" t="s">
        <v>927</v>
      </c>
      <c r="V79" s="5" t="s">
        <v>920</v>
      </c>
      <c r="W79" s="5" t="s">
        <v>127</v>
      </c>
      <c r="X79" s="5"/>
      <c r="Y79" s="5"/>
      <c r="Z79" s="5" t="s">
        <v>128</v>
      </c>
      <c r="AA79" s="5" t="str">
        <f>HYPERLINK("#'Manual_Review'!A"&amp;(MATCH("DS-074",Manual_Review!$A$6:$A$238,0)+5),"Enter review")</f>
        <v>Enter review</v>
      </c>
      <c r="AB79" s="5" t="str">
        <f>HYPERLINK("#'MCDM_Checks'!A"&amp;(MATCH("DS-074",MCDM_Checks!$B$6:$B$3733,0)+5),"Check evidence")</f>
        <v>Check evidence</v>
      </c>
      <c r="AC79" s="5" t="s">
        <v>562</v>
      </c>
      <c r="AD79" s="5" t="s">
        <v>928</v>
      </c>
      <c r="AE79" s="5" t="s">
        <v>928</v>
      </c>
      <c r="AF79" s="5" t="s">
        <v>929</v>
      </c>
    </row>
    <row r="80" spans="1:32" ht="63.75">
      <c r="A80" s="5" t="s">
        <v>930</v>
      </c>
      <c r="B80" s="5" t="s">
        <v>931</v>
      </c>
      <c r="C80" s="5"/>
      <c r="D80" s="5" t="s">
        <v>118</v>
      </c>
      <c r="E80" s="12">
        <f>INDEX(MCDM_Grades!$E$6:$E$238,MATCH(A80,MCDM_Grades!$A$6:$A$238,0))</f>
        <v>61.111111111111107</v>
      </c>
      <c r="F80" s="12">
        <f>INDEX(MCDM_Grades!$F$6:$F$238,MATCH(A80,MCDM_Grades!$A$6:$A$238,0))</f>
        <v>99.999999999999986</v>
      </c>
      <c r="G80" s="13">
        <f>INDEX(MCDM_Grades!$G$6:$G$238,MATCH(A80,MCDM_Grades!$A$6:$A$238,0))</f>
        <v>0.61111111111111105</v>
      </c>
      <c r="H80" s="5" t="str">
        <f>HYPERLINK("https://data.mendeley.com/datasets/f46zt2g83x/1","Dataset")</f>
        <v>Dataset</v>
      </c>
      <c r="I80" s="5" t="str">
        <f>HYPERLINK("https://data.mendeley.com/datasets/f46zt2g83x/1","Evidence / paper")</f>
        <v>Evidence / paper</v>
      </c>
      <c r="J80" s="5" t="s">
        <v>556</v>
      </c>
      <c r="K80" s="5" t="s">
        <v>932</v>
      </c>
      <c r="L80" s="5" t="s">
        <v>121</v>
      </c>
      <c r="M80" s="5" t="s">
        <v>933</v>
      </c>
      <c r="N80" s="5" t="s">
        <v>934</v>
      </c>
      <c r="O80" s="5" t="s">
        <v>935</v>
      </c>
      <c r="P80" s="5" t="s">
        <v>241</v>
      </c>
      <c r="Q80" s="5" t="s">
        <v>124</v>
      </c>
      <c r="R80" s="5" t="s">
        <v>121</v>
      </c>
      <c r="S80" s="5" t="s">
        <v>936</v>
      </c>
      <c r="T80" s="5"/>
      <c r="U80" s="5" t="s">
        <v>937</v>
      </c>
      <c r="V80" s="5" t="s">
        <v>930</v>
      </c>
      <c r="W80" s="5" t="s">
        <v>127</v>
      </c>
      <c r="X80" s="5"/>
      <c r="Y80" s="5"/>
      <c r="Z80" s="5" t="s">
        <v>128</v>
      </c>
      <c r="AA80" s="5" t="str">
        <f>HYPERLINK("#'Manual_Review'!A"&amp;(MATCH("DS-075",Manual_Review!$A$6:$A$238,0)+5),"Enter review")</f>
        <v>Enter review</v>
      </c>
      <c r="AB80" s="5" t="str">
        <f>HYPERLINK("#'MCDM_Checks'!A"&amp;(MATCH("DS-075",MCDM_Checks!$B$6:$B$3733,0)+5),"Check evidence")</f>
        <v>Check evidence</v>
      </c>
      <c r="AC80" s="5" t="s">
        <v>562</v>
      </c>
      <c r="AD80" s="5" t="s">
        <v>938</v>
      </c>
      <c r="AE80" s="5" t="s">
        <v>938</v>
      </c>
      <c r="AF80" s="5" t="s">
        <v>939</v>
      </c>
    </row>
    <row r="81" spans="1:32" ht="38.25">
      <c r="A81" s="5" t="s">
        <v>940</v>
      </c>
      <c r="B81" s="5" t="s">
        <v>941</v>
      </c>
      <c r="C81" s="5"/>
      <c r="D81" s="5" t="s">
        <v>118</v>
      </c>
      <c r="E81" s="12">
        <f>INDEX(MCDM_Grades!$E$6:$E$238,MATCH(A81,MCDM_Grades!$A$6:$A$238,0))</f>
        <v>33.333333333333329</v>
      </c>
      <c r="F81" s="12">
        <f>INDEX(MCDM_Grades!$F$6:$F$238,MATCH(A81,MCDM_Grades!$A$6:$A$238,0))</f>
        <v>99.999999999999986</v>
      </c>
      <c r="G81" s="13">
        <f>INDEX(MCDM_Grades!$G$6:$G$238,MATCH(A81,MCDM_Grades!$A$6:$A$238,0))</f>
        <v>0.33333333333333331</v>
      </c>
      <c r="H81" s="5" t="str">
        <f>HYPERLINK("https://data.mendeley.com/datasets/cbm6dkvggn/1","Dataset")</f>
        <v>Dataset</v>
      </c>
      <c r="I81" s="5" t="str">
        <f>HYPERLINK("https://data.mendeley.com/datasets/cbm6dkvggn/1","Evidence / paper")</f>
        <v>Evidence / paper</v>
      </c>
      <c r="J81" s="5" t="s">
        <v>556</v>
      </c>
      <c r="K81" s="5" t="s">
        <v>121</v>
      </c>
      <c r="L81" s="5" t="s">
        <v>155</v>
      </c>
      <c r="M81" s="5" t="s">
        <v>121</v>
      </c>
      <c r="N81" s="5" t="s">
        <v>121</v>
      </c>
      <c r="O81" s="5" t="s">
        <v>121</v>
      </c>
      <c r="P81" s="5" t="s">
        <v>241</v>
      </c>
      <c r="Q81" s="5" t="s">
        <v>124</v>
      </c>
      <c r="R81" s="5" t="s">
        <v>942</v>
      </c>
      <c r="S81" s="5" t="s">
        <v>943</v>
      </c>
      <c r="T81" s="5"/>
      <c r="U81" s="5" t="s">
        <v>944</v>
      </c>
      <c r="V81" s="5" t="s">
        <v>940</v>
      </c>
      <c r="W81" s="5" t="s">
        <v>127</v>
      </c>
      <c r="X81" s="5"/>
      <c r="Y81" s="5"/>
      <c r="Z81" s="5" t="s">
        <v>128</v>
      </c>
      <c r="AA81" s="5" t="str">
        <f>HYPERLINK("#'Manual_Review'!A"&amp;(MATCH("DS-076",Manual_Review!$A$6:$A$238,0)+5),"Enter review")</f>
        <v>Enter review</v>
      </c>
      <c r="AB81" s="5" t="str">
        <f>HYPERLINK("#'MCDM_Checks'!A"&amp;(MATCH("DS-076",MCDM_Checks!$B$6:$B$3733,0)+5),"Check evidence")</f>
        <v>Check evidence</v>
      </c>
      <c r="AC81" s="5" t="s">
        <v>562</v>
      </c>
      <c r="AD81" s="5" t="s">
        <v>945</v>
      </c>
      <c r="AE81" s="5" t="s">
        <v>945</v>
      </c>
      <c r="AF81" s="5" t="s">
        <v>946</v>
      </c>
    </row>
    <row r="82" spans="1:32" ht="38.25">
      <c r="A82" s="5" t="s">
        <v>947</v>
      </c>
      <c r="B82" s="5" t="s">
        <v>948</v>
      </c>
      <c r="C82" s="5"/>
      <c r="D82" s="5" t="s">
        <v>118</v>
      </c>
      <c r="E82" s="12">
        <f>INDEX(MCDM_Grades!$E$6:$E$238,MATCH(A82,MCDM_Grades!$A$6:$A$238,0))</f>
        <v>66.666666666666657</v>
      </c>
      <c r="F82" s="12">
        <f>INDEX(MCDM_Grades!$F$6:$F$238,MATCH(A82,MCDM_Grades!$A$6:$A$238,0))</f>
        <v>99.999999999999986</v>
      </c>
      <c r="G82" s="13">
        <f>INDEX(MCDM_Grades!$G$6:$G$238,MATCH(A82,MCDM_Grades!$A$6:$A$238,0))</f>
        <v>0.66666666666666674</v>
      </c>
      <c r="H82" s="5" t="str">
        <f>HYPERLINK("https://data.mendeley.com/datasets/yb65trwbd8/3","Dataset")</f>
        <v>Dataset</v>
      </c>
      <c r="I82" s="5" t="str">
        <f>HYPERLINK("https://data.mendeley.com/datasets/yb65trwbd8/3","Evidence / paper")</f>
        <v>Evidence / paper</v>
      </c>
      <c r="J82" s="5" t="s">
        <v>949</v>
      </c>
      <c r="K82" s="5" t="s">
        <v>950</v>
      </c>
      <c r="L82" s="5" t="s">
        <v>121</v>
      </c>
      <c r="M82" s="5" t="s">
        <v>951</v>
      </c>
      <c r="N82" s="5" t="s">
        <v>952</v>
      </c>
      <c r="O82" s="5" t="s">
        <v>953</v>
      </c>
      <c r="P82" s="5" t="s">
        <v>241</v>
      </c>
      <c r="Q82" s="5" t="s">
        <v>124</v>
      </c>
      <c r="R82" s="5" t="s">
        <v>121</v>
      </c>
      <c r="S82" s="5" t="s">
        <v>954</v>
      </c>
      <c r="T82" s="5"/>
      <c r="U82" s="5" t="s">
        <v>955</v>
      </c>
      <c r="V82" s="5" t="s">
        <v>947</v>
      </c>
      <c r="W82" s="5" t="s">
        <v>127</v>
      </c>
      <c r="X82" s="5"/>
      <c r="Y82" s="5"/>
      <c r="Z82" s="5" t="s">
        <v>128</v>
      </c>
      <c r="AA82" s="5" t="str">
        <f>HYPERLINK("#'Manual_Review'!A"&amp;(MATCH("DS-077",Manual_Review!$A$6:$A$238,0)+5),"Enter review")</f>
        <v>Enter review</v>
      </c>
      <c r="AB82" s="5" t="str">
        <f>HYPERLINK("#'MCDM_Checks'!A"&amp;(MATCH("DS-077",MCDM_Checks!$B$6:$B$3733,0)+5),"Check evidence")</f>
        <v>Check evidence</v>
      </c>
      <c r="AC82" s="5" t="s">
        <v>562</v>
      </c>
      <c r="AD82" s="5" t="s">
        <v>956</v>
      </c>
      <c r="AE82" s="5" t="s">
        <v>956</v>
      </c>
      <c r="AF82" s="5" t="s">
        <v>957</v>
      </c>
    </row>
    <row r="83" spans="1:32" ht="51">
      <c r="A83" s="5" t="s">
        <v>958</v>
      </c>
      <c r="B83" s="5" t="s">
        <v>959</v>
      </c>
      <c r="C83" s="5"/>
      <c r="D83" s="5" t="s">
        <v>118</v>
      </c>
      <c r="E83" s="12">
        <f>INDEX(MCDM_Grades!$E$6:$E$238,MATCH(A83,MCDM_Grades!$A$6:$A$238,0))</f>
        <v>88.888888888888872</v>
      </c>
      <c r="F83" s="12">
        <f>INDEX(MCDM_Grades!$F$6:$F$238,MATCH(A83,MCDM_Grades!$A$6:$A$238,0))</f>
        <v>99.999999999999986</v>
      </c>
      <c r="G83" s="13">
        <f>INDEX(MCDM_Grades!$G$6:$G$238,MATCH(A83,MCDM_Grades!$A$6:$A$238,0))</f>
        <v>0.88888888888888884</v>
      </c>
      <c r="H83" s="5" t="str">
        <f>HYPERLINK("https://data.mendeley.com/datasets/fgtjn9kjkd/1","Dataset")</f>
        <v>Dataset</v>
      </c>
      <c r="I83" s="5" t="str">
        <f>HYPERLINK("https://data.mendeley.com/datasets/fgtjn9kjkd/1","Evidence / paper")</f>
        <v>Evidence / paper</v>
      </c>
      <c r="J83" s="5" t="s">
        <v>556</v>
      </c>
      <c r="K83" s="5" t="s">
        <v>794</v>
      </c>
      <c r="L83" s="5" t="s">
        <v>155</v>
      </c>
      <c r="M83" s="5" t="s">
        <v>960</v>
      </c>
      <c r="N83" s="5" t="s">
        <v>961</v>
      </c>
      <c r="O83" s="5" t="s">
        <v>962</v>
      </c>
      <c r="P83" s="5" t="s">
        <v>963</v>
      </c>
      <c r="Q83" s="5" t="s">
        <v>124</v>
      </c>
      <c r="R83" s="5" t="s">
        <v>964</v>
      </c>
      <c r="S83" s="5" t="s">
        <v>965</v>
      </c>
      <c r="T83" s="5"/>
      <c r="U83" s="5" t="s">
        <v>966</v>
      </c>
      <c r="V83" s="5" t="s">
        <v>958</v>
      </c>
      <c r="W83" s="5" t="s">
        <v>127</v>
      </c>
      <c r="X83" s="5"/>
      <c r="Y83" s="5"/>
      <c r="Z83" s="5" t="s">
        <v>128</v>
      </c>
      <c r="AA83" s="5" t="str">
        <f>HYPERLINK("#'Manual_Review'!A"&amp;(MATCH("DS-078",Manual_Review!$A$6:$A$238,0)+5),"Enter review")</f>
        <v>Enter review</v>
      </c>
      <c r="AB83" s="5" t="str">
        <f>HYPERLINK("#'MCDM_Checks'!A"&amp;(MATCH("DS-078",MCDM_Checks!$B$6:$B$3733,0)+5),"Check evidence")</f>
        <v>Check evidence</v>
      </c>
      <c r="AC83" s="5" t="s">
        <v>562</v>
      </c>
      <c r="AD83" s="5" t="s">
        <v>967</v>
      </c>
      <c r="AE83" s="5" t="s">
        <v>967</v>
      </c>
      <c r="AF83" s="5" t="s">
        <v>968</v>
      </c>
    </row>
    <row r="84" spans="1:32" ht="25.5">
      <c r="A84" s="5" t="s">
        <v>969</v>
      </c>
      <c r="B84" s="5" t="s">
        <v>970</v>
      </c>
      <c r="C84" s="5"/>
      <c r="D84" s="5" t="s">
        <v>118</v>
      </c>
      <c r="E84" s="12">
        <f>INDEX(MCDM_Grades!$E$6:$E$238,MATCH(A84,MCDM_Grades!$A$6:$A$238,0))</f>
        <v>75</v>
      </c>
      <c r="F84" s="12">
        <f>INDEX(MCDM_Grades!$F$6:$F$238,MATCH(A84,MCDM_Grades!$A$6:$A$238,0))</f>
        <v>99.999999999999986</v>
      </c>
      <c r="G84" s="13">
        <f>INDEX(MCDM_Grades!$G$6:$G$238,MATCH(A84,MCDM_Grades!$A$6:$A$238,0))</f>
        <v>0.75</v>
      </c>
      <c r="H84" s="5" t="str">
        <f>HYPERLINK("https://data.mendeley.com/datasets/kfth5g2xk3/2","Dataset")</f>
        <v>Dataset</v>
      </c>
      <c r="I84" s="5" t="str">
        <f>HYPERLINK("https://data.mendeley.com/datasets/kfth5g2xk3/2","Evidence / paper")</f>
        <v>Evidence / paper</v>
      </c>
      <c r="J84" s="5" t="s">
        <v>971</v>
      </c>
      <c r="K84" s="5" t="s">
        <v>168</v>
      </c>
      <c r="L84" s="5" t="s">
        <v>827</v>
      </c>
      <c r="M84" s="5" t="s">
        <v>305</v>
      </c>
      <c r="N84" s="5" t="s">
        <v>972</v>
      </c>
      <c r="O84" s="5" t="s">
        <v>973</v>
      </c>
      <c r="P84" s="5" t="s">
        <v>974</v>
      </c>
      <c r="Q84" s="5" t="s">
        <v>174</v>
      </c>
      <c r="R84" s="5" t="s">
        <v>975</v>
      </c>
      <c r="S84" s="5" t="s">
        <v>976</v>
      </c>
      <c r="T84" s="5" t="s">
        <v>977</v>
      </c>
      <c r="U84" s="5" t="s">
        <v>978</v>
      </c>
      <c r="V84" s="5" t="s">
        <v>979</v>
      </c>
      <c r="W84" s="5" t="s">
        <v>445</v>
      </c>
      <c r="X84" s="5" t="s">
        <v>603</v>
      </c>
      <c r="Y84" s="5"/>
      <c r="Z84" s="5" t="s">
        <v>182</v>
      </c>
      <c r="AA84" s="5" t="str">
        <f>HYPERLINK("#'Manual_Review'!A"&amp;(MATCH("DS-079",Manual_Review!$A$6:$A$238,0)+5),"Enter review")</f>
        <v>Enter review</v>
      </c>
      <c r="AB84" s="5" t="str">
        <f>HYPERLINK("#'MCDM_Checks'!A"&amp;(MATCH("DS-079",MCDM_Checks!$B$6:$B$3733,0)+5),"Check evidence")</f>
        <v>Check evidence</v>
      </c>
      <c r="AC84" s="5" t="s">
        <v>562</v>
      </c>
      <c r="AD84" s="5" t="s">
        <v>980</v>
      </c>
      <c r="AE84" s="5" t="s">
        <v>980</v>
      </c>
      <c r="AF84" s="5" t="s">
        <v>981</v>
      </c>
    </row>
    <row r="85" spans="1:32" ht="25.5">
      <c r="A85" s="5" t="s">
        <v>982</v>
      </c>
      <c r="B85" s="5" t="s">
        <v>983</v>
      </c>
      <c r="C85" s="5"/>
      <c r="D85" s="5" t="s">
        <v>118</v>
      </c>
      <c r="E85" s="12">
        <f>INDEX(MCDM_Grades!$E$6:$E$238,MATCH(A85,MCDM_Grades!$A$6:$A$238,0))</f>
        <v>94.444444444444429</v>
      </c>
      <c r="F85" s="12">
        <f>INDEX(MCDM_Grades!$F$6:$F$238,MATCH(A85,MCDM_Grades!$A$6:$A$238,0))</f>
        <v>99.999999999999986</v>
      </c>
      <c r="G85" s="13">
        <f>INDEX(MCDM_Grades!$G$6:$G$238,MATCH(A85,MCDM_Grades!$A$6:$A$238,0))</f>
        <v>0.94444444444444431</v>
      </c>
      <c r="H85" s="5" t="str">
        <f>HYPERLINK("https://data.mendeley.com/datasets/5bwfg4v4cd/3","Dataset")</f>
        <v>Dataset</v>
      </c>
      <c r="I85" s="5" t="str">
        <f>HYPERLINK("https://data.mendeley.com/datasets/5bwfg4v4cd/3","Evidence / paper")</f>
        <v>Evidence / paper</v>
      </c>
      <c r="J85" s="5" t="s">
        <v>984</v>
      </c>
      <c r="K85" s="5" t="s">
        <v>168</v>
      </c>
      <c r="L85" s="5" t="s">
        <v>985</v>
      </c>
      <c r="M85" s="5" t="s">
        <v>305</v>
      </c>
      <c r="N85" s="5" t="s">
        <v>986</v>
      </c>
      <c r="O85" s="5" t="s">
        <v>987</v>
      </c>
      <c r="P85" s="5" t="s">
        <v>241</v>
      </c>
      <c r="Q85" s="5" t="s">
        <v>174</v>
      </c>
      <c r="R85" s="5" t="s">
        <v>988</v>
      </c>
      <c r="S85" s="5" t="s">
        <v>989</v>
      </c>
      <c r="T85" s="5" t="s">
        <v>990</v>
      </c>
      <c r="U85" s="5" t="s">
        <v>991</v>
      </c>
      <c r="V85" s="5" t="s">
        <v>992</v>
      </c>
      <c r="W85" s="5" t="s">
        <v>314</v>
      </c>
      <c r="X85" s="5"/>
      <c r="Y85" s="5"/>
      <c r="Z85" s="5" t="s">
        <v>182</v>
      </c>
      <c r="AA85" s="5" t="str">
        <f>HYPERLINK("#'Manual_Review'!A"&amp;(MATCH("DS-080",Manual_Review!$A$6:$A$238,0)+5),"Enter review")</f>
        <v>Enter review</v>
      </c>
      <c r="AB85" s="5" t="str">
        <f>HYPERLINK("#'MCDM_Checks'!A"&amp;(MATCH("DS-080",MCDM_Checks!$B$6:$B$3733,0)+5),"Check evidence")</f>
        <v>Check evidence</v>
      </c>
      <c r="AC85" s="5" t="s">
        <v>562</v>
      </c>
      <c r="AD85" s="5" t="s">
        <v>993</v>
      </c>
      <c r="AE85" s="5" t="s">
        <v>993</v>
      </c>
      <c r="AF85" s="5" t="s">
        <v>994</v>
      </c>
    </row>
    <row r="86" spans="1:32" ht="25.5">
      <c r="A86" s="5" t="s">
        <v>995</v>
      </c>
      <c r="B86" s="5" t="s">
        <v>996</v>
      </c>
      <c r="C86" s="5"/>
      <c r="D86" s="5" t="s">
        <v>118</v>
      </c>
      <c r="E86" s="12">
        <f>INDEX(MCDM_Grades!$E$6:$E$238,MATCH(A86,MCDM_Grades!$A$6:$A$238,0))</f>
        <v>5.5555555555555554</v>
      </c>
      <c r="F86" s="12">
        <f>INDEX(MCDM_Grades!$F$6:$F$238,MATCH(A86,MCDM_Grades!$A$6:$A$238,0))</f>
        <v>99.999999999999986</v>
      </c>
      <c r="G86" s="13">
        <f>INDEX(MCDM_Grades!$G$6:$G$238,MATCH(A86,MCDM_Grades!$A$6:$A$238,0))</f>
        <v>5.5555555555555552E-2</v>
      </c>
      <c r="H86" s="5" t="str">
        <f>HYPERLINK("https://data.mendeley.com/datasets/8wpk4c4n2m/2","Dataset")</f>
        <v>Dataset</v>
      </c>
      <c r="I86" s="5" t="str">
        <f>HYPERLINK("https://data.mendeley.com/datasets/8wpk4c4n2m/2","Evidence / paper")</f>
        <v>Evidence / paper</v>
      </c>
      <c r="J86" s="5" t="s">
        <v>664</v>
      </c>
      <c r="K86" s="5" t="s">
        <v>665</v>
      </c>
      <c r="L86" s="5" t="s">
        <v>121</v>
      </c>
      <c r="M86" s="5" t="s">
        <v>121</v>
      </c>
      <c r="N86" s="5" t="s">
        <v>121</v>
      </c>
      <c r="O86" s="5" t="s">
        <v>121</v>
      </c>
      <c r="P86" s="5" t="s">
        <v>241</v>
      </c>
      <c r="Q86" s="5" t="s">
        <v>124</v>
      </c>
      <c r="R86" s="5" t="s">
        <v>121</v>
      </c>
      <c r="S86" s="5" t="s">
        <v>121</v>
      </c>
      <c r="T86" s="5"/>
      <c r="U86" s="5" t="s">
        <v>997</v>
      </c>
      <c r="V86" s="5" t="s">
        <v>995</v>
      </c>
      <c r="W86" s="5" t="s">
        <v>127</v>
      </c>
      <c r="X86" s="5"/>
      <c r="Y86" s="5"/>
      <c r="Z86" s="5" t="s">
        <v>128</v>
      </c>
      <c r="AA86" s="5" t="str">
        <f>HYPERLINK("#'Manual_Review'!A"&amp;(MATCH("DS-081",Manual_Review!$A$6:$A$238,0)+5),"Enter review")</f>
        <v>Enter review</v>
      </c>
      <c r="AB86" s="5" t="str">
        <f>HYPERLINK("#'MCDM_Checks'!A"&amp;(MATCH("DS-081",MCDM_Checks!$B$6:$B$3733,0)+5),"Check evidence")</f>
        <v>Check evidence</v>
      </c>
      <c r="AC86" s="5" t="s">
        <v>562</v>
      </c>
      <c r="AD86" s="5" t="s">
        <v>998</v>
      </c>
      <c r="AE86" s="5" t="s">
        <v>998</v>
      </c>
      <c r="AF86" s="5" t="s">
        <v>999</v>
      </c>
    </row>
    <row r="87" spans="1:32" ht="38.25">
      <c r="A87" s="5" t="s">
        <v>1000</v>
      </c>
      <c r="B87" s="5" t="s">
        <v>1001</v>
      </c>
      <c r="C87" s="5"/>
      <c r="D87" s="5" t="s">
        <v>118</v>
      </c>
      <c r="E87" s="12">
        <f>INDEX(MCDM_Grades!$E$6:$E$238,MATCH(A87,MCDM_Grades!$A$6:$A$238,0))</f>
        <v>63.888888888888893</v>
      </c>
      <c r="F87" s="12">
        <f>INDEX(MCDM_Grades!$F$6:$F$238,MATCH(A87,MCDM_Grades!$A$6:$A$238,0))</f>
        <v>99.999999999999986</v>
      </c>
      <c r="G87" s="13">
        <f>INDEX(MCDM_Grades!$G$6:$G$238,MATCH(A87,MCDM_Grades!$A$6:$A$238,0))</f>
        <v>0.63888888888888884</v>
      </c>
      <c r="H87" s="5" t="str">
        <f>HYPERLINK("https://data.mendeley.com/datasets/ypm4h4z25c/3","Dataset")</f>
        <v>Dataset</v>
      </c>
      <c r="I87" s="5" t="str">
        <f>HYPERLINK("https://data.mendeley.com/datasets/ypm4h4z25c/3","Evidence / paper")</f>
        <v>Evidence / paper</v>
      </c>
      <c r="J87" s="5" t="s">
        <v>949</v>
      </c>
      <c r="K87" s="5" t="s">
        <v>665</v>
      </c>
      <c r="L87" s="5" t="s">
        <v>121</v>
      </c>
      <c r="M87" s="5" t="s">
        <v>1002</v>
      </c>
      <c r="N87" s="5" t="s">
        <v>1003</v>
      </c>
      <c r="O87" s="5" t="s">
        <v>1004</v>
      </c>
      <c r="P87" s="5" t="s">
        <v>241</v>
      </c>
      <c r="Q87" s="5" t="s">
        <v>124</v>
      </c>
      <c r="R87" s="5" t="s">
        <v>121</v>
      </c>
      <c r="S87" s="5" t="s">
        <v>1005</v>
      </c>
      <c r="T87" s="5"/>
      <c r="U87" s="5" t="s">
        <v>1006</v>
      </c>
      <c r="V87" s="5" t="s">
        <v>1000</v>
      </c>
      <c r="W87" s="5" t="s">
        <v>127</v>
      </c>
      <c r="X87" s="5"/>
      <c r="Y87" s="5"/>
      <c r="Z87" s="5" t="s">
        <v>128</v>
      </c>
      <c r="AA87" s="5" t="str">
        <f>HYPERLINK("#'Manual_Review'!A"&amp;(MATCH("DS-082",Manual_Review!$A$6:$A$238,0)+5),"Enter review")</f>
        <v>Enter review</v>
      </c>
      <c r="AB87" s="5" t="str">
        <f>HYPERLINK("#'MCDM_Checks'!A"&amp;(MATCH("DS-082",MCDM_Checks!$B$6:$B$3733,0)+5),"Check evidence")</f>
        <v>Check evidence</v>
      </c>
      <c r="AC87" s="5" t="s">
        <v>562</v>
      </c>
      <c r="AD87" s="5" t="s">
        <v>1007</v>
      </c>
      <c r="AE87" s="5" t="s">
        <v>1007</v>
      </c>
      <c r="AF87" s="5" t="s">
        <v>1008</v>
      </c>
    </row>
    <row r="88" spans="1:32" ht="51">
      <c r="A88" s="5" t="s">
        <v>1009</v>
      </c>
      <c r="B88" s="5" t="s">
        <v>1010</v>
      </c>
      <c r="C88" s="5"/>
      <c r="D88" s="5" t="s">
        <v>118</v>
      </c>
      <c r="E88" s="12">
        <f>INDEX(MCDM_Grades!$E$6:$E$238,MATCH(A88,MCDM_Grades!$A$6:$A$238,0))</f>
        <v>61.111111111111107</v>
      </c>
      <c r="F88" s="12">
        <f>INDEX(MCDM_Grades!$F$6:$F$238,MATCH(A88,MCDM_Grades!$A$6:$A$238,0))</f>
        <v>99.999999999999986</v>
      </c>
      <c r="G88" s="13">
        <f>INDEX(MCDM_Grades!$G$6:$G$238,MATCH(A88,MCDM_Grades!$A$6:$A$238,0))</f>
        <v>0.61111111111111105</v>
      </c>
      <c r="H88" s="5" t="str">
        <f>HYPERLINK("https://data.mendeley.com/datasets/745n5wnt7v/1","Dataset")</f>
        <v>Dataset</v>
      </c>
      <c r="I88" s="5" t="str">
        <f>HYPERLINK("https://data.mendeley.com/datasets/745n5wnt7v/1","Evidence / paper")</f>
        <v>Evidence / paper</v>
      </c>
      <c r="J88" s="5" t="s">
        <v>556</v>
      </c>
      <c r="K88" s="5" t="s">
        <v>1011</v>
      </c>
      <c r="L88" s="5" t="s">
        <v>155</v>
      </c>
      <c r="M88" s="5" t="s">
        <v>1012</v>
      </c>
      <c r="N88" s="5" t="s">
        <v>1013</v>
      </c>
      <c r="O88" s="5" t="s">
        <v>1014</v>
      </c>
      <c r="P88" s="5" t="s">
        <v>241</v>
      </c>
      <c r="Q88" s="5" t="s">
        <v>124</v>
      </c>
      <c r="R88" s="5" t="s">
        <v>1015</v>
      </c>
      <c r="S88" s="5" t="s">
        <v>1016</v>
      </c>
      <c r="T88" s="5"/>
      <c r="U88" s="5" t="s">
        <v>1017</v>
      </c>
      <c r="V88" s="5" t="s">
        <v>1009</v>
      </c>
      <c r="W88" s="5" t="s">
        <v>127</v>
      </c>
      <c r="X88" s="5"/>
      <c r="Y88" s="5"/>
      <c r="Z88" s="5" t="s">
        <v>128</v>
      </c>
      <c r="AA88" s="5" t="str">
        <f>HYPERLINK("#'Manual_Review'!A"&amp;(MATCH("DS-083",Manual_Review!$A$6:$A$238,0)+5),"Enter review")</f>
        <v>Enter review</v>
      </c>
      <c r="AB88" s="5" t="str">
        <f>HYPERLINK("#'MCDM_Checks'!A"&amp;(MATCH("DS-083",MCDM_Checks!$B$6:$B$3733,0)+5),"Check evidence")</f>
        <v>Check evidence</v>
      </c>
      <c r="AC88" s="5" t="s">
        <v>562</v>
      </c>
      <c r="AD88" s="5" t="s">
        <v>1018</v>
      </c>
      <c r="AE88" s="5" t="s">
        <v>1018</v>
      </c>
      <c r="AF88" s="5" t="s">
        <v>1019</v>
      </c>
    </row>
    <row r="89" spans="1:32" ht="89.25">
      <c r="A89" s="5" t="s">
        <v>18</v>
      </c>
      <c r="B89" s="5" t="s">
        <v>1020</v>
      </c>
      <c r="C89" s="5">
        <v>1</v>
      </c>
      <c r="D89" s="5" t="s">
        <v>118</v>
      </c>
      <c r="E89" s="12">
        <f>INDEX(MCDM_Grades!$E$6:$E$238,MATCH(A89,MCDM_Grades!$A$6:$A$238,0))</f>
        <v>88.888888888888872</v>
      </c>
      <c r="F89" s="12">
        <f>INDEX(MCDM_Grades!$F$6:$F$238,MATCH(A89,MCDM_Grades!$A$6:$A$238,0))</f>
        <v>99.999999999999986</v>
      </c>
      <c r="G89" s="13">
        <f>INDEX(MCDM_Grades!$G$6:$G$238,MATCH(A89,MCDM_Grades!$A$6:$A$238,0))</f>
        <v>0.88888888888888884</v>
      </c>
      <c r="H89" s="5" t="str">
        <f>HYPERLINK("https://digitalcommons.usu.edu/all_datasets/48/","Dataset")</f>
        <v>Dataset</v>
      </c>
      <c r="I89" s="5" t="str">
        <f>HYPERLINK("https://doi.org/10.1016/j.dib.2018.11.015","Evidence / paper")</f>
        <v>Evidence / paper</v>
      </c>
      <c r="J89" s="5" t="s">
        <v>23</v>
      </c>
      <c r="K89" s="5" t="s">
        <v>1021</v>
      </c>
      <c r="L89" s="5" t="s">
        <v>155</v>
      </c>
      <c r="M89" s="5" t="s">
        <v>1022</v>
      </c>
      <c r="N89" s="5" t="s">
        <v>1023</v>
      </c>
      <c r="O89" s="5" t="s">
        <v>1024</v>
      </c>
      <c r="P89" s="5" t="s">
        <v>1025</v>
      </c>
      <c r="Q89" s="5" t="s">
        <v>1026</v>
      </c>
      <c r="R89" s="5" t="s">
        <v>1027</v>
      </c>
      <c r="S89" s="5" t="s">
        <v>1028</v>
      </c>
      <c r="T89" s="5"/>
      <c r="U89" s="5" t="s">
        <v>1029</v>
      </c>
      <c r="V89" s="5" t="s">
        <v>18</v>
      </c>
      <c r="W89" s="5" t="s">
        <v>127</v>
      </c>
      <c r="X89" s="5"/>
      <c r="Y89" s="5" t="s">
        <v>24</v>
      </c>
      <c r="Z89" s="5" t="s">
        <v>206</v>
      </c>
      <c r="AA89" s="5" t="str">
        <f>HYPERLINK("#'Manual_Review'!A"&amp;(MATCH("DS-084",Manual_Review!$A$6:$A$238,0)+5),"Enter review")</f>
        <v>Enter review</v>
      </c>
      <c r="AB89" s="5" t="str">
        <f>HYPERLINK("#'MCDM_Checks'!A"&amp;(MATCH("DS-084",MCDM_Checks!$B$6:$B$3733,0)+5),"Check evidence")</f>
        <v>Check evidence</v>
      </c>
      <c r="AC89" s="5" t="s">
        <v>659</v>
      </c>
      <c r="AD89" s="5" t="s">
        <v>1030</v>
      </c>
      <c r="AE89" s="5" t="s">
        <v>1031</v>
      </c>
      <c r="AF89" s="5" t="s">
        <v>1032</v>
      </c>
    </row>
    <row r="90" spans="1:32" ht="25.5">
      <c r="A90" s="5" t="s">
        <v>1033</v>
      </c>
      <c r="B90" s="5" t="s">
        <v>1034</v>
      </c>
      <c r="C90" s="5"/>
      <c r="D90" s="5" t="s">
        <v>118</v>
      </c>
      <c r="E90" s="12">
        <f>INDEX(MCDM_Grades!$E$6:$E$238,MATCH(A90,MCDM_Grades!$A$6:$A$238,0))</f>
        <v>69.444444444444429</v>
      </c>
      <c r="F90" s="12">
        <f>INDEX(MCDM_Grades!$F$6:$F$238,MATCH(A90,MCDM_Grades!$A$6:$A$238,0))</f>
        <v>99.999999999999986</v>
      </c>
      <c r="G90" s="13">
        <f>INDEX(MCDM_Grades!$G$6:$G$238,MATCH(A90,MCDM_Grades!$A$6:$A$238,0))</f>
        <v>0.69444444444444442</v>
      </c>
      <c r="H90" s="5" t="str">
        <f>HYPERLINK("https://data.mendeley.com/datasets/gd5t95rv5t/1","Dataset")</f>
        <v>Dataset</v>
      </c>
      <c r="I90" s="5" t="str">
        <f>HYPERLINK("https://data.mendeley.com/datasets/gd5t95rv5t/1","Evidence / paper")</f>
        <v>Evidence / paper</v>
      </c>
      <c r="J90" s="5" t="s">
        <v>556</v>
      </c>
      <c r="K90" s="5" t="s">
        <v>1035</v>
      </c>
      <c r="L90" s="5" t="s">
        <v>155</v>
      </c>
      <c r="M90" s="5" t="s">
        <v>1036</v>
      </c>
      <c r="N90" s="5" t="s">
        <v>1037</v>
      </c>
      <c r="O90" s="5" t="s">
        <v>121</v>
      </c>
      <c r="P90" s="5" t="s">
        <v>241</v>
      </c>
      <c r="Q90" s="5" t="s">
        <v>124</v>
      </c>
      <c r="R90" s="5" t="s">
        <v>1038</v>
      </c>
      <c r="S90" s="5" t="s">
        <v>1039</v>
      </c>
      <c r="T90" s="5"/>
      <c r="U90" s="5" t="s">
        <v>1040</v>
      </c>
      <c r="V90" s="5" t="s">
        <v>1033</v>
      </c>
      <c r="W90" s="5" t="s">
        <v>127</v>
      </c>
      <c r="X90" s="5"/>
      <c r="Y90" s="5"/>
      <c r="Z90" s="5" t="s">
        <v>128</v>
      </c>
      <c r="AA90" s="5" t="str">
        <f>HYPERLINK("#'Manual_Review'!A"&amp;(MATCH("DS-085",Manual_Review!$A$6:$A$238,0)+5),"Enter review")</f>
        <v>Enter review</v>
      </c>
      <c r="AB90" s="5" t="str">
        <f>HYPERLINK("#'MCDM_Checks'!A"&amp;(MATCH("DS-085",MCDM_Checks!$B$6:$B$3733,0)+5),"Check evidence")</f>
        <v>Check evidence</v>
      </c>
      <c r="AC90" s="5" t="s">
        <v>562</v>
      </c>
      <c r="AD90" s="5" t="s">
        <v>1041</v>
      </c>
      <c r="AE90" s="5" t="s">
        <v>1041</v>
      </c>
      <c r="AF90" s="5" t="s">
        <v>1042</v>
      </c>
    </row>
    <row r="91" spans="1:32" ht="51">
      <c r="A91" s="5" t="s">
        <v>1043</v>
      </c>
      <c r="B91" s="5" t="s">
        <v>1044</v>
      </c>
      <c r="C91" s="5"/>
      <c r="D91" s="5" t="s">
        <v>118</v>
      </c>
      <c r="E91" s="12">
        <f>INDEX(MCDM_Grades!$E$6:$E$238,MATCH(A91,MCDM_Grades!$A$6:$A$238,0))</f>
        <v>69.444444444444443</v>
      </c>
      <c r="F91" s="12">
        <f>INDEX(MCDM_Grades!$F$6:$F$238,MATCH(A91,MCDM_Grades!$A$6:$A$238,0))</f>
        <v>99.999999999999986</v>
      </c>
      <c r="G91" s="13">
        <f>INDEX(MCDM_Grades!$G$6:$G$238,MATCH(A91,MCDM_Grades!$A$6:$A$238,0))</f>
        <v>0.69444444444444442</v>
      </c>
      <c r="H91" s="5" t="str">
        <f>HYPERLINK("https://data.mendeley.com/datasets/c6f2b7mx9t/1","Dataset")</f>
        <v>Dataset</v>
      </c>
      <c r="I91" s="5" t="str">
        <f>HYPERLINK("https://data.mendeley.com/datasets/c6f2b7mx9t/1","Evidence / paper")</f>
        <v>Evidence / paper</v>
      </c>
      <c r="J91" s="5" t="s">
        <v>556</v>
      </c>
      <c r="K91" s="5" t="s">
        <v>665</v>
      </c>
      <c r="L91" s="5" t="s">
        <v>155</v>
      </c>
      <c r="M91" s="5" t="s">
        <v>1045</v>
      </c>
      <c r="N91" s="5" t="s">
        <v>1046</v>
      </c>
      <c r="O91" s="5" t="s">
        <v>1047</v>
      </c>
      <c r="P91" s="5" t="s">
        <v>241</v>
      </c>
      <c r="Q91" s="5" t="s">
        <v>124</v>
      </c>
      <c r="R91" s="5" t="s">
        <v>1048</v>
      </c>
      <c r="S91" s="5" t="s">
        <v>1049</v>
      </c>
      <c r="T91" s="5"/>
      <c r="U91" s="5" t="s">
        <v>1050</v>
      </c>
      <c r="V91" s="5" t="s">
        <v>1043</v>
      </c>
      <c r="W91" s="5" t="s">
        <v>127</v>
      </c>
      <c r="X91" s="5"/>
      <c r="Y91" s="5"/>
      <c r="Z91" s="5" t="s">
        <v>128</v>
      </c>
      <c r="AA91" s="5" t="str">
        <f>HYPERLINK("#'Manual_Review'!A"&amp;(MATCH("DS-086",Manual_Review!$A$6:$A$238,0)+5),"Enter review")</f>
        <v>Enter review</v>
      </c>
      <c r="AB91" s="5" t="str">
        <f>HYPERLINK("#'MCDM_Checks'!A"&amp;(MATCH("DS-086",MCDM_Checks!$B$6:$B$3733,0)+5),"Check evidence")</f>
        <v>Check evidence</v>
      </c>
      <c r="AC91" s="5" t="s">
        <v>562</v>
      </c>
      <c r="AD91" s="5" t="s">
        <v>1051</v>
      </c>
      <c r="AE91" s="5" t="s">
        <v>1051</v>
      </c>
      <c r="AF91" s="5" t="s">
        <v>1052</v>
      </c>
    </row>
    <row r="92" spans="1:32" ht="25.5">
      <c r="A92" s="5" t="s">
        <v>1053</v>
      </c>
      <c r="B92" s="5" t="s">
        <v>1054</v>
      </c>
      <c r="C92" s="5"/>
      <c r="D92" s="5" t="s">
        <v>118</v>
      </c>
      <c r="E92" s="12">
        <f>INDEX(MCDM_Grades!$E$6:$E$238,MATCH(A92,MCDM_Grades!$A$6:$A$238,0))</f>
        <v>77.777777777777771</v>
      </c>
      <c r="F92" s="12">
        <f>INDEX(MCDM_Grades!$F$6:$F$238,MATCH(A92,MCDM_Grades!$A$6:$A$238,0))</f>
        <v>94.444444444444429</v>
      </c>
      <c r="G92" s="13">
        <f>INDEX(MCDM_Grades!$G$6:$G$238,MATCH(A92,MCDM_Grades!$A$6:$A$238,0))</f>
        <v>0.83333333333333326</v>
      </c>
      <c r="H92" s="5" t="str">
        <f>HYPERLINK("https://huggingface.co/datasets/lambert1862/BLACrack","Dataset")</f>
        <v>Dataset</v>
      </c>
      <c r="I92" s="5" t="str">
        <f>HYPERLINK("https://huggingface.co/datasets/lambert1862/BLACrack","Evidence / paper")</f>
        <v>Evidence / paper</v>
      </c>
      <c r="J92" s="5" t="s">
        <v>1055</v>
      </c>
      <c r="K92" s="5" t="s">
        <v>1056</v>
      </c>
      <c r="L92" s="5" t="s">
        <v>155</v>
      </c>
      <c r="M92" s="5" t="s">
        <v>1057</v>
      </c>
      <c r="N92" s="5" t="s">
        <v>1058</v>
      </c>
      <c r="O92" s="5" t="s">
        <v>1059</v>
      </c>
      <c r="P92" s="5" t="s">
        <v>1060</v>
      </c>
      <c r="Q92" s="5" t="s">
        <v>1061</v>
      </c>
      <c r="R92" s="5" t="s">
        <v>1062</v>
      </c>
      <c r="S92" s="5" t="s">
        <v>1063</v>
      </c>
      <c r="T92" s="5"/>
      <c r="U92" s="5" t="s">
        <v>1064</v>
      </c>
      <c r="V92" s="5" t="s">
        <v>1053</v>
      </c>
      <c r="W92" s="5" t="s">
        <v>127</v>
      </c>
      <c r="X92" s="5"/>
      <c r="Y92" s="5"/>
      <c r="Z92" s="5" t="s">
        <v>128</v>
      </c>
      <c r="AA92" s="5" t="str">
        <f>HYPERLINK("#'Manual_Review'!A"&amp;(MATCH("DS-087",Manual_Review!$A$6:$A$238,0)+5),"Enter review")</f>
        <v>Enter review</v>
      </c>
      <c r="AB92" s="5" t="str">
        <f>HYPERLINK("#'MCDM_Checks'!A"&amp;(MATCH("DS-087",MCDM_Checks!$B$6:$B$3733,0)+5),"Check evidence")</f>
        <v>Check evidence</v>
      </c>
      <c r="AC92" s="5" t="s">
        <v>1065</v>
      </c>
      <c r="AD92" s="5" t="s">
        <v>1066</v>
      </c>
      <c r="AE92" s="5" t="s">
        <v>1066</v>
      </c>
      <c r="AF92" s="5" t="s">
        <v>1067</v>
      </c>
    </row>
    <row r="93" spans="1:32" ht="25.5">
      <c r="A93" s="5" t="s">
        <v>1068</v>
      </c>
      <c r="B93" s="5" t="s">
        <v>1069</v>
      </c>
      <c r="C93" s="5"/>
      <c r="D93" s="5" t="s">
        <v>118</v>
      </c>
      <c r="E93" s="12">
        <f>INDEX(MCDM_Grades!$E$6:$E$238,MATCH(A93,MCDM_Grades!$A$6:$A$238,0))</f>
        <v>58.333333333333329</v>
      </c>
      <c r="F93" s="12">
        <f>INDEX(MCDM_Grades!$F$6:$F$238,MATCH(A93,MCDM_Grades!$A$6:$A$238,0))</f>
        <v>99.999999999999986</v>
      </c>
      <c r="G93" s="13">
        <f>INDEX(MCDM_Grades!$G$6:$G$238,MATCH(A93,MCDM_Grades!$A$6:$A$238,0))</f>
        <v>0.58333333333333337</v>
      </c>
      <c r="H93" s="5" t="str">
        <f>HYPERLINK("https://huggingface.co/datasets/Chrisathy/LCSD","Dataset")</f>
        <v>Dataset</v>
      </c>
      <c r="I93" s="5" t="str">
        <f>HYPERLINK("https://huggingface.co/datasets/Chrisathy/LCSD","Evidence / paper")</f>
        <v>Evidence / paper</v>
      </c>
      <c r="J93" s="5" t="s">
        <v>1070</v>
      </c>
      <c r="K93" s="5" t="s">
        <v>1071</v>
      </c>
      <c r="L93" s="5" t="s">
        <v>155</v>
      </c>
      <c r="M93" s="5" t="s">
        <v>1072</v>
      </c>
      <c r="N93" s="5" t="s">
        <v>1073</v>
      </c>
      <c r="O93" s="5" t="s">
        <v>1074</v>
      </c>
      <c r="P93" s="5" t="s">
        <v>1075</v>
      </c>
      <c r="Q93" s="5" t="s">
        <v>124</v>
      </c>
      <c r="R93" s="5" t="s">
        <v>1076</v>
      </c>
      <c r="S93" s="5" t="s">
        <v>1077</v>
      </c>
      <c r="T93" s="5"/>
      <c r="U93" s="5" t="s">
        <v>1078</v>
      </c>
      <c r="V93" s="5" t="s">
        <v>1068</v>
      </c>
      <c r="W93" s="5" t="s">
        <v>127</v>
      </c>
      <c r="X93" s="5"/>
      <c r="Y93" s="5"/>
      <c r="Z93" s="5" t="s">
        <v>128</v>
      </c>
      <c r="AA93" s="5" t="str">
        <f>HYPERLINK("#'Manual_Review'!A"&amp;(MATCH("DS-088",Manual_Review!$A$6:$A$238,0)+5),"Enter review")</f>
        <v>Enter review</v>
      </c>
      <c r="AB93" s="5" t="str">
        <f>HYPERLINK("#'MCDM_Checks'!A"&amp;(MATCH("DS-088",MCDM_Checks!$B$6:$B$3733,0)+5),"Check evidence")</f>
        <v>Check evidence</v>
      </c>
      <c r="AC93" s="5" t="s">
        <v>1065</v>
      </c>
      <c r="AD93" s="5" t="s">
        <v>1079</v>
      </c>
      <c r="AE93" s="5" t="s">
        <v>1079</v>
      </c>
      <c r="AF93" s="5" t="s">
        <v>1080</v>
      </c>
    </row>
    <row r="94" spans="1:32" ht="25.5">
      <c r="A94" s="5" t="s">
        <v>1081</v>
      </c>
      <c r="B94" s="5" t="s">
        <v>1082</v>
      </c>
      <c r="C94" s="5"/>
      <c r="D94" s="5" t="s">
        <v>118</v>
      </c>
      <c r="E94" s="12">
        <f>INDEX(MCDM_Grades!$E$6:$E$238,MATCH(A94,MCDM_Grades!$A$6:$A$238,0))</f>
        <v>38.888888888888886</v>
      </c>
      <c r="F94" s="12">
        <f>INDEX(MCDM_Grades!$F$6:$F$238,MATCH(A94,MCDM_Grades!$A$6:$A$238,0))</f>
        <v>99.999999999999986</v>
      </c>
      <c r="G94" s="13">
        <f>INDEX(MCDM_Grades!$G$6:$G$238,MATCH(A94,MCDM_Grades!$A$6:$A$238,0))</f>
        <v>0.38888888888888884</v>
      </c>
      <c r="H94" s="5" t="str">
        <f>HYPERLINK("https://huggingface.co/datasets/Mr-Perfectuz/crack","Dataset")</f>
        <v>Dataset</v>
      </c>
      <c r="I94" s="5" t="str">
        <f>HYPERLINK("https://huggingface.co/datasets/Mr-Perfectuz/crack","Evidence / paper")</f>
        <v>Evidence / paper</v>
      </c>
      <c r="J94" s="5" t="s">
        <v>1083</v>
      </c>
      <c r="K94" s="5" t="s">
        <v>1056</v>
      </c>
      <c r="L94" s="5" t="s">
        <v>155</v>
      </c>
      <c r="M94" s="5" t="s">
        <v>121</v>
      </c>
      <c r="N94" s="5" t="s">
        <v>1084</v>
      </c>
      <c r="O94" s="5" t="s">
        <v>1085</v>
      </c>
      <c r="P94" s="5" t="s">
        <v>121</v>
      </c>
      <c r="Q94" s="5" t="s">
        <v>124</v>
      </c>
      <c r="R94" s="5" t="s">
        <v>1086</v>
      </c>
      <c r="S94" s="5" t="s">
        <v>121</v>
      </c>
      <c r="T94" s="5"/>
      <c r="U94" s="5" t="s">
        <v>1087</v>
      </c>
      <c r="V94" s="5" t="s">
        <v>1081</v>
      </c>
      <c r="W94" s="5" t="s">
        <v>127</v>
      </c>
      <c r="X94" s="5"/>
      <c r="Y94" s="5"/>
      <c r="Z94" s="5" t="s">
        <v>128</v>
      </c>
      <c r="AA94" s="5" t="str">
        <f>HYPERLINK("#'Manual_Review'!A"&amp;(MATCH("DS-089",Manual_Review!$A$6:$A$238,0)+5),"Enter review")</f>
        <v>Enter review</v>
      </c>
      <c r="AB94" s="5" t="str">
        <f>HYPERLINK("#'MCDM_Checks'!A"&amp;(MATCH("DS-089",MCDM_Checks!$B$6:$B$3733,0)+5),"Check evidence")</f>
        <v>Check evidence</v>
      </c>
      <c r="AC94" s="5" t="s">
        <v>1065</v>
      </c>
      <c r="AD94" s="5" t="s">
        <v>1088</v>
      </c>
      <c r="AE94" s="5" t="s">
        <v>1088</v>
      </c>
      <c r="AF94" s="5" t="s">
        <v>1089</v>
      </c>
    </row>
    <row r="95" spans="1:32" ht="63.75">
      <c r="A95" s="5" t="s">
        <v>1090</v>
      </c>
      <c r="B95" s="5" t="s">
        <v>1091</v>
      </c>
      <c r="C95" s="5"/>
      <c r="D95" s="5" t="s">
        <v>118</v>
      </c>
      <c r="E95" s="12">
        <f>INDEX(MCDM_Grades!$E$6:$E$238,MATCH(A95,MCDM_Grades!$A$6:$A$238,0))</f>
        <v>91.666666666666657</v>
      </c>
      <c r="F95" s="12">
        <f>INDEX(MCDM_Grades!$F$6:$F$238,MATCH(A95,MCDM_Grades!$A$6:$A$238,0))</f>
        <v>99.999999999999986</v>
      </c>
      <c r="G95" s="13">
        <f>INDEX(MCDM_Grades!$G$6:$G$238,MATCH(A95,MCDM_Grades!$A$6:$A$238,0))</f>
        <v>0.91666666666666663</v>
      </c>
      <c r="H95" s="5" t="str">
        <f>HYPERLINK("https://zenodo.org/records/17636238","Dataset")</f>
        <v>Dataset</v>
      </c>
      <c r="I95" s="5" t="str">
        <f>HYPERLINK("https://zenodo.org/records/17636238","Evidence / paper")</f>
        <v>Evidence / paper</v>
      </c>
      <c r="J95" s="5" t="s">
        <v>1092</v>
      </c>
      <c r="K95" s="5" t="s">
        <v>1093</v>
      </c>
      <c r="L95" s="5" t="s">
        <v>155</v>
      </c>
      <c r="M95" s="5" t="s">
        <v>1094</v>
      </c>
      <c r="N95" s="5" t="s">
        <v>1095</v>
      </c>
      <c r="O95" s="5" t="s">
        <v>1096</v>
      </c>
      <c r="P95" s="5" t="s">
        <v>1097</v>
      </c>
      <c r="Q95" s="5" t="s">
        <v>124</v>
      </c>
      <c r="R95" s="5" t="s">
        <v>1098</v>
      </c>
      <c r="S95" s="5" t="s">
        <v>1099</v>
      </c>
      <c r="T95" s="5"/>
      <c r="U95" s="5" t="s">
        <v>1100</v>
      </c>
      <c r="V95" s="5" t="s">
        <v>1090</v>
      </c>
      <c r="W95" s="5" t="s">
        <v>127</v>
      </c>
      <c r="X95" s="5" t="s">
        <v>149</v>
      </c>
      <c r="Y95" s="5"/>
      <c r="Z95" s="5" t="s">
        <v>1101</v>
      </c>
      <c r="AA95" s="5" t="str">
        <f>HYPERLINK("#'Manual_Review'!A"&amp;(MATCH("DS-090",Manual_Review!$A$6:$A$238,0)+5),"Enter review")</f>
        <v>Enter review</v>
      </c>
      <c r="AB95" s="5" t="str">
        <f>HYPERLINK("#'MCDM_Checks'!A"&amp;(MATCH("DS-090",MCDM_Checks!$B$6:$B$3733,0)+5),"Check evidence")</f>
        <v>Check evidence</v>
      </c>
      <c r="AC95" s="5" t="s">
        <v>1102</v>
      </c>
      <c r="AD95" s="5" t="s">
        <v>1103</v>
      </c>
      <c r="AE95" s="5" t="s">
        <v>1103</v>
      </c>
      <c r="AF95" s="5" t="s">
        <v>1104</v>
      </c>
    </row>
    <row r="96" spans="1:32" ht="25.5">
      <c r="A96" s="5" t="s">
        <v>1105</v>
      </c>
      <c r="B96" s="5" t="s">
        <v>1106</v>
      </c>
      <c r="C96" s="5"/>
      <c r="D96" s="5" t="s">
        <v>118</v>
      </c>
      <c r="E96" s="12">
        <f>INDEX(MCDM_Grades!$E$6:$E$238,MATCH(A96,MCDM_Grades!$A$6:$A$238,0))</f>
        <v>50</v>
      </c>
      <c r="F96" s="12">
        <f>INDEX(MCDM_Grades!$F$6:$F$238,MATCH(A96,MCDM_Grades!$A$6:$A$238,0))</f>
        <v>99.999999999999986</v>
      </c>
      <c r="G96" s="13">
        <f>INDEX(MCDM_Grades!$G$6:$G$238,MATCH(A96,MCDM_Grades!$A$6:$A$238,0))</f>
        <v>0.5</v>
      </c>
      <c r="H96" s="5" t="str">
        <f>HYPERLINK("https://huggingface.co/datasets/fcakyon/crack-instance-segmentation","Dataset")</f>
        <v>Dataset</v>
      </c>
      <c r="I96" s="5" t="str">
        <f>HYPERLINK("https://huggingface.co/datasets/fcakyon/crack-instance-segmentation","Evidence / paper")</f>
        <v>Evidence / paper</v>
      </c>
      <c r="J96" s="5" t="s">
        <v>1107</v>
      </c>
      <c r="K96" s="5" t="s">
        <v>1108</v>
      </c>
      <c r="L96" s="5" t="s">
        <v>121</v>
      </c>
      <c r="M96" s="5" t="s">
        <v>121</v>
      </c>
      <c r="N96" s="5" t="s">
        <v>1109</v>
      </c>
      <c r="O96" s="5" t="s">
        <v>1110</v>
      </c>
      <c r="P96" s="5" t="s">
        <v>121</v>
      </c>
      <c r="Q96" s="5" t="s">
        <v>124</v>
      </c>
      <c r="R96" s="5" t="s">
        <v>121</v>
      </c>
      <c r="S96" s="5" t="s">
        <v>121</v>
      </c>
      <c r="T96" s="5"/>
      <c r="U96" s="5" t="s">
        <v>1111</v>
      </c>
      <c r="V96" s="5" t="s">
        <v>1105</v>
      </c>
      <c r="W96" s="5" t="s">
        <v>127</v>
      </c>
      <c r="X96" s="5"/>
      <c r="Y96" s="5"/>
      <c r="Z96" s="5" t="s">
        <v>128</v>
      </c>
      <c r="AA96" s="5" t="str">
        <f>HYPERLINK("#'Manual_Review'!A"&amp;(MATCH("DS-091",Manual_Review!$A$6:$A$238,0)+5),"Enter review")</f>
        <v>Enter review</v>
      </c>
      <c r="AB96" s="5" t="str">
        <f>HYPERLINK("#'MCDM_Checks'!A"&amp;(MATCH("DS-091",MCDM_Checks!$B$6:$B$3733,0)+5),"Check evidence")</f>
        <v>Check evidence</v>
      </c>
      <c r="AC96" s="5" t="s">
        <v>1065</v>
      </c>
      <c r="AD96" s="5" t="s">
        <v>1112</v>
      </c>
      <c r="AE96" s="5" t="s">
        <v>1112</v>
      </c>
      <c r="AF96" s="5" t="s">
        <v>1113</v>
      </c>
    </row>
    <row r="97" spans="1:32" ht="25.5">
      <c r="A97" s="5" t="s">
        <v>1114</v>
      </c>
      <c r="B97" s="5" t="s">
        <v>1115</v>
      </c>
      <c r="C97" s="5"/>
      <c r="D97" s="5" t="s">
        <v>118</v>
      </c>
      <c r="E97" s="12">
        <f>INDEX(MCDM_Grades!$E$6:$E$238,MATCH(A97,MCDM_Grades!$A$6:$A$238,0))</f>
        <v>49.999999999999993</v>
      </c>
      <c r="F97" s="12">
        <f>INDEX(MCDM_Grades!$F$6:$F$238,MATCH(A97,MCDM_Grades!$A$6:$A$238,0))</f>
        <v>99.999999999999986</v>
      </c>
      <c r="G97" s="13">
        <f>INDEX(MCDM_Grades!$G$6:$G$238,MATCH(A97,MCDM_Grades!$A$6:$A$238,0))</f>
        <v>0.5</v>
      </c>
      <c r="H97" s="5" t="str">
        <f>HYPERLINK("https://huggingface.co/datasets/Outerview/global-potholes-dataset","Dataset")</f>
        <v>Dataset</v>
      </c>
      <c r="I97" s="5" t="str">
        <f>HYPERLINK("https://huggingface.co/datasets/Outerview/global-potholes-dataset","Evidence / paper")</f>
        <v>Evidence / paper</v>
      </c>
      <c r="J97" s="5" t="s">
        <v>1116</v>
      </c>
      <c r="K97" s="5" t="s">
        <v>1117</v>
      </c>
      <c r="L97" s="5" t="s">
        <v>155</v>
      </c>
      <c r="M97" s="5" t="s">
        <v>1118</v>
      </c>
      <c r="N97" s="5" t="s">
        <v>1119</v>
      </c>
      <c r="O97" s="5" t="s">
        <v>1120</v>
      </c>
      <c r="P97" s="5" t="s">
        <v>241</v>
      </c>
      <c r="Q97" s="5" t="s">
        <v>124</v>
      </c>
      <c r="R97" s="5" t="s">
        <v>1121</v>
      </c>
      <c r="S97" s="5" t="s">
        <v>1122</v>
      </c>
      <c r="T97" s="5"/>
      <c r="U97" s="5" t="s">
        <v>1123</v>
      </c>
      <c r="V97" s="5" t="s">
        <v>1114</v>
      </c>
      <c r="W97" s="5" t="s">
        <v>127</v>
      </c>
      <c r="X97" s="5" t="s">
        <v>1124</v>
      </c>
      <c r="Y97" s="5"/>
      <c r="Z97" s="5" t="s">
        <v>128</v>
      </c>
      <c r="AA97" s="5" t="str">
        <f>HYPERLINK("#'Manual_Review'!A"&amp;(MATCH("DS-092",Manual_Review!$A$6:$A$238,0)+5),"Enter review")</f>
        <v>Enter review</v>
      </c>
      <c r="AB97" s="5" t="str">
        <f>HYPERLINK("#'MCDM_Checks'!A"&amp;(MATCH("DS-092",MCDM_Checks!$B$6:$B$3733,0)+5),"Check evidence")</f>
        <v>Check evidence</v>
      </c>
      <c r="AC97" s="5" t="s">
        <v>1065</v>
      </c>
      <c r="AD97" s="5" t="s">
        <v>1125</v>
      </c>
      <c r="AE97" s="5" t="s">
        <v>1125</v>
      </c>
      <c r="AF97" s="5" t="s">
        <v>1126</v>
      </c>
    </row>
    <row r="98" spans="1:32" ht="38.25">
      <c r="A98" s="5" t="s">
        <v>1127</v>
      </c>
      <c r="B98" s="5" t="s">
        <v>1128</v>
      </c>
      <c r="C98" s="5"/>
      <c r="D98" s="5" t="s">
        <v>118</v>
      </c>
      <c r="E98" s="12">
        <f>INDEX(MCDM_Grades!$E$6:$E$238,MATCH(A98,MCDM_Grades!$A$6:$A$238,0))</f>
        <v>61.111111111111107</v>
      </c>
      <c r="F98" s="12">
        <f>INDEX(MCDM_Grades!$F$6:$F$238,MATCH(A98,MCDM_Grades!$A$6:$A$238,0))</f>
        <v>99.999999999999986</v>
      </c>
      <c r="G98" s="13">
        <f>INDEX(MCDM_Grades!$G$6:$G$238,MATCH(A98,MCDM_Grades!$A$6:$A$238,0))</f>
        <v>0.61111111111111116</v>
      </c>
      <c r="H98" s="5" t="str">
        <f>HYPERLINK("https://huggingface.co/datasets/keremberke/pothole-segmentation","Dataset")</f>
        <v>Dataset</v>
      </c>
      <c r="I98" s="5" t="str">
        <f>HYPERLINK("https://huggingface.co/datasets/keremberke/pothole-segmentation","Evidence / paper")</f>
        <v>Evidence / paper</v>
      </c>
      <c r="J98" s="5" t="s">
        <v>1129</v>
      </c>
      <c r="K98" s="5" t="s">
        <v>1130</v>
      </c>
      <c r="L98" s="5" t="s">
        <v>155</v>
      </c>
      <c r="M98" s="5" t="s">
        <v>121</v>
      </c>
      <c r="N98" s="5" t="s">
        <v>1131</v>
      </c>
      <c r="O98" s="5" t="s">
        <v>1132</v>
      </c>
      <c r="P98" s="5" t="s">
        <v>241</v>
      </c>
      <c r="Q98" s="5" t="s">
        <v>124</v>
      </c>
      <c r="R98" s="5" t="s">
        <v>1133</v>
      </c>
      <c r="S98" s="5" t="s">
        <v>1134</v>
      </c>
      <c r="T98" s="5"/>
      <c r="U98" s="5" t="s">
        <v>1135</v>
      </c>
      <c r="V98" s="5" t="s">
        <v>1127</v>
      </c>
      <c r="W98" s="5" t="s">
        <v>127</v>
      </c>
      <c r="X98" s="5" t="s">
        <v>1136</v>
      </c>
      <c r="Y98" s="5"/>
      <c r="Z98" s="5" t="s">
        <v>128</v>
      </c>
      <c r="AA98" s="5" t="str">
        <f>HYPERLINK("#'Manual_Review'!A"&amp;(MATCH("DS-093",Manual_Review!$A$6:$A$238,0)+5),"Enter review")</f>
        <v>Enter review</v>
      </c>
      <c r="AB98" s="5" t="str">
        <f>HYPERLINK("#'MCDM_Checks'!A"&amp;(MATCH("DS-093",MCDM_Checks!$B$6:$B$3733,0)+5),"Check evidence")</f>
        <v>Check evidence</v>
      </c>
      <c r="AC98" s="5" t="s">
        <v>1065</v>
      </c>
      <c r="AD98" s="5" t="s">
        <v>1137</v>
      </c>
      <c r="AE98" s="5" t="s">
        <v>1137</v>
      </c>
      <c r="AF98" s="5" t="s">
        <v>1138</v>
      </c>
    </row>
    <row r="99" spans="1:32" ht="25.5">
      <c r="A99" s="5" t="s">
        <v>1139</v>
      </c>
      <c r="B99" s="5" t="s">
        <v>1140</v>
      </c>
      <c r="C99" s="5"/>
      <c r="D99" s="5" t="s">
        <v>118</v>
      </c>
      <c r="E99" s="12">
        <f>INDEX(MCDM_Grades!$E$6:$E$238,MATCH(A99,MCDM_Grades!$A$6:$A$238,0))</f>
        <v>55.555555555555557</v>
      </c>
      <c r="F99" s="12">
        <f>INDEX(MCDM_Grades!$F$6:$F$238,MATCH(A99,MCDM_Grades!$A$6:$A$238,0))</f>
        <v>99.999999999999986</v>
      </c>
      <c r="G99" s="13">
        <f>INDEX(MCDM_Grades!$G$6:$G$238,MATCH(A99,MCDM_Grades!$A$6:$A$238,0))</f>
        <v>0.55555555555555547</v>
      </c>
      <c r="H99" s="5" t="str">
        <f>HYPERLINK("https://huggingface.co/datasets/manot/pothole-segmentation2","Dataset")</f>
        <v>Dataset</v>
      </c>
      <c r="I99" s="5" t="str">
        <f>HYPERLINK("https://huggingface.co/datasets/manot/pothole-segmentation2","Evidence / paper")</f>
        <v>Evidence / paper</v>
      </c>
      <c r="J99" s="5" t="s">
        <v>1070</v>
      </c>
      <c r="K99" s="5" t="s">
        <v>332</v>
      </c>
      <c r="L99" s="5" t="s">
        <v>121</v>
      </c>
      <c r="M99" s="5" t="s">
        <v>121</v>
      </c>
      <c r="N99" s="5" t="s">
        <v>1141</v>
      </c>
      <c r="O99" s="5" t="s">
        <v>1142</v>
      </c>
      <c r="P99" s="5" t="s">
        <v>1143</v>
      </c>
      <c r="Q99" s="5" t="s">
        <v>124</v>
      </c>
      <c r="R99" s="5" t="s">
        <v>121</v>
      </c>
      <c r="S99" s="5" t="s">
        <v>121</v>
      </c>
      <c r="T99" s="5"/>
      <c r="U99" s="5" t="s">
        <v>1144</v>
      </c>
      <c r="V99" s="5" t="s">
        <v>1139</v>
      </c>
      <c r="W99" s="5" t="s">
        <v>127</v>
      </c>
      <c r="X99" s="5" t="s">
        <v>1136</v>
      </c>
      <c r="Y99" s="5"/>
      <c r="Z99" s="5" t="s">
        <v>128</v>
      </c>
      <c r="AA99" s="5" t="str">
        <f>HYPERLINK("#'Manual_Review'!A"&amp;(MATCH("DS-094",Manual_Review!$A$6:$A$238,0)+5),"Enter review")</f>
        <v>Enter review</v>
      </c>
      <c r="AB99" s="5" t="str">
        <f>HYPERLINK("#'MCDM_Checks'!A"&amp;(MATCH("DS-094",MCDM_Checks!$B$6:$B$3733,0)+5),"Check evidence")</f>
        <v>Check evidence</v>
      </c>
      <c r="AC99" s="5" t="s">
        <v>1065</v>
      </c>
      <c r="AD99" s="5" t="s">
        <v>1145</v>
      </c>
      <c r="AE99" s="5" t="s">
        <v>1145</v>
      </c>
      <c r="AF99" s="5" t="s">
        <v>1146</v>
      </c>
    </row>
    <row r="100" spans="1:32" ht="25.5">
      <c r="A100" s="5" t="s">
        <v>1147</v>
      </c>
      <c r="B100" s="5" t="s">
        <v>1148</v>
      </c>
      <c r="C100" s="5"/>
      <c r="D100" s="5" t="s">
        <v>118</v>
      </c>
      <c r="E100" s="12">
        <f>INDEX(MCDM_Grades!$E$6:$E$238,MATCH(A100,MCDM_Grades!$A$6:$A$238,0))</f>
        <v>58.333333333333343</v>
      </c>
      <c r="F100" s="12">
        <f>INDEX(MCDM_Grades!$F$6:$F$238,MATCH(A100,MCDM_Grades!$A$6:$A$238,0))</f>
        <v>99.999999999999986</v>
      </c>
      <c r="G100" s="13">
        <f>INDEX(MCDM_Grades!$G$6:$G$238,MATCH(A100,MCDM_Grades!$A$6:$A$238,0))</f>
        <v>0.58333333333333326</v>
      </c>
      <c r="H100" s="5" t="str">
        <f>HYPERLINK("https://huggingface.co/datasets/TamAko783/n-rdd2024-distilled-frdc","Dataset")</f>
        <v>Dataset</v>
      </c>
      <c r="I100" s="5" t="str">
        <f>HYPERLINK("https://huggingface.co/datasets/TamAko783/n-rdd2024-distilled-frdc","Evidence / paper")</f>
        <v>Evidence / paper</v>
      </c>
      <c r="J100" s="5" t="s">
        <v>1149</v>
      </c>
      <c r="K100" s="5" t="s">
        <v>1150</v>
      </c>
      <c r="L100" s="5" t="s">
        <v>121</v>
      </c>
      <c r="M100" s="5" t="s">
        <v>1151</v>
      </c>
      <c r="N100" s="5" t="s">
        <v>1152</v>
      </c>
      <c r="O100" s="5" t="s">
        <v>1153</v>
      </c>
      <c r="P100" s="5" t="s">
        <v>121</v>
      </c>
      <c r="Q100" s="5" t="s">
        <v>124</v>
      </c>
      <c r="R100" s="5" t="s">
        <v>121</v>
      </c>
      <c r="S100" s="5" t="s">
        <v>1154</v>
      </c>
      <c r="T100" s="5"/>
      <c r="U100" s="5" t="s">
        <v>1155</v>
      </c>
      <c r="V100" s="5" t="s">
        <v>1147</v>
      </c>
      <c r="W100" s="5" t="s">
        <v>127</v>
      </c>
      <c r="X100" s="5" t="s">
        <v>905</v>
      </c>
      <c r="Y100" s="5"/>
      <c r="Z100" s="5" t="s">
        <v>128</v>
      </c>
      <c r="AA100" s="5" t="str">
        <f>HYPERLINK("#'Manual_Review'!A"&amp;(MATCH("DS-095",Manual_Review!$A$6:$A$238,0)+5),"Enter review")</f>
        <v>Enter review</v>
      </c>
      <c r="AB100" s="5" t="str">
        <f>HYPERLINK("#'MCDM_Checks'!A"&amp;(MATCH("DS-095",MCDM_Checks!$B$6:$B$3733,0)+5),"Check evidence")</f>
        <v>Check evidence</v>
      </c>
      <c r="AC100" s="5" t="s">
        <v>1065</v>
      </c>
      <c r="AD100" s="5" t="s">
        <v>1156</v>
      </c>
      <c r="AE100" s="5" t="s">
        <v>1156</v>
      </c>
      <c r="AF100" s="5" t="s">
        <v>1157</v>
      </c>
    </row>
    <row r="101" spans="1:32" ht="25.5">
      <c r="A101" s="5" t="s">
        <v>39</v>
      </c>
      <c r="B101" s="5" t="s">
        <v>1158</v>
      </c>
      <c r="C101" s="5">
        <v>4</v>
      </c>
      <c r="D101" s="5" t="s">
        <v>118</v>
      </c>
      <c r="E101" s="12">
        <f>INDEX(MCDM_Grades!$E$6:$E$238,MATCH(A101,MCDM_Grades!$A$6:$A$238,0))</f>
        <v>99.999999999999986</v>
      </c>
      <c r="F101" s="12">
        <f>INDEX(MCDM_Grades!$F$6:$F$238,MATCH(A101,MCDM_Grades!$A$6:$A$238,0))</f>
        <v>99.999999999999986</v>
      </c>
      <c r="G101" s="13">
        <f>INDEX(MCDM_Grades!$G$6:$G$238,MATCH(A101,MCDM_Grades!$A$6:$A$238,0))</f>
        <v>0.99999999999999989</v>
      </c>
      <c r="H101" s="5" t="str">
        <f>HYPERLINK("https://huggingface.co/datasets/MML-Group/PaveBench","Dataset")</f>
        <v>Dataset</v>
      </c>
      <c r="I101" s="5" t="str">
        <f>HYPERLINK("https://arxiv.org/abs/2604.02804","Evidence / paper")</f>
        <v>Evidence / paper</v>
      </c>
      <c r="J101" s="5" t="s">
        <v>44</v>
      </c>
      <c r="K101" s="5" t="s">
        <v>168</v>
      </c>
      <c r="L101" s="5" t="s">
        <v>169</v>
      </c>
      <c r="M101" s="5" t="s">
        <v>170</v>
      </c>
      <c r="N101" s="5" t="s">
        <v>1159</v>
      </c>
      <c r="O101" s="5" t="s">
        <v>1160</v>
      </c>
      <c r="P101" s="5" t="s">
        <v>1060</v>
      </c>
      <c r="Q101" s="5" t="s">
        <v>174</v>
      </c>
      <c r="R101" s="5" t="s">
        <v>1161</v>
      </c>
      <c r="S101" s="5" t="s">
        <v>1162</v>
      </c>
      <c r="T101" s="5" t="s">
        <v>1163</v>
      </c>
      <c r="U101" s="5" t="s">
        <v>1164</v>
      </c>
      <c r="V101" s="5" t="s">
        <v>1165</v>
      </c>
      <c r="W101" s="5" t="s">
        <v>445</v>
      </c>
      <c r="X101" s="5"/>
      <c r="Y101" s="5" t="s">
        <v>45</v>
      </c>
      <c r="Z101" s="5" t="s">
        <v>206</v>
      </c>
      <c r="AA101" s="5" t="str">
        <f>HYPERLINK("#'Manual_Review'!A"&amp;(MATCH("DS-096",Manual_Review!$A$6:$A$238,0)+5),"Enter review")</f>
        <v>Enter review</v>
      </c>
      <c r="AB101" s="5" t="str">
        <f>HYPERLINK("#'MCDM_Checks'!A"&amp;(MATCH("DS-096",MCDM_Checks!$B$6:$B$3733,0)+5),"Check evidence")</f>
        <v>Check evidence</v>
      </c>
      <c r="AC101" s="5" t="s">
        <v>1065</v>
      </c>
      <c r="AD101" s="5" t="s">
        <v>1166</v>
      </c>
      <c r="AE101" s="5" t="s">
        <v>1167</v>
      </c>
      <c r="AF101" s="5" t="s">
        <v>1168</v>
      </c>
    </row>
    <row r="102" spans="1:32" ht="102">
      <c r="A102" s="5" t="s">
        <v>1169</v>
      </c>
      <c r="B102" s="5" t="s">
        <v>1170</v>
      </c>
      <c r="C102" s="5"/>
      <c r="D102" s="5" t="s">
        <v>118</v>
      </c>
      <c r="E102" s="12">
        <f>INDEX(MCDM_Grades!$E$6:$E$238,MATCH(A102,MCDM_Grades!$A$6:$A$238,0))</f>
        <v>0</v>
      </c>
      <c r="F102" s="12">
        <f>INDEX(MCDM_Grades!$F$6:$F$238,MATCH(A102,MCDM_Grades!$A$6:$A$238,0))</f>
        <v>99.999999999999986</v>
      </c>
      <c r="G102" s="13">
        <f>INDEX(MCDM_Grades!$G$6:$G$238,MATCH(A102,MCDM_Grades!$A$6:$A$238,0))</f>
        <v>0</v>
      </c>
      <c r="H102" s="5" t="str">
        <f>HYPERLINK("https://huggingface.co/datasets/Programmer-RD-AI/road-issues-detection-dataset","Dataset")</f>
        <v>Dataset</v>
      </c>
      <c r="I102" s="5" t="str">
        <f>HYPERLINK("https://huggingface.co/datasets/Programmer-RD-AI/road-issues-detection-dataset","Evidence / paper")</f>
        <v>Evidence / paper</v>
      </c>
      <c r="J102" s="5" t="s">
        <v>1171</v>
      </c>
      <c r="K102" s="5" t="s">
        <v>1172</v>
      </c>
      <c r="L102" s="5" t="s">
        <v>155</v>
      </c>
      <c r="M102" s="5" t="s">
        <v>1173</v>
      </c>
      <c r="N102" s="5" t="s">
        <v>1174</v>
      </c>
      <c r="O102" s="5" t="s">
        <v>1175</v>
      </c>
      <c r="P102" s="5" t="s">
        <v>1176</v>
      </c>
      <c r="Q102" s="5" t="s">
        <v>1177</v>
      </c>
      <c r="R102" s="5" t="s">
        <v>1178</v>
      </c>
      <c r="S102" s="5" t="s">
        <v>1179</v>
      </c>
      <c r="T102" s="5"/>
      <c r="U102" s="5" t="s">
        <v>1180</v>
      </c>
      <c r="V102" s="5" t="s">
        <v>1169</v>
      </c>
      <c r="W102" s="5" t="s">
        <v>127</v>
      </c>
      <c r="X102" s="5"/>
      <c r="Y102" s="5"/>
      <c r="Z102" s="5" t="s">
        <v>128</v>
      </c>
      <c r="AA102" s="5" t="str">
        <f>HYPERLINK("#'Manual_Review'!A"&amp;(MATCH("DS-097",Manual_Review!$A$6:$A$238,0)+5),"Enter review")</f>
        <v>Enter review</v>
      </c>
      <c r="AB102" s="5" t="str">
        <f>HYPERLINK("#'MCDM_Checks'!A"&amp;(MATCH("DS-097",MCDM_Checks!$B$6:$B$3733,0)+5),"Check evidence")</f>
        <v>Check evidence</v>
      </c>
      <c r="AC102" s="5" t="s">
        <v>1181</v>
      </c>
      <c r="AD102" s="5" t="s">
        <v>1182</v>
      </c>
      <c r="AE102" s="5" t="s">
        <v>1182</v>
      </c>
      <c r="AF102" s="5" t="s">
        <v>1183</v>
      </c>
    </row>
    <row r="103" spans="1:32" ht="25.5">
      <c r="A103" s="5" t="s">
        <v>1184</v>
      </c>
      <c r="B103" s="5" t="s">
        <v>1185</v>
      </c>
      <c r="C103" s="5"/>
      <c r="D103" s="5" t="s">
        <v>118</v>
      </c>
      <c r="E103" s="12">
        <f>INDEX(MCDM_Grades!$E$6:$E$238,MATCH(A103,MCDM_Grades!$A$6:$A$238,0))</f>
        <v>11.111111111111111</v>
      </c>
      <c r="F103" s="12">
        <f>INDEX(MCDM_Grades!$F$6:$F$238,MATCH(A103,MCDM_Grades!$A$6:$A$238,0))</f>
        <v>99.999999999999986</v>
      </c>
      <c r="G103" s="13">
        <f>INDEX(MCDM_Grades!$G$6:$G$238,MATCH(A103,MCDM_Grades!$A$6:$A$238,0))</f>
        <v>0.1111111111111111</v>
      </c>
      <c r="H103" s="5" t="str">
        <f>HYPERLINK("https://huggingface.co/datasets/Emanyaser/road-damage-classification","Dataset")</f>
        <v>Dataset</v>
      </c>
      <c r="I103" s="5" t="str">
        <f>HYPERLINK("https://huggingface.co/datasets/Emanyaser/road-damage-classification","Evidence / paper")</f>
        <v>Evidence / paper</v>
      </c>
      <c r="J103" s="5" t="s">
        <v>1083</v>
      </c>
      <c r="K103" s="5" t="s">
        <v>1186</v>
      </c>
      <c r="L103" s="5" t="s">
        <v>121</v>
      </c>
      <c r="M103" s="5" t="s">
        <v>121</v>
      </c>
      <c r="N103" s="5" t="s">
        <v>1187</v>
      </c>
      <c r="O103" s="5" t="s">
        <v>1188</v>
      </c>
      <c r="P103" s="5" t="s">
        <v>121</v>
      </c>
      <c r="Q103" s="5" t="s">
        <v>287</v>
      </c>
      <c r="R103" s="5" t="s">
        <v>121</v>
      </c>
      <c r="S103" s="5" t="s">
        <v>121</v>
      </c>
      <c r="T103" s="5"/>
      <c r="U103" s="5" t="s">
        <v>1189</v>
      </c>
      <c r="V103" s="5" t="s">
        <v>1184</v>
      </c>
      <c r="W103" s="5" t="s">
        <v>127</v>
      </c>
      <c r="X103" s="5"/>
      <c r="Y103" s="5"/>
      <c r="Z103" s="5" t="s">
        <v>128</v>
      </c>
      <c r="AA103" s="5" t="str">
        <f>HYPERLINK("#'Manual_Review'!A"&amp;(MATCH("DS-098",Manual_Review!$A$6:$A$238,0)+5),"Enter review")</f>
        <v>Enter review</v>
      </c>
      <c r="AB103" s="5" t="str">
        <f>HYPERLINK("#'MCDM_Checks'!A"&amp;(MATCH("DS-098",MCDM_Checks!$B$6:$B$3733,0)+5),"Check evidence")</f>
        <v>Check evidence</v>
      </c>
      <c r="AC103" s="5" t="s">
        <v>1065</v>
      </c>
      <c r="AD103" s="5" t="s">
        <v>1190</v>
      </c>
      <c r="AE103" s="5" t="s">
        <v>1190</v>
      </c>
      <c r="AF103" s="5" t="s">
        <v>1191</v>
      </c>
    </row>
    <row r="104" spans="1:32" ht="25.5">
      <c r="A104" s="5" t="s">
        <v>1192</v>
      </c>
      <c r="B104" s="5" t="s">
        <v>1193</v>
      </c>
      <c r="C104" s="5"/>
      <c r="D104" s="5" t="s">
        <v>118</v>
      </c>
      <c r="E104" s="12">
        <f>INDEX(MCDM_Grades!$E$6:$E$238,MATCH(A104,MCDM_Grades!$A$6:$A$238,0))</f>
        <v>44.444444444444436</v>
      </c>
      <c r="F104" s="12">
        <f>INDEX(MCDM_Grades!$F$6:$F$238,MATCH(A104,MCDM_Grades!$A$6:$A$238,0))</f>
        <v>99.999999999999986</v>
      </c>
      <c r="G104" s="13">
        <f>INDEX(MCDM_Grades!$G$6:$G$238,MATCH(A104,MCDM_Grades!$A$6:$A$238,0))</f>
        <v>0.44444444444444442</v>
      </c>
      <c r="H104" s="5" t="str">
        <f>HYPERLINK("https://huggingface.co/datasets/cvtechniques/Road_Damage_Detection_USA","Dataset")</f>
        <v>Dataset</v>
      </c>
      <c r="I104" s="5" t="str">
        <f>HYPERLINK("https://huggingface.co/datasets/cvtechniques/Road_Damage_Detection_USA","Evidence / paper")</f>
        <v>Evidence / paper</v>
      </c>
      <c r="J104" s="5" t="s">
        <v>1194</v>
      </c>
      <c r="K104" s="5" t="s">
        <v>1195</v>
      </c>
      <c r="L104" s="5" t="s">
        <v>155</v>
      </c>
      <c r="M104" s="5" t="s">
        <v>1196</v>
      </c>
      <c r="N104" s="5" t="s">
        <v>1197</v>
      </c>
      <c r="O104" s="5" t="s">
        <v>1153</v>
      </c>
      <c r="P104" s="5" t="s">
        <v>1198</v>
      </c>
      <c r="Q104" s="5" t="s">
        <v>124</v>
      </c>
      <c r="R104" s="5" t="s">
        <v>1199</v>
      </c>
      <c r="S104" s="5" t="s">
        <v>1200</v>
      </c>
      <c r="T104" s="5"/>
      <c r="U104" s="5" t="s">
        <v>1201</v>
      </c>
      <c r="V104" s="5" t="s">
        <v>1192</v>
      </c>
      <c r="W104" s="5" t="s">
        <v>127</v>
      </c>
      <c r="X104" s="5" t="s">
        <v>905</v>
      </c>
      <c r="Y104" s="5"/>
      <c r="Z104" s="5" t="s">
        <v>128</v>
      </c>
      <c r="AA104" s="5" t="str">
        <f>HYPERLINK("#'Manual_Review'!A"&amp;(MATCH("DS-099",Manual_Review!$A$6:$A$238,0)+5),"Enter review")</f>
        <v>Enter review</v>
      </c>
      <c r="AB104" s="5" t="str">
        <f>HYPERLINK("#'MCDM_Checks'!A"&amp;(MATCH("DS-099",MCDM_Checks!$B$6:$B$3733,0)+5),"Check evidence")</f>
        <v>Check evidence</v>
      </c>
      <c r="AC104" s="5" t="s">
        <v>1065</v>
      </c>
      <c r="AD104" s="5" t="s">
        <v>1202</v>
      </c>
      <c r="AE104" s="5" t="s">
        <v>1202</v>
      </c>
      <c r="AF104" s="5" t="s">
        <v>1203</v>
      </c>
    </row>
    <row r="105" spans="1:32" ht="25.5">
      <c r="A105" s="5" t="s">
        <v>1204</v>
      </c>
      <c r="B105" s="5" t="s">
        <v>1205</v>
      </c>
      <c r="C105" s="5"/>
      <c r="D105" s="5" t="s">
        <v>118</v>
      </c>
      <c r="E105" s="12">
        <f>INDEX(MCDM_Grades!$E$6:$E$238,MATCH(A105,MCDM_Grades!$A$6:$A$238,0))</f>
        <v>75</v>
      </c>
      <c r="F105" s="12">
        <f>INDEX(MCDM_Grades!$F$6:$F$238,MATCH(A105,MCDM_Grades!$A$6:$A$238,0))</f>
        <v>99.999999999999986</v>
      </c>
      <c r="G105" s="13">
        <f>INDEX(MCDM_Grades!$G$6:$G$238,MATCH(A105,MCDM_Grades!$A$6:$A$238,0))</f>
        <v>0.74999999999999989</v>
      </c>
      <c r="H105" s="5" t="str">
        <f>HYPERLINK("https://thu-rsxd.com/rscd/","Dataset")</f>
        <v>Dataset</v>
      </c>
      <c r="I105" s="5" t="str">
        <f>HYPERLINK("https://thu-rsxd.com/dxhdiefb/","Evidence / paper")</f>
        <v>Evidence / paper</v>
      </c>
      <c r="J105" s="5" t="s">
        <v>1206</v>
      </c>
      <c r="K105" s="5" t="s">
        <v>168</v>
      </c>
      <c r="L105" s="5" t="s">
        <v>169</v>
      </c>
      <c r="M105" s="5" t="s">
        <v>568</v>
      </c>
      <c r="N105" s="5" t="s">
        <v>1207</v>
      </c>
      <c r="O105" s="5" t="s">
        <v>1208</v>
      </c>
      <c r="P105" s="5" t="s">
        <v>1209</v>
      </c>
      <c r="Q105" s="5" t="s">
        <v>174</v>
      </c>
      <c r="R105" s="5" t="s">
        <v>1210</v>
      </c>
      <c r="S105" s="5" t="s">
        <v>1211</v>
      </c>
      <c r="T105" s="5" t="s">
        <v>1212</v>
      </c>
      <c r="U105" s="5" t="s">
        <v>1213</v>
      </c>
      <c r="V105" s="5" t="s">
        <v>1214</v>
      </c>
      <c r="W105" s="5" t="s">
        <v>1215</v>
      </c>
      <c r="X105" s="5"/>
      <c r="Y105" s="5" t="s">
        <v>1216</v>
      </c>
      <c r="Z105" s="5" t="s">
        <v>182</v>
      </c>
      <c r="AA105" s="5" t="str">
        <f>HYPERLINK("#'Manual_Review'!A"&amp;(MATCH("DS-100",Manual_Review!$A$6:$A$238,0)+5),"Enter review")</f>
        <v>Enter review</v>
      </c>
      <c r="AB105" s="5" t="str">
        <f>HYPERLINK("#'MCDM_Checks'!A"&amp;(MATCH("DS-100",MCDM_Checks!$B$6:$B$3733,0)+5),"Check evidence")</f>
        <v>Check evidence</v>
      </c>
      <c r="AC105" s="5" t="s">
        <v>1217</v>
      </c>
      <c r="AD105" s="5" t="s">
        <v>1218</v>
      </c>
      <c r="AE105" s="5" t="s">
        <v>1219</v>
      </c>
      <c r="AF105" s="5" t="s">
        <v>1220</v>
      </c>
    </row>
    <row r="106" spans="1:32" ht="38.25">
      <c r="A106" s="5" t="s">
        <v>1221</v>
      </c>
      <c r="B106" s="5" t="s">
        <v>1222</v>
      </c>
      <c r="C106" s="5"/>
      <c r="D106" s="5" t="s">
        <v>118</v>
      </c>
      <c r="E106" s="12">
        <f>INDEX(MCDM_Grades!$E$6:$E$238,MATCH(A106,MCDM_Grades!$A$6:$A$238,0))</f>
        <v>19.444444444444443</v>
      </c>
      <c r="F106" s="12">
        <f>INDEX(MCDM_Grades!$F$6:$F$238,MATCH(A106,MCDM_Grades!$A$6:$A$238,0))</f>
        <v>99.999999999999986</v>
      </c>
      <c r="G106" s="13">
        <f>INDEX(MCDM_Grades!$G$6:$G$238,MATCH(A106,MCDM_Grades!$A$6:$A$238,0))</f>
        <v>0.19444444444444442</v>
      </c>
      <c r="H106" s="5" t="str">
        <f>HYPERLINK("https://huggingface.co/datasets/Ryukijano/Pothole-detection-Yolov8","Dataset")</f>
        <v>Dataset</v>
      </c>
      <c r="I106" s="5" t="str">
        <f>HYPERLINK("https://huggingface.co/datasets/Ryukijano/Pothole-detection-Yolov8","Evidence / paper")</f>
        <v>Evidence / paper</v>
      </c>
      <c r="J106" s="5" t="s">
        <v>1223</v>
      </c>
      <c r="K106" s="5" t="s">
        <v>1224</v>
      </c>
      <c r="L106" s="5" t="s">
        <v>155</v>
      </c>
      <c r="M106" s="5" t="s">
        <v>121</v>
      </c>
      <c r="N106" s="5" t="s">
        <v>1225</v>
      </c>
      <c r="O106" s="5" t="s">
        <v>1226</v>
      </c>
      <c r="P106" s="5" t="s">
        <v>1227</v>
      </c>
      <c r="Q106" s="5" t="s">
        <v>124</v>
      </c>
      <c r="R106" s="5" t="s">
        <v>1228</v>
      </c>
      <c r="S106" s="5" t="s">
        <v>121</v>
      </c>
      <c r="T106" s="5"/>
      <c r="U106" s="5" t="s">
        <v>1229</v>
      </c>
      <c r="V106" s="5" t="s">
        <v>1221</v>
      </c>
      <c r="W106" s="5" t="s">
        <v>127</v>
      </c>
      <c r="X106" s="5"/>
      <c r="Y106" s="5"/>
      <c r="Z106" s="5" t="s">
        <v>128</v>
      </c>
      <c r="AA106" s="5" t="str">
        <f>HYPERLINK("#'Manual_Review'!A"&amp;(MATCH("DS-101",Manual_Review!$A$6:$A$238,0)+5),"Enter review")</f>
        <v>Enter review</v>
      </c>
      <c r="AB106" s="5" t="str">
        <f>HYPERLINK("#'MCDM_Checks'!A"&amp;(MATCH("DS-101",MCDM_Checks!$B$6:$B$3733,0)+5),"Check evidence")</f>
        <v>Check evidence</v>
      </c>
      <c r="AC106" s="5" t="s">
        <v>1065</v>
      </c>
      <c r="AD106" s="5" t="s">
        <v>1230</v>
      </c>
      <c r="AE106" s="5" t="s">
        <v>1230</v>
      </c>
      <c r="AF106" s="5" t="s">
        <v>1231</v>
      </c>
    </row>
    <row r="107" spans="1:32" ht="51">
      <c r="A107" s="5" t="s">
        <v>1232</v>
      </c>
      <c r="B107" s="5" t="s">
        <v>1233</v>
      </c>
      <c r="C107" s="5"/>
      <c r="D107" s="5" t="s">
        <v>118</v>
      </c>
      <c r="E107" s="12">
        <f>INDEX(MCDM_Grades!$E$6:$E$238,MATCH(A107,MCDM_Grades!$A$6:$A$238,0))</f>
        <v>27.777777777777779</v>
      </c>
      <c r="F107" s="12">
        <f>INDEX(MCDM_Grades!$F$6:$F$238,MATCH(A107,MCDM_Grades!$A$6:$A$238,0))</f>
        <v>99.999999999999986</v>
      </c>
      <c r="G107" s="13">
        <f>INDEX(MCDM_Grades!$G$6:$G$238,MATCH(A107,MCDM_Grades!$A$6:$A$238,0))</f>
        <v>0.27777777777777779</v>
      </c>
      <c r="H107" s="5" t="str">
        <f>HYPERLINK("https://zenodo.org/records/10100129","Dataset")</f>
        <v>Dataset</v>
      </c>
      <c r="I107" s="5" t="str">
        <f>HYPERLINK("https://zenodo.org/records/10100129","Evidence / paper")</f>
        <v>Evidence / paper</v>
      </c>
      <c r="J107" s="5" t="s">
        <v>1234</v>
      </c>
      <c r="K107" s="5" t="s">
        <v>1235</v>
      </c>
      <c r="L107" s="5" t="s">
        <v>155</v>
      </c>
      <c r="M107" s="5" t="s">
        <v>1236</v>
      </c>
      <c r="N107" s="5" t="s">
        <v>1237</v>
      </c>
      <c r="O107" s="5" t="s">
        <v>1238</v>
      </c>
      <c r="P107" s="5" t="s">
        <v>241</v>
      </c>
      <c r="Q107" s="5" t="s">
        <v>124</v>
      </c>
      <c r="R107" s="5" t="s">
        <v>1239</v>
      </c>
      <c r="S107" s="5" t="s">
        <v>1240</v>
      </c>
      <c r="T107" s="5"/>
      <c r="U107" s="5" t="s">
        <v>1241</v>
      </c>
      <c r="V107" s="5" t="s">
        <v>1232</v>
      </c>
      <c r="W107" s="5" t="s">
        <v>127</v>
      </c>
      <c r="X107" s="5"/>
      <c r="Y107" s="5"/>
      <c r="Z107" s="5" t="s">
        <v>128</v>
      </c>
      <c r="AA107" s="5" t="str">
        <f>HYPERLINK("#'Manual_Review'!A"&amp;(MATCH("DS-102",Manual_Review!$A$6:$A$238,0)+5),"Enter review")</f>
        <v>Enter review</v>
      </c>
      <c r="AB107" s="5" t="str">
        <f>HYPERLINK("#'MCDM_Checks'!A"&amp;(MATCH("DS-102",MCDM_Checks!$B$6:$B$3733,0)+5),"Check evidence")</f>
        <v>Check evidence</v>
      </c>
      <c r="AC107" s="5" t="s">
        <v>1102</v>
      </c>
      <c r="AD107" s="5" t="s">
        <v>1242</v>
      </c>
      <c r="AE107" s="5" t="s">
        <v>1242</v>
      </c>
      <c r="AF107" s="5" t="s">
        <v>1243</v>
      </c>
    </row>
    <row r="108" spans="1:32" ht="25.5">
      <c r="A108" s="5" t="s">
        <v>1244</v>
      </c>
      <c r="B108" s="5" t="s">
        <v>1245</v>
      </c>
      <c r="C108" s="5"/>
      <c r="D108" s="5" t="s">
        <v>118</v>
      </c>
      <c r="E108" s="12">
        <f>INDEX(MCDM_Grades!$E$6:$E$238,MATCH(A108,MCDM_Grades!$A$6:$A$238,0))</f>
        <v>38.888888888888886</v>
      </c>
      <c r="F108" s="12">
        <f>INDEX(MCDM_Grades!$F$6:$F$238,MATCH(A108,MCDM_Grades!$A$6:$A$238,0))</f>
        <v>99.999999999999986</v>
      </c>
      <c r="G108" s="13">
        <f>INDEX(MCDM_Grades!$G$6:$G$238,MATCH(A108,MCDM_Grades!$A$6:$A$238,0))</f>
        <v>0.38888888888888884</v>
      </c>
      <c r="H108" s="5" t="str">
        <f>HYPERLINK("https://huggingface.co/datasets/taroii/pothole-detection","Dataset")</f>
        <v>Dataset</v>
      </c>
      <c r="I108" s="5" t="str">
        <f>HYPERLINK("https://huggingface.co/datasets/taroii/pothole-detection","Evidence / paper")</f>
        <v>Evidence / paper</v>
      </c>
      <c r="J108" s="5" t="s">
        <v>1070</v>
      </c>
      <c r="K108" s="5" t="s">
        <v>332</v>
      </c>
      <c r="L108" s="5" t="s">
        <v>121</v>
      </c>
      <c r="M108" s="5" t="s">
        <v>121</v>
      </c>
      <c r="N108" s="5" t="s">
        <v>1246</v>
      </c>
      <c r="O108" s="5" t="s">
        <v>121</v>
      </c>
      <c r="P108" s="5" t="s">
        <v>121</v>
      </c>
      <c r="Q108" s="5" t="s">
        <v>124</v>
      </c>
      <c r="R108" s="5" t="s">
        <v>121</v>
      </c>
      <c r="S108" s="5" t="s">
        <v>121</v>
      </c>
      <c r="T108" s="5"/>
      <c r="U108" s="5" t="s">
        <v>1247</v>
      </c>
      <c r="V108" s="5" t="s">
        <v>1244</v>
      </c>
      <c r="W108" s="5" t="s">
        <v>127</v>
      </c>
      <c r="X108" s="5"/>
      <c r="Y108" s="5"/>
      <c r="Z108" s="5" t="s">
        <v>128</v>
      </c>
      <c r="AA108" s="5" t="str">
        <f>HYPERLINK("#'Manual_Review'!A"&amp;(MATCH("DS-103",Manual_Review!$A$6:$A$238,0)+5),"Enter review")</f>
        <v>Enter review</v>
      </c>
      <c r="AB108" s="5" t="str">
        <f>HYPERLINK("#'MCDM_Checks'!A"&amp;(MATCH("DS-103",MCDM_Checks!$B$6:$B$3733,0)+5),"Check evidence")</f>
        <v>Check evidence</v>
      </c>
      <c r="AC108" s="5" t="s">
        <v>1065</v>
      </c>
      <c r="AD108" s="5" t="s">
        <v>1248</v>
      </c>
      <c r="AE108" s="5" t="s">
        <v>1248</v>
      </c>
      <c r="AF108" s="5" t="s">
        <v>1249</v>
      </c>
    </row>
    <row r="109" spans="1:32" ht="38.25">
      <c r="A109" s="5" t="s">
        <v>1250</v>
      </c>
      <c r="B109" s="5" t="s">
        <v>1251</v>
      </c>
      <c r="C109" s="5"/>
      <c r="D109" s="5" t="s">
        <v>118</v>
      </c>
      <c r="E109" s="12">
        <f>INDEX(MCDM_Grades!$E$6:$E$238,MATCH(A109,MCDM_Grades!$A$6:$A$238,0))</f>
        <v>86.111111111111114</v>
      </c>
      <c r="F109" s="12">
        <f>INDEX(MCDM_Grades!$F$6:$F$238,MATCH(A109,MCDM_Grades!$A$6:$A$238,0))</f>
        <v>99.999999999999986</v>
      </c>
      <c r="G109" s="13">
        <f>INDEX(MCDM_Grades!$G$6:$G$238,MATCH(A109,MCDM_Grades!$A$6:$A$238,0))</f>
        <v>0.86111111111111116</v>
      </c>
      <c r="H109" s="5" t="str">
        <f>HYPERLINK("https://huggingface.co/datasets/TamAko783/Unified_Road_Defect_Dataset","Dataset")</f>
        <v>Dataset</v>
      </c>
      <c r="I109" s="5" t="str">
        <f>HYPERLINK("https://huggingface.co/datasets/TamAko783/Unified_Road_Defect_Dataset","Evidence / paper")</f>
        <v>Evidence / paper</v>
      </c>
      <c r="J109" s="5" t="s">
        <v>1252</v>
      </c>
      <c r="K109" s="5" t="s">
        <v>1195</v>
      </c>
      <c r="L109" s="5" t="s">
        <v>155</v>
      </c>
      <c r="M109" s="5" t="s">
        <v>1253</v>
      </c>
      <c r="N109" s="5" t="s">
        <v>1254</v>
      </c>
      <c r="O109" s="5" t="s">
        <v>1153</v>
      </c>
      <c r="P109" s="5" t="s">
        <v>1255</v>
      </c>
      <c r="Q109" s="5" t="s">
        <v>124</v>
      </c>
      <c r="R109" s="5" t="s">
        <v>1256</v>
      </c>
      <c r="S109" s="5" t="s">
        <v>1257</v>
      </c>
      <c r="T109" s="5"/>
      <c r="U109" s="5" t="s">
        <v>1258</v>
      </c>
      <c r="V109" s="5" t="s">
        <v>1250</v>
      </c>
      <c r="W109" s="5" t="s">
        <v>127</v>
      </c>
      <c r="X109" s="5" t="s">
        <v>905</v>
      </c>
      <c r="Y109" s="5"/>
      <c r="Z109" s="5" t="s">
        <v>128</v>
      </c>
      <c r="AA109" s="5" t="str">
        <f>HYPERLINK("#'Manual_Review'!A"&amp;(MATCH("DS-104",Manual_Review!$A$6:$A$238,0)+5),"Enter review")</f>
        <v>Enter review</v>
      </c>
      <c r="AB109" s="5" t="str">
        <f>HYPERLINK("#'MCDM_Checks'!A"&amp;(MATCH("DS-104",MCDM_Checks!$B$6:$B$3733,0)+5),"Check evidence")</f>
        <v>Check evidence</v>
      </c>
      <c r="AC109" s="5" t="s">
        <v>1065</v>
      </c>
      <c r="AD109" s="5" t="s">
        <v>1259</v>
      </c>
      <c r="AE109" s="5" t="s">
        <v>1259</v>
      </c>
      <c r="AF109" s="5" t="s">
        <v>1260</v>
      </c>
    </row>
    <row r="110" spans="1:32" ht="25.5">
      <c r="A110" s="5" t="s">
        <v>1261</v>
      </c>
      <c r="B110" s="5" t="s">
        <v>1262</v>
      </c>
      <c r="C110" s="5"/>
      <c r="D110" s="5" t="s">
        <v>118</v>
      </c>
      <c r="E110" s="12">
        <f>INDEX(MCDM_Grades!$E$6:$E$238,MATCH(A110,MCDM_Grades!$A$6:$A$238,0))</f>
        <v>66.666666666666657</v>
      </c>
      <c r="F110" s="12">
        <f>INDEX(MCDM_Grades!$F$6:$F$238,MATCH(A110,MCDM_Grades!$A$6:$A$238,0))</f>
        <v>99.999999999999986</v>
      </c>
      <c r="G110" s="13">
        <f>INDEX(MCDM_Grades!$G$6:$G$238,MATCH(A110,MCDM_Grades!$A$6:$A$238,0))</f>
        <v>0.66666666666666652</v>
      </c>
      <c r="H110" s="5" t="str">
        <f>HYPERLINK("https://huggingface.co/datasets/TamAko783/Unified_Road_Defect_FRDC_Pseudolabeled_v2","Dataset")</f>
        <v>Dataset</v>
      </c>
      <c r="I110" s="5" t="str">
        <f>HYPERLINK("https://huggingface.co/datasets/TamAko783/Unified_Road_Defect_FRDC_Pseudolabeled_v2","Evidence / paper")</f>
        <v>Evidence / paper</v>
      </c>
      <c r="J110" s="5" t="s">
        <v>1263</v>
      </c>
      <c r="K110" s="5" t="s">
        <v>1264</v>
      </c>
      <c r="L110" s="5" t="s">
        <v>155</v>
      </c>
      <c r="M110" s="5" t="s">
        <v>1253</v>
      </c>
      <c r="N110" s="5" t="s">
        <v>1265</v>
      </c>
      <c r="O110" s="5" t="s">
        <v>1153</v>
      </c>
      <c r="P110" s="5" t="s">
        <v>121</v>
      </c>
      <c r="Q110" s="5" t="s">
        <v>124</v>
      </c>
      <c r="R110" s="5" t="s">
        <v>1256</v>
      </c>
      <c r="S110" s="5" t="s">
        <v>1266</v>
      </c>
      <c r="T110" s="5"/>
      <c r="U110" s="5" t="s">
        <v>1267</v>
      </c>
      <c r="V110" s="5" t="s">
        <v>1261</v>
      </c>
      <c r="W110" s="5" t="s">
        <v>127</v>
      </c>
      <c r="X110" s="5" t="s">
        <v>905</v>
      </c>
      <c r="Y110" s="5"/>
      <c r="Z110" s="5" t="s">
        <v>128</v>
      </c>
      <c r="AA110" s="5" t="str">
        <f>HYPERLINK("#'Manual_Review'!A"&amp;(MATCH("DS-105",Manual_Review!$A$6:$A$238,0)+5),"Enter review")</f>
        <v>Enter review</v>
      </c>
      <c r="AB110" s="5" t="str">
        <f>HYPERLINK("#'MCDM_Checks'!A"&amp;(MATCH("DS-105",MCDM_Checks!$B$6:$B$3733,0)+5),"Check evidence")</f>
        <v>Check evidence</v>
      </c>
      <c r="AC110" s="5" t="s">
        <v>1065</v>
      </c>
      <c r="AD110" s="5" t="s">
        <v>1268</v>
      </c>
      <c r="AE110" s="5" t="s">
        <v>1268</v>
      </c>
      <c r="AF110" s="5" t="s">
        <v>1269</v>
      </c>
    </row>
    <row r="111" spans="1:32" ht="25.5">
      <c r="A111" s="5" t="s">
        <v>1270</v>
      </c>
      <c r="B111" s="5" t="s">
        <v>1271</v>
      </c>
      <c r="C111" s="5"/>
      <c r="D111" s="5" t="s">
        <v>118</v>
      </c>
      <c r="E111" s="12">
        <f>INDEX(MCDM_Grades!$E$6:$E$238,MATCH(A111,MCDM_Grades!$A$6:$A$238,0))</f>
        <v>19.444444444444443</v>
      </c>
      <c r="F111" s="12">
        <f>INDEX(MCDM_Grades!$F$6:$F$238,MATCH(A111,MCDM_Grades!$A$6:$A$238,0))</f>
        <v>99.999999999999986</v>
      </c>
      <c r="G111" s="13">
        <f>INDEX(MCDM_Grades!$G$6:$G$238,MATCH(A111,MCDM_Grades!$A$6:$A$238,0))</f>
        <v>0.19444444444444442</v>
      </c>
      <c r="H111" s="5" t="str">
        <f>HYPERLINK("https://huggingface.co/datasets/varcoder/crack-segmentation-dataset","Dataset")</f>
        <v>Dataset</v>
      </c>
      <c r="I111" s="5" t="str">
        <f>HYPERLINK("https://huggingface.co/datasets/varcoder/crack-segmentation-dataset","Evidence / paper")</f>
        <v>Evidence / paper</v>
      </c>
      <c r="J111" s="5" t="s">
        <v>1272</v>
      </c>
      <c r="K111" s="5" t="s">
        <v>1273</v>
      </c>
      <c r="L111" s="5" t="s">
        <v>155</v>
      </c>
      <c r="M111" s="5" t="s">
        <v>121</v>
      </c>
      <c r="N111" s="5" t="s">
        <v>1274</v>
      </c>
      <c r="O111" s="5" t="s">
        <v>1275</v>
      </c>
      <c r="P111" s="5" t="s">
        <v>121</v>
      </c>
      <c r="Q111" s="5" t="s">
        <v>124</v>
      </c>
      <c r="R111" s="5" t="s">
        <v>1276</v>
      </c>
      <c r="S111" s="5" t="s">
        <v>121</v>
      </c>
      <c r="T111" s="5"/>
      <c r="U111" s="5" t="s">
        <v>1277</v>
      </c>
      <c r="V111" s="5" t="s">
        <v>1270</v>
      </c>
      <c r="W111" s="5" t="s">
        <v>127</v>
      </c>
      <c r="X111" s="5"/>
      <c r="Y111" s="5"/>
      <c r="Z111" s="5" t="s">
        <v>128</v>
      </c>
      <c r="AA111" s="5" t="str">
        <f>HYPERLINK("#'Manual_Review'!A"&amp;(MATCH("DS-106",Manual_Review!$A$6:$A$238,0)+5),"Enter review")</f>
        <v>Enter review</v>
      </c>
      <c r="AB111" s="5" t="str">
        <f>HYPERLINK("#'MCDM_Checks'!A"&amp;(MATCH("DS-106",MCDM_Checks!$B$6:$B$3733,0)+5),"Check evidence")</f>
        <v>Check evidence</v>
      </c>
      <c r="AC111" s="5" t="s">
        <v>1065</v>
      </c>
      <c r="AD111" s="5" t="s">
        <v>1278</v>
      </c>
      <c r="AE111" s="5" t="s">
        <v>1278</v>
      </c>
      <c r="AF111" s="5" t="s">
        <v>1279</v>
      </c>
    </row>
    <row r="112" spans="1:32" ht="38.25">
      <c r="A112" s="5" t="s">
        <v>1280</v>
      </c>
      <c r="B112" s="5" t="s">
        <v>1281</v>
      </c>
      <c r="C112" s="5"/>
      <c r="D112" s="5" t="s">
        <v>118</v>
      </c>
      <c r="E112" s="12">
        <f>INDEX(MCDM_Grades!$E$6:$E$238,MATCH(A112,MCDM_Grades!$A$6:$A$238,0))</f>
        <v>16.666666666666664</v>
      </c>
      <c r="F112" s="12">
        <f>INDEX(MCDM_Grades!$F$6:$F$238,MATCH(A112,MCDM_Grades!$A$6:$A$238,0))</f>
        <v>99.999999999999986</v>
      </c>
      <c r="G112" s="13">
        <f>INDEX(MCDM_Grades!$G$6:$G$238,MATCH(A112,MCDM_Grades!$A$6:$A$238,0))</f>
        <v>0.16666666666666666</v>
      </c>
      <c r="H112" s="5" t="str">
        <f>HYPERLINK("https://zenodo.org/records/18241476","Dataset")</f>
        <v>Dataset</v>
      </c>
      <c r="I112" s="5" t="str">
        <f>HYPERLINK("https://zenodo.org/records/18241476","Evidence / paper")</f>
        <v>Evidence / paper</v>
      </c>
      <c r="J112" s="5" t="s">
        <v>121</v>
      </c>
      <c r="K112" s="5" t="s">
        <v>1282</v>
      </c>
      <c r="L112" s="5" t="s">
        <v>121</v>
      </c>
      <c r="M112" s="5" t="s">
        <v>1283</v>
      </c>
      <c r="N112" s="5" t="s">
        <v>121</v>
      </c>
      <c r="O112" s="5" t="s">
        <v>1284</v>
      </c>
      <c r="P112" s="5" t="s">
        <v>1097</v>
      </c>
      <c r="Q112" s="5" t="s">
        <v>124</v>
      </c>
      <c r="R112" s="5" t="s">
        <v>121</v>
      </c>
      <c r="S112" s="5" t="s">
        <v>121</v>
      </c>
      <c r="T112" s="5"/>
      <c r="U112" s="5" t="s">
        <v>1285</v>
      </c>
      <c r="V112" s="5" t="s">
        <v>1280</v>
      </c>
      <c r="W112" s="5" t="s">
        <v>127</v>
      </c>
      <c r="X112" s="5"/>
      <c r="Y112" s="5"/>
      <c r="Z112" s="5" t="s">
        <v>128</v>
      </c>
      <c r="AA112" s="5" t="str">
        <f>HYPERLINK("#'Manual_Review'!A"&amp;(MATCH("DS-107",Manual_Review!$A$6:$A$238,0)+5),"Enter review")</f>
        <v>Enter review</v>
      </c>
      <c r="AB112" s="5" t="str">
        <f>HYPERLINK("#'MCDM_Checks'!A"&amp;(MATCH("DS-107",MCDM_Checks!$B$6:$B$3733,0)+5),"Check evidence")</f>
        <v>Check evidence</v>
      </c>
      <c r="AC112" s="5" t="s">
        <v>1286</v>
      </c>
      <c r="AD112" s="5" t="s">
        <v>1287</v>
      </c>
      <c r="AE112" s="5" t="s">
        <v>1287</v>
      </c>
      <c r="AF112" s="5" t="s">
        <v>1288</v>
      </c>
    </row>
    <row r="113" spans="1:32" ht="25.5">
      <c r="A113" s="5" t="s">
        <v>1289</v>
      </c>
      <c r="B113" s="5" t="s">
        <v>1290</v>
      </c>
      <c r="C113" s="5"/>
      <c r="D113" s="5" t="s">
        <v>118</v>
      </c>
      <c r="E113" s="12">
        <f>INDEX(MCDM_Grades!$E$6:$E$238,MATCH(A113,MCDM_Grades!$A$6:$A$238,0))</f>
        <v>69.444444444444443</v>
      </c>
      <c r="F113" s="12">
        <f>INDEX(MCDM_Grades!$F$6:$F$238,MATCH(A113,MCDM_Grades!$A$6:$A$238,0))</f>
        <v>99.999999999999986</v>
      </c>
      <c r="G113" s="13">
        <f>INDEX(MCDM_Grades!$G$6:$G$238,MATCH(A113,MCDM_Grades!$A$6:$A$238,0))</f>
        <v>0.69444444444444453</v>
      </c>
      <c r="H113" s="5" t="str">
        <f>HYPERLINK("https://zenodo.org/records/20040434","Dataset")</f>
        <v>Dataset</v>
      </c>
      <c r="I113" s="5" t="str">
        <f>HYPERLINK("https://zenodo.org/records/20040434","Evidence / paper")</f>
        <v>Evidence / paper</v>
      </c>
      <c r="J113" s="5" t="s">
        <v>121</v>
      </c>
      <c r="K113" s="5" t="s">
        <v>1291</v>
      </c>
      <c r="L113" s="5" t="s">
        <v>155</v>
      </c>
      <c r="M113" s="5" t="s">
        <v>1292</v>
      </c>
      <c r="N113" s="5" t="s">
        <v>1293</v>
      </c>
      <c r="O113" s="5" t="s">
        <v>1294</v>
      </c>
      <c r="P113" s="5" t="s">
        <v>1097</v>
      </c>
      <c r="Q113" s="5" t="s">
        <v>124</v>
      </c>
      <c r="R113" s="5" t="s">
        <v>1295</v>
      </c>
      <c r="S113" s="5" t="s">
        <v>121</v>
      </c>
      <c r="T113" s="5"/>
      <c r="U113" s="5" t="s">
        <v>1296</v>
      </c>
      <c r="V113" s="5" t="s">
        <v>1289</v>
      </c>
      <c r="W113" s="5" t="s">
        <v>127</v>
      </c>
      <c r="X113" s="5"/>
      <c r="Y113" s="5"/>
      <c r="Z113" s="5" t="s">
        <v>128</v>
      </c>
      <c r="AA113" s="5" t="str">
        <f>HYPERLINK("#'Manual_Review'!A"&amp;(MATCH("DS-108",Manual_Review!$A$6:$A$238,0)+5),"Enter review")</f>
        <v>Enter review</v>
      </c>
      <c r="AB113" s="5" t="str">
        <f>HYPERLINK("#'MCDM_Checks'!A"&amp;(MATCH("DS-108",MCDM_Checks!$B$6:$B$3733,0)+5),"Check evidence")</f>
        <v>Check evidence</v>
      </c>
      <c r="AC113" s="5" t="s">
        <v>1286</v>
      </c>
      <c r="AD113" s="5" t="s">
        <v>1297</v>
      </c>
      <c r="AE113" s="5" t="s">
        <v>1297</v>
      </c>
      <c r="AF113" s="5" t="s">
        <v>1298</v>
      </c>
    </row>
    <row r="114" spans="1:32" ht="63.75">
      <c r="A114" s="5" t="s">
        <v>1299</v>
      </c>
      <c r="B114" s="5" t="s">
        <v>1300</v>
      </c>
      <c r="C114" s="5"/>
      <c r="D114" s="5" t="s">
        <v>118</v>
      </c>
      <c r="E114" s="12">
        <f>INDEX(MCDM_Grades!$E$6:$E$238,MATCH(A114,MCDM_Grades!$A$6:$A$238,0))</f>
        <v>66.666666666666657</v>
      </c>
      <c r="F114" s="12">
        <f>INDEX(MCDM_Grades!$F$6:$F$238,MATCH(A114,MCDM_Grades!$A$6:$A$238,0))</f>
        <v>99.999999999999986</v>
      </c>
      <c r="G114" s="13">
        <f>INDEX(MCDM_Grades!$G$6:$G$238,MATCH(A114,MCDM_Grades!$A$6:$A$238,0))</f>
        <v>0.66666666666666663</v>
      </c>
      <c r="H114" s="5" t="str">
        <f>HYPERLINK("https://zenodo.org/records/18735883","Dataset")</f>
        <v>Dataset</v>
      </c>
      <c r="I114" s="5" t="str">
        <f>HYPERLINK("https://zenodo.org/records/18735883","Evidence / paper")</f>
        <v>Evidence / paper</v>
      </c>
      <c r="J114" s="5" t="s">
        <v>1301</v>
      </c>
      <c r="K114" s="5" t="s">
        <v>1302</v>
      </c>
      <c r="L114" s="5" t="s">
        <v>155</v>
      </c>
      <c r="M114" s="5" t="s">
        <v>1303</v>
      </c>
      <c r="N114" s="5" t="s">
        <v>1304</v>
      </c>
      <c r="O114" s="5" t="s">
        <v>1305</v>
      </c>
      <c r="P114" s="5" t="s">
        <v>1097</v>
      </c>
      <c r="Q114" s="5" t="s">
        <v>124</v>
      </c>
      <c r="R114" s="5" t="s">
        <v>1306</v>
      </c>
      <c r="S114" s="5" t="s">
        <v>1307</v>
      </c>
      <c r="T114" s="5"/>
      <c r="U114" s="5" t="s">
        <v>1308</v>
      </c>
      <c r="V114" s="5" t="s">
        <v>1299</v>
      </c>
      <c r="W114" s="5" t="s">
        <v>127</v>
      </c>
      <c r="X114" s="5"/>
      <c r="Y114" s="5"/>
      <c r="Z114" s="5" t="s">
        <v>128</v>
      </c>
      <c r="AA114" s="5" t="str">
        <f>HYPERLINK("#'Manual_Review'!A"&amp;(MATCH("DS-109",Manual_Review!$A$6:$A$238,0)+5),"Enter review")</f>
        <v>Enter review</v>
      </c>
      <c r="AB114" s="5" t="str">
        <f>HYPERLINK("#'MCDM_Checks'!A"&amp;(MATCH("DS-109",MCDM_Checks!$B$6:$B$3733,0)+5),"Check evidence")</f>
        <v>Check evidence</v>
      </c>
      <c r="AC114" s="5" t="s">
        <v>1286</v>
      </c>
      <c r="AD114" s="5" t="s">
        <v>1309</v>
      </c>
      <c r="AE114" s="5" t="s">
        <v>1309</v>
      </c>
      <c r="AF114" s="5" t="s">
        <v>1310</v>
      </c>
    </row>
    <row r="115" spans="1:32" ht="25.5">
      <c r="A115" s="5" t="s">
        <v>1311</v>
      </c>
      <c r="B115" s="5" t="s">
        <v>1312</v>
      </c>
      <c r="C115" s="5"/>
      <c r="D115" s="5" t="s">
        <v>118</v>
      </c>
      <c r="E115" s="12">
        <f>INDEX(MCDM_Grades!$E$6:$E$238,MATCH(A115,MCDM_Grades!$A$6:$A$238,0))</f>
        <v>91.666666666666657</v>
      </c>
      <c r="F115" s="12">
        <f>INDEX(MCDM_Grades!$F$6:$F$238,MATCH(A115,MCDM_Grades!$A$6:$A$238,0))</f>
        <v>99.999999999999986</v>
      </c>
      <c r="G115" s="13">
        <f>INDEX(MCDM_Grades!$G$6:$G$238,MATCH(A115,MCDM_Grades!$A$6:$A$238,0))</f>
        <v>0.91666666666666663</v>
      </c>
      <c r="H115" s="5" t="str">
        <f>HYPERLINK("https://zenodo.org/records/16291115","Dataset")</f>
        <v>Dataset</v>
      </c>
      <c r="I115" s="5" t="str">
        <f>HYPERLINK("https://zenodo.org/records/16291115","Evidence / paper")</f>
        <v>Evidence / paper</v>
      </c>
      <c r="J115" s="5" t="s">
        <v>121</v>
      </c>
      <c r="K115" s="5" t="s">
        <v>1195</v>
      </c>
      <c r="L115" s="5" t="s">
        <v>121</v>
      </c>
      <c r="M115" s="5" t="s">
        <v>1313</v>
      </c>
      <c r="N115" s="5" t="s">
        <v>1314</v>
      </c>
      <c r="O115" s="5" t="s">
        <v>1315</v>
      </c>
      <c r="P115" s="5" t="s">
        <v>1097</v>
      </c>
      <c r="Q115" s="5" t="s">
        <v>124</v>
      </c>
      <c r="R115" s="5" t="s">
        <v>121</v>
      </c>
      <c r="S115" s="5" t="s">
        <v>1316</v>
      </c>
      <c r="T115" s="5"/>
      <c r="U115" s="5" t="s">
        <v>1317</v>
      </c>
      <c r="V115" s="5" t="s">
        <v>1311</v>
      </c>
      <c r="W115" s="5" t="s">
        <v>127</v>
      </c>
      <c r="X115" s="5"/>
      <c r="Y115" s="5"/>
      <c r="Z115" s="5" t="s">
        <v>128</v>
      </c>
      <c r="AA115" s="5" t="str">
        <f>HYPERLINK("#'Manual_Review'!A"&amp;(MATCH("DS-110",Manual_Review!$A$6:$A$238,0)+5),"Enter review")</f>
        <v>Enter review</v>
      </c>
      <c r="AB115" s="5" t="str">
        <f>HYPERLINK("#'MCDM_Checks'!A"&amp;(MATCH("DS-110",MCDM_Checks!$B$6:$B$3733,0)+5),"Check evidence")</f>
        <v>Check evidence</v>
      </c>
      <c r="AC115" s="5" t="s">
        <v>1286</v>
      </c>
      <c r="AD115" s="5" t="s">
        <v>1318</v>
      </c>
      <c r="AE115" s="5" t="s">
        <v>1318</v>
      </c>
      <c r="AF115" s="5" t="s">
        <v>1319</v>
      </c>
    </row>
    <row r="116" spans="1:32" ht="76.5">
      <c r="A116" s="5" t="s">
        <v>1320</v>
      </c>
      <c r="B116" s="5" t="s">
        <v>1321</v>
      </c>
      <c r="C116" s="5"/>
      <c r="D116" s="5" t="s">
        <v>118</v>
      </c>
      <c r="E116" s="12">
        <f>INDEX(MCDM_Grades!$E$6:$E$238,MATCH(A116,MCDM_Grades!$A$6:$A$238,0))</f>
        <v>55.555555555555557</v>
      </c>
      <c r="F116" s="12">
        <f>INDEX(MCDM_Grades!$F$6:$F$238,MATCH(A116,MCDM_Grades!$A$6:$A$238,0))</f>
        <v>99.999999999999986</v>
      </c>
      <c r="G116" s="13">
        <f>INDEX(MCDM_Grades!$G$6:$G$238,MATCH(A116,MCDM_Grades!$A$6:$A$238,0))</f>
        <v>0.55555555555555558</v>
      </c>
      <c r="H116" s="5" t="str">
        <f>HYPERLINK("https://zenodo.org/records/18704114","Dataset")</f>
        <v>Dataset</v>
      </c>
      <c r="I116" s="5" t="str">
        <f>HYPERLINK("https://zenodo.org/records/18704114","Evidence / paper")</f>
        <v>Evidence / paper</v>
      </c>
      <c r="J116" s="5" t="s">
        <v>1322</v>
      </c>
      <c r="K116" s="5" t="s">
        <v>1323</v>
      </c>
      <c r="L116" s="5" t="s">
        <v>121</v>
      </c>
      <c r="M116" s="5" t="s">
        <v>1324</v>
      </c>
      <c r="N116" s="5" t="s">
        <v>1325</v>
      </c>
      <c r="O116" s="5" t="s">
        <v>1326</v>
      </c>
      <c r="P116" s="5" t="s">
        <v>1327</v>
      </c>
      <c r="Q116" s="5" t="s">
        <v>1328</v>
      </c>
      <c r="R116" s="5" t="s">
        <v>1329</v>
      </c>
      <c r="S116" s="5" t="s">
        <v>1330</v>
      </c>
      <c r="T116" s="5"/>
      <c r="U116" s="5" t="s">
        <v>1331</v>
      </c>
      <c r="V116" s="5" t="s">
        <v>1320</v>
      </c>
      <c r="W116" s="5" t="s">
        <v>127</v>
      </c>
      <c r="X116" s="5"/>
      <c r="Y116" s="5"/>
      <c r="Z116" s="5" t="s">
        <v>206</v>
      </c>
      <c r="AA116" s="5" t="str">
        <f>HYPERLINK("#'Manual_Review'!A"&amp;(MATCH("DS-111",Manual_Review!$A$6:$A$238,0)+5),"Enter review")</f>
        <v>Enter review</v>
      </c>
      <c r="AB116" s="5" t="str">
        <f>HYPERLINK("#'MCDM_Checks'!A"&amp;(MATCH("DS-111",MCDM_Checks!$B$6:$B$3733,0)+5),"Check evidence")</f>
        <v>Check evidence</v>
      </c>
      <c r="AC116" s="5" t="s">
        <v>1286</v>
      </c>
      <c r="AD116" s="5" t="s">
        <v>1332</v>
      </c>
      <c r="AE116" s="5" t="s">
        <v>1332</v>
      </c>
      <c r="AF116" s="5" t="s">
        <v>1333</v>
      </c>
    </row>
    <row r="117" spans="1:32" ht="51">
      <c r="A117" s="5" t="s">
        <v>1334</v>
      </c>
      <c r="B117" s="5" t="s">
        <v>1335</v>
      </c>
      <c r="C117" s="5"/>
      <c r="D117" s="5" t="s">
        <v>1336</v>
      </c>
      <c r="E117" s="12">
        <f>INDEX(MCDM_Grades!$E$6:$E$238,MATCH(A117,MCDM_Grades!$A$6:$A$238,0))</f>
        <v>60.000000000000007</v>
      </c>
      <c r="F117" s="12">
        <f>INDEX(MCDM_Grades!$F$6:$F$238,MATCH(A117,MCDM_Grades!$A$6:$A$238,0))</f>
        <v>100</v>
      </c>
      <c r="G117" s="13">
        <f>INDEX(MCDM_Grades!$G$6:$G$238,MATCH(A117,MCDM_Grades!$A$6:$A$238,0))</f>
        <v>0.60000000000000009</v>
      </c>
      <c r="H117" s="5" t="str">
        <f>HYPERLINK("https://zenodo.org/records/3383693","Dataset")</f>
        <v>Dataset</v>
      </c>
      <c r="I117" s="5" t="str">
        <f>HYPERLINK("https://zenodo.org/records/3383693","Evidence / paper")</f>
        <v>Evidence / paper</v>
      </c>
      <c r="J117" s="5" t="s">
        <v>1337</v>
      </c>
      <c r="K117" s="5" t="s">
        <v>1338</v>
      </c>
      <c r="L117" s="5" t="s">
        <v>121</v>
      </c>
      <c r="M117" s="5" t="s">
        <v>1339</v>
      </c>
      <c r="N117" s="5" t="s">
        <v>1340</v>
      </c>
      <c r="O117" s="5" t="s">
        <v>121</v>
      </c>
      <c r="P117" s="5" t="s">
        <v>1097</v>
      </c>
      <c r="Q117" s="5" t="s">
        <v>124</v>
      </c>
      <c r="R117" s="5" t="s">
        <v>121</v>
      </c>
      <c r="S117" s="5" t="s">
        <v>1341</v>
      </c>
      <c r="T117" s="5"/>
      <c r="U117" s="5" t="s">
        <v>1342</v>
      </c>
      <c r="V117" s="5" t="s">
        <v>1334</v>
      </c>
      <c r="W117" s="5" t="s">
        <v>127</v>
      </c>
      <c r="X117" s="5"/>
      <c r="Y117" s="5"/>
      <c r="Z117" s="5" t="s">
        <v>128</v>
      </c>
      <c r="AA117" s="5" t="str">
        <f>HYPERLINK("#'Manual_Review'!A"&amp;(MATCH("DS-112",Manual_Review!$A$6:$A$238,0)+5),"Enter review")</f>
        <v>Enter review</v>
      </c>
      <c r="AB117" s="5" t="str">
        <f>HYPERLINK("#'MCDM_Checks'!A"&amp;(MATCH("DS-112",MCDM_Checks!$B$6:$B$3733,0)+5),"Check evidence")</f>
        <v>Check evidence</v>
      </c>
      <c r="AC117" s="5" t="s">
        <v>1286</v>
      </c>
      <c r="AD117" s="5" t="s">
        <v>1343</v>
      </c>
      <c r="AE117" s="5" t="s">
        <v>1343</v>
      </c>
      <c r="AF117" s="5" t="s">
        <v>1344</v>
      </c>
    </row>
    <row r="118" spans="1:32" ht="38.25">
      <c r="A118" s="5" t="s">
        <v>1345</v>
      </c>
      <c r="B118" s="5" t="s">
        <v>1346</v>
      </c>
      <c r="C118" s="5"/>
      <c r="D118" s="5" t="s">
        <v>118</v>
      </c>
      <c r="E118" s="12">
        <f>INDEX(MCDM_Grades!$E$6:$E$238,MATCH(A118,MCDM_Grades!$A$6:$A$238,0))</f>
        <v>41.666666666666657</v>
      </c>
      <c r="F118" s="12">
        <f>INDEX(MCDM_Grades!$F$6:$F$238,MATCH(A118,MCDM_Grades!$A$6:$A$238,0))</f>
        <v>99.999999999999986</v>
      </c>
      <c r="G118" s="13">
        <f>INDEX(MCDM_Grades!$G$6:$G$238,MATCH(A118,MCDM_Grades!$A$6:$A$238,0))</f>
        <v>0.41666666666666663</v>
      </c>
      <c r="H118" s="5" t="str">
        <f>HYPERLINK("https://zenodo.org/records/11625865","Dataset")</f>
        <v>Dataset</v>
      </c>
      <c r="I118" s="5" t="str">
        <f>HYPERLINK("https://zenodo.org/records/11625865","Evidence / paper")</f>
        <v>Evidence / paper</v>
      </c>
      <c r="J118" s="5" t="s">
        <v>121</v>
      </c>
      <c r="K118" s="5" t="s">
        <v>1347</v>
      </c>
      <c r="L118" s="5" t="s">
        <v>121</v>
      </c>
      <c r="M118" s="5" t="s">
        <v>1313</v>
      </c>
      <c r="N118" s="5" t="s">
        <v>1348</v>
      </c>
      <c r="O118" s="5" t="s">
        <v>1349</v>
      </c>
      <c r="P118" s="5" t="s">
        <v>1097</v>
      </c>
      <c r="Q118" s="5" t="s">
        <v>124</v>
      </c>
      <c r="R118" s="5" t="s">
        <v>121</v>
      </c>
      <c r="S118" s="5" t="s">
        <v>1350</v>
      </c>
      <c r="T118" s="5"/>
      <c r="U118" s="5" t="s">
        <v>1351</v>
      </c>
      <c r="V118" s="5" t="s">
        <v>1345</v>
      </c>
      <c r="W118" s="5" t="s">
        <v>127</v>
      </c>
      <c r="X118" s="5" t="s">
        <v>372</v>
      </c>
      <c r="Y118" s="5"/>
      <c r="Z118" s="5" t="s">
        <v>128</v>
      </c>
      <c r="AA118" s="5" t="str">
        <f>HYPERLINK("#'Manual_Review'!A"&amp;(MATCH("DS-113",Manual_Review!$A$6:$A$238,0)+5),"Enter review")</f>
        <v>Enter review</v>
      </c>
      <c r="AB118" s="5" t="str">
        <f>HYPERLINK("#'MCDM_Checks'!A"&amp;(MATCH("DS-113",MCDM_Checks!$B$6:$B$3733,0)+5),"Check evidence")</f>
        <v>Check evidence</v>
      </c>
      <c r="AC118" s="5" t="s">
        <v>1286</v>
      </c>
      <c r="AD118" s="5" t="s">
        <v>1352</v>
      </c>
      <c r="AE118" s="5" t="s">
        <v>1352</v>
      </c>
      <c r="AF118" s="5" t="s">
        <v>1353</v>
      </c>
    </row>
    <row r="119" spans="1:32" ht="38.25">
      <c r="A119" s="5" t="s">
        <v>1354</v>
      </c>
      <c r="B119" s="5" t="s">
        <v>1355</v>
      </c>
      <c r="C119" s="5"/>
      <c r="D119" s="5" t="s">
        <v>118</v>
      </c>
      <c r="E119" s="12">
        <f>INDEX(MCDM_Grades!$E$6:$E$238,MATCH(A119,MCDM_Grades!$A$6:$A$238,0))</f>
        <v>47.222222222222221</v>
      </c>
      <c r="F119" s="12">
        <f>INDEX(MCDM_Grades!$F$6:$F$238,MATCH(A119,MCDM_Grades!$A$6:$A$238,0))</f>
        <v>99.999999999999986</v>
      </c>
      <c r="G119" s="13">
        <f>INDEX(MCDM_Grades!$G$6:$G$238,MATCH(A119,MCDM_Grades!$A$6:$A$238,0))</f>
        <v>0.47222222222222221</v>
      </c>
      <c r="H119" s="5" t="str">
        <f>HYPERLINK("https://zenodo.org/records/11625820","Dataset")</f>
        <v>Dataset</v>
      </c>
      <c r="I119" s="5" t="str">
        <f>HYPERLINK("https://zenodo.org/records/11625820","Evidence / paper")</f>
        <v>Evidence / paper</v>
      </c>
      <c r="J119" s="5" t="s">
        <v>121</v>
      </c>
      <c r="K119" s="5" t="s">
        <v>1347</v>
      </c>
      <c r="L119" s="5" t="s">
        <v>121</v>
      </c>
      <c r="M119" s="5" t="s">
        <v>1313</v>
      </c>
      <c r="N119" s="5" t="s">
        <v>1348</v>
      </c>
      <c r="O119" s="5" t="s">
        <v>1349</v>
      </c>
      <c r="P119" s="5" t="s">
        <v>1097</v>
      </c>
      <c r="Q119" s="5" t="s">
        <v>124</v>
      </c>
      <c r="R119" s="5" t="s">
        <v>121</v>
      </c>
      <c r="S119" s="5" t="s">
        <v>1350</v>
      </c>
      <c r="T119" s="5"/>
      <c r="U119" s="5" t="s">
        <v>1356</v>
      </c>
      <c r="V119" s="5" t="s">
        <v>1354</v>
      </c>
      <c r="W119" s="5" t="s">
        <v>127</v>
      </c>
      <c r="X119" s="5" t="s">
        <v>372</v>
      </c>
      <c r="Y119" s="5"/>
      <c r="Z119" s="5" t="s">
        <v>128</v>
      </c>
      <c r="AA119" s="5" t="str">
        <f>HYPERLINK("#'Manual_Review'!A"&amp;(MATCH("DS-114",Manual_Review!$A$6:$A$238,0)+5),"Enter review")</f>
        <v>Enter review</v>
      </c>
      <c r="AB119" s="5" t="str">
        <f>HYPERLINK("#'MCDM_Checks'!A"&amp;(MATCH("DS-114",MCDM_Checks!$B$6:$B$3733,0)+5),"Check evidence")</f>
        <v>Check evidence</v>
      </c>
      <c r="AC119" s="5" t="s">
        <v>1286</v>
      </c>
      <c r="AD119" s="5" t="s">
        <v>1357</v>
      </c>
      <c r="AE119" s="5" t="s">
        <v>1357</v>
      </c>
      <c r="AF119" s="5" t="s">
        <v>1358</v>
      </c>
    </row>
    <row r="120" spans="1:32" ht="38.25">
      <c r="A120" s="5" t="s">
        <v>1359</v>
      </c>
      <c r="B120" s="5" t="s">
        <v>1360</v>
      </c>
      <c r="C120" s="5"/>
      <c r="D120" s="5" t="s">
        <v>118</v>
      </c>
      <c r="E120" s="12">
        <f>INDEX(MCDM_Grades!$E$6:$E$238,MATCH(A120,MCDM_Grades!$A$6:$A$238,0))</f>
        <v>0</v>
      </c>
      <c r="F120" s="12">
        <f>INDEX(MCDM_Grades!$F$6:$F$238,MATCH(A120,MCDM_Grades!$A$6:$A$238,0))</f>
        <v>99.999999999999986</v>
      </c>
      <c r="G120" s="13">
        <f>INDEX(MCDM_Grades!$G$6:$G$238,MATCH(A120,MCDM_Grades!$A$6:$A$238,0))</f>
        <v>0</v>
      </c>
      <c r="H120" s="5" t="str">
        <f>HYPERLINK("https://zenodo.org/records/20454801","Dataset")</f>
        <v>Dataset</v>
      </c>
      <c r="I120" s="5" t="str">
        <f>HYPERLINK("https://zenodo.org/records/20454801","Evidence / paper")</f>
        <v>Evidence / paper</v>
      </c>
      <c r="J120" s="5" t="s">
        <v>121</v>
      </c>
      <c r="K120" s="5" t="s">
        <v>1361</v>
      </c>
      <c r="L120" s="5" t="s">
        <v>155</v>
      </c>
      <c r="M120" s="5" t="s">
        <v>1362</v>
      </c>
      <c r="N120" s="5" t="s">
        <v>1363</v>
      </c>
      <c r="O120" s="5" t="s">
        <v>1315</v>
      </c>
      <c r="P120" s="5" t="s">
        <v>1097</v>
      </c>
      <c r="Q120" s="5" t="s">
        <v>124</v>
      </c>
      <c r="R120" s="5" t="s">
        <v>1364</v>
      </c>
      <c r="S120" s="5" t="s">
        <v>1365</v>
      </c>
      <c r="T120" s="5"/>
      <c r="U120" s="5" t="s">
        <v>1366</v>
      </c>
      <c r="V120" s="5" t="s">
        <v>1359</v>
      </c>
      <c r="W120" s="5" t="s">
        <v>127</v>
      </c>
      <c r="X120" s="5"/>
      <c r="Y120" s="5"/>
      <c r="Z120" s="5" t="s">
        <v>128</v>
      </c>
      <c r="AA120" s="5" t="str">
        <f>HYPERLINK("#'Manual_Review'!A"&amp;(MATCH("DS-115",Manual_Review!$A$6:$A$238,0)+5),"Enter review")</f>
        <v>Enter review</v>
      </c>
      <c r="AB120" s="5" t="str">
        <f>HYPERLINK("#'MCDM_Checks'!A"&amp;(MATCH("DS-115",MCDM_Checks!$B$6:$B$3733,0)+5),"Check evidence")</f>
        <v>Check evidence</v>
      </c>
      <c r="AC120" s="5" t="s">
        <v>1286</v>
      </c>
      <c r="AD120" s="5" t="s">
        <v>1367</v>
      </c>
      <c r="AE120" s="5" t="s">
        <v>1367</v>
      </c>
      <c r="AF120" s="5" t="s">
        <v>1368</v>
      </c>
    </row>
    <row r="121" spans="1:32" ht="38.25">
      <c r="A121" s="5" t="s">
        <v>1369</v>
      </c>
      <c r="B121" s="5" t="s">
        <v>1370</v>
      </c>
      <c r="C121" s="5"/>
      <c r="D121" s="5" t="s">
        <v>118</v>
      </c>
      <c r="E121" s="12">
        <f>INDEX(MCDM_Grades!$E$6:$E$238,MATCH(A121,MCDM_Grades!$A$6:$A$238,0))</f>
        <v>50</v>
      </c>
      <c r="F121" s="12">
        <f>INDEX(MCDM_Grades!$F$6:$F$238,MATCH(A121,MCDM_Grades!$A$6:$A$238,0))</f>
        <v>99.999999999999986</v>
      </c>
      <c r="G121" s="13">
        <f>INDEX(MCDM_Grades!$G$6:$G$238,MATCH(A121,MCDM_Grades!$A$6:$A$238,0))</f>
        <v>0.5</v>
      </c>
      <c r="H121" s="5" t="str">
        <f>HYPERLINK("https://zenodo.org/records/18072573","Dataset")</f>
        <v>Dataset</v>
      </c>
      <c r="I121" s="5" t="str">
        <f>HYPERLINK("https://zenodo.org/records/18072573","Evidence / paper")</f>
        <v>Evidence / paper</v>
      </c>
      <c r="J121" s="5" t="s">
        <v>1371</v>
      </c>
      <c r="K121" s="5" t="s">
        <v>1186</v>
      </c>
      <c r="L121" s="5" t="s">
        <v>155</v>
      </c>
      <c r="M121" s="5" t="s">
        <v>1372</v>
      </c>
      <c r="N121" s="5" t="s">
        <v>1373</v>
      </c>
      <c r="O121" s="5" t="s">
        <v>1305</v>
      </c>
      <c r="P121" s="5" t="s">
        <v>1097</v>
      </c>
      <c r="Q121" s="5" t="s">
        <v>124</v>
      </c>
      <c r="R121" s="5" t="s">
        <v>1374</v>
      </c>
      <c r="S121" s="5" t="s">
        <v>1375</v>
      </c>
      <c r="T121" s="5"/>
      <c r="U121" s="5" t="s">
        <v>1376</v>
      </c>
      <c r="V121" s="5" t="s">
        <v>1369</v>
      </c>
      <c r="W121" s="5" t="s">
        <v>127</v>
      </c>
      <c r="X121" s="5"/>
      <c r="Y121" s="5"/>
      <c r="Z121" s="5" t="s">
        <v>128</v>
      </c>
      <c r="AA121" s="5" t="str">
        <f>HYPERLINK("#'Manual_Review'!A"&amp;(MATCH("DS-116",Manual_Review!$A$6:$A$238,0)+5),"Enter review")</f>
        <v>Enter review</v>
      </c>
      <c r="AB121" s="5" t="str">
        <f>HYPERLINK("#'MCDM_Checks'!A"&amp;(MATCH("DS-116",MCDM_Checks!$B$6:$B$3733,0)+5),"Check evidence")</f>
        <v>Check evidence</v>
      </c>
      <c r="AC121" s="5" t="s">
        <v>1286</v>
      </c>
      <c r="AD121" s="5" t="s">
        <v>1377</v>
      </c>
      <c r="AE121" s="5" t="s">
        <v>1377</v>
      </c>
      <c r="AF121" s="5" t="s">
        <v>1378</v>
      </c>
    </row>
    <row r="122" spans="1:32" ht="38.25">
      <c r="A122" s="5" t="s">
        <v>1379</v>
      </c>
      <c r="B122" s="5" t="s">
        <v>1380</v>
      </c>
      <c r="C122" s="5"/>
      <c r="D122" s="5" t="s">
        <v>118</v>
      </c>
      <c r="E122" s="12">
        <f>INDEX(MCDM_Grades!$E$6:$E$238,MATCH(A122,MCDM_Grades!$A$6:$A$238,0))</f>
        <v>50</v>
      </c>
      <c r="F122" s="12">
        <f>INDEX(MCDM_Grades!$F$6:$F$238,MATCH(A122,MCDM_Grades!$A$6:$A$238,0))</f>
        <v>99.999999999999986</v>
      </c>
      <c r="G122" s="13">
        <f>INDEX(MCDM_Grades!$G$6:$G$238,MATCH(A122,MCDM_Grades!$A$6:$A$238,0))</f>
        <v>0.5</v>
      </c>
      <c r="H122" s="5" t="str">
        <f>HYPERLINK("https://zenodo.org/records/18114226","Dataset")</f>
        <v>Dataset</v>
      </c>
      <c r="I122" s="5" t="str">
        <f>HYPERLINK("https://zenodo.org/records/18114226","Evidence / paper")</f>
        <v>Evidence / paper</v>
      </c>
      <c r="J122" s="5" t="s">
        <v>1381</v>
      </c>
      <c r="K122" s="5" t="s">
        <v>1186</v>
      </c>
      <c r="L122" s="5" t="s">
        <v>155</v>
      </c>
      <c r="M122" s="5" t="s">
        <v>1372</v>
      </c>
      <c r="N122" s="5" t="s">
        <v>1373</v>
      </c>
      <c r="O122" s="5" t="s">
        <v>1305</v>
      </c>
      <c r="P122" s="5" t="s">
        <v>1097</v>
      </c>
      <c r="Q122" s="5" t="s">
        <v>124</v>
      </c>
      <c r="R122" s="5" t="s">
        <v>1374</v>
      </c>
      <c r="S122" s="5" t="s">
        <v>1375</v>
      </c>
      <c r="T122" s="5"/>
      <c r="U122" s="5" t="s">
        <v>1382</v>
      </c>
      <c r="V122" s="5" t="s">
        <v>1379</v>
      </c>
      <c r="W122" s="5" t="s">
        <v>127</v>
      </c>
      <c r="X122" s="5"/>
      <c r="Y122" s="5"/>
      <c r="Z122" s="5" t="s">
        <v>128</v>
      </c>
      <c r="AA122" s="5" t="str">
        <f>HYPERLINK("#'Manual_Review'!A"&amp;(MATCH("DS-117",Manual_Review!$A$6:$A$238,0)+5),"Enter review")</f>
        <v>Enter review</v>
      </c>
      <c r="AB122" s="5" t="str">
        <f>HYPERLINK("#'MCDM_Checks'!A"&amp;(MATCH("DS-117",MCDM_Checks!$B$6:$B$3733,0)+5),"Check evidence")</f>
        <v>Check evidence</v>
      </c>
      <c r="AC122" s="5" t="s">
        <v>1286</v>
      </c>
      <c r="AD122" s="5" t="s">
        <v>1383</v>
      </c>
      <c r="AE122" s="5" t="s">
        <v>1383</v>
      </c>
      <c r="AF122" s="5" t="s">
        <v>1384</v>
      </c>
    </row>
    <row r="123" spans="1:32" ht="38.25">
      <c r="A123" s="5" t="s">
        <v>1385</v>
      </c>
      <c r="B123" s="5" t="s">
        <v>1386</v>
      </c>
      <c r="C123" s="5"/>
      <c r="D123" s="5" t="s">
        <v>118</v>
      </c>
      <c r="E123" s="12">
        <f>INDEX(MCDM_Grades!$E$6:$E$238,MATCH(A123,MCDM_Grades!$A$6:$A$238,0))</f>
        <v>55.555555555555557</v>
      </c>
      <c r="F123" s="12">
        <f>INDEX(MCDM_Grades!$F$6:$F$238,MATCH(A123,MCDM_Grades!$A$6:$A$238,0))</f>
        <v>99.999999999999986</v>
      </c>
      <c r="G123" s="13">
        <f>INDEX(MCDM_Grades!$G$6:$G$238,MATCH(A123,MCDM_Grades!$A$6:$A$238,0))</f>
        <v>0.55555555555555558</v>
      </c>
      <c r="H123" s="5" t="str">
        <f>HYPERLINK("https://zenodo.org/records/17189667","Dataset")</f>
        <v>Dataset</v>
      </c>
      <c r="I123" s="5" t="str">
        <f>HYPERLINK("https://zenodo.org/records/17189667","Evidence / paper")</f>
        <v>Evidence / paper</v>
      </c>
      <c r="J123" s="5" t="s">
        <v>121</v>
      </c>
      <c r="K123" s="5" t="s">
        <v>1387</v>
      </c>
      <c r="L123" s="5" t="s">
        <v>121</v>
      </c>
      <c r="M123" s="5" t="s">
        <v>1313</v>
      </c>
      <c r="N123" s="5" t="s">
        <v>1388</v>
      </c>
      <c r="O123" s="5" t="s">
        <v>1389</v>
      </c>
      <c r="P123" s="5" t="s">
        <v>1097</v>
      </c>
      <c r="Q123" s="5" t="s">
        <v>124</v>
      </c>
      <c r="R123" s="5" t="s">
        <v>121</v>
      </c>
      <c r="S123" s="5" t="s">
        <v>1390</v>
      </c>
      <c r="T123" s="5"/>
      <c r="U123" s="5" t="s">
        <v>1391</v>
      </c>
      <c r="V123" s="5" t="s">
        <v>1385</v>
      </c>
      <c r="W123" s="5" t="s">
        <v>127</v>
      </c>
      <c r="X123" s="5"/>
      <c r="Y123" s="5"/>
      <c r="Z123" s="5" t="s">
        <v>128</v>
      </c>
      <c r="AA123" s="5" t="str">
        <f>HYPERLINK("#'Manual_Review'!A"&amp;(MATCH("DS-118",Manual_Review!$A$6:$A$238,0)+5),"Enter review")</f>
        <v>Enter review</v>
      </c>
      <c r="AB123" s="5" t="str">
        <f>HYPERLINK("#'MCDM_Checks'!A"&amp;(MATCH("DS-118",MCDM_Checks!$B$6:$B$3733,0)+5),"Check evidence")</f>
        <v>Check evidence</v>
      </c>
      <c r="AC123" s="5" t="s">
        <v>1286</v>
      </c>
      <c r="AD123" s="5" t="s">
        <v>1392</v>
      </c>
      <c r="AE123" s="5" t="s">
        <v>1392</v>
      </c>
      <c r="AF123" s="5" t="s">
        <v>1393</v>
      </c>
    </row>
    <row r="124" spans="1:32" ht="25.5">
      <c r="A124" s="5" t="s">
        <v>1394</v>
      </c>
      <c r="B124" s="5" t="s">
        <v>1395</v>
      </c>
      <c r="C124" s="5"/>
      <c r="D124" s="5" t="s">
        <v>118</v>
      </c>
      <c r="E124" s="12">
        <f>INDEX(MCDM_Grades!$E$6:$E$238,MATCH(A124,MCDM_Grades!$A$6:$A$238,0))</f>
        <v>61.111111111111107</v>
      </c>
      <c r="F124" s="12">
        <f>INDEX(MCDM_Grades!$F$6:$F$238,MATCH(A124,MCDM_Grades!$A$6:$A$238,0))</f>
        <v>99.999999999999986</v>
      </c>
      <c r="G124" s="13">
        <f>INDEX(MCDM_Grades!$G$6:$G$238,MATCH(A124,MCDM_Grades!$A$6:$A$238,0))</f>
        <v>0.61111111111111105</v>
      </c>
      <c r="H124" s="5" t="str">
        <f>HYPERLINK("https://zenodo.org/records/6383044","Dataset")</f>
        <v>Dataset</v>
      </c>
      <c r="I124" s="5" t="str">
        <f>HYPERLINK("https://doi.org/10.5281/zenodo.6383044","Evidence / paper")</f>
        <v>Evidence / paper</v>
      </c>
      <c r="J124" s="5" t="s">
        <v>119</v>
      </c>
      <c r="K124" s="5" t="s">
        <v>1396</v>
      </c>
      <c r="L124" s="5" t="s">
        <v>155</v>
      </c>
      <c r="M124" s="5" t="s">
        <v>1397</v>
      </c>
      <c r="N124" s="5" t="s">
        <v>260</v>
      </c>
      <c r="O124" s="5" t="s">
        <v>1398</v>
      </c>
      <c r="P124" s="5" t="s">
        <v>121</v>
      </c>
      <c r="Q124" s="5" t="s">
        <v>124</v>
      </c>
      <c r="R124" s="5" t="s">
        <v>1399</v>
      </c>
      <c r="S124" s="5" t="s">
        <v>1400</v>
      </c>
      <c r="T124" s="5"/>
      <c r="U124" s="5" t="s">
        <v>1401</v>
      </c>
      <c r="V124" s="5" t="s">
        <v>1394</v>
      </c>
      <c r="W124" s="5" t="s">
        <v>127</v>
      </c>
      <c r="X124" s="5"/>
      <c r="Y124" s="5"/>
      <c r="Z124" s="5" t="s">
        <v>128</v>
      </c>
      <c r="AA124" s="5" t="str">
        <f>HYPERLINK("#'Manual_Review'!A"&amp;(MATCH("DS-119",Manual_Review!$A$6:$A$238,0)+5),"Enter review")</f>
        <v>Enter review</v>
      </c>
      <c r="AB124" s="5" t="str">
        <f>HYPERLINK("#'MCDM_Checks'!A"&amp;(MATCH("DS-119",MCDM_Checks!$B$6:$B$3733,0)+5),"Check evidence")</f>
        <v>Check evidence</v>
      </c>
      <c r="AC124" s="5" t="s">
        <v>1286</v>
      </c>
      <c r="AD124" s="5" t="s">
        <v>1402</v>
      </c>
      <c r="AE124" s="5" t="s">
        <v>1403</v>
      </c>
      <c r="AF124" s="5" t="s">
        <v>1404</v>
      </c>
    </row>
    <row r="125" spans="1:32" ht="38.25">
      <c r="A125" s="5" t="s">
        <v>1405</v>
      </c>
      <c r="B125" s="5" t="s">
        <v>1406</v>
      </c>
      <c r="C125" s="5"/>
      <c r="D125" s="5" t="s">
        <v>118</v>
      </c>
      <c r="E125" s="12">
        <f>INDEX(MCDM_Grades!$E$6:$E$238,MATCH(A125,MCDM_Grades!$A$6:$A$238,0))</f>
        <v>0</v>
      </c>
      <c r="F125" s="12">
        <f>INDEX(MCDM_Grades!$F$6:$F$238,MATCH(A125,MCDM_Grades!$A$6:$A$238,0))</f>
        <v>99.999999999999986</v>
      </c>
      <c r="G125" s="13">
        <f>INDEX(MCDM_Grades!$G$6:$G$238,MATCH(A125,MCDM_Grades!$A$6:$A$238,0))</f>
        <v>0</v>
      </c>
      <c r="H125" s="5" t="str">
        <f>HYPERLINK("https://zenodo.org/records/20727180","Dataset")</f>
        <v>Dataset</v>
      </c>
      <c r="I125" s="5" t="str">
        <f>HYPERLINK("https://zenodo.org/records/20727180","Evidence / paper")</f>
        <v>Evidence / paper</v>
      </c>
      <c r="J125" s="5" t="s">
        <v>1407</v>
      </c>
      <c r="K125" s="5" t="s">
        <v>1408</v>
      </c>
      <c r="L125" s="5" t="s">
        <v>121</v>
      </c>
      <c r="M125" s="5" t="s">
        <v>1409</v>
      </c>
      <c r="N125" s="5" t="s">
        <v>1410</v>
      </c>
      <c r="O125" s="5" t="s">
        <v>1411</v>
      </c>
      <c r="P125" s="5" t="s">
        <v>1097</v>
      </c>
      <c r="Q125" s="5" t="s">
        <v>159</v>
      </c>
      <c r="R125" s="5" t="s">
        <v>121</v>
      </c>
      <c r="S125" s="5" t="s">
        <v>1412</v>
      </c>
      <c r="T125" s="5"/>
      <c r="U125" s="5" t="s">
        <v>1413</v>
      </c>
      <c r="V125" s="5" t="s">
        <v>1405</v>
      </c>
      <c r="W125" s="5" t="s">
        <v>127</v>
      </c>
      <c r="X125" s="5"/>
      <c r="Y125" s="5"/>
      <c r="Z125" s="5" t="s">
        <v>128</v>
      </c>
      <c r="AA125" s="5" t="str">
        <f>HYPERLINK("#'Manual_Review'!A"&amp;(MATCH("DS-120",Manual_Review!$A$6:$A$238,0)+5),"Enter review")</f>
        <v>Enter review</v>
      </c>
      <c r="AB125" s="5" t="str">
        <f>HYPERLINK("#'MCDM_Checks'!A"&amp;(MATCH("DS-120",MCDM_Checks!$B$6:$B$3733,0)+5),"Check evidence")</f>
        <v>Check evidence</v>
      </c>
      <c r="AC125" s="5" t="s">
        <v>1286</v>
      </c>
      <c r="AD125" s="5" t="s">
        <v>1414</v>
      </c>
      <c r="AE125" s="5" t="s">
        <v>1414</v>
      </c>
      <c r="AF125" s="5" t="s">
        <v>1415</v>
      </c>
    </row>
    <row r="126" spans="1:32" ht="38.25">
      <c r="A126" s="5" t="s">
        <v>1416</v>
      </c>
      <c r="B126" s="5" t="s">
        <v>1417</v>
      </c>
      <c r="C126" s="5"/>
      <c r="D126" s="5" t="s">
        <v>118</v>
      </c>
      <c r="E126" s="12">
        <f>INDEX(MCDM_Grades!$E$6:$E$238,MATCH(A126,MCDM_Grades!$A$6:$A$238,0))</f>
        <v>49.999999999999993</v>
      </c>
      <c r="F126" s="12">
        <f>INDEX(MCDM_Grades!$F$6:$F$238,MATCH(A126,MCDM_Grades!$A$6:$A$238,0))</f>
        <v>99.999999999999986</v>
      </c>
      <c r="G126" s="13">
        <f>INDEX(MCDM_Grades!$G$6:$G$238,MATCH(A126,MCDM_Grades!$A$6:$A$238,0))</f>
        <v>0.5</v>
      </c>
      <c r="H126" s="5" t="str">
        <f>HYPERLINK("https://zenodo.org/records/21370736","Dataset")</f>
        <v>Dataset</v>
      </c>
      <c r="I126" s="5" t="str">
        <f>HYPERLINK("https://zenodo.org/records/21370736","Evidence / paper")</f>
        <v>Evidence / paper</v>
      </c>
      <c r="J126" s="5" t="s">
        <v>1407</v>
      </c>
      <c r="K126" s="5" t="s">
        <v>1418</v>
      </c>
      <c r="L126" s="5" t="s">
        <v>155</v>
      </c>
      <c r="M126" s="5" t="s">
        <v>1419</v>
      </c>
      <c r="N126" s="5" t="s">
        <v>1420</v>
      </c>
      <c r="O126" s="5" t="s">
        <v>1421</v>
      </c>
      <c r="P126" s="5" t="s">
        <v>1097</v>
      </c>
      <c r="Q126" s="5" t="s">
        <v>124</v>
      </c>
      <c r="R126" s="5" t="s">
        <v>1422</v>
      </c>
      <c r="S126" s="5" t="s">
        <v>1423</v>
      </c>
      <c r="T126" s="5"/>
      <c r="U126" s="5" t="s">
        <v>1424</v>
      </c>
      <c r="V126" s="5" t="s">
        <v>1416</v>
      </c>
      <c r="W126" s="5" t="s">
        <v>127</v>
      </c>
      <c r="X126" s="5"/>
      <c r="Y126" s="5"/>
      <c r="Z126" s="5" t="s">
        <v>128</v>
      </c>
      <c r="AA126" s="5" t="str">
        <f>HYPERLINK("#'Manual_Review'!A"&amp;(MATCH("DS-121",Manual_Review!$A$6:$A$238,0)+5),"Enter review")</f>
        <v>Enter review</v>
      </c>
      <c r="AB126" s="5" t="str">
        <f>HYPERLINK("#'MCDM_Checks'!A"&amp;(MATCH("DS-121",MCDM_Checks!$B$6:$B$3733,0)+5),"Check evidence")</f>
        <v>Check evidence</v>
      </c>
      <c r="AC126" s="5" t="s">
        <v>1286</v>
      </c>
      <c r="AD126" s="5" t="s">
        <v>1425</v>
      </c>
      <c r="AE126" s="5" t="s">
        <v>1425</v>
      </c>
      <c r="AF126" s="5" t="s">
        <v>1426</v>
      </c>
    </row>
    <row r="127" spans="1:32" ht="25.5">
      <c r="A127" s="5" t="s">
        <v>1427</v>
      </c>
      <c r="B127" s="5" t="s">
        <v>1428</v>
      </c>
      <c r="C127" s="5"/>
      <c r="D127" s="5" t="s">
        <v>118</v>
      </c>
      <c r="E127" s="12">
        <f>INDEX(MCDM_Grades!$E$6:$E$238,MATCH(A127,MCDM_Grades!$A$6:$A$238,0))</f>
        <v>63.888888888888893</v>
      </c>
      <c r="F127" s="12">
        <f>INDEX(MCDM_Grades!$F$6:$F$238,MATCH(A127,MCDM_Grades!$A$6:$A$238,0))</f>
        <v>99.999999999999986</v>
      </c>
      <c r="G127" s="13">
        <f>INDEX(MCDM_Grades!$G$6:$G$238,MATCH(A127,MCDM_Grades!$A$6:$A$238,0))</f>
        <v>0.63888888888888884</v>
      </c>
      <c r="H127" s="5" t="str">
        <f>HYPERLINK("https://zenodo.org/records/21167531","Dataset")</f>
        <v>Dataset</v>
      </c>
      <c r="I127" s="5" t="str">
        <f>HYPERLINK("https://zenodo.org/records/21167531","Evidence / paper")</f>
        <v>Evidence / paper</v>
      </c>
      <c r="J127" s="5" t="s">
        <v>1429</v>
      </c>
      <c r="K127" s="5" t="s">
        <v>1430</v>
      </c>
      <c r="L127" s="5" t="s">
        <v>155</v>
      </c>
      <c r="M127" s="5" t="s">
        <v>1431</v>
      </c>
      <c r="N127" s="5" t="s">
        <v>1432</v>
      </c>
      <c r="O127" s="5" t="s">
        <v>1433</v>
      </c>
      <c r="P127" s="5" t="s">
        <v>1097</v>
      </c>
      <c r="Q127" s="5" t="s">
        <v>124</v>
      </c>
      <c r="R127" s="5" t="s">
        <v>1434</v>
      </c>
      <c r="S127" s="5" t="s">
        <v>1435</v>
      </c>
      <c r="T127" s="5"/>
      <c r="U127" s="5" t="s">
        <v>1436</v>
      </c>
      <c r="V127" s="5" t="s">
        <v>1427</v>
      </c>
      <c r="W127" s="5" t="s">
        <v>127</v>
      </c>
      <c r="X127" s="5"/>
      <c r="Y127" s="5"/>
      <c r="Z127" s="5" t="s">
        <v>128</v>
      </c>
      <c r="AA127" s="5" t="str">
        <f>HYPERLINK("#'Manual_Review'!A"&amp;(MATCH("DS-122",Manual_Review!$A$6:$A$238,0)+5),"Enter review")</f>
        <v>Enter review</v>
      </c>
      <c r="AB127" s="5" t="str">
        <f>HYPERLINK("#'MCDM_Checks'!A"&amp;(MATCH("DS-122",MCDM_Checks!$B$6:$B$3733,0)+5),"Check evidence")</f>
        <v>Check evidence</v>
      </c>
      <c r="AC127" s="5" t="s">
        <v>1286</v>
      </c>
      <c r="AD127" s="5" t="s">
        <v>1437</v>
      </c>
      <c r="AE127" s="5" t="s">
        <v>1437</v>
      </c>
      <c r="AF127" s="5" t="s">
        <v>1438</v>
      </c>
    </row>
    <row r="128" spans="1:32" ht="25.5">
      <c r="A128" s="5" t="s">
        <v>1439</v>
      </c>
      <c r="B128" s="5" t="s">
        <v>1440</v>
      </c>
      <c r="C128" s="5"/>
      <c r="D128" s="5" t="s">
        <v>118</v>
      </c>
      <c r="E128" s="12">
        <f>INDEX(MCDM_Grades!$E$6:$E$238,MATCH(A128,MCDM_Grades!$A$6:$A$238,0))</f>
        <v>30.555555555555554</v>
      </c>
      <c r="F128" s="12">
        <f>INDEX(MCDM_Grades!$F$6:$F$238,MATCH(A128,MCDM_Grades!$A$6:$A$238,0))</f>
        <v>99.999999999999986</v>
      </c>
      <c r="G128" s="13">
        <f>INDEX(MCDM_Grades!$G$6:$G$238,MATCH(A128,MCDM_Grades!$A$6:$A$238,0))</f>
        <v>0.30555555555555552</v>
      </c>
      <c r="H128" s="5" t="str">
        <f>HYPERLINK("https://zenodo.org/records/7795975","Dataset")</f>
        <v>Dataset</v>
      </c>
      <c r="I128" s="5" t="str">
        <f>HYPERLINK("https://zenodo.org/records/7795975","Evidence / paper")</f>
        <v>Evidence / paper</v>
      </c>
      <c r="J128" s="5" t="s">
        <v>119</v>
      </c>
      <c r="K128" s="5" t="s">
        <v>1441</v>
      </c>
      <c r="L128" s="5" t="s">
        <v>155</v>
      </c>
      <c r="M128" s="5" t="s">
        <v>1442</v>
      </c>
      <c r="N128" s="5" t="s">
        <v>1443</v>
      </c>
      <c r="O128" s="5" t="s">
        <v>1444</v>
      </c>
      <c r="P128" s="5" t="s">
        <v>121</v>
      </c>
      <c r="Q128" s="5" t="s">
        <v>124</v>
      </c>
      <c r="R128" s="5" t="s">
        <v>1445</v>
      </c>
      <c r="S128" s="5" t="s">
        <v>1446</v>
      </c>
      <c r="T128" s="5"/>
      <c r="U128" s="5" t="s">
        <v>1447</v>
      </c>
      <c r="V128" s="5" t="s">
        <v>1439</v>
      </c>
      <c r="W128" s="5" t="s">
        <v>127</v>
      </c>
      <c r="X128" s="5"/>
      <c r="Y128" s="5"/>
      <c r="Z128" s="5" t="s">
        <v>128</v>
      </c>
      <c r="AA128" s="5" t="str">
        <f>HYPERLINK("#'Manual_Review'!A"&amp;(MATCH("DS-123",Manual_Review!$A$6:$A$238,0)+5),"Enter review")</f>
        <v>Enter review</v>
      </c>
      <c r="AB128" s="5" t="str">
        <f>HYPERLINK("#'MCDM_Checks'!A"&amp;(MATCH("DS-123",MCDM_Checks!$B$6:$B$3733,0)+5),"Check evidence")</f>
        <v>Check evidence</v>
      </c>
      <c r="AC128" s="5" t="s">
        <v>1286</v>
      </c>
      <c r="AD128" s="5" t="s">
        <v>1448</v>
      </c>
      <c r="AE128" s="5" t="s">
        <v>1448</v>
      </c>
      <c r="AF128" s="5" t="s">
        <v>1449</v>
      </c>
    </row>
    <row r="129" spans="1:32" ht="38.25">
      <c r="A129" s="5" t="s">
        <v>1450</v>
      </c>
      <c r="B129" s="5" t="s">
        <v>1451</v>
      </c>
      <c r="C129" s="5"/>
      <c r="D129" s="5" t="s">
        <v>118</v>
      </c>
      <c r="E129" s="12">
        <f>INDEX(MCDM_Grades!$E$6:$E$238,MATCH(A129,MCDM_Grades!$A$6:$A$238,0))</f>
        <v>58.333333333333321</v>
      </c>
      <c r="F129" s="12">
        <f>INDEX(MCDM_Grades!$F$6:$F$238,MATCH(A129,MCDM_Grades!$A$6:$A$238,0))</f>
        <v>99.999999999999986</v>
      </c>
      <c r="G129" s="13">
        <f>INDEX(MCDM_Grades!$G$6:$G$238,MATCH(A129,MCDM_Grades!$A$6:$A$238,0))</f>
        <v>0.58333333333333337</v>
      </c>
      <c r="H129" s="5" t="str">
        <f>HYPERLINK("https://zenodo.org/records/19267189","Dataset")</f>
        <v>Dataset</v>
      </c>
      <c r="I129" s="5" t="str">
        <f>HYPERLINK("https://zenodo.org/records/19267189","Evidence / paper")</f>
        <v>Evidence / paper</v>
      </c>
      <c r="J129" s="5" t="s">
        <v>1452</v>
      </c>
      <c r="K129" s="5" t="s">
        <v>1453</v>
      </c>
      <c r="L129" s="5" t="s">
        <v>121</v>
      </c>
      <c r="M129" s="5" t="s">
        <v>1454</v>
      </c>
      <c r="N129" s="5" t="s">
        <v>1455</v>
      </c>
      <c r="O129" s="5" t="s">
        <v>1456</v>
      </c>
      <c r="P129" s="5" t="s">
        <v>1457</v>
      </c>
      <c r="Q129" s="5" t="s">
        <v>124</v>
      </c>
      <c r="R129" s="5" t="s">
        <v>121</v>
      </c>
      <c r="S129" s="5" t="s">
        <v>1458</v>
      </c>
      <c r="T129" s="5"/>
      <c r="U129" s="5" t="s">
        <v>1459</v>
      </c>
      <c r="V129" s="5" t="s">
        <v>1450</v>
      </c>
      <c r="W129" s="5" t="s">
        <v>127</v>
      </c>
      <c r="X129" s="5"/>
      <c r="Y129" s="5"/>
      <c r="Z129" s="5" t="s">
        <v>128</v>
      </c>
      <c r="AA129" s="5" t="str">
        <f>HYPERLINK("#'Manual_Review'!A"&amp;(MATCH("DS-124",Manual_Review!$A$6:$A$238,0)+5),"Enter review")</f>
        <v>Enter review</v>
      </c>
      <c r="AB129" s="5" t="str">
        <f>HYPERLINK("#'MCDM_Checks'!A"&amp;(MATCH("DS-124",MCDM_Checks!$B$6:$B$3733,0)+5),"Check evidence")</f>
        <v>Check evidence</v>
      </c>
      <c r="AC129" s="5" t="s">
        <v>1286</v>
      </c>
      <c r="AD129" s="5" t="s">
        <v>1460</v>
      </c>
      <c r="AE129" s="5" t="s">
        <v>1460</v>
      </c>
      <c r="AF129" s="5" t="s">
        <v>1461</v>
      </c>
    </row>
    <row r="130" spans="1:32" ht="25.5">
      <c r="A130" s="5" t="s">
        <v>1462</v>
      </c>
      <c r="B130" s="5" t="s">
        <v>1463</v>
      </c>
      <c r="C130" s="5"/>
      <c r="D130" s="5" t="s">
        <v>118</v>
      </c>
      <c r="E130" s="12">
        <f>INDEX(MCDM_Grades!$E$6:$E$238,MATCH(A130,MCDM_Grades!$A$6:$A$238,0))</f>
        <v>11.111111111111111</v>
      </c>
      <c r="F130" s="12">
        <f>INDEX(MCDM_Grades!$F$6:$F$238,MATCH(A130,MCDM_Grades!$A$6:$A$238,0))</f>
        <v>99.999999999999986</v>
      </c>
      <c r="G130" s="13">
        <f>INDEX(MCDM_Grades!$G$6:$G$238,MATCH(A130,MCDM_Grades!$A$6:$A$238,0))</f>
        <v>0.1111111111111111</v>
      </c>
      <c r="H130" s="5" t="str">
        <f>HYPERLINK("https://zenodo.org/records/15229291","Dataset")</f>
        <v>Dataset</v>
      </c>
      <c r="I130" s="5" t="str">
        <f>HYPERLINK("https://zenodo.org/records/15229291","Evidence / paper")</f>
        <v>Evidence / paper</v>
      </c>
      <c r="J130" s="5" t="s">
        <v>119</v>
      </c>
      <c r="K130" s="5" t="s">
        <v>120</v>
      </c>
      <c r="L130" s="5" t="s">
        <v>121</v>
      </c>
      <c r="M130" s="5" t="s">
        <v>121</v>
      </c>
      <c r="N130" s="5" t="s">
        <v>1464</v>
      </c>
      <c r="O130" s="5" t="s">
        <v>121</v>
      </c>
      <c r="P130" s="5" t="s">
        <v>121</v>
      </c>
      <c r="Q130" s="5" t="s">
        <v>159</v>
      </c>
      <c r="R130" s="5" t="s">
        <v>121</v>
      </c>
      <c r="S130" s="5" t="s">
        <v>1465</v>
      </c>
      <c r="T130" s="5"/>
      <c r="U130" s="5" t="s">
        <v>1466</v>
      </c>
      <c r="V130" s="5" t="s">
        <v>1462</v>
      </c>
      <c r="W130" s="5" t="s">
        <v>127</v>
      </c>
      <c r="X130" s="5"/>
      <c r="Y130" s="5"/>
      <c r="Z130" s="5" t="s">
        <v>128</v>
      </c>
      <c r="AA130" s="5" t="str">
        <f>HYPERLINK("#'Manual_Review'!A"&amp;(MATCH("DS-125",Manual_Review!$A$6:$A$238,0)+5),"Enter review")</f>
        <v>Enter review</v>
      </c>
      <c r="AB130" s="5" t="str">
        <f>HYPERLINK("#'MCDM_Checks'!A"&amp;(MATCH("DS-125",MCDM_Checks!$B$6:$B$3733,0)+5),"Check evidence")</f>
        <v>Check evidence</v>
      </c>
      <c r="AC130" s="5" t="s">
        <v>1286</v>
      </c>
      <c r="AD130" s="5" t="s">
        <v>1467</v>
      </c>
      <c r="AE130" s="5" t="s">
        <v>1467</v>
      </c>
      <c r="AF130" s="5" t="s">
        <v>1468</v>
      </c>
    </row>
    <row r="131" spans="1:32" ht="38.25">
      <c r="A131" s="5" t="s">
        <v>1469</v>
      </c>
      <c r="B131" s="5" t="s">
        <v>1470</v>
      </c>
      <c r="C131" s="5"/>
      <c r="D131" s="5" t="s">
        <v>118</v>
      </c>
      <c r="E131" s="12">
        <f>INDEX(MCDM_Grades!$E$6:$E$238,MATCH(A131,MCDM_Grades!$A$6:$A$238,0))</f>
        <v>58.333333333333321</v>
      </c>
      <c r="F131" s="12">
        <f>INDEX(MCDM_Grades!$F$6:$F$238,MATCH(A131,MCDM_Grades!$A$6:$A$238,0))</f>
        <v>99.999999999999986</v>
      </c>
      <c r="G131" s="13">
        <f>INDEX(MCDM_Grades!$G$6:$G$238,MATCH(A131,MCDM_Grades!$A$6:$A$238,0))</f>
        <v>0.58333333333333337</v>
      </c>
      <c r="H131" s="5" t="str">
        <f>HYPERLINK("https://zenodo.org/records/18208073","Dataset")</f>
        <v>Dataset</v>
      </c>
      <c r="I131" s="5" t="str">
        <f>HYPERLINK("https://zenodo.org/records/18208073","Evidence / paper")</f>
        <v>Evidence / paper</v>
      </c>
      <c r="J131" s="5" t="s">
        <v>121</v>
      </c>
      <c r="K131" s="5" t="s">
        <v>1471</v>
      </c>
      <c r="L131" s="5" t="s">
        <v>155</v>
      </c>
      <c r="M131" s="5" t="s">
        <v>1472</v>
      </c>
      <c r="N131" s="5" t="s">
        <v>1473</v>
      </c>
      <c r="O131" s="5" t="s">
        <v>1474</v>
      </c>
      <c r="P131" s="5" t="s">
        <v>1327</v>
      </c>
      <c r="Q131" s="5" t="s">
        <v>124</v>
      </c>
      <c r="R131" s="5" t="s">
        <v>1475</v>
      </c>
      <c r="S131" s="5" t="s">
        <v>1476</v>
      </c>
      <c r="T131" s="5"/>
      <c r="U131" s="5" t="s">
        <v>1477</v>
      </c>
      <c r="V131" s="5" t="s">
        <v>1469</v>
      </c>
      <c r="W131" s="5" t="s">
        <v>127</v>
      </c>
      <c r="X131" s="5"/>
      <c r="Y131" s="5"/>
      <c r="Z131" s="5" t="s">
        <v>128</v>
      </c>
      <c r="AA131" s="5" t="str">
        <f>HYPERLINK("#'Manual_Review'!A"&amp;(MATCH("DS-126",Manual_Review!$A$6:$A$238,0)+5),"Enter review")</f>
        <v>Enter review</v>
      </c>
      <c r="AB131" s="5" t="str">
        <f>HYPERLINK("#'MCDM_Checks'!A"&amp;(MATCH("DS-126",MCDM_Checks!$B$6:$B$3733,0)+5),"Check evidence")</f>
        <v>Check evidence</v>
      </c>
      <c r="AC131" s="5" t="s">
        <v>1286</v>
      </c>
      <c r="AD131" s="5" t="s">
        <v>1478</v>
      </c>
      <c r="AE131" s="5" t="s">
        <v>1478</v>
      </c>
      <c r="AF131" s="5" t="s">
        <v>1479</v>
      </c>
    </row>
    <row r="132" spans="1:32" ht="25.5">
      <c r="A132" s="5" t="s">
        <v>1480</v>
      </c>
      <c r="B132" s="5" t="s">
        <v>1481</v>
      </c>
      <c r="C132" s="5"/>
      <c r="D132" s="5" t="s">
        <v>118</v>
      </c>
      <c r="E132" s="12">
        <f>INDEX(MCDM_Grades!$E$6:$E$238,MATCH(A132,MCDM_Grades!$A$6:$A$238,0))</f>
        <v>49.999999999999993</v>
      </c>
      <c r="F132" s="12">
        <f>INDEX(MCDM_Grades!$F$6:$F$238,MATCH(A132,MCDM_Grades!$A$6:$A$238,0))</f>
        <v>99.999999999999986</v>
      </c>
      <c r="G132" s="13">
        <f>INDEX(MCDM_Grades!$G$6:$G$238,MATCH(A132,MCDM_Grades!$A$6:$A$238,0))</f>
        <v>0.5</v>
      </c>
      <c r="H132" s="5" t="str">
        <f>HYPERLINK("https://zenodo.org/records/20581123","Dataset")</f>
        <v>Dataset</v>
      </c>
      <c r="I132" s="5" t="str">
        <f>HYPERLINK("https://zenodo.org/records/20581123","Evidence / paper")</f>
        <v>Evidence / paper</v>
      </c>
      <c r="J132" s="5" t="s">
        <v>556</v>
      </c>
      <c r="K132" s="5" t="s">
        <v>1482</v>
      </c>
      <c r="L132" s="5" t="s">
        <v>155</v>
      </c>
      <c r="M132" s="5" t="s">
        <v>1313</v>
      </c>
      <c r="N132" s="5" t="s">
        <v>1483</v>
      </c>
      <c r="O132" s="5" t="s">
        <v>121</v>
      </c>
      <c r="P132" s="5" t="s">
        <v>1097</v>
      </c>
      <c r="Q132" s="5" t="s">
        <v>124</v>
      </c>
      <c r="R132" s="5" t="s">
        <v>1484</v>
      </c>
      <c r="S132" s="5" t="s">
        <v>121</v>
      </c>
      <c r="T132" s="5"/>
      <c r="U132" s="5" t="s">
        <v>1485</v>
      </c>
      <c r="V132" s="5" t="s">
        <v>1480</v>
      </c>
      <c r="W132" s="5" t="s">
        <v>127</v>
      </c>
      <c r="X132" s="5"/>
      <c r="Y132" s="5"/>
      <c r="Z132" s="5" t="s">
        <v>128</v>
      </c>
      <c r="AA132" s="5" t="str">
        <f>HYPERLINK("#'Manual_Review'!A"&amp;(MATCH("DS-127",Manual_Review!$A$6:$A$238,0)+5),"Enter review")</f>
        <v>Enter review</v>
      </c>
      <c r="AB132" s="5" t="str">
        <f>HYPERLINK("#'MCDM_Checks'!A"&amp;(MATCH("DS-127",MCDM_Checks!$B$6:$B$3733,0)+5),"Check evidence")</f>
        <v>Check evidence</v>
      </c>
      <c r="AC132" s="5" t="s">
        <v>1286</v>
      </c>
      <c r="AD132" s="5" t="s">
        <v>1486</v>
      </c>
      <c r="AE132" s="5" t="s">
        <v>1486</v>
      </c>
      <c r="AF132" s="5" t="s">
        <v>1487</v>
      </c>
    </row>
    <row r="133" spans="1:32" ht="38.25">
      <c r="A133" s="5" t="s">
        <v>1488</v>
      </c>
      <c r="B133" s="5" t="s">
        <v>1489</v>
      </c>
      <c r="C133" s="5"/>
      <c r="D133" s="5" t="s">
        <v>118</v>
      </c>
      <c r="E133" s="12">
        <f>INDEX(MCDM_Grades!$E$6:$E$238,MATCH(A133,MCDM_Grades!$A$6:$A$238,0))</f>
        <v>36.111111111111114</v>
      </c>
      <c r="F133" s="12">
        <f>INDEX(MCDM_Grades!$F$6:$F$238,MATCH(A133,MCDM_Grades!$A$6:$A$238,0))</f>
        <v>99.999999999999986</v>
      </c>
      <c r="G133" s="13">
        <f>INDEX(MCDM_Grades!$G$6:$G$238,MATCH(A133,MCDM_Grades!$A$6:$A$238,0))</f>
        <v>0.3611111111111111</v>
      </c>
      <c r="H133" s="5" t="str">
        <f>HYPERLINK("https://zenodo.org/records/7681876","Dataset")</f>
        <v>Dataset</v>
      </c>
      <c r="I133" s="5" t="str">
        <f>HYPERLINK("https://zenodo.org/records/7681876","Evidence / paper")</f>
        <v>Evidence / paper</v>
      </c>
      <c r="J133" s="5" t="s">
        <v>121</v>
      </c>
      <c r="K133" s="5" t="s">
        <v>1490</v>
      </c>
      <c r="L133" s="5" t="s">
        <v>121</v>
      </c>
      <c r="M133" s="5" t="s">
        <v>1491</v>
      </c>
      <c r="N133" s="5" t="s">
        <v>121</v>
      </c>
      <c r="O133" s="5" t="s">
        <v>121</v>
      </c>
      <c r="P133" s="5" t="s">
        <v>121</v>
      </c>
      <c r="Q133" s="5" t="s">
        <v>124</v>
      </c>
      <c r="R133" s="5" t="s">
        <v>121</v>
      </c>
      <c r="S133" s="5" t="s">
        <v>121</v>
      </c>
      <c r="T133" s="5"/>
      <c r="U133" s="5" t="s">
        <v>1492</v>
      </c>
      <c r="V133" s="5" t="s">
        <v>1488</v>
      </c>
      <c r="W133" s="5" t="s">
        <v>127</v>
      </c>
      <c r="X133" s="5"/>
      <c r="Y133" s="5"/>
      <c r="Z133" s="5" t="s">
        <v>128</v>
      </c>
      <c r="AA133" s="5" t="str">
        <f>HYPERLINK("#'Manual_Review'!A"&amp;(MATCH("DS-128",Manual_Review!$A$6:$A$238,0)+5),"Enter review")</f>
        <v>Enter review</v>
      </c>
      <c r="AB133" s="5" t="str">
        <f>HYPERLINK("#'MCDM_Checks'!A"&amp;(MATCH("DS-128",MCDM_Checks!$B$6:$B$3733,0)+5),"Check evidence")</f>
        <v>Check evidence</v>
      </c>
      <c r="AC133" s="5" t="s">
        <v>1286</v>
      </c>
      <c r="AD133" s="5" t="s">
        <v>1493</v>
      </c>
      <c r="AE133" s="5" t="s">
        <v>1493</v>
      </c>
      <c r="AF133" s="5" t="s">
        <v>1494</v>
      </c>
    </row>
    <row r="134" spans="1:32" ht="89.25">
      <c r="A134" s="5" t="s">
        <v>1495</v>
      </c>
      <c r="B134" s="5" t="s">
        <v>1496</v>
      </c>
      <c r="C134" s="5"/>
      <c r="D134" s="5" t="s">
        <v>118</v>
      </c>
      <c r="E134" s="12">
        <f>INDEX(MCDM_Grades!$E$6:$E$238,MATCH(A134,MCDM_Grades!$A$6:$A$238,0))</f>
        <v>72.222222222222214</v>
      </c>
      <c r="F134" s="12">
        <f>INDEX(MCDM_Grades!$F$6:$F$238,MATCH(A134,MCDM_Grades!$A$6:$A$238,0))</f>
        <v>99.999999999999986</v>
      </c>
      <c r="G134" s="13">
        <f>INDEX(MCDM_Grades!$G$6:$G$238,MATCH(A134,MCDM_Grades!$A$6:$A$238,0))</f>
        <v>0.72222222222222221</v>
      </c>
      <c r="H134" s="5" t="str">
        <f>HYPERLINK("https://zenodo.org/records/18528034","Dataset")</f>
        <v>Dataset</v>
      </c>
      <c r="I134" s="5" t="str">
        <f>HYPERLINK("https://zenodo.org/records/18528034","Evidence / paper")</f>
        <v>Evidence / paper</v>
      </c>
      <c r="J134" s="5" t="s">
        <v>1497</v>
      </c>
      <c r="K134" s="5" t="s">
        <v>1498</v>
      </c>
      <c r="L134" s="5" t="s">
        <v>155</v>
      </c>
      <c r="M134" s="5" t="s">
        <v>1499</v>
      </c>
      <c r="N134" s="5" t="s">
        <v>1500</v>
      </c>
      <c r="O134" s="5" t="s">
        <v>1501</v>
      </c>
      <c r="P134" s="5" t="s">
        <v>1502</v>
      </c>
      <c r="Q134" s="5" t="s">
        <v>1503</v>
      </c>
      <c r="R134" s="5" t="s">
        <v>1504</v>
      </c>
      <c r="S134" s="5" t="s">
        <v>1505</v>
      </c>
      <c r="T134" s="5"/>
      <c r="U134" s="5" t="s">
        <v>1506</v>
      </c>
      <c r="V134" s="5" t="s">
        <v>1495</v>
      </c>
      <c r="W134" s="5" t="s">
        <v>127</v>
      </c>
      <c r="X134" s="5" t="s">
        <v>1507</v>
      </c>
      <c r="Y134" s="5"/>
      <c r="Z134" s="5" t="s">
        <v>128</v>
      </c>
      <c r="AA134" s="5" t="str">
        <f>HYPERLINK("#'Manual_Review'!A"&amp;(MATCH("DS-129",Manual_Review!$A$6:$A$238,0)+5),"Enter review")</f>
        <v>Enter review</v>
      </c>
      <c r="AB134" s="5" t="str">
        <f>HYPERLINK("#'MCDM_Checks'!A"&amp;(MATCH("DS-129",MCDM_Checks!$B$6:$B$3733,0)+5),"Check evidence")</f>
        <v>Check evidence</v>
      </c>
      <c r="AC134" s="5" t="s">
        <v>1508</v>
      </c>
      <c r="AD134" s="5" t="s">
        <v>1509</v>
      </c>
      <c r="AE134" s="5" t="s">
        <v>1509</v>
      </c>
      <c r="AF134" s="5" t="s">
        <v>1510</v>
      </c>
    </row>
    <row r="135" spans="1:32" ht="38.25">
      <c r="A135" s="5" t="s">
        <v>1511</v>
      </c>
      <c r="B135" s="5" t="s">
        <v>1512</v>
      </c>
      <c r="C135" s="5"/>
      <c r="D135" s="5" t="s">
        <v>118</v>
      </c>
      <c r="E135" s="12">
        <f>INDEX(MCDM_Grades!$E$6:$E$238,MATCH(A135,MCDM_Grades!$A$6:$A$238,0))</f>
        <v>52.777777777777779</v>
      </c>
      <c r="F135" s="12">
        <f>INDEX(MCDM_Grades!$F$6:$F$238,MATCH(A135,MCDM_Grades!$A$6:$A$238,0))</f>
        <v>99.999999999999986</v>
      </c>
      <c r="G135" s="13">
        <f>INDEX(MCDM_Grades!$G$6:$G$238,MATCH(A135,MCDM_Grades!$A$6:$A$238,0))</f>
        <v>0.52777777777777779</v>
      </c>
      <c r="H135" s="5" t="str">
        <f>HYPERLINK("https://zenodo.org/records/21701636","Dataset")</f>
        <v>Dataset</v>
      </c>
      <c r="I135" s="5" t="str">
        <f>HYPERLINK("https://zenodo.org/records/21701636","Evidence / paper")</f>
        <v>Evidence / paper</v>
      </c>
      <c r="J135" s="5" t="s">
        <v>1407</v>
      </c>
      <c r="K135" s="5" t="s">
        <v>1513</v>
      </c>
      <c r="L135" s="5" t="s">
        <v>155</v>
      </c>
      <c r="M135" s="5" t="s">
        <v>121</v>
      </c>
      <c r="N135" s="5" t="s">
        <v>1514</v>
      </c>
      <c r="O135" s="5" t="s">
        <v>1515</v>
      </c>
      <c r="P135" s="5" t="s">
        <v>1097</v>
      </c>
      <c r="Q135" s="5" t="s">
        <v>159</v>
      </c>
      <c r="R135" s="5" t="s">
        <v>1516</v>
      </c>
      <c r="S135" s="5" t="s">
        <v>1517</v>
      </c>
      <c r="T135" s="5"/>
      <c r="U135" s="5" t="s">
        <v>1518</v>
      </c>
      <c r="V135" s="5" t="s">
        <v>1511</v>
      </c>
      <c r="W135" s="5" t="s">
        <v>127</v>
      </c>
      <c r="X135" s="5"/>
      <c r="Y135" s="5"/>
      <c r="Z135" s="5" t="s">
        <v>128</v>
      </c>
      <c r="AA135" s="5" t="str">
        <f>HYPERLINK("#'Manual_Review'!A"&amp;(MATCH("DS-130",Manual_Review!$A$6:$A$238,0)+5),"Enter review")</f>
        <v>Enter review</v>
      </c>
      <c r="AB135" s="5" t="str">
        <f>HYPERLINK("#'MCDM_Checks'!A"&amp;(MATCH("DS-130",MCDM_Checks!$B$6:$B$3733,0)+5),"Check evidence")</f>
        <v>Check evidence</v>
      </c>
      <c r="AC135" s="5" t="s">
        <v>1286</v>
      </c>
      <c r="AD135" s="5" t="s">
        <v>1519</v>
      </c>
      <c r="AE135" s="5" t="s">
        <v>1519</v>
      </c>
      <c r="AF135" s="5" t="s">
        <v>1520</v>
      </c>
    </row>
    <row r="136" spans="1:32" ht="63.75">
      <c r="A136" s="5" t="s">
        <v>1521</v>
      </c>
      <c r="B136" s="5" t="s">
        <v>1522</v>
      </c>
      <c r="C136" s="5"/>
      <c r="D136" s="5" t="s">
        <v>118</v>
      </c>
      <c r="E136" s="12">
        <f>INDEX(MCDM_Grades!$E$6:$E$238,MATCH(A136,MCDM_Grades!$A$6:$A$238,0))</f>
        <v>61.111111111111107</v>
      </c>
      <c r="F136" s="12">
        <f>INDEX(MCDM_Grades!$F$6:$F$238,MATCH(A136,MCDM_Grades!$A$6:$A$238,0))</f>
        <v>99.999999999999986</v>
      </c>
      <c r="G136" s="13">
        <f>INDEX(MCDM_Grades!$G$6:$G$238,MATCH(A136,MCDM_Grades!$A$6:$A$238,0))</f>
        <v>0.61111111111111105</v>
      </c>
      <c r="H136" s="5" t="str">
        <f>HYPERLINK("https://zenodo.org/records/17194814","Dataset")</f>
        <v>Dataset</v>
      </c>
      <c r="I136" s="5" t="str">
        <f>HYPERLINK("https://zenodo.org/records/17194814","Evidence / paper")</f>
        <v>Evidence / paper</v>
      </c>
      <c r="J136" s="5" t="s">
        <v>119</v>
      </c>
      <c r="K136" s="5" t="s">
        <v>1523</v>
      </c>
      <c r="L136" s="5" t="s">
        <v>155</v>
      </c>
      <c r="M136" s="5" t="s">
        <v>1524</v>
      </c>
      <c r="N136" s="5" t="s">
        <v>1525</v>
      </c>
      <c r="O136" s="5" t="s">
        <v>1526</v>
      </c>
      <c r="P136" s="5" t="s">
        <v>1527</v>
      </c>
      <c r="Q136" s="5" t="s">
        <v>124</v>
      </c>
      <c r="R136" s="5" t="s">
        <v>1528</v>
      </c>
      <c r="S136" s="5" t="s">
        <v>1529</v>
      </c>
      <c r="T136" s="5"/>
      <c r="U136" s="5" t="s">
        <v>1530</v>
      </c>
      <c r="V136" s="5" t="s">
        <v>1521</v>
      </c>
      <c r="W136" s="5" t="s">
        <v>127</v>
      </c>
      <c r="X136" s="5"/>
      <c r="Y136" s="5"/>
      <c r="Z136" s="5" t="s">
        <v>128</v>
      </c>
      <c r="AA136" s="5" t="str">
        <f>HYPERLINK("#'Manual_Review'!A"&amp;(MATCH("DS-131",Manual_Review!$A$6:$A$238,0)+5),"Enter review")</f>
        <v>Enter review</v>
      </c>
      <c r="AB136" s="5" t="str">
        <f>HYPERLINK("#'MCDM_Checks'!A"&amp;(MATCH("DS-131",MCDM_Checks!$B$6:$B$3733,0)+5),"Check evidence")</f>
        <v>Check evidence</v>
      </c>
      <c r="AC136" s="5" t="s">
        <v>1286</v>
      </c>
      <c r="AD136" s="5" t="s">
        <v>1531</v>
      </c>
      <c r="AE136" s="5" t="s">
        <v>1531</v>
      </c>
      <c r="AF136" s="5" t="s">
        <v>1532</v>
      </c>
    </row>
    <row r="137" spans="1:32" ht="76.5">
      <c r="A137" s="5" t="s">
        <v>1533</v>
      </c>
      <c r="B137" s="5" t="s">
        <v>1534</v>
      </c>
      <c r="C137" s="5"/>
      <c r="D137" s="5" t="s">
        <v>118</v>
      </c>
      <c r="E137" s="12">
        <f>INDEX(MCDM_Grades!$E$6:$E$238,MATCH(A137,MCDM_Grades!$A$6:$A$238,0))</f>
        <v>72.222222222222214</v>
      </c>
      <c r="F137" s="12">
        <f>INDEX(MCDM_Grades!$F$6:$F$238,MATCH(A137,MCDM_Grades!$A$6:$A$238,0))</f>
        <v>99.999999999999986</v>
      </c>
      <c r="G137" s="13">
        <f>INDEX(MCDM_Grades!$G$6:$G$238,MATCH(A137,MCDM_Grades!$A$6:$A$238,0))</f>
        <v>0.7222222222222221</v>
      </c>
      <c r="H137" s="5" t="str">
        <f>HYPERLINK("https://zenodo.org/records/17952339","Dataset")</f>
        <v>Dataset</v>
      </c>
      <c r="I137" s="5" t="str">
        <f>HYPERLINK("https://zenodo.org/records/17952339","Evidence / paper")</f>
        <v>Evidence / paper</v>
      </c>
      <c r="J137" s="5" t="s">
        <v>119</v>
      </c>
      <c r="K137" s="5" t="s">
        <v>1535</v>
      </c>
      <c r="L137" s="5" t="s">
        <v>155</v>
      </c>
      <c r="M137" s="5" t="s">
        <v>1536</v>
      </c>
      <c r="N137" s="5" t="s">
        <v>1537</v>
      </c>
      <c r="O137" s="5" t="s">
        <v>1538</v>
      </c>
      <c r="P137" s="5" t="s">
        <v>1327</v>
      </c>
      <c r="Q137" s="5" t="s">
        <v>124</v>
      </c>
      <c r="R137" s="5" t="s">
        <v>695</v>
      </c>
      <c r="S137" s="5" t="s">
        <v>1539</v>
      </c>
      <c r="T137" s="5"/>
      <c r="U137" s="5" t="s">
        <v>1540</v>
      </c>
      <c r="V137" s="5" t="s">
        <v>1533</v>
      </c>
      <c r="W137" s="5" t="s">
        <v>127</v>
      </c>
      <c r="X137" s="5" t="s">
        <v>905</v>
      </c>
      <c r="Y137" s="5"/>
      <c r="Z137" s="5" t="s">
        <v>128</v>
      </c>
      <c r="AA137" s="5" t="str">
        <f>HYPERLINK("#'Manual_Review'!A"&amp;(MATCH("DS-132",Manual_Review!$A$6:$A$238,0)+5),"Enter review")</f>
        <v>Enter review</v>
      </c>
      <c r="AB137" s="5" t="str">
        <f>HYPERLINK("#'MCDM_Checks'!A"&amp;(MATCH("DS-132",MCDM_Checks!$B$6:$B$3733,0)+5),"Check evidence")</f>
        <v>Check evidence</v>
      </c>
      <c r="AC137" s="5" t="s">
        <v>1286</v>
      </c>
      <c r="AD137" s="5" t="s">
        <v>1541</v>
      </c>
      <c r="AE137" s="5" t="s">
        <v>1541</v>
      </c>
      <c r="AF137" s="5" t="s">
        <v>1542</v>
      </c>
    </row>
    <row r="138" spans="1:32" ht="38.25">
      <c r="A138" s="5" t="s">
        <v>1543</v>
      </c>
      <c r="B138" s="5" t="s">
        <v>1544</v>
      </c>
      <c r="C138" s="5"/>
      <c r="D138" s="5" t="s">
        <v>118</v>
      </c>
      <c r="E138" s="12">
        <f>INDEX(MCDM_Grades!$E$6:$E$238,MATCH(A138,MCDM_Grades!$A$6:$A$238,0))</f>
        <v>83.333333333333314</v>
      </c>
      <c r="F138" s="12">
        <f>INDEX(MCDM_Grades!$F$6:$F$238,MATCH(A138,MCDM_Grades!$A$6:$A$238,0))</f>
        <v>99.999999999999986</v>
      </c>
      <c r="G138" s="13">
        <f>INDEX(MCDM_Grades!$G$6:$G$238,MATCH(A138,MCDM_Grades!$A$6:$A$238,0))</f>
        <v>0.83333333333333326</v>
      </c>
      <c r="H138" s="5" t="str">
        <f>HYPERLINK("https://zenodo.org/records/20687211","Dataset")</f>
        <v>Dataset</v>
      </c>
      <c r="I138" s="5" t="str">
        <f>HYPERLINK("https://zenodo.org/records/20687211","Evidence / paper")</f>
        <v>Evidence / paper</v>
      </c>
      <c r="J138" s="5" t="s">
        <v>121</v>
      </c>
      <c r="K138" s="5" t="s">
        <v>1545</v>
      </c>
      <c r="L138" s="5" t="s">
        <v>155</v>
      </c>
      <c r="M138" s="5" t="s">
        <v>1546</v>
      </c>
      <c r="N138" s="5" t="s">
        <v>1547</v>
      </c>
      <c r="O138" s="5" t="s">
        <v>1548</v>
      </c>
      <c r="P138" s="5" t="s">
        <v>1097</v>
      </c>
      <c r="Q138" s="5" t="s">
        <v>124</v>
      </c>
      <c r="R138" s="5" t="s">
        <v>1549</v>
      </c>
      <c r="S138" s="5" t="s">
        <v>1550</v>
      </c>
      <c r="T138" s="5"/>
      <c r="U138" s="5" t="s">
        <v>1551</v>
      </c>
      <c r="V138" s="5" t="s">
        <v>1543</v>
      </c>
      <c r="W138" s="5" t="s">
        <v>127</v>
      </c>
      <c r="X138" s="5"/>
      <c r="Y138" s="5"/>
      <c r="Z138" s="5" t="s">
        <v>128</v>
      </c>
      <c r="AA138" s="5" t="str">
        <f>HYPERLINK("#'Manual_Review'!A"&amp;(MATCH("DS-133",Manual_Review!$A$6:$A$238,0)+5),"Enter review")</f>
        <v>Enter review</v>
      </c>
      <c r="AB138" s="5" t="str">
        <f>HYPERLINK("#'MCDM_Checks'!A"&amp;(MATCH("DS-133",MCDM_Checks!$B$6:$B$3733,0)+5),"Check evidence")</f>
        <v>Check evidence</v>
      </c>
      <c r="AC138" s="5" t="s">
        <v>1286</v>
      </c>
      <c r="AD138" s="5" t="s">
        <v>1552</v>
      </c>
      <c r="AE138" s="5" t="s">
        <v>1552</v>
      </c>
      <c r="AF138" s="5" t="s">
        <v>1553</v>
      </c>
    </row>
    <row r="139" spans="1:32" ht="63.75">
      <c r="A139" s="5" t="s">
        <v>1554</v>
      </c>
      <c r="B139" s="5" t="s">
        <v>1555</v>
      </c>
      <c r="C139" s="5"/>
      <c r="D139" s="5" t="s">
        <v>118</v>
      </c>
      <c r="E139" s="12">
        <f>INDEX(MCDM_Grades!$E$6:$E$238,MATCH(A139,MCDM_Grades!$A$6:$A$238,0))</f>
        <v>69.444444444444429</v>
      </c>
      <c r="F139" s="12">
        <f>INDEX(MCDM_Grades!$F$6:$F$238,MATCH(A139,MCDM_Grades!$A$6:$A$238,0))</f>
        <v>99.999999999999986</v>
      </c>
      <c r="G139" s="13">
        <f>INDEX(MCDM_Grades!$G$6:$G$238,MATCH(A139,MCDM_Grades!$A$6:$A$238,0))</f>
        <v>0.69444444444444442</v>
      </c>
      <c r="H139" s="5" t="str">
        <f>HYPERLINK("https://zenodo.org/records/11473582","Dataset")</f>
        <v>Dataset</v>
      </c>
      <c r="I139" s="5" t="str">
        <f>HYPERLINK("https://zenodo.org/records/11473582","Evidence / paper")</f>
        <v>Evidence / paper</v>
      </c>
      <c r="J139" s="5" t="s">
        <v>1556</v>
      </c>
      <c r="K139" s="5" t="s">
        <v>1557</v>
      </c>
      <c r="L139" s="5" t="s">
        <v>155</v>
      </c>
      <c r="M139" s="5" t="s">
        <v>1558</v>
      </c>
      <c r="N139" s="5" t="s">
        <v>1559</v>
      </c>
      <c r="O139" s="5" t="s">
        <v>1560</v>
      </c>
      <c r="P139" s="5" t="s">
        <v>1327</v>
      </c>
      <c r="Q139" s="5" t="s">
        <v>124</v>
      </c>
      <c r="R139" s="5" t="s">
        <v>1561</v>
      </c>
      <c r="S139" s="5" t="s">
        <v>1562</v>
      </c>
      <c r="T139" s="5"/>
      <c r="U139" s="5" t="s">
        <v>1563</v>
      </c>
      <c r="V139" s="5" t="s">
        <v>1554</v>
      </c>
      <c r="W139" s="5" t="s">
        <v>127</v>
      </c>
      <c r="X139" s="5"/>
      <c r="Y139" s="5"/>
      <c r="Z139" s="5" t="s">
        <v>128</v>
      </c>
      <c r="AA139" s="5" t="str">
        <f>HYPERLINK("#'Manual_Review'!A"&amp;(MATCH("DS-134",Manual_Review!$A$6:$A$238,0)+5),"Enter review")</f>
        <v>Enter review</v>
      </c>
      <c r="AB139" s="5" t="str">
        <f>HYPERLINK("#'MCDM_Checks'!A"&amp;(MATCH("DS-134",MCDM_Checks!$B$6:$B$3733,0)+5),"Check evidence")</f>
        <v>Check evidence</v>
      </c>
      <c r="AC139" s="5" t="s">
        <v>1286</v>
      </c>
      <c r="AD139" s="5" t="s">
        <v>1564</v>
      </c>
      <c r="AE139" s="5" t="s">
        <v>1564</v>
      </c>
      <c r="AF139" s="5" t="s">
        <v>1565</v>
      </c>
    </row>
    <row r="140" spans="1:32" ht="76.5">
      <c r="A140" s="5" t="s">
        <v>53</v>
      </c>
      <c r="B140" s="5" t="s">
        <v>1566</v>
      </c>
      <c r="C140" s="5">
        <v>6</v>
      </c>
      <c r="D140" s="5" t="s">
        <v>118</v>
      </c>
      <c r="E140" s="12">
        <f>INDEX(MCDM_Grades!$E$6:$E$238,MATCH(A140,MCDM_Grades!$A$6:$A$238,0))</f>
        <v>99.999999999999986</v>
      </c>
      <c r="F140" s="12">
        <f>INDEX(MCDM_Grades!$F$6:$F$238,MATCH(A140,MCDM_Grades!$A$6:$A$238,0))</f>
        <v>99.999999999999986</v>
      </c>
      <c r="G140" s="13">
        <f>INDEX(MCDM_Grades!$G$6:$G$238,MATCH(A140,MCDM_Grades!$A$6:$A$238,0))</f>
        <v>0.99999999999999989</v>
      </c>
      <c r="H140" s="5" t="str">
        <f>HYPERLINK("https://zenodo.org/records/8429208","Dataset")</f>
        <v>Dataset</v>
      </c>
      <c r="I140" s="5" t="str">
        <f>HYPERLINK("https://doi.org/10.1016/j.dib.2023.109692","Evidence / paper")</f>
        <v>Evidence / paper</v>
      </c>
      <c r="J140" s="5" t="s">
        <v>58</v>
      </c>
      <c r="K140" s="5" t="s">
        <v>1567</v>
      </c>
      <c r="L140" s="5" t="s">
        <v>155</v>
      </c>
      <c r="M140" s="5" t="s">
        <v>1568</v>
      </c>
      <c r="N140" s="5" t="s">
        <v>1569</v>
      </c>
      <c r="O140" s="5" t="s">
        <v>1570</v>
      </c>
      <c r="P140" s="5" t="s">
        <v>1327</v>
      </c>
      <c r="Q140" s="5" t="s">
        <v>124</v>
      </c>
      <c r="R140" s="5" t="s">
        <v>1571</v>
      </c>
      <c r="S140" s="5" t="s">
        <v>1572</v>
      </c>
      <c r="T140" s="5"/>
      <c r="U140" s="5" t="s">
        <v>1573</v>
      </c>
      <c r="V140" s="5" t="s">
        <v>53</v>
      </c>
      <c r="W140" s="5" t="s">
        <v>127</v>
      </c>
      <c r="X140" s="5" t="s">
        <v>1574</v>
      </c>
      <c r="Y140" s="5" t="s">
        <v>59</v>
      </c>
      <c r="Z140" s="5" t="s">
        <v>206</v>
      </c>
      <c r="AA140" s="5" t="str">
        <f>HYPERLINK("#'Manual_Review'!A"&amp;(MATCH("DS-135",Manual_Review!$A$6:$A$238,0)+5),"Enter review")</f>
        <v>Enter review</v>
      </c>
      <c r="AB140" s="5" t="str">
        <f>HYPERLINK("#'MCDM_Checks'!A"&amp;(MATCH("DS-135",MCDM_Checks!$B$6:$B$3733,0)+5),"Check evidence")</f>
        <v>Check evidence</v>
      </c>
      <c r="AC140" s="5" t="s">
        <v>1286</v>
      </c>
      <c r="AD140" s="5" t="s">
        <v>1575</v>
      </c>
      <c r="AE140" s="5" t="s">
        <v>1576</v>
      </c>
      <c r="AF140" s="5" t="s">
        <v>1577</v>
      </c>
    </row>
    <row r="141" spans="1:32" ht="25.5">
      <c r="A141" s="5" t="s">
        <v>1578</v>
      </c>
      <c r="B141" s="5" t="s">
        <v>1579</v>
      </c>
      <c r="C141" s="5"/>
      <c r="D141" s="5" t="s">
        <v>118</v>
      </c>
      <c r="E141" s="12">
        <f>INDEX(MCDM_Grades!$E$6:$E$238,MATCH(A141,MCDM_Grades!$A$6:$A$238,0))</f>
        <v>44.444444444444443</v>
      </c>
      <c r="F141" s="12">
        <f>INDEX(MCDM_Grades!$F$6:$F$238,MATCH(A141,MCDM_Grades!$A$6:$A$238,0))</f>
        <v>99.999999999999986</v>
      </c>
      <c r="G141" s="13">
        <f>INDEX(MCDM_Grades!$G$6:$G$238,MATCH(A141,MCDM_Grades!$A$6:$A$238,0))</f>
        <v>0.44444444444444442</v>
      </c>
      <c r="H141" s="5" t="str">
        <f>HYPERLINK("https://zenodo.org/records/4244084","Dataset")</f>
        <v>Dataset</v>
      </c>
      <c r="I141" s="5" t="str">
        <f>HYPERLINK("https://zenodo.org/records/4244084","Evidence / paper")</f>
        <v>Evidence / paper</v>
      </c>
      <c r="J141" s="5" t="s">
        <v>119</v>
      </c>
      <c r="K141" s="5" t="s">
        <v>1580</v>
      </c>
      <c r="L141" s="5" t="s">
        <v>121</v>
      </c>
      <c r="M141" s="5" t="s">
        <v>1581</v>
      </c>
      <c r="N141" s="5" t="s">
        <v>1582</v>
      </c>
      <c r="O141" s="5" t="s">
        <v>1583</v>
      </c>
      <c r="P141" s="5" t="s">
        <v>121</v>
      </c>
      <c r="Q141" s="5" t="s">
        <v>124</v>
      </c>
      <c r="R141" s="5" t="s">
        <v>121</v>
      </c>
      <c r="S141" s="5" t="s">
        <v>1584</v>
      </c>
      <c r="T141" s="5"/>
      <c r="U141" s="5" t="s">
        <v>1585</v>
      </c>
      <c r="V141" s="5" t="s">
        <v>1578</v>
      </c>
      <c r="W141" s="5" t="s">
        <v>127</v>
      </c>
      <c r="X141" s="5"/>
      <c r="Y141" s="5"/>
      <c r="Z141" s="5" t="s">
        <v>128</v>
      </c>
      <c r="AA141" s="5" t="str">
        <f>HYPERLINK("#'Manual_Review'!A"&amp;(MATCH("DS-136",Manual_Review!$A$6:$A$238,0)+5),"Enter review")</f>
        <v>Enter review</v>
      </c>
      <c r="AB141" s="5" t="str">
        <f>HYPERLINK("#'MCDM_Checks'!A"&amp;(MATCH("DS-136",MCDM_Checks!$B$6:$B$3733,0)+5),"Check evidence")</f>
        <v>Check evidence</v>
      </c>
      <c r="AC141" s="5" t="s">
        <v>1286</v>
      </c>
      <c r="AD141" s="5" t="s">
        <v>1586</v>
      </c>
      <c r="AE141" s="5" t="s">
        <v>1586</v>
      </c>
      <c r="AF141" s="5" t="s">
        <v>1587</v>
      </c>
    </row>
    <row r="142" spans="1:32" ht="63.75">
      <c r="A142" s="5" t="s">
        <v>1588</v>
      </c>
      <c r="B142" s="5" t="s">
        <v>1589</v>
      </c>
      <c r="C142" s="5"/>
      <c r="D142" s="5" t="s">
        <v>118</v>
      </c>
      <c r="E142" s="12">
        <f>INDEX(MCDM_Grades!$E$6:$E$238,MATCH(A142,MCDM_Grades!$A$6:$A$238,0))</f>
        <v>61.111111111111107</v>
      </c>
      <c r="F142" s="12">
        <f>INDEX(MCDM_Grades!$F$6:$F$238,MATCH(A142,MCDM_Grades!$A$6:$A$238,0))</f>
        <v>99.999999999999986</v>
      </c>
      <c r="G142" s="13">
        <f>INDEX(MCDM_Grades!$G$6:$G$238,MATCH(A142,MCDM_Grades!$A$6:$A$238,0))</f>
        <v>0.61111111111111105</v>
      </c>
      <c r="H142" s="5" t="str">
        <f>HYPERLINK("https://zenodo.org/records/20365503","Dataset")</f>
        <v>Dataset</v>
      </c>
      <c r="I142" s="5" t="str">
        <f>HYPERLINK("https://zenodo.org/records/20365503","Evidence / paper")</f>
        <v>Evidence / paper</v>
      </c>
      <c r="J142" s="5" t="s">
        <v>1590</v>
      </c>
      <c r="K142" s="5" t="s">
        <v>1591</v>
      </c>
      <c r="L142" s="5" t="s">
        <v>121</v>
      </c>
      <c r="M142" s="5" t="s">
        <v>1592</v>
      </c>
      <c r="N142" s="5" t="s">
        <v>1593</v>
      </c>
      <c r="O142" s="5" t="s">
        <v>1594</v>
      </c>
      <c r="P142" s="5" t="s">
        <v>1595</v>
      </c>
      <c r="Q142" s="5" t="s">
        <v>871</v>
      </c>
      <c r="R142" s="5" t="s">
        <v>121</v>
      </c>
      <c r="S142" s="5" t="s">
        <v>121</v>
      </c>
      <c r="T142" s="5"/>
      <c r="U142" s="5" t="s">
        <v>1596</v>
      </c>
      <c r="V142" s="5" t="s">
        <v>1588</v>
      </c>
      <c r="W142" s="5" t="s">
        <v>127</v>
      </c>
      <c r="X142" s="5"/>
      <c r="Y142" s="5"/>
      <c r="Z142" s="5" t="s">
        <v>128</v>
      </c>
      <c r="AA142" s="5" t="str">
        <f>HYPERLINK("#'Manual_Review'!A"&amp;(MATCH("DS-137",Manual_Review!$A$6:$A$238,0)+5),"Enter review")</f>
        <v>Enter review</v>
      </c>
      <c r="AB142" s="5" t="str">
        <f>HYPERLINK("#'MCDM_Checks'!A"&amp;(MATCH("DS-137",MCDM_Checks!$B$6:$B$3733,0)+5),"Check evidence")</f>
        <v>Check evidence</v>
      </c>
      <c r="AC142" s="5" t="s">
        <v>1508</v>
      </c>
      <c r="AD142" s="5" t="s">
        <v>1597</v>
      </c>
      <c r="AE142" s="5" t="s">
        <v>1597</v>
      </c>
      <c r="AF142" s="5" t="s">
        <v>1598</v>
      </c>
    </row>
    <row r="143" spans="1:32" ht="25.5">
      <c r="A143" s="5" t="s">
        <v>1599</v>
      </c>
      <c r="B143" s="5" t="s">
        <v>1600</v>
      </c>
      <c r="C143" s="5"/>
      <c r="D143" s="5" t="s">
        <v>118</v>
      </c>
      <c r="E143" s="12">
        <f>INDEX(MCDM_Grades!$E$6:$E$238,MATCH(A143,MCDM_Grades!$A$6:$A$238,0))</f>
        <v>52.777777777777786</v>
      </c>
      <c r="F143" s="12">
        <f>INDEX(MCDM_Grades!$F$6:$F$238,MATCH(A143,MCDM_Grades!$A$6:$A$238,0))</f>
        <v>99.999999999999986</v>
      </c>
      <c r="G143" s="13">
        <f>INDEX(MCDM_Grades!$G$6:$G$238,MATCH(A143,MCDM_Grades!$A$6:$A$238,0))</f>
        <v>0.52777777777777768</v>
      </c>
      <c r="H143" s="5" t="str">
        <f>HYPERLINK("https://www.kaggle.com/datasets/chitholian/annotated-potholes-dataset","Dataset")</f>
        <v>Dataset</v>
      </c>
      <c r="I143" s="5" t="str">
        <f>HYPERLINK("https://www.kaggle.com/datasets/chitholian/annotated-potholes-dataset","Evidence / paper")</f>
        <v>Evidence / paper</v>
      </c>
      <c r="J143" s="5" t="s">
        <v>1601</v>
      </c>
      <c r="K143" s="5" t="s">
        <v>332</v>
      </c>
      <c r="L143" s="5" t="s">
        <v>121</v>
      </c>
      <c r="M143" s="5" t="s">
        <v>121</v>
      </c>
      <c r="N143" s="5" t="s">
        <v>1602</v>
      </c>
      <c r="O143" s="5" t="s">
        <v>1603</v>
      </c>
      <c r="P143" s="5" t="s">
        <v>1604</v>
      </c>
      <c r="Q143" s="5" t="s">
        <v>287</v>
      </c>
      <c r="R143" s="5" t="s">
        <v>121</v>
      </c>
      <c r="S143" s="5" t="s">
        <v>121</v>
      </c>
      <c r="T143" s="5"/>
      <c r="U143" s="5" t="s">
        <v>1605</v>
      </c>
      <c r="V143" s="5" t="s">
        <v>1599</v>
      </c>
      <c r="W143" s="5" t="s">
        <v>127</v>
      </c>
      <c r="X143" s="5" t="s">
        <v>1606</v>
      </c>
      <c r="Y143" s="5"/>
      <c r="Z143" s="5" t="s">
        <v>128</v>
      </c>
      <c r="AA143" s="5" t="str">
        <f>HYPERLINK("#'Manual_Review'!A"&amp;(MATCH("DS-138",Manual_Review!$A$6:$A$238,0)+5),"Enter review")</f>
        <v>Enter review</v>
      </c>
      <c r="AB143" s="5" t="str">
        <f>HYPERLINK("#'MCDM_Checks'!A"&amp;(MATCH("DS-138",MCDM_Checks!$B$6:$B$3733,0)+5),"Check evidence")</f>
        <v>Check evidence</v>
      </c>
      <c r="AC143" s="5" t="s">
        <v>1607</v>
      </c>
      <c r="AD143" s="5" t="s">
        <v>1608</v>
      </c>
      <c r="AE143" s="5" t="s">
        <v>1608</v>
      </c>
      <c r="AF143" s="5" t="s">
        <v>1609</v>
      </c>
    </row>
    <row r="144" spans="1:32" ht="51">
      <c r="A144" s="5" t="s">
        <v>1610</v>
      </c>
      <c r="B144" s="5" t="s">
        <v>1611</v>
      </c>
      <c r="C144" s="5"/>
      <c r="D144" s="5" t="s">
        <v>118</v>
      </c>
      <c r="E144" s="12">
        <f>INDEX(MCDM_Grades!$E$6:$E$238,MATCH(A144,MCDM_Grades!$A$6:$A$238,0))</f>
        <v>66.666666666666657</v>
      </c>
      <c r="F144" s="12">
        <f>INDEX(MCDM_Grades!$F$6:$F$238,MATCH(A144,MCDM_Grades!$A$6:$A$238,0))</f>
        <v>99.999999999999986</v>
      </c>
      <c r="G144" s="13">
        <f>INDEX(MCDM_Grades!$G$6:$G$238,MATCH(A144,MCDM_Grades!$A$6:$A$238,0))</f>
        <v>0.66666666666666663</v>
      </c>
      <c r="H144" s="5" t="str">
        <f>HYPERLINK("https://www.kaggle.com/datasets/idanbaru/annotated-potholes-with-severity-levels","Dataset")</f>
        <v>Dataset</v>
      </c>
      <c r="I144" s="5" t="str">
        <f>HYPERLINK("https://www.kaggle.com/datasets/idanbaru/annotated-potholes-with-severity-levels","Evidence / paper")</f>
        <v>Evidence / paper</v>
      </c>
      <c r="J144" s="5" t="s">
        <v>1601</v>
      </c>
      <c r="K144" s="5" t="s">
        <v>1612</v>
      </c>
      <c r="L144" s="5" t="s">
        <v>155</v>
      </c>
      <c r="M144" s="5" t="s">
        <v>1613</v>
      </c>
      <c r="N144" s="5" t="s">
        <v>1614</v>
      </c>
      <c r="O144" s="5" t="s">
        <v>1615</v>
      </c>
      <c r="P144" s="5" t="s">
        <v>1616</v>
      </c>
      <c r="Q144" s="5" t="s">
        <v>287</v>
      </c>
      <c r="R144" s="5" t="s">
        <v>1617</v>
      </c>
      <c r="S144" s="5" t="s">
        <v>1618</v>
      </c>
      <c r="T144" s="5"/>
      <c r="U144" s="5" t="s">
        <v>1619</v>
      </c>
      <c r="V144" s="5" t="s">
        <v>1610</v>
      </c>
      <c r="W144" s="5" t="s">
        <v>127</v>
      </c>
      <c r="X144" s="5"/>
      <c r="Y144" s="5"/>
      <c r="Z144" s="5" t="s">
        <v>128</v>
      </c>
      <c r="AA144" s="5" t="str">
        <f>HYPERLINK("#'Manual_Review'!A"&amp;(MATCH("DS-139",Manual_Review!$A$6:$A$238,0)+5),"Enter review")</f>
        <v>Enter review</v>
      </c>
      <c r="AB144" s="5" t="str">
        <f>HYPERLINK("#'MCDM_Checks'!A"&amp;(MATCH("DS-139",MCDM_Checks!$B$6:$B$3733,0)+5),"Check evidence")</f>
        <v>Check evidence</v>
      </c>
      <c r="AC144" s="5" t="s">
        <v>1607</v>
      </c>
      <c r="AD144" s="5" t="s">
        <v>1620</v>
      </c>
      <c r="AE144" s="5" t="s">
        <v>1620</v>
      </c>
      <c r="AF144" s="5" t="s">
        <v>1621</v>
      </c>
    </row>
    <row r="145" spans="1:32" ht="25.5">
      <c r="A145" s="5" t="s">
        <v>1622</v>
      </c>
      <c r="B145" s="5" t="s">
        <v>1623</v>
      </c>
      <c r="C145" s="5"/>
      <c r="D145" s="5" t="s">
        <v>118</v>
      </c>
      <c r="E145" s="12">
        <f>INDEX(MCDM_Grades!$E$6:$E$238,MATCH(A145,MCDM_Grades!$A$6:$A$238,0))</f>
        <v>11.111111111111111</v>
      </c>
      <c r="F145" s="12">
        <f>INDEX(MCDM_Grades!$F$6:$F$238,MATCH(A145,MCDM_Grades!$A$6:$A$238,0))</f>
        <v>99.999999999999986</v>
      </c>
      <c r="G145" s="13">
        <f>INDEX(MCDM_Grades!$G$6:$G$238,MATCH(A145,MCDM_Grades!$A$6:$A$238,0))</f>
        <v>0.1111111111111111</v>
      </c>
      <c r="H145" s="5" t="str">
        <f>HYPERLINK("https://www.kaggle.com/datasets/abrahamanderson/asphalt-cracks","Dataset")</f>
        <v>Dataset</v>
      </c>
      <c r="I145" s="5" t="str">
        <f>HYPERLINK("https://www.kaggle.com/datasets/abrahamanderson/asphalt-cracks","Evidence / paper")</f>
        <v>Evidence / paper</v>
      </c>
      <c r="J145" s="5" t="s">
        <v>1601</v>
      </c>
      <c r="K145" s="5" t="s">
        <v>121</v>
      </c>
      <c r="L145" s="5" t="s">
        <v>121</v>
      </c>
      <c r="M145" s="5" t="s">
        <v>121</v>
      </c>
      <c r="N145" s="5" t="s">
        <v>121</v>
      </c>
      <c r="O145" s="5" t="s">
        <v>121</v>
      </c>
      <c r="P145" s="5" t="s">
        <v>1624</v>
      </c>
      <c r="Q145" s="5" t="s">
        <v>287</v>
      </c>
      <c r="R145" s="5" t="s">
        <v>121</v>
      </c>
      <c r="S145" s="5" t="s">
        <v>121</v>
      </c>
      <c r="T145" s="5"/>
      <c r="U145" s="5" t="s">
        <v>1625</v>
      </c>
      <c r="V145" s="5" t="s">
        <v>1622</v>
      </c>
      <c r="W145" s="5" t="s">
        <v>127</v>
      </c>
      <c r="X145" s="5"/>
      <c r="Y145" s="5"/>
      <c r="Z145" s="5" t="s">
        <v>128</v>
      </c>
      <c r="AA145" s="5" t="str">
        <f>HYPERLINK("#'Manual_Review'!A"&amp;(MATCH("DS-140",Manual_Review!$A$6:$A$238,0)+5),"Enter review")</f>
        <v>Enter review</v>
      </c>
      <c r="AB145" s="5" t="str">
        <f>HYPERLINK("#'MCDM_Checks'!A"&amp;(MATCH("DS-140",MCDM_Checks!$B$6:$B$3733,0)+5),"Check evidence")</f>
        <v>Check evidence</v>
      </c>
      <c r="AC145" s="5" t="s">
        <v>1607</v>
      </c>
      <c r="AD145" s="5" t="s">
        <v>1626</v>
      </c>
      <c r="AE145" s="5" t="s">
        <v>1626</v>
      </c>
      <c r="AF145" s="5" t="s">
        <v>1627</v>
      </c>
    </row>
    <row r="146" spans="1:32" ht="63.75">
      <c r="A146" s="5" t="s">
        <v>1628</v>
      </c>
      <c r="B146" s="5" t="s">
        <v>1629</v>
      </c>
      <c r="C146" s="5"/>
      <c r="D146" s="5" t="s">
        <v>118</v>
      </c>
      <c r="E146" s="12">
        <f>INDEX(MCDM_Grades!$E$6:$E$238,MATCH(A146,MCDM_Grades!$A$6:$A$238,0))</f>
        <v>11.111111111111111</v>
      </c>
      <c r="F146" s="12">
        <f>INDEX(MCDM_Grades!$F$6:$F$238,MATCH(A146,MCDM_Grades!$A$6:$A$238,0))</f>
        <v>99.999999999999986</v>
      </c>
      <c r="G146" s="13">
        <f>INDEX(MCDM_Grades!$G$6:$G$238,MATCH(A146,MCDM_Grades!$A$6:$A$238,0))</f>
        <v>0.1111111111111111</v>
      </c>
      <c r="H146" s="5" t="str">
        <f>HYPERLINK("https://www.kaggle.com/datasets/shubhamadsul97/cdac-dai-pavement-distress-detection","Dataset")</f>
        <v>Dataset</v>
      </c>
      <c r="I146" s="5" t="str">
        <f>HYPERLINK("https://www.kaggle.com/datasets/shubhamadsul97/cdac-dai-pavement-distress-detection","Evidence / paper")</f>
        <v>Evidence / paper</v>
      </c>
      <c r="J146" s="5" t="s">
        <v>1601</v>
      </c>
      <c r="K146" s="5" t="s">
        <v>1630</v>
      </c>
      <c r="L146" s="5" t="s">
        <v>155</v>
      </c>
      <c r="M146" s="5" t="s">
        <v>121</v>
      </c>
      <c r="N146" s="5" t="s">
        <v>121</v>
      </c>
      <c r="O146" s="5" t="s">
        <v>121</v>
      </c>
      <c r="P146" s="5" t="s">
        <v>1624</v>
      </c>
      <c r="Q146" s="5" t="s">
        <v>1631</v>
      </c>
      <c r="R146" s="5" t="s">
        <v>1632</v>
      </c>
      <c r="S146" s="5" t="s">
        <v>121</v>
      </c>
      <c r="T146" s="5"/>
      <c r="U146" s="5" t="s">
        <v>1633</v>
      </c>
      <c r="V146" s="5" t="s">
        <v>1628</v>
      </c>
      <c r="W146" s="5" t="s">
        <v>127</v>
      </c>
      <c r="X146" s="5"/>
      <c r="Y146" s="5"/>
      <c r="Z146" s="5" t="s">
        <v>128</v>
      </c>
      <c r="AA146" s="5" t="str">
        <f>HYPERLINK("#'Manual_Review'!A"&amp;(MATCH("DS-141",Manual_Review!$A$6:$A$238,0)+5),"Enter review")</f>
        <v>Enter review</v>
      </c>
      <c r="AB146" s="5" t="str">
        <f>HYPERLINK("#'MCDM_Checks'!A"&amp;(MATCH("DS-141",MCDM_Checks!$B$6:$B$3733,0)+5),"Check evidence")</f>
        <v>Check evidence</v>
      </c>
      <c r="AC146" s="5" t="s">
        <v>1607</v>
      </c>
      <c r="AD146" s="5" t="s">
        <v>1634</v>
      </c>
      <c r="AE146" s="5" t="s">
        <v>1634</v>
      </c>
      <c r="AF146" s="5" t="s">
        <v>1635</v>
      </c>
    </row>
    <row r="147" spans="1:32" ht="38.25">
      <c r="A147" s="5" t="s">
        <v>1636</v>
      </c>
      <c r="B147" s="5" t="s">
        <v>1637</v>
      </c>
      <c r="C147" s="5"/>
      <c r="D147" s="5" t="s">
        <v>118</v>
      </c>
      <c r="E147" s="12">
        <f>INDEX(MCDM_Grades!$E$6:$E$238,MATCH(A147,MCDM_Grades!$A$6:$A$238,0))</f>
        <v>66.666666666666657</v>
      </c>
      <c r="F147" s="12">
        <f>INDEX(MCDM_Grades!$F$6:$F$238,MATCH(A147,MCDM_Grades!$A$6:$A$238,0))</f>
        <v>99.999999999999986</v>
      </c>
      <c r="G147" s="13">
        <f>INDEX(MCDM_Grades!$G$6:$G$238,MATCH(A147,MCDM_Grades!$A$6:$A$238,0))</f>
        <v>0.66666666666666674</v>
      </c>
      <c r="H147" s="5" t="str">
        <f>HYPERLINK("https://www.kaggle.com/datasets/aryanbadiee/combinedcrack","Dataset")</f>
        <v>Dataset</v>
      </c>
      <c r="I147" s="5" t="str">
        <f>HYPERLINK("https://www.kaggle.com/datasets/aryanbadiee/combinedcrack","Evidence / paper")</f>
        <v>Evidence / paper</v>
      </c>
      <c r="J147" s="5" t="s">
        <v>1601</v>
      </c>
      <c r="K147" s="5" t="s">
        <v>1273</v>
      </c>
      <c r="L147" s="5" t="s">
        <v>155</v>
      </c>
      <c r="M147" s="5" t="s">
        <v>121</v>
      </c>
      <c r="N147" s="5" t="s">
        <v>1638</v>
      </c>
      <c r="O147" s="5" t="s">
        <v>1639</v>
      </c>
      <c r="P147" s="5" t="s">
        <v>1640</v>
      </c>
      <c r="Q147" s="5" t="s">
        <v>287</v>
      </c>
      <c r="R147" s="5" t="s">
        <v>1528</v>
      </c>
      <c r="S147" s="5" t="s">
        <v>121</v>
      </c>
      <c r="T147" s="5"/>
      <c r="U147" s="5" t="s">
        <v>1641</v>
      </c>
      <c r="V147" s="5" t="s">
        <v>1636</v>
      </c>
      <c r="W147" s="5" t="s">
        <v>127</v>
      </c>
      <c r="X147" s="5" t="s">
        <v>220</v>
      </c>
      <c r="Y147" s="5"/>
      <c r="Z147" s="5" t="s">
        <v>128</v>
      </c>
      <c r="AA147" s="5" t="str">
        <f>HYPERLINK("#'Manual_Review'!A"&amp;(MATCH("DS-142",Manual_Review!$A$6:$A$238,0)+5),"Enter review")</f>
        <v>Enter review</v>
      </c>
      <c r="AB147" s="5" t="str">
        <f>HYPERLINK("#'MCDM_Checks'!A"&amp;(MATCH("DS-142",MCDM_Checks!$B$6:$B$3733,0)+5),"Check evidence")</f>
        <v>Check evidence</v>
      </c>
      <c r="AC147" s="5" t="s">
        <v>1607</v>
      </c>
      <c r="AD147" s="5" t="s">
        <v>1642</v>
      </c>
      <c r="AE147" s="5" t="s">
        <v>1642</v>
      </c>
      <c r="AF147" s="5" t="s">
        <v>1643</v>
      </c>
    </row>
    <row r="148" spans="1:32" ht="38.25">
      <c r="A148" s="5" t="s">
        <v>1644</v>
      </c>
      <c r="B148" s="5" t="s">
        <v>1645</v>
      </c>
      <c r="C148" s="5"/>
      <c r="D148" s="5" t="s">
        <v>118</v>
      </c>
      <c r="E148" s="12">
        <f>INDEX(MCDM_Grades!$E$6:$E$238,MATCH(A148,MCDM_Grades!$A$6:$A$238,0))</f>
        <v>55.555555555555557</v>
      </c>
      <c r="F148" s="12">
        <f>INDEX(MCDM_Grades!$F$6:$F$238,MATCH(A148,MCDM_Grades!$A$6:$A$238,0))</f>
        <v>99.999999999999986</v>
      </c>
      <c r="G148" s="13">
        <f>INDEX(MCDM_Grades!$G$6:$G$238,MATCH(A148,MCDM_Grades!$A$6:$A$238,0))</f>
        <v>0.55555555555555558</v>
      </c>
      <c r="H148" s="5" t="str">
        <f>HYPERLINK("https://www.kaggle.com/datasets/ammanaveen/custom-multitask-indian-road-dataset-cmird","Dataset")</f>
        <v>Dataset</v>
      </c>
      <c r="I148" s="5" t="str">
        <f>HYPERLINK("https://www.kaggle.com/datasets/ammanaveen/custom-multitask-indian-road-dataset-cmird","Evidence / paper")</f>
        <v>Evidence / paper</v>
      </c>
      <c r="J148" s="5" t="s">
        <v>1601</v>
      </c>
      <c r="K148" s="5" t="s">
        <v>1646</v>
      </c>
      <c r="L148" s="5" t="s">
        <v>121</v>
      </c>
      <c r="M148" s="5" t="s">
        <v>1647</v>
      </c>
      <c r="N148" s="5" t="s">
        <v>1648</v>
      </c>
      <c r="O148" s="5" t="s">
        <v>121</v>
      </c>
      <c r="P148" s="5" t="s">
        <v>1060</v>
      </c>
      <c r="Q148" s="5" t="s">
        <v>287</v>
      </c>
      <c r="R148" s="5" t="s">
        <v>121</v>
      </c>
      <c r="S148" s="5" t="s">
        <v>1649</v>
      </c>
      <c r="T148" s="5"/>
      <c r="U148" s="5" t="s">
        <v>1650</v>
      </c>
      <c r="V148" s="5" t="s">
        <v>1644</v>
      </c>
      <c r="W148" s="5" t="s">
        <v>127</v>
      </c>
      <c r="X148" s="5"/>
      <c r="Y148" s="5"/>
      <c r="Z148" s="5" t="s">
        <v>128</v>
      </c>
      <c r="AA148" s="5" t="str">
        <f>HYPERLINK("#'Manual_Review'!A"&amp;(MATCH("DS-143",Manual_Review!$A$6:$A$238,0)+5),"Enter review")</f>
        <v>Enter review</v>
      </c>
      <c r="AB148" s="5" t="str">
        <f>HYPERLINK("#'MCDM_Checks'!A"&amp;(MATCH("DS-143",MCDM_Checks!$B$6:$B$3733,0)+5),"Check evidence")</f>
        <v>Check evidence</v>
      </c>
      <c r="AC148" s="5" t="s">
        <v>1607</v>
      </c>
      <c r="AD148" s="5" t="s">
        <v>1651</v>
      </c>
      <c r="AE148" s="5" t="s">
        <v>1651</v>
      </c>
      <c r="AF148" s="5" t="s">
        <v>1652</v>
      </c>
    </row>
    <row r="149" spans="1:32" ht="25.5">
      <c r="A149" s="5" t="s">
        <v>1653</v>
      </c>
      <c r="B149" s="5" t="s">
        <v>1654</v>
      </c>
      <c r="C149" s="5"/>
      <c r="D149" s="5" t="s">
        <v>118</v>
      </c>
      <c r="E149" s="12">
        <f>INDEX(MCDM_Grades!$E$6:$E$238,MATCH(A149,MCDM_Grades!$A$6:$A$238,0))</f>
        <v>16.666666666666664</v>
      </c>
      <c r="F149" s="12">
        <f>INDEX(MCDM_Grades!$F$6:$F$238,MATCH(A149,MCDM_Grades!$A$6:$A$238,0))</f>
        <v>99.999999999999986</v>
      </c>
      <c r="G149" s="13">
        <f>INDEX(MCDM_Grades!$G$6:$G$238,MATCH(A149,MCDM_Grades!$A$6:$A$238,0))</f>
        <v>0.16666666666666666</v>
      </c>
      <c r="H149" s="5" t="str">
        <f>HYPERLINK("https://www.kaggle.com/datasets/ziya07/highway-surface-crack-detection","Dataset")</f>
        <v>Dataset</v>
      </c>
      <c r="I149" s="5" t="str">
        <f>HYPERLINK("https://www.kaggle.com/datasets/ziya07/highway-surface-crack-detection","Evidence / paper")</f>
        <v>Evidence / paper</v>
      </c>
      <c r="J149" s="5" t="s">
        <v>1601</v>
      </c>
      <c r="K149" s="5" t="s">
        <v>1655</v>
      </c>
      <c r="L149" s="5" t="s">
        <v>121</v>
      </c>
      <c r="M149" s="5" t="s">
        <v>121</v>
      </c>
      <c r="N149" s="5" t="s">
        <v>1656</v>
      </c>
      <c r="O149" s="5" t="s">
        <v>121</v>
      </c>
      <c r="P149" s="5" t="s">
        <v>1657</v>
      </c>
      <c r="Q149" s="5" t="s">
        <v>287</v>
      </c>
      <c r="R149" s="5" t="s">
        <v>121</v>
      </c>
      <c r="S149" s="5" t="s">
        <v>1658</v>
      </c>
      <c r="T149" s="5"/>
      <c r="U149" s="5" t="s">
        <v>1659</v>
      </c>
      <c r="V149" s="5" t="s">
        <v>1653</v>
      </c>
      <c r="W149" s="5" t="s">
        <v>127</v>
      </c>
      <c r="X149" s="5"/>
      <c r="Y149" s="5"/>
      <c r="Z149" s="5" t="s">
        <v>128</v>
      </c>
      <c r="AA149" s="5" t="str">
        <f>HYPERLINK("#'Manual_Review'!A"&amp;(MATCH("DS-144",Manual_Review!$A$6:$A$238,0)+5),"Enter review")</f>
        <v>Enter review</v>
      </c>
      <c r="AB149" s="5" t="str">
        <f>HYPERLINK("#'MCDM_Checks'!A"&amp;(MATCH("DS-144",MCDM_Checks!$B$6:$B$3733,0)+5),"Check evidence")</f>
        <v>Check evidence</v>
      </c>
      <c r="AC149" s="5" t="s">
        <v>1607</v>
      </c>
      <c r="AD149" s="5" t="s">
        <v>1660</v>
      </c>
      <c r="AE149" s="5" t="s">
        <v>1660</v>
      </c>
      <c r="AF149" s="5" t="s">
        <v>1661</v>
      </c>
    </row>
    <row r="150" spans="1:32" ht="38.25">
      <c r="A150" s="5" t="s">
        <v>1662</v>
      </c>
      <c r="B150" s="5" t="s">
        <v>1663</v>
      </c>
      <c r="C150" s="5"/>
      <c r="D150" s="5" t="s">
        <v>118</v>
      </c>
      <c r="E150" s="12">
        <f>INDEX(MCDM_Grades!$E$6:$E$238,MATCH(A150,MCDM_Grades!$A$6:$A$238,0))</f>
        <v>47.222222222222221</v>
      </c>
      <c r="F150" s="12">
        <f>INDEX(MCDM_Grades!$F$6:$F$238,MATCH(A150,MCDM_Grades!$A$6:$A$238,0))</f>
        <v>99.999999999999986</v>
      </c>
      <c r="G150" s="13">
        <f>INDEX(MCDM_Grades!$G$6:$G$238,MATCH(A150,MCDM_Grades!$A$6:$A$238,0))</f>
        <v>0.47222222222222221</v>
      </c>
      <c r="H150" s="5" t="str">
        <f>HYPERLINK("https://www.kaggle.com/datasets/srajanchourasia/pothole-dataset","Dataset")</f>
        <v>Dataset</v>
      </c>
      <c r="I150" s="5" t="str">
        <f>HYPERLINK("https://www.kaggle.com/datasets/srajanchourasia/pothole-dataset","Evidence / paper")</f>
        <v>Evidence / paper</v>
      </c>
      <c r="J150" s="5" t="s">
        <v>1664</v>
      </c>
      <c r="K150" s="5" t="s">
        <v>1665</v>
      </c>
      <c r="L150" s="5" t="s">
        <v>155</v>
      </c>
      <c r="M150" s="5" t="s">
        <v>1666</v>
      </c>
      <c r="N150" s="5" t="s">
        <v>1667</v>
      </c>
      <c r="O150" s="5" t="s">
        <v>121</v>
      </c>
      <c r="P150" s="5" t="s">
        <v>1657</v>
      </c>
      <c r="Q150" s="5" t="s">
        <v>287</v>
      </c>
      <c r="R150" s="5" t="s">
        <v>786</v>
      </c>
      <c r="S150" s="5" t="s">
        <v>121</v>
      </c>
      <c r="T150" s="5"/>
      <c r="U150" s="5" t="s">
        <v>1668</v>
      </c>
      <c r="V150" s="5" t="s">
        <v>1662</v>
      </c>
      <c r="W150" s="5" t="s">
        <v>127</v>
      </c>
      <c r="X150" s="5"/>
      <c r="Y150" s="5"/>
      <c r="Z150" s="5" t="s">
        <v>128</v>
      </c>
      <c r="AA150" s="5" t="str">
        <f>HYPERLINK("#'Manual_Review'!A"&amp;(MATCH("DS-145",Manual_Review!$A$6:$A$238,0)+5),"Enter review")</f>
        <v>Enter review</v>
      </c>
      <c r="AB150" s="5" t="str">
        <f>HYPERLINK("#'MCDM_Checks'!A"&amp;(MATCH("DS-145",MCDM_Checks!$B$6:$B$3733,0)+5),"Check evidence")</f>
        <v>Check evidence</v>
      </c>
      <c r="AC150" s="5" t="s">
        <v>1607</v>
      </c>
      <c r="AD150" s="5" t="s">
        <v>1669</v>
      </c>
      <c r="AE150" s="5" t="s">
        <v>1669</v>
      </c>
      <c r="AF150" s="5" t="s">
        <v>1670</v>
      </c>
    </row>
    <row r="151" spans="1:32" ht="38.25">
      <c r="A151" s="5" t="s">
        <v>1671</v>
      </c>
      <c r="B151" s="5" t="s">
        <v>1672</v>
      </c>
      <c r="C151" s="5"/>
      <c r="D151" s="5" t="s">
        <v>118</v>
      </c>
      <c r="E151" s="12">
        <f>INDEX(MCDM_Grades!$E$6:$E$238,MATCH(A151,MCDM_Grades!$A$6:$A$238,0))</f>
        <v>22.222222222222221</v>
      </c>
      <c r="F151" s="12">
        <f>INDEX(MCDM_Grades!$F$6:$F$238,MATCH(A151,MCDM_Grades!$A$6:$A$238,0))</f>
        <v>99.999999999999986</v>
      </c>
      <c r="G151" s="13">
        <f>INDEX(MCDM_Grades!$G$6:$G$238,MATCH(A151,MCDM_Grades!$A$6:$A$238,0))</f>
        <v>0.22222222222222221</v>
      </c>
      <c r="H151" s="5" t="str">
        <f>HYPERLINK("https://www.kaggle.com/datasets/abdukeram/intersecting-crack-analysis","Dataset")</f>
        <v>Dataset</v>
      </c>
      <c r="I151" s="5" t="str">
        <f>HYPERLINK("https://www.kaggle.com/datasets/abdukeram/intersecting-crack-analysis","Evidence / paper")</f>
        <v>Evidence / paper</v>
      </c>
      <c r="J151" s="5" t="s">
        <v>1601</v>
      </c>
      <c r="K151" s="5" t="s">
        <v>1673</v>
      </c>
      <c r="L151" s="5" t="s">
        <v>121</v>
      </c>
      <c r="M151" s="5" t="s">
        <v>121</v>
      </c>
      <c r="N151" s="5" t="s">
        <v>1674</v>
      </c>
      <c r="O151" s="5" t="s">
        <v>121</v>
      </c>
      <c r="P151" s="5" t="s">
        <v>1657</v>
      </c>
      <c r="Q151" s="5" t="s">
        <v>287</v>
      </c>
      <c r="R151" s="5" t="s">
        <v>121</v>
      </c>
      <c r="S151" s="5" t="s">
        <v>1675</v>
      </c>
      <c r="T151" s="5"/>
      <c r="U151" s="5" t="s">
        <v>1676</v>
      </c>
      <c r="V151" s="5" t="s">
        <v>1671</v>
      </c>
      <c r="W151" s="5" t="s">
        <v>127</v>
      </c>
      <c r="X151" s="5"/>
      <c r="Y151" s="5"/>
      <c r="Z151" s="5" t="s">
        <v>128</v>
      </c>
      <c r="AA151" s="5" t="str">
        <f>HYPERLINK("#'Manual_Review'!A"&amp;(MATCH("DS-146",Manual_Review!$A$6:$A$238,0)+5),"Enter review")</f>
        <v>Enter review</v>
      </c>
      <c r="AB151" s="5" t="str">
        <f>HYPERLINK("#'MCDM_Checks'!A"&amp;(MATCH("DS-146",MCDM_Checks!$B$6:$B$3733,0)+5),"Check evidence")</f>
        <v>Check evidence</v>
      </c>
      <c r="AC151" s="5" t="s">
        <v>1607</v>
      </c>
      <c r="AD151" s="5" t="s">
        <v>1677</v>
      </c>
      <c r="AE151" s="5" t="s">
        <v>1677</v>
      </c>
      <c r="AF151" s="5" t="s">
        <v>1678</v>
      </c>
    </row>
    <row r="152" spans="1:32" ht="25.5">
      <c r="A152" s="5" t="s">
        <v>1679</v>
      </c>
      <c r="B152" s="5" t="s">
        <v>1680</v>
      </c>
      <c r="C152" s="5"/>
      <c r="D152" s="5" t="s">
        <v>118</v>
      </c>
      <c r="E152" s="12">
        <f>INDEX(MCDM_Grades!$E$6:$E$238,MATCH(A152,MCDM_Grades!$A$6:$A$238,0))</f>
        <v>66.666666666666657</v>
      </c>
      <c r="F152" s="12">
        <f>INDEX(MCDM_Grades!$F$6:$F$238,MATCH(A152,MCDM_Grades!$A$6:$A$238,0))</f>
        <v>99.999999999999986</v>
      </c>
      <c r="G152" s="13">
        <f>INDEX(MCDM_Grades!$G$6:$G$238,MATCH(A152,MCDM_Grades!$A$6:$A$238,0))</f>
        <v>0.66666666666666663</v>
      </c>
      <c r="H152" s="5" t="str">
        <f>HYPERLINK("https://www.kaggle.com/datasets/salimhammadi07/miia-pothole-image-classification-challenge","Dataset")</f>
        <v>Dataset</v>
      </c>
      <c r="I152" s="5" t="str">
        <f>HYPERLINK("https://www.kaggle.com/datasets/salimhammadi07/miia-pothole-image-classification-challenge","Evidence / paper")</f>
        <v>Evidence / paper</v>
      </c>
      <c r="J152" s="5" t="s">
        <v>121</v>
      </c>
      <c r="K152" s="5" t="s">
        <v>1681</v>
      </c>
      <c r="L152" s="5" t="s">
        <v>155</v>
      </c>
      <c r="M152" s="5" t="s">
        <v>1682</v>
      </c>
      <c r="N152" s="5" t="s">
        <v>1683</v>
      </c>
      <c r="O152" s="5" t="s">
        <v>1684</v>
      </c>
      <c r="P152" s="5" t="s">
        <v>121</v>
      </c>
      <c r="Q152" s="5" t="s">
        <v>287</v>
      </c>
      <c r="R152" s="5" t="s">
        <v>1685</v>
      </c>
      <c r="S152" s="5" t="s">
        <v>1686</v>
      </c>
      <c r="T152" s="5"/>
      <c r="U152" s="5" t="s">
        <v>1687</v>
      </c>
      <c r="V152" s="5" t="s">
        <v>1679</v>
      </c>
      <c r="W152" s="5" t="s">
        <v>127</v>
      </c>
      <c r="X152" s="5" t="s">
        <v>1688</v>
      </c>
      <c r="Y152" s="5"/>
      <c r="Z152" s="5" t="s">
        <v>128</v>
      </c>
      <c r="AA152" s="5" t="str">
        <f>HYPERLINK("#'Manual_Review'!A"&amp;(MATCH("DS-147",Manual_Review!$A$6:$A$238,0)+5),"Enter review")</f>
        <v>Enter review</v>
      </c>
      <c r="AB152" s="5" t="str">
        <f>HYPERLINK("#'MCDM_Checks'!A"&amp;(MATCH("DS-147",MCDM_Checks!$B$6:$B$3733,0)+5),"Check evidence")</f>
        <v>Check evidence</v>
      </c>
      <c r="AC152" s="5" t="s">
        <v>1607</v>
      </c>
      <c r="AD152" s="5" t="s">
        <v>1689</v>
      </c>
      <c r="AE152" s="5" t="s">
        <v>1689</v>
      </c>
      <c r="AF152" s="5" t="s">
        <v>1690</v>
      </c>
    </row>
    <row r="153" spans="1:32" ht="38.25">
      <c r="A153" s="5" t="s">
        <v>1691</v>
      </c>
      <c r="B153" s="5" t="s">
        <v>1692</v>
      </c>
      <c r="C153" s="5"/>
      <c r="D153" s="5" t="s">
        <v>118</v>
      </c>
      <c r="E153" s="12">
        <f>INDEX(MCDM_Grades!$E$6:$E$238,MATCH(A153,MCDM_Grades!$A$6:$A$238,0))</f>
        <v>77.777777777777771</v>
      </c>
      <c r="F153" s="12">
        <f>INDEX(MCDM_Grades!$F$6:$F$238,MATCH(A153,MCDM_Grades!$A$6:$A$238,0))</f>
        <v>99.999999999999986</v>
      </c>
      <c r="G153" s="13">
        <f>INDEX(MCDM_Grades!$G$6:$G$238,MATCH(A153,MCDM_Grades!$A$6:$A$238,0))</f>
        <v>0.77777777777777768</v>
      </c>
      <c r="H153" s="5" t="str">
        <f>HYPERLINK("https://www.kaggle.com/datasets/bandisr/post-earthquake-asphalt-crack-classification","Dataset")</f>
        <v>Dataset</v>
      </c>
      <c r="I153" s="5" t="str">
        <f>HYPERLINK("https://www.kaggle.com/datasets/bandisr/post-earthquake-asphalt-crack-classification","Evidence / paper")</f>
        <v>Evidence / paper</v>
      </c>
      <c r="J153" s="5" t="s">
        <v>1601</v>
      </c>
      <c r="K153" s="5" t="s">
        <v>1693</v>
      </c>
      <c r="L153" s="5" t="s">
        <v>155</v>
      </c>
      <c r="M153" s="5" t="s">
        <v>1694</v>
      </c>
      <c r="N153" s="5" t="s">
        <v>1695</v>
      </c>
      <c r="O153" s="5" t="s">
        <v>121</v>
      </c>
      <c r="P153" s="5" t="s">
        <v>1640</v>
      </c>
      <c r="Q153" s="5" t="s">
        <v>287</v>
      </c>
      <c r="R153" s="5" t="s">
        <v>1696</v>
      </c>
      <c r="S153" s="5" t="s">
        <v>1697</v>
      </c>
      <c r="T153" s="5"/>
      <c r="U153" s="5" t="s">
        <v>1698</v>
      </c>
      <c r="V153" s="5" t="s">
        <v>1691</v>
      </c>
      <c r="W153" s="5" t="s">
        <v>127</v>
      </c>
      <c r="X153" s="5"/>
      <c r="Y153" s="5"/>
      <c r="Z153" s="5" t="s">
        <v>128</v>
      </c>
      <c r="AA153" s="5" t="str">
        <f>HYPERLINK("#'Manual_Review'!A"&amp;(MATCH("DS-148",Manual_Review!$A$6:$A$238,0)+5),"Enter review")</f>
        <v>Enter review</v>
      </c>
      <c r="AB153" s="5" t="str">
        <f>HYPERLINK("#'MCDM_Checks'!A"&amp;(MATCH("DS-148",MCDM_Checks!$B$6:$B$3733,0)+5),"Check evidence")</f>
        <v>Check evidence</v>
      </c>
      <c r="AC153" s="5" t="s">
        <v>1607</v>
      </c>
      <c r="AD153" s="5" t="s">
        <v>1699</v>
      </c>
      <c r="AE153" s="5" t="s">
        <v>1699</v>
      </c>
      <c r="AF153" s="5" t="s">
        <v>1700</v>
      </c>
    </row>
    <row r="154" spans="1:32" ht="25.5">
      <c r="A154" s="5" t="s">
        <v>1701</v>
      </c>
      <c r="B154" s="5" t="s">
        <v>1702</v>
      </c>
      <c r="C154" s="5"/>
      <c r="D154" s="5" t="s">
        <v>118</v>
      </c>
      <c r="E154" s="12">
        <f>INDEX(MCDM_Grades!$E$6:$E$238,MATCH(A154,MCDM_Grades!$A$6:$A$238,0))</f>
        <v>47.222222222222221</v>
      </c>
      <c r="F154" s="12">
        <f>INDEX(MCDM_Grades!$F$6:$F$238,MATCH(A154,MCDM_Grades!$A$6:$A$238,0))</f>
        <v>99.999999999999986</v>
      </c>
      <c r="G154" s="13">
        <f>INDEX(MCDM_Grades!$G$6:$G$238,MATCH(A154,MCDM_Grades!$A$6:$A$238,0))</f>
        <v>0.47222222222222215</v>
      </c>
      <c r="H154" s="5" t="str">
        <f>HYPERLINK("https://www.kaggle.com/datasets/andrewmvd/pothole-detection","Dataset")</f>
        <v>Dataset</v>
      </c>
      <c r="I154" s="5" t="str">
        <f>HYPERLINK("https://www.kaggle.com/datasets/andrewmvd/pothole-detection","Evidence / paper")</f>
        <v>Evidence / paper</v>
      </c>
      <c r="J154" s="5" t="s">
        <v>1601</v>
      </c>
      <c r="K154" s="5" t="s">
        <v>332</v>
      </c>
      <c r="L154" s="5" t="s">
        <v>155</v>
      </c>
      <c r="M154" s="5" t="s">
        <v>121</v>
      </c>
      <c r="N154" s="5" t="s">
        <v>1703</v>
      </c>
      <c r="O154" s="5" t="s">
        <v>538</v>
      </c>
      <c r="P154" s="5" t="s">
        <v>1704</v>
      </c>
      <c r="Q154" s="5" t="s">
        <v>287</v>
      </c>
      <c r="R154" s="5" t="s">
        <v>1705</v>
      </c>
      <c r="S154" s="5" t="s">
        <v>121</v>
      </c>
      <c r="T154" s="5"/>
      <c r="U154" s="5" t="s">
        <v>1706</v>
      </c>
      <c r="V154" s="5" t="s">
        <v>1701</v>
      </c>
      <c r="W154" s="5" t="s">
        <v>127</v>
      </c>
      <c r="X154" s="5" t="s">
        <v>1606</v>
      </c>
      <c r="Y154" s="5"/>
      <c r="Z154" s="5" t="s">
        <v>128</v>
      </c>
      <c r="AA154" s="5" t="str">
        <f>HYPERLINK("#'Manual_Review'!A"&amp;(MATCH("DS-149",Manual_Review!$A$6:$A$238,0)+5),"Enter review")</f>
        <v>Enter review</v>
      </c>
      <c r="AB154" s="5" t="str">
        <f>HYPERLINK("#'MCDM_Checks'!A"&amp;(MATCH("DS-149",MCDM_Checks!$B$6:$B$3733,0)+5),"Check evidence")</f>
        <v>Check evidence</v>
      </c>
      <c r="AC154" s="5" t="s">
        <v>1607</v>
      </c>
      <c r="AD154" s="5" t="s">
        <v>1707</v>
      </c>
      <c r="AE154" s="5" t="s">
        <v>1707</v>
      </c>
      <c r="AF154" s="5" t="s">
        <v>1708</v>
      </c>
    </row>
    <row r="155" spans="1:32" ht="38.25">
      <c r="A155" s="5" t="s">
        <v>1709</v>
      </c>
      <c r="B155" s="5" t="s">
        <v>1710</v>
      </c>
      <c r="C155" s="5"/>
      <c r="D155" s="5" t="s">
        <v>118</v>
      </c>
      <c r="E155" s="12">
        <f>INDEX(MCDM_Grades!$E$6:$E$238,MATCH(A155,MCDM_Grades!$A$6:$A$238,0))</f>
        <v>52.777777777777779</v>
      </c>
      <c r="F155" s="12">
        <f>INDEX(MCDM_Grades!$F$6:$F$238,MATCH(A155,MCDM_Grades!$A$6:$A$238,0))</f>
        <v>99.999999999999986</v>
      </c>
      <c r="G155" s="13">
        <f>INDEX(MCDM_Grades!$G$6:$G$238,MATCH(A155,MCDM_Grades!$A$6:$A$238,0))</f>
        <v>0.52777777777777768</v>
      </c>
      <c r="H155" s="5" t="str">
        <f>HYPERLINK("https://www.kaggle.com/datasets/atulyakumar98/pothole-detection-dataset","Dataset")</f>
        <v>Dataset</v>
      </c>
      <c r="I155" s="5" t="str">
        <f>HYPERLINK("https://www.kaggle.com/datasets/atulyakumar98/pothole-detection-dataset","Evidence / paper")</f>
        <v>Evidence / paper</v>
      </c>
      <c r="J155" s="5" t="s">
        <v>1497</v>
      </c>
      <c r="K155" s="5" t="s">
        <v>1693</v>
      </c>
      <c r="L155" s="5" t="s">
        <v>121</v>
      </c>
      <c r="M155" s="5" t="s">
        <v>1711</v>
      </c>
      <c r="N155" s="5" t="s">
        <v>1712</v>
      </c>
      <c r="O155" s="5" t="s">
        <v>1713</v>
      </c>
      <c r="P155" s="5" t="s">
        <v>1657</v>
      </c>
      <c r="Q155" s="5" t="s">
        <v>287</v>
      </c>
      <c r="R155" s="5" t="s">
        <v>121</v>
      </c>
      <c r="S155" s="5" t="s">
        <v>121</v>
      </c>
      <c r="T155" s="5"/>
      <c r="U155" s="5" t="s">
        <v>1714</v>
      </c>
      <c r="V155" s="5" t="s">
        <v>1709</v>
      </c>
      <c r="W155" s="5" t="s">
        <v>127</v>
      </c>
      <c r="X155" s="5"/>
      <c r="Y155" s="5"/>
      <c r="Z155" s="5" t="s">
        <v>128</v>
      </c>
      <c r="AA155" s="5" t="str">
        <f>HYPERLINK("#'Manual_Review'!A"&amp;(MATCH("DS-150",Manual_Review!$A$6:$A$238,0)+5),"Enter review")</f>
        <v>Enter review</v>
      </c>
      <c r="AB155" s="5" t="str">
        <f>HYPERLINK("#'MCDM_Checks'!A"&amp;(MATCH("DS-150",MCDM_Checks!$B$6:$B$3733,0)+5),"Check evidence")</f>
        <v>Check evidence</v>
      </c>
      <c r="AC155" s="5" t="s">
        <v>1607</v>
      </c>
      <c r="AD155" s="5" t="s">
        <v>1715</v>
      </c>
      <c r="AE155" s="5" t="s">
        <v>1715</v>
      </c>
      <c r="AF155" s="5" t="s">
        <v>1716</v>
      </c>
    </row>
    <row r="156" spans="1:32" ht="38.25">
      <c r="A156" s="5" t="s">
        <v>1717</v>
      </c>
      <c r="B156" s="5" t="s">
        <v>1718</v>
      </c>
      <c r="C156" s="5"/>
      <c r="D156" s="5" t="s">
        <v>118</v>
      </c>
      <c r="E156" s="12">
        <f>INDEX(MCDM_Grades!$E$6:$E$238,MATCH(A156,MCDM_Grades!$A$6:$A$238,0))</f>
        <v>33.333333333333329</v>
      </c>
      <c r="F156" s="12">
        <f>INDEX(MCDM_Grades!$F$6:$F$238,MATCH(A156,MCDM_Grades!$A$6:$A$238,0))</f>
        <v>99.999999999999986</v>
      </c>
      <c r="G156" s="13">
        <f>INDEX(MCDM_Grades!$G$6:$G$238,MATCH(A156,MCDM_Grades!$A$6:$A$238,0))</f>
        <v>0.33333333333333337</v>
      </c>
      <c r="H156" s="5" t="str">
        <f>HYPERLINK("https://www.kaggle.com/datasets/muskanverma24/pothole-detection-dataset-yolov11-optimized","Dataset")</f>
        <v>Dataset</v>
      </c>
      <c r="I156" s="5" t="str">
        <f>HYPERLINK("https://www.kaggle.com/datasets/muskanverma24/pothole-detection-dataset-yolov11-optimized","Evidence / paper")</f>
        <v>Evidence / paper</v>
      </c>
      <c r="J156" s="5" t="s">
        <v>1601</v>
      </c>
      <c r="K156" s="5" t="s">
        <v>332</v>
      </c>
      <c r="L156" s="5" t="s">
        <v>155</v>
      </c>
      <c r="M156" s="5" t="s">
        <v>1719</v>
      </c>
      <c r="N156" s="5" t="s">
        <v>1720</v>
      </c>
      <c r="O156" s="5" t="s">
        <v>1721</v>
      </c>
      <c r="P156" s="5" t="s">
        <v>1722</v>
      </c>
      <c r="Q156" s="5" t="s">
        <v>287</v>
      </c>
      <c r="R156" s="5" t="s">
        <v>1723</v>
      </c>
      <c r="S156" s="5" t="s">
        <v>121</v>
      </c>
      <c r="T156" s="5"/>
      <c r="U156" s="5" t="s">
        <v>1724</v>
      </c>
      <c r="V156" s="5" t="s">
        <v>1717</v>
      </c>
      <c r="W156" s="5" t="s">
        <v>127</v>
      </c>
      <c r="X156" s="5"/>
      <c r="Y156" s="5"/>
      <c r="Z156" s="5" t="s">
        <v>128</v>
      </c>
      <c r="AA156" s="5" t="str">
        <f>HYPERLINK("#'Manual_Review'!A"&amp;(MATCH("DS-151",Manual_Review!$A$6:$A$238,0)+5),"Enter review")</f>
        <v>Enter review</v>
      </c>
      <c r="AB156" s="5" t="str">
        <f>HYPERLINK("#'MCDM_Checks'!A"&amp;(MATCH("DS-151",MCDM_Checks!$B$6:$B$3733,0)+5),"Check evidence")</f>
        <v>Check evidence</v>
      </c>
      <c r="AC156" s="5" t="s">
        <v>1607</v>
      </c>
      <c r="AD156" s="5" t="s">
        <v>1725</v>
      </c>
      <c r="AE156" s="5" t="s">
        <v>1725</v>
      </c>
      <c r="AF156" s="5" t="s">
        <v>1726</v>
      </c>
    </row>
    <row r="157" spans="1:32" ht="25.5">
      <c r="A157" s="5" t="s">
        <v>1727</v>
      </c>
      <c r="B157" s="5" t="s">
        <v>1728</v>
      </c>
      <c r="C157" s="5"/>
      <c r="D157" s="5" t="s">
        <v>118</v>
      </c>
      <c r="E157" s="12">
        <f>INDEX(MCDM_Grades!$E$6:$E$238,MATCH(A157,MCDM_Grades!$A$6:$A$238,0))</f>
        <v>47.222222222222214</v>
      </c>
      <c r="F157" s="12">
        <f>INDEX(MCDM_Grades!$F$6:$F$238,MATCH(A157,MCDM_Grades!$A$6:$A$238,0))</f>
        <v>99.999999999999986</v>
      </c>
      <c r="G157" s="13">
        <f>INDEX(MCDM_Grades!$G$6:$G$238,MATCH(A157,MCDM_Grades!$A$6:$A$238,0))</f>
        <v>0.47222222222222221</v>
      </c>
      <c r="H157" s="5" t="str">
        <f>HYPERLINK("https://www.kaggle.com/datasets/raunakkesharwani/pothole-image-segmentation-dataset","Dataset")</f>
        <v>Dataset</v>
      </c>
      <c r="I157" s="5" t="str">
        <f>HYPERLINK("https://www.kaggle.com/datasets/raunakkesharwani/pothole-image-segmentation-dataset","Evidence / paper")</f>
        <v>Evidence / paper</v>
      </c>
      <c r="J157" s="5" t="s">
        <v>1601</v>
      </c>
      <c r="K157" s="5" t="s">
        <v>405</v>
      </c>
      <c r="L157" s="5" t="s">
        <v>155</v>
      </c>
      <c r="M157" s="5" t="s">
        <v>121</v>
      </c>
      <c r="N157" s="5" t="s">
        <v>1729</v>
      </c>
      <c r="O157" s="5" t="s">
        <v>1730</v>
      </c>
      <c r="P157" s="5" t="s">
        <v>1731</v>
      </c>
      <c r="Q157" s="5" t="s">
        <v>287</v>
      </c>
      <c r="R157" s="5" t="s">
        <v>1732</v>
      </c>
      <c r="S157" s="5" t="s">
        <v>121</v>
      </c>
      <c r="T157" s="5"/>
      <c r="U157" s="5" t="s">
        <v>1733</v>
      </c>
      <c r="V157" s="5" t="s">
        <v>1727</v>
      </c>
      <c r="W157" s="5" t="s">
        <v>127</v>
      </c>
      <c r="X157" s="5"/>
      <c r="Y157" s="5"/>
      <c r="Z157" s="5" t="s">
        <v>128</v>
      </c>
      <c r="AA157" s="5" t="str">
        <f>HYPERLINK("#'Manual_Review'!A"&amp;(MATCH("DS-152",Manual_Review!$A$6:$A$238,0)+5),"Enter review")</f>
        <v>Enter review</v>
      </c>
      <c r="AB157" s="5" t="str">
        <f>HYPERLINK("#'MCDM_Checks'!A"&amp;(MATCH("DS-152",MCDM_Checks!$B$6:$B$3733,0)+5),"Check evidence")</f>
        <v>Check evidence</v>
      </c>
      <c r="AC157" s="5" t="s">
        <v>1607</v>
      </c>
      <c r="AD157" s="5" t="s">
        <v>1734</v>
      </c>
      <c r="AE157" s="5" t="s">
        <v>1734</v>
      </c>
      <c r="AF157" s="5" t="s">
        <v>1735</v>
      </c>
    </row>
    <row r="158" spans="1:32" ht="51">
      <c r="A158" s="5" t="s">
        <v>1736</v>
      </c>
      <c r="B158" s="5" t="s">
        <v>1737</v>
      </c>
      <c r="C158" s="5"/>
      <c r="D158" s="5" t="s">
        <v>118</v>
      </c>
      <c r="E158" s="12">
        <f>INDEX(MCDM_Grades!$E$6:$E$238,MATCH(A158,MCDM_Grades!$A$6:$A$238,0))</f>
        <v>72.222222222222214</v>
      </c>
      <c r="F158" s="12">
        <f>INDEX(MCDM_Grades!$F$6:$F$238,MATCH(A158,MCDM_Grades!$A$6:$A$238,0))</f>
        <v>99.999999999999986</v>
      </c>
      <c r="G158" s="13">
        <f>INDEX(MCDM_Grades!$G$6:$G$238,MATCH(A158,MCDM_Grades!$A$6:$A$238,0))</f>
        <v>0.7222222222222221</v>
      </c>
      <c r="H158" s="5" t="str">
        <f>HYPERLINK("https://www.kaggle.com/datasets/farzadnekouei/pothole-image-segmentation-dataset","Dataset")</f>
        <v>Dataset</v>
      </c>
      <c r="I158" s="5" t="str">
        <f>HYPERLINK("https://www.kaggle.com/datasets/farzadnekouei/pothole-image-segmentation-dataset","Evidence / paper")</f>
        <v>Evidence / paper</v>
      </c>
      <c r="J158" s="5" t="s">
        <v>1664</v>
      </c>
      <c r="K158" s="5" t="s">
        <v>1738</v>
      </c>
      <c r="L158" s="5" t="s">
        <v>155</v>
      </c>
      <c r="M158" s="5" t="s">
        <v>1739</v>
      </c>
      <c r="N158" s="5" t="s">
        <v>1740</v>
      </c>
      <c r="O158" s="5" t="s">
        <v>1741</v>
      </c>
      <c r="P158" s="5" t="s">
        <v>1731</v>
      </c>
      <c r="Q158" s="5" t="s">
        <v>287</v>
      </c>
      <c r="R158" s="5" t="s">
        <v>1742</v>
      </c>
      <c r="S158" s="5" t="s">
        <v>1618</v>
      </c>
      <c r="T158" s="5"/>
      <c r="U158" s="5" t="s">
        <v>1743</v>
      </c>
      <c r="V158" s="5" t="s">
        <v>1736</v>
      </c>
      <c r="W158" s="5" t="s">
        <v>127</v>
      </c>
      <c r="X158" s="5" t="s">
        <v>1136</v>
      </c>
      <c r="Y158" s="5"/>
      <c r="Z158" s="5" t="s">
        <v>128</v>
      </c>
      <c r="AA158" s="5" t="str">
        <f>HYPERLINK("#'Manual_Review'!A"&amp;(MATCH("DS-153",Manual_Review!$A$6:$A$238,0)+5),"Enter review")</f>
        <v>Enter review</v>
      </c>
      <c r="AB158" s="5" t="str">
        <f>HYPERLINK("#'MCDM_Checks'!A"&amp;(MATCH("DS-153",MCDM_Checks!$B$6:$B$3733,0)+5),"Check evidence")</f>
        <v>Check evidence</v>
      </c>
      <c r="AC158" s="5" t="s">
        <v>1607</v>
      </c>
      <c r="AD158" s="5" t="s">
        <v>1744</v>
      </c>
      <c r="AE158" s="5" t="s">
        <v>1744</v>
      </c>
      <c r="AF158" s="5" t="s">
        <v>1745</v>
      </c>
    </row>
    <row r="159" spans="1:32" ht="38.25">
      <c r="A159" s="5" t="s">
        <v>1746</v>
      </c>
      <c r="B159" s="5" t="s">
        <v>1747</v>
      </c>
      <c r="C159" s="5"/>
      <c r="D159" s="5" t="s">
        <v>118</v>
      </c>
      <c r="E159" s="12">
        <f>INDEX(MCDM_Grades!$E$6:$E$238,MATCH(A159,MCDM_Grades!$A$6:$A$238,0))</f>
        <v>66.666666666666657</v>
      </c>
      <c r="F159" s="12">
        <f>INDEX(MCDM_Grades!$F$6:$F$238,MATCH(A159,MCDM_Grades!$A$6:$A$238,0))</f>
        <v>99.999999999999986</v>
      </c>
      <c r="G159" s="13">
        <f>INDEX(MCDM_Grades!$G$6:$G$238,MATCH(A159,MCDM_Grades!$A$6:$A$238,0))</f>
        <v>0.66666666666666674</v>
      </c>
      <c r="H159" s="5" t="str">
        <f>HYPERLINK("https://www.kaggle.com/datasets/abdulrahmanksaeed/pothole-patrol-normalized-dataset","Dataset")</f>
        <v>Dataset</v>
      </c>
      <c r="I159" s="5" t="str">
        <f>HYPERLINK("https://www.kaggle.com/datasets/abdulrahmanksaeed/pothole-patrol-normalized-dataset","Evidence / paper")</f>
        <v>Evidence / paper</v>
      </c>
      <c r="J159" s="5" t="s">
        <v>1601</v>
      </c>
      <c r="K159" s="5" t="s">
        <v>1748</v>
      </c>
      <c r="L159" s="5" t="s">
        <v>155</v>
      </c>
      <c r="M159" s="5" t="s">
        <v>121</v>
      </c>
      <c r="N159" s="5" t="s">
        <v>1749</v>
      </c>
      <c r="O159" s="5" t="s">
        <v>1750</v>
      </c>
      <c r="P159" s="5" t="s">
        <v>1640</v>
      </c>
      <c r="Q159" s="5" t="s">
        <v>287</v>
      </c>
      <c r="R159" s="5" t="s">
        <v>1751</v>
      </c>
      <c r="S159" s="5" t="s">
        <v>1752</v>
      </c>
      <c r="T159" s="5"/>
      <c r="U159" s="5" t="s">
        <v>1753</v>
      </c>
      <c r="V159" s="5" t="s">
        <v>1746</v>
      </c>
      <c r="W159" s="5" t="s">
        <v>127</v>
      </c>
      <c r="X159" s="5"/>
      <c r="Y159" s="5"/>
      <c r="Z159" s="5" t="s">
        <v>128</v>
      </c>
      <c r="AA159" s="5" t="str">
        <f>HYPERLINK("#'Manual_Review'!A"&amp;(MATCH("DS-154",Manual_Review!$A$6:$A$238,0)+5),"Enter review")</f>
        <v>Enter review</v>
      </c>
      <c r="AB159" s="5" t="str">
        <f>HYPERLINK("#'MCDM_Checks'!A"&amp;(MATCH("DS-154",MCDM_Checks!$B$6:$B$3733,0)+5),"Check evidence")</f>
        <v>Check evidence</v>
      </c>
      <c r="AC159" s="5" t="s">
        <v>1607</v>
      </c>
      <c r="AD159" s="5" t="s">
        <v>1754</v>
      </c>
      <c r="AE159" s="5" t="s">
        <v>1754</v>
      </c>
      <c r="AF159" s="5" t="s">
        <v>1755</v>
      </c>
    </row>
    <row r="160" spans="1:32" ht="25.5">
      <c r="A160" s="5" t="s">
        <v>1756</v>
      </c>
      <c r="B160" s="5" t="s">
        <v>1757</v>
      </c>
      <c r="C160" s="5"/>
      <c r="D160" s="5" t="s">
        <v>118</v>
      </c>
      <c r="E160" s="12">
        <f>INDEX(MCDM_Grades!$E$6:$E$238,MATCH(A160,MCDM_Grades!$A$6:$A$238,0))</f>
        <v>11.111111111111111</v>
      </c>
      <c r="F160" s="12">
        <f>INDEX(MCDM_Grades!$F$6:$F$238,MATCH(A160,MCDM_Grades!$A$6:$A$238,0))</f>
        <v>99.999999999999986</v>
      </c>
      <c r="G160" s="13">
        <f>INDEX(MCDM_Grades!$G$6:$G$238,MATCH(A160,MCDM_Grades!$A$6:$A$238,0))</f>
        <v>0.1111111111111111</v>
      </c>
      <c r="H160" s="5" t="str">
        <f>HYPERLINK("https://www.kaggle.com/datasets/gracehephzibahm/pothole-severity-classification","Dataset")</f>
        <v>Dataset</v>
      </c>
      <c r="I160" s="5" t="str">
        <f>HYPERLINK("https://www.kaggle.com/datasets/gracehephzibahm/pothole-severity-classification","Evidence / paper")</f>
        <v>Evidence / paper</v>
      </c>
      <c r="J160" s="5" t="s">
        <v>1601</v>
      </c>
      <c r="K160" s="5" t="s">
        <v>1758</v>
      </c>
      <c r="L160" s="5" t="s">
        <v>155</v>
      </c>
      <c r="M160" s="5" t="s">
        <v>1759</v>
      </c>
      <c r="N160" s="5" t="s">
        <v>1760</v>
      </c>
      <c r="O160" s="5" t="s">
        <v>1761</v>
      </c>
      <c r="P160" s="5" t="s">
        <v>121</v>
      </c>
      <c r="Q160" s="5" t="s">
        <v>124</v>
      </c>
      <c r="R160" s="5" t="s">
        <v>1762</v>
      </c>
      <c r="S160" s="5" t="s">
        <v>1763</v>
      </c>
      <c r="T160" s="5"/>
      <c r="U160" s="5" t="s">
        <v>1764</v>
      </c>
      <c r="V160" s="5" t="s">
        <v>1756</v>
      </c>
      <c r="W160" s="5" t="s">
        <v>127</v>
      </c>
      <c r="X160" s="5"/>
      <c r="Y160" s="5"/>
      <c r="Z160" s="5" t="s">
        <v>128</v>
      </c>
      <c r="AA160" s="5" t="str">
        <f>HYPERLINK("#'Manual_Review'!A"&amp;(MATCH("DS-155",Manual_Review!$A$6:$A$238,0)+5),"Enter review")</f>
        <v>Enter review</v>
      </c>
      <c r="AB160" s="5" t="str">
        <f>HYPERLINK("#'MCDM_Checks'!A"&amp;(MATCH("DS-155",MCDM_Checks!$B$6:$B$3733,0)+5),"Check evidence")</f>
        <v>Check evidence</v>
      </c>
      <c r="AC160" s="5" t="s">
        <v>1607</v>
      </c>
      <c r="AD160" s="5" t="s">
        <v>1765</v>
      </c>
      <c r="AE160" s="5" t="s">
        <v>1765</v>
      </c>
      <c r="AF160" s="5" t="s">
        <v>1766</v>
      </c>
    </row>
    <row r="161" spans="1:32" ht="25.5">
      <c r="A161" s="5" t="s">
        <v>1767</v>
      </c>
      <c r="B161" s="5" t="s">
        <v>1768</v>
      </c>
      <c r="C161" s="5"/>
      <c r="D161" s="5" t="s">
        <v>118</v>
      </c>
      <c r="E161" s="12">
        <f>INDEX(MCDM_Grades!$E$6:$E$238,MATCH(A161,MCDM_Grades!$A$6:$A$238,0))</f>
        <v>30.555555555555554</v>
      </c>
      <c r="F161" s="12">
        <f>INDEX(MCDM_Grades!$F$6:$F$238,MATCH(A161,MCDM_Grades!$A$6:$A$238,0))</f>
        <v>99.999999999999986</v>
      </c>
      <c r="G161" s="13">
        <f>INDEX(MCDM_Grades!$G$6:$G$238,MATCH(A161,MCDM_Grades!$A$6:$A$238,0))</f>
        <v>0.30555555555555552</v>
      </c>
      <c r="H161" s="5" t="str">
        <f>HYPERLINK("https://www.kaggle.com/datasets/sabidrahman/pothole-cracks-and-openmanhole","Dataset")</f>
        <v>Dataset</v>
      </c>
      <c r="I161" s="5" t="str">
        <f>HYPERLINK("https://www.kaggle.com/datasets/sabidrahman/pothole-cracks-and-openmanhole","Evidence / paper")</f>
        <v>Evidence / paper</v>
      </c>
      <c r="J161" s="5" t="s">
        <v>121</v>
      </c>
      <c r="K161" s="5" t="s">
        <v>332</v>
      </c>
      <c r="L161" s="5" t="s">
        <v>155</v>
      </c>
      <c r="M161" s="5" t="s">
        <v>1769</v>
      </c>
      <c r="N161" s="5" t="s">
        <v>1770</v>
      </c>
      <c r="O161" s="5" t="s">
        <v>1771</v>
      </c>
      <c r="P161" s="5" t="s">
        <v>121</v>
      </c>
      <c r="Q161" s="5" t="s">
        <v>287</v>
      </c>
      <c r="R161" s="5" t="s">
        <v>1772</v>
      </c>
      <c r="S161" s="5" t="s">
        <v>1773</v>
      </c>
      <c r="T161" s="5"/>
      <c r="U161" s="5" t="s">
        <v>1774</v>
      </c>
      <c r="V161" s="5" t="s">
        <v>1767</v>
      </c>
      <c r="W161" s="5" t="s">
        <v>127</v>
      </c>
      <c r="X161" s="5"/>
      <c r="Y161" s="5"/>
      <c r="Z161" s="5" t="s">
        <v>128</v>
      </c>
      <c r="AA161" s="5" t="str">
        <f>HYPERLINK("#'Manual_Review'!A"&amp;(MATCH("DS-156",Manual_Review!$A$6:$A$238,0)+5),"Enter review")</f>
        <v>Enter review</v>
      </c>
      <c r="AB161" s="5" t="str">
        <f>HYPERLINK("#'MCDM_Checks'!A"&amp;(MATCH("DS-156",MCDM_Checks!$B$6:$B$3733,0)+5),"Check evidence")</f>
        <v>Check evidence</v>
      </c>
      <c r="AC161" s="5" t="s">
        <v>1607</v>
      </c>
      <c r="AD161" s="5" t="s">
        <v>1775</v>
      </c>
      <c r="AE161" s="5" t="s">
        <v>1775</v>
      </c>
      <c r="AF161" s="5" t="s">
        <v>1776</v>
      </c>
    </row>
    <row r="162" spans="1:32" ht="25.5">
      <c r="A162" s="5" t="s">
        <v>60</v>
      </c>
      <c r="B162" s="5" t="s">
        <v>61</v>
      </c>
      <c r="C162" s="5">
        <v>7</v>
      </c>
      <c r="D162" s="5" t="s">
        <v>118</v>
      </c>
      <c r="E162" s="12">
        <f>INDEX(MCDM_Grades!$E$6:$E$238,MATCH(A162,MCDM_Grades!$A$6:$A$238,0))</f>
        <v>55.555555555555557</v>
      </c>
      <c r="F162" s="12">
        <f>INDEX(MCDM_Grades!$F$6:$F$238,MATCH(A162,MCDM_Grades!$A$6:$A$238,0))</f>
        <v>99.999999999999986</v>
      </c>
      <c r="G162" s="13">
        <f>INDEX(MCDM_Grades!$G$6:$G$238,MATCH(A162,MCDM_Grades!$A$6:$A$238,0))</f>
        <v>0.55555555555555558</v>
      </c>
      <c r="H162" s="5" t="str">
        <f>HYPERLINK("https://sites.google.com/view/pothole-600/dataset","Dataset")</f>
        <v>Dataset</v>
      </c>
      <c r="I162" s="5" t="str">
        <f>HYPERLINK("https://arxiv.org/abs/2008.06840","Evidence / paper")</f>
        <v>Evidence / paper</v>
      </c>
      <c r="J162" s="5" t="s">
        <v>65</v>
      </c>
      <c r="K162" s="5" t="s">
        <v>168</v>
      </c>
      <c r="L162" s="5" t="s">
        <v>169</v>
      </c>
      <c r="M162" s="5" t="s">
        <v>305</v>
      </c>
      <c r="N162" s="5" t="s">
        <v>1777</v>
      </c>
      <c r="O162" s="5" t="s">
        <v>1778</v>
      </c>
      <c r="P162" s="5" t="s">
        <v>1779</v>
      </c>
      <c r="Q162" s="5" t="s">
        <v>174</v>
      </c>
      <c r="R162" s="5" t="s">
        <v>1780</v>
      </c>
      <c r="S162" s="5" t="s">
        <v>1781</v>
      </c>
      <c r="T162" s="5" t="s">
        <v>1782</v>
      </c>
      <c r="U162" s="5" t="s">
        <v>1783</v>
      </c>
      <c r="V162" s="5" t="s">
        <v>1784</v>
      </c>
      <c r="W162" s="5" t="s">
        <v>1785</v>
      </c>
      <c r="X162" s="5" t="s">
        <v>603</v>
      </c>
      <c r="Y162" s="5" t="s">
        <v>66</v>
      </c>
      <c r="Z162" s="5" t="s">
        <v>206</v>
      </c>
      <c r="AA162" s="5" t="str">
        <f>HYPERLINK("#'Manual_Review'!A"&amp;(MATCH("DS-157",Manual_Review!$A$6:$A$238,0)+5),"Enter review")</f>
        <v>Enter review</v>
      </c>
      <c r="AB162" s="5" t="str">
        <f>HYPERLINK("#'MCDM_Checks'!A"&amp;(MATCH("DS-157",MCDM_Checks!$B$6:$B$3733,0)+5),"Check evidence")</f>
        <v>Check evidence</v>
      </c>
      <c r="AC162" s="5" t="s">
        <v>1786</v>
      </c>
      <c r="AD162" s="5" t="s">
        <v>1787</v>
      </c>
      <c r="AE162" s="5" t="s">
        <v>1788</v>
      </c>
      <c r="AF162" s="5" t="s">
        <v>1789</v>
      </c>
    </row>
    <row r="163" spans="1:32" ht="38.25">
      <c r="A163" s="5" t="s">
        <v>1790</v>
      </c>
      <c r="B163" s="5" t="s">
        <v>1791</v>
      </c>
      <c r="C163" s="5"/>
      <c r="D163" s="5" t="s">
        <v>118</v>
      </c>
      <c r="E163" s="12">
        <f>INDEX(MCDM_Grades!$E$6:$E$238,MATCH(A163,MCDM_Grades!$A$6:$A$238,0))</f>
        <v>36.111111111111114</v>
      </c>
      <c r="F163" s="12">
        <f>INDEX(MCDM_Grades!$F$6:$F$238,MATCH(A163,MCDM_Grades!$A$6:$A$238,0))</f>
        <v>99.999999999999986</v>
      </c>
      <c r="G163" s="13">
        <f>INDEX(MCDM_Grades!$G$6:$G$238,MATCH(A163,MCDM_Grades!$A$6:$A$238,0))</f>
        <v>0.3611111111111111</v>
      </c>
      <c r="H163" s="5" t="str">
        <f>HYPERLINK("https://www.kaggle.com/datasets/dataclusterlabs/potholes-or-cracks-on-road-image-dataset","Dataset")</f>
        <v>Dataset</v>
      </c>
      <c r="I163" s="5" t="str">
        <f>HYPERLINK("https://www.kaggle.com/datasets/dataclusterlabs/potholes-or-cracks-on-road-image-dataset","Evidence / paper")</f>
        <v>Evidence / paper</v>
      </c>
      <c r="J163" s="5" t="s">
        <v>121</v>
      </c>
      <c r="K163" s="5" t="s">
        <v>1792</v>
      </c>
      <c r="L163" s="5" t="s">
        <v>121</v>
      </c>
      <c r="M163" s="5" t="s">
        <v>1793</v>
      </c>
      <c r="N163" s="5" t="s">
        <v>1794</v>
      </c>
      <c r="O163" s="5" t="s">
        <v>1795</v>
      </c>
      <c r="P163" s="5" t="s">
        <v>121</v>
      </c>
      <c r="Q163" s="5" t="s">
        <v>1061</v>
      </c>
      <c r="R163" s="5" t="s">
        <v>121</v>
      </c>
      <c r="S163" s="5" t="s">
        <v>1796</v>
      </c>
      <c r="T163" s="5"/>
      <c r="U163" s="5" t="s">
        <v>1797</v>
      </c>
      <c r="V163" s="5" t="s">
        <v>1790</v>
      </c>
      <c r="W163" s="5" t="s">
        <v>127</v>
      </c>
      <c r="X163" s="5"/>
      <c r="Y163" s="5"/>
      <c r="Z163" s="5" t="s">
        <v>128</v>
      </c>
      <c r="AA163" s="5" t="str">
        <f>HYPERLINK("#'Manual_Review'!A"&amp;(MATCH("DS-158",Manual_Review!$A$6:$A$238,0)+5),"Enter review")</f>
        <v>Enter review</v>
      </c>
      <c r="AB163" s="5" t="str">
        <f>HYPERLINK("#'MCDM_Checks'!A"&amp;(MATCH("DS-158",MCDM_Checks!$B$6:$B$3733,0)+5),"Check evidence")</f>
        <v>Check evidence</v>
      </c>
      <c r="AC163" s="5" t="s">
        <v>1607</v>
      </c>
      <c r="AD163" s="5" t="s">
        <v>1798</v>
      </c>
      <c r="AE163" s="5" t="s">
        <v>1798</v>
      </c>
      <c r="AF163" s="5" t="s">
        <v>1799</v>
      </c>
    </row>
    <row r="164" spans="1:32" ht="38.25">
      <c r="A164" s="5" t="s">
        <v>1800</v>
      </c>
      <c r="B164" s="5" t="s">
        <v>1801</v>
      </c>
      <c r="C164" s="5"/>
      <c r="D164" s="5" t="s">
        <v>118</v>
      </c>
      <c r="E164" s="12">
        <f>INDEX(MCDM_Grades!$E$6:$E$238,MATCH(A164,MCDM_Grades!$A$6:$A$238,0))</f>
        <v>66.666666666666657</v>
      </c>
      <c r="F164" s="12">
        <f>INDEX(MCDM_Grades!$F$6:$F$238,MATCH(A164,MCDM_Grades!$A$6:$A$238,0))</f>
        <v>99.999999999999986</v>
      </c>
      <c r="G164" s="13">
        <f>INDEX(MCDM_Grades!$G$6:$G$238,MATCH(A164,MCDM_Grades!$A$6:$A$238,0))</f>
        <v>0.66666666666666674</v>
      </c>
      <c r="H164" s="5" t="str">
        <f>HYPERLINK("https://www.kaggle.com/datasets/mahyeks/pothrgbd-rgb-and-depth-images-of-potholes","Dataset")</f>
        <v>Dataset</v>
      </c>
      <c r="I164" s="5" t="str">
        <f>HYPERLINK("https://www.kaggle.com/datasets/mahyeks/pothrgbd-rgb-and-depth-images-of-potholes","Evidence / paper")</f>
        <v>Evidence / paper</v>
      </c>
      <c r="J164" s="5" t="s">
        <v>1601</v>
      </c>
      <c r="K164" s="5" t="s">
        <v>1802</v>
      </c>
      <c r="L164" s="5" t="s">
        <v>155</v>
      </c>
      <c r="M164" s="5" t="s">
        <v>1803</v>
      </c>
      <c r="N164" s="5" t="s">
        <v>1804</v>
      </c>
      <c r="O164" s="5" t="s">
        <v>1730</v>
      </c>
      <c r="P164" s="5" t="s">
        <v>1640</v>
      </c>
      <c r="Q164" s="5" t="s">
        <v>287</v>
      </c>
      <c r="R164" s="5" t="s">
        <v>1528</v>
      </c>
      <c r="S164" s="5" t="s">
        <v>121</v>
      </c>
      <c r="T164" s="5"/>
      <c r="U164" s="5" t="s">
        <v>1805</v>
      </c>
      <c r="V164" s="5" t="s">
        <v>1800</v>
      </c>
      <c r="W164" s="5" t="s">
        <v>127</v>
      </c>
      <c r="X164" s="5"/>
      <c r="Y164" s="5"/>
      <c r="Z164" s="5" t="s">
        <v>128</v>
      </c>
      <c r="AA164" s="5" t="str">
        <f>HYPERLINK("#'Manual_Review'!A"&amp;(MATCH("DS-159",Manual_Review!$A$6:$A$238,0)+5),"Enter review")</f>
        <v>Enter review</v>
      </c>
      <c r="AB164" s="5" t="str">
        <f>HYPERLINK("#'MCDM_Checks'!A"&amp;(MATCH("DS-159",MCDM_Checks!$B$6:$B$3733,0)+5),"Check evidence")</f>
        <v>Check evidence</v>
      </c>
      <c r="AC164" s="5" t="s">
        <v>1607</v>
      </c>
      <c r="AD164" s="5" t="s">
        <v>1806</v>
      </c>
      <c r="AE164" s="5" t="s">
        <v>1806</v>
      </c>
      <c r="AF164" s="5" t="s">
        <v>1807</v>
      </c>
    </row>
    <row r="165" spans="1:32" ht="25.5">
      <c r="A165" s="5" t="s">
        <v>67</v>
      </c>
      <c r="B165" s="5" t="s">
        <v>1808</v>
      </c>
      <c r="C165" s="5">
        <v>8</v>
      </c>
      <c r="D165" s="5" t="s">
        <v>118</v>
      </c>
      <c r="E165" s="12">
        <f>INDEX(MCDM_Grades!$E$6:$E$238,MATCH(A165,MCDM_Grades!$A$6:$A$238,0))</f>
        <v>75</v>
      </c>
      <c r="F165" s="12">
        <f>INDEX(MCDM_Grades!$F$6:$F$238,MATCH(A165,MCDM_Grades!$A$6:$A$238,0))</f>
        <v>99.999999999999986</v>
      </c>
      <c r="G165" s="13">
        <f>INDEX(MCDM_Grades!$G$6:$G$238,MATCH(A165,MCDM_Grades!$A$6:$A$238,0))</f>
        <v>0.75</v>
      </c>
      <c r="H165" s="5" t="str">
        <f>HYPERLINK("https://github.com/jefmenegazzo/Intelligent-Vehicle-Perception-Based-on-Inertial-Sensing-and-Artificial-Intelligence","Dataset")</f>
        <v>Dataset</v>
      </c>
      <c r="I165" s="5" t="str">
        <f>HYPERLINK("https://doi.org/10.1109/SBESC51047.2020.9277846","Evidence / paper")</f>
        <v>Evidence / paper</v>
      </c>
      <c r="J165" s="5" t="s">
        <v>72</v>
      </c>
      <c r="K165" s="5" t="s">
        <v>168</v>
      </c>
      <c r="L165" s="5" t="s">
        <v>985</v>
      </c>
      <c r="M165" s="5" t="s">
        <v>170</v>
      </c>
      <c r="N165" s="5" t="s">
        <v>1809</v>
      </c>
      <c r="O165" s="5" t="s">
        <v>1810</v>
      </c>
      <c r="P165" s="5" t="s">
        <v>1811</v>
      </c>
      <c r="Q165" s="5" t="s">
        <v>1812</v>
      </c>
      <c r="R165" s="5" t="s">
        <v>1813</v>
      </c>
      <c r="S165" s="5" t="s">
        <v>1814</v>
      </c>
      <c r="T165" s="5" t="s">
        <v>1815</v>
      </c>
      <c r="U165" s="5" t="s">
        <v>1816</v>
      </c>
      <c r="V165" s="5" t="s">
        <v>1817</v>
      </c>
      <c r="W165" s="5" t="s">
        <v>445</v>
      </c>
      <c r="X165" s="5"/>
      <c r="Y165" s="5" t="s">
        <v>73</v>
      </c>
      <c r="Z165" s="5" t="s">
        <v>206</v>
      </c>
      <c r="AA165" s="5" t="str">
        <f>HYPERLINK("#'Manual_Review'!A"&amp;(MATCH("DS-160",Manual_Review!$A$6:$A$238,0)+5),"Enter review")</f>
        <v>Enter review</v>
      </c>
      <c r="AB165" s="5" t="str">
        <f>HYPERLINK("#'MCDM_Checks'!A"&amp;(MATCH("DS-160",MCDM_Checks!$B$6:$B$3733,0)+5),"Check evidence")</f>
        <v>Check evidence</v>
      </c>
      <c r="AC165" s="5" t="s">
        <v>207</v>
      </c>
      <c r="AD165" s="5" t="s">
        <v>1818</v>
      </c>
      <c r="AE165" s="5" t="s">
        <v>1819</v>
      </c>
      <c r="AF165" s="5" t="s">
        <v>1820</v>
      </c>
    </row>
    <row r="166" spans="1:32" ht="38.25">
      <c r="A166" s="5" t="s">
        <v>1821</v>
      </c>
      <c r="B166" s="5" t="s">
        <v>1822</v>
      </c>
      <c r="C166" s="5"/>
      <c r="D166" s="5" t="s">
        <v>118</v>
      </c>
      <c r="E166" s="12">
        <f>INDEX(MCDM_Grades!$E$6:$E$238,MATCH(A166,MCDM_Grades!$A$6:$A$238,0))</f>
        <v>44.444444444444436</v>
      </c>
      <c r="F166" s="12">
        <f>INDEX(MCDM_Grades!$F$6:$F$238,MATCH(A166,MCDM_Grades!$A$6:$A$238,0))</f>
        <v>99.999999999999986</v>
      </c>
      <c r="G166" s="13">
        <f>INDEX(MCDM_Grades!$G$6:$G$238,MATCH(A166,MCDM_Grades!$A$6:$A$238,0))</f>
        <v>0.44444444444444442</v>
      </c>
      <c r="H166" s="5" t="str">
        <f>HYPERLINK("https://www.kaggle.com/datasets/rohitsuresh15/radroad-anomaly-detection","Dataset")</f>
        <v>Dataset</v>
      </c>
      <c r="I166" s="5" t="str">
        <f>HYPERLINK("https://www.kaggle.com/datasets/rohitsuresh15/radroad-anomaly-detection","Evidence / paper")</f>
        <v>Evidence / paper</v>
      </c>
      <c r="J166" s="5" t="s">
        <v>1823</v>
      </c>
      <c r="K166" s="5" t="s">
        <v>1824</v>
      </c>
      <c r="L166" s="5" t="s">
        <v>155</v>
      </c>
      <c r="M166" s="5" t="s">
        <v>121</v>
      </c>
      <c r="N166" s="5" t="s">
        <v>1825</v>
      </c>
      <c r="O166" s="5" t="s">
        <v>121</v>
      </c>
      <c r="P166" s="5" t="s">
        <v>1640</v>
      </c>
      <c r="Q166" s="5" t="s">
        <v>287</v>
      </c>
      <c r="R166" s="5" t="s">
        <v>1826</v>
      </c>
      <c r="S166" s="5" t="s">
        <v>1827</v>
      </c>
      <c r="T166" s="5"/>
      <c r="U166" s="5" t="s">
        <v>1828</v>
      </c>
      <c r="V166" s="5" t="s">
        <v>1821</v>
      </c>
      <c r="W166" s="5" t="s">
        <v>127</v>
      </c>
      <c r="X166" s="5"/>
      <c r="Y166" s="5"/>
      <c r="Z166" s="5" t="s">
        <v>128</v>
      </c>
      <c r="AA166" s="5" t="str">
        <f>HYPERLINK("#'Manual_Review'!A"&amp;(MATCH("DS-161",Manual_Review!$A$6:$A$238,0)+5),"Enter review")</f>
        <v>Enter review</v>
      </c>
      <c r="AB166" s="5" t="str">
        <f>HYPERLINK("#'MCDM_Checks'!A"&amp;(MATCH("DS-161",MCDM_Checks!$B$6:$B$3733,0)+5),"Check evidence")</f>
        <v>Check evidence</v>
      </c>
      <c r="AC166" s="5" t="s">
        <v>1607</v>
      </c>
      <c r="AD166" s="5" t="s">
        <v>1829</v>
      </c>
      <c r="AE166" s="5" t="s">
        <v>1829</v>
      </c>
      <c r="AF166" s="5" t="s">
        <v>1830</v>
      </c>
    </row>
    <row r="167" spans="1:32" ht="25.5">
      <c r="A167" s="5" t="s">
        <v>1831</v>
      </c>
      <c r="B167" s="5" t="s">
        <v>1832</v>
      </c>
      <c r="C167" s="5"/>
      <c r="D167" s="5" t="s">
        <v>118</v>
      </c>
      <c r="E167" s="12">
        <f>INDEX(MCDM_Grades!$E$6:$E$238,MATCH(A167,MCDM_Grades!$A$6:$A$238,0))</f>
        <v>38.888888888888893</v>
      </c>
      <c r="F167" s="12">
        <f>INDEX(MCDM_Grades!$F$6:$F$238,MATCH(A167,MCDM_Grades!$A$6:$A$238,0))</f>
        <v>99.999999999999986</v>
      </c>
      <c r="G167" s="13">
        <f>INDEX(MCDM_Grades!$G$6:$G$238,MATCH(A167,MCDM_Grades!$A$6:$A$238,0))</f>
        <v>0.38888888888888884</v>
      </c>
      <c r="H167" s="5" t="str">
        <f>HYPERLINK("https://www.kaggle.com/datasets/juusos/rdd2022es","Dataset")</f>
        <v>Dataset</v>
      </c>
      <c r="I167" s="5" t="str">
        <f>HYPERLINK("https://www.kaggle.com/datasets/juusos/rdd2022es","Evidence / paper")</f>
        <v>Evidence / paper</v>
      </c>
      <c r="J167" s="5" t="s">
        <v>1601</v>
      </c>
      <c r="K167" s="5" t="s">
        <v>1612</v>
      </c>
      <c r="L167" s="5" t="s">
        <v>121</v>
      </c>
      <c r="M167" s="5" t="s">
        <v>121</v>
      </c>
      <c r="N167" s="5" t="s">
        <v>1833</v>
      </c>
      <c r="O167" s="5" t="s">
        <v>121</v>
      </c>
      <c r="P167" s="5" t="s">
        <v>1060</v>
      </c>
      <c r="Q167" s="5" t="s">
        <v>287</v>
      </c>
      <c r="R167" s="5" t="s">
        <v>121</v>
      </c>
      <c r="S167" s="5" t="s">
        <v>121</v>
      </c>
      <c r="T167" s="5"/>
      <c r="U167" s="5" t="s">
        <v>1834</v>
      </c>
      <c r="V167" s="5" t="s">
        <v>1831</v>
      </c>
      <c r="W167" s="5" t="s">
        <v>127</v>
      </c>
      <c r="X167" s="5" t="s">
        <v>905</v>
      </c>
      <c r="Y167" s="5"/>
      <c r="Z167" s="5" t="s">
        <v>128</v>
      </c>
      <c r="AA167" s="5" t="str">
        <f>HYPERLINK("#'Manual_Review'!A"&amp;(MATCH("DS-162",Manual_Review!$A$6:$A$238,0)+5),"Enter review")</f>
        <v>Enter review</v>
      </c>
      <c r="AB167" s="5" t="str">
        <f>HYPERLINK("#'MCDM_Checks'!A"&amp;(MATCH("DS-162",MCDM_Checks!$B$6:$B$3733,0)+5),"Check evidence")</f>
        <v>Check evidence</v>
      </c>
      <c r="AC167" s="5" t="s">
        <v>1607</v>
      </c>
      <c r="AD167" s="5" t="s">
        <v>1835</v>
      </c>
      <c r="AE167" s="5" t="s">
        <v>1835</v>
      </c>
      <c r="AF167" s="5" t="s">
        <v>1836</v>
      </c>
    </row>
    <row r="168" spans="1:32" ht="38.25">
      <c r="A168" s="5" t="s">
        <v>1837</v>
      </c>
      <c r="B168" s="5" t="s">
        <v>1838</v>
      </c>
      <c r="C168" s="5"/>
      <c r="D168" s="5" t="s">
        <v>118</v>
      </c>
      <c r="E168" s="12">
        <f>INDEX(MCDM_Grades!$E$6:$E$238,MATCH(A168,MCDM_Grades!$A$6:$A$238,0))</f>
        <v>22.222222222222221</v>
      </c>
      <c r="F168" s="12">
        <f>INDEX(MCDM_Grades!$F$6:$F$238,MATCH(A168,MCDM_Grades!$A$6:$A$238,0))</f>
        <v>99.999999999999986</v>
      </c>
      <c r="G168" s="13">
        <f>INDEX(MCDM_Grades!$G$6:$G$238,MATCH(A168,MCDM_Grades!$A$6:$A$238,0))</f>
        <v>0.22222222222222221</v>
      </c>
      <c r="H168" s="5" t="str">
        <f>HYPERLINK("https://www.kaggle.com/datasets/rukiyeaydn/road-crack-dataset","Dataset")</f>
        <v>Dataset</v>
      </c>
      <c r="I168" s="5" t="str">
        <f>HYPERLINK("https://www.kaggle.com/datasets/rukiyeaydn/road-crack-dataset","Evidence / paper")</f>
        <v>Evidence / paper</v>
      </c>
      <c r="J168" s="5" t="s">
        <v>1823</v>
      </c>
      <c r="K168" s="5" t="s">
        <v>1839</v>
      </c>
      <c r="L168" s="5" t="s">
        <v>121</v>
      </c>
      <c r="M168" s="5" t="s">
        <v>121</v>
      </c>
      <c r="N168" s="5" t="s">
        <v>1840</v>
      </c>
      <c r="O168" s="5" t="s">
        <v>121</v>
      </c>
      <c r="P168" s="5" t="s">
        <v>1722</v>
      </c>
      <c r="Q168" s="5" t="s">
        <v>287</v>
      </c>
      <c r="R168" s="5" t="s">
        <v>121</v>
      </c>
      <c r="S168" s="5" t="s">
        <v>121</v>
      </c>
      <c r="T168" s="5"/>
      <c r="U168" s="5" t="s">
        <v>1841</v>
      </c>
      <c r="V168" s="5" t="s">
        <v>1837</v>
      </c>
      <c r="W168" s="5" t="s">
        <v>127</v>
      </c>
      <c r="X168" s="5"/>
      <c r="Y168" s="5"/>
      <c r="Z168" s="5" t="s">
        <v>128</v>
      </c>
      <c r="AA168" s="5" t="str">
        <f>HYPERLINK("#'Manual_Review'!A"&amp;(MATCH("DS-163",Manual_Review!$A$6:$A$238,0)+5),"Enter review")</f>
        <v>Enter review</v>
      </c>
      <c r="AB168" s="5" t="str">
        <f>HYPERLINK("#'MCDM_Checks'!A"&amp;(MATCH("DS-163",MCDM_Checks!$B$6:$B$3733,0)+5),"Check evidence")</f>
        <v>Check evidence</v>
      </c>
      <c r="AC168" s="5" t="s">
        <v>1607</v>
      </c>
      <c r="AD168" s="5" t="s">
        <v>1842</v>
      </c>
      <c r="AE168" s="5" t="s">
        <v>1842</v>
      </c>
      <c r="AF168" s="5" t="s">
        <v>1843</v>
      </c>
    </row>
    <row r="169" spans="1:32" ht="25.5">
      <c r="A169" s="5" t="s">
        <v>1844</v>
      </c>
      <c r="B169" s="5" t="s">
        <v>1845</v>
      </c>
      <c r="C169" s="5"/>
      <c r="D169" s="5" t="s">
        <v>118</v>
      </c>
      <c r="E169" s="12">
        <f>INDEX(MCDM_Grades!$E$6:$E$238,MATCH(A169,MCDM_Grades!$A$6:$A$238,0))</f>
        <v>41.666666666666657</v>
      </c>
      <c r="F169" s="12">
        <f>INDEX(MCDM_Grades!$F$6:$F$238,MATCH(A169,MCDM_Grades!$A$6:$A$238,0))</f>
        <v>99.999999999999986</v>
      </c>
      <c r="G169" s="13">
        <f>INDEX(MCDM_Grades!$G$6:$G$238,MATCH(A169,MCDM_Grades!$A$6:$A$238,0))</f>
        <v>0.41666666666666663</v>
      </c>
      <c r="H169" s="5" t="str">
        <f>HYPERLINK("https://www.kaggle.com/datasets/alvarobasily/road-damage","Dataset")</f>
        <v>Dataset</v>
      </c>
      <c r="I169" s="5" t="str">
        <f>HYPERLINK("https://www.kaggle.com/datasets/alvarobasily/road-damage","Evidence / paper")</f>
        <v>Evidence / paper</v>
      </c>
      <c r="J169" s="5" t="s">
        <v>121</v>
      </c>
      <c r="K169" s="5" t="s">
        <v>1792</v>
      </c>
      <c r="L169" s="5" t="s">
        <v>155</v>
      </c>
      <c r="M169" s="5" t="s">
        <v>1846</v>
      </c>
      <c r="N169" s="5" t="s">
        <v>1847</v>
      </c>
      <c r="O169" s="5" t="s">
        <v>1848</v>
      </c>
      <c r="P169" s="5" t="s">
        <v>1849</v>
      </c>
      <c r="Q169" s="5" t="s">
        <v>287</v>
      </c>
      <c r="R169" s="5" t="s">
        <v>1850</v>
      </c>
      <c r="S169" s="5" t="s">
        <v>1851</v>
      </c>
      <c r="T169" s="5"/>
      <c r="U169" s="5" t="s">
        <v>1852</v>
      </c>
      <c r="V169" s="5" t="s">
        <v>1844</v>
      </c>
      <c r="W169" s="5" t="s">
        <v>127</v>
      </c>
      <c r="X169" s="5"/>
      <c r="Y169" s="5"/>
      <c r="Z169" s="5" t="s">
        <v>128</v>
      </c>
      <c r="AA169" s="5" t="str">
        <f>HYPERLINK("#'Manual_Review'!A"&amp;(MATCH("DS-164",Manual_Review!$A$6:$A$238,0)+5),"Enter review")</f>
        <v>Enter review</v>
      </c>
      <c r="AB169" s="5" t="str">
        <f>HYPERLINK("#'MCDM_Checks'!A"&amp;(MATCH("DS-164",MCDM_Checks!$B$6:$B$3733,0)+5),"Check evidence")</f>
        <v>Check evidence</v>
      </c>
      <c r="AC169" s="5" t="s">
        <v>1607</v>
      </c>
      <c r="AD169" s="5" t="s">
        <v>1853</v>
      </c>
      <c r="AE169" s="5" t="s">
        <v>1853</v>
      </c>
      <c r="AF169" s="5" t="s">
        <v>1854</v>
      </c>
    </row>
    <row r="170" spans="1:32" ht="25.5">
      <c r="A170" s="5" t="s">
        <v>1855</v>
      </c>
      <c r="B170" s="5" t="s">
        <v>1856</v>
      </c>
      <c r="C170" s="5"/>
      <c r="D170" s="5" t="s">
        <v>118</v>
      </c>
      <c r="E170" s="12">
        <f>INDEX(MCDM_Grades!$E$6:$E$238,MATCH(A170,MCDM_Grades!$A$6:$A$238,0))</f>
        <v>16.666666666666664</v>
      </c>
      <c r="F170" s="12">
        <f>INDEX(MCDM_Grades!$F$6:$F$238,MATCH(A170,MCDM_Grades!$A$6:$A$238,0))</f>
        <v>99.999999999999986</v>
      </c>
      <c r="G170" s="13">
        <f>INDEX(MCDM_Grades!$G$6:$G$238,MATCH(A170,MCDM_Grades!$A$6:$A$238,0))</f>
        <v>0.16666666666666666</v>
      </c>
      <c r="H170" s="5" t="str">
        <f>HYPERLINK("https://www.kaggle.com/datasets/yuzhang0211/road-defect-classification-dataset","Dataset")</f>
        <v>Dataset</v>
      </c>
      <c r="I170" s="5" t="str">
        <f>HYPERLINK("https://www.kaggle.com/datasets/yuzhang0211/road-defect-classification-dataset","Evidence / paper")</f>
        <v>Evidence / paper</v>
      </c>
      <c r="J170" s="5" t="s">
        <v>1601</v>
      </c>
      <c r="K170" s="5" t="s">
        <v>1693</v>
      </c>
      <c r="L170" s="5" t="s">
        <v>121</v>
      </c>
      <c r="M170" s="5" t="s">
        <v>121</v>
      </c>
      <c r="N170" s="5" t="s">
        <v>121</v>
      </c>
      <c r="O170" s="5" t="s">
        <v>121</v>
      </c>
      <c r="P170" s="5" t="s">
        <v>1604</v>
      </c>
      <c r="Q170" s="5" t="s">
        <v>287</v>
      </c>
      <c r="R170" s="5" t="s">
        <v>121</v>
      </c>
      <c r="S170" s="5" t="s">
        <v>121</v>
      </c>
      <c r="T170" s="5"/>
      <c r="U170" s="5" t="s">
        <v>1857</v>
      </c>
      <c r="V170" s="5" t="s">
        <v>1855</v>
      </c>
      <c r="W170" s="5" t="s">
        <v>127</v>
      </c>
      <c r="X170" s="5"/>
      <c r="Y170" s="5"/>
      <c r="Z170" s="5" t="s">
        <v>128</v>
      </c>
      <c r="AA170" s="5" t="str">
        <f>HYPERLINK("#'Manual_Review'!A"&amp;(MATCH("DS-165",Manual_Review!$A$6:$A$238,0)+5),"Enter review")</f>
        <v>Enter review</v>
      </c>
      <c r="AB170" s="5" t="str">
        <f>HYPERLINK("#'MCDM_Checks'!A"&amp;(MATCH("DS-165",MCDM_Checks!$B$6:$B$3733,0)+5),"Check evidence")</f>
        <v>Check evidence</v>
      </c>
      <c r="AC170" s="5" t="s">
        <v>1607</v>
      </c>
      <c r="AD170" s="5" t="s">
        <v>1858</v>
      </c>
      <c r="AE170" s="5" t="s">
        <v>1858</v>
      </c>
      <c r="AF170" s="5" t="s">
        <v>1859</v>
      </c>
    </row>
    <row r="171" spans="1:32" ht="38.25">
      <c r="A171" s="5" t="s">
        <v>1860</v>
      </c>
      <c r="B171" s="5" t="s">
        <v>1861</v>
      </c>
      <c r="C171" s="5"/>
      <c r="D171" s="5" t="s">
        <v>118</v>
      </c>
      <c r="E171" s="12">
        <f>INDEX(MCDM_Grades!$E$6:$E$238,MATCH(A171,MCDM_Grades!$A$6:$A$238,0))</f>
        <v>22.222222222222221</v>
      </c>
      <c r="F171" s="12">
        <f>INDEX(MCDM_Grades!$F$6:$F$238,MATCH(A171,MCDM_Grades!$A$6:$A$238,0))</f>
        <v>99.999999999999986</v>
      </c>
      <c r="G171" s="13">
        <f>INDEX(MCDM_Grades!$G$6:$G$238,MATCH(A171,MCDM_Grades!$A$6:$A$238,0))</f>
        <v>0.22222222222222221</v>
      </c>
      <c r="H171" s="5" t="str">
        <f>HYPERLINK("https://www.kaggle.com/datasets/patelmihir/road-defects-nonaugmented","Dataset")</f>
        <v>Dataset</v>
      </c>
      <c r="I171" s="5" t="str">
        <f>HYPERLINK("https://www.kaggle.com/datasets/patelmihir/road-defects-nonaugmented","Evidence / paper")</f>
        <v>Evidence / paper</v>
      </c>
      <c r="J171" s="5" t="s">
        <v>1601</v>
      </c>
      <c r="K171" s="5" t="s">
        <v>1862</v>
      </c>
      <c r="L171" s="5" t="s">
        <v>121</v>
      </c>
      <c r="M171" s="5" t="s">
        <v>1863</v>
      </c>
      <c r="N171" s="5" t="s">
        <v>1864</v>
      </c>
      <c r="O171" s="5" t="s">
        <v>121</v>
      </c>
      <c r="P171" s="5" t="s">
        <v>1640</v>
      </c>
      <c r="Q171" s="5" t="s">
        <v>287</v>
      </c>
      <c r="R171" s="5" t="s">
        <v>121</v>
      </c>
      <c r="S171" s="5" t="s">
        <v>121</v>
      </c>
      <c r="T171" s="5"/>
      <c r="U171" s="5" t="s">
        <v>1865</v>
      </c>
      <c r="V171" s="5" t="s">
        <v>1860</v>
      </c>
      <c r="W171" s="5" t="s">
        <v>127</v>
      </c>
      <c r="X171" s="5"/>
      <c r="Y171" s="5"/>
      <c r="Z171" s="5" t="s">
        <v>128</v>
      </c>
      <c r="AA171" s="5" t="str">
        <f>HYPERLINK("#'Manual_Review'!A"&amp;(MATCH("DS-166",Manual_Review!$A$6:$A$238,0)+5),"Enter review")</f>
        <v>Enter review</v>
      </c>
      <c r="AB171" s="5" t="str">
        <f>HYPERLINK("#'MCDM_Checks'!A"&amp;(MATCH("DS-166",MCDM_Checks!$B$6:$B$3733,0)+5),"Check evidence")</f>
        <v>Check evidence</v>
      </c>
      <c r="AC171" s="5" t="s">
        <v>1607</v>
      </c>
      <c r="AD171" s="5" t="s">
        <v>1866</v>
      </c>
      <c r="AE171" s="5" t="s">
        <v>1866</v>
      </c>
      <c r="AF171" s="5" t="s">
        <v>1867</v>
      </c>
    </row>
    <row r="172" spans="1:32" ht="38.25">
      <c r="A172" s="5" t="s">
        <v>1868</v>
      </c>
      <c r="B172" s="5" t="s">
        <v>1869</v>
      </c>
      <c r="C172" s="5"/>
      <c r="D172" s="5" t="s">
        <v>118</v>
      </c>
      <c r="E172" s="12">
        <f>INDEX(MCDM_Grades!$E$6:$E$238,MATCH(A172,MCDM_Grades!$A$6:$A$238,0))</f>
        <v>61.111111111111107</v>
      </c>
      <c r="F172" s="12">
        <f>INDEX(MCDM_Grades!$F$6:$F$238,MATCH(A172,MCDM_Grades!$A$6:$A$238,0))</f>
        <v>99.999999999999986</v>
      </c>
      <c r="G172" s="13">
        <f>INDEX(MCDM_Grades!$G$6:$G$238,MATCH(A172,MCDM_Grades!$A$6:$A$238,0))</f>
        <v>0.61111111111111105</v>
      </c>
      <c r="H172" s="5" t="str">
        <f>HYPERLINK("https://www.kaggle.com/datasets/sovitrath/road-pothole-images-for-pothole-detection","Dataset")</f>
        <v>Dataset</v>
      </c>
      <c r="I172" s="5" t="str">
        <f>HYPERLINK("https://www.kaggle.com/datasets/sovitrath/road-pothole-images-for-pothole-detection","Evidence / paper")</f>
        <v>Evidence / paper</v>
      </c>
      <c r="J172" s="5" t="s">
        <v>1664</v>
      </c>
      <c r="K172" s="5" t="s">
        <v>332</v>
      </c>
      <c r="L172" s="5" t="s">
        <v>121</v>
      </c>
      <c r="M172" s="5" t="s">
        <v>1870</v>
      </c>
      <c r="N172" s="5" t="s">
        <v>1871</v>
      </c>
      <c r="O172" s="5" t="s">
        <v>1872</v>
      </c>
      <c r="P172" s="5" t="s">
        <v>1657</v>
      </c>
      <c r="Q172" s="5" t="s">
        <v>287</v>
      </c>
      <c r="R172" s="5" t="s">
        <v>121</v>
      </c>
      <c r="S172" s="5" t="s">
        <v>1873</v>
      </c>
      <c r="T172" s="5"/>
      <c r="U172" s="5" t="s">
        <v>1874</v>
      </c>
      <c r="V172" s="5" t="s">
        <v>1868</v>
      </c>
      <c r="W172" s="5" t="s">
        <v>127</v>
      </c>
      <c r="X172" s="5" t="s">
        <v>1688</v>
      </c>
      <c r="Y172" s="5"/>
      <c r="Z172" s="5" t="s">
        <v>128</v>
      </c>
      <c r="AA172" s="5" t="str">
        <f>HYPERLINK("#'Manual_Review'!A"&amp;(MATCH("DS-167",Manual_Review!$A$6:$A$238,0)+5),"Enter review")</f>
        <v>Enter review</v>
      </c>
      <c r="AB172" s="5" t="str">
        <f>HYPERLINK("#'MCDM_Checks'!A"&amp;(MATCH("DS-167",MCDM_Checks!$B$6:$B$3733,0)+5),"Check evidence")</f>
        <v>Check evidence</v>
      </c>
      <c r="AC172" s="5" t="s">
        <v>1607</v>
      </c>
      <c r="AD172" s="5" t="s">
        <v>1875</v>
      </c>
      <c r="AE172" s="5" t="s">
        <v>1875</v>
      </c>
      <c r="AF172" s="5" t="s">
        <v>1876</v>
      </c>
    </row>
    <row r="173" spans="1:32" ht="38.25">
      <c r="A173" s="5" t="s">
        <v>1877</v>
      </c>
      <c r="B173" s="5" t="s">
        <v>1878</v>
      </c>
      <c r="C173" s="5"/>
      <c r="D173" s="5" t="s">
        <v>118</v>
      </c>
      <c r="E173" s="12">
        <f>INDEX(MCDM_Grades!$E$6:$E$238,MATCH(A173,MCDM_Grades!$A$6:$A$238,0))</f>
        <v>36.111111111111114</v>
      </c>
      <c r="F173" s="12">
        <f>INDEX(MCDM_Grades!$F$6:$F$238,MATCH(A173,MCDM_Grades!$A$6:$A$238,0))</f>
        <v>99.999999999999986</v>
      </c>
      <c r="G173" s="13">
        <f>INDEX(MCDM_Grades!$G$6:$G$238,MATCH(A173,MCDM_Grades!$A$6:$A$238,0))</f>
        <v>0.3611111111111111</v>
      </c>
      <c r="H173" s="5" t="str">
        <f>HYPERLINK("https://www.kaggle.com/datasets/nickkotarelas/road-quality-dataset","Dataset")</f>
        <v>Dataset</v>
      </c>
      <c r="I173" s="5" t="str">
        <f>HYPERLINK("https://www.kaggle.com/datasets/nickkotarelas/road-quality-dataset","Evidence / paper")</f>
        <v>Evidence / paper</v>
      </c>
      <c r="J173" s="5" t="s">
        <v>121</v>
      </c>
      <c r="K173" s="5" t="s">
        <v>1879</v>
      </c>
      <c r="L173" s="5" t="s">
        <v>121</v>
      </c>
      <c r="M173" s="5" t="s">
        <v>1880</v>
      </c>
      <c r="N173" s="5" t="s">
        <v>1881</v>
      </c>
      <c r="O173" s="5" t="s">
        <v>1882</v>
      </c>
      <c r="P173" s="5" t="s">
        <v>1883</v>
      </c>
      <c r="Q173" s="5" t="s">
        <v>287</v>
      </c>
      <c r="R173" s="5" t="s">
        <v>121</v>
      </c>
      <c r="S173" s="5" t="s">
        <v>1884</v>
      </c>
      <c r="T173" s="5"/>
      <c r="U173" s="5" t="s">
        <v>1885</v>
      </c>
      <c r="V173" s="5" t="s">
        <v>1877</v>
      </c>
      <c r="W173" s="5" t="s">
        <v>127</v>
      </c>
      <c r="X173" s="5"/>
      <c r="Y173" s="5"/>
      <c r="Z173" s="5" t="s">
        <v>128</v>
      </c>
      <c r="AA173" s="5" t="str">
        <f>HYPERLINK("#'Manual_Review'!A"&amp;(MATCH("DS-168",Manual_Review!$A$6:$A$238,0)+5),"Enter review")</f>
        <v>Enter review</v>
      </c>
      <c r="AB173" s="5" t="str">
        <f>HYPERLINK("#'MCDM_Checks'!A"&amp;(MATCH("DS-168",MCDM_Checks!$B$6:$B$3733,0)+5),"Check evidence")</f>
        <v>Check evidence</v>
      </c>
      <c r="AC173" s="5" t="s">
        <v>1607</v>
      </c>
      <c r="AD173" s="5" t="s">
        <v>1886</v>
      </c>
      <c r="AE173" s="5" t="s">
        <v>1886</v>
      </c>
      <c r="AF173" s="5" t="s">
        <v>1887</v>
      </c>
    </row>
    <row r="174" spans="1:32" ht="25.5">
      <c r="A174" s="5" t="s">
        <v>1888</v>
      </c>
      <c r="B174" s="5" t="s">
        <v>1889</v>
      </c>
      <c r="C174" s="5"/>
      <c r="D174" s="5" t="s">
        <v>118</v>
      </c>
      <c r="E174" s="12">
        <f>INDEX(MCDM_Grades!$E$6:$E$238,MATCH(A174,MCDM_Grades!$A$6:$A$238,0))</f>
        <v>16.666666666666664</v>
      </c>
      <c r="F174" s="12">
        <f>INDEX(MCDM_Grades!$F$6:$F$238,MATCH(A174,MCDM_Grades!$A$6:$A$238,0))</f>
        <v>99.999999999999986</v>
      </c>
      <c r="G174" s="13">
        <f>INDEX(MCDM_Grades!$G$6:$G$238,MATCH(A174,MCDM_Grades!$A$6:$A$238,0))</f>
        <v>0.16666666666666666</v>
      </c>
      <c r="H174" s="5" t="str">
        <f>HYPERLINK("https://www.kaggle.com/datasets/angelikafarahmanoppo/road-surface-dataset-datasetjalan","Dataset")</f>
        <v>Dataset</v>
      </c>
      <c r="I174" s="5" t="str">
        <f>HYPERLINK("https://www.kaggle.com/datasets/angelikafarahmanoppo/road-surface-dataset-datasetjalan","Evidence / paper")</f>
        <v>Evidence / paper</v>
      </c>
      <c r="J174" s="5" t="s">
        <v>1601</v>
      </c>
      <c r="K174" s="5" t="s">
        <v>1693</v>
      </c>
      <c r="L174" s="5" t="s">
        <v>121</v>
      </c>
      <c r="M174" s="5" t="s">
        <v>121</v>
      </c>
      <c r="N174" s="5" t="s">
        <v>1890</v>
      </c>
      <c r="O174" s="5" t="s">
        <v>121</v>
      </c>
      <c r="P174" s="5" t="s">
        <v>1657</v>
      </c>
      <c r="Q174" s="5" t="s">
        <v>287</v>
      </c>
      <c r="R174" s="5" t="s">
        <v>121</v>
      </c>
      <c r="S174" s="5" t="s">
        <v>1891</v>
      </c>
      <c r="T174" s="5"/>
      <c r="U174" s="5" t="s">
        <v>1892</v>
      </c>
      <c r="V174" s="5" t="s">
        <v>1888</v>
      </c>
      <c r="W174" s="5" t="s">
        <v>127</v>
      </c>
      <c r="X174" s="5"/>
      <c r="Y174" s="5"/>
      <c r="Z174" s="5" t="s">
        <v>128</v>
      </c>
      <c r="AA174" s="5" t="str">
        <f>HYPERLINK("#'Manual_Review'!A"&amp;(MATCH("DS-169",Manual_Review!$A$6:$A$238,0)+5),"Enter review")</f>
        <v>Enter review</v>
      </c>
      <c r="AB174" s="5" t="str">
        <f>HYPERLINK("#'MCDM_Checks'!A"&amp;(MATCH("DS-169",MCDM_Checks!$B$6:$B$3733,0)+5),"Check evidence")</f>
        <v>Check evidence</v>
      </c>
      <c r="AC174" s="5" t="s">
        <v>1607</v>
      </c>
      <c r="AD174" s="5" t="s">
        <v>1893</v>
      </c>
      <c r="AE174" s="5" t="s">
        <v>1893</v>
      </c>
      <c r="AF174" s="5" t="s">
        <v>1894</v>
      </c>
    </row>
    <row r="175" spans="1:32" ht="51">
      <c r="A175" s="5" t="s">
        <v>1895</v>
      </c>
      <c r="B175" s="5" t="s">
        <v>1896</v>
      </c>
      <c r="C175" s="5"/>
      <c r="D175" s="5" t="s">
        <v>118</v>
      </c>
      <c r="E175" s="12">
        <f>INDEX(MCDM_Grades!$E$6:$E$238,MATCH(A175,MCDM_Grades!$A$6:$A$238,0))</f>
        <v>47.222222222222214</v>
      </c>
      <c r="F175" s="12">
        <f>INDEX(MCDM_Grades!$F$6:$F$238,MATCH(A175,MCDM_Grades!$A$6:$A$238,0))</f>
        <v>99.999999999999986</v>
      </c>
      <c r="G175" s="13">
        <f>INDEX(MCDM_Grades!$G$6:$G$238,MATCH(A175,MCDM_Grades!$A$6:$A$238,0))</f>
        <v>0.47222222222222221</v>
      </c>
      <c r="H175" s="5" t="str">
        <f>HYPERLINK("https://www.kaggle.com/datasets/zara2099/road-surface-recognition-dataset","Dataset")</f>
        <v>Dataset</v>
      </c>
      <c r="I175" s="5" t="str">
        <f>HYPERLINK("https://www.kaggle.com/datasets/zara2099/road-surface-recognition-dataset","Evidence / paper")</f>
        <v>Evidence / paper</v>
      </c>
      <c r="J175" s="5" t="s">
        <v>1601</v>
      </c>
      <c r="K175" s="5" t="s">
        <v>1897</v>
      </c>
      <c r="L175" s="5" t="s">
        <v>155</v>
      </c>
      <c r="M175" s="5" t="s">
        <v>1898</v>
      </c>
      <c r="N175" s="5" t="s">
        <v>1899</v>
      </c>
      <c r="O175" s="5" t="s">
        <v>121</v>
      </c>
      <c r="P175" s="5" t="s">
        <v>1657</v>
      </c>
      <c r="Q175" s="5" t="s">
        <v>287</v>
      </c>
      <c r="R175" s="5" t="s">
        <v>1900</v>
      </c>
      <c r="S175" s="5" t="s">
        <v>1901</v>
      </c>
      <c r="T175" s="5"/>
      <c r="U175" s="5" t="s">
        <v>1902</v>
      </c>
      <c r="V175" s="5" t="s">
        <v>1895</v>
      </c>
      <c r="W175" s="5" t="s">
        <v>127</v>
      </c>
      <c r="X175" s="5" t="s">
        <v>1507</v>
      </c>
      <c r="Y175" s="5"/>
      <c r="Z175" s="5" t="s">
        <v>128</v>
      </c>
      <c r="AA175" s="5" t="str">
        <f>HYPERLINK("#'Manual_Review'!A"&amp;(MATCH("DS-170",Manual_Review!$A$6:$A$238,0)+5),"Enter review")</f>
        <v>Enter review</v>
      </c>
      <c r="AB175" s="5" t="str">
        <f>HYPERLINK("#'MCDM_Checks'!A"&amp;(MATCH("DS-170",MCDM_Checks!$B$6:$B$3733,0)+5),"Check evidence")</f>
        <v>Check evidence</v>
      </c>
      <c r="AC175" s="5" t="s">
        <v>1607</v>
      </c>
      <c r="AD175" s="5" t="s">
        <v>1903</v>
      </c>
      <c r="AE175" s="5" t="s">
        <v>1903</v>
      </c>
      <c r="AF175" s="5" t="s">
        <v>1904</v>
      </c>
    </row>
    <row r="176" spans="1:32" ht="38.25">
      <c r="A176" s="5" t="s">
        <v>1905</v>
      </c>
      <c r="B176" s="5" t="s">
        <v>1906</v>
      </c>
      <c r="C176" s="5"/>
      <c r="D176" s="5" t="s">
        <v>118</v>
      </c>
      <c r="E176" s="12">
        <f>INDEX(MCDM_Grades!$E$6:$E$238,MATCH(A176,MCDM_Grades!$A$6:$A$238,0))</f>
        <v>63.888888888888893</v>
      </c>
      <c r="F176" s="12">
        <f>INDEX(MCDM_Grades!$F$6:$F$238,MATCH(A176,MCDM_Grades!$A$6:$A$238,0))</f>
        <v>99.999999999999986</v>
      </c>
      <c r="G176" s="13">
        <f>INDEX(MCDM_Grades!$G$6:$G$238,MATCH(A176,MCDM_Grades!$A$6:$A$238,0))</f>
        <v>0.63888888888888884</v>
      </c>
      <c r="H176" s="5" t="str">
        <f>HYPERLINK("https://www.kaggle.com/datasets/saadkhan0/road-conditionalert-dataset","Dataset")</f>
        <v>Dataset</v>
      </c>
      <c r="I176" s="5" t="str">
        <f>HYPERLINK("https://www.kaggle.com/datasets/saadkhan0/road-conditionalert-dataset","Evidence / paper")</f>
        <v>Evidence / paper</v>
      </c>
      <c r="J176" s="5" t="s">
        <v>1601</v>
      </c>
      <c r="K176" s="5" t="s">
        <v>1907</v>
      </c>
      <c r="L176" s="5" t="s">
        <v>121</v>
      </c>
      <c r="M176" s="5" t="s">
        <v>1908</v>
      </c>
      <c r="N176" s="5" t="s">
        <v>1909</v>
      </c>
      <c r="O176" s="5" t="s">
        <v>1713</v>
      </c>
      <c r="P176" s="5" t="s">
        <v>1731</v>
      </c>
      <c r="Q176" s="5" t="s">
        <v>287</v>
      </c>
      <c r="R176" s="5" t="s">
        <v>121</v>
      </c>
      <c r="S176" s="5" t="s">
        <v>121</v>
      </c>
      <c r="T176" s="5"/>
      <c r="U176" s="5" t="s">
        <v>1910</v>
      </c>
      <c r="V176" s="5" t="s">
        <v>1905</v>
      </c>
      <c r="W176" s="5" t="s">
        <v>127</v>
      </c>
      <c r="X176" s="5"/>
      <c r="Y176" s="5"/>
      <c r="Z176" s="5" t="s">
        <v>128</v>
      </c>
      <c r="AA176" s="5" t="str">
        <f>HYPERLINK("#'Manual_Review'!A"&amp;(MATCH("DS-171",Manual_Review!$A$6:$A$238,0)+5),"Enter review")</f>
        <v>Enter review</v>
      </c>
      <c r="AB176" s="5" t="str">
        <f>HYPERLINK("#'MCDM_Checks'!A"&amp;(MATCH("DS-171",MCDM_Checks!$B$6:$B$3733,0)+5),"Check evidence")</f>
        <v>Check evidence</v>
      </c>
      <c r="AC176" s="5" t="s">
        <v>1607</v>
      </c>
      <c r="AD176" s="5" t="s">
        <v>1911</v>
      </c>
      <c r="AE176" s="5" t="s">
        <v>1911</v>
      </c>
      <c r="AF176" s="5" t="s">
        <v>1912</v>
      </c>
    </row>
    <row r="177" spans="1:32" ht="25.5">
      <c r="A177" s="5" t="s">
        <v>1913</v>
      </c>
      <c r="B177" s="5" t="s">
        <v>1914</v>
      </c>
      <c r="C177" s="5"/>
      <c r="D177" s="5" t="s">
        <v>118</v>
      </c>
      <c r="E177" s="12">
        <f>INDEX(MCDM_Grades!$E$6:$E$238,MATCH(A177,MCDM_Grades!$A$6:$A$238,0))</f>
        <v>36.111111111111107</v>
      </c>
      <c r="F177" s="12">
        <f>INDEX(MCDM_Grades!$F$6:$F$238,MATCH(A177,MCDM_Grades!$A$6:$A$238,0))</f>
        <v>99.999999999999986</v>
      </c>
      <c r="G177" s="13">
        <f>INDEX(MCDM_Grades!$G$6:$G$238,MATCH(A177,MCDM_Grades!$A$6:$A$238,0))</f>
        <v>0.3611111111111111</v>
      </c>
      <c r="H177" s="5" t="str">
        <f>HYPERLINK("https://www.kaggle.com/datasets/danishghaffar786/roads-and-bridges-cracks-yolov8-format","Dataset")</f>
        <v>Dataset</v>
      </c>
      <c r="I177" s="5" t="str">
        <f>HYPERLINK("https://www.kaggle.com/datasets/danishghaffar786/roads-and-bridges-cracks-yolov8-format","Evidence / paper")</f>
        <v>Evidence / paper</v>
      </c>
      <c r="J177" s="5" t="s">
        <v>1601</v>
      </c>
      <c r="K177" s="5" t="s">
        <v>1915</v>
      </c>
      <c r="L177" s="5" t="s">
        <v>121</v>
      </c>
      <c r="M177" s="5" t="s">
        <v>121</v>
      </c>
      <c r="N177" s="5" t="s">
        <v>1916</v>
      </c>
      <c r="O177" s="5" t="s">
        <v>1917</v>
      </c>
      <c r="P177" s="5" t="s">
        <v>1640</v>
      </c>
      <c r="Q177" s="5" t="s">
        <v>287</v>
      </c>
      <c r="R177" s="5" t="s">
        <v>121</v>
      </c>
      <c r="S177" s="5" t="s">
        <v>1918</v>
      </c>
      <c r="T177" s="5"/>
      <c r="U177" s="5" t="s">
        <v>1919</v>
      </c>
      <c r="V177" s="5" t="s">
        <v>1913</v>
      </c>
      <c r="W177" s="5" t="s">
        <v>127</v>
      </c>
      <c r="X177" s="5"/>
      <c r="Y177" s="5"/>
      <c r="Z177" s="5" t="s">
        <v>128</v>
      </c>
      <c r="AA177" s="5" t="str">
        <f>HYPERLINK("#'Manual_Review'!A"&amp;(MATCH("DS-172",Manual_Review!$A$6:$A$238,0)+5),"Enter review")</f>
        <v>Enter review</v>
      </c>
      <c r="AB177" s="5" t="str">
        <f>HYPERLINK("#'MCDM_Checks'!A"&amp;(MATCH("DS-172",MCDM_Checks!$B$6:$B$3733,0)+5),"Check evidence")</f>
        <v>Check evidence</v>
      </c>
      <c r="AC177" s="5" t="s">
        <v>1607</v>
      </c>
      <c r="AD177" s="5" t="s">
        <v>1920</v>
      </c>
      <c r="AE177" s="5" t="s">
        <v>1920</v>
      </c>
      <c r="AF177" s="5" t="s">
        <v>1921</v>
      </c>
    </row>
    <row r="178" spans="1:32" ht="38.25">
      <c r="A178" s="5" t="s">
        <v>1922</v>
      </c>
      <c r="B178" s="5" t="s">
        <v>1923</v>
      </c>
      <c r="C178" s="5"/>
      <c r="D178" s="5" t="s">
        <v>118</v>
      </c>
      <c r="E178" s="12">
        <f>INDEX(MCDM_Grades!$E$6:$E$238,MATCH(A178,MCDM_Grades!$A$6:$A$238,0))</f>
        <v>61.111111111111107</v>
      </c>
      <c r="F178" s="12">
        <f>INDEX(MCDM_Grades!$F$6:$F$238,MATCH(A178,MCDM_Grades!$A$6:$A$238,0))</f>
        <v>99.999999999999986</v>
      </c>
      <c r="G178" s="13">
        <f>INDEX(MCDM_Grades!$G$6:$G$238,MATCH(A178,MCDM_Grades!$A$6:$A$238,0))</f>
        <v>0.61111111111111116</v>
      </c>
      <c r="H178" s="5" t="str">
        <f>HYPERLINK("https://www.kaggle.com/datasets/mohamedaminebelasri7/roadscan-dataset","Dataset")</f>
        <v>Dataset</v>
      </c>
      <c r="I178" s="5" t="str">
        <f>HYPERLINK("https://www.kaggle.com/datasets/mohamedaminebelasri7/roadscan-dataset","Evidence / paper")</f>
        <v>Evidence / paper</v>
      </c>
      <c r="J178" s="5" t="s">
        <v>1601</v>
      </c>
      <c r="K178" s="5" t="s">
        <v>1612</v>
      </c>
      <c r="L178" s="5" t="s">
        <v>121</v>
      </c>
      <c r="M178" s="5" t="s">
        <v>1924</v>
      </c>
      <c r="N178" s="5" t="s">
        <v>1925</v>
      </c>
      <c r="O178" s="5" t="s">
        <v>465</v>
      </c>
      <c r="P178" s="5" t="s">
        <v>1624</v>
      </c>
      <c r="Q178" s="5" t="s">
        <v>287</v>
      </c>
      <c r="R178" s="5" t="s">
        <v>121</v>
      </c>
      <c r="S178" s="5" t="s">
        <v>1926</v>
      </c>
      <c r="T178" s="5"/>
      <c r="U178" s="5" t="s">
        <v>1927</v>
      </c>
      <c r="V178" s="5" t="s">
        <v>1922</v>
      </c>
      <c r="W178" s="5" t="s">
        <v>127</v>
      </c>
      <c r="X178" s="5"/>
      <c r="Y178" s="5"/>
      <c r="Z178" s="5" t="s">
        <v>128</v>
      </c>
      <c r="AA178" s="5" t="str">
        <f>HYPERLINK("#'Manual_Review'!A"&amp;(MATCH("DS-173",Manual_Review!$A$6:$A$238,0)+5),"Enter review")</f>
        <v>Enter review</v>
      </c>
      <c r="AB178" s="5" t="str">
        <f>HYPERLINK("#'MCDM_Checks'!A"&amp;(MATCH("DS-173",MCDM_Checks!$B$6:$B$3733,0)+5),"Check evidence")</f>
        <v>Check evidence</v>
      </c>
      <c r="AC178" s="5" t="s">
        <v>1607</v>
      </c>
      <c r="AD178" s="5" t="s">
        <v>1928</v>
      </c>
      <c r="AE178" s="5" t="s">
        <v>1928</v>
      </c>
      <c r="AF178" s="5" t="s">
        <v>1929</v>
      </c>
    </row>
    <row r="179" spans="1:32" ht="38.25">
      <c r="A179" s="5" t="s">
        <v>1930</v>
      </c>
      <c r="B179" s="5" t="s">
        <v>1931</v>
      </c>
      <c r="C179" s="5"/>
      <c r="D179" s="5" t="s">
        <v>118</v>
      </c>
      <c r="E179" s="12">
        <f>INDEX(MCDM_Grades!$E$6:$E$238,MATCH(A179,MCDM_Grades!$A$6:$A$238,0))</f>
        <v>88.888888888888872</v>
      </c>
      <c r="F179" s="12">
        <f>INDEX(MCDM_Grades!$F$6:$F$238,MATCH(A179,MCDM_Grades!$A$6:$A$238,0))</f>
        <v>99.999999999999986</v>
      </c>
      <c r="G179" s="13">
        <f>INDEX(MCDM_Grades!$G$6:$G$238,MATCH(A179,MCDM_Grades!$A$6:$A$238,0))</f>
        <v>0.88888888888888884</v>
      </c>
      <c r="H179" s="5" t="str">
        <f>HYPERLINK("https://www.kaggle.com/datasets/guijiezhu/stu-camcrack792","Dataset")</f>
        <v>Dataset</v>
      </c>
      <c r="I179" s="5" t="str">
        <f>HYPERLINK("https://www.kaggle.com/datasets/guijiezhu/stu-camcrack792","Evidence / paper")</f>
        <v>Evidence / paper</v>
      </c>
      <c r="J179" s="5" t="s">
        <v>1601</v>
      </c>
      <c r="K179" s="5" t="s">
        <v>1932</v>
      </c>
      <c r="L179" s="5" t="s">
        <v>155</v>
      </c>
      <c r="M179" s="5" t="s">
        <v>1933</v>
      </c>
      <c r="N179" s="5" t="s">
        <v>1934</v>
      </c>
      <c r="O179" s="5" t="s">
        <v>1935</v>
      </c>
      <c r="P179" s="5" t="s">
        <v>1060</v>
      </c>
      <c r="Q179" s="5" t="s">
        <v>287</v>
      </c>
      <c r="R179" s="5" t="s">
        <v>1936</v>
      </c>
      <c r="S179" s="5" t="s">
        <v>1937</v>
      </c>
      <c r="T179" s="5"/>
      <c r="U179" s="5" t="s">
        <v>1938</v>
      </c>
      <c r="V179" s="5" t="s">
        <v>1930</v>
      </c>
      <c r="W179" s="5" t="s">
        <v>127</v>
      </c>
      <c r="X179" s="5"/>
      <c r="Y179" s="5"/>
      <c r="Z179" s="5" t="s">
        <v>128</v>
      </c>
      <c r="AA179" s="5" t="str">
        <f>HYPERLINK("#'Manual_Review'!A"&amp;(MATCH("DS-174",Manual_Review!$A$6:$A$238,0)+5),"Enter review")</f>
        <v>Enter review</v>
      </c>
      <c r="AB179" s="5" t="str">
        <f>HYPERLINK("#'MCDM_Checks'!A"&amp;(MATCH("DS-174",MCDM_Checks!$B$6:$B$3733,0)+5),"Check evidence")</f>
        <v>Check evidence</v>
      </c>
      <c r="AC179" s="5" t="s">
        <v>1607</v>
      </c>
      <c r="AD179" s="5" t="s">
        <v>1939</v>
      </c>
      <c r="AE179" s="5" t="s">
        <v>1939</v>
      </c>
      <c r="AF179" s="5" t="s">
        <v>1940</v>
      </c>
    </row>
    <row r="180" spans="1:32" ht="76.5">
      <c r="A180" s="5" t="s">
        <v>1941</v>
      </c>
      <c r="B180" s="5" t="s">
        <v>1942</v>
      </c>
      <c r="C180" s="5"/>
      <c r="D180" s="5" t="s">
        <v>118</v>
      </c>
      <c r="E180" s="12">
        <f>INDEX(MCDM_Grades!$E$6:$E$238,MATCH(A180,MCDM_Grades!$A$6:$A$238,0))</f>
        <v>36.111111111111107</v>
      </c>
      <c r="F180" s="12">
        <f>INDEX(MCDM_Grades!$F$6:$F$238,MATCH(A180,MCDM_Grades!$A$6:$A$238,0))</f>
        <v>99.999999999999986</v>
      </c>
      <c r="G180" s="13">
        <f>INDEX(MCDM_Grades!$G$6:$G$238,MATCH(A180,MCDM_Grades!$A$6:$A$238,0))</f>
        <v>0.36111111111111105</v>
      </c>
      <c r="H180" s="5" t="str">
        <f>HYPERLINK("https://www.kaggle.com/datasets/patelravi07/enhanced-uav-pdd","Dataset")</f>
        <v>Dataset</v>
      </c>
      <c r="I180" s="5" t="str">
        <f>HYPERLINK("https://www.kaggle.com/datasets/patelravi07/enhanced-uav-pdd","Evidence / paper")</f>
        <v>Evidence / paper</v>
      </c>
      <c r="J180" s="5" t="s">
        <v>1601</v>
      </c>
      <c r="K180" s="5" t="s">
        <v>1943</v>
      </c>
      <c r="L180" s="5" t="s">
        <v>155</v>
      </c>
      <c r="M180" s="5" t="s">
        <v>1944</v>
      </c>
      <c r="N180" s="5" t="s">
        <v>1945</v>
      </c>
      <c r="O180" s="5" t="s">
        <v>1946</v>
      </c>
      <c r="P180" s="5" t="s">
        <v>1947</v>
      </c>
      <c r="Q180" s="5" t="s">
        <v>1948</v>
      </c>
      <c r="R180" s="5" t="s">
        <v>1949</v>
      </c>
      <c r="S180" s="5" t="s">
        <v>1950</v>
      </c>
      <c r="T180" s="5"/>
      <c r="U180" s="5" t="s">
        <v>1951</v>
      </c>
      <c r="V180" s="5" t="s">
        <v>1941</v>
      </c>
      <c r="W180" s="5" t="s">
        <v>127</v>
      </c>
      <c r="X180" s="5" t="s">
        <v>1574</v>
      </c>
      <c r="Y180" s="5"/>
      <c r="Z180" s="5" t="s">
        <v>128</v>
      </c>
      <c r="AA180" s="5" t="str">
        <f>HYPERLINK("#'Manual_Review'!A"&amp;(MATCH("DS-175",Manual_Review!$A$6:$A$238,0)+5),"Enter review")</f>
        <v>Enter review</v>
      </c>
      <c r="AB180" s="5" t="str">
        <f>HYPERLINK("#'MCDM_Checks'!A"&amp;(MATCH("DS-175",MCDM_Checks!$B$6:$B$3733,0)+5),"Check evidence")</f>
        <v>Check evidence</v>
      </c>
      <c r="AC180" s="5" t="s">
        <v>1607</v>
      </c>
      <c r="AD180" s="5" t="s">
        <v>1952</v>
      </c>
      <c r="AE180" s="5" t="s">
        <v>1952</v>
      </c>
      <c r="AF180" s="5" t="s">
        <v>1953</v>
      </c>
    </row>
    <row r="181" spans="1:32" ht="25.5">
      <c r="A181" s="5" t="s">
        <v>1954</v>
      </c>
      <c r="B181" s="5" t="s">
        <v>1955</v>
      </c>
      <c r="C181" s="5"/>
      <c r="D181" s="5" t="s">
        <v>118</v>
      </c>
      <c r="E181" s="12">
        <f>INDEX(MCDM_Grades!$E$6:$E$238,MATCH(A181,MCDM_Grades!$A$6:$A$238,0))</f>
        <v>36.111111111111114</v>
      </c>
      <c r="F181" s="12">
        <f>INDEX(MCDM_Grades!$F$6:$F$238,MATCH(A181,MCDM_Grades!$A$6:$A$238,0))</f>
        <v>99.999999999999986</v>
      </c>
      <c r="G181" s="13">
        <f>INDEX(MCDM_Grades!$G$6:$G$238,MATCH(A181,MCDM_Grades!$A$6:$A$238,0))</f>
        <v>0.3611111111111111</v>
      </c>
      <c r="H181" s="5" t="str">
        <f>HYPERLINK("https://www.kaggle.com/datasets/adamnovozmsk/ward-weather-aware-road-dataset","Dataset")</f>
        <v>Dataset</v>
      </c>
      <c r="I181" s="5" t="str">
        <f>HYPERLINK("https://www.kaggle.com/datasets/adamnovozmsk/ward-weather-aware-road-dataset","Evidence / paper")</f>
        <v>Evidence / paper</v>
      </c>
      <c r="J181" s="5" t="s">
        <v>1956</v>
      </c>
      <c r="K181" s="5" t="s">
        <v>1957</v>
      </c>
      <c r="L181" s="5" t="s">
        <v>985</v>
      </c>
      <c r="M181" s="5" t="s">
        <v>170</v>
      </c>
      <c r="N181" s="5" t="s">
        <v>1958</v>
      </c>
      <c r="O181" s="5" t="s">
        <v>1959</v>
      </c>
      <c r="P181" s="5" t="s">
        <v>1960</v>
      </c>
      <c r="Q181" s="5" t="s">
        <v>1961</v>
      </c>
      <c r="R181" s="5" t="s">
        <v>1962</v>
      </c>
      <c r="S181" s="5" t="s">
        <v>1963</v>
      </c>
      <c r="T181" s="5" t="s">
        <v>1964</v>
      </c>
      <c r="U181" s="5" t="s">
        <v>1965</v>
      </c>
      <c r="V181" s="5" t="s">
        <v>1966</v>
      </c>
      <c r="W181" s="5" t="s">
        <v>445</v>
      </c>
      <c r="X181" s="5"/>
      <c r="Y181" s="5" t="s">
        <v>1967</v>
      </c>
      <c r="Z181" s="5" t="s">
        <v>182</v>
      </c>
      <c r="AA181" s="5" t="str">
        <f>HYPERLINK("#'Manual_Review'!A"&amp;(MATCH("DS-176",Manual_Review!$A$6:$A$238,0)+5),"Enter review")</f>
        <v>Enter review</v>
      </c>
      <c r="AB181" s="5" t="str">
        <f>HYPERLINK("#'MCDM_Checks'!A"&amp;(MATCH("DS-176",MCDM_Checks!$B$6:$B$3733,0)+5),"Check evidence")</f>
        <v>Check evidence</v>
      </c>
      <c r="AC181" s="5" t="s">
        <v>1968</v>
      </c>
      <c r="AD181" s="5" t="s">
        <v>1969</v>
      </c>
      <c r="AE181" s="5" t="s">
        <v>1969</v>
      </c>
      <c r="AF181" s="5" t="s">
        <v>1970</v>
      </c>
    </row>
    <row r="182" spans="1:32" ht="25.5">
      <c r="A182" s="5" t="s">
        <v>1971</v>
      </c>
      <c r="B182" s="5" t="s">
        <v>1972</v>
      </c>
      <c r="C182" s="5"/>
      <c r="D182" s="5" t="s">
        <v>118</v>
      </c>
      <c r="E182" s="12">
        <f>INDEX(MCDM_Grades!$E$6:$E$238,MATCH(A182,MCDM_Grades!$A$6:$A$238,0))</f>
        <v>0</v>
      </c>
      <c r="F182" s="12">
        <f>INDEX(MCDM_Grades!$F$6:$F$238,MATCH(A182,MCDM_Grades!$A$6:$A$238,0))</f>
        <v>99.999999999999986</v>
      </c>
      <c r="G182" s="13">
        <f>INDEX(MCDM_Grades!$G$6:$G$238,MATCH(A182,MCDM_Grades!$A$6:$A$238,0))</f>
        <v>0</v>
      </c>
      <c r="H182" s="5" t="str">
        <f>HYPERLINK("https://www.irit.fr/~Sylvie.Chambon/Crack_Detection_Database.html","Dataset")</f>
        <v>Dataset</v>
      </c>
      <c r="I182" s="5" t="str">
        <f>HYPERLINK("https://www.irit.fr/~Sylvie.Chambon/Crack_Detection_Database.html","Evidence / paper")</f>
        <v>Evidence / paper</v>
      </c>
      <c r="J182" s="5" t="s">
        <v>1973</v>
      </c>
      <c r="K182" s="5" t="s">
        <v>1974</v>
      </c>
      <c r="L182" s="5" t="s">
        <v>155</v>
      </c>
      <c r="M182" s="5" t="s">
        <v>1975</v>
      </c>
      <c r="N182" s="5" t="s">
        <v>1976</v>
      </c>
      <c r="O182" s="5" t="s">
        <v>121</v>
      </c>
      <c r="P182" s="5" t="s">
        <v>121</v>
      </c>
      <c r="Q182" s="5" t="s">
        <v>124</v>
      </c>
      <c r="R182" s="5" t="s">
        <v>1977</v>
      </c>
      <c r="S182" s="5" t="s">
        <v>428</v>
      </c>
      <c r="T182" s="5"/>
      <c r="U182" s="5" t="s">
        <v>1978</v>
      </c>
      <c r="V182" s="5" t="s">
        <v>1971</v>
      </c>
      <c r="W182" s="5" t="s">
        <v>127</v>
      </c>
      <c r="X182" s="5"/>
      <c r="Y182" s="5"/>
      <c r="Z182" s="5" t="s">
        <v>128</v>
      </c>
      <c r="AA182" s="5" t="str">
        <f>HYPERLINK("#'Manual_Review'!A"&amp;(MATCH("DS-177",Manual_Review!$A$6:$A$238,0)+5),"Enter review")</f>
        <v>Enter review</v>
      </c>
      <c r="AB182" s="5" t="str">
        <f>HYPERLINK("#'MCDM_Checks'!A"&amp;(MATCH("DS-177",MCDM_Checks!$B$6:$B$3733,0)+5),"Check evidence")</f>
        <v>Check evidence</v>
      </c>
      <c r="AC182" s="5" t="s">
        <v>659</v>
      </c>
      <c r="AD182" s="5" t="s">
        <v>1979</v>
      </c>
      <c r="AE182" s="5" t="s">
        <v>1979</v>
      </c>
      <c r="AF182" s="5" t="s">
        <v>1980</v>
      </c>
    </row>
    <row r="183" spans="1:32" ht="25.5">
      <c r="A183" s="5" t="s">
        <v>1981</v>
      </c>
      <c r="B183" s="5" t="s">
        <v>1982</v>
      </c>
      <c r="C183" s="5"/>
      <c r="D183" s="5" t="s">
        <v>118</v>
      </c>
      <c r="E183" s="12">
        <f>INDEX(MCDM_Grades!$E$6:$E$238,MATCH(A183,MCDM_Grades!$A$6:$A$238,0))</f>
        <v>75</v>
      </c>
      <c r="F183" s="12">
        <f>INDEX(MCDM_Grades!$F$6:$F$238,MATCH(A183,MCDM_Grades!$A$6:$A$238,0))</f>
        <v>99.999999999999986</v>
      </c>
      <c r="G183" s="13">
        <f>INDEX(MCDM_Grades!$G$6:$G$238,MATCH(A183,MCDM_Grades!$A$6:$A$238,0))</f>
        <v>0.75</v>
      </c>
      <c r="H183" s="5" t="str">
        <f>HYPERLINK("https://huggingface.co/datasets/natix-network-org/natix-edge-case-driving-dataset","Dataset")</f>
        <v>Dataset</v>
      </c>
      <c r="I183" s="5" t="str">
        <f>HYPERLINK("https://huggingface.co/datasets/natix-network-org/natix-edge-case-driving-dataset","Evidence / paper")</f>
        <v>Evidence / paper</v>
      </c>
      <c r="J183" s="5" t="s">
        <v>1983</v>
      </c>
      <c r="K183" s="5" t="s">
        <v>168</v>
      </c>
      <c r="L183" s="5" t="s">
        <v>985</v>
      </c>
      <c r="M183" s="5" t="s">
        <v>1984</v>
      </c>
      <c r="N183" s="5" t="s">
        <v>1985</v>
      </c>
      <c r="O183" s="5" t="s">
        <v>1986</v>
      </c>
      <c r="P183" s="5" t="s">
        <v>1987</v>
      </c>
      <c r="Q183" s="5" t="s">
        <v>1812</v>
      </c>
      <c r="R183" s="5" t="s">
        <v>1988</v>
      </c>
      <c r="S183" s="5" t="s">
        <v>1989</v>
      </c>
      <c r="T183" s="5" t="s">
        <v>1990</v>
      </c>
      <c r="U183" s="5" t="s">
        <v>1991</v>
      </c>
      <c r="V183" s="5" t="s">
        <v>1992</v>
      </c>
      <c r="W183" s="5" t="s">
        <v>1993</v>
      </c>
      <c r="X183" s="5" t="s">
        <v>1994</v>
      </c>
      <c r="Y183" s="5"/>
      <c r="Z183" s="5" t="s">
        <v>182</v>
      </c>
      <c r="AA183" s="5" t="str">
        <f>HYPERLINK("#'Manual_Review'!A"&amp;(MATCH("DS-178",Manual_Review!$A$6:$A$238,0)+5),"Enter review")</f>
        <v>Enter review</v>
      </c>
      <c r="AB183" s="5" t="str">
        <f>HYPERLINK("#'MCDM_Checks'!A"&amp;(MATCH("DS-178",MCDM_Checks!$B$6:$B$3733,0)+5),"Check evidence")</f>
        <v>Check evidence</v>
      </c>
      <c r="AC183" s="5" t="s">
        <v>1065</v>
      </c>
      <c r="AD183" s="5" t="s">
        <v>1995</v>
      </c>
      <c r="AE183" s="5" t="s">
        <v>1995</v>
      </c>
      <c r="AF183" s="5" t="s">
        <v>1996</v>
      </c>
    </row>
    <row r="184" spans="1:32" ht="38.25">
      <c r="A184" s="5" t="s">
        <v>1997</v>
      </c>
      <c r="B184" s="5" t="s">
        <v>1998</v>
      </c>
      <c r="C184" s="5"/>
      <c r="D184" s="5" t="s">
        <v>118</v>
      </c>
      <c r="E184" s="12">
        <f>INDEX(MCDM_Grades!$E$6:$E$238,MATCH(A184,MCDM_Grades!$A$6:$A$238,0))</f>
        <v>69.444444444444443</v>
      </c>
      <c r="F184" s="12">
        <f>INDEX(MCDM_Grades!$F$6:$F$238,MATCH(A184,MCDM_Grades!$A$6:$A$238,0))</f>
        <v>99.999999999999986</v>
      </c>
      <c r="G184" s="13">
        <f>INDEX(MCDM_Grades!$G$6:$G$238,MATCH(A184,MCDM_Grades!$A$6:$A$238,0))</f>
        <v>0.69444444444444442</v>
      </c>
      <c r="H184" s="5" t="str">
        <f>HYPERLINK("https://huggingface.co/datasets/DarrylT/M2S-RoAD","Dataset")</f>
        <v>Dataset</v>
      </c>
      <c r="I184" s="5" t="str">
        <f>HYPERLINK("https://arxiv.org/html/2504.10123v1","Evidence / paper")</f>
        <v>Evidence / paper</v>
      </c>
      <c r="J184" s="5" t="s">
        <v>1999</v>
      </c>
      <c r="K184" s="5" t="s">
        <v>168</v>
      </c>
      <c r="L184" s="5" t="s">
        <v>169</v>
      </c>
      <c r="M184" s="5" t="s">
        <v>568</v>
      </c>
      <c r="N184" s="5" t="s">
        <v>2000</v>
      </c>
      <c r="O184" s="5" t="s">
        <v>2001</v>
      </c>
      <c r="P184" s="5" t="s">
        <v>2002</v>
      </c>
      <c r="Q184" s="5" t="s">
        <v>174</v>
      </c>
      <c r="R184" s="5" t="s">
        <v>2003</v>
      </c>
      <c r="S184" s="5" t="s">
        <v>2004</v>
      </c>
      <c r="T184" s="5" t="s">
        <v>2005</v>
      </c>
      <c r="U184" s="5" t="s">
        <v>2006</v>
      </c>
      <c r="V184" s="5" t="s">
        <v>2007</v>
      </c>
      <c r="W184" s="5" t="s">
        <v>1993</v>
      </c>
      <c r="X184" s="5"/>
      <c r="Y184" s="5"/>
      <c r="Z184" s="5" t="s">
        <v>182</v>
      </c>
      <c r="AA184" s="5" t="str">
        <f>HYPERLINK("#'Manual_Review'!A"&amp;(MATCH("DS-179",Manual_Review!$A$6:$A$238,0)+5),"Enter review")</f>
        <v>Enter review</v>
      </c>
      <c r="AB184" s="5" t="str">
        <f>HYPERLINK("#'MCDM_Checks'!A"&amp;(MATCH("DS-179",MCDM_Checks!$B$6:$B$3733,0)+5),"Check evidence")</f>
        <v>Check evidence</v>
      </c>
      <c r="AC184" s="5" t="s">
        <v>1065</v>
      </c>
      <c r="AD184" s="5" t="s">
        <v>2008</v>
      </c>
      <c r="AE184" s="5" t="s">
        <v>2009</v>
      </c>
      <c r="AF184" s="5" t="s">
        <v>2010</v>
      </c>
    </row>
    <row r="185" spans="1:32" ht="38.25">
      <c r="A185" s="5" t="s">
        <v>2011</v>
      </c>
      <c r="B185" s="5" t="s">
        <v>2012</v>
      </c>
      <c r="C185" s="5"/>
      <c r="D185" s="5" t="s">
        <v>118</v>
      </c>
      <c r="E185" s="12">
        <f>INDEX(MCDM_Grades!$E$6:$E$238,MATCH(A185,MCDM_Grades!$A$6:$A$238,0))</f>
        <v>61.111111111111107</v>
      </c>
      <c r="F185" s="12">
        <f>INDEX(MCDM_Grades!$F$6:$F$238,MATCH(A185,MCDM_Grades!$A$6:$A$238,0))</f>
        <v>99.999999999999986</v>
      </c>
      <c r="G185" s="13">
        <f>INDEX(MCDM_Grades!$G$6:$G$238,MATCH(A185,MCDM_Grades!$A$6:$A$238,0))</f>
        <v>0.61111111111111116</v>
      </c>
      <c r="H185" s="5" t="str">
        <f>HYPERLINK("https://huggingface.co/datasets/AD-Assurance-Lab/winter-driving-dataset","Dataset")</f>
        <v>Dataset</v>
      </c>
      <c r="I185" s="5" t="str">
        <f>HYPERLINK("https://github.com/AD-Assurance-Lab/dataset--winter-driving--main","Evidence / paper")</f>
        <v>Evidence / paper</v>
      </c>
      <c r="J185" s="5" t="s">
        <v>2013</v>
      </c>
      <c r="K185" s="5" t="s">
        <v>1957</v>
      </c>
      <c r="L185" s="5" t="s">
        <v>985</v>
      </c>
      <c r="M185" s="5" t="s">
        <v>568</v>
      </c>
      <c r="N185" s="5" t="s">
        <v>2014</v>
      </c>
      <c r="O185" s="5" t="s">
        <v>2015</v>
      </c>
      <c r="P185" s="5" t="s">
        <v>2016</v>
      </c>
      <c r="Q185" s="5" t="s">
        <v>174</v>
      </c>
      <c r="R185" s="5" t="s">
        <v>2017</v>
      </c>
      <c r="S185" s="5" t="s">
        <v>2018</v>
      </c>
      <c r="T185" s="5" t="s">
        <v>2019</v>
      </c>
      <c r="U185" s="5" t="s">
        <v>2020</v>
      </c>
      <c r="V185" s="5" t="s">
        <v>2021</v>
      </c>
      <c r="W185" s="5" t="s">
        <v>1993</v>
      </c>
      <c r="X185" s="5"/>
      <c r="Y185" s="5"/>
      <c r="Z185" s="5" t="s">
        <v>182</v>
      </c>
      <c r="AA185" s="5" t="str">
        <f>HYPERLINK("#'Manual_Review'!A"&amp;(MATCH("DS-180",Manual_Review!$A$6:$A$238,0)+5),"Enter review")</f>
        <v>Enter review</v>
      </c>
      <c r="AB185" s="5" t="str">
        <f>HYPERLINK("#'MCDM_Checks'!A"&amp;(MATCH("DS-180",MCDM_Checks!$B$6:$B$3733,0)+5),"Check evidence")</f>
        <v>Check evidence</v>
      </c>
      <c r="AC185" s="5" t="s">
        <v>1065</v>
      </c>
      <c r="AD185" s="5" t="s">
        <v>2022</v>
      </c>
      <c r="AE185" s="5" t="s">
        <v>2023</v>
      </c>
      <c r="AF185" s="5" t="s">
        <v>2024</v>
      </c>
    </row>
    <row r="186" spans="1:32" ht="25.5">
      <c r="A186" s="5" t="s">
        <v>2025</v>
      </c>
      <c r="B186" s="5" t="s">
        <v>2026</v>
      </c>
      <c r="C186" s="5"/>
      <c r="D186" s="5" t="s">
        <v>118</v>
      </c>
      <c r="E186" s="12">
        <f>INDEX(MCDM_Grades!$E$6:$E$238,MATCH(A186,MCDM_Grades!$A$6:$A$238,0))</f>
        <v>77.777777777777771</v>
      </c>
      <c r="F186" s="12">
        <f>INDEX(MCDM_Grades!$F$6:$F$238,MATCH(A186,MCDM_Grades!$A$6:$A$238,0))</f>
        <v>99.999999999999986</v>
      </c>
      <c r="G186" s="13">
        <f>INDEX(MCDM_Grades!$G$6:$G$238,MATCH(A186,MCDM_Grades!$A$6:$A$238,0))</f>
        <v>0.77777777777777768</v>
      </c>
      <c r="H186" s="5" t="str">
        <f>HYPERLINK("https://lapix.ufsc.br/pesquisas/projeto-veiculo-autonomo/datasets/?lang=en","Dataset")</f>
        <v>Dataset</v>
      </c>
      <c r="I186" s="5" t="str">
        <f>HYPERLINK("https://doi.org/10.22456/2175-2745.91522","Evidence / paper")</f>
        <v>Evidence / paper</v>
      </c>
      <c r="J186" s="5" t="s">
        <v>2027</v>
      </c>
      <c r="K186" s="5" t="s">
        <v>168</v>
      </c>
      <c r="L186" s="5" t="s">
        <v>985</v>
      </c>
      <c r="M186" s="5" t="s">
        <v>568</v>
      </c>
      <c r="N186" s="5" t="s">
        <v>2028</v>
      </c>
      <c r="O186" s="5" t="s">
        <v>2029</v>
      </c>
      <c r="P186" s="5" t="s">
        <v>2030</v>
      </c>
      <c r="Q186" s="5" t="s">
        <v>174</v>
      </c>
      <c r="R186" s="5" t="s">
        <v>2031</v>
      </c>
      <c r="S186" s="5" t="s">
        <v>2032</v>
      </c>
      <c r="T186" s="5" t="s">
        <v>2033</v>
      </c>
      <c r="U186" s="5" t="s">
        <v>2034</v>
      </c>
      <c r="V186" s="5" t="s">
        <v>2035</v>
      </c>
      <c r="W186" s="5" t="s">
        <v>1993</v>
      </c>
      <c r="X186" s="5" t="s">
        <v>2036</v>
      </c>
      <c r="Y186" s="5"/>
      <c r="Z186" s="5" t="s">
        <v>182</v>
      </c>
      <c r="AA186" s="5" t="str">
        <f>HYPERLINK("#'Manual_Review'!A"&amp;(MATCH("DS-181",Manual_Review!$A$6:$A$238,0)+5),"Enter review")</f>
        <v>Enter review</v>
      </c>
      <c r="AB186" s="5" t="str">
        <f>HYPERLINK("#'MCDM_Checks'!A"&amp;(MATCH("DS-181",MCDM_Checks!$B$6:$B$3733,0)+5),"Check evidence")</f>
        <v>Check evidence</v>
      </c>
      <c r="AC186" s="5" t="s">
        <v>659</v>
      </c>
      <c r="AD186" s="5" t="s">
        <v>2037</v>
      </c>
      <c r="AE186" s="5" t="s">
        <v>2038</v>
      </c>
      <c r="AF186" s="5" t="s">
        <v>2039</v>
      </c>
    </row>
    <row r="187" spans="1:32" ht="38.25">
      <c r="A187" s="5" t="s">
        <v>2040</v>
      </c>
      <c r="B187" s="5" t="s">
        <v>2041</v>
      </c>
      <c r="C187" s="5"/>
      <c r="D187" s="5" t="s">
        <v>118</v>
      </c>
      <c r="E187" s="12">
        <f>INDEX(MCDM_Grades!$E$6:$E$238,MATCH(A187,MCDM_Grades!$A$6:$A$238,0))</f>
        <v>86.111111111111114</v>
      </c>
      <c r="F187" s="12">
        <f>INDEX(MCDM_Grades!$F$6:$F$238,MATCH(A187,MCDM_Grades!$A$6:$A$238,0))</f>
        <v>99.999999999999986</v>
      </c>
      <c r="G187" s="13">
        <f>INDEX(MCDM_Grades!$G$6:$G$238,MATCH(A187,MCDM_Grades!$A$6:$A$238,0))</f>
        <v>0.86111111111111116</v>
      </c>
      <c r="H187" s="5" t="str">
        <f>HYPERLINK("https://huggingface.co/datasets/ysilabs/latam-urban-driving-sample","Dataset")</f>
        <v>Dataset</v>
      </c>
      <c r="I187" s="5" t="str">
        <f>HYPERLINK("https://huggingface.co/datasets/ysilabs/latam-urban-driving-sample","Evidence / paper")</f>
        <v>Evidence / paper</v>
      </c>
      <c r="J187" s="5" t="s">
        <v>2042</v>
      </c>
      <c r="K187" s="5" t="s">
        <v>168</v>
      </c>
      <c r="L187" s="5" t="s">
        <v>985</v>
      </c>
      <c r="M187" s="5" t="s">
        <v>568</v>
      </c>
      <c r="N187" s="5" t="s">
        <v>2043</v>
      </c>
      <c r="O187" s="5" t="s">
        <v>2044</v>
      </c>
      <c r="P187" s="5" t="s">
        <v>2045</v>
      </c>
      <c r="Q187" s="5" t="s">
        <v>174</v>
      </c>
      <c r="R187" s="5" t="s">
        <v>2046</v>
      </c>
      <c r="S187" s="5" t="s">
        <v>2047</v>
      </c>
      <c r="T187" s="5" t="s">
        <v>2048</v>
      </c>
      <c r="U187" s="5" t="s">
        <v>2049</v>
      </c>
      <c r="V187" s="5" t="s">
        <v>2050</v>
      </c>
      <c r="W187" s="5" t="s">
        <v>1993</v>
      </c>
      <c r="X187" s="5"/>
      <c r="Y187" s="5"/>
      <c r="Z187" s="5" t="s">
        <v>182</v>
      </c>
      <c r="AA187" s="5" t="str">
        <f>HYPERLINK("#'Manual_Review'!A"&amp;(MATCH("DS-182",Manual_Review!$A$6:$A$238,0)+5),"Enter review")</f>
        <v>Enter review</v>
      </c>
      <c r="AB187" s="5" t="str">
        <f>HYPERLINK("#'MCDM_Checks'!A"&amp;(MATCH("DS-182",MCDM_Checks!$B$6:$B$3733,0)+5),"Check evidence")</f>
        <v>Check evidence</v>
      </c>
      <c r="AC187" s="5" t="s">
        <v>1065</v>
      </c>
      <c r="AD187" s="5" t="s">
        <v>2051</v>
      </c>
      <c r="AE187" s="5" t="s">
        <v>2051</v>
      </c>
      <c r="AF187" s="5" t="s">
        <v>2052</v>
      </c>
    </row>
    <row r="188" spans="1:32" ht="38.25">
      <c r="A188" s="5" t="s">
        <v>81</v>
      </c>
      <c r="B188" s="5" t="s">
        <v>2053</v>
      </c>
      <c r="C188" s="5">
        <v>10</v>
      </c>
      <c r="D188" s="5" t="s">
        <v>118</v>
      </c>
      <c r="E188" s="12">
        <f>INDEX(MCDM_Grades!$E$6:$E$238,MATCH(A188,MCDM_Grades!$A$6:$A$238,0))</f>
        <v>88.888888888888872</v>
      </c>
      <c r="F188" s="12">
        <f>INDEX(MCDM_Grades!$F$6:$F$238,MATCH(A188,MCDM_Grades!$A$6:$A$238,0))</f>
        <v>99.999999999999986</v>
      </c>
      <c r="G188" s="13">
        <f>INDEX(MCDM_Grades!$G$6:$G$238,MATCH(A188,MCDM_Grades!$A$6:$A$238,0))</f>
        <v>0.88888888888888884</v>
      </c>
      <c r="H188" s="5" t="str">
        <f>HYPERLINK("https://zod.zenseact.com/frames/","Dataset")</f>
        <v>Dataset</v>
      </c>
      <c r="I188" s="5" t="str">
        <f>HYPERLINK("https://arxiv.org/abs/2305.02008","Evidence / paper")</f>
        <v>Evidence / paper</v>
      </c>
      <c r="J188" s="5" t="s">
        <v>86</v>
      </c>
      <c r="K188" s="5" t="s">
        <v>1957</v>
      </c>
      <c r="L188" s="5" t="s">
        <v>2054</v>
      </c>
      <c r="M188" s="5" t="s">
        <v>2055</v>
      </c>
      <c r="N188" s="5" t="s">
        <v>2056</v>
      </c>
      <c r="O188" s="5" t="s">
        <v>2057</v>
      </c>
      <c r="P188" s="5" t="s">
        <v>1198</v>
      </c>
      <c r="Q188" s="5" t="s">
        <v>174</v>
      </c>
      <c r="R188" s="5" t="s">
        <v>2058</v>
      </c>
      <c r="S188" s="5" t="s">
        <v>2059</v>
      </c>
      <c r="T188" s="5" t="s">
        <v>2060</v>
      </c>
      <c r="U188" s="5" t="s">
        <v>2061</v>
      </c>
      <c r="V188" s="5" t="s">
        <v>2062</v>
      </c>
      <c r="W188" s="5" t="s">
        <v>1993</v>
      </c>
      <c r="X188" s="5"/>
      <c r="Y188" s="5" t="s">
        <v>87</v>
      </c>
      <c r="Z188" s="5" t="s">
        <v>206</v>
      </c>
      <c r="AA188" s="5" t="str">
        <f>HYPERLINK("#'Manual_Review'!A"&amp;(MATCH("DS-183",Manual_Review!$A$6:$A$238,0)+5),"Enter review")</f>
        <v>Enter review</v>
      </c>
      <c r="AB188" s="5" t="str">
        <f>HYPERLINK("#'MCDM_Checks'!A"&amp;(MATCH("DS-183",MCDM_Checks!$B$6:$B$3733,0)+5),"Check evidence")</f>
        <v>Check evidence</v>
      </c>
      <c r="AC188" s="5" t="s">
        <v>659</v>
      </c>
      <c r="AD188" s="5" t="s">
        <v>2063</v>
      </c>
      <c r="AE188" s="5" t="s">
        <v>2064</v>
      </c>
      <c r="AF188" s="5" t="s">
        <v>2065</v>
      </c>
    </row>
    <row r="189" spans="1:32" ht="38.25">
      <c r="A189" s="5" t="s">
        <v>2066</v>
      </c>
      <c r="B189" s="5" t="s">
        <v>2067</v>
      </c>
      <c r="C189" s="5"/>
      <c r="D189" s="5" t="s">
        <v>118</v>
      </c>
      <c r="E189" s="12">
        <f>INDEX(MCDM_Grades!$E$6:$E$238,MATCH(A189,MCDM_Grades!$A$6:$A$238,0))</f>
        <v>72.222222222222214</v>
      </c>
      <c r="F189" s="12">
        <f>INDEX(MCDM_Grades!$F$6:$F$238,MATCH(A189,MCDM_Grades!$A$6:$A$238,0))</f>
        <v>99.999999999999986</v>
      </c>
      <c r="G189" s="13">
        <f>INDEX(MCDM_Grades!$G$6:$G$238,MATCH(A189,MCDM_Grades!$A$6:$A$238,0))</f>
        <v>0.72222222222222221</v>
      </c>
      <c r="H189" s="5" t="str">
        <f>HYPERLINK("https://www.uni-ulm.de/en/in/institute-of-measurement-control-and-microtechnology/research/data-sets/dense-datasets/","Dataset")</f>
        <v>Dataset</v>
      </c>
      <c r="I189" s="5" t="str">
        <f>HYPERLINK("https://www.cs.princeton.edu/~fheide/AdverseWeatherFusion/figures/AdverseWeatherFusion_Supplement.pdf","Evidence / paper")</f>
        <v>Evidence / paper</v>
      </c>
      <c r="J189" s="5" t="s">
        <v>2068</v>
      </c>
      <c r="K189" s="5" t="s">
        <v>1957</v>
      </c>
      <c r="L189" s="5" t="s">
        <v>2054</v>
      </c>
      <c r="M189" s="5" t="s">
        <v>568</v>
      </c>
      <c r="N189" s="5" t="s">
        <v>2069</v>
      </c>
      <c r="O189" s="5" t="s">
        <v>2070</v>
      </c>
      <c r="P189" s="5" t="s">
        <v>2071</v>
      </c>
      <c r="Q189" s="5" t="s">
        <v>476</v>
      </c>
      <c r="R189" s="5" t="s">
        <v>2072</v>
      </c>
      <c r="S189" s="5" t="s">
        <v>2073</v>
      </c>
      <c r="T189" s="5" t="s">
        <v>2074</v>
      </c>
      <c r="U189" s="5" t="s">
        <v>2075</v>
      </c>
      <c r="V189" s="5" t="s">
        <v>2076</v>
      </c>
      <c r="W189" s="5" t="s">
        <v>1993</v>
      </c>
      <c r="X189" s="5"/>
      <c r="Y189" s="5"/>
      <c r="Z189" s="5" t="s">
        <v>182</v>
      </c>
      <c r="AA189" s="5" t="str">
        <f>HYPERLINK("#'Manual_Review'!A"&amp;(MATCH("DS-184",Manual_Review!$A$6:$A$238,0)+5),"Enter review")</f>
        <v>Enter review</v>
      </c>
      <c r="AB189" s="5" t="str">
        <f>HYPERLINK("#'MCDM_Checks'!A"&amp;(MATCH("DS-184",MCDM_Checks!$B$6:$B$3733,0)+5),"Check evidence")</f>
        <v>Check evidence</v>
      </c>
      <c r="AC189" s="5" t="s">
        <v>659</v>
      </c>
      <c r="AD189" s="5" t="s">
        <v>2077</v>
      </c>
      <c r="AE189" s="5" t="s">
        <v>2078</v>
      </c>
      <c r="AF189" s="5" t="s">
        <v>2079</v>
      </c>
    </row>
    <row r="190" spans="1:32" ht="38.25">
      <c r="A190" s="5" t="s">
        <v>2080</v>
      </c>
      <c r="B190" s="5" t="s">
        <v>2081</v>
      </c>
      <c r="C190" s="5"/>
      <c r="D190" s="5" t="s">
        <v>118</v>
      </c>
      <c r="E190" s="12">
        <f>INDEX(MCDM_Grades!$E$6:$E$238,MATCH(A190,MCDM_Grades!$A$6:$A$238,0))</f>
        <v>66.666666666666657</v>
      </c>
      <c r="F190" s="12">
        <f>INDEX(MCDM_Grades!$F$6:$F$238,MATCH(A190,MCDM_Grades!$A$6:$A$238,0))</f>
        <v>99.999999999999986</v>
      </c>
      <c r="G190" s="13">
        <f>INDEX(MCDM_Grades!$G$6:$G$238,MATCH(A190,MCDM_Grades!$A$6:$A$238,0))</f>
        <v>0.66666666666666674</v>
      </c>
      <c r="H190" s="5" t="str">
        <f>HYPERLINK("https://www.viscoda.com/index.php/en/downloads-en/roadsaw-dataset","Dataset")</f>
        <v>Dataset</v>
      </c>
      <c r="I190" s="5" t="str">
        <f>HYPERLINK("https://openaccess.thecvf.com/content/CVPR2022W/WAD/papers/Cordes_RoadSaW_A_Large-Scale_Dataset_for_Camera-Based_Road_Surface_and_Wetness_CVPRW_2022_paper.pdf","Evidence / paper")</f>
        <v>Evidence / paper</v>
      </c>
      <c r="J190" s="5" t="s">
        <v>2082</v>
      </c>
      <c r="K190" s="5" t="s">
        <v>1957</v>
      </c>
      <c r="L190" s="5" t="s">
        <v>169</v>
      </c>
      <c r="M190" s="5" t="s">
        <v>2083</v>
      </c>
      <c r="N190" s="5" t="s">
        <v>2084</v>
      </c>
      <c r="O190" s="5" t="s">
        <v>2085</v>
      </c>
      <c r="P190" s="5" t="s">
        <v>1060</v>
      </c>
      <c r="Q190" s="5" t="s">
        <v>174</v>
      </c>
      <c r="R190" s="5" t="s">
        <v>2086</v>
      </c>
      <c r="S190" s="5" t="s">
        <v>2087</v>
      </c>
      <c r="T190" s="5" t="s">
        <v>2088</v>
      </c>
      <c r="U190" s="5" t="s">
        <v>2089</v>
      </c>
      <c r="V190" s="5" t="s">
        <v>2090</v>
      </c>
      <c r="W190" s="5" t="s">
        <v>1993</v>
      </c>
      <c r="X190" s="5" t="s">
        <v>2091</v>
      </c>
      <c r="Y190" s="5"/>
      <c r="Z190" s="5" t="s">
        <v>182</v>
      </c>
      <c r="AA190" s="5" t="str">
        <f>HYPERLINK("#'Manual_Review'!A"&amp;(MATCH("DS-185",Manual_Review!$A$6:$A$238,0)+5),"Enter review")</f>
        <v>Enter review</v>
      </c>
      <c r="AB190" s="5" t="str">
        <f>HYPERLINK("#'MCDM_Checks'!A"&amp;(MATCH("DS-185",MCDM_Checks!$B$6:$B$3733,0)+5),"Check evidence")</f>
        <v>Check evidence</v>
      </c>
      <c r="AC190" s="5" t="s">
        <v>659</v>
      </c>
      <c r="AD190" s="5" t="s">
        <v>2092</v>
      </c>
      <c r="AE190" s="5" t="s">
        <v>2093</v>
      </c>
      <c r="AF190" s="5" t="s">
        <v>2094</v>
      </c>
    </row>
    <row r="191" spans="1:32" ht="25.5">
      <c r="A191" s="5" t="s">
        <v>2095</v>
      </c>
      <c r="B191" s="5" t="s">
        <v>2096</v>
      </c>
      <c r="C191" s="5"/>
      <c r="D191" s="5" t="s">
        <v>118</v>
      </c>
      <c r="E191" s="12">
        <f>INDEX(MCDM_Grades!$E$6:$E$238,MATCH(A191,MCDM_Grades!$A$6:$A$238,0))</f>
        <v>69.444444444444443</v>
      </c>
      <c r="F191" s="12">
        <f>INDEX(MCDM_Grades!$F$6:$F$238,MATCH(A191,MCDM_Grades!$A$6:$A$238,0))</f>
        <v>99.999999999999986</v>
      </c>
      <c r="G191" s="13">
        <f>INDEX(MCDM_Grades!$G$6:$G$238,MATCH(A191,MCDM_Grades!$A$6:$A$238,0))</f>
        <v>0.69444444444444442</v>
      </c>
      <c r="H191" s="5" t="str">
        <f>HYPERLINK("https://www.viscoda.com/index.php/en/downloads-en/roadsc-dataset","Dataset")</f>
        <v>Dataset</v>
      </c>
      <c r="I191" s="5" t="str">
        <f>HYPERLINK("https://www.viscoda.com/index.php/en/downloads-en/roadsc-dataset","Evidence / paper")</f>
        <v>Evidence / paper</v>
      </c>
      <c r="J191" s="5" t="s">
        <v>2097</v>
      </c>
      <c r="K191" s="5" t="s">
        <v>1957</v>
      </c>
      <c r="L191" s="5" t="s">
        <v>169</v>
      </c>
      <c r="M191" s="5" t="s">
        <v>568</v>
      </c>
      <c r="N191" s="5" t="s">
        <v>2098</v>
      </c>
      <c r="O191" s="5" t="s">
        <v>2099</v>
      </c>
      <c r="P191" s="5" t="s">
        <v>1060</v>
      </c>
      <c r="Q191" s="5" t="s">
        <v>174</v>
      </c>
      <c r="R191" s="5" t="s">
        <v>2100</v>
      </c>
      <c r="S191" s="5" t="s">
        <v>2101</v>
      </c>
      <c r="T191" s="5" t="s">
        <v>2102</v>
      </c>
      <c r="U191" s="5" t="s">
        <v>2103</v>
      </c>
      <c r="V191" s="5" t="s">
        <v>2104</v>
      </c>
      <c r="W191" s="5" t="s">
        <v>1993</v>
      </c>
      <c r="X191" s="5" t="s">
        <v>2091</v>
      </c>
      <c r="Y191" s="5"/>
      <c r="Z191" s="5" t="s">
        <v>182</v>
      </c>
      <c r="AA191" s="5" t="str">
        <f>HYPERLINK("#'Manual_Review'!A"&amp;(MATCH("DS-186",Manual_Review!$A$6:$A$238,0)+5),"Enter review")</f>
        <v>Enter review</v>
      </c>
      <c r="AB191" s="5" t="str">
        <f>HYPERLINK("#'MCDM_Checks'!A"&amp;(MATCH("DS-186",MCDM_Checks!$B$6:$B$3733,0)+5),"Check evidence")</f>
        <v>Check evidence</v>
      </c>
      <c r="AC191" s="5" t="s">
        <v>659</v>
      </c>
      <c r="AD191" s="5" t="s">
        <v>2105</v>
      </c>
      <c r="AE191" s="5" t="s">
        <v>2105</v>
      </c>
      <c r="AF191" s="5" t="s">
        <v>2106</v>
      </c>
    </row>
    <row r="192" spans="1:32" ht="25.5">
      <c r="A192" s="5" t="s">
        <v>2107</v>
      </c>
      <c r="B192" s="5" t="s">
        <v>2108</v>
      </c>
      <c r="C192" s="5"/>
      <c r="D192" s="5" t="s">
        <v>118</v>
      </c>
      <c r="E192" s="12">
        <f>INDEX(MCDM_Grades!$E$6:$E$238,MATCH(A192,MCDM_Grades!$A$6:$A$238,0))</f>
        <v>69.444444444444443</v>
      </c>
      <c r="F192" s="12">
        <f>INDEX(MCDM_Grades!$F$6:$F$238,MATCH(A192,MCDM_Grades!$A$6:$A$238,0))</f>
        <v>99.999999999999986</v>
      </c>
      <c r="G192" s="13">
        <f>INDEX(MCDM_Grades!$G$6:$G$238,MATCH(A192,MCDM_Grades!$A$6:$A$238,0))</f>
        <v>0.69444444444444442</v>
      </c>
      <c r="H192" s="5" t="str">
        <f>HYPERLINK("https://github.com/ShaoyanZhai2001/SAVeD","Dataset")</f>
        <v>Dataset</v>
      </c>
      <c r="I192" s="5" t="str">
        <f>HYPERLINK("https://arxiv.org/abs/2512.17724","Evidence / paper")</f>
        <v>Evidence / paper</v>
      </c>
      <c r="J192" s="5" t="s">
        <v>2109</v>
      </c>
      <c r="K192" s="5" t="s">
        <v>1957</v>
      </c>
      <c r="L192" s="5" t="s">
        <v>985</v>
      </c>
      <c r="M192" s="5" t="s">
        <v>2110</v>
      </c>
      <c r="N192" s="5" t="s">
        <v>2111</v>
      </c>
      <c r="O192" s="5" t="s">
        <v>2112</v>
      </c>
      <c r="P192" s="5" t="s">
        <v>2113</v>
      </c>
      <c r="Q192" s="5" t="s">
        <v>476</v>
      </c>
      <c r="R192" s="5" t="s">
        <v>2114</v>
      </c>
      <c r="S192" s="5" t="s">
        <v>2115</v>
      </c>
      <c r="T192" s="5" t="s">
        <v>2116</v>
      </c>
      <c r="U192" s="5" t="s">
        <v>2117</v>
      </c>
      <c r="V192" s="5" t="s">
        <v>2118</v>
      </c>
      <c r="W192" s="5" t="s">
        <v>1993</v>
      </c>
      <c r="X192" s="5"/>
      <c r="Y192" s="5"/>
      <c r="Z192" s="5" t="s">
        <v>182</v>
      </c>
      <c r="AA192" s="5" t="str">
        <f>HYPERLINK("#'Manual_Review'!A"&amp;(MATCH("DS-187",Manual_Review!$A$6:$A$238,0)+5),"Enter review")</f>
        <v>Enter review</v>
      </c>
      <c r="AB192" s="5" t="str">
        <f>HYPERLINK("#'MCDM_Checks'!A"&amp;(MATCH("DS-187",MCDM_Checks!$B$6:$B$3733,0)+5),"Check evidence")</f>
        <v>Check evidence</v>
      </c>
      <c r="AC192" s="5" t="s">
        <v>129</v>
      </c>
      <c r="AD192" s="5" t="s">
        <v>2119</v>
      </c>
      <c r="AE192" s="5" t="s">
        <v>2120</v>
      </c>
      <c r="AF192" s="5" t="s">
        <v>2121</v>
      </c>
    </row>
    <row r="193" spans="1:32" ht="25.5">
      <c r="A193" s="5" t="s">
        <v>2122</v>
      </c>
      <c r="B193" s="5" t="s">
        <v>2123</v>
      </c>
      <c r="C193" s="5"/>
      <c r="D193" s="5" t="s">
        <v>118</v>
      </c>
      <c r="E193" s="12">
        <f>INDEX(MCDM_Grades!$E$6:$E$238,MATCH(A193,MCDM_Grades!$A$6:$A$238,0))</f>
        <v>50</v>
      </c>
      <c r="F193" s="12">
        <f>INDEX(MCDM_Grades!$F$6:$F$238,MATCH(A193,MCDM_Grades!$A$6:$A$238,0))</f>
        <v>99.999999999999986</v>
      </c>
      <c r="G193" s="13">
        <f>INDEX(MCDM_Grades!$G$6:$G$238,MATCH(A193,MCDM_Grades!$A$6:$A$238,0))</f>
        <v>0.49999999999999994</v>
      </c>
      <c r="H193" s="5" t="str">
        <f>HYPERLINK("https://doi.org/10.6084/m9.figshare.30341143.v3","Dataset")</f>
        <v>Dataset</v>
      </c>
      <c r="I193" s="5" t="str">
        <f>HYPERLINK("https://doi.org/10.1038/s41597-026-07072-y","Evidence / paper")</f>
        <v>Evidence / paper</v>
      </c>
      <c r="J193" s="5" t="s">
        <v>2124</v>
      </c>
      <c r="K193" s="5" t="s">
        <v>168</v>
      </c>
      <c r="L193" s="5" t="s">
        <v>985</v>
      </c>
      <c r="M193" s="5" t="s">
        <v>170</v>
      </c>
      <c r="N193" s="5" t="s">
        <v>2125</v>
      </c>
      <c r="O193" s="5" t="s">
        <v>2126</v>
      </c>
      <c r="P193" s="5" t="s">
        <v>2127</v>
      </c>
      <c r="Q193" s="5" t="s">
        <v>1961</v>
      </c>
      <c r="R193" s="5" t="s">
        <v>2128</v>
      </c>
      <c r="S193" s="5" t="s">
        <v>2129</v>
      </c>
      <c r="T193" s="5" t="s">
        <v>2130</v>
      </c>
      <c r="U193" s="5" t="s">
        <v>2131</v>
      </c>
      <c r="V193" s="5" t="s">
        <v>2132</v>
      </c>
      <c r="W193" s="5" t="s">
        <v>1993</v>
      </c>
      <c r="X193" s="5"/>
      <c r="Y193" s="5"/>
      <c r="Z193" s="5" t="s">
        <v>182</v>
      </c>
      <c r="AA193" s="5" t="str">
        <f>HYPERLINK("#'Manual_Review'!A"&amp;(MATCH("DS-188",Manual_Review!$A$6:$A$238,0)+5),"Enter review")</f>
        <v>Enter review</v>
      </c>
      <c r="AB193" s="5" t="str">
        <f>HYPERLINK("#'MCDM_Checks'!A"&amp;(MATCH("DS-188",MCDM_Checks!$B$6:$B$3733,0)+5),"Check evidence")</f>
        <v>Check evidence</v>
      </c>
      <c r="AC193" s="5" t="s">
        <v>659</v>
      </c>
      <c r="AD193" s="5" t="s">
        <v>2133</v>
      </c>
      <c r="AE193" s="5" t="s">
        <v>2134</v>
      </c>
      <c r="AF193" s="5" t="s">
        <v>2135</v>
      </c>
    </row>
    <row r="194" spans="1:32" ht="25.5">
      <c r="A194" s="5" t="s">
        <v>2136</v>
      </c>
      <c r="B194" s="5" t="s">
        <v>2137</v>
      </c>
      <c r="C194" s="5"/>
      <c r="D194" s="5" t="s">
        <v>118</v>
      </c>
      <c r="E194" s="12">
        <f>INDEX(MCDM_Grades!$E$6:$E$238,MATCH(A194,MCDM_Grades!$A$6:$A$238,0))</f>
        <v>88.888888888888872</v>
      </c>
      <c r="F194" s="12">
        <f>INDEX(MCDM_Grades!$F$6:$F$238,MATCH(A194,MCDM_Grades!$A$6:$A$238,0))</f>
        <v>99.999999999999986</v>
      </c>
      <c r="G194" s="13">
        <f>INDEX(MCDM_Grades!$G$6:$G$238,MATCH(A194,MCDM_Grades!$A$6:$A$238,0))</f>
        <v>0.88888888888888873</v>
      </c>
      <c r="H194" s="5" t="str">
        <f>HYPERLINK("https://thu-rsxd.com/dxhdiefb/","Dataset")</f>
        <v>Dataset</v>
      </c>
      <c r="I194" s="5" t="str">
        <f>HYPERLINK("https://thu-rsxd.com/rsrd/","Evidence / paper")</f>
        <v>Evidence / paper</v>
      </c>
      <c r="J194" s="5" t="s">
        <v>2138</v>
      </c>
      <c r="K194" s="5" t="s">
        <v>2139</v>
      </c>
      <c r="L194" s="5" t="s">
        <v>985</v>
      </c>
      <c r="M194" s="5" t="s">
        <v>568</v>
      </c>
      <c r="N194" s="5" t="s">
        <v>2140</v>
      </c>
      <c r="O194" s="5" t="s">
        <v>2141</v>
      </c>
      <c r="P194" s="5" t="s">
        <v>2142</v>
      </c>
      <c r="Q194" s="5" t="s">
        <v>174</v>
      </c>
      <c r="R194" s="5" t="s">
        <v>2143</v>
      </c>
      <c r="S194" s="5" t="s">
        <v>2144</v>
      </c>
      <c r="T194" s="5" t="s">
        <v>2145</v>
      </c>
      <c r="U194" s="5" t="s">
        <v>2146</v>
      </c>
      <c r="V194" s="5" t="s">
        <v>2147</v>
      </c>
      <c r="W194" s="5" t="s">
        <v>1993</v>
      </c>
      <c r="X194" s="5" t="s">
        <v>2148</v>
      </c>
      <c r="Y194" s="5"/>
      <c r="Z194" s="5" t="s">
        <v>182</v>
      </c>
      <c r="AA194" s="5" t="str">
        <f>HYPERLINK("#'Manual_Review'!A"&amp;(MATCH("DS-189",Manual_Review!$A$6:$A$238,0)+5),"Enter review")</f>
        <v>Enter review</v>
      </c>
      <c r="AB194" s="5" t="str">
        <f>HYPERLINK("#'MCDM_Checks'!A"&amp;(MATCH("DS-189",MCDM_Checks!$B$6:$B$3733,0)+5),"Check evidence")</f>
        <v>Check evidence</v>
      </c>
      <c r="AC194" s="5" t="s">
        <v>659</v>
      </c>
      <c r="AD194" s="5" t="s">
        <v>1219</v>
      </c>
      <c r="AE194" s="5" t="s">
        <v>2149</v>
      </c>
      <c r="AF194" s="5" t="s">
        <v>2150</v>
      </c>
    </row>
    <row r="195" spans="1:32" ht="25.5">
      <c r="A195" s="5" t="s">
        <v>2151</v>
      </c>
      <c r="B195" s="5" t="s">
        <v>2152</v>
      </c>
      <c r="C195" s="5"/>
      <c r="D195" s="5" t="s">
        <v>118</v>
      </c>
      <c r="E195" s="12">
        <f>INDEX(MCDM_Grades!$E$6:$E$238,MATCH(A195,MCDM_Grades!$A$6:$A$238,0))</f>
        <v>0</v>
      </c>
      <c r="F195" s="12">
        <f>INDEX(MCDM_Grades!$F$6:$F$238,MATCH(A195,MCDM_Grades!$A$6:$A$238,0))</f>
        <v>99.999999999999986</v>
      </c>
      <c r="G195" s="13">
        <f>INDEX(MCDM_Grades!$G$6:$G$238,MATCH(A195,MCDM_Grades!$A$6:$A$238,0))</f>
        <v>0</v>
      </c>
      <c r="H195" s="5" t="str">
        <f>HYPERLINK("https://github.com/hanshenChen/HRP4K","Dataset")</f>
        <v>Dataset</v>
      </c>
      <c r="I195" s="5" t="str">
        <f>HYPERLINK("https://doi.org/10.1038/s41597-026-07317-w","Evidence / paper")</f>
        <v>Evidence / paper</v>
      </c>
      <c r="J195" s="5" t="s">
        <v>2153</v>
      </c>
      <c r="K195" s="5" t="s">
        <v>168</v>
      </c>
      <c r="L195" s="5" t="s">
        <v>169</v>
      </c>
      <c r="M195" s="5" t="s">
        <v>170</v>
      </c>
      <c r="N195" s="5" t="s">
        <v>2154</v>
      </c>
      <c r="O195" s="5" t="s">
        <v>2155</v>
      </c>
      <c r="P195" s="5" t="s">
        <v>2156</v>
      </c>
      <c r="Q195" s="5" t="s">
        <v>1961</v>
      </c>
      <c r="R195" s="5" t="s">
        <v>2157</v>
      </c>
      <c r="S195" s="5" t="s">
        <v>2158</v>
      </c>
      <c r="T195" s="5" t="s">
        <v>2159</v>
      </c>
      <c r="U195" s="5" t="s">
        <v>2160</v>
      </c>
      <c r="V195" s="5" t="s">
        <v>2161</v>
      </c>
      <c r="W195" s="5" t="s">
        <v>1993</v>
      </c>
      <c r="X195" s="5"/>
      <c r="Y195" s="5"/>
      <c r="Z195" s="5" t="s">
        <v>182</v>
      </c>
      <c r="AA195" s="5" t="str">
        <f>HYPERLINK("#'Manual_Review'!A"&amp;(MATCH("DS-190",Manual_Review!$A$6:$A$238,0)+5),"Enter review")</f>
        <v>Enter review</v>
      </c>
      <c r="AB195" s="5" t="str">
        <f>HYPERLINK("#'MCDM_Checks'!A"&amp;(MATCH("DS-190",MCDM_Checks!$B$6:$B$3733,0)+5),"Check evidence")</f>
        <v>Check evidence</v>
      </c>
      <c r="AC195" s="5" t="s">
        <v>129</v>
      </c>
      <c r="AD195" s="5" t="s">
        <v>2162</v>
      </c>
      <c r="AE195" s="5" t="s">
        <v>2163</v>
      </c>
      <c r="AF195" s="5" t="s">
        <v>2164</v>
      </c>
    </row>
    <row r="196" spans="1:32" ht="25.5">
      <c r="A196" s="5" t="s">
        <v>2165</v>
      </c>
      <c r="B196" s="5" t="s">
        <v>2166</v>
      </c>
      <c r="C196" s="5"/>
      <c r="D196" s="5" t="s">
        <v>118</v>
      </c>
      <c r="E196" s="12">
        <f>INDEX(MCDM_Grades!$E$6:$E$238,MATCH(A196,MCDM_Grades!$A$6:$A$238,0))</f>
        <v>72.222222222222214</v>
      </c>
      <c r="F196" s="12">
        <f>INDEX(MCDM_Grades!$F$6:$F$238,MATCH(A196,MCDM_Grades!$A$6:$A$238,0))</f>
        <v>99.999999999999986</v>
      </c>
      <c r="G196" s="13">
        <f>INDEX(MCDM_Grades!$G$6:$G$238,MATCH(A196,MCDM_Grades!$A$6:$A$238,0))</f>
        <v>0.72222222222222221</v>
      </c>
      <c r="H196" s="5" t="str">
        <f>HYPERLINK("https://github.com/unmannedlab/RELLIS-3D","Dataset")</f>
        <v>Dataset</v>
      </c>
      <c r="I196" s="5" t="str">
        <f>HYPERLINK("https://unmannedlab.org/research/RELLIS-3D","Evidence / paper")</f>
        <v>Evidence / paper</v>
      </c>
      <c r="J196" s="5" t="s">
        <v>2167</v>
      </c>
      <c r="K196" s="5" t="s">
        <v>2168</v>
      </c>
      <c r="L196" s="5" t="s">
        <v>985</v>
      </c>
      <c r="M196" s="5" t="s">
        <v>2169</v>
      </c>
      <c r="N196" s="5" t="s">
        <v>2170</v>
      </c>
      <c r="O196" s="5" t="s">
        <v>2171</v>
      </c>
      <c r="P196" s="5" t="s">
        <v>2172</v>
      </c>
      <c r="Q196" s="5" t="s">
        <v>174</v>
      </c>
      <c r="R196" s="5" t="s">
        <v>2173</v>
      </c>
      <c r="S196" s="5" t="s">
        <v>2174</v>
      </c>
      <c r="T196" s="5" t="s">
        <v>2175</v>
      </c>
      <c r="U196" s="5" t="s">
        <v>2176</v>
      </c>
      <c r="V196" s="5" t="s">
        <v>2177</v>
      </c>
      <c r="W196" s="5" t="s">
        <v>1993</v>
      </c>
      <c r="X196" s="5"/>
      <c r="Y196" s="5"/>
      <c r="Z196" s="5" t="s">
        <v>182</v>
      </c>
      <c r="AA196" s="5" t="str">
        <f>HYPERLINK("#'Manual_Review'!A"&amp;(MATCH("DS-191",Manual_Review!$A$6:$A$238,0)+5),"Enter review")</f>
        <v>Enter review</v>
      </c>
      <c r="AB196" s="5" t="str">
        <f>HYPERLINK("#'MCDM_Checks'!A"&amp;(MATCH("DS-191",MCDM_Checks!$B$6:$B$3733,0)+5),"Check evidence")</f>
        <v>Check evidence</v>
      </c>
      <c r="AC196" s="5" t="s">
        <v>129</v>
      </c>
      <c r="AD196" s="5" t="s">
        <v>2178</v>
      </c>
      <c r="AE196" s="5" t="s">
        <v>2179</v>
      </c>
      <c r="AF196" s="5" t="s">
        <v>2180</v>
      </c>
    </row>
    <row r="197" spans="1:32" ht="25.5">
      <c r="A197" s="5" t="s">
        <v>2181</v>
      </c>
      <c r="B197" s="5" t="s">
        <v>2182</v>
      </c>
      <c r="C197" s="5"/>
      <c r="D197" s="5" t="s">
        <v>118</v>
      </c>
      <c r="E197" s="12">
        <f>INDEX(MCDM_Grades!$E$6:$E$238,MATCH(A197,MCDM_Grades!$A$6:$A$238,0))</f>
        <v>77.777777777777771</v>
      </c>
      <c r="F197" s="12">
        <f>INDEX(MCDM_Grades!$F$6:$F$238,MATCH(A197,MCDM_Grades!$A$6:$A$238,0))</f>
        <v>99.999999999999986</v>
      </c>
      <c r="G197" s="13">
        <f>INDEX(MCDM_Grades!$G$6:$G$238,MATCH(A197,MCDM_Grades!$A$6:$A$238,0))</f>
        <v>0.77777777777777779</v>
      </c>
      <c r="H197" s="5" t="str">
        <f>HYPERLINK("https://road-dataset.github.io/","Dataset")</f>
        <v>Dataset</v>
      </c>
      <c r="I197" s="5" t="str">
        <f>HYPERLINK("https://arxiv.org/html/2601.20847v1","Evidence / paper")</f>
        <v>Evidence / paper</v>
      </c>
      <c r="J197" s="5" t="s">
        <v>2183</v>
      </c>
      <c r="K197" s="5" t="s">
        <v>2168</v>
      </c>
      <c r="L197" s="5" t="s">
        <v>985</v>
      </c>
      <c r="M197" s="5" t="s">
        <v>568</v>
      </c>
      <c r="N197" s="5" t="s">
        <v>2184</v>
      </c>
      <c r="O197" s="5" t="s">
        <v>2185</v>
      </c>
      <c r="P197" s="5" t="s">
        <v>2186</v>
      </c>
      <c r="Q197" s="5" t="s">
        <v>476</v>
      </c>
      <c r="R197" s="5" t="s">
        <v>2187</v>
      </c>
      <c r="S197" s="5" t="s">
        <v>2188</v>
      </c>
      <c r="T197" s="5" t="s">
        <v>2189</v>
      </c>
      <c r="U197" s="5" t="s">
        <v>2190</v>
      </c>
      <c r="V197" s="5" t="s">
        <v>2191</v>
      </c>
      <c r="W197" s="5" t="s">
        <v>1993</v>
      </c>
      <c r="X197" s="5"/>
      <c r="Y197" s="5"/>
      <c r="Z197" s="5" t="s">
        <v>182</v>
      </c>
      <c r="AA197" s="5" t="str">
        <f>HYPERLINK("#'Manual_Review'!A"&amp;(MATCH("DS-192",Manual_Review!$A$6:$A$238,0)+5),"Enter review")</f>
        <v>Enter review</v>
      </c>
      <c r="AB197" s="5" t="str">
        <f>HYPERLINK("#'MCDM_Checks'!A"&amp;(MATCH("DS-192",MCDM_Checks!$B$6:$B$3733,0)+5),"Check evidence")</f>
        <v>Check evidence</v>
      </c>
      <c r="AC197" s="5" t="s">
        <v>659</v>
      </c>
      <c r="AD197" s="5" t="s">
        <v>2192</v>
      </c>
      <c r="AE197" s="5" t="s">
        <v>2193</v>
      </c>
      <c r="AF197" s="5" t="s">
        <v>2194</v>
      </c>
    </row>
    <row r="198" spans="1:32" ht="63.75">
      <c r="A198" s="5" t="s">
        <v>2195</v>
      </c>
      <c r="B198" s="5" t="s">
        <v>2196</v>
      </c>
      <c r="C198" s="5"/>
      <c r="D198" s="5" t="s">
        <v>118</v>
      </c>
      <c r="E198" s="12">
        <f>INDEX(MCDM_Grades!$E$6:$E$238,MATCH(A198,MCDM_Grades!$A$6:$A$238,0))</f>
        <v>83.333333333333314</v>
      </c>
      <c r="F198" s="12">
        <f>INDEX(MCDM_Grades!$F$6:$F$238,MATCH(A198,MCDM_Grades!$A$6:$A$238,0))</f>
        <v>99.999999999999986</v>
      </c>
      <c r="G198" s="13">
        <f>INDEX(MCDM_Grades!$G$6:$G$238,MATCH(A198,MCDM_Grades!$A$6:$A$238,0))</f>
        <v>0.83333333333333326</v>
      </c>
      <c r="H198" s="5" t="str">
        <f>HYPERLINK("https://www.tu-ilmenau.de/fileadmin/Bereiche/IA/neurob/Datasets/Request-Gaps3.pdf","Dataset")</f>
        <v>Dataset</v>
      </c>
      <c r="I198" s="16" t="s">
        <v>93</v>
      </c>
      <c r="J198" s="5" t="s">
        <v>2197</v>
      </c>
      <c r="K198" s="5" t="s">
        <v>168</v>
      </c>
      <c r="L198" s="5" t="s">
        <v>169</v>
      </c>
      <c r="M198" s="5" t="s">
        <v>170</v>
      </c>
      <c r="N198" s="5" t="s">
        <v>2198</v>
      </c>
      <c r="O198" s="5" t="s">
        <v>2199</v>
      </c>
      <c r="P198" s="5" t="s">
        <v>2200</v>
      </c>
      <c r="Q198" s="5" t="s">
        <v>476</v>
      </c>
      <c r="R198" s="5" t="s">
        <v>2201</v>
      </c>
      <c r="S198" s="5" t="s">
        <v>2202</v>
      </c>
      <c r="T198" s="5" t="s">
        <v>2203</v>
      </c>
      <c r="U198" s="5" t="s">
        <v>2204</v>
      </c>
      <c r="V198" s="5" t="s">
        <v>2205</v>
      </c>
      <c r="W198" s="5" t="s">
        <v>1993</v>
      </c>
      <c r="X198" s="5" t="s">
        <v>2206</v>
      </c>
      <c r="Y198" s="5"/>
      <c r="Z198" s="5" t="s">
        <v>182</v>
      </c>
      <c r="AA198" s="5" t="str">
        <f>HYPERLINK("#'Manual_Review'!A"&amp;(MATCH("DS-193",Manual_Review!$A$6:$A$238,0)+5),"Enter review")</f>
        <v>Enter review</v>
      </c>
      <c r="AB198" s="5" t="str">
        <f>HYPERLINK("#'MCDM_Checks'!A"&amp;(MATCH("DS-193",MCDM_Checks!$B$6:$B$3733,0)+5),"Check evidence")</f>
        <v>Check evidence</v>
      </c>
      <c r="AC198" s="5" t="s">
        <v>659</v>
      </c>
      <c r="AD198" s="5" t="s">
        <v>2207</v>
      </c>
      <c r="AE198" s="5" t="s">
        <v>2208</v>
      </c>
      <c r="AF198" s="5" t="s">
        <v>2209</v>
      </c>
    </row>
    <row r="199" spans="1:32" ht="63.75">
      <c r="A199" s="5" t="s">
        <v>2210</v>
      </c>
      <c r="B199" s="5" t="s">
        <v>2211</v>
      </c>
      <c r="C199" s="5"/>
      <c r="D199" s="5" t="s">
        <v>118</v>
      </c>
      <c r="E199" s="12">
        <f>INDEX(MCDM_Grades!$E$6:$E$238,MATCH(A199,MCDM_Grades!$A$6:$A$238,0))</f>
        <v>80.555555555555557</v>
      </c>
      <c r="F199" s="12">
        <f>INDEX(MCDM_Grades!$F$6:$F$238,MATCH(A199,MCDM_Grades!$A$6:$A$238,0))</f>
        <v>99.999999999999986</v>
      </c>
      <c r="G199" s="13">
        <f>INDEX(MCDM_Grades!$G$6:$G$238,MATCH(A199,MCDM_Grades!$A$6:$A$238,0))</f>
        <v>0.80555555555555547</v>
      </c>
      <c r="H199" s="16" t="s">
        <v>4</v>
      </c>
      <c r="I199" s="5" t="str">
        <f>HYPERLINK("https://www.tu-ilmenau.de/fileadmin/Bereiche/IA/neurob/Publikationen/conferences_int/2019/Stricker-IJCNN-2019.pdf","Evidence / paper")</f>
        <v>Evidence / paper</v>
      </c>
      <c r="J199" s="5" t="s">
        <v>2212</v>
      </c>
      <c r="K199" s="5" t="s">
        <v>168</v>
      </c>
      <c r="L199" s="5" t="s">
        <v>169</v>
      </c>
      <c r="M199" s="5" t="s">
        <v>170</v>
      </c>
      <c r="N199" s="5" t="s">
        <v>2213</v>
      </c>
      <c r="O199" s="5" t="s">
        <v>2214</v>
      </c>
      <c r="P199" s="5" t="s">
        <v>2215</v>
      </c>
      <c r="Q199" s="5" t="s">
        <v>476</v>
      </c>
      <c r="R199" s="5" t="s">
        <v>2216</v>
      </c>
      <c r="S199" s="5" t="s">
        <v>2217</v>
      </c>
      <c r="T199" s="5" t="s">
        <v>2218</v>
      </c>
      <c r="U199" s="5" t="s">
        <v>2219</v>
      </c>
      <c r="V199" s="5" t="s">
        <v>2220</v>
      </c>
      <c r="W199" s="5" t="s">
        <v>1993</v>
      </c>
      <c r="X199" s="5" t="s">
        <v>2206</v>
      </c>
      <c r="Y199" s="5"/>
      <c r="Z199" s="5" t="s">
        <v>182</v>
      </c>
      <c r="AA199" s="5" t="str">
        <f>HYPERLINK("#'Manual_Review'!A"&amp;(MATCH("DS-194",Manual_Review!$A$6:$A$238,0)+5),"Enter review")</f>
        <v>Enter review</v>
      </c>
      <c r="AB199" s="5" t="str">
        <f>HYPERLINK("#'MCDM_Checks'!A"&amp;(MATCH("DS-194",MCDM_Checks!$B$6:$B$3733,0)+5),"Check evidence")</f>
        <v>Check evidence</v>
      </c>
      <c r="AC199" s="5" t="s">
        <v>659</v>
      </c>
      <c r="AD199" s="5" t="s">
        <v>2208</v>
      </c>
      <c r="AE199" s="5" t="s">
        <v>2221</v>
      </c>
      <c r="AF199" s="5" t="s">
        <v>2222</v>
      </c>
    </row>
    <row r="200" spans="1:32" ht="38.25">
      <c r="A200" s="5" t="s">
        <v>2223</v>
      </c>
      <c r="B200" s="5" t="s">
        <v>2224</v>
      </c>
      <c r="C200" s="5"/>
      <c r="D200" s="5" t="s">
        <v>118</v>
      </c>
      <c r="E200" s="12">
        <f>INDEX(MCDM_Grades!$E$6:$E$238,MATCH(A200,MCDM_Grades!$A$6:$A$238,0))</f>
        <v>52.777777777777771</v>
      </c>
      <c r="F200" s="12">
        <f>INDEX(MCDM_Grades!$F$6:$F$238,MATCH(A200,MCDM_Grades!$A$6:$A$238,0))</f>
        <v>99.999999999999986</v>
      </c>
      <c r="G200" s="13">
        <f>INDEX(MCDM_Grades!$G$6:$G$238,MATCH(A200,MCDM_Grades!$A$6:$A$238,0))</f>
        <v>0.52777777777777779</v>
      </c>
      <c r="H200" s="5" t="str">
        <f>HYPERLINK("https://www.mapillary.com/dataset/vistas","Dataset")</f>
        <v>Dataset</v>
      </c>
      <c r="I200" s="5" t="str">
        <f>HYPERLINK("https://github.com/facebookresearch/Mask2Former/blob/main/mask2former/data/datasets/register_mapillary_vistas.py","Evidence / paper")</f>
        <v>Evidence / paper</v>
      </c>
      <c r="J200" s="5" t="s">
        <v>2225</v>
      </c>
      <c r="K200" s="5" t="s">
        <v>168</v>
      </c>
      <c r="L200" s="5" t="s">
        <v>169</v>
      </c>
      <c r="M200" s="5" t="s">
        <v>2226</v>
      </c>
      <c r="N200" s="5" t="s">
        <v>2227</v>
      </c>
      <c r="O200" s="5" t="s">
        <v>2228</v>
      </c>
      <c r="P200" s="5" t="s">
        <v>2229</v>
      </c>
      <c r="Q200" s="5" t="s">
        <v>1812</v>
      </c>
      <c r="R200" s="5" t="s">
        <v>2230</v>
      </c>
      <c r="S200" s="5" t="s">
        <v>2231</v>
      </c>
      <c r="T200" s="5" t="s">
        <v>2232</v>
      </c>
      <c r="U200" s="5" t="s">
        <v>2233</v>
      </c>
      <c r="V200" s="5" t="s">
        <v>2234</v>
      </c>
      <c r="W200" s="5" t="s">
        <v>1993</v>
      </c>
      <c r="X200" s="5" t="s">
        <v>1124</v>
      </c>
      <c r="Y200" s="5"/>
      <c r="Z200" s="5" t="s">
        <v>182</v>
      </c>
      <c r="AA200" s="5" t="str">
        <f>HYPERLINK("#'Manual_Review'!A"&amp;(MATCH("DS-195",Manual_Review!$A$6:$A$238,0)+5),"Enter review")</f>
        <v>Enter review</v>
      </c>
      <c r="AB200" s="5" t="str">
        <f>HYPERLINK("#'MCDM_Checks'!A"&amp;(MATCH("DS-195",MCDM_Checks!$B$6:$B$3733,0)+5),"Check evidence")</f>
        <v>Check evidence</v>
      </c>
      <c r="AC200" s="5" t="s">
        <v>659</v>
      </c>
      <c r="AD200" s="5" t="s">
        <v>2235</v>
      </c>
      <c r="AE200" s="5" t="s">
        <v>2236</v>
      </c>
      <c r="AF200" s="5" t="s">
        <v>2237</v>
      </c>
    </row>
    <row r="201" spans="1:32" ht="25.5">
      <c r="A201" s="5" t="s">
        <v>2238</v>
      </c>
      <c r="B201" s="5" t="s">
        <v>2239</v>
      </c>
      <c r="C201" s="5"/>
      <c r="D201" s="5" t="s">
        <v>118</v>
      </c>
      <c r="E201" s="12">
        <f>INDEX(MCDM_Grades!$E$6:$E$238,MATCH(A201,MCDM_Grades!$A$6:$A$238,0))</f>
        <v>75</v>
      </c>
      <c r="F201" s="12">
        <f>INDEX(MCDM_Grades!$F$6:$F$238,MATCH(A201,MCDM_Grades!$A$6:$A$238,0))</f>
        <v>99.999999999999986</v>
      </c>
      <c r="G201" s="13">
        <f>INDEX(MCDM_Grades!$G$6:$G$238,MATCH(A201,MCDM_Grades!$A$6:$A$238,0))</f>
        <v>0.75</v>
      </c>
      <c r="H201" s="5" t="str">
        <f>HYPERLINK("https://zenodo.org/records/11449977","Dataset")</f>
        <v>Dataset</v>
      </c>
      <c r="I201" s="5" t="str">
        <f>HYPERLINK("https://pmc.ncbi.nlm.nih.gov/articles/PMC11739464/","Evidence / paper")</f>
        <v>Evidence / paper</v>
      </c>
      <c r="J201" s="5" t="s">
        <v>2240</v>
      </c>
      <c r="K201" s="5" t="s">
        <v>168</v>
      </c>
      <c r="L201" s="5" t="s">
        <v>169</v>
      </c>
      <c r="M201" s="5" t="s">
        <v>2226</v>
      </c>
      <c r="N201" s="5" t="s">
        <v>2241</v>
      </c>
      <c r="O201" s="5" t="s">
        <v>2242</v>
      </c>
      <c r="P201" s="5" t="s">
        <v>2243</v>
      </c>
      <c r="Q201" s="5" t="s">
        <v>174</v>
      </c>
      <c r="R201" s="5" t="s">
        <v>2244</v>
      </c>
      <c r="S201" s="5" t="s">
        <v>2245</v>
      </c>
      <c r="T201" s="5" t="s">
        <v>2246</v>
      </c>
      <c r="U201" s="5" t="s">
        <v>2247</v>
      </c>
      <c r="V201" s="5" t="s">
        <v>2248</v>
      </c>
      <c r="W201" s="5" t="s">
        <v>1993</v>
      </c>
      <c r="X201" s="5" t="s">
        <v>1124</v>
      </c>
      <c r="Y201" s="5"/>
      <c r="Z201" s="5" t="s">
        <v>182</v>
      </c>
      <c r="AA201" s="5" t="str">
        <f>HYPERLINK("#'Manual_Review'!A"&amp;(MATCH("DS-196",Manual_Review!$A$6:$A$238,0)+5),"Enter review")</f>
        <v>Enter review</v>
      </c>
      <c r="AB201" s="5" t="str">
        <f>HYPERLINK("#'MCDM_Checks'!A"&amp;(MATCH("DS-196",MCDM_Checks!$B$6:$B$3733,0)+5),"Check evidence")</f>
        <v>Check evidence</v>
      </c>
      <c r="AC201" s="5" t="s">
        <v>1286</v>
      </c>
      <c r="AD201" s="5" t="s">
        <v>2249</v>
      </c>
      <c r="AE201" s="5" t="s">
        <v>2250</v>
      </c>
      <c r="AF201" s="5" t="s">
        <v>2251</v>
      </c>
    </row>
    <row r="202" spans="1:32" ht="25.5">
      <c r="A202" s="5" t="s">
        <v>2252</v>
      </c>
      <c r="B202" s="5" t="s">
        <v>2253</v>
      </c>
      <c r="C202" s="5"/>
      <c r="D202" s="5" t="s">
        <v>118</v>
      </c>
      <c r="E202" s="12">
        <f>INDEX(MCDM_Grades!$E$6:$E$238,MATCH(A202,MCDM_Grades!$A$6:$A$238,0))</f>
        <v>66.666666666666657</v>
      </c>
      <c r="F202" s="12">
        <f>INDEX(MCDM_Grades!$F$6:$F$238,MATCH(A202,MCDM_Grades!$A$6:$A$238,0))</f>
        <v>99.999999999999986</v>
      </c>
      <c r="G202" s="13">
        <f>INDEX(MCDM_Grades!$G$6:$G$238,MATCH(A202,MCDM_Grades!$A$6:$A$238,0))</f>
        <v>0.66666666666666663</v>
      </c>
      <c r="H202" s="5" t="str">
        <f>HYPERLINK("https://a2d2-dataset.github.io/","Dataset")</f>
        <v>Dataset</v>
      </c>
      <c r="I202" s="5" t="str">
        <f>HYPERLINK("https://registry.opendata.aws/aev-a2d2/","Evidence / paper")</f>
        <v>Evidence / paper</v>
      </c>
      <c r="J202" s="5" t="s">
        <v>2254</v>
      </c>
      <c r="K202" s="5" t="s">
        <v>2255</v>
      </c>
      <c r="L202" s="5" t="s">
        <v>985</v>
      </c>
      <c r="M202" s="5" t="s">
        <v>2055</v>
      </c>
      <c r="N202" s="5" t="s">
        <v>2256</v>
      </c>
      <c r="O202" s="5" t="s">
        <v>2257</v>
      </c>
      <c r="P202" s="5" t="s">
        <v>2258</v>
      </c>
      <c r="Q202" s="5" t="s">
        <v>174</v>
      </c>
      <c r="R202" s="5" t="s">
        <v>2259</v>
      </c>
      <c r="S202" s="5" t="s">
        <v>2260</v>
      </c>
      <c r="T202" s="5" t="s">
        <v>2261</v>
      </c>
      <c r="U202" s="5" t="s">
        <v>2262</v>
      </c>
      <c r="V202" s="5" t="s">
        <v>2263</v>
      </c>
      <c r="W202" s="5" t="s">
        <v>1993</v>
      </c>
      <c r="X202" s="5"/>
      <c r="Y202" s="5"/>
      <c r="Z202" s="5" t="s">
        <v>182</v>
      </c>
      <c r="AA202" s="5" t="str">
        <f>HYPERLINK("#'Manual_Review'!A"&amp;(MATCH("DS-197",Manual_Review!$A$6:$A$238,0)+5),"Enter review")</f>
        <v>Enter review</v>
      </c>
      <c r="AB202" s="5" t="str">
        <f>HYPERLINK("#'MCDM_Checks'!A"&amp;(MATCH("DS-197",MCDM_Checks!$B$6:$B$3733,0)+5),"Check evidence")</f>
        <v>Check evidence</v>
      </c>
      <c r="AC202" s="5" t="s">
        <v>659</v>
      </c>
      <c r="AD202" s="5" t="s">
        <v>2264</v>
      </c>
      <c r="AE202" s="5" t="s">
        <v>2265</v>
      </c>
      <c r="AF202" s="5" t="s">
        <v>2266</v>
      </c>
    </row>
    <row r="203" spans="1:32" ht="25.5">
      <c r="A203" s="5" t="s">
        <v>2267</v>
      </c>
      <c r="B203" s="5" t="s">
        <v>2268</v>
      </c>
      <c r="C203" s="5"/>
      <c r="D203" s="5" t="s">
        <v>118</v>
      </c>
      <c r="E203" s="12">
        <f>INDEX(MCDM_Grades!$E$6:$E$238,MATCH(A203,MCDM_Grades!$A$6:$A$238,0))</f>
        <v>72.222222222222214</v>
      </c>
      <c r="F203" s="12">
        <f>INDEX(MCDM_Grades!$F$6:$F$238,MATCH(A203,MCDM_Grades!$A$6:$A$238,0))</f>
        <v>99.999999999999986</v>
      </c>
      <c r="G203" s="13">
        <f>INDEX(MCDM_Grades!$G$6:$G$238,MATCH(A203,MCDM_Grades!$A$6:$A$238,0))</f>
        <v>0.72222222222222221</v>
      </c>
      <c r="H203" s="5" t="str">
        <f>HYPERLINK("https://acdc.vision.ee.ethz.ch/","Dataset")</f>
        <v>Dataset</v>
      </c>
      <c r="I203" s="5" t="str">
        <f>HYPERLINK("https://arxiv.org/abs/2104.13395","Evidence / paper")</f>
        <v>Evidence / paper</v>
      </c>
      <c r="J203" s="5" t="s">
        <v>2269</v>
      </c>
      <c r="K203" s="5" t="s">
        <v>2255</v>
      </c>
      <c r="L203" s="5" t="s">
        <v>169</v>
      </c>
      <c r="M203" s="5" t="s">
        <v>2055</v>
      </c>
      <c r="N203" s="5" t="s">
        <v>2270</v>
      </c>
      <c r="O203" s="5" t="s">
        <v>2271</v>
      </c>
      <c r="P203" s="5" t="s">
        <v>2272</v>
      </c>
      <c r="Q203" s="5" t="s">
        <v>1812</v>
      </c>
      <c r="R203" s="5" t="s">
        <v>2273</v>
      </c>
      <c r="S203" s="5" t="s">
        <v>2274</v>
      </c>
      <c r="T203" s="5" t="s">
        <v>2275</v>
      </c>
      <c r="U203" s="5" t="s">
        <v>2276</v>
      </c>
      <c r="V203" s="5" t="s">
        <v>2277</v>
      </c>
      <c r="W203" s="5" t="s">
        <v>1993</v>
      </c>
      <c r="X203" s="5"/>
      <c r="Y203" s="5"/>
      <c r="Z203" s="5" t="s">
        <v>182</v>
      </c>
      <c r="AA203" s="5" t="str">
        <f>HYPERLINK("#'Manual_Review'!A"&amp;(MATCH("DS-198",Manual_Review!$A$6:$A$238,0)+5),"Enter review")</f>
        <v>Enter review</v>
      </c>
      <c r="AB203" s="5" t="str">
        <f>HYPERLINK("#'MCDM_Checks'!A"&amp;(MATCH("DS-198",MCDM_Checks!$B$6:$B$3733,0)+5),"Check evidence")</f>
        <v>Check evidence</v>
      </c>
      <c r="AC203" s="5" t="s">
        <v>659</v>
      </c>
      <c r="AD203" s="5" t="s">
        <v>2278</v>
      </c>
      <c r="AE203" s="5" t="s">
        <v>2279</v>
      </c>
      <c r="AF203" s="5" t="s">
        <v>2280</v>
      </c>
    </row>
    <row r="204" spans="1:32" ht="25.5">
      <c r="A204" s="5" t="s">
        <v>2281</v>
      </c>
      <c r="B204" s="5" t="s">
        <v>2282</v>
      </c>
      <c r="C204" s="5"/>
      <c r="D204" s="5" t="s">
        <v>118</v>
      </c>
      <c r="E204" s="12">
        <f>INDEX(MCDM_Grades!$E$6:$E$238,MATCH(A204,MCDM_Grades!$A$6:$A$238,0))</f>
        <v>44.444444444444436</v>
      </c>
      <c r="F204" s="12">
        <f>INDEX(MCDM_Grades!$F$6:$F$238,MATCH(A204,MCDM_Grades!$A$6:$A$238,0))</f>
        <v>99.999999999999986</v>
      </c>
      <c r="G204" s="13">
        <f>INDEX(MCDM_Grades!$G$6:$G$238,MATCH(A204,MCDM_Grades!$A$6:$A$238,0))</f>
        <v>0.44444444444444442</v>
      </c>
      <c r="H204" s="5" t="str">
        <f>HYPERLINK("https://github.com/aimotive/aimotive_dataset","Dataset")</f>
        <v>Dataset</v>
      </c>
      <c r="I204" s="5" t="str">
        <f>HYPERLINK("https://arxiv.org/abs/2211.09445","Evidence / paper")</f>
        <v>Evidence / paper</v>
      </c>
      <c r="J204" s="5" t="s">
        <v>2283</v>
      </c>
      <c r="K204" s="5" t="s">
        <v>2255</v>
      </c>
      <c r="L204" s="5" t="s">
        <v>985</v>
      </c>
      <c r="M204" s="5" t="s">
        <v>2055</v>
      </c>
      <c r="N204" s="5" t="s">
        <v>2284</v>
      </c>
      <c r="O204" s="5" t="s">
        <v>2285</v>
      </c>
      <c r="P204" s="5" t="s">
        <v>2286</v>
      </c>
      <c r="Q204" s="5" t="s">
        <v>174</v>
      </c>
      <c r="R204" s="5" t="s">
        <v>2287</v>
      </c>
      <c r="S204" s="5" t="s">
        <v>2288</v>
      </c>
      <c r="T204" s="5" t="s">
        <v>2289</v>
      </c>
      <c r="U204" s="5" t="s">
        <v>2290</v>
      </c>
      <c r="V204" s="5" t="s">
        <v>2291</v>
      </c>
      <c r="W204" s="5" t="s">
        <v>1993</v>
      </c>
      <c r="X204" s="5"/>
      <c r="Y204" s="5"/>
      <c r="Z204" s="5" t="s">
        <v>182</v>
      </c>
      <c r="AA204" s="5" t="str">
        <f>HYPERLINK("#'Manual_Review'!A"&amp;(MATCH("DS-199",Manual_Review!$A$6:$A$238,0)+5),"Enter review")</f>
        <v>Enter review</v>
      </c>
      <c r="AB204" s="5" t="str">
        <f>HYPERLINK("#'MCDM_Checks'!A"&amp;(MATCH("DS-199",MCDM_Checks!$B$6:$B$3733,0)+5),"Check evidence")</f>
        <v>Check evidence</v>
      </c>
      <c r="AC204" s="5" t="s">
        <v>129</v>
      </c>
      <c r="AD204" s="5" t="s">
        <v>2292</v>
      </c>
      <c r="AE204" s="5" t="s">
        <v>2293</v>
      </c>
      <c r="AF204" s="5" t="s">
        <v>2294</v>
      </c>
    </row>
    <row r="205" spans="1:32" ht="25.5">
      <c r="A205" s="5" t="s">
        <v>2295</v>
      </c>
      <c r="B205" s="5" t="s">
        <v>2296</v>
      </c>
      <c r="C205" s="5"/>
      <c r="D205" s="5" t="s">
        <v>118</v>
      </c>
      <c r="E205" s="12">
        <f>INDEX(MCDM_Grades!$E$6:$E$238,MATCH(A205,MCDM_Grades!$A$6:$A$238,0))</f>
        <v>63.888888888888893</v>
      </c>
      <c r="F205" s="12">
        <f>INDEX(MCDM_Grades!$F$6:$F$238,MATCH(A205,MCDM_Grades!$A$6:$A$238,0))</f>
        <v>99.999999999999986</v>
      </c>
      <c r="G205" s="13">
        <f>INDEX(MCDM_Grades!$G$6:$G$238,MATCH(A205,MCDM_Grades!$A$6:$A$238,0))</f>
        <v>0.63888888888888884</v>
      </c>
      <c r="H205" s="5" t="str">
        <f>HYPERLINK("https://apolloscapeauto.github.io/dataset-api/","Dataset")</f>
        <v>Dataset</v>
      </c>
      <c r="I205" s="5" t="str">
        <f>HYPERLINK("https://github.com/ApolloScapeAuto/dataset-api/blob/master/scene_parsing/README.md","Evidence / paper")</f>
        <v>Evidence / paper</v>
      </c>
      <c r="J205" s="5" t="s">
        <v>2297</v>
      </c>
      <c r="K205" s="5" t="s">
        <v>2255</v>
      </c>
      <c r="L205" s="5" t="s">
        <v>985</v>
      </c>
      <c r="M205" s="5" t="s">
        <v>2055</v>
      </c>
      <c r="N205" s="5" t="s">
        <v>2298</v>
      </c>
      <c r="O205" s="5" t="s">
        <v>2299</v>
      </c>
      <c r="P205" s="5" t="s">
        <v>2300</v>
      </c>
      <c r="Q205" s="5" t="s">
        <v>174</v>
      </c>
      <c r="R205" s="5" t="s">
        <v>2301</v>
      </c>
      <c r="S205" s="5" t="s">
        <v>2302</v>
      </c>
      <c r="T205" s="5" t="s">
        <v>2303</v>
      </c>
      <c r="U205" s="5" t="s">
        <v>2304</v>
      </c>
      <c r="V205" s="5" t="s">
        <v>2305</v>
      </c>
      <c r="W205" s="5" t="s">
        <v>1993</v>
      </c>
      <c r="X205" s="5"/>
      <c r="Y205" s="5"/>
      <c r="Z205" s="5" t="s">
        <v>182</v>
      </c>
      <c r="AA205" s="5" t="str">
        <f>HYPERLINK("#'Manual_Review'!A"&amp;(MATCH("DS-200",Manual_Review!$A$6:$A$238,0)+5),"Enter review")</f>
        <v>Enter review</v>
      </c>
      <c r="AB205" s="5" t="str">
        <f>HYPERLINK("#'MCDM_Checks'!A"&amp;(MATCH("DS-200",MCDM_Checks!$B$6:$B$3733,0)+5),"Check evidence")</f>
        <v>Check evidence</v>
      </c>
      <c r="AC205" s="5" t="s">
        <v>659</v>
      </c>
      <c r="AD205" s="5" t="s">
        <v>2306</v>
      </c>
      <c r="AE205" s="5" t="s">
        <v>2307</v>
      </c>
      <c r="AF205" s="5" t="s">
        <v>2308</v>
      </c>
    </row>
    <row r="206" spans="1:32" ht="25.5">
      <c r="A206" s="5" t="s">
        <v>2309</v>
      </c>
      <c r="B206" s="5" t="s">
        <v>2310</v>
      </c>
      <c r="C206" s="5"/>
      <c r="D206" s="5" t="s">
        <v>118</v>
      </c>
      <c r="E206" s="12">
        <f>INDEX(MCDM_Grades!$E$6:$E$238,MATCH(A206,MCDM_Grades!$A$6:$A$238,0))</f>
        <v>63.888888888888872</v>
      </c>
      <c r="F206" s="12">
        <f>INDEX(MCDM_Grades!$F$6:$F$238,MATCH(A206,MCDM_Grades!$A$6:$A$238,0))</f>
        <v>99.999999999999986</v>
      </c>
      <c r="G206" s="13">
        <f>INDEX(MCDM_Grades!$G$6:$G$238,MATCH(A206,MCDM_Grades!$A$6:$A$238,0))</f>
        <v>0.63888888888888884</v>
      </c>
      <c r="H206" s="5" t="str">
        <f>HYPERLINK("https://www.argoverse.org/av1.html","Dataset")</f>
        <v>Dataset</v>
      </c>
      <c r="I206" s="5" t="str">
        <f>HYPERLINK("https://www.argoverse.org/av1.html","Evidence / paper")</f>
        <v>Evidence / paper</v>
      </c>
      <c r="J206" s="5" t="s">
        <v>2311</v>
      </c>
      <c r="K206" s="5" t="s">
        <v>2255</v>
      </c>
      <c r="L206" s="5" t="s">
        <v>985</v>
      </c>
      <c r="M206" s="5" t="s">
        <v>2055</v>
      </c>
      <c r="N206" s="5" t="s">
        <v>2312</v>
      </c>
      <c r="O206" s="5" t="s">
        <v>2313</v>
      </c>
      <c r="P206" s="5" t="s">
        <v>2314</v>
      </c>
      <c r="Q206" s="5" t="s">
        <v>174</v>
      </c>
      <c r="R206" s="5" t="s">
        <v>2315</v>
      </c>
      <c r="S206" s="5" t="s">
        <v>2316</v>
      </c>
      <c r="T206" s="5" t="s">
        <v>2317</v>
      </c>
      <c r="U206" s="5" t="s">
        <v>2318</v>
      </c>
      <c r="V206" s="5" t="s">
        <v>2319</v>
      </c>
      <c r="W206" s="5" t="s">
        <v>1993</v>
      </c>
      <c r="X206" s="5" t="s">
        <v>2320</v>
      </c>
      <c r="Y206" s="5"/>
      <c r="Z206" s="5" t="s">
        <v>182</v>
      </c>
      <c r="AA206" s="5" t="str">
        <f>HYPERLINK("#'Manual_Review'!A"&amp;(MATCH("DS-201",Manual_Review!$A$6:$A$238,0)+5),"Enter review")</f>
        <v>Enter review</v>
      </c>
      <c r="AB206" s="5" t="str">
        <f>HYPERLINK("#'MCDM_Checks'!A"&amp;(MATCH("DS-201",MCDM_Checks!$B$6:$B$3733,0)+5),"Check evidence")</f>
        <v>Check evidence</v>
      </c>
      <c r="AC206" s="5" t="s">
        <v>659</v>
      </c>
      <c r="AD206" s="5" t="s">
        <v>2321</v>
      </c>
      <c r="AE206" s="5" t="s">
        <v>2321</v>
      </c>
      <c r="AF206" s="5" t="s">
        <v>2322</v>
      </c>
    </row>
    <row r="207" spans="1:32" ht="25.5">
      <c r="A207" s="5" t="s">
        <v>2323</v>
      </c>
      <c r="B207" s="5" t="s">
        <v>2324</v>
      </c>
      <c r="C207" s="5"/>
      <c r="D207" s="5" t="s">
        <v>118</v>
      </c>
      <c r="E207" s="12">
        <f>INDEX(MCDM_Grades!$E$6:$E$238,MATCH(A207,MCDM_Grades!$A$6:$A$238,0))</f>
        <v>72.222222222222214</v>
      </c>
      <c r="F207" s="12">
        <f>INDEX(MCDM_Grades!$F$6:$F$238,MATCH(A207,MCDM_Grades!$A$6:$A$238,0))</f>
        <v>99.999999999999986</v>
      </c>
      <c r="G207" s="13">
        <f>INDEX(MCDM_Grades!$G$6:$G$238,MATCH(A207,MCDM_Grades!$A$6:$A$238,0))</f>
        <v>0.72222222222222221</v>
      </c>
      <c r="H207" s="5" t="str">
        <f>HYPERLINK("https://www.argoverse.org/av2.html","Dataset")</f>
        <v>Dataset</v>
      </c>
      <c r="I207" s="5" t="str">
        <f>HYPERLINK("https://www.argoverse.org/av2.html","Evidence / paper")</f>
        <v>Evidence / paper</v>
      </c>
      <c r="J207" s="5" t="s">
        <v>2325</v>
      </c>
      <c r="K207" s="5" t="s">
        <v>2255</v>
      </c>
      <c r="L207" s="5" t="s">
        <v>985</v>
      </c>
      <c r="M207" s="5" t="s">
        <v>2055</v>
      </c>
      <c r="N207" s="5" t="s">
        <v>2326</v>
      </c>
      <c r="O207" s="5" t="s">
        <v>2327</v>
      </c>
      <c r="P207" s="5" t="s">
        <v>1060</v>
      </c>
      <c r="Q207" s="5" t="s">
        <v>174</v>
      </c>
      <c r="R207" s="5" t="s">
        <v>2328</v>
      </c>
      <c r="S207" s="5" t="s">
        <v>2329</v>
      </c>
      <c r="T207" s="5" t="s">
        <v>2317</v>
      </c>
      <c r="U207" s="5" t="s">
        <v>2330</v>
      </c>
      <c r="V207" s="5" t="s">
        <v>2331</v>
      </c>
      <c r="W207" s="5" t="s">
        <v>1993</v>
      </c>
      <c r="X207" s="5" t="s">
        <v>2320</v>
      </c>
      <c r="Y207" s="5"/>
      <c r="Z207" s="5" t="s">
        <v>182</v>
      </c>
      <c r="AA207" s="5" t="str">
        <f>HYPERLINK("#'Manual_Review'!A"&amp;(MATCH("DS-202",Manual_Review!$A$6:$A$238,0)+5),"Enter review")</f>
        <v>Enter review</v>
      </c>
      <c r="AB207" s="5" t="str">
        <f>HYPERLINK("#'MCDM_Checks'!A"&amp;(MATCH("DS-202",MCDM_Checks!$B$6:$B$3733,0)+5),"Check evidence")</f>
        <v>Check evidence</v>
      </c>
      <c r="AC207" s="5" t="s">
        <v>659</v>
      </c>
      <c r="AD207" s="5" t="s">
        <v>2332</v>
      </c>
      <c r="AE207" s="5" t="s">
        <v>2332</v>
      </c>
      <c r="AF207" s="5" t="s">
        <v>2333</v>
      </c>
    </row>
    <row r="208" spans="1:32" ht="25.5">
      <c r="A208" s="5" t="s">
        <v>2334</v>
      </c>
      <c r="B208" s="5" t="s">
        <v>2335</v>
      </c>
      <c r="C208" s="5"/>
      <c r="D208" s="5" t="s">
        <v>118</v>
      </c>
      <c r="E208" s="12">
        <f>INDEX(MCDM_Grades!$E$6:$E$238,MATCH(A208,MCDM_Grades!$A$6:$A$238,0))</f>
        <v>63.888888888888872</v>
      </c>
      <c r="F208" s="12">
        <f>INDEX(MCDM_Grades!$F$6:$F$238,MATCH(A208,MCDM_Grades!$A$6:$A$238,0))</f>
        <v>99.999999999999986</v>
      </c>
      <c r="G208" s="13">
        <f>INDEX(MCDM_Grades!$G$6:$G$238,MATCH(A208,MCDM_Grades!$A$6:$A$238,0))</f>
        <v>0.63888888888888884</v>
      </c>
      <c r="H208" s="5" t="str">
        <f>HYPERLINK("https://www.argoverse.org/av2.html","Dataset")</f>
        <v>Dataset</v>
      </c>
      <c r="I208" s="5" t="str">
        <f>HYPERLINK("https://argoverse.github.io/user-guide/datasets/sensor.html","Evidence / paper")</f>
        <v>Evidence / paper</v>
      </c>
      <c r="J208" s="5" t="s">
        <v>2336</v>
      </c>
      <c r="K208" s="5" t="s">
        <v>2255</v>
      </c>
      <c r="L208" s="5" t="s">
        <v>985</v>
      </c>
      <c r="M208" s="5" t="s">
        <v>2055</v>
      </c>
      <c r="N208" s="5" t="s">
        <v>2337</v>
      </c>
      <c r="O208" s="5" t="s">
        <v>2338</v>
      </c>
      <c r="P208" s="5" t="s">
        <v>2314</v>
      </c>
      <c r="Q208" s="5" t="s">
        <v>174</v>
      </c>
      <c r="R208" s="5" t="s">
        <v>2339</v>
      </c>
      <c r="S208" s="5" t="s">
        <v>2340</v>
      </c>
      <c r="T208" s="5" t="s">
        <v>2317</v>
      </c>
      <c r="U208" s="5" t="s">
        <v>2341</v>
      </c>
      <c r="V208" s="5" t="s">
        <v>2342</v>
      </c>
      <c r="W208" s="5" t="s">
        <v>1993</v>
      </c>
      <c r="X208" s="5" t="s">
        <v>2320</v>
      </c>
      <c r="Y208" s="5"/>
      <c r="Z208" s="5" t="s">
        <v>182</v>
      </c>
      <c r="AA208" s="5" t="str">
        <f>HYPERLINK("#'Manual_Review'!A"&amp;(MATCH("DS-203",Manual_Review!$A$6:$A$238,0)+5),"Enter review")</f>
        <v>Enter review</v>
      </c>
      <c r="AB208" s="5" t="str">
        <f>HYPERLINK("#'MCDM_Checks'!A"&amp;(MATCH("DS-203",MCDM_Checks!$B$6:$B$3733,0)+5),"Check evidence")</f>
        <v>Check evidence</v>
      </c>
      <c r="AC208" s="5" t="s">
        <v>659</v>
      </c>
      <c r="AD208" s="5" t="s">
        <v>2332</v>
      </c>
      <c r="AE208" s="5" t="s">
        <v>2343</v>
      </c>
      <c r="AF208" s="5" t="s">
        <v>2344</v>
      </c>
    </row>
    <row r="209" spans="1:32" ht="25.5">
      <c r="A209" s="5" t="s">
        <v>2345</v>
      </c>
      <c r="B209" s="5" t="s">
        <v>2346</v>
      </c>
      <c r="C209" s="5"/>
      <c r="D209" s="5" t="s">
        <v>118</v>
      </c>
      <c r="E209" s="12">
        <f>INDEX(MCDM_Grades!$E$6:$E$238,MATCH(A209,MCDM_Grades!$A$6:$A$238,0))</f>
        <v>63.888888888888872</v>
      </c>
      <c r="F209" s="12">
        <f>INDEX(MCDM_Grades!$F$6:$F$238,MATCH(A209,MCDM_Grades!$A$6:$A$238,0))</f>
        <v>99.999999999999986</v>
      </c>
      <c r="G209" s="13">
        <f>INDEX(MCDM_Grades!$G$6:$G$238,MATCH(A209,MCDM_Grades!$A$6:$A$238,0))</f>
        <v>0.63888888888888884</v>
      </c>
      <c r="H209" s="5" t="str">
        <f>HYPERLINK("https://pit30m.github.io/","Dataset")</f>
        <v>Dataset</v>
      </c>
      <c r="I209" s="5" t="str">
        <f>HYPERLINK("https://github.com/awslabs/open-data-registry/blob/main/datasets/aurora_msds.yaml","Evidence / paper")</f>
        <v>Evidence / paper</v>
      </c>
      <c r="J209" s="5" t="s">
        <v>2347</v>
      </c>
      <c r="K209" s="5" t="s">
        <v>2255</v>
      </c>
      <c r="L209" s="5" t="s">
        <v>985</v>
      </c>
      <c r="M209" s="5" t="s">
        <v>2055</v>
      </c>
      <c r="N209" s="5" t="s">
        <v>2348</v>
      </c>
      <c r="O209" s="5" t="s">
        <v>2349</v>
      </c>
      <c r="P209" s="5" t="s">
        <v>2350</v>
      </c>
      <c r="Q209" s="5" t="s">
        <v>174</v>
      </c>
      <c r="R209" s="5" t="s">
        <v>2351</v>
      </c>
      <c r="S209" s="5" t="s">
        <v>2352</v>
      </c>
      <c r="T209" s="5" t="s">
        <v>2353</v>
      </c>
      <c r="U209" s="5" t="s">
        <v>2354</v>
      </c>
      <c r="V209" s="5" t="s">
        <v>2355</v>
      </c>
      <c r="W209" s="5" t="s">
        <v>1993</v>
      </c>
      <c r="X209" s="5"/>
      <c r="Y209" s="5"/>
      <c r="Z209" s="5" t="s">
        <v>182</v>
      </c>
      <c r="AA209" s="5" t="str">
        <f>HYPERLINK("#'Manual_Review'!A"&amp;(MATCH("DS-204",Manual_Review!$A$6:$A$238,0)+5),"Enter review")</f>
        <v>Enter review</v>
      </c>
      <c r="AB209" s="5" t="str">
        <f>HYPERLINK("#'MCDM_Checks'!A"&amp;(MATCH("DS-204",MCDM_Checks!$B$6:$B$3733,0)+5),"Check evidence")</f>
        <v>Check evidence</v>
      </c>
      <c r="AC209" s="5" t="s">
        <v>659</v>
      </c>
      <c r="AD209" s="5" t="s">
        <v>2356</v>
      </c>
      <c r="AE209" s="5" t="s">
        <v>2357</v>
      </c>
      <c r="AF209" s="5" t="s">
        <v>2358</v>
      </c>
    </row>
    <row r="210" spans="1:32" ht="25.5">
      <c r="A210" s="5" t="s">
        <v>2359</v>
      </c>
      <c r="B210" s="5" t="s">
        <v>2360</v>
      </c>
      <c r="C210" s="5"/>
      <c r="D210" s="5" t="s">
        <v>118</v>
      </c>
      <c r="E210" s="12">
        <f>INDEX(MCDM_Grades!$E$6:$E$238,MATCH(A210,MCDM_Grades!$A$6:$A$238,0))</f>
        <v>41.666666666666657</v>
      </c>
      <c r="F210" s="12">
        <f>INDEX(MCDM_Grades!$F$6:$F$238,MATCH(A210,MCDM_Grades!$A$6:$A$238,0))</f>
        <v>99.999999999999986</v>
      </c>
      <c r="G210" s="13">
        <f>INDEX(MCDM_Grades!$G$6:$G$238,MATCH(A210,MCDM_Grades!$A$6:$A$238,0))</f>
        <v>0.41666666666666663</v>
      </c>
      <c r="H210" s="5" t="str">
        <f>HYPERLINK("https://github.com/bdd100k/bdd100k","Dataset")</f>
        <v>Dataset</v>
      </c>
      <c r="I210" s="5" t="str">
        <f>HYPERLINK("https://bair.berkeley.edu/blog/2018/05/30/bdd/","Evidence / paper")</f>
        <v>Evidence / paper</v>
      </c>
      <c r="J210" s="5" t="s">
        <v>2361</v>
      </c>
      <c r="K210" s="5" t="s">
        <v>2255</v>
      </c>
      <c r="L210" s="5" t="s">
        <v>985</v>
      </c>
      <c r="M210" s="5" t="s">
        <v>170</v>
      </c>
      <c r="N210" s="5" t="s">
        <v>2362</v>
      </c>
      <c r="O210" s="5" t="s">
        <v>2363</v>
      </c>
      <c r="P210" s="5" t="s">
        <v>2364</v>
      </c>
      <c r="Q210" s="5" t="s">
        <v>1961</v>
      </c>
      <c r="R210" s="5" t="s">
        <v>2365</v>
      </c>
      <c r="S210" s="5" t="s">
        <v>1350</v>
      </c>
      <c r="T210" s="5" t="s">
        <v>2366</v>
      </c>
      <c r="U210" s="5" t="s">
        <v>2367</v>
      </c>
      <c r="V210" s="5" t="s">
        <v>2368</v>
      </c>
      <c r="W210" s="5" t="s">
        <v>1993</v>
      </c>
      <c r="X210" s="5"/>
      <c r="Y210" s="5"/>
      <c r="Z210" s="5" t="s">
        <v>182</v>
      </c>
      <c r="AA210" s="5" t="str">
        <f>HYPERLINK("#'Manual_Review'!A"&amp;(MATCH("DS-205",Manual_Review!$A$6:$A$238,0)+5),"Enter review")</f>
        <v>Enter review</v>
      </c>
      <c r="AB210" s="5" t="str">
        <f>HYPERLINK("#'MCDM_Checks'!A"&amp;(MATCH("DS-205",MCDM_Checks!$B$6:$B$3733,0)+5),"Check evidence")</f>
        <v>Check evidence</v>
      </c>
      <c r="AC210" s="5" t="s">
        <v>129</v>
      </c>
      <c r="AD210" s="5" t="s">
        <v>2369</v>
      </c>
      <c r="AE210" s="5" t="s">
        <v>2370</v>
      </c>
      <c r="AF210" s="5" t="s">
        <v>2371</v>
      </c>
    </row>
    <row r="211" spans="1:32" ht="25.5">
      <c r="A211" s="5" t="s">
        <v>2372</v>
      </c>
      <c r="B211" s="5" t="s">
        <v>2373</v>
      </c>
      <c r="C211" s="5"/>
      <c r="D211" s="5" t="s">
        <v>118</v>
      </c>
      <c r="E211" s="12">
        <f>INDEX(MCDM_Grades!$E$6:$E$238,MATCH(A211,MCDM_Grades!$A$6:$A$238,0))</f>
        <v>55.555555555555557</v>
      </c>
      <c r="F211" s="12">
        <f>INDEX(MCDM_Grades!$F$6:$F$238,MATCH(A211,MCDM_Grades!$A$6:$A$238,0))</f>
        <v>99.999999999999986</v>
      </c>
      <c r="G211" s="13">
        <f>INDEX(MCDM_Grades!$G$6:$G$238,MATCH(A211,MCDM_Grades!$A$6:$A$238,0))</f>
        <v>0.55555555555555558</v>
      </c>
      <c r="H211" s="5" t="str">
        <f>HYPERLINK("https://www.boreas.utias.utoronto.ca/","Dataset")</f>
        <v>Dataset</v>
      </c>
      <c r="I211" s="5" t="str">
        <f>HYPERLINK("https://github.com/utiasASRL/pyboreas","Evidence / paper")</f>
        <v>Evidence / paper</v>
      </c>
      <c r="J211" s="5" t="s">
        <v>2374</v>
      </c>
      <c r="K211" s="5" t="s">
        <v>2255</v>
      </c>
      <c r="L211" s="5" t="s">
        <v>985</v>
      </c>
      <c r="M211" s="5" t="s">
        <v>2055</v>
      </c>
      <c r="N211" s="5" t="s">
        <v>2375</v>
      </c>
      <c r="O211" s="5" t="s">
        <v>2376</v>
      </c>
      <c r="P211" s="5" t="s">
        <v>2377</v>
      </c>
      <c r="Q211" s="5" t="s">
        <v>476</v>
      </c>
      <c r="R211" s="5" t="s">
        <v>2378</v>
      </c>
      <c r="S211" s="5" t="s">
        <v>2379</v>
      </c>
      <c r="T211" s="5" t="s">
        <v>2380</v>
      </c>
      <c r="U211" s="5" t="s">
        <v>2381</v>
      </c>
      <c r="V211" s="5" t="s">
        <v>2382</v>
      </c>
      <c r="W211" s="5" t="s">
        <v>1993</v>
      </c>
      <c r="X211" s="5"/>
      <c r="Y211" s="5"/>
      <c r="Z211" s="5" t="s">
        <v>182</v>
      </c>
      <c r="AA211" s="5" t="str">
        <f>HYPERLINK("#'Manual_Review'!A"&amp;(MATCH("DS-206",Manual_Review!$A$6:$A$238,0)+5),"Enter review")</f>
        <v>Enter review</v>
      </c>
      <c r="AB211" s="5" t="str">
        <f>HYPERLINK("#'MCDM_Checks'!A"&amp;(MATCH("DS-206",MCDM_Checks!$B$6:$B$3733,0)+5),"Check evidence")</f>
        <v>Check evidence</v>
      </c>
      <c r="AC211" s="5" t="s">
        <v>659</v>
      </c>
      <c r="AD211" s="5" t="s">
        <v>2383</v>
      </c>
      <c r="AE211" s="5" t="s">
        <v>2384</v>
      </c>
      <c r="AF211" s="5" t="s">
        <v>2385</v>
      </c>
    </row>
    <row r="212" spans="1:32" ht="25.5">
      <c r="A212" s="5" t="s">
        <v>2386</v>
      </c>
      <c r="B212" s="5" t="s">
        <v>2387</v>
      </c>
      <c r="C212" s="5"/>
      <c r="D212" s="5" t="s">
        <v>118</v>
      </c>
      <c r="E212" s="12">
        <f>INDEX(MCDM_Grades!$E$6:$E$238,MATCH(A212,MCDM_Grades!$A$6:$A$238,0))</f>
        <v>61.111111111111107</v>
      </c>
      <c r="F212" s="12">
        <f>INDEX(MCDM_Grades!$F$6:$F$238,MATCH(A212,MCDM_Grades!$A$6:$A$238,0))</f>
        <v>99.999999999999986</v>
      </c>
      <c r="G212" s="13">
        <f>INDEX(MCDM_Grades!$G$6:$G$238,MATCH(A212,MCDM_Grades!$A$6:$A$238,0))</f>
        <v>0.61111111111111105</v>
      </c>
      <c r="H212" s="5" t="str">
        <f>HYPERLINK("https://github.com/mpitropov/cadc_devkit","Dataset")</f>
        <v>Dataset</v>
      </c>
      <c r="I212" s="5" t="str">
        <f>HYPERLINK("https://arxiv.org/abs/2001.10117","Evidence / paper")</f>
        <v>Evidence / paper</v>
      </c>
      <c r="J212" s="5" t="s">
        <v>2388</v>
      </c>
      <c r="K212" s="5" t="s">
        <v>2255</v>
      </c>
      <c r="L212" s="5" t="s">
        <v>985</v>
      </c>
      <c r="M212" s="5" t="s">
        <v>2055</v>
      </c>
      <c r="N212" s="5" t="s">
        <v>2389</v>
      </c>
      <c r="O212" s="5" t="s">
        <v>2390</v>
      </c>
      <c r="P212" s="5" t="s">
        <v>2391</v>
      </c>
      <c r="Q212" s="5" t="s">
        <v>174</v>
      </c>
      <c r="R212" s="5" t="s">
        <v>2392</v>
      </c>
      <c r="S212" s="5" t="s">
        <v>2393</v>
      </c>
      <c r="T212" s="5" t="s">
        <v>2394</v>
      </c>
      <c r="U212" s="5" t="s">
        <v>2395</v>
      </c>
      <c r="V212" s="5" t="s">
        <v>2396</v>
      </c>
      <c r="W212" s="5" t="s">
        <v>1993</v>
      </c>
      <c r="X212" s="5"/>
      <c r="Y212" s="5"/>
      <c r="Z212" s="5" t="s">
        <v>182</v>
      </c>
      <c r="AA212" s="5" t="str">
        <f>HYPERLINK("#'Manual_Review'!A"&amp;(MATCH("DS-207",Manual_Review!$A$6:$A$238,0)+5),"Enter review")</f>
        <v>Enter review</v>
      </c>
      <c r="AB212" s="5" t="str">
        <f>HYPERLINK("#'MCDM_Checks'!A"&amp;(MATCH("DS-207",MCDM_Checks!$B$6:$B$3733,0)+5),"Check evidence")</f>
        <v>Check evidence</v>
      </c>
      <c r="AC212" s="5" t="s">
        <v>129</v>
      </c>
      <c r="AD212" s="5" t="s">
        <v>2397</v>
      </c>
      <c r="AE212" s="5" t="s">
        <v>2398</v>
      </c>
      <c r="AF212" s="5" t="s">
        <v>2399</v>
      </c>
    </row>
    <row r="213" spans="1:32" ht="25.5">
      <c r="A213" s="5" t="s">
        <v>2400</v>
      </c>
      <c r="B213" s="5" t="s">
        <v>2401</v>
      </c>
      <c r="C213" s="5"/>
      <c r="D213" s="5" t="s">
        <v>118</v>
      </c>
      <c r="E213" s="12">
        <f>INDEX(MCDM_Grades!$E$6:$E$238,MATCH(A213,MCDM_Grades!$A$6:$A$238,0))</f>
        <v>72.222222222222214</v>
      </c>
      <c r="F213" s="12">
        <f>INDEX(MCDM_Grades!$F$6:$F$238,MATCH(A213,MCDM_Grades!$A$6:$A$238,0))</f>
        <v>99.999999999999986</v>
      </c>
      <c r="G213" s="13">
        <f>INDEX(MCDM_Grades!$G$6:$G$238,MATCH(A213,MCDM_Grades!$A$6:$A$238,0))</f>
        <v>0.72222222222222221</v>
      </c>
      <c r="H213" s="5" t="str">
        <f>HYPERLINK("https://www.cityscapes-dataset.com/","Dataset")</f>
        <v>Dataset</v>
      </c>
      <c r="I213" s="5" t="str">
        <f>HYPERLINK("https://www.cityscapes-dataset.com/","Evidence / paper")</f>
        <v>Evidence / paper</v>
      </c>
      <c r="J213" s="5" t="s">
        <v>2402</v>
      </c>
      <c r="K213" s="5" t="s">
        <v>2255</v>
      </c>
      <c r="L213" s="5" t="s">
        <v>985</v>
      </c>
      <c r="M213" s="5" t="s">
        <v>170</v>
      </c>
      <c r="N213" s="5" t="s">
        <v>2403</v>
      </c>
      <c r="O213" s="5" t="s">
        <v>2404</v>
      </c>
      <c r="P213" s="5" t="s">
        <v>2405</v>
      </c>
      <c r="Q213" s="5" t="s">
        <v>1812</v>
      </c>
      <c r="R213" s="5" t="s">
        <v>2406</v>
      </c>
      <c r="S213" s="5" t="s">
        <v>2407</v>
      </c>
      <c r="T213" s="5" t="s">
        <v>2408</v>
      </c>
      <c r="U213" s="5" t="s">
        <v>2409</v>
      </c>
      <c r="V213" s="5" t="s">
        <v>2410</v>
      </c>
      <c r="W213" s="5" t="s">
        <v>1993</v>
      </c>
      <c r="X213" s="5"/>
      <c r="Y213" s="5"/>
      <c r="Z213" s="5" t="s">
        <v>182</v>
      </c>
      <c r="AA213" s="5" t="str">
        <f>HYPERLINK("#'Manual_Review'!A"&amp;(MATCH("DS-208",Manual_Review!$A$6:$A$238,0)+5),"Enter review")</f>
        <v>Enter review</v>
      </c>
      <c r="AB213" s="5" t="str">
        <f>HYPERLINK("#'MCDM_Checks'!A"&amp;(MATCH("DS-208",MCDM_Checks!$B$6:$B$3733,0)+5),"Check evidence")</f>
        <v>Check evidence</v>
      </c>
      <c r="AC213" s="5" t="s">
        <v>659</v>
      </c>
      <c r="AD213" s="5" t="s">
        <v>2411</v>
      </c>
      <c r="AE213" s="5" t="s">
        <v>2411</v>
      </c>
      <c r="AF213" s="5" t="s">
        <v>2412</v>
      </c>
    </row>
    <row r="214" spans="1:32" ht="25.5">
      <c r="A214" s="5" t="s">
        <v>2413</v>
      </c>
      <c r="B214" s="5" t="s">
        <v>2414</v>
      </c>
      <c r="C214" s="5"/>
      <c r="D214" s="5" t="s">
        <v>118</v>
      </c>
      <c r="E214" s="12">
        <f>INDEX(MCDM_Grades!$E$6:$E$238,MATCH(A214,MCDM_Grades!$A$6:$A$238,0))</f>
        <v>61.111111111111107</v>
      </c>
      <c r="F214" s="12">
        <f>INDEX(MCDM_Grades!$F$6:$F$238,MATCH(A214,MCDM_Grades!$A$6:$A$238,0))</f>
        <v>99.999999999999986</v>
      </c>
      <c r="G214" s="13">
        <f>INDEX(MCDM_Grades!$G$6:$G$238,MATCH(A214,MCDM_Grades!$A$6:$A$238,0))</f>
        <v>0.61111111111111105</v>
      </c>
      <c r="H214" s="5" t="str">
        <f>HYPERLINK("https://github.com/commaai/comma10k","Dataset")</f>
        <v>Dataset</v>
      </c>
      <c r="I214" s="5" t="str">
        <f>HYPERLINK("https://github.com/commaai/comma10k","Evidence / paper")</f>
        <v>Evidence / paper</v>
      </c>
      <c r="J214" s="5" t="s">
        <v>2415</v>
      </c>
      <c r="K214" s="5" t="s">
        <v>2255</v>
      </c>
      <c r="L214" s="5" t="s">
        <v>169</v>
      </c>
      <c r="M214" s="5" t="s">
        <v>2055</v>
      </c>
      <c r="N214" s="5" t="s">
        <v>2416</v>
      </c>
      <c r="O214" s="5" t="s">
        <v>2417</v>
      </c>
      <c r="P214" s="5" t="s">
        <v>2418</v>
      </c>
      <c r="Q214" s="5" t="s">
        <v>174</v>
      </c>
      <c r="R214" s="5" t="s">
        <v>2419</v>
      </c>
      <c r="S214" s="5" t="s">
        <v>2420</v>
      </c>
      <c r="T214" s="5" t="s">
        <v>2421</v>
      </c>
      <c r="U214" s="5" t="s">
        <v>2422</v>
      </c>
      <c r="V214" s="5" t="s">
        <v>2423</v>
      </c>
      <c r="W214" s="5" t="s">
        <v>1993</v>
      </c>
      <c r="X214" s="5"/>
      <c r="Y214" s="5"/>
      <c r="Z214" s="5" t="s">
        <v>182</v>
      </c>
      <c r="AA214" s="5" t="str">
        <f>HYPERLINK("#'Manual_Review'!A"&amp;(MATCH("DS-209",Manual_Review!$A$6:$A$238,0)+5),"Enter review")</f>
        <v>Enter review</v>
      </c>
      <c r="AB214" s="5" t="str">
        <f>HYPERLINK("#'MCDM_Checks'!A"&amp;(MATCH("DS-209",MCDM_Checks!$B$6:$B$3733,0)+5),"Check evidence")</f>
        <v>Check evidence</v>
      </c>
      <c r="AC214" s="5" t="s">
        <v>129</v>
      </c>
      <c r="AD214" s="5" t="s">
        <v>2424</v>
      </c>
      <c r="AE214" s="5" t="s">
        <v>2424</v>
      </c>
      <c r="AF214" s="5" t="s">
        <v>2425</v>
      </c>
    </row>
    <row r="215" spans="1:32" ht="25.5">
      <c r="A215" s="5" t="s">
        <v>2426</v>
      </c>
      <c r="B215" s="5" t="s">
        <v>2427</v>
      </c>
      <c r="C215" s="5"/>
      <c r="D215" s="5" t="s">
        <v>1336</v>
      </c>
      <c r="E215" s="12">
        <f>INDEX(MCDM_Grades!$E$6:$E$238,MATCH(A215,MCDM_Grades!$A$6:$A$238,0))</f>
        <v>70.000000000000014</v>
      </c>
      <c r="F215" s="12">
        <f>INDEX(MCDM_Grades!$F$6:$F$238,MATCH(A215,MCDM_Grades!$A$6:$A$238,0))</f>
        <v>100</v>
      </c>
      <c r="G215" s="13">
        <f>INDEX(MCDM_Grades!$G$6:$G$238,MATCH(A215,MCDM_Grades!$A$6:$A$238,0))</f>
        <v>0.7</v>
      </c>
      <c r="H215" s="5" t="str">
        <f>HYPERLINK("https://github.com/commaai/comma2k19","Dataset")</f>
        <v>Dataset</v>
      </c>
      <c r="I215" s="5" t="str">
        <f>HYPERLINK("https://github.com/commaai/comma2k19","Evidence / paper")</f>
        <v>Evidence / paper</v>
      </c>
      <c r="J215" s="5" t="s">
        <v>2428</v>
      </c>
      <c r="K215" s="5" t="s">
        <v>2255</v>
      </c>
      <c r="L215" s="5" t="s">
        <v>985</v>
      </c>
      <c r="M215" s="5" t="s">
        <v>2055</v>
      </c>
      <c r="N215" s="5" t="s">
        <v>2429</v>
      </c>
      <c r="O215" s="5" t="s">
        <v>2430</v>
      </c>
      <c r="P215" s="5" t="s">
        <v>2431</v>
      </c>
      <c r="Q215" s="5" t="s">
        <v>174</v>
      </c>
      <c r="R215" s="5" t="s">
        <v>2432</v>
      </c>
      <c r="S215" s="5" t="s">
        <v>2433</v>
      </c>
      <c r="T215" s="5" t="s">
        <v>2434</v>
      </c>
      <c r="U215" s="5" t="s">
        <v>2435</v>
      </c>
      <c r="V215" s="5" t="s">
        <v>2436</v>
      </c>
      <c r="W215" s="5" t="s">
        <v>1993</v>
      </c>
      <c r="X215" s="5"/>
      <c r="Y215" s="5"/>
      <c r="Z215" s="5" t="s">
        <v>182</v>
      </c>
      <c r="AA215" s="5" t="str">
        <f>HYPERLINK("#'Manual_Review'!A"&amp;(MATCH("DS-210",Manual_Review!$A$6:$A$238,0)+5),"Enter review")</f>
        <v>Enter review</v>
      </c>
      <c r="AB215" s="5" t="str">
        <f>HYPERLINK("#'MCDM_Checks'!A"&amp;(MATCH("DS-210",MCDM_Checks!$B$6:$B$3733,0)+5),"Check evidence")</f>
        <v>Check evidence</v>
      </c>
      <c r="AC215" s="5" t="s">
        <v>129</v>
      </c>
      <c r="AD215" s="5" t="s">
        <v>2437</v>
      </c>
      <c r="AE215" s="5" t="s">
        <v>2437</v>
      </c>
      <c r="AF215" s="5" t="s">
        <v>2438</v>
      </c>
    </row>
    <row r="216" spans="1:32" ht="25.5">
      <c r="A216" s="5" t="s">
        <v>2439</v>
      </c>
      <c r="B216" s="5" t="s">
        <v>2440</v>
      </c>
      <c r="C216" s="5"/>
      <c r="D216" s="5" t="s">
        <v>118</v>
      </c>
      <c r="E216" s="12">
        <f>INDEX(MCDM_Grades!$E$6:$E$238,MATCH(A216,MCDM_Grades!$A$6:$A$238,0))</f>
        <v>13.888888888888889</v>
      </c>
      <c r="F216" s="12">
        <f>INDEX(MCDM_Grades!$F$6:$F$238,MATCH(A216,MCDM_Grades!$A$6:$A$238,0))</f>
        <v>99.999999999999986</v>
      </c>
      <c r="G216" s="13">
        <f>INDEX(MCDM_Grades!$G$6:$G$238,MATCH(A216,MCDM_Grades!$A$6:$A$238,0))</f>
        <v>0.1388888888888889</v>
      </c>
      <c r="H216" s="5" t="str">
        <f>HYPERLINK("https://arxiv.org/abs/1904.01975","Dataset")</f>
        <v>Dataset</v>
      </c>
      <c r="I216" s="5" t="str">
        <f>HYPERLINK("https://arxiv.org/abs/1904.01975","Evidence / paper")</f>
        <v>Evidence / paper</v>
      </c>
      <c r="J216" s="5" t="s">
        <v>2441</v>
      </c>
      <c r="K216" s="5" t="s">
        <v>2255</v>
      </c>
      <c r="L216" s="5" t="s">
        <v>985</v>
      </c>
      <c r="M216" s="5" t="s">
        <v>170</v>
      </c>
      <c r="N216" s="5" t="s">
        <v>2442</v>
      </c>
      <c r="O216" s="5" t="s">
        <v>2443</v>
      </c>
      <c r="P216" s="5" t="s">
        <v>2444</v>
      </c>
      <c r="Q216" s="5" t="s">
        <v>1961</v>
      </c>
      <c r="R216" s="5" t="s">
        <v>2445</v>
      </c>
      <c r="S216" s="5" t="s">
        <v>2302</v>
      </c>
      <c r="T216" s="5" t="s">
        <v>2446</v>
      </c>
      <c r="U216" s="5" t="s">
        <v>2447</v>
      </c>
      <c r="V216" s="5" t="s">
        <v>2448</v>
      </c>
      <c r="W216" s="5" t="s">
        <v>1993</v>
      </c>
      <c r="X216" s="5"/>
      <c r="Y216" s="5"/>
      <c r="Z216" s="5" t="s">
        <v>182</v>
      </c>
      <c r="AA216" s="5" t="str">
        <f>HYPERLINK("#'Manual_Review'!A"&amp;(MATCH("DS-211",Manual_Review!$A$6:$A$238,0)+5),"Enter review")</f>
        <v>Enter review</v>
      </c>
      <c r="AB216" s="5" t="str">
        <f>HYPERLINK("#'MCDM_Checks'!A"&amp;(MATCH("DS-211",MCDM_Checks!$B$6:$B$3733,0)+5),"Check evidence")</f>
        <v>Check evidence</v>
      </c>
      <c r="AC216" s="5" t="s">
        <v>659</v>
      </c>
      <c r="AD216" s="5" t="s">
        <v>2449</v>
      </c>
      <c r="AE216" s="5" t="s">
        <v>2449</v>
      </c>
      <c r="AF216" s="5" t="s">
        <v>2450</v>
      </c>
    </row>
    <row r="217" spans="1:32" ht="25.5">
      <c r="A217" s="5" t="s">
        <v>2451</v>
      </c>
      <c r="B217" s="5" t="s">
        <v>2452</v>
      </c>
      <c r="C217" s="5"/>
      <c r="D217" s="5" t="s">
        <v>1336</v>
      </c>
      <c r="E217" s="12">
        <f>INDEX(MCDM_Grades!$E$6:$E$238,MATCH(A217,MCDM_Grades!$A$6:$A$238,0))</f>
        <v>73.333333333333343</v>
      </c>
      <c r="F217" s="12">
        <f>INDEX(MCDM_Grades!$F$6:$F$238,MATCH(A217,MCDM_Grades!$A$6:$A$238,0))</f>
        <v>100</v>
      </c>
      <c r="G217" s="13">
        <f>INDEX(MCDM_Grades!$G$6:$G$238,MATCH(A217,MCDM_Grades!$A$6:$A$238,0))</f>
        <v>0.73333333333333339</v>
      </c>
      <c r="H217" s="5" t="str">
        <f>HYPERLINK("https://avdata.ford.com/home/default.aspx","Dataset")</f>
        <v>Dataset</v>
      </c>
      <c r="I217" s="5" t="str">
        <f>HYPERLINK("https://avdata.ford.com/data/default.aspx","Evidence / paper")</f>
        <v>Evidence / paper</v>
      </c>
      <c r="J217" s="5" t="s">
        <v>2453</v>
      </c>
      <c r="K217" s="5" t="s">
        <v>2255</v>
      </c>
      <c r="L217" s="5" t="s">
        <v>985</v>
      </c>
      <c r="M217" s="5" t="s">
        <v>170</v>
      </c>
      <c r="N217" s="5" t="s">
        <v>2454</v>
      </c>
      <c r="O217" s="5" t="s">
        <v>2455</v>
      </c>
      <c r="P217" s="5" t="s">
        <v>2456</v>
      </c>
      <c r="Q217" s="5" t="s">
        <v>174</v>
      </c>
      <c r="R217" s="5" t="s">
        <v>2457</v>
      </c>
      <c r="S217" s="5" t="s">
        <v>2458</v>
      </c>
      <c r="T217" s="5" t="s">
        <v>2459</v>
      </c>
      <c r="U217" s="5" t="s">
        <v>2460</v>
      </c>
      <c r="V217" s="5" t="s">
        <v>2461</v>
      </c>
      <c r="W217" s="5" t="s">
        <v>1993</v>
      </c>
      <c r="X217" s="5"/>
      <c r="Y217" s="5"/>
      <c r="Z217" s="5" t="s">
        <v>182</v>
      </c>
      <c r="AA217" s="5" t="str">
        <f>HYPERLINK("#'Manual_Review'!A"&amp;(MATCH("DS-212",Manual_Review!$A$6:$A$238,0)+5),"Enter review")</f>
        <v>Enter review</v>
      </c>
      <c r="AB217" s="5" t="str">
        <f>HYPERLINK("#'MCDM_Checks'!A"&amp;(MATCH("DS-212",MCDM_Checks!$B$6:$B$3733,0)+5),"Check evidence")</f>
        <v>Check evidence</v>
      </c>
      <c r="AC217" s="5" t="s">
        <v>659</v>
      </c>
      <c r="AD217" s="5" t="s">
        <v>2462</v>
      </c>
      <c r="AE217" s="5" t="s">
        <v>2463</v>
      </c>
      <c r="AF217" s="5" t="s">
        <v>2464</v>
      </c>
    </row>
    <row r="218" spans="1:32" ht="25.5">
      <c r="A218" s="5" t="s">
        <v>2465</v>
      </c>
      <c r="B218" s="5" t="s">
        <v>2466</v>
      </c>
      <c r="C218" s="5"/>
      <c r="D218" s="5" t="s">
        <v>118</v>
      </c>
      <c r="E218" s="12">
        <f>INDEX(MCDM_Grades!$E$6:$E$238,MATCH(A218,MCDM_Grades!$A$6:$A$238,0))</f>
        <v>58.333333333333329</v>
      </c>
      <c r="F218" s="12">
        <f>INDEX(MCDM_Grades!$F$6:$F$238,MATCH(A218,MCDM_Grades!$A$6:$A$238,0))</f>
        <v>99.999999999999986</v>
      </c>
      <c r="G218" s="13">
        <f>INDEX(MCDM_Grades!$G$6:$G$238,MATCH(A218,MCDM_Grades!$A$6:$A$238,0))</f>
        <v>0.58333333333333337</v>
      </c>
      <c r="H218" s="5" t="str">
        <f>HYPERLINK("https://idd.insaan.iiit.ac.in/dataset/details/","Dataset")</f>
        <v>Dataset</v>
      </c>
      <c r="I218" s="5" t="str">
        <f>HYPERLINK("https://idd.insaan.iiit.ac.in/dataset/details/","Evidence / paper")</f>
        <v>Evidence / paper</v>
      </c>
      <c r="J218" s="5" t="s">
        <v>2467</v>
      </c>
      <c r="K218" s="5" t="s">
        <v>2255</v>
      </c>
      <c r="L218" s="5" t="s">
        <v>169</v>
      </c>
      <c r="M218" s="5" t="s">
        <v>170</v>
      </c>
      <c r="N218" s="5" t="s">
        <v>2468</v>
      </c>
      <c r="O218" s="5" t="s">
        <v>2469</v>
      </c>
      <c r="P218" s="5" t="s">
        <v>2470</v>
      </c>
      <c r="Q218" s="5" t="s">
        <v>1812</v>
      </c>
      <c r="R218" s="5" t="s">
        <v>2471</v>
      </c>
      <c r="S218" s="5" t="s">
        <v>2472</v>
      </c>
      <c r="T218" s="5" t="s">
        <v>2473</v>
      </c>
      <c r="U218" s="5" t="s">
        <v>2474</v>
      </c>
      <c r="V218" s="5" t="s">
        <v>2475</v>
      </c>
      <c r="W218" s="5" t="s">
        <v>1993</v>
      </c>
      <c r="X218" s="5"/>
      <c r="Y218" s="5"/>
      <c r="Z218" s="5" t="s">
        <v>182</v>
      </c>
      <c r="AA218" s="5" t="str">
        <f>HYPERLINK("#'Manual_Review'!A"&amp;(MATCH("DS-213",Manual_Review!$A$6:$A$238,0)+5),"Enter review")</f>
        <v>Enter review</v>
      </c>
      <c r="AB218" s="5" t="str">
        <f>HYPERLINK("#'MCDM_Checks'!A"&amp;(MATCH("DS-213",MCDM_Checks!$B$6:$B$3733,0)+5),"Check evidence")</f>
        <v>Check evidence</v>
      </c>
      <c r="AC218" s="5" t="s">
        <v>659</v>
      </c>
      <c r="AD218" s="5" t="s">
        <v>2476</v>
      </c>
      <c r="AE218" s="5" t="s">
        <v>2476</v>
      </c>
      <c r="AF218" s="5" t="s">
        <v>2477</v>
      </c>
    </row>
    <row r="219" spans="1:32" ht="25.5">
      <c r="A219" s="5" t="s">
        <v>2478</v>
      </c>
      <c r="B219" s="5" t="s">
        <v>2479</v>
      </c>
      <c r="C219" s="5"/>
      <c r="D219" s="5" t="s">
        <v>118</v>
      </c>
      <c r="E219" s="12">
        <f>INDEX(MCDM_Grades!$E$6:$E$238,MATCH(A219,MCDM_Grades!$A$6:$A$238,0))</f>
        <v>55.555555555555557</v>
      </c>
      <c r="F219" s="12">
        <f>INDEX(MCDM_Grades!$F$6:$F$238,MATCH(A219,MCDM_Grades!$A$6:$A$238,0))</f>
        <v>99.999999999999986</v>
      </c>
      <c r="G219" s="13">
        <f>INDEX(MCDM_Grades!$G$6:$G$238,MATCH(A219,MCDM_Grades!$A$6:$A$238,0))</f>
        <v>0.55555555555555558</v>
      </c>
      <c r="H219" s="5" t="str">
        <f>HYPERLINK("https://www.cvlibs.net/datasets/kitti/raw_data.php","Dataset")</f>
        <v>Dataset</v>
      </c>
      <c r="I219" s="5" t="str">
        <f>HYPERLINK("https://www.cvlibs.net/datasets/kitti/raw_data.php","Evidence / paper")</f>
        <v>Evidence / paper</v>
      </c>
      <c r="J219" s="5" t="s">
        <v>2480</v>
      </c>
      <c r="K219" s="5" t="s">
        <v>2255</v>
      </c>
      <c r="L219" s="5" t="s">
        <v>985</v>
      </c>
      <c r="M219" s="5" t="s">
        <v>2055</v>
      </c>
      <c r="N219" s="5" t="s">
        <v>2481</v>
      </c>
      <c r="O219" s="5" t="s">
        <v>2482</v>
      </c>
      <c r="P219" s="5" t="s">
        <v>2483</v>
      </c>
      <c r="Q219" s="5" t="s">
        <v>1812</v>
      </c>
      <c r="R219" s="5" t="s">
        <v>2484</v>
      </c>
      <c r="S219" s="5" t="s">
        <v>2485</v>
      </c>
      <c r="T219" s="5" t="s">
        <v>2486</v>
      </c>
      <c r="U219" s="5" t="s">
        <v>2487</v>
      </c>
      <c r="V219" s="5" t="s">
        <v>2488</v>
      </c>
      <c r="W219" s="5" t="s">
        <v>1993</v>
      </c>
      <c r="X219" s="5" t="s">
        <v>2489</v>
      </c>
      <c r="Y219" s="5"/>
      <c r="Z219" s="5" t="s">
        <v>182</v>
      </c>
      <c r="AA219" s="5" t="str">
        <f>HYPERLINK("#'Manual_Review'!A"&amp;(MATCH("DS-214",Manual_Review!$A$6:$A$238,0)+5),"Enter review")</f>
        <v>Enter review</v>
      </c>
      <c r="AB219" s="5" t="str">
        <f>HYPERLINK("#'MCDM_Checks'!A"&amp;(MATCH("DS-214",MCDM_Checks!$B$6:$B$3733,0)+5),"Check evidence")</f>
        <v>Check evidence</v>
      </c>
      <c r="AC219" s="5" t="s">
        <v>659</v>
      </c>
      <c r="AD219" s="5" t="s">
        <v>2490</v>
      </c>
      <c r="AE219" s="5" t="s">
        <v>2490</v>
      </c>
      <c r="AF219" s="5" t="s">
        <v>2491</v>
      </c>
    </row>
    <row r="220" spans="1:32" ht="25.5">
      <c r="A220" s="5" t="s">
        <v>2492</v>
      </c>
      <c r="B220" s="5" t="s">
        <v>2493</v>
      </c>
      <c r="C220" s="5"/>
      <c r="D220" s="5" t="s">
        <v>118</v>
      </c>
      <c r="E220" s="12">
        <f>INDEX(MCDM_Grades!$E$6:$E$238,MATCH(A220,MCDM_Grades!$A$6:$A$238,0))</f>
        <v>58.333333333333321</v>
      </c>
      <c r="F220" s="12">
        <f>INDEX(MCDM_Grades!$F$6:$F$238,MATCH(A220,MCDM_Grades!$A$6:$A$238,0))</f>
        <v>99.999999999999986</v>
      </c>
      <c r="G220" s="13">
        <f>INDEX(MCDM_Grades!$G$6:$G$238,MATCH(A220,MCDM_Grades!$A$6:$A$238,0))</f>
        <v>0.58333333333333337</v>
      </c>
      <c r="H220" s="5" t="str">
        <f>HYPERLINK("https://www.cvlibs.net/datasets/kitti-360/","Dataset")</f>
        <v>Dataset</v>
      </c>
      <c r="I220" s="5" t="str">
        <f>HYPERLINK("https://www.cvlibs.net/datasets/kitti-360/","Evidence / paper")</f>
        <v>Evidence / paper</v>
      </c>
      <c r="J220" s="5" t="s">
        <v>2494</v>
      </c>
      <c r="K220" s="5" t="s">
        <v>2255</v>
      </c>
      <c r="L220" s="5" t="s">
        <v>985</v>
      </c>
      <c r="M220" s="5" t="s">
        <v>2055</v>
      </c>
      <c r="N220" s="5" t="s">
        <v>2495</v>
      </c>
      <c r="O220" s="5" t="s">
        <v>2496</v>
      </c>
      <c r="P220" s="5" t="s">
        <v>2172</v>
      </c>
      <c r="Q220" s="5" t="s">
        <v>1812</v>
      </c>
      <c r="R220" s="5" t="s">
        <v>2497</v>
      </c>
      <c r="S220" s="5" t="s">
        <v>2498</v>
      </c>
      <c r="T220" s="5" t="s">
        <v>2499</v>
      </c>
      <c r="U220" s="5" t="s">
        <v>2500</v>
      </c>
      <c r="V220" s="5" t="s">
        <v>2501</v>
      </c>
      <c r="W220" s="5" t="s">
        <v>1993</v>
      </c>
      <c r="X220" s="5" t="s">
        <v>2489</v>
      </c>
      <c r="Y220" s="5"/>
      <c r="Z220" s="5" t="s">
        <v>182</v>
      </c>
      <c r="AA220" s="5" t="str">
        <f>HYPERLINK("#'Manual_Review'!A"&amp;(MATCH("DS-215",Manual_Review!$A$6:$A$238,0)+5),"Enter review")</f>
        <v>Enter review</v>
      </c>
      <c r="AB220" s="5" t="str">
        <f>HYPERLINK("#'MCDM_Checks'!A"&amp;(MATCH("DS-215",MCDM_Checks!$B$6:$B$3733,0)+5),"Check evidence")</f>
        <v>Check evidence</v>
      </c>
      <c r="AC220" s="5" t="s">
        <v>659</v>
      </c>
      <c r="AD220" s="5" t="s">
        <v>2502</v>
      </c>
      <c r="AE220" s="5" t="s">
        <v>2502</v>
      </c>
      <c r="AF220" s="5" t="s">
        <v>2503</v>
      </c>
    </row>
    <row r="221" spans="1:32" ht="25.5">
      <c r="A221" s="5" t="s">
        <v>2504</v>
      </c>
      <c r="B221" s="5" t="s">
        <v>2505</v>
      </c>
      <c r="C221" s="5"/>
      <c r="D221" s="5" t="s">
        <v>118</v>
      </c>
      <c r="E221" s="12">
        <f>INDEX(MCDM_Grades!$E$6:$E$238,MATCH(A221,MCDM_Grades!$A$6:$A$238,0))</f>
        <v>69.444444444444443</v>
      </c>
      <c r="F221" s="12">
        <f>INDEX(MCDM_Grades!$F$6:$F$238,MATCH(A221,MCDM_Grades!$A$6:$A$238,0))</f>
        <v>99.999999999999986</v>
      </c>
      <c r="G221" s="13">
        <f>INDEX(MCDM_Grades!$G$6:$G$238,MATCH(A221,MCDM_Grades!$A$6:$A$238,0))</f>
        <v>0.69444444444444442</v>
      </c>
      <c r="H221" s="5" t="str">
        <f>HYPERLINK("https://www.man.eu/truckscenes","Dataset")</f>
        <v>Dataset</v>
      </c>
      <c r="I221" s="5" t="str">
        <f>HYPERLINK("https://registry.opendata.aws/man-truckscenes/","Evidence / paper")</f>
        <v>Evidence / paper</v>
      </c>
      <c r="J221" s="5" t="s">
        <v>2506</v>
      </c>
      <c r="K221" s="5" t="s">
        <v>2255</v>
      </c>
      <c r="L221" s="5" t="s">
        <v>985</v>
      </c>
      <c r="M221" s="5" t="s">
        <v>2083</v>
      </c>
      <c r="N221" s="5" t="s">
        <v>2507</v>
      </c>
      <c r="O221" s="5" t="s">
        <v>2508</v>
      </c>
      <c r="P221" s="5" t="s">
        <v>1060</v>
      </c>
      <c r="Q221" s="5" t="s">
        <v>174</v>
      </c>
      <c r="R221" s="5" t="s">
        <v>2509</v>
      </c>
      <c r="S221" s="5" t="s">
        <v>2510</v>
      </c>
      <c r="T221" s="5" t="s">
        <v>2511</v>
      </c>
      <c r="U221" s="5" t="s">
        <v>2512</v>
      </c>
      <c r="V221" s="5" t="s">
        <v>2513</v>
      </c>
      <c r="W221" s="5" t="s">
        <v>1993</v>
      </c>
      <c r="X221" s="5"/>
      <c r="Y221" s="5"/>
      <c r="Z221" s="5" t="s">
        <v>182</v>
      </c>
      <c r="AA221" s="5" t="str">
        <f>HYPERLINK("#'Manual_Review'!A"&amp;(MATCH("DS-216",Manual_Review!$A$6:$A$238,0)+5),"Enter review")</f>
        <v>Enter review</v>
      </c>
      <c r="AB221" s="5" t="str">
        <f>HYPERLINK("#'MCDM_Checks'!A"&amp;(MATCH("DS-216",MCDM_Checks!$B$6:$B$3733,0)+5),"Check evidence")</f>
        <v>Check evidence</v>
      </c>
      <c r="AC221" s="5" t="s">
        <v>659</v>
      </c>
      <c r="AD221" s="5" t="s">
        <v>2514</v>
      </c>
      <c r="AE221" s="5" t="s">
        <v>2515</v>
      </c>
      <c r="AF221" s="5" t="s">
        <v>2516</v>
      </c>
    </row>
    <row r="222" spans="1:32" ht="25.5">
      <c r="A222" s="5" t="s">
        <v>2517</v>
      </c>
      <c r="B222" s="5" t="s">
        <v>2518</v>
      </c>
      <c r="C222" s="5"/>
      <c r="D222" s="5" t="s">
        <v>1336</v>
      </c>
      <c r="E222" s="12">
        <f>INDEX(MCDM_Grades!$E$6:$E$238,MATCH(A222,MCDM_Grades!$A$6:$A$238,0))</f>
        <v>50.000000000000007</v>
      </c>
      <c r="F222" s="12">
        <f>INDEX(MCDM_Grades!$F$6:$F$238,MATCH(A222,MCDM_Grades!$A$6:$A$238,0))</f>
        <v>100</v>
      </c>
      <c r="G222" s="13">
        <f>INDEX(MCDM_Grades!$G$6:$G$238,MATCH(A222,MCDM_Grades!$A$6:$A$238,0))</f>
        <v>0.5</v>
      </c>
      <c r="H222" s="5" t="str">
        <f>HYPERLINK("https://huggingface.co/datasets/natix-network-org/natix-multi-camera-driving-dataset","Dataset")</f>
        <v>Dataset</v>
      </c>
      <c r="I222" s="5" t="str">
        <f>HYPERLINK("https://huggingface.co/datasets/natix-network-org/natix-multi-camera-driving-dataset","Evidence / paper")</f>
        <v>Evidence / paper</v>
      </c>
      <c r="J222" s="5" t="s">
        <v>2519</v>
      </c>
      <c r="K222" s="5" t="s">
        <v>2255</v>
      </c>
      <c r="L222" s="5" t="s">
        <v>985</v>
      </c>
      <c r="M222" s="5" t="s">
        <v>1984</v>
      </c>
      <c r="N222" s="5" t="s">
        <v>2520</v>
      </c>
      <c r="O222" s="5" t="s">
        <v>2521</v>
      </c>
      <c r="P222" s="5" t="s">
        <v>1987</v>
      </c>
      <c r="Q222" s="5" t="s">
        <v>1812</v>
      </c>
      <c r="R222" s="5" t="s">
        <v>2522</v>
      </c>
      <c r="S222" s="5" t="s">
        <v>2523</v>
      </c>
      <c r="T222" s="5" t="s">
        <v>2524</v>
      </c>
      <c r="U222" s="5" t="s">
        <v>2525</v>
      </c>
      <c r="V222" s="5" t="s">
        <v>2526</v>
      </c>
      <c r="W222" s="5" t="s">
        <v>1993</v>
      </c>
      <c r="X222" s="5" t="s">
        <v>1994</v>
      </c>
      <c r="Y222" s="5"/>
      <c r="Z222" s="5" t="s">
        <v>182</v>
      </c>
      <c r="AA222" s="5" t="str">
        <f>HYPERLINK("#'Manual_Review'!A"&amp;(MATCH("DS-217",Manual_Review!$A$6:$A$238,0)+5),"Enter review")</f>
        <v>Enter review</v>
      </c>
      <c r="AB222" s="5" t="str">
        <f>HYPERLINK("#'MCDM_Checks'!A"&amp;(MATCH("DS-217",MCDM_Checks!$B$6:$B$3733,0)+5),"Check evidence")</f>
        <v>Check evidence</v>
      </c>
      <c r="AC222" s="5" t="s">
        <v>1065</v>
      </c>
      <c r="AD222" s="5" t="s">
        <v>2527</v>
      </c>
      <c r="AE222" s="5" t="s">
        <v>2527</v>
      </c>
      <c r="AF222" s="5" t="s">
        <v>2528</v>
      </c>
    </row>
    <row r="223" spans="1:32" ht="25.5">
      <c r="A223" s="5" t="s">
        <v>2529</v>
      </c>
      <c r="B223" s="5" t="s">
        <v>2530</v>
      </c>
      <c r="C223" s="5"/>
      <c r="D223" s="5" t="s">
        <v>118</v>
      </c>
      <c r="E223" s="12">
        <f>INDEX(MCDM_Grades!$E$6:$E$238,MATCH(A223,MCDM_Grades!$A$6:$A$238,0))</f>
        <v>83.333333333333314</v>
      </c>
      <c r="F223" s="12">
        <f>INDEX(MCDM_Grades!$F$6:$F$238,MATCH(A223,MCDM_Grades!$A$6:$A$238,0))</f>
        <v>99.999999999999986</v>
      </c>
      <c r="G223" s="13">
        <f>INDEX(MCDM_Grades!$G$6:$G$238,MATCH(A223,MCDM_Grades!$A$6:$A$238,0))</f>
        <v>0.83333333333333326</v>
      </c>
      <c r="H223" s="5" t="str">
        <f>HYPERLINK("https://huggingface.co/datasets/natix-network-org/natix-safety-critical-driving-events-dataset","Dataset")</f>
        <v>Dataset</v>
      </c>
      <c r="I223" s="5" t="str">
        <f>HYPERLINK("https://www.natix.network/blog/natix-safety-critical-driving-events-dataset-with-vehicle-telemetry","Evidence / paper")</f>
        <v>Evidence / paper</v>
      </c>
      <c r="J223" s="5" t="s">
        <v>2531</v>
      </c>
      <c r="K223" s="5" t="s">
        <v>2255</v>
      </c>
      <c r="L223" s="5" t="s">
        <v>985</v>
      </c>
      <c r="M223" s="5" t="s">
        <v>1984</v>
      </c>
      <c r="N223" s="5" t="s">
        <v>2532</v>
      </c>
      <c r="O223" s="5" t="s">
        <v>2533</v>
      </c>
      <c r="P223" s="5" t="s">
        <v>1987</v>
      </c>
      <c r="Q223" s="5" t="s">
        <v>1812</v>
      </c>
      <c r="R223" s="5" t="s">
        <v>2534</v>
      </c>
      <c r="S223" s="5" t="s">
        <v>2535</v>
      </c>
      <c r="T223" s="5" t="s">
        <v>2536</v>
      </c>
      <c r="U223" s="5" t="s">
        <v>2537</v>
      </c>
      <c r="V223" s="5" t="s">
        <v>2538</v>
      </c>
      <c r="W223" s="5" t="s">
        <v>1993</v>
      </c>
      <c r="X223" s="5" t="s">
        <v>1994</v>
      </c>
      <c r="Y223" s="5"/>
      <c r="Z223" s="5" t="s">
        <v>182</v>
      </c>
      <c r="AA223" s="5" t="str">
        <f>HYPERLINK("#'Manual_Review'!A"&amp;(MATCH("DS-218",Manual_Review!$A$6:$A$238,0)+5),"Enter review")</f>
        <v>Enter review</v>
      </c>
      <c r="AB223" s="5" t="str">
        <f>HYPERLINK("#'MCDM_Checks'!A"&amp;(MATCH("DS-218",MCDM_Checks!$B$6:$B$3733,0)+5),"Check evidence")</f>
        <v>Check evidence</v>
      </c>
      <c r="AC223" s="5" t="s">
        <v>1065</v>
      </c>
      <c r="AD223" s="5" t="s">
        <v>2539</v>
      </c>
      <c r="AE223" s="5" t="s">
        <v>2540</v>
      </c>
      <c r="AF223" s="5" t="s">
        <v>2541</v>
      </c>
    </row>
    <row r="224" spans="1:32" ht="25.5">
      <c r="A224" s="5" t="s">
        <v>2542</v>
      </c>
      <c r="B224" s="5" t="s">
        <v>2543</v>
      </c>
      <c r="C224" s="5"/>
      <c r="D224" s="5" t="s">
        <v>118</v>
      </c>
      <c r="E224" s="12">
        <f>INDEX(MCDM_Grades!$E$6:$E$238,MATCH(A224,MCDM_Grades!$A$6:$A$238,0))</f>
        <v>77.777777777777771</v>
      </c>
      <c r="F224" s="12">
        <f>INDEX(MCDM_Grades!$F$6:$F$238,MATCH(A224,MCDM_Grades!$A$6:$A$238,0))</f>
        <v>99.999999999999986</v>
      </c>
      <c r="G224" s="13">
        <f>INDEX(MCDM_Grades!$G$6:$G$238,MATCH(A224,MCDM_Grades!$A$6:$A$238,0))</f>
        <v>0.77777777777777768</v>
      </c>
      <c r="H224" s="5" t="str">
        <f>HYPERLINK("https://www.nuscenes.org/nuimages","Dataset")</f>
        <v>Dataset</v>
      </c>
      <c r="I224" s="5" t="str">
        <f>HYPERLINK("https://www.nuscenes.org/","Evidence / paper")</f>
        <v>Evidence / paper</v>
      </c>
      <c r="J224" s="5" t="s">
        <v>2544</v>
      </c>
      <c r="K224" s="5" t="s">
        <v>2255</v>
      </c>
      <c r="L224" s="5" t="s">
        <v>985</v>
      </c>
      <c r="M224" s="5" t="s">
        <v>2055</v>
      </c>
      <c r="N224" s="5" t="s">
        <v>2545</v>
      </c>
      <c r="O224" s="5" t="s">
        <v>2546</v>
      </c>
      <c r="P224" s="5" t="s">
        <v>2547</v>
      </c>
      <c r="Q224" s="5" t="s">
        <v>1812</v>
      </c>
      <c r="R224" s="5" t="s">
        <v>2548</v>
      </c>
      <c r="S224" s="5" t="s">
        <v>2549</v>
      </c>
      <c r="T224" s="5" t="s">
        <v>2550</v>
      </c>
      <c r="U224" s="5" t="s">
        <v>2551</v>
      </c>
      <c r="V224" s="5" t="s">
        <v>2552</v>
      </c>
      <c r="W224" s="5" t="s">
        <v>1993</v>
      </c>
      <c r="X224" s="5" t="s">
        <v>2553</v>
      </c>
      <c r="Y224" s="5"/>
      <c r="Z224" s="5" t="s">
        <v>182</v>
      </c>
      <c r="AA224" s="5" t="str">
        <f>HYPERLINK("#'Manual_Review'!A"&amp;(MATCH("DS-219",Manual_Review!$A$6:$A$238,0)+5),"Enter review")</f>
        <v>Enter review</v>
      </c>
      <c r="AB224" s="5" t="str">
        <f>HYPERLINK("#'MCDM_Checks'!A"&amp;(MATCH("DS-219",MCDM_Checks!$B$6:$B$3733,0)+5),"Check evidence")</f>
        <v>Check evidence</v>
      </c>
      <c r="AC224" s="5" t="s">
        <v>659</v>
      </c>
      <c r="AD224" s="5" t="s">
        <v>2554</v>
      </c>
      <c r="AE224" s="5" t="s">
        <v>2555</v>
      </c>
      <c r="AF224" s="5" t="s">
        <v>2556</v>
      </c>
    </row>
    <row r="225" spans="1:32" ht="25.5">
      <c r="A225" s="5" t="s">
        <v>2557</v>
      </c>
      <c r="B225" s="5" t="s">
        <v>2558</v>
      </c>
      <c r="C225" s="5"/>
      <c r="D225" s="5" t="s">
        <v>118</v>
      </c>
      <c r="E225" s="12">
        <f>INDEX(MCDM_Grades!$E$6:$E$238,MATCH(A225,MCDM_Grades!$A$6:$A$238,0))</f>
        <v>66.666666666666657</v>
      </c>
      <c r="F225" s="12">
        <f>INDEX(MCDM_Grades!$F$6:$F$238,MATCH(A225,MCDM_Grades!$A$6:$A$238,0))</f>
        <v>99.999999999999986</v>
      </c>
      <c r="G225" s="13">
        <f>INDEX(MCDM_Grades!$G$6:$G$238,MATCH(A225,MCDM_Grades!$A$6:$A$238,0))</f>
        <v>0.66666666666666663</v>
      </c>
      <c r="H225" s="5" t="str">
        <f>HYPERLINK("https://www.nuscenes.org/nuplan","Dataset")</f>
        <v>Dataset</v>
      </c>
      <c r="I225" s="5" t="str">
        <f>HYPERLINK("https://www.nuscenes.org/","Evidence / paper")</f>
        <v>Evidence / paper</v>
      </c>
      <c r="J225" s="5" t="s">
        <v>2559</v>
      </c>
      <c r="K225" s="5" t="s">
        <v>2255</v>
      </c>
      <c r="L225" s="5" t="s">
        <v>985</v>
      </c>
      <c r="M225" s="5" t="s">
        <v>2055</v>
      </c>
      <c r="N225" s="5" t="s">
        <v>2560</v>
      </c>
      <c r="O225" s="5" t="s">
        <v>2561</v>
      </c>
      <c r="P225" s="5" t="s">
        <v>2547</v>
      </c>
      <c r="Q225" s="5" t="s">
        <v>1812</v>
      </c>
      <c r="R225" s="5" t="s">
        <v>2562</v>
      </c>
      <c r="S225" s="5" t="s">
        <v>2563</v>
      </c>
      <c r="T225" s="5" t="s">
        <v>2550</v>
      </c>
      <c r="U225" s="5" t="s">
        <v>2564</v>
      </c>
      <c r="V225" s="5" t="s">
        <v>2565</v>
      </c>
      <c r="W225" s="5" t="s">
        <v>1993</v>
      </c>
      <c r="X225" s="5" t="s">
        <v>2553</v>
      </c>
      <c r="Y225" s="5"/>
      <c r="Z225" s="5" t="s">
        <v>182</v>
      </c>
      <c r="AA225" s="5" t="str">
        <f>HYPERLINK("#'Manual_Review'!A"&amp;(MATCH("DS-220",Manual_Review!$A$6:$A$238,0)+5),"Enter review")</f>
        <v>Enter review</v>
      </c>
      <c r="AB225" s="5" t="str">
        <f>HYPERLINK("#'MCDM_Checks'!A"&amp;(MATCH("DS-220",MCDM_Checks!$B$6:$B$3733,0)+5),"Check evidence")</f>
        <v>Check evidence</v>
      </c>
      <c r="AC225" s="5" t="s">
        <v>659</v>
      </c>
      <c r="AD225" s="5" t="s">
        <v>2566</v>
      </c>
      <c r="AE225" s="5" t="s">
        <v>2555</v>
      </c>
      <c r="AF225" s="5" t="s">
        <v>2567</v>
      </c>
    </row>
    <row r="226" spans="1:32" ht="25.5">
      <c r="A226" s="5" t="s">
        <v>2568</v>
      </c>
      <c r="B226" s="5" t="s">
        <v>2569</v>
      </c>
      <c r="C226" s="5"/>
      <c r="D226" s="5" t="s">
        <v>118</v>
      </c>
      <c r="E226" s="12">
        <f>INDEX(MCDM_Grades!$E$6:$E$238,MATCH(A226,MCDM_Grades!$A$6:$A$238,0))</f>
        <v>63.888888888888893</v>
      </c>
      <c r="F226" s="12">
        <f>INDEX(MCDM_Grades!$F$6:$F$238,MATCH(A226,MCDM_Grades!$A$6:$A$238,0))</f>
        <v>99.999999999999986</v>
      </c>
      <c r="G226" s="13">
        <f>INDEX(MCDM_Grades!$G$6:$G$238,MATCH(A226,MCDM_Grades!$A$6:$A$238,0))</f>
        <v>0.63888888888888884</v>
      </c>
      <c r="H226" s="5" t="str">
        <f>HYPERLINK("https://www.nuscenes.org/nuscenes","Dataset")</f>
        <v>Dataset</v>
      </c>
      <c r="I226" s="5" t="str">
        <f>HYPERLINK("https://www.nuscenes.org/data-format","Evidence / paper")</f>
        <v>Evidence / paper</v>
      </c>
      <c r="J226" s="5" t="s">
        <v>2570</v>
      </c>
      <c r="K226" s="5" t="s">
        <v>2255</v>
      </c>
      <c r="L226" s="5" t="s">
        <v>985</v>
      </c>
      <c r="M226" s="5" t="s">
        <v>2055</v>
      </c>
      <c r="N226" s="5" t="s">
        <v>2571</v>
      </c>
      <c r="O226" s="5" t="s">
        <v>2572</v>
      </c>
      <c r="P226" s="5" t="s">
        <v>2547</v>
      </c>
      <c r="Q226" s="5" t="s">
        <v>1812</v>
      </c>
      <c r="R226" s="5" t="s">
        <v>2573</v>
      </c>
      <c r="S226" s="5" t="s">
        <v>2549</v>
      </c>
      <c r="T226" s="5" t="s">
        <v>2574</v>
      </c>
      <c r="U226" s="5" t="s">
        <v>2575</v>
      </c>
      <c r="V226" s="5" t="s">
        <v>2576</v>
      </c>
      <c r="W226" s="5" t="s">
        <v>1993</v>
      </c>
      <c r="X226" s="5" t="s">
        <v>2553</v>
      </c>
      <c r="Y226" s="5"/>
      <c r="Z226" s="5" t="s">
        <v>182</v>
      </c>
      <c r="AA226" s="5" t="str">
        <f>HYPERLINK("#'Manual_Review'!A"&amp;(MATCH("DS-221",Manual_Review!$A$6:$A$238,0)+5),"Enter review")</f>
        <v>Enter review</v>
      </c>
      <c r="AB226" s="5" t="str">
        <f>HYPERLINK("#'MCDM_Checks'!A"&amp;(MATCH("DS-221",MCDM_Checks!$B$6:$B$3733,0)+5),"Check evidence")</f>
        <v>Check evidence</v>
      </c>
      <c r="AC226" s="5" t="s">
        <v>659</v>
      </c>
      <c r="AD226" s="5" t="s">
        <v>2577</v>
      </c>
      <c r="AE226" s="5" t="s">
        <v>2578</v>
      </c>
      <c r="AF226" s="5" t="s">
        <v>2579</v>
      </c>
    </row>
    <row r="227" spans="1:32" ht="25.5">
      <c r="A227" s="5" t="s">
        <v>2580</v>
      </c>
      <c r="B227" s="5" t="s">
        <v>2581</v>
      </c>
      <c r="C227" s="5"/>
      <c r="D227" s="5" t="s">
        <v>118</v>
      </c>
      <c r="E227" s="12">
        <f>INDEX(MCDM_Grades!$E$6:$E$238,MATCH(A227,MCDM_Grades!$A$6:$A$238,0))</f>
        <v>63.888888888888872</v>
      </c>
      <c r="F227" s="12">
        <f>INDEX(MCDM_Grades!$F$6:$F$238,MATCH(A227,MCDM_Grades!$A$6:$A$238,0))</f>
        <v>99.999999999999986</v>
      </c>
      <c r="G227" s="13">
        <f>INDEX(MCDM_Grades!$G$6:$G$238,MATCH(A227,MCDM_Grades!$A$6:$A$238,0))</f>
        <v>0.63888888888888884</v>
      </c>
      <c r="H227" s="5" t="str">
        <f>HYPERLINK("https://huggingface.co/datasets/nvidia/PhysicalAI-Autonomous-Vehicles","Dataset")</f>
        <v>Dataset</v>
      </c>
      <c r="I227" s="5" t="str">
        <f>HYPERLINK("https://huggingface.co/datasets/nvidia/PhysicalAI-Autonomous-Vehicles","Evidence / paper")</f>
        <v>Evidence / paper</v>
      </c>
      <c r="J227" s="5" t="s">
        <v>2582</v>
      </c>
      <c r="K227" s="5" t="s">
        <v>2255</v>
      </c>
      <c r="L227" s="5" t="s">
        <v>985</v>
      </c>
      <c r="M227" s="5" t="s">
        <v>2055</v>
      </c>
      <c r="N227" s="5" t="s">
        <v>2583</v>
      </c>
      <c r="O227" s="5" t="s">
        <v>2584</v>
      </c>
      <c r="P227" s="5" t="s">
        <v>2585</v>
      </c>
      <c r="Q227" s="5" t="s">
        <v>1812</v>
      </c>
      <c r="R227" s="5" t="s">
        <v>2586</v>
      </c>
      <c r="S227" s="5" t="s">
        <v>2587</v>
      </c>
      <c r="T227" s="5" t="s">
        <v>2588</v>
      </c>
      <c r="U227" s="5" t="s">
        <v>2589</v>
      </c>
      <c r="V227" s="5" t="s">
        <v>2590</v>
      </c>
      <c r="W227" s="5" t="s">
        <v>1993</v>
      </c>
      <c r="X227" s="5"/>
      <c r="Y227" s="5"/>
      <c r="Z227" s="5" t="s">
        <v>182</v>
      </c>
      <c r="AA227" s="5" t="str">
        <f>HYPERLINK("#'Manual_Review'!A"&amp;(MATCH("DS-222",Manual_Review!$A$6:$A$238,0)+5),"Enter review")</f>
        <v>Enter review</v>
      </c>
      <c r="AB227" s="5" t="str">
        <f>HYPERLINK("#'MCDM_Checks'!A"&amp;(MATCH("DS-222",MCDM_Checks!$B$6:$B$3733,0)+5),"Check evidence")</f>
        <v>Check evidence</v>
      </c>
      <c r="AC227" s="5" t="s">
        <v>1065</v>
      </c>
      <c r="AD227" s="5" t="s">
        <v>2591</v>
      </c>
      <c r="AE227" s="5" t="s">
        <v>2591</v>
      </c>
      <c r="AF227" s="5" t="s">
        <v>2592</v>
      </c>
    </row>
    <row r="228" spans="1:32" ht="25.5">
      <c r="A228" s="5" t="s">
        <v>2593</v>
      </c>
      <c r="B228" s="5" t="s">
        <v>2594</v>
      </c>
      <c r="C228" s="5"/>
      <c r="D228" s="5" t="s">
        <v>118</v>
      </c>
      <c r="E228" s="12">
        <f>INDEX(MCDM_Grades!$E$6:$E$238,MATCH(A228,MCDM_Grades!$A$6:$A$238,0))</f>
        <v>66.666666666666657</v>
      </c>
      <c r="F228" s="12">
        <f>INDEX(MCDM_Grades!$F$6:$F$238,MATCH(A228,MCDM_Grades!$A$6:$A$238,0))</f>
        <v>99.999999999999986</v>
      </c>
      <c r="G228" s="13">
        <f>INDEX(MCDM_Grades!$G$6:$G$238,MATCH(A228,MCDM_Grades!$A$6:$A$238,0))</f>
        <v>0.66666666666666663</v>
      </c>
      <c r="H228" s="5" t="str">
        <f>HYPERLINK("https://once-for-auto-driving.github.io/index.html","Dataset")</f>
        <v>Dataset</v>
      </c>
      <c r="I228" s="5" t="str">
        <f>HYPERLINK("https://once-for-auto-driving.github.io/download.html","Evidence / paper")</f>
        <v>Evidence / paper</v>
      </c>
      <c r="J228" s="5" t="s">
        <v>2595</v>
      </c>
      <c r="K228" s="5" t="s">
        <v>2255</v>
      </c>
      <c r="L228" s="5" t="s">
        <v>985</v>
      </c>
      <c r="M228" s="5" t="s">
        <v>2055</v>
      </c>
      <c r="N228" s="5" t="s">
        <v>2596</v>
      </c>
      <c r="O228" s="5" t="s">
        <v>2597</v>
      </c>
      <c r="P228" s="5" t="s">
        <v>2598</v>
      </c>
      <c r="Q228" s="5" t="s">
        <v>174</v>
      </c>
      <c r="R228" s="5" t="s">
        <v>2599</v>
      </c>
      <c r="S228" s="5" t="s">
        <v>2600</v>
      </c>
      <c r="T228" s="5" t="s">
        <v>2601</v>
      </c>
      <c r="U228" s="5" t="s">
        <v>2602</v>
      </c>
      <c r="V228" s="5" t="s">
        <v>2603</v>
      </c>
      <c r="W228" s="5" t="s">
        <v>1993</v>
      </c>
      <c r="X228" s="5"/>
      <c r="Y228" s="5"/>
      <c r="Z228" s="5" t="s">
        <v>182</v>
      </c>
      <c r="AA228" s="5" t="str">
        <f>HYPERLINK("#'Manual_Review'!A"&amp;(MATCH("DS-223",Manual_Review!$A$6:$A$238,0)+5),"Enter review")</f>
        <v>Enter review</v>
      </c>
      <c r="AB228" s="5" t="str">
        <f>HYPERLINK("#'MCDM_Checks'!A"&amp;(MATCH("DS-223",MCDM_Checks!$B$6:$B$3733,0)+5),"Check evidence")</f>
        <v>Check evidence</v>
      </c>
      <c r="AC228" s="5" t="s">
        <v>659</v>
      </c>
      <c r="AD228" s="5" t="s">
        <v>2604</v>
      </c>
      <c r="AE228" s="5" t="s">
        <v>2605</v>
      </c>
      <c r="AF228" s="5" t="s">
        <v>2606</v>
      </c>
    </row>
    <row r="229" spans="1:32" ht="25.5">
      <c r="A229" s="5" t="s">
        <v>2607</v>
      </c>
      <c r="B229" s="5" t="s">
        <v>2608</v>
      </c>
      <c r="C229" s="5"/>
      <c r="D229" s="5" t="s">
        <v>118</v>
      </c>
      <c r="E229" s="12">
        <f>INDEX(MCDM_Grades!$E$6:$E$238,MATCH(A229,MCDM_Grades!$A$6:$A$238,0))</f>
        <v>61.111111111111107</v>
      </c>
      <c r="F229" s="12">
        <f>INDEX(MCDM_Grades!$F$6:$F$238,MATCH(A229,MCDM_Grades!$A$6:$A$238,0))</f>
        <v>99.999999999999986</v>
      </c>
      <c r="G229" s="13">
        <f>INDEX(MCDM_Grades!$G$6:$G$238,MATCH(A229,MCDM_Grades!$A$6:$A$238,0))</f>
        <v>0.61111111111111105</v>
      </c>
      <c r="H229" s="5" t="str">
        <f>HYPERLINK("https://github.com/OpenDriveLab/DriveAGI","Dataset")</f>
        <v>Dataset</v>
      </c>
      <c r="I229" s="5" t="str">
        <f>HYPERLINK("https://github.com/OpenDriveLab/DriveAGI","Evidence / paper")</f>
        <v>Evidence / paper</v>
      </c>
      <c r="J229" s="5" t="s">
        <v>2609</v>
      </c>
      <c r="K229" s="5" t="s">
        <v>2255</v>
      </c>
      <c r="L229" s="5" t="s">
        <v>985</v>
      </c>
      <c r="M229" s="5" t="s">
        <v>2610</v>
      </c>
      <c r="N229" s="5" t="s">
        <v>2611</v>
      </c>
      <c r="O229" s="5" t="s">
        <v>2612</v>
      </c>
      <c r="P229" s="5" t="s">
        <v>2613</v>
      </c>
      <c r="Q229" s="5" t="s">
        <v>2614</v>
      </c>
      <c r="R229" s="5" t="s">
        <v>2615</v>
      </c>
      <c r="S229" s="5" t="s">
        <v>2616</v>
      </c>
      <c r="T229" s="5" t="s">
        <v>2617</v>
      </c>
      <c r="U229" s="5" t="s">
        <v>2618</v>
      </c>
      <c r="V229" s="5" t="s">
        <v>2619</v>
      </c>
      <c r="W229" s="5" t="s">
        <v>1993</v>
      </c>
      <c r="X229" s="5"/>
      <c r="Y229" s="5"/>
      <c r="Z229" s="5" t="s">
        <v>182</v>
      </c>
      <c r="AA229" s="5" t="str">
        <f>HYPERLINK("#'Manual_Review'!A"&amp;(MATCH("DS-224",Manual_Review!$A$6:$A$238,0)+5),"Enter review")</f>
        <v>Enter review</v>
      </c>
      <c r="AB229" s="5" t="str">
        <f>HYPERLINK("#'MCDM_Checks'!A"&amp;(MATCH("DS-224",MCDM_Checks!$B$6:$B$3733,0)+5),"Check evidence")</f>
        <v>Check evidence</v>
      </c>
      <c r="AC229" s="5" t="s">
        <v>129</v>
      </c>
      <c r="AD229" s="5" t="s">
        <v>2620</v>
      </c>
      <c r="AE229" s="5" t="s">
        <v>2620</v>
      </c>
      <c r="AF229" s="5" t="s">
        <v>2621</v>
      </c>
    </row>
    <row r="230" spans="1:32" ht="25.5">
      <c r="A230" s="5" t="s">
        <v>2622</v>
      </c>
      <c r="B230" s="5" t="s">
        <v>2623</v>
      </c>
      <c r="C230" s="5"/>
      <c r="D230" s="5" t="s">
        <v>118</v>
      </c>
      <c r="E230" s="12">
        <f>INDEX(MCDM_Grades!$E$6:$E$238,MATCH(A230,MCDM_Grades!$A$6:$A$238,0))</f>
        <v>50</v>
      </c>
      <c r="F230" s="12">
        <f>INDEX(MCDM_Grades!$F$6:$F$238,MATCH(A230,MCDM_Grades!$A$6:$A$238,0))</f>
        <v>99.999999999999986</v>
      </c>
      <c r="G230" s="13">
        <f>INDEX(MCDM_Grades!$G$6:$G$238,MATCH(A230,MCDM_Grades!$A$6:$A$238,0))</f>
        <v>0.5</v>
      </c>
      <c r="H230" s="5" t="str">
        <f>HYPERLINK("https://robotcar-dataset.robots.ox.ac.uk/","Dataset")</f>
        <v>Dataset</v>
      </c>
      <c r="I230" s="5" t="str">
        <f>HYPERLINK("https://mrgdatashare.robots.ox.ac.uk/register/","Evidence / paper")</f>
        <v>Evidence / paper</v>
      </c>
      <c r="J230" s="5" t="s">
        <v>2624</v>
      </c>
      <c r="K230" s="5" t="s">
        <v>2255</v>
      </c>
      <c r="L230" s="5" t="s">
        <v>985</v>
      </c>
      <c r="M230" s="5" t="s">
        <v>2055</v>
      </c>
      <c r="N230" s="5" t="s">
        <v>2625</v>
      </c>
      <c r="O230" s="5" t="s">
        <v>2626</v>
      </c>
      <c r="P230" s="5" t="s">
        <v>2627</v>
      </c>
      <c r="Q230" s="5" t="s">
        <v>476</v>
      </c>
      <c r="R230" s="5" t="s">
        <v>2628</v>
      </c>
      <c r="S230" s="5" t="s">
        <v>2629</v>
      </c>
      <c r="T230" s="5" t="s">
        <v>2630</v>
      </c>
      <c r="U230" s="5" t="s">
        <v>2631</v>
      </c>
      <c r="V230" s="5" t="s">
        <v>2632</v>
      </c>
      <c r="W230" s="5" t="s">
        <v>1993</v>
      </c>
      <c r="X230" s="5"/>
      <c r="Y230" s="5"/>
      <c r="Z230" s="5" t="s">
        <v>182</v>
      </c>
      <c r="AA230" s="5" t="str">
        <f>HYPERLINK("#'Manual_Review'!A"&amp;(MATCH("DS-225",Manual_Review!$A$6:$A$238,0)+5),"Enter review")</f>
        <v>Enter review</v>
      </c>
      <c r="AB230" s="5" t="str">
        <f>HYPERLINK("#'MCDM_Checks'!A"&amp;(MATCH("DS-225",MCDM_Checks!$B$6:$B$3733,0)+5),"Check evidence")</f>
        <v>Check evidence</v>
      </c>
      <c r="AC230" s="5" t="s">
        <v>659</v>
      </c>
      <c r="AD230" s="5" t="s">
        <v>2633</v>
      </c>
      <c r="AE230" s="5" t="s">
        <v>2634</v>
      </c>
      <c r="AF230" s="5" t="s">
        <v>2635</v>
      </c>
    </row>
    <row r="231" spans="1:32" ht="25.5">
      <c r="A231" s="5" t="s">
        <v>2636</v>
      </c>
      <c r="B231" s="5" t="s">
        <v>2637</v>
      </c>
      <c r="C231" s="5"/>
      <c r="D231" s="5" t="s">
        <v>118</v>
      </c>
      <c r="E231" s="12">
        <f>INDEX(MCDM_Grades!$E$6:$E$238,MATCH(A231,MCDM_Grades!$A$6:$A$238,0))</f>
        <v>41.666666666666657</v>
      </c>
      <c r="F231" s="12">
        <f>INDEX(MCDM_Grades!$F$6:$F$238,MATCH(A231,MCDM_Grades!$A$6:$A$238,0))</f>
        <v>99.999999999999986</v>
      </c>
      <c r="G231" s="13">
        <f>INDEX(MCDM_Grades!$G$6:$G$238,MATCH(A231,MCDM_Grades!$A$6:$A$238,0))</f>
        <v>0.41666666666666663</v>
      </c>
      <c r="H231" s="5" t="str">
        <f>HYPERLINK("https://github.com/scaleapi/pandaset-devkit","Dataset")</f>
        <v>Dataset</v>
      </c>
      <c r="I231" s="5" t="str">
        <f>HYPERLINK("https://arxiv.org/abs/2112.12610","Evidence / paper")</f>
        <v>Evidence / paper</v>
      </c>
      <c r="J231" s="5" t="s">
        <v>2638</v>
      </c>
      <c r="K231" s="5" t="s">
        <v>2255</v>
      </c>
      <c r="L231" s="5" t="s">
        <v>985</v>
      </c>
      <c r="M231" s="5" t="s">
        <v>2055</v>
      </c>
      <c r="N231" s="5" t="s">
        <v>2639</v>
      </c>
      <c r="O231" s="5" t="s">
        <v>2640</v>
      </c>
      <c r="P231" s="5" t="s">
        <v>2641</v>
      </c>
      <c r="Q231" s="5" t="s">
        <v>1961</v>
      </c>
      <c r="R231" s="5" t="s">
        <v>2642</v>
      </c>
      <c r="S231" s="5" t="s">
        <v>2643</v>
      </c>
      <c r="T231" s="5" t="s">
        <v>2644</v>
      </c>
      <c r="U231" s="5" t="s">
        <v>2645</v>
      </c>
      <c r="V231" s="5" t="s">
        <v>2646</v>
      </c>
      <c r="W231" s="5" t="s">
        <v>1993</v>
      </c>
      <c r="X231" s="5"/>
      <c r="Y231" s="5"/>
      <c r="Z231" s="5" t="s">
        <v>182</v>
      </c>
      <c r="AA231" s="5" t="str">
        <f>HYPERLINK("#'Manual_Review'!A"&amp;(MATCH("DS-226",Manual_Review!$A$6:$A$238,0)+5),"Enter review")</f>
        <v>Enter review</v>
      </c>
      <c r="AB231" s="5" t="str">
        <f>HYPERLINK("#'MCDM_Checks'!A"&amp;(MATCH("DS-226",MCDM_Checks!$B$6:$B$3733,0)+5),"Check evidence")</f>
        <v>Check evidence</v>
      </c>
      <c r="AC231" s="5" t="s">
        <v>129</v>
      </c>
      <c r="AD231" s="5" t="s">
        <v>2647</v>
      </c>
      <c r="AE231" s="5" t="s">
        <v>2648</v>
      </c>
      <c r="AF231" s="5" t="s">
        <v>2649</v>
      </c>
    </row>
    <row r="232" spans="1:32" ht="25.5">
      <c r="A232" s="5" t="s">
        <v>2650</v>
      </c>
      <c r="B232" s="5" t="s">
        <v>2651</v>
      </c>
      <c r="C232" s="5"/>
      <c r="D232" s="5" t="s">
        <v>118</v>
      </c>
      <c r="E232" s="12">
        <f>INDEX(MCDM_Grades!$E$6:$E$238,MATCH(A232,MCDM_Grades!$A$6:$A$238,0))</f>
        <v>63.888888888888893</v>
      </c>
      <c r="F232" s="12">
        <f>INDEX(MCDM_Grades!$F$6:$F$238,MATCH(A232,MCDM_Grades!$A$6:$A$238,0))</f>
        <v>99.999999999999986</v>
      </c>
      <c r="G232" s="13">
        <f>INDEX(MCDM_Grades!$G$6:$G$238,MATCH(A232,MCDM_Grades!$A$6:$A$238,0))</f>
        <v>0.63888888888888884</v>
      </c>
      <c r="H232" s="5" t="str">
        <f>HYPERLINK("https://pro.hw.ac.uk/radiate/","Dataset")</f>
        <v>Dataset</v>
      </c>
      <c r="I232" s="5" t="str">
        <f>HYPERLINK("https://pro.hw.ac.uk/radiate/doc/dataset/","Evidence / paper")</f>
        <v>Evidence / paper</v>
      </c>
      <c r="J232" s="5" t="s">
        <v>2652</v>
      </c>
      <c r="K232" s="5" t="s">
        <v>2255</v>
      </c>
      <c r="L232" s="5" t="s">
        <v>985</v>
      </c>
      <c r="M232" s="5" t="s">
        <v>2055</v>
      </c>
      <c r="N232" s="5" t="s">
        <v>2653</v>
      </c>
      <c r="O232" s="5" t="s">
        <v>2654</v>
      </c>
      <c r="P232" s="5" t="s">
        <v>1060</v>
      </c>
      <c r="Q232" s="5" t="s">
        <v>1812</v>
      </c>
      <c r="R232" s="5" t="s">
        <v>2655</v>
      </c>
      <c r="S232" s="5" t="s">
        <v>2656</v>
      </c>
      <c r="T232" s="5" t="s">
        <v>2657</v>
      </c>
      <c r="U232" s="5" t="s">
        <v>2658</v>
      </c>
      <c r="V232" s="5" t="s">
        <v>2659</v>
      </c>
      <c r="W232" s="5" t="s">
        <v>1993</v>
      </c>
      <c r="X232" s="5"/>
      <c r="Y232" s="5"/>
      <c r="Z232" s="5" t="s">
        <v>182</v>
      </c>
      <c r="AA232" s="5" t="str">
        <f>HYPERLINK("#'Manual_Review'!A"&amp;(MATCH("DS-227",Manual_Review!$A$6:$A$238,0)+5),"Enter review")</f>
        <v>Enter review</v>
      </c>
      <c r="AB232" s="5" t="str">
        <f>HYPERLINK("#'MCDM_Checks'!A"&amp;(MATCH("DS-227",MCDM_Checks!$B$6:$B$3733,0)+5),"Check evidence")</f>
        <v>Check evidence</v>
      </c>
      <c r="AC232" s="5" t="s">
        <v>659</v>
      </c>
      <c r="AD232" s="5" t="s">
        <v>2660</v>
      </c>
      <c r="AE232" s="5" t="s">
        <v>2661</v>
      </c>
      <c r="AF232" s="5" t="s">
        <v>2662</v>
      </c>
    </row>
    <row r="233" spans="1:32" ht="25.5">
      <c r="A233" s="5" t="s">
        <v>2663</v>
      </c>
      <c r="B233" s="5" t="s">
        <v>2664</v>
      </c>
      <c r="C233" s="5"/>
      <c r="D233" s="5" t="s">
        <v>118</v>
      </c>
      <c r="E233" s="12">
        <f>INDEX(MCDM_Grades!$E$6:$E$238,MATCH(A233,MCDM_Grades!$A$6:$A$238,0))</f>
        <v>63.888888888888893</v>
      </c>
      <c r="F233" s="12">
        <f>INDEX(MCDM_Grades!$F$6:$F$238,MATCH(A233,MCDM_Grades!$A$6:$A$238,0))</f>
        <v>99.999999999999986</v>
      </c>
      <c r="G233" s="13">
        <f>INDEX(MCDM_Grades!$G$6:$G$238,MATCH(A233,MCDM_Grades!$A$6:$A$238,0))</f>
        <v>0.63888888888888884</v>
      </c>
      <c r="H233" s="5" t="str">
        <f>HYPERLINK("https://huggingface.co/datasets/Torc-Robotics/TruckDrive","Dataset")</f>
        <v>Dataset</v>
      </c>
      <c r="I233" s="5" t="str">
        <f>HYPERLINK("https://huggingface.co/datasets/Torc-Robotics/TruckDrive","Evidence / paper")</f>
        <v>Evidence / paper</v>
      </c>
      <c r="J233" s="5" t="s">
        <v>2665</v>
      </c>
      <c r="K233" s="5" t="s">
        <v>2255</v>
      </c>
      <c r="L233" s="5" t="s">
        <v>985</v>
      </c>
      <c r="M233" s="5" t="s">
        <v>2083</v>
      </c>
      <c r="N233" s="5" t="s">
        <v>2666</v>
      </c>
      <c r="O233" s="5" t="s">
        <v>2667</v>
      </c>
      <c r="P233" s="5" t="s">
        <v>2668</v>
      </c>
      <c r="Q233" s="5" t="s">
        <v>174</v>
      </c>
      <c r="R233" s="5" t="s">
        <v>2669</v>
      </c>
      <c r="S233" s="5" t="s">
        <v>2670</v>
      </c>
      <c r="T233" s="5" t="s">
        <v>2671</v>
      </c>
      <c r="U233" s="5" t="s">
        <v>2672</v>
      </c>
      <c r="V233" s="5" t="s">
        <v>2673</v>
      </c>
      <c r="W233" s="5" t="s">
        <v>1993</v>
      </c>
      <c r="X233" s="5"/>
      <c r="Y233" s="5"/>
      <c r="Z233" s="5" t="s">
        <v>182</v>
      </c>
      <c r="AA233" s="5" t="str">
        <f>HYPERLINK("#'Manual_Review'!A"&amp;(MATCH("DS-228",Manual_Review!$A$6:$A$238,0)+5),"Enter review")</f>
        <v>Enter review</v>
      </c>
      <c r="AB233" s="5" t="str">
        <f>HYPERLINK("#'MCDM_Checks'!A"&amp;(MATCH("DS-228",MCDM_Checks!$B$6:$B$3733,0)+5),"Check evidence")</f>
        <v>Check evidence</v>
      </c>
      <c r="AC233" s="5" t="s">
        <v>1065</v>
      </c>
      <c r="AD233" s="5" t="s">
        <v>2674</v>
      </c>
      <c r="AE233" s="5" t="s">
        <v>2674</v>
      </c>
      <c r="AF233" s="5" t="s">
        <v>2675</v>
      </c>
    </row>
    <row r="234" spans="1:32" ht="25.5">
      <c r="A234" s="5" t="s">
        <v>2676</v>
      </c>
      <c r="B234" s="5" t="s">
        <v>2677</v>
      </c>
      <c r="C234" s="5"/>
      <c r="D234" s="5" t="s">
        <v>118</v>
      </c>
      <c r="E234" s="12">
        <f>INDEX(MCDM_Grades!$E$6:$E$238,MATCH(A234,MCDM_Grades!$A$6:$A$238,0))</f>
        <v>63.888888888888886</v>
      </c>
      <c r="F234" s="12">
        <f>INDEX(MCDM_Grades!$F$6:$F$238,MATCH(A234,MCDM_Grades!$A$6:$A$238,0))</f>
        <v>99.999999999999986</v>
      </c>
      <c r="G234" s="13">
        <f>INDEX(MCDM_Grades!$G$6:$G$238,MATCH(A234,MCDM_Grades!$A$6:$A$238,0))</f>
        <v>0.63888888888888895</v>
      </c>
      <c r="H234" s="5" t="str">
        <f>HYPERLINK("https://github.com/TuSimple/tusimple-benchmark/issues/3","Dataset")</f>
        <v>Dataset</v>
      </c>
      <c r="I234" s="5" t="str">
        <f>HYPERLINK("https://github.com/TuSimple/tusimple-benchmark/blob/master/doc/lane_detection/readme.md","Evidence / paper")</f>
        <v>Evidence / paper</v>
      </c>
      <c r="J234" s="5" t="s">
        <v>2678</v>
      </c>
      <c r="K234" s="5" t="s">
        <v>2255</v>
      </c>
      <c r="L234" s="5" t="s">
        <v>985</v>
      </c>
      <c r="M234" s="5" t="s">
        <v>568</v>
      </c>
      <c r="N234" s="5" t="s">
        <v>2679</v>
      </c>
      <c r="O234" s="5" t="s">
        <v>2680</v>
      </c>
      <c r="P234" s="5" t="s">
        <v>2681</v>
      </c>
      <c r="Q234" s="5" t="s">
        <v>174</v>
      </c>
      <c r="R234" s="5" t="s">
        <v>2682</v>
      </c>
      <c r="S234" s="5" t="s">
        <v>2683</v>
      </c>
      <c r="T234" s="5" t="s">
        <v>2684</v>
      </c>
      <c r="U234" s="5" t="s">
        <v>2685</v>
      </c>
      <c r="V234" s="5" t="s">
        <v>2686</v>
      </c>
      <c r="W234" s="5" t="s">
        <v>1993</v>
      </c>
      <c r="X234" s="5"/>
      <c r="Y234" s="5"/>
      <c r="Z234" s="5" t="s">
        <v>182</v>
      </c>
      <c r="AA234" s="5" t="str">
        <f>HYPERLINK("#'Manual_Review'!A"&amp;(MATCH("DS-229",Manual_Review!$A$6:$A$238,0)+5),"Enter review")</f>
        <v>Enter review</v>
      </c>
      <c r="AB234" s="5" t="str">
        <f>HYPERLINK("#'MCDM_Checks'!A"&amp;(MATCH("DS-229",MCDM_Checks!$B$6:$B$3733,0)+5),"Check evidence")</f>
        <v>Check evidence</v>
      </c>
      <c r="AC234" s="5" t="s">
        <v>129</v>
      </c>
      <c r="AD234" s="5" t="s">
        <v>2687</v>
      </c>
      <c r="AE234" s="5" t="s">
        <v>2688</v>
      </c>
      <c r="AF234" s="5" t="s">
        <v>2689</v>
      </c>
    </row>
    <row r="235" spans="1:32" ht="25.5">
      <c r="A235" s="5" t="s">
        <v>2690</v>
      </c>
      <c r="B235" s="5" t="s">
        <v>2691</v>
      </c>
      <c r="C235" s="5"/>
      <c r="D235" s="5" t="s">
        <v>118</v>
      </c>
      <c r="E235" s="12">
        <f>INDEX(MCDM_Grades!$E$6:$E$238,MATCH(A235,MCDM_Grades!$A$6:$A$238,0))</f>
        <v>69.444444444444443</v>
      </c>
      <c r="F235" s="12">
        <f>INDEX(MCDM_Grades!$F$6:$F$238,MATCH(A235,MCDM_Grades!$A$6:$A$238,0))</f>
        <v>99.999999999999986</v>
      </c>
      <c r="G235" s="13">
        <f>INDEX(MCDM_Grades!$G$6:$G$238,MATCH(A235,MCDM_Grades!$A$6:$A$238,0))</f>
        <v>0.69444444444444442</v>
      </c>
      <c r="H235" s="5" t="str">
        <f>HYPERLINK("https://waymo.com/open/download/","Dataset")</f>
        <v>Dataset</v>
      </c>
      <c r="I235" s="5" t="str">
        <f>HYPERLINK("https://waymo.com/intl/fil/open/data/e2e/","Evidence / paper")</f>
        <v>Evidence / paper</v>
      </c>
      <c r="J235" s="5" t="s">
        <v>2692</v>
      </c>
      <c r="K235" s="5" t="s">
        <v>2255</v>
      </c>
      <c r="L235" s="5" t="s">
        <v>985</v>
      </c>
      <c r="M235" s="5" t="s">
        <v>2055</v>
      </c>
      <c r="N235" s="5" t="s">
        <v>2693</v>
      </c>
      <c r="O235" s="5" t="s">
        <v>2694</v>
      </c>
      <c r="P235" s="5" t="s">
        <v>2695</v>
      </c>
      <c r="Q235" s="5" t="s">
        <v>1812</v>
      </c>
      <c r="R235" s="5" t="s">
        <v>2696</v>
      </c>
      <c r="S235" s="5" t="s">
        <v>2697</v>
      </c>
      <c r="T235" s="5" t="s">
        <v>2698</v>
      </c>
      <c r="U235" s="5" t="s">
        <v>2699</v>
      </c>
      <c r="V235" s="5" t="s">
        <v>2700</v>
      </c>
      <c r="W235" s="5" t="s">
        <v>1993</v>
      </c>
      <c r="X235" s="5" t="s">
        <v>2701</v>
      </c>
      <c r="Y235" s="5"/>
      <c r="Z235" s="5" t="s">
        <v>182</v>
      </c>
      <c r="AA235" s="5" t="str">
        <f>HYPERLINK("#'Manual_Review'!A"&amp;(MATCH("DS-230",Manual_Review!$A$6:$A$238,0)+5),"Enter review")</f>
        <v>Enter review</v>
      </c>
      <c r="AB235" s="5" t="str">
        <f>HYPERLINK("#'MCDM_Checks'!A"&amp;(MATCH("DS-230",MCDM_Checks!$B$6:$B$3733,0)+5),"Check evidence")</f>
        <v>Check evidence</v>
      </c>
      <c r="AC235" s="5" t="s">
        <v>659</v>
      </c>
      <c r="AD235" s="5" t="s">
        <v>2702</v>
      </c>
      <c r="AE235" s="5" t="s">
        <v>2703</v>
      </c>
      <c r="AF235" s="5" t="s">
        <v>2704</v>
      </c>
    </row>
    <row r="236" spans="1:32" ht="25.5">
      <c r="A236" s="5" t="s">
        <v>2705</v>
      </c>
      <c r="B236" s="5" t="s">
        <v>2706</v>
      </c>
      <c r="C236" s="5"/>
      <c r="D236" s="5" t="s">
        <v>118</v>
      </c>
      <c r="E236" s="12">
        <f>INDEX(MCDM_Grades!$E$6:$E$238,MATCH(A236,MCDM_Grades!$A$6:$A$238,0))</f>
        <v>63.888888888888893</v>
      </c>
      <c r="F236" s="12">
        <f>INDEX(MCDM_Grades!$F$6:$F$238,MATCH(A236,MCDM_Grades!$A$6:$A$238,0))</f>
        <v>99.999999999999986</v>
      </c>
      <c r="G236" s="13">
        <f>INDEX(MCDM_Grades!$G$6:$G$238,MATCH(A236,MCDM_Grades!$A$6:$A$238,0))</f>
        <v>0.63888888888888884</v>
      </c>
      <c r="H236" s="5" t="str">
        <f>HYPERLINK("https://waymo.com/open/download/","Dataset")</f>
        <v>Dataset</v>
      </c>
      <c r="I236" s="5" t="str">
        <f>HYPERLINK("https://waymo.com/intl/it/open/data/perception/","Evidence / paper")</f>
        <v>Evidence / paper</v>
      </c>
      <c r="J236" s="5" t="s">
        <v>2707</v>
      </c>
      <c r="K236" s="5" t="s">
        <v>2255</v>
      </c>
      <c r="L236" s="5" t="s">
        <v>985</v>
      </c>
      <c r="M236" s="5" t="s">
        <v>2055</v>
      </c>
      <c r="N236" s="5" t="s">
        <v>2708</v>
      </c>
      <c r="O236" s="5" t="s">
        <v>2709</v>
      </c>
      <c r="P236" s="5" t="s">
        <v>2710</v>
      </c>
      <c r="Q236" s="5" t="s">
        <v>1812</v>
      </c>
      <c r="R236" s="5" t="s">
        <v>2711</v>
      </c>
      <c r="S236" s="5" t="s">
        <v>2712</v>
      </c>
      <c r="T236" s="5" t="s">
        <v>2698</v>
      </c>
      <c r="U236" s="5" t="s">
        <v>2713</v>
      </c>
      <c r="V236" s="5" t="s">
        <v>2714</v>
      </c>
      <c r="W236" s="5" t="s">
        <v>1993</v>
      </c>
      <c r="X236" s="5" t="s">
        <v>2701</v>
      </c>
      <c r="Y236" s="5"/>
      <c r="Z236" s="5" t="s">
        <v>182</v>
      </c>
      <c r="AA236" s="5" t="str">
        <f>HYPERLINK("#'Manual_Review'!A"&amp;(MATCH("DS-231",Manual_Review!$A$6:$A$238,0)+5),"Enter review")</f>
        <v>Enter review</v>
      </c>
      <c r="AB236" s="5" t="str">
        <f>HYPERLINK("#'MCDM_Checks'!A"&amp;(MATCH("DS-231",MCDM_Checks!$B$6:$B$3733,0)+5),"Check evidence")</f>
        <v>Check evidence</v>
      </c>
      <c r="AC236" s="5" t="s">
        <v>659</v>
      </c>
      <c r="AD236" s="5" t="s">
        <v>2702</v>
      </c>
      <c r="AE236" s="5" t="s">
        <v>2715</v>
      </c>
      <c r="AF236" s="5" t="s">
        <v>2716</v>
      </c>
    </row>
    <row r="237" spans="1:32" ht="25.5">
      <c r="A237" s="5" t="s">
        <v>2717</v>
      </c>
      <c r="B237" s="5" t="s">
        <v>2718</v>
      </c>
      <c r="C237" s="5"/>
      <c r="D237" s="5" t="s">
        <v>118</v>
      </c>
      <c r="E237" s="12">
        <f>INDEX(MCDM_Grades!$E$6:$E$238,MATCH(A237,MCDM_Grades!$A$6:$A$238,0))</f>
        <v>75</v>
      </c>
      <c r="F237" s="12">
        <f>INDEX(MCDM_Grades!$F$6:$F$238,MATCH(A237,MCDM_Grades!$A$6:$A$238,0))</f>
        <v>99.999999999999986</v>
      </c>
      <c r="G237" s="13">
        <f>INDEX(MCDM_Grades!$G$6:$G$238,MATCH(A237,MCDM_Grades!$A$6:$A$238,0))</f>
        <v>0.75</v>
      </c>
      <c r="H237" s="5" t="str">
        <f>HYPERLINK("https://huggingface.co/datasets/XieTenghu1/TruckV2X","Dataset")</f>
        <v>Dataset</v>
      </c>
      <c r="I237" s="5" t="str">
        <f>HYPERLINK("https://arxiv.org/html/2507.09505v1","Evidence / paper")</f>
        <v>Evidence / paper</v>
      </c>
      <c r="J237" s="5" t="s">
        <v>2719</v>
      </c>
      <c r="K237" s="5" t="s">
        <v>2255</v>
      </c>
      <c r="L237" s="5" t="s">
        <v>2720</v>
      </c>
      <c r="M237" s="5" t="s">
        <v>2721</v>
      </c>
      <c r="N237" s="5" t="s">
        <v>2722</v>
      </c>
      <c r="O237" s="5" t="s">
        <v>2723</v>
      </c>
      <c r="P237" s="5" t="s">
        <v>2724</v>
      </c>
      <c r="Q237" s="5" t="s">
        <v>174</v>
      </c>
      <c r="R237" s="5" t="s">
        <v>2725</v>
      </c>
      <c r="S237" s="5" t="s">
        <v>2726</v>
      </c>
      <c r="T237" s="5" t="s">
        <v>2727</v>
      </c>
      <c r="U237" s="5" t="s">
        <v>2728</v>
      </c>
      <c r="V237" s="5" t="s">
        <v>2729</v>
      </c>
      <c r="W237" s="5" t="s">
        <v>1993</v>
      </c>
      <c r="X237" s="5"/>
      <c r="Y237" s="5"/>
      <c r="Z237" s="5" t="s">
        <v>182</v>
      </c>
      <c r="AA237" s="5" t="str">
        <f>HYPERLINK("#'Manual_Review'!A"&amp;(MATCH("DS-232",Manual_Review!$A$6:$A$238,0)+5),"Enter review")</f>
        <v>Enter review</v>
      </c>
      <c r="AB237" s="5" t="str">
        <f>HYPERLINK("#'MCDM_Checks'!A"&amp;(MATCH("DS-232",MCDM_Checks!$B$6:$B$3733,0)+5),"Check evidence")</f>
        <v>Check evidence</v>
      </c>
      <c r="AC237" s="5" t="s">
        <v>1065</v>
      </c>
      <c r="AD237" s="5" t="s">
        <v>2730</v>
      </c>
      <c r="AE237" s="5" t="s">
        <v>2731</v>
      </c>
      <c r="AF237" s="5" t="s">
        <v>2732</v>
      </c>
    </row>
    <row r="238" spans="1:32" ht="25.5">
      <c r="A238" s="5" t="s">
        <v>2733</v>
      </c>
      <c r="B238" s="5" t="s">
        <v>2734</v>
      </c>
      <c r="C238" s="5"/>
      <c r="D238" s="5" t="s">
        <v>118</v>
      </c>
      <c r="E238" s="12">
        <f>INDEX(MCDM_Grades!$E$6:$E$238,MATCH(A238,MCDM_Grades!$A$6:$A$238,0))</f>
        <v>83.333333333333314</v>
      </c>
      <c r="F238" s="12">
        <f>INDEX(MCDM_Grades!$F$6:$F$238,MATCH(A238,MCDM_Grades!$A$6:$A$238,0))</f>
        <v>99.999999999999986</v>
      </c>
      <c r="G238" s="13">
        <f>INDEX(MCDM_Grades!$G$6:$G$238,MATCH(A238,MCDM_Grades!$A$6:$A$238,0))</f>
        <v>0.83333333333333326</v>
      </c>
      <c r="H238" s="5" t="str">
        <f>HYPERLINK("https://thu-rsxd.com/dxhdiefb/","Dataset")</f>
        <v>Dataset</v>
      </c>
      <c r="I238" s="5" t="str">
        <f>HYPERLINK("https://thu-rsxd.com/rsrd_segmentation/","Evidence / paper")</f>
        <v>Evidence / paper</v>
      </c>
      <c r="J238" s="5" t="s">
        <v>2735</v>
      </c>
      <c r="K238" s="5" t="s">
        <v>2139</v>
      </c>
      <c r="L238" s="5" t="s">
        <v>2736</v>
      </c>
      <c r="M238" s="5" t="s">
        <v>568</v>
      </c>
      <c r="N238" s="5" t="s">
        <v>2737</v>
      </c>
      <c r="O238" s="5" t="s">
        <v>2738</v>
      </c>
      <c r="P238" s="5" t="s">
        <v>2739</v>
      </c>
      <c r="Q238" s="5" t="s">
        <v>174</v>
      </c>
      <c r="R238" s="5" t="s">
        <v>2740</v>
      </c>
      <c r="S238" s="5" t="s">
        <v>2741</v>
      </c>
      <c r="T238" s="5" t="s">
        <v>2145</v>
      </c>
      <c r="U238" s="5" t="s">
        <v>2742</v>
      </c>
      <c r="V238" s="5" t="s">
        <v>2743</v>
      </c>
      <c r="W238" s="5" t="s">
        <v>1993</v>
      </c>
      <c r="X238" s="5" t="s">
        <v>2148</v>
      </c>
      <c r="Y238" s="5"/>
      <c r="Z238" s="5" t="s">
        <v>182</v>
      </c>
      <c r="AA238" s="5" t="str">
        <f>HYPERLINK("#'Manual_Review'!A"&amp;(MATCH("DS-233",Manual_Review!$A$6:$A$238,0)+5),"Enter review")</f>
        <v>Enter review</v>
      </c>
      <c r="AB238" s="5" t="str">
        <f>HYPERLINK("#'MCDM_Checks'!A"&amp;(MATCH("DS-233",MCDM_Checks!$B$6:$B$3733,0)+5),"Check evidence")</f>
        <v>Check evidence</v>
      </c>
      <c r="AC238" s="5" t="s">
        <v>659</v>
      </c>
      <c r="AD238" s="5" t="s">
        <v>1219</v>
      </c>
      <c r="AE238" s="5" t="s">
        <v>2744</v>
      </c>
      <c r="AF238" s="5" t="s">
        <v>2745</v>
      </c>
    </row>
  </sheetData>
  <conditionalFormatting sqref="A6:AF238">
    <cfRule type="expression" dxfId="4" priority="1">
      <formula>AND(ISNUMBER($C6),$C6&gt;0)</formula>
    </cfRule>
  </conditionalFormatting>
  <hyperlinks>
    <hyperlink ref="H199" r:id="rId1" xr:uid="{BCF794A3-5D7B-4A49-ACFE-5F517AB726C4}"/>
    <hyperlink ref="I198" r:id="rId2" xr:uid="{8EE5EFDC-9E70-4BFD-9025-55D397347A90}"/>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26785"/>
  </sheetPr>
  <dimension ref="A1:F17"/>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3" customWidth="1"/>
    <col min="2" max="2" width="30" customWidth="1"/>
    <col min="3" max="6" width="20" customWidth="1"/>
  </cols>
  <sheetData>
    <row r="1" spans="1:6" ht="12" customHeight="1">
      <c r="A1" s="1"/>
      <c r="B1" s="1"/>
      <c r="C1" s="1"/>
      <c r="D1" s="1"/>
      <c r="E1" s="1"/>
      <c r="F1" s="1"/>
    </row>
    <row r="2" spans="1:6" ht="24" customHeight="1">
      <c r="A2" s="2" t="s">
        <v>2746</v>
      </c>
      <c r="B2" s="1"/>
      <c r="C2" s="1"/>
      <c r="D2" s="1"/>
      <c r="E2" s="1"/>
      <c r="F2" s="1"/>
    </row>
    <row r="3" spans="1:6" ht="21" customHeight="1">
      <c r="A3" s="3" t="s">
        <v>2747</v>
      </c>
      <c r="B3" s="1"/>
      <c r="C3" s="1"/>
      <c r="D3" s="1"/>
      <c r="E3" s="1"/>
      <c r="F3" s="1"/>
    </row>
    <row r="4" spans="1:6" ht="9.9499999999999993" customHeight="1">
      <c r="A4" s="1"/>
      <c r="B4" s="1"/>
      <c r="C4" s="1"/>
      <c r="D4" s="1"/>
      <c r="E4" s="1"/>
      <c r="F4" s="1"/>
    </row>
    <row r="5" spans="1:6" ht="42.95" customHeight="1">
      <c r="A5" s="4" t="s">
        <v>2748</v>
      </c>
      <c r="B5" s="4" t="s">
        <v>2749</v>
      </c>
      <c r="C5" s="4" t="s">
        <v>2750</v>
      </c>
      <c r="D5" s="4" t="s">
        <v>2751</v>
      </c>
      <c r="E5" s="4" t="s">
        <v>2752</v>
      </c>
      <c r="F5" s="4" t="s">
        <v>2753</v>
      </c>
    </row>
    <row r="6" spans="1:6">
      <c r="A6" s="5" t="s">
        <v>2754</v>
      </c>
      <c r="B6" s="5" t="s">
        <v>2755</v>
      </c>
      <c r="C6" s="7">
        <v>0.16666666666666666</v>
      </c>
      <c r="D6" s="5">
        <v>3</v>
      </c>
      <c r="E6" s="7">
        <v>0.2</v>
      </c>
      <c r="F6" s="5">
        <v>3</v>
      </c>
    </row>
    <row r="7" spans="1:6">
      <c r="A7" s="5" t="s">
        <v>2756</v>
      </c>
      <c r="B7" s="5" t="s">
        <v>2757</v>
      </c>
      <c r="C7" s="7">
        <v>0.16666666666666666</v>
      </c>
      <c r="D7" s="5">
        <v>3</v>
      </c>
      <c r="E7" s="7">
        <v>0</v>
      </c>
      <c r="F7" s="5">
        <v>0</v>
      </c>
    </row>
    <row r="8" spans="1:6">
      <c r="A8" s="5" t="s">
        <v>2758</v>
      </c>
      <c r="B8" s="5" t="s">
        <v>2759</v>
      </c>
      <c r="C8" s="7">
        <v>0.16666666666666666</v>
      </c>
      <c r="D8" s="5">
        <v>3</v>
      </c>
      <c r="E8" s="7">
        <v>0.2</v>
      </c>
      <c r="F8" s="5">
        <v>3</v>
      </c>
    </row>
    <row r="9" spans="1:6">
      <c r="A9" s="5" t="s">
        <v>2760</v>
      </c>
      <c r="B9" s="5" t="s">
        <v>2761</v>
      </c>
      <c r="C9" s="7">
        <v>0.16666666666666666</v>
      </c>
      <c r="D9" s="5">
        <v>2</v>
      </c>
      <c r="E9" s="7">
        <v>0.2</v>
      </c>
      <c r="F9" s="5">
        <v>2</v>
      </c>
    </row>
    <row r="10" spans="1:6">
      <c r="A10" s="5" t="s">
        <v>2762</v>
      </c>
      <c r="B10" s="5" t="s">
        <v>2763</v>
      </c>
      <c r="C10" s="7">
        <v>0.16666666666666666</v>
      </c>
      <c r="D10" s="5">
        <v>2</v>
      </c>
      <c r="E10" s="7">
        <v>0.2</v>
      </c>
      <c r="F10" s="5">
        <v>2</v>
      </c>
    </row>
    <row r="11" spans="1:6">
      <c r="A11" s="5" t="s">
        <v>2764</v>
      </c>
      <c r="B11" s="5" t="s">
        <v>2765</v>
      </c>
      <c r="C11" s="7">
        <v>0.16666666666666666</v>
      </c>
      <c r="D11" s="5">
        <v>3</v>
      </c>
      <c r="E11" s="7">
        <v>0.2</v>
      </c>
      <c r="F11" s="5">
        <v>3</v>
      </c>
    </row>
    <row r="12" spans="1:6">
      <c r="C12" s="8"/>
      <c r="E12" s="8"/>
    </row>
    <row r="13" spans="1:6">
      <c r="A13" t="s">
        <v>2766</v>
      </c>
    </row>
    <row r="14" spans="1:6">
      <c r="A14" t="s">
        <v>2767</v>
      </c>
      <c r="B14" s="9">
        <f>SUM(C6:C11)</f>
        <v>0.99999999999999989</v>
      </c>
      <c r="C14" t="s">
        <v>2768</v>
      </c>
      <c r="D14" s="9">
        <f>SUM(E6:E11)</f>
        <v>1</v>
      </c>
    </row>
    <row r="15" spans="1:6">
      <c r="A15" t="s">
        <v>2769</v>
      </c>
      <c r="B15" s="8">
        <v>0.95</v>
      </c>
      <c r="C15" t="s">
        <v>2770</v>
      </c>
    </row>
    <row r="16" spans="1:6">
      <c r="A16" t="s">
        <v>2771</v>
      </c>
      <c r="B16" t="s">
        <v>2772</v>
      </c>
    </row>
    <row r="17" spans="1:2">
      <c r="A17" t="s">
        <v>2773</v>
      </c>
      <c r="B17" t="s">
        <v>2774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26785"/>
  </sheetPr>
  <dimension ref="A1:AI23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3" customWidth="1"/>
    <col min="2" max="2" width="39" customWidth="1"/>
    <col min="3" max="3" width="12" customWidth="1"/>
    <col min="4" max="4" width="18" customWidth="1"/>
    <col min="5" max="5" width="48" customWidth="1"/>
    <col min="6" max="6" width="18" customWidth="1"/>
    <col min="7" max="7" width="22" customWidth="1"/>
    <col min="8" max="8" width="16" customWidth="1"/>
    <col min="9" max="9" width="18" customWidth="1"/>
    <col min="10" max="10" width="35" customWidth="1"/>
    <col min="11" max="26" width="8" customWidth="1"/>
    <col min="27" max="31" width="18" customWidth="1"/>
    <col min="32" max="32" width="50" customWidth="1"/>
    <col min="33" max="33" width="40" customWidth="1"/>
    <col min="34" max="34" width="35" customWidth="1"/>
    <col min="35" max="35" width="20" customWidth="1"/>
  </cols>
  <sheetData>
    <row r="1" spans="1:35"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24" customHeight="1">
      <c r="A2" s="2" t="s">
        <v>2775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21" customHeight="1">
      <c r="A3" s="3" t="s">
        <v>2776</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9.9499999999999993"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42.95" customHeight="1">
      <c r="A5" s="4" t="s">
        <v>3</v>
      </c>
      <c r="B5" s="4" t="s">
        <v>90</v>
      </c>
      <c r="C5" s="4" t="s">
        <v>91</v>
      </c>
      <c r="D5" s="4" t="s">
        <v>92</v>
      </c>
      <c r="E5" s="4" t="s">
        <v>94</v>
      </c>
      <c r="F5" s="4" t="s">
        <v>9</v>
      </c>
      <c r="G5" s="4" t="s">
        <v>2777</v>
      </c>
      <c r="H5" s="4" t="s">
        <v>2778</v>
      </c>
      <c r="I5" s="4" t="s">
        <v>2779</v>
      </c>
      <c r="J5" s="4" t="s">
        <v>2780</v>
      </c>
      <c r="K5" s="4" t="s">
        <v>2781</v>
      </c>
      <c r="L5" s="4" t="s">
        <v>2782</v>
      </c>
      <c r="M5" s="4" t="s">
        <v>2783</v>
      </c>
      <c r="N5" s="4" t="s">
        <v>2784</v>
      </c>
      <c r="O5" s="4" t="s">
        <v>2785</v>
      </c>
      <c r="P5" s="4" t="s">
        <v>2786</v>
      </c>
      <c r="Q5" s="4" t="s">
        <v>2787</v>
      </c>
      <c r="R5" s="4" t="s">
        <v>2788</v>
      </c>
      <c r="S5" s="4" t="s">
        <v>2789</v>
      </c>
      <c r="T5" s="4" t="s">
        <v>2790</v>
      </c>
      <c r="U5" s="4" t="s">
        <v>2791</v>
      </c>
      <c r="V5" s="4" t="s">
        <v>2792</v>
      </c>
      <c r="W5" s="4" t="s">
        <v>2793</v>
      </c>
      <c r="X5" s="4" t="s">
        <v>2794</v>
      </c>
      <c r="Y5" s="4" t="s">
        <v>2795</v>
      </c>
      <c r="Z5" s="4" t="s">
        <v>2796</v>
      </c>
      <c r="AA5" s="4" t="s">
        <v>2797</v>
      </c>
      <c r="AB5" s="4" t="s">
        <v>2798</v>
      </c>
      <c r="AC5" s="4" t="s">
        <v>2799</v>
      </c>
      <c r="AD5" s="4" t="s">
        <v>2800</v>
      </c>
      <c r="AE5" s="4" t="s">
        <v>2801</v>
      </c>
      <c r="AF5" s="4" t="s">
        <v>2802</v>
      </c>
      <c r="AG5" s="4" t="s">
        <v>2803</v>
      </c>
      <c r="AH5" s="4" t="s">
        <v>2804</v>
      </c>
      <c r="AI5" s="4" t="s">
        <v>2805</v>
      </c>
    </row>
    <row r="6" spans="1:35" ht="25.5">
      <c r="A6" s="5" t="s">
        <v>116</v>
      </c>
      <c r="B6" s="5" t="s">
        <v>117</v>
      </c>
      <c r="C6" s="5"/>
      <c r="D6" s="5" t="s">
        <v>118</v>
      </c>
      <c r="E6" s="5" t="s">
        <v>119</v>
      </c>
      <c r="F6" s="5" t="str">
        <f>HYPERLINK("https://github.com/summoners29/Asphalt-Pavement-Crack-Data","Dataset")</f>
        <v>Dataset</v>
      </c>
      <c r="G6" s="6"/>
      <c r="H6" s="10"/>
      <c r="I6" s="6"/>
      <c r="J6" s="6"/>
      <c r="K6" s="6"/>
      <c r="L6" s="6"/>
      <c r="M6" s="6"/>
      <c r="N6" s="6"/>
      <c r="O6" s="6"/>
      <c r="P6" s="6"/>
      <c r="Q6" s="6"/>
      <c r="R6" s="6"/>
      <c r="S6" s="6"/>
      <c r="T6" s="6"/>
      <c r="U6" s="6"/>
      <c r="V6" s="6"/>
      <c r="W6" s="6"/>
      <c r="X6" s="6"/>
      <c r="Y6" s="6"/>
      <c r="Z6" s="6"/>
      <c r="AA6" s="6"/>
      <c r="AB6" s="6"/>
      <c r="AC6" s="6"/>
      <c r="AD6" s="6"/>
      <c r="AE6" s="6"/>
      <c r="AF6" s="6"/>
      <c r="AG6" s="6"/>
      <c r="AH6" s="5" t="str">
        <f>IF(COUNTA(K6:Z6)=0,"Not started",IF(OR(G6="",NOT(ISNUMBER(H6)),I6&lt;&gt;"Confirmed"),"Reviewer / date / release needed",IF(COUNTIFS(MCDM_Checks!$B$6:$B$3733,A6,MCDM_Checks!$J$6:$J$3733,"Evidence needed")&gt;0,"Check evidence needed",IF(COUNTIFS(MCDM_Checks!$B$6:$B$3733,A6,MCDM_Checks!$J$6:$J$3733,"Human valid")=IF(D6="Unlabeled-13",13,16),"Core review recorded","Core review incomplete"))))</f>
        <v>Not started</v>
      </c>
      <c r="AI6" s="5" t="str">
        <f>HYPERLINK("#'MCDM_Checks'!A"&amp;(MATCH("DS-001",MCDM_Checks!$B$6:$B$3733,0)+5),"Check evidence")</f>
        <v>Check evidence</v>
      </c>
    </row>
    <row r="7" spans="1:35">
      <c r="A7" s="5" t="s">
        <v>132</v>
      </c>
      <c r="B7" s="5" t="s">
        <v>133</v>
      </c>
      <c r="C7" s="5"/>
      <c r="D7" s="5" t="s">
        <v>118</v>
      </c>
      <c r="E7" s="5" t="s">
        <v>119</v>
      </c>
      <c r="F7" s="5" t="str">
        <f>HYPERLINK("https://github.com/Oct-Sunn/Asphalt-Pavement-Distress-Dataset","Dataset")</f>
        <v>Dataset</v>
      </c>
      <c r="G7" s="6"/>
      <c r="H7" s="10"/>
      <c r="I7" s="6"/>
      <c r="J7" s="6"/>
      <c r="K7" s="6"/>
      <c r="L7" s="6"/>
      <c r="M7" s="6"/>
      <c r="N7" s="6"/>
      <c r="O7" s="6"/>
      <c r="P7" s="6"/>
      <c r="Q7" s="6"/>
      <c r="R7" s="6"/>
      <c r="S7" s="6"/>
      <c r="T7" s="6"/>
      <c r="U7" s="6"/>
      <c r="V7" s="6"/>
      <c r="W7" s="6"/>
      <c r="X7" s="6"/>
      <c r="Y7" s="6"/>
      <c r="Z7" s="6"/>
      <c r="AA7" s="6"/>
      <c r="AB7" s="6"/>
      <c r="AC7" s="6"/>
      <c r="AD7" s="6"/>
      <c r="AE7" s="6"/>
      <c r="AF7" s="6"/>
      <c r="AG7" s="6"/>
      <c r="AH7" s="5" t="str">
        <f>IF(COUNTA(K7:Z7)=0,"Not started",IF(OR(G7="",NOT(ISNUMBER(H7)),I7&lt;&gt;"Confirmed"),"Reviewer / date / release needed",IF(COUNTIFS(MCDM_Checks!$B$6:$B$3733,A7,MCDM_Checks!$J$6:$J$3733,"Evidence needed")&gt;0,"Check evidence needed",IF(COUNTIFS(MCDM_Checks!$B$6:$B$3733,A7,MCDM_Checks!$J$6:$J$3733,"Human valid")=IF(D7="Unlabeled-13",13,16),"Core review recorded","Core review incomplete"))))</f>
        <v>Not started</v>
      </c>
      <c r="AI7" s="5" t="str">
        <f>HYPERLINK("#'MCDM_Checks'!A"&amp;(MATCH("DS-002",MCDM_Checks!$B$6:$B$3733,0)+5),"Check evidence")</f>
        <v>Check evidence</v>
      </c>
    </row>
    <row r="8" spans="1:35">
      <c r="A8" s="5" t="s">
        <v>142</v>
      </c>
      <c r="B8" s="5" t="s">
        <v>143</v>
      </c>
      <c r="C8" s="5"/>
      <c r="D8" s="5" t="s">
        <v>118</v>
      </c>
      <c r="E8" s="5" t="s">
        <v>144</v>
      </c>
      <c r="F8" s="5" t="str">
        <f>HYPERLINK("https://github.com/DrEdwardLee/Pavement-Crack-Dataset","Dataset")</f>
        <v>Dataset</v>
      </c>
      <c r="G8" s="6"/>
      <c r="H8" s="10"/>
      <c r="I8" s="6"/>
      <c r="J8" s="6"/>
      <c r="K8" s="6"/>
      <c r="L8" s="6"/>
      <c r="M8" s="6"/>
      <c r="N8" s="6"/>
      <c r="O8" s="6"/>
      <c r="P8" s="6"/>
      <c r="Q8" s="6"/>
      <c r="R8" s="6"/>
      <c r="S8" s="6"/>
      <c r="T8" s="6"/>
      <c r="U8" s="6"/>
      <c r="V8" s="6"/>
      <c r="W8" s="6"/>
      <c r="X8" s="6"/>
      <c r="Y8" s="6"/>
      <c r="Z8" s="6"/>
      <c r="AA8" s="6"/>
      <c r="AB8" s="6"/>
      <c r="AC8" s="6"/>
      <c r="AD8" s="6"/>
      <c r="AE8" s="6"/>
      <c r="AF8" s="6"/>
      <c r="AG8" s="6"/>
      <c r="AH8" s="5" t="str">
        <f>IF(COUNTA(K8:Z8)=0,"Not started",IF(OR(G8="",NOT(ISNUMBER(H8)),I8&lt;&gt;"Confirmed"),"Reviewer / date / release needed",IF(COUNTIFS(MCDM_Checks!$B$6:$B$3733,A8,MCDM_Checks!$J$6:$J$3733,"Evidence needed")&gt;0,"Check evidence needed",IF(COUNTIFS(MCDM_Checks!$B$6:$B$3733,A8,MCDM_Checks!$J$6:$J$3733,"Human valid")=IF(D8="Unlabeled-13",13,16),"Core review recorded","Core review incomplete"))))</f>
        <v>Not started</v>
      </c>
      <c r="AI8" s="5" t="str">
        <f>HYPERLINK("#'MCDM_Checks'!A"&amp;(MATCH("DS-003",MCDM_Checks!$B$6:$B$3733,0)+5),"Check evidence")</f>
        <v>Check evidence</v>
      </c>
    </row>
    <row r="9" spans="1:35">
      <c r="A9" s="5" t="s">
        <v>152</v>
      </c>
      <c r="B9" s="5" t="s">
        <v>153</v>
      </c>
      <c r="C9" s="5"/>
      <c r="D9" s="5" t="s">
        <v>118</v>
      </c>
      <c r="E9" s="5" t="s">
        <v>119</v>
      </c>
      <c r="F9" s="5" t="str">
        <f>HYPERLINK("https://github.com/SEU-zhc/complexPavementCrackDataset","Dataset")</f>
        <v>Dataset</v>
      </c>
      <c r="G9" s="6"/>
      <c r="H9" s="10"/>
      <c r="I9" s="6"/>
      <c r="J9" s="6"/>
      <c r="K9" s="6"/>
      <c r="L9" s="6"/>
      <c r="M9" s="6"/>
      <c r="N9" s="6"/>
      <c r="O9" s="6"/>
      <c r="P9" s="6"/>
      <c r="Q9" s="6"/>
      <c r="R9" s="6"/>
      <c r="S9" s="6"/>
      <c r="T9" s="6"/>
      <c r="U9" s="6"/>
      <c r="V9" s="6"/>
      <c r="W9" s="6"/>
      <c r="X9" s="6"/>
      <c r="Y9" s="6"/>
      <c r="Z9" s="6"/>
      <c r="AA9" s="6"/>
      <c r="AB9" s="6"/>
      <c r="AC9" s="6"/>
      <c r="AD9" s="6"/>
      <c r="AE9" s="6"/>
      <c r="AF9" s="6"/>
      <c r="AG9" s="6"/>
      <c r="AH9" s="5" t="str">
        <f>IF(COUNTA(K9:Z9)=0,"Not started",IF(OR(G9="",NOT(ISNUMBER(H9)),I9&lt;&gt;"Confirmed"),"Reviewer / date / release needed",IF(COUNTIFS(MCDM_Checks!$B$6:$B$3733,A9,MCDM_Checks!$J$6:$J$3733,"Evidence needed")&gt;0,"Check evidence needed",IF(COUNTIFS(MCDM_Checks!$B$6:$B$3733,A9,MCDM_Checks!$J$6:$J$3733,"Human valid")=IF(D9="Unlabeled-13",13,16),"Core review recorded","Core review incomplete"))))</f>
        <v>Not started</v>
      </c>
      <c r="AI9" s="5" t="str">
        <f>HYPERLINK("#'MCDM_Checks'!A"&amp;(MATCH("DS-004",MCDM_Checks!$B$6:$B$3733,0)+5),"Check evidence")</f>
        <v>Check evidence</v>
      </c>
    </row>
    <row r="10" spans="1:35" ht="25.5">
      <c r="A10" s="5" t="s">
        <v>165</v>
      </c>
      <c r="B10" s="5" t="s">
        <v>166</v>
      </c>
      <c r="C10" s="5"/>
      <c r="D10" s="5" t="s">
        <v>118</v>
      </c>
      <c r="E10" s="5" t="s">
        <v>167</v>
      </c>
      <c r="F10" s="5" t="str">
        <f>HYPERLINK("https://huggingface.co/datasets/Dearcat/CQU-BPDD","Dataset")</f>
        <v>Dataset</v>
      </c>
      <c r="G10" s="6"/>
      <c r="H10" s="10"/>
      <c r="I10" s="6"/>
      <c r="J10" s="6"/>
      <c r="K10" s="6"/>
      <c r="L10" s="6"/>
      <c r="M10" s="6"/>
      <c r="N10" s="6"/>
      <c r="O10" s="6"/>
      <c r="P10" s="6"/>
      <c r="Q10" s="6"/>
      <c r="R10" s="6"/>
      <c r="S10" s="6"/>
      <c r="T10" s="6"/>
      <c r="U10" s="6"/>
      <c r="V10" s="6"/>
      <c r="W10" s="6"/>
      <c r="X10" s="6"/>
      <c r="Y10" s="6"/>
      <c r="Z10" s="6"/>
      <c r="AA10" s="6"/>
      <c r="AB10" s="6"/>
      <c r="AC10" s="6"/>
      <c r="AD10" s="6"/>
      <c r="AE10" s="6"/>
      <c r="AF10" s="6"/>
      <c r="AG10" s="6"/>
      <c r="AH10" s="5" t="str">
        <f>IF(COUNTA(K10:Z10)=0,"Not started",IF(OR(G10="",NOT(ISNUMBER(H10)),I10&lt;&gt;"Confirmed"),"Reviewer / date / release needed",IF(COUNTIFS(MCDM_Checks!$B$6:$B$3733,A10,MCDM_Checks!$J$6:$J$3733,"Evidence needed")&gt;0,"Check evidence needed",IF(COUNTIFS(MCDM_Checks!$B$6:$B$3733,A10,MCDM_Checks!$J$6:$J$3733,"Human valid")=IF(D10="Unlabeled-13",13,16),"Core review recorded","Core review incomplete"))))</f>
        <v>Not started</v>
      </c>
      <c r="AI10" s="5" t="str">
        <f>HYPERLINK("#'MCDM_Checks'!A"&amp;(MATCH("DS-005",MCDM_Checks!$B$6:$B$3733,0)+5),"Check evidence")</f>
        <v>Check evidence</v>
      </c>
    </row>
    <row r="11" spans="1:35" ht="25.5">
      <c r="A11" s="5" t="s">
        <v>187</v>
      </c>
      <c r="B11" s="5" t="s">
        <v>188</v>
      </c>
      <c r="C11" s="5"/>
      <c r="D11" s="5" t="s">
        <v>118</v>
      </c>
      <c r="E11" s="5" t="s">
        <v>119</v>
      </c>
      <c r="F11" s="5" t="str">
        <f>HYPERLINK("https://github.com/0110TJY/Crack-Classification-Dataset","Dataset")</f>
        <v>Dataset</v>
      </c>
      <c r="G11" s="6"/>
      <c r="H11" s="10"/>
      <c r="I11" s="6"/>
      <c r="J11" s="6"/>
      <c r="K11" s="6"/>
      <c r="L11" s="6"/>
      <c r="M11" s="6"/>
      <c r="N11" s="6"/>
      <c r="O11" s="6"/>
      <c r="P11" s="6"/>
      <c r="Q11" s="6"/>
      <c r="R11" s="6"/>
      <c r="S11" s="6"/>
      <c r="T11" s="6"/>
      <c r="U11" s="6"/>
      <c r="V11" s="6"/>
      <c r="W11" s="6"/>
      <c r="X11" s="6"/>
      <c r="Y11" s="6"/>
      <c r="Z11" s="6"/>
      <c r="AA11" s="6"/>
      <c r="AB11" s="6"/>
      <c r="AC11" s="6"/>
      <c r="AD11" s="6"/>
      <c r="AE11" s="6"/>
      <c r="AF11" s="6"/>
      <c r="AG11" s="6"/>
      <c r="AH11" s="5" t="str">
        <f>IF(COUNTA(K11:Z11)=0,"Not started",IF(OR(G11="",NOT(ISNUMBER(H11)),I11&lt;&gt;"Confirmed"),"Reviewer / date / release needed",IF(COUNTIFS(MCDM_Checks!$B$6:$B$3733,A11,MCDM_Checks!$J$6:$J$3733,"Evidence needed")&gt;0,"Check evidence needed",IF(COUNTIFS(MCDM_Checks!$B$6:$B$3733,A11,MCDM_Checks!$J$6:$J$3733,"Human valid")=IF(D11="Unlabeled-13",13,16),"Core review recorded","Core review incomplete"))))</f>
        <v>Not started</v>
      </c>
      <c r="AI11" s="5" t="str">
        <f>HYPERLINK("#'MCDM_Checks'!A"&amp;(MATCH("DS-006",MCDM_Checks!$B$6:$B$3733,0)+5),"Check evidence")</f>
        <v>Check evidence</v>
      </c>
    </row>
    <row r="12" spans="1:35" ht="25.5">
      <c r="A12" s="5" t="s">
        <v>25</v>
      </c>
      <c r="B12" s="5" t="s">
        <v>196</v>
      </c>
      <c r="C12" s="5">
        <v>2</v>
      </c>
      <c r="D12" s="5" t="s">
        <v>118</v>
      </c>
      <c r="E12" s="5" t="s">
        <v>30</v>
      </c>
      <c r="F12" s="5" t="str">
        <f>HYPERLINK("https://github.com/fyangneil/pavement-crack-detection","Dataset")</f>
        <v>Dataset</v>
      </c>
      <c r="G12" s="6"/>
      <c r="H12" s="10"/>
      <c r="I12" s="6"/>
      <c r="J12" s="6"/>
      <c r="K12" s="6"/>
      <c r="L12" s="6"/>
      <c r="M12" s="6"/>
      <c r="N12" s="6"/>
      <c r="O12" s="6"/>
      <c r="P12" s="6"/>
      <c r="Q12" s="6"/>
      <c r="R12" s="6"/>
      <c r="S12" s="6"/>
      <c r="T12" s="6"/>
      <c r="U12" s="6"/>
      <c r="V12" s="6"/>
      <c r="W12" s="6"/>
      <c r="X12" s="6"/>
      <c r="Y12" s="6"/>
      <c r="Z12" s="6"/>
      <c r="AA12" s="6"/>
      <c r="AB12" s="6"/>
      <c r="AC12" s="6"/>
      <c r="AD12" s="6"/>
      <c r="AE12" s="6"/>
      <c r="AF12" s="6"/>
      <c r="AG12" s="6"/>
      <c r="AH12" s="5" t="str">
        <f>IF(COUNTA(K12:Z12)=0,"Not started",IF(OR(G12="",NOT(ISNUMBER(H12)),I12&lt;&gt;"Confirmed"),"Reviewer / date / release needed",IF(COUNTIFS(MCDM_Checks!$B$6:$B$3733,A12,MCDM_Checks!$J$6:$J$3733,"Evidence needed")&gt;0,"Check evidence needed",IF(COUNTIFS(MCDM_Checks!$B$6:$B$3733,A12,MCDM_Checks!$J$6:$J$3733,"Human valid")=IF(D12="Unlabeled-13",13,16),"Core review recorded","Core review incomplete"))))</f>
        <v>Not started</v>
      </c>
      <c r="AI12" s="5" t="str">
        <f>HYPERLINK("#'MCDM_Checks'!A"&amp;(MATCH("DS-007",MCDM_Checks!$B$6:$B$3733,0)+5),"Check evidence")</f>
        <v>Check evidence</v>
      </c>
    </row>
    <row r="13" spans="1:35">
      <c r="A13" s="5" t="s">
        <v>211</v>
      </c>
      <c r="B13" s="5" t="s">
        <v>212</v>
      </c>
      <c r="C13" s="5"/>
      <c r="D13" s="5" t="s">
        <v>118</v>
      </c>
      <c r="E13" s="5" t="s">
        <v>121</v>
      </c>
      <c r="F13" s="5" t="str">
        <f>HYPERLINK("https://github.com/cuilimeng/CrackForest-dataset","Dataset")</f>
        <v>Dataset</v>
      </c>
      <c r="G13" s="6"/>
      <c r="H13" s="10"/>
      <c r="I13" s="6"/>
      <c r="J13" s="6"/>
      <c r="K13" s="6"/>
      <c r="L13" s="6"/>
      <c r="M13" s="6"/>
      <c r="N13" s="6"/>
      <c r="O13" s="6"/>
      <c r="P13" s="6"/>
      <c r="Q13" s="6"/>
      <c r="R13" s="6"/>
      <c r="S13" s="6"/>
      <c r="T13" s="6"/>
      <c r="U13" s="6"/>
      <c r="V13" s="6"/>
      <c r="W13" s="6"/>
      <c r="X13" s="6"/>
      <c r="Y13" s="6"/>
      <c r="Z13" s="6"/>
      <c r="AA13" s="6"/>
      <c r="AB13" s="6"/>
      <c r="AC13" s="6"/>
      <c r="AD13" s="6"/>
      <c r="AE13" s="6"/>
      <c r="AF13" s="6"/>
      <c r="AG13" s="6"/>
      <c r="AH13" s="5" t="str">
        <f>IF(COUNTA(K13:Z13)=0,"Not started",IF(OR(G13="",NOT(ISNUMBER(H13)),I13&lt;&gt;"Confirmed"),"Reviewer / date / release needed",IF(COUNTIFS(MCDM_Checks!$B$6:$B$3733,A13,MCDM_Checks!$J$6:$J$3733,"Evidence needed")&gt;0,"Check evidence needed",IF(COUNTIFS(MCDM_Checks!$B$6:$B$3733,A13,MCDM_Checks!$J$6:$J$3733,"Human valid")=IF(D13="Unlabeled-13",13,16),"Core review recorded","Core review incomplete"))))</f>
        <v>Not started</v>
      </c>
      <c r="AI13" s="5" t="str">
        <f>HYPERLINK("#'MCDM_Checks'!A"&amp;(MATCH("DS-008",MCDM_Checks!$B$6:$B$3733,0)+5),"Check evidence")</f>
        <v>Check evidence</v>
      </c>
    </row>
    <row r="14" spans="1:35">
      <c r="A14" s="5" t="s">
        <v>223</v>
      </c>
      <c r="B14" s="5" t="s">
        <v>224</v>
      </c>
      <c r="C14" s="5"/>
      <c r="D14" s="5" t="s">
        <v>118</v>
      </c>
      <c r="E14" s="5" t="s">
        <v>224</v>
      </c>
      <c r="F14" s="5" t="str">
        <f>HYPERLINK("https://github.com/qinnzou/DeepCrack","Dataset")</f>
        <v>Dataset</v>
      </c>
      <c r="G14" s="6"/>
      <c r="H14" s="10"/>
      <c r="I14" s="6"/>
      <c r="J14" s="6"/>
      <c r="K14" s="6"/>
      <c r="L14" s="6"/>
      <c r="M14" s="6"/>
      <c r="N14" s="6"/>
      <c r="O14" s="6"/>
      <c r="P14" s="6"/>
      <c r="Q14" s="6"/>
      <c r="R14" s="6"/>
      <c r="S14" s="6"/>
      <c r="T14" s="6"/>
      <c r="U14" s="6"/>
      <c r="V14" s="6"/>
      <c r="W14" s="6"/>
      <c r="X14" s="6"/>
      <c r="Y14" s="6"/>
      <c r="Z14" s="6"/>
      <c r="AA14" s="6"/>
      <c r="AB14" s="6"/>
      <c r="AC14" s="6"/>
      <c r="AD14" s="6"/>
      <c r="AE14" s="6"/>
      <c r="AF14" s="6"/>
      <c r="AG14" s="6"/>
      <c r="AH14" s="5" t="str">
        <f>IF(COUNTA(K14:Z14)=0,"Not started",IF(OR(G14="",NOT(ISNUMBER(H14)),I14&lt;&gt;"Confirmed"),"Reviewer / date / release needed",IF(COUNTIFS(MCDM_Checks!$B$6:$B$3733,A14,MCDM_Checks!$J$6:$J$3733,"Evidence needed")&gt;0,"Check evidence needed",IF(COUNTIFS(MCDM_Checks!$B$6:$B$3733,A14,MCDM_Checks!$J$6:$J$3733,"Human valid")=IF(D14="Unlabeled-13",13,16),"Core review recorded","Core review incomplete"))))</f>
        <v>Not started</v>
      </c>
      <c r="AI14" s="5" t="str">
        <f>HYPERLINK("#'MCDM_Checks'!A"&amp;(MATCH("DS-009",MCDM_Checks!$B$6:$B$3733,0)+5),"Check evidence")</f>
        <v>Check evidence</v>
      </c>
    </row>
    <row r="15" spans="1:35" ht="25.5">
      <c r="A15" s="5" t="s">
        <v>234</v>
      </c>
      <c r="B15" s="5" t="s">
        <v>235</v>
      </c>
      <c r="C15" s="5"/>
      <c r="D15" s="5" t="s">
        <v>118</v>
      </c>
      <c r="E15" s="5" t="s">
        <v>236</v>
      </c>
      <c r="F15" s="5" t="str">
        <f>HYPERLINK("https://data.mendeley.com/datasets/t576ydh9v8/4","Dataset")</f>
        <v>Dataset</v>
      </c>
      <c r="G15" s="6"/>
      <c r="H15" s="10"/>
      <c r="I15" s="6"/>
      <c r="J15" s="6"/>
      <c r="K15" s="6"/>
      <c r="L15" s="6"/>
      <c r="M15" s="6"/>
      <c r="N15" s="6"/>
      <c r="O15" s="6"/>
      <c r="P15" s="6"/>
      <c r="Q15" s="6"/>
      <c r="R15" s="6"/>
      <c r="S15" s="6"/>
      <c r="T15" s="6"/>
      <c r="U15" s="6"/>
      <c r="V15" s="6"/>
      <c r="W15" s="6"/>
      <c r="X15" s="6"/>
      <c r="Y15" s="6"/>
      <c r="Z15" s="6"/>
      <c r="AA15" s="6"/>
      <c r="AB15" s="6"/>
      <c r="AC15" s="6"/>
      <c r="AD15" s="6"/>
      <c r="AE15" s="6"/>
      <c r="AF15" s="6"/>
      <c r="AG15" s="6"/>
      <c r="AH15" s="5" t="str">
        <f>IF(COUNTA(K15:Z15)=0,"Not started",IF(OR(G15="",NOT(ISNUMBER(H15)),I15&lt;&gt;"Confirmed"),"Reviewer / date / release needed",IF(COUNTIFS(MCDM_Checks!$B$6:$B$3733,A15,MCDM_Checks!$J$6:$J$3733,"Evidence needed")&gt;0,"Check evidence needed",IF(COUNTIFS(MCDM_Checks!$B$6:$B$3733,A15,MCDM_Checks!$J$6:$J$3733,"Human valid")=IF(D15="Unlabeled-13",13,16),"Core review recorded","Core review incomplete"))))</f>
        <v>Not started</v>
      </c>
      <c r="AI15" s="5" t="str">
        <f>HYPERLINK("#'MCDM_Checks'!A"&amp;(MATCH("DS-010",MCDM_Checks!$B$6:$B$3733,0)+5),"Check evidence")</f>
        <v>Check evidence</v>
      </c>
    </row>
    <row r="16" spans="1:35" ht="25.5">
      <c r="A16" s="5" t="s">
        <v>46</v>
      </c>
      <c r="B16" s="5" t="s">
        <v>47</v>
      </c>
      <c r="C16" s="5">
        <v>5</v>
      </c>
      <c r="D16" s="5" t="s">
        <v>118</v>
      </c>
      <c r="E16" s="5" t="s">
        <v>51</v>
      </c>
      <c r="F16" s="5" t="str">
        <f>HYPERLINK("https://dataverse.harvard.edu/dataset.xhtml?persistentId=doi:10.7910/DVN/EGIEBY&amp;version=4.0","Dataset")</f>
        <v>Dataset</v>
      </c>
      <c r="G16" s="6"/>
      <c r="H16" s="10"/>
      <c r="I16" s="6"/>
      <c r="J16" s="6"/>
      <c r="K16" s="6"/>
      <c r="L16" s="6"/>
      <c r="M16" s="6"/>
      <c r="N16" s="6"/>
      <c r="O16" s="6"/>
      <c r="P16" s="6"/>
      <c r="Q16" s="6"/>
      <c r="R16" s="6"/>
      <c r="S16" s="6"/>
      <c r="T16" s="6"/>
      <c r="U16" s="6"/>
      <c r="V16" s="6"/>
      <c r="W16" s="6"/>
      <c r="X16" s="6"/>
      <c r="Y16" s="6"/>
      <c r="Z16" s="6"/>
      <c r="AA16" s="6"/>
      <c r="AB16" s="6"/>
      <c r="AC16" s="6"/>
      <c r="AD16" s="6"/>
      <c r="AE16" s="6"/>
      <c r="AF16" s="6"/>
      <c r="AG16" s="6"/>
      <c r="AH16" s="5" t="str">
        <f>IF(COUNTA(K16:Z16)=0,"Not started",IF(OR(G16="",NOT(ISNUMBER(H16)),I16&lt;&gt;"Confirmed"),"Reviewer / date / release needed",IF(COUNTIFS(MCDM_Checks!$B$6:$B$3733,A16,MCDM_Checks!$J$6:$J$3733,"Evidence needed")&gt;0,"Check evidence needed",IF(COUNTIFS(MCDM_Checks!$B$6:$B$3733,A16,MCDM_Checks!$J$6:$J$3733,"Human valid")=IF(D16="Unlabeled-13",13,16),"Core review recorded","Core review incomplete"))))</f>
        <v>Not started</v>
      </c>
      <c r="AI16" s="5" t="str">
        <f>HYPERLINK("#'MCDM_Checks'!A"&amp;(MATCH("DS-011",MCDM_Checks!$B$6:$B$3733,0)+5),"Check evidence")</f>
        <v>Check evidence</v>
      </c>
    </row>
    <row r="17" spans="1:35" ht="25.5">
      <c r="A17" s="5" t="s">
        <v>256</v>
      </c>
      <c r="B17" s="5" t="s">
        <v>257</v>
      </c>
      <c r="C17" s="5"/>
      <c r="D17" s="5" t="s">
        <v>118</v>
      </c>
      <c r="E17" s="5" t="s">
        <v>119</v>
      </c>
      <c r="F17" s="5" t="str">
        <f>HYPERLINK("https://github.com/JZhongUTK/Pavement-crack-dataset","Dataset")</f>
        <v>Dataset</v>
      </c>
      <c r="G17" s="6"/>
      <c r="H17" s="10"/>
      <c r="I17" s="6"/>
      <c r="J17" s="6"/>
      <c r="K17" s="6"/>
      <c r="L17" s="6"/>
      <c r="M17" s="6"/>
      <c r="N17" s="6"/>
      <c r="O17" s="6"/>
      <c r="P17" s="6"/>
      <c r="Q17" s="6"/>
      <c r="R17" s="6"/>
      <c r="S17" s="6"/>
      <c r="T17" s="6"/>
      <c r="U17" s="6"/>
      <c r="V17" s="6"/>
      <c r="W17" s="6"/>
      <c r="X17" s="6"/>
      <c r="Y17" s="6"/>
      <c r="Z17" s="6"/>
      <c r="AA17" s="6"/>
      <c r="AB17" s="6"/>
      <c r="AC17" s="6"/>
      <c r="AD17" s="6"/>
      <c r="AE17" s="6"/>
      <c r="AF17" s="6"/>
      <c r="AG17" s="6"/>
      <c r="AH17" s="5" t="str">
        <f>IF(COUNTA(K17:Z17)=0,"Not started",IF(OR(G17="",NOT(ISNUMBER(H17)),I17&lt;&gt;"Confirmed"),"Reviewer / date / release needed",IF(COUNTIFS(MCDM_Checks!$B$6:$B$3733,A17,MCDM_Checks!$J$6:$J$3733,"Evidence needed")&gt;0,"Check evidence needed",IF(COUNTIFS(MCDM_Checks!$B$6:$B$3733,A17,MCDM_Checks!$J$6:$J$3733,"Human valid")=IF(D17="Unlabeled-13",13,16),"Core review recorded","Core review incomplete"))))</f>
        <v>Not started</v>
      </c>
      <c r="AI17" s="5" t="str">
        <f>HYPERLINK("#'MCDM_Checks'!A"&amp;(MATCH("DS-012",MCDM_Checks!$B$6:$B$3733,0)+5),"Check evidence")</f>
        <v>Check evidence</v>
      </c>
    </row>
    <row r="18" spans="1:35">
      <c r="A18" s="5" t="s">
        <v>268</v>
      </c>
      <c r="B18" s="5" t="s">
        <v>269</v>
      </c>
      <c r="C18" s="5"/>
      <c r="D18" s="5" t="s">
        <v>118</v>
      </c>
      <c r="E18" s="5" t="s">
        <v>269</v>
      </c>
      <c r="F18" s="5" t="str">
        <f>HYPERLINK("https://github.com/qinnzou/DeepCrack","Dataset")</f>
        <v>Dataset</v>
      </c>
      <c r="G18" s="6"/>
      <c r="H18" s="10"/>
      <c r="I18" s="6"/>
      <c r="J18" s="6"/>
      <c r="K18" s="6"/>
      <c r="L18" s="6"/>
      <c r="M18" s="6"/>
      <c r="N18" s="6"/>
      <c r="O18" s="6"/>
      <c r="P18" s="6"/>
      <c r="Q18" s="6"/>
      <c r="R18" s="6"/>
      <c r="S18" s="6"/>
      <c r="T18" s="6"/>
      <c r="U18" s="6"/>
      <c r="V18" s="6"/>
      <c r="W18" s="6"/>
      <c r="X18" s="6"/>
      <c r="Y18" s="6"/>
      <c r="Z18" s="6"/>
      <c r="AA18" s="6"/>
      <c r="AB18" s="6"/>
      <c r="AC18" s="6"/>
      <c r="AD18" s="6"/>
      <c r="AE18" s="6"/>
      <c r="AF18" s="6"/>
      <c r="AG18" s="6"/>
      <c r="AH18" s="5" t="str">
        <f>IF(COUNTA(K18:Z18)=0,"Not started",IF(OR(G18="",NOT(ISNUMBER(H18)),I18&lt;&gt;"Confirmed"),"Reviewer / date / release needed",IF(COUNTIFS(MCDM_Checks!$B$6:$B$3733,A18,MCDM_Checks!$J$6:$J$3733,"Evidence needed")&gt;0,"Check evidence needed",IF(COUNTIFS(MCDM_Checks!$B$6:$B$3733,A18,MCDM_Checks!$J$6:$J$3733,"Human valid")=IF(D18="Unlabeled-13",13,16),"Core review recorded","Core review incomplete"))))</f>
        <v>Not started</v>
      </c>
      <c r="AI18" s="5" t="str">
        <f>HYPERLINK("#'MCDM_Checks'!A"&amp;(MATCH("DS-013",MCDM_Checks!$B$6:$B$3733,0)+5),"Check evidence")</f>
        <v>Check evidence</v>
      </c>
    </row>
    <row r="19" spans="1:35">
      <c r="A19" s="5" t="s">
        <v>274</v>
      </c>
      <c r="B19" s="5" t="s">
        <v>275</v>
      </c>
      <c r="C19" s="5"/>
      <c r="D19" s="5" t="s">
        <v>118</v>
      </c>
      <c r="E19" s="5" t="s">
        <v>275</v>
      </c>
      <c r="F19" s="5" t="str">
        <f>HYPERLINK("https://github.com/qinnzou/DeepCrack","Dataset")</f>
        <v>Dataset</v>
      </c>
      <c r="G19" s="6"/>
      <c r="H19" s="10"/>
      <c r="I19" s="6"/>
      <c r="J19" s="6"/>
      <c r="K19" s="6"/>
      <c r="L19" s="6"/>
      <c r="M19" s="6"/>
      <c r="N19" s="6"/>
      <c r="O19" s="6"/>
      <c r="P19" s="6"/>
      <c r="Q19" s="6"/>
      <c r="R19" s="6"/>
      <c r="S19" s="6"/>
      <c r="T19" s="6"/>
      <c r="U19" s="6"/>
      <c r="V19" s="6"/>
      <c r="W19" s="6"/>
      <c r="X19" s="6"/>
      <c r="Y19" s="6"/>
      <c r="Z19" s="6"/>
      <c r="AA19" s="6"/>
      <c r="AB19" s="6"/>
      <c r="AC19" s="6"/>
      <c r="AD19" s="6"/>
      <c r="AE19" s="6"/>
      <c r="AF19" s="6"/>
      <c r="AG19" s="6"/>
      <c r="AH19" s="5" t="str">
        <f>IF(COUNTA(K19:Z19)=0,"Not started",IF(OR(G19="",NOT(ISNUMBER(H19)),I19&lt;&gt;"Confirmed"),"Reviewer / date / release needed",IF(COUNTIFS(MCDM_Checks!$B$6:$B$3733,A19,MCDM_Checks!$J$6:$J$3733,"Evidence needed")&gt;0,"Check evidence needed",IF(COUNTIFS(MCDM_Checks!$B$6:$B$3733,A19,MCDM_Checks!$J$6:$J$3733,"Human valid")=IF(D19="Unlabeled-13",13,16),"Core review recorded","Core review incomplete"))))</f>
        <v>Not started</v>
      </c>
      <c r="AI19" s="5" t="str">
        <f>HYPERLINK("#'MCDM_Checks'!A"&amp;(MATCH("DS-014",MCDM_Checks!$B$6:$B$3733,0)+5),"Check evidence")</f>
        <v>Check evidence</v>
      </c>
    </row>
    <row r="20" spans="1:35">
      <c r="A20" s="5" t="s">
        <v>280</v>
      </c>
      <c r="B20" s="5" t="s">
        <v>281</v>
      </c>
      <c r="C20" s="5"/>
      <c r="D20" s="5" t="s">
        <v>118</v>
      </c>
      <c r="E20" s="5" t="s">
        <v>282</v>
      </c>
      <c r="F20" s="5" t="str">
        <f>HYPERLINK("https://github.com/CUHK-USR-Group/Defect-Dataset","Dataset")</f>
        <v>Dataset</v>
      </c>
      <c r="G20" s="6"/>
      <c r="H20" s="10"/>
      <c r="I20" s="6"/>
      <c r="J20" s="6"/>
      <c r="K20" s="6"/>
      <c r="L20" s="6"/>
      <c r="M20" s="6"/>
      <c r="N20" s="6"/>
      <c r="O20" s="6"/>
      <c r="P20" s="6"/>
      <c r="Q20" s="6"/>
      <c r="R20" s="6"/>
      <c r="S20" s="6"/>
      <c r="T20" s="6"/>
      <c r="U20" s="6"/>
      <c r="V20" s="6"/>
      <c r="W20" s="6"/>
      <c r="X20" s="6"/>
      <c r="Y20" s="6"/>
      <c r="Z20" s="6"/>
      <c r="AA20" s="6"/>
      <c r="AB20" s="6"/>
      <c r="AC20" s="6"/>
      <c r="AD20" s="6"/>
      <c r="AE20" s="6"/>
      <c r="AF20" s="6"/>
      <c r="AG20" s="6"/>
      <c r="AH20" s="5" t="str">
        <f>IF(COUNTA(K20:Z20)=0,"Not started",IF(OR(G20="",NOT(ISNUMBER(H20)),I20&lt;&gt;"Confirmed"),"Reviewer / date / release needed",IF(COUNTIFS(MCDM_Checks!$B$6:$B$3733,A20,MCDM_Checks!$J$6:$J$3733,"Evidence needed")&gt;0,"Check evidence needed",IF(COUNTIFS(MCDM_Checks!$B$6:$B$3733,A20,MCDM_Checks!$J$6:$J$3733,"Human valid")=IF(D20="Unlabeled-13",13,16),"Core review recorded","Core review incomplete"))))</f>
        <v>Not started</v>
      </c>
      <c r="AI20" s="5" t="str">
        <f>HYPERLINK("#'MCDM_Checks'!A"&amp;(MATCH("DS-015",MCDM_Checks!$B$6:$B$3733,0)+5),"Check evidence")</f>
        <v>Check evidence</v>
      </c>
    </row>
    <row r="21" spans="1:35">
      <c r="A21" s="5" t="s">
        <v>293</v>
      </c>
      <c r="B21" s="5" t="s">
        <v>294</v>
      </c>
      <c r="C21" s="5"/>
      <c r="D21" s="5" t="s">
        <v>118</v>
      </c>
      <c r="E21" s="5" t="s">
        <v>295</v>
      </c>
      <c r="F21" s="5" t="str">
        <f>HYPERLINK("https://github.com/yhlleo/DeepCrack","Dataset")</f>
        <v>Dataset</v>
      </c>
      <c r="G21" s="6"/>
      <c r="H21" s="10"/>
      <c r="I21" s="6"/>
      <c r="J21" s="6"/>
      <c r="K21" s="6"/>
      <c r="L21" s="6"/>
      <c r="M21" s="6"/>
      <c r="N21" s="6"/>
      <c r="O21" s="6"/>
      <c r="P21" s="6"/>
      <c r="Q21" s="6"/>
      <c r="R21" s="6"/>
      <c r="S21" s="6"/>
      <c r="T21" s="6"/>
      <c r="U21" s="6"/>
      <c r="V21" s="6"/>
      <c r="W21" s="6"/>
      <c r="X21" s="6"/>
      <c r="Y21" s="6"/>
      <c r="Z21" s="6"/>
      <c r="AA21" s="6"/>
      <c r="AB21" s="6"/>
      <c r="AC21" s="6"/>
      <c r="AD21" s="6"/>
      <c r="AE21" s="6"/>
      <c r="AF21" s="6"/>
      <c r="AG21" s="6"/>
      <c r="AH21" s="5" t="str">
        <f>IF(COUNTA(K21:Z21)=0,"Not started",IF(OR(G21="",NOT(ISNUMBER(H21)),I21&lt;&gt;"Confirmed"),"Reviewer / date / release needed",IF(COUNTIFS(MCDM_Checks!$B$6:$B$3733,A21,MCDM_Checks!$J$6:$J$3733,"Evidence needed")&gt;0,"Check evidence needed",IF(COUNTIFS(MCDM_Checks!$B$6:$B$3733,A21,MCDM_Checks!$J$6:$J$3733,"Human valid")=IF(D21="Unlabeled-13",13,16),"Core review recorded","Core review incomplete"))))</f>
        <v>Not started</v>
      </c>
      <c r="AI21" s="5" t="str">
        <f>HYPERLINK("#'MCDM_Checks'!A"&amp;(MATCH("DS-016",MCDM_Checks!$B$6:$B$3733,0)+5),"Check evidence")</f>
        <v>Check evidence</v>
      </c>
    </row>
    <row r="22" spans="1:35">
      <c r="A22" s="5" t="s">
        <v>302</v>
      </c>
      <c r="B22" s="5" t="s">
        <v>303</v>
      </c>
      <c r="C22" s="5"/>
      <c r="D22" s="5" t="s">
        <v>118</v>
      </c>
      <c r="E22" s="5" t="s">
        <v>304</v>
      </c>
      <c r="F22" s="5" t="str">
        <f>HYPERLINK("https://github.com/mqp2259/EdmCrack600","Dataset")</f>
        <v>Dataset</v>
      </c>
      <c r="G22" s="6"/>
      <c r="H22" s="10"/>
      <c r="I22" s="6"/>
      <c r="J22" s="6"/>
      <c r="K22" s="6"/>
      <c r="L22" s="6"/>
      <c r="M22" s="6"/>
      <c r="N22" s="6"/>
      <c r="O22" s="6"/>
      <c r="P22" s="6"/>
      <c r="Q22" s="6"/>
      <c r="R22" s="6"/>
      <c r="S22" s="6"/>
      <c r="T22" s="6"/>
      <c r="U22" s="6"/>
      <c r="V22" s="6"/>
      <c r="W22" s="6"/>
      <c r="X22" s="6"/>
      <c r="Y22" s="6"/>
      <c r="Z22" s="6"/>
      <c r="AA22" s="6"/>
      <c r="AB22" s="6"/>
      <c r="AC22" s="6"/>
      <c r="AD22" s="6"/>
      <c r="AE22" s="6"/>
      <c r="AF22" s="6"/>
      <c r="AG22" s="6"/>
      <c r="AH22" s="5" t="str">
        <f>IF(COUNTA(K22:Z22)=0,"Not started",IF(OR(G22="",NOT(ISNUMBER(H22)),I22&lt;&gt;"Confirmed"),"Reviewer / date / release needed",IF(COUNTIFS(MCDM_Checks!$B$6:$B$3733,A22,MCDM_Checks!$J$6:$J$3733,"Evidence needed")&gt;0,"Check evidence needed",IF(COUNTIFS(MCDM_Checks!$B$6:$B$3733,A22,MCDM_Checks!$J$6:$J$3733,"Human valid")=IF(D22="Unlabeled-13",13,16),"Core review recorded","Core review incomplete"))))</f>
        <v>Not started</v>
      </c>
      <c r="AI22" s="5" t="str">
        <f>HYPERLINK("#'MCDM_Checks'!A"&amp;(MATCH("DS-017",MCDM_Checks!$B$6:$B$3733,0)+5),"Check evidence")</f>
        <v>Check evidence</v>
      </c>
    </row>
    <row r="23" spans="1:35" ht="25.5">
      <c r="A23" s="5" t="s">
        <v>317</v>
      </c>
      <c r="B23" s="5" t="s">
        <v>318</v>
      </c>
      <c r="C23" s="5"/>
      <c r="D23" s="5" t="s">
        <v>118</v>
      </c>
      <c r="E23" s="5" t="s">
        <v>319</v>
      </c>
      <c r="F23" s="5" t="str">
        <f>HYPERLINK("https://github.com/fyangneil/pavement-crack-detection","Dataset")</f>
        <v>Dataset</v>
      </c>
      <c r="G23" s="6"/>
      <c r="H23" s="10"/>
      <c r="I23" s="6"/>
      <c r="J23" s="6"/>
      <c r="K23" s="6"/>
      <c r="L23" s="6"/>
      <c r="M23" s="6"/>
      <c r="N23" s="6"/>
      <c r="O23" s="6"/>
      <c r="P23" s="6"/>
      <c r="Q23" s="6"/>
      <c r="R23" s="6"/>
      <c r="S23" s="6"/>
      <c r="T23" s="6"/>
      <c r="U23" s="6"/>
      <c r="V23" s="6"/>
      <c r="W23" s="6"/>
      <c r="X23" s="6"/>
      <c r="Y23" s="6"/>
      <c r="Z23" s="6"/>
      <c r="AA23" s="6"/>
      <c r="AB23" s="6"/>
      <c r="AC23" s="6"/>
      <c r="AD23" s="6"/>
      <c r="AE23" s="6"/>
      <c r="AF23" s="6"/>
      <c r="AG23" s="6"/>
      <c r="AH23" s="5" t="str">
        <f>IF(COUNTA(K23:Z23)=0,"Not started",IF(OR(G23="",NOT(ISNUMBER(H23)),I23&lt;&gt;"Confirmed"),"Reviewer / date / release needed",IF(COUNTIFS(MCDM_Checks!$B$6:$B$3733,A23,MCDM_Checks!$J$6:$J$3733,"Evidence needed")&gt;0,"Check evidence needed",IF(COUNTIFS(MCDM_Checks!$B$6:$B$3733,A23,MCDM_Checks!$J$6:$J$3733,"Human valid")=IF(D23="Unlabeled-13",13,16),"Core review recorded","Core review incomplete"))))</f>
        <v>Not started</v>
      </c>
      <c r="AI23" s="5" t="str">
        <f>HYPERLINK("#'MCDM_Checks'!A"&amp;(MATCH("DS-018",MCDM_Checks!$B$6:$B$3733,0)+5),"Check evidence")</f>
        <v>Check evidence</v>
      </c>
    </row>
    <row r="24" spans="1:35" ht="25.5">
      <c r="A24" s="5" t="s">
        <v>329</v>
      </c>
      <c r="B24" s="5" t="s">
        <v>330</v>
      </c>
      <c r="C24" s="5"/>
      <c r="D24" s="5" t="s">
        <v>118</v>
      </c>
      <c r="E24" s="5" t="s">
        <v>331</v>
      </c>
      <c r="F24" s="5" t="str">
        <f>HYPERLINK("https://github.com/chenxiang-web/DronePave-DfineX","Dataset")</f>
        <v>Dataset</v>
      </c>
      <c r="G24" s="6"/>
      <c r="H24" s="10"/>
      <c r="I24" s="6"/>
      <c r="J24" s="6"/>
      <c r="K24" s="6"/>
      <c r="L24" s="6"/>
      <c r="M24" s="6"/>
      <c r="N24" s="6"/>
      <c r="O24" s="6"/>
      <c r="P24" s="6"/>
      <c r="Q24" s="6"/>
      <c r="R24" s="6"/>
      <c r="S24" s="6"/>
      <c r="T24" s="6"/>
      <c r="U24" s="6"/>
      <c r="V24" s="6"/>
      <c r="W24" s="6"/>
      <c r="X24" s="6"/>
      <c r="Y24" s="6"/>
      <c r="Z24" s="6"/>
      <c r="AA24" s="6"/>
      <c r="AB24" s="6"/>
      <c r="AC24" s="6"/>
      <c r="AD24" s="6"/>
      <c r="AE24" s="6"/>
      <c r="AF24" s="6"/>
      <c r="AG24" s="6"/>
      <c r="AH24" s="5" t="str">
        <f>IF(COUNTA(K24:Z24)=0,"Not started",IF(OR(G24="",NOT(ISNUMBER(H24)),I24&lt;&gt;"Confirmed"),"Reviewer / date / release needed",IF(COUNTIFS(MCDM_Checks!$B$6:$B$3733,A24,MCDM_Checks!$J$6:$J$3733,"Evidence needed")&gt;0,"Check evidence needed",IF(COUNTIFS(MCDM_Checks!$B$6:$B$3733,A24,MCDM_Checks!$J$6:$J$3733,"Human valid")=IF(D24="Unlabeled-13",13,16),"Core review recorded","Core review incomplete"))))</f>
        <v>Not started</v>
      </c>
      <c r="AI24" s="5" t="str">
        <f>HYPERLINK("#'MCDM_Checks'!A"&amp;(MATCH("DS-019",MCDM_Checks!$B$6:$B$3733,0)+5),"Check evidence")</f>
        <v>Check evidence</v>
      </c>
    </row>
    <row r="25" spans="1:35" ht="25.5">
      <c r="A25" s="5" t="s">
        <v>340</v>
      </c>
      <c r="B25" s="5" t="s">
        <v>341</v>
      </c>
      <c r="C25" s="5"/>
      <c r="D25" s="5" t="s">
        <v>118</v>
      </c>
      <c r="E25" s="5" t="s">
        <v>121</v>
      </c>
      <c r="F25" s="5" t="str">
        <f>HYPERLINK("https://github.com/CHDyshli/PavementCrackDetection","Dataset")</f>
        <v>Dataset</v>
      </c>
      <c r="G25" s="6"/>
      <c r="H25" s="10"/>
      <c r="I25" s="6"/>
      <c r="J25" s="6"/>
      <c r="K25" s="6"/>
      <c r="L25" s="6"/>
      <c r="M25" s="6"/>
      <c r="N25" s="6"/>
      <c r="O25" s="6"/>
      <c r="P25" s="6"/>
      <c r="Q25" s="6"/>
      <c r="R25" s="6"/>
      <c r="S25" s="6"/>
      <c r="T25" s="6"/>
      <c r="U25" s="6"/>
      <c r="V25" s="6"/>
      <c r="W25" s="6"/>
      <c r="X25" s="6"/>
      <c r="Y25" s="6"/>
      <c r="Z25" s="6"/>
      <c r="AA25" s="6"/>
      <c r="AB25" s="6"/>
      <c r="AC25" s="6"/>
      <c r="AD25" s="6"/>
      <c r="AE25" s="6"/>
      <c r="AF25" s="6"/>
      <c r="AG25" s="6"/>
      <c r="AH25" s="5" t="str">
        <f>IF(COUNTA(K25:Z25)=0,"Not started",IF(OR(G25="",NOT(ISNUMBER(H25)),I25&lt;&gt;"Confirmed"),"Reviewer / date / release needed",IF(COUNTIFS(MCDM_Checks!$B$6:$B$3733,A25,MCDM_Checks!$J$6:$J$3733,"Evidence needed")&gt;0,"Check evidence needed",IF(COUNTIFS(MCDM_Checks!$B$6:$B$3733,A25,MCDM_Checks!$J$6:$J$3733,"Human valid")=IF(D25="Unlabeled-13",13,16),"Core review recorded","Core review incomplete"))))</f>
        <v>Not started</v>
      </c>
      <c r="AI25" s="5" t="str">
        <f>HYPERLINK("#'MCDM_Checks'!A"&amp;(MATCH("DS-020",MCDM_Checks!$B$6:$B$3733,0)+5),"Check evidence")</f>
        <v>Check evidence</v>
      </c>
    </row>
    <row r="26" spans="1:35">
      <c r="A26" s="5" t="s">
        <v>350</v>
      </c>
      <c r="B26" s="5" t="s">
        <v>351</v>
      </c>
      <c r="C26" s="5"/>
      <c r="D26" s="5" t="s">
        <v>118</v>
      </c>
      <c r="E26" s="5" t="s">
        <v>352</v>
      </c>
      <c r="F26" s="5" t="str">
        <f>HYPERLINK("https://github.com/IranRoadDamageDataset/IRRDD","Dataset")</f>
        <v>Dataset</v>
      </c>
      <c r="G26" s="6"/>
      <c r="H26" s="10"/>
      <c r="I26" s="6"/>
      <c r="J26" s="6"/>
      <c r="K26" s="6"/>
      <c r="L26" s="6"/>
      <c r="M26" s="6"/>
      <c r="N26" s="6"/>
      <c r="O26" s="6"/>
      <c r="P26" s="6"/>
      <c r="Q26" s="6"/>
      <c r="R26" s="6"/>
      <c r="S26" s="6"/>
      <c r="T26" s="6"/>
      <c r="U26" s="6"/>
      <c r="V26" s="6"/>
      <c r="W26" s="6"/>
      <c r="X26" s="6"/>
      <c r="Y26" s="6"/>
      <c r="Z26" s="6"/>
      <c r="AA26" s="6"/>
      <c r="AB26" s="6"/>
      <c r="AC26" s="6"/>
      <c r="AD26" s="6"/>
      <c r="AE26" s="6"/>
      <c r="AF26" s="6"/>
      <c r="AG26" s="6"/>
      <c r="AH26" s="5" t="str">
        <f>IF(COUNTA(K26:Z26)=0,"Not started",IF(OR(G26="",NOT(ISNUMBER(H26)),I26&lt;&gt;"Confirmed"),"Reviewer / date / release needed",IF(COUNTIFS(MCDM_Checks!$B$6:$B$3733,A26,MCDM_Checks!$J$6:$J$3733,"Evidence needed")&gt;0,"Check evidence needed",IF(COUNTIFS(MCDM_Checks!$B$6:$B$3733,A26,MCDM_Checks!$J$6:$J$3733,"Human valid")=IF(D26="Unlabeled-13",13,16),"Core review recorded","Core review incomplete"))))</f>
        <v>Not started</v>
      </c>
      <c r="AI26" s="5" t="str">
        <f>HYPERLINK("#'MCDM_Checks'!A"&amp;(MATCH("DS-021",MCDM_Checks!$B$6:$B$3733,0)+5),"Check evidence")</f>
        <v>Check evidence</v>
      </c>
    </row>
    <row r="27" spans="1:35" ht="25.5">
      <c r="A27" s="5" t="s">
        <v>360</v>
      </c>
      <c r="B27" s="5" t="s">
        <v>361</v>
      </c>
      <c r="C27" s="5"/>
      <c r="D27" s="5" t="s">
        <v>118</v>
      </c>
      <c r="E27" s="5" t="s">
        <v>362</v>
      </c>
      <c r="F27" s="5" t="str">
        <f>HYPERLINK("https://github.com/lfangyu09/IR-Crack-detection","Dataset")</f>
        <v>Dataset</v>
      </c>
      <c r="G27" s="6"/>
      <c r="H27" s="10"/>
      <c r="I27" s="6"/>
      <c r="J27" s="6"/>
      <c r="K27" s="6"/>
      <c r="L27" s="6"/>
      <c r="M27" s="6"/>
      <c r="N27" s="6"/>
      <c r="O27" s="6"/>
      <c r="P27" s="6"/>
      <c r="Q27" s="6"/>
      <c r="R27" s="6"/>
      <c r="S27" s="6"/>
      <c r="T27" s="6"/>
      <c r="U27" s="6"/>
      <c r="V27" s="6"/>
      <c r="W27" s="6"/>
      <c r="X27" s="6"/>
      <c r="Y27" s="6"/>
      <c r="Z27" s="6"/>
      <c r="AA27" s="6"/>
      <c r="AB27" s="6"/>
      <c r="AC27" s="6"/>
      <c r="AD27" s="6"/>
      <c r="AE27" s="6"/>
      <c r="AF27" s="6"/>
      <c r="AG27" s="6"/>
      <c r="AH27" s="5" t="str">
        <f>IF(COUNTA(K27:Z27)=0,"Not started",IF(OR(G27="",NOT(ISNUMBER(H27)),I27&lt;&gt;"Confirmed"),"Reviewer / date / release needed",IF(COUNTIFS(MCDM_Checks!$B$6:$B$3733,A27,MCDM_Checks!$J$6:$J$3733,"Evidence needed")&gt;0,"Check evidence needed",IF(COUNTIFS(MCDM_Checks!$B$6:$B$3733,A27,MCDM_Checks!$J$6:$J$3733,"Human valid")=IF(D27="Unlabeled-13",13,16),"Core review recorded","Core review incomplete"))))</f>
        <v>Not started</v>
      </c>
      <c r="AI27" s="5" t="str">
        <f>HYPERLINK("#'MCDM_Checks'!A"&amp;(MATCH("DS-022",MCDM_Checks!$B$6:$B$3733,0)+5),"Check evidence")</f>
        <v>Check evidence</v>
      </c>
    </row>
    <row r="28" spans="1:35" ht="25.5">
      <c r="A28" s="5" t="s">
        <v>376</v>
      </c>
      <c r="B28" s="5" t="s">
        <v>377</v>
      </c>
      <c r="C28" s="5"/>
      <c r="D28" s="5" t="s">
        <v>118</v>
      </c>
      <c r="E28" s="5" t="s">
        <v>378</v>
      </c>
      <c r="F28" s="5" t="str">
        <f>HYPERLINK("https://github.com/lfangyu09/IR-Crack-detection","Dataset")</f>
        <v>Dataset</v>
      </c>
      <c r="G28" s="6"/>
      <c r="H28" s="10"/>
      <c r="I28" s="6"/>
      <c r="J28" s="6"/>
      <c r="K28" s="6"/>
      <c r="L28" s="6"/>
      <c r="M28" s="6"/>
      <c r="N28" s="6"/>
      <c r="O28" s="6"/>
      <c r="P28" s="6"/>
      <c r="Q28" s="6"/>
      <c r="R28" s="6"/>
      <c r="S28" s="6"/>
      <c r="T28" s="6"/>
      <c r="U28" s="6"/>
      <c r="V28" s="6"/>
      <c r="W28" s="6"/>
      <c r="X28" s="6"/>
      <c r="Y28" s="6"/>
      <c r="Z28" s="6"/>
      <c r="AA28" s="6"/>
      <c r="AB28" s="6"/>
      <c r="AC28" s="6"/>
      <c r="AD28" s="6"/>
      <c r="AE28" s="6"/>
      <c r="AF28" s="6"/>
      <c r="AG28" s="6"/>
      <c r="AH28" s="5" t="str">
        <f>IF(COUNTA(K28:Z28)=0,"Not started",IF(OR(G28="",NOT(ISNUMBER(H28)),I28&lt;&gt;"Confirmed"),"Reviewer / date / release needed",IF(COUNTIFS(MCDM_Checks!$B$6:$B$3733,A28,MCDM_Checks!$J$6:$J$3733,"Evidence needed")&gt;0,"Check evidence needed",IF(COUNTIFS(MCDM_Checks!$B$6:$B$3733,A28,MCDM_Checks!$J$6:$J$3733,"Human valid")=IF(D28="Unlabeled-13",13,16),"Core review recorded","Core review incomplete"))))</f>
        <v>Not started</v>
      </c>
      <c r="AI28" s="5" t="str">
        <f>HYPERLINK("#'MCDM_Checks'!A"&amp;(MATCH("DS-023",MCDM_Checks!$B$6:$B$3733,0)+5),"Check evidence")</f>
        <v>Check evidence</v>
      </c>
    </row>
    <row r="29" spans="1:35" ht="25.5">
      <c r="A29" s="5" t="s">
        <v>387</v>
      </c>
      <c r="B29" s="5" t="s">
        <v>388</v>
      </c>
      <c r="C29" s="5"/>
      <c r="D29" s="5" t="s">
        <v>118</v>
      </c>
      <c r="E29" s="5" t="s">
        <v>119</v>
      </c>
      <c r="F29" s="5" t="str">
        <f>HYPERLINK("https://github.com/neemajakisa/Pavement-Distress-Dataset","Dataset")</f>
        <v>Dataset</v>
      </c>
      <c r="G29" s="6"/>
      <c r="H29" s="10"/>
      <c r="I29" s="6"/>
      <c r="J29" s="6"/>
      <c r="K29" s="6"/>
      <c r="L29" s="6"/>
      <c r="M29" s="6"/>
      <c r="N29" s="6"/>
      <c r="O29" s="6"/>
      <c r="P29" s="6"/>
      <c r="Q29" s="6"/>
      <c r="R29" s="6"/>
      <c r="S29" s="6"/>
      <c r="T29" s="6"/>
      <c r="U29" s="6"/>
      <c r="V29" s="6"/>
      <c r="W29" s="6"/>
      <c r="X29" s="6"/>
      <c r="Y29" s="6"/>
      <c r="Z29" s="6"/>
      <c r="AA29" s="6"/>
      <c r="AB29" s="6"/>
      <c r="AC29" s="6"/>
      <c r="AD29" s="6"/>
      <c r="AE29" s="6"/>
      <c r="AF29" s="6"/>
      <c r="AG29" s="6"/>
      <c r="AH29" s="5" t="str">
        <f>IF(COUNTA(K29:Z29)=0,"Not started",IF(OR(G29="",NOT(ISNUMBER(H29)),I29&lt;&gt;"Confirmed"),"Reviewer / date / release needed",IF(COUNTIFS(MCDM_Checks!$B$6:$B$3733,A29,MCDM_Checks!$J$6:$J$3733,"Evidence needed")&gt;0,"Check evidence needed",IF(COUNTIFS(MCDM_Checks!$B$6:$B$3733,A29,MCDM_Checks!$J$6:$J$3733,"Human valid")=IF(D29="Unlabeled-13",13,16),"Core review recorded","Core review incomplete"))))</f>
        <v>Not started</v>
      </c>
      <c r="AI29" s="5" t="str">
        <f>HYPERLINK("#'MCDM_Checks'!A"&amp;(MATCH("DS-024",MCDM_Checks!$B$6:$B$3733,0)+5),"Check evidence")</f>
        <v>Check evidence</v>
      </c>
    </row>
    <row r="30" spans="1:35">
      <c r="A30" s="5" t="s">
        <v>397</v>
      </c>
      <c r="B30" s="5" t="s">
        <v>398</v>
      </c>
      <c r="C30" s="5"/>
      <c r="D30" s="5" t="s">
        <v>118</v>
      </c>
      <c r="E30" s="5" t="s">
        <v>399</v>
      </c>
      <c r="F30" s="5" t="str">
        <f>HYPERLINK("https://github.com/DrEdwardLee/Pavement-Crack-Dataset","Dataset")</f>
        <v>Dataset</v>
      </c>
      <c r="G30" s="6"/>
      <c r="H30" s="10"/>
      <c r="I30" s="6"/>
      <c r="J30" s="6"/>
      <c r="K30" s="6"/>
      <c r="L30" s="6"/>
      <c r="M30" s="6"/>
      <c r="N30" s="6"/>
      <c r="O30" s="6"/>
      <c r="P30" s="6"/>
      <c r="Q30" s="6"/>
      <c r="R30" s="6"/>
      <c r="S30" s="6"/>
      <c r="T30" s="6"/>
      <c r="U30" s="6"/>
      <c r="V30" s="6"/>
      <c r="W30" s="6"/>
      <c r="X30" s="6"/>
      <c r="Y30" s="6"/>
      <c r="Z30" s="6"/>
      <c r="AA30" s="6"/>
      <c r="AB30" s="6"/>
      <c r="AC30" s="6"/>
      <c r="AD30" s="6"/>
      <c r="AE30" s="6"/>
      <c r="AF30" s="6"/>
      <c r="AG30" s="6"/>
      <c r="AH30" s="5" t="str">
        <f>IF(COUNTA(K30:Z30)=0,"Not started",IF(OR(G30="",NOT(ISNUMBER(H30)),I30&lt;&gt;"Confirmed"),"Reviewer / date / release needed",IF(COUNTIFS(MCDM_Checks!$B$6:$B$3733,A30,MCDM_Checks!$J$6:$J$3733,"Evidence needed")&gt;0,"Check evidence needed",IF(COUNTIFS(MCDM_Checks!$B$6:$B$3733,A30,MCDM_Checks!$J$6:$J$3733,"Human valid")=IF(D30="Unlabeled-13",13,16),"Core review recorded","Core review incomplete"))))</f>
        <v>Not started</v>
      </c>
      <c r="AI30" s="5" t="str">
        <f>HYPERLINK("#'MCDM_Checks'!A"&amp;(MATCH("DS-025",MCDM_Checks!$B$6:$B$3733,0)+5),"Check evidence")</f>
        <v>Check evidence</v>
      </c>
    </row>
    <row r="31" spans="1:35" ht="25.5">
      <c r="A31" s="5" t="s">
        <v>402</v>
      </c>
      <c r="B31" s="5" t="s">
        <v>403</v>
      </c>
      <c r="C31" s="5"/>
      <c r="D31" s="5" t="s">
        <v>118</v>
      </c>
      <c r="E31" s="5" t="s">
        <v>404</v>
      </c>
      <c r="F31" s="5" t="str">
        <f>HYPERLINK("https://github.com/FwDeng/MTPDSD","Dataset")</f>
        <v>Dataset</v>
      </c>
      <c r="G31" s="6"/>
      <c r="H31" s="10"/>
      <c r="I31" s="6"/>
      <c r="J31" s="6"/>
      <c r="K31" s="6"/>
      <c r="L31" s="6"/>
      <c r="M31" s="6"/>
      <c r="N31" s="6"/>
      <c r="O31" s="6"/>
      <c r="P31" s="6"/>
      <c r="Q31" s="6"/>
      <c r="R31" s="6"/>
      <c r="S31" s="6"/>
      <c r="T31" s="6"/>
      <c r="U31" s="6"/>
      <c r="V31" s="6"/>
      <c r="W31" s="6"/>
      <c r="X31" s="6"/>
      <c r="Y31" s="6"/>
      <c r="Z31" s="6"/>
      <c r="AA31" s="6"/>
      <c r="AB31" s="6"/>
      <c r="AC31" s="6"/>
      <c r="AD31" s="6"/>
      <c r="AE31" s="6"/>
      <c r="AF31" s="6"/>
      <c r="AG31" s="6"/>
      <c r="AH31" s="5" t="str">
        <f>IF(COUNTA(K31:Z31)=0,"Not started",IF(OR(G31="",NOT(ISNUMBER(H31)),I31&lt;&gt;"Confirmed"),"Reviewer / date / release needed",IF(COUNTIFS(MCDM_Checks!$B$6:$B$3733,A31,MCDM_Checks!$J$6:$J$3733,"Evidence needed")&gt;0,"Check evidence needed",IF(COUNTIFS(MCDM_Checks!$B$6:$B$3733,A31,MCDM_Checks!$J$6:$J$3733,"Human valid")=IF(D31="Unlabeled-13",13,16),"Core review recorded","Core review incomplete"))))</f>
        <v>Not started</v>
      </c>
      <c r="AI31" s="5" t="str">
        <f>HYPERLINK("#'MCDM_Checks'!A"&amp;(MATCH("DS-026",MCDM_Checks!$B$6:$B$3733,0)+5),"Check evidence")</f>
        <v>Check evidence</v>
      </c>
    </row>
    <row r="32" spans="1:35">
      <c r="A32" s="5" t="s">
        <v>413</v>
      </c>
      <c r="B32" s="5" t="s">
        <v>414</v>
      </c>
      <c r="C32" s="5"/>
      <c r="D32" s="5" t="s">
        <v>118</v>
      </c>
      <c r="E32" s="5" t="s">
        <v>119</v>
      </c>
      <c r="F32" s="5" t="str">
        <f>HYPERLINK("https://github.com/FXBIOVELSY/NightInspect-dataset","Dataset")</f>
        <v>Dataset</v>
      </c>
      <c r="G32" s="6"/>
      <c r="H32" s="10"/>
      <c r="I32" s="6"/>
      <c r="J32" s="6"/>
      <c r="K32" s="6"/>
      <c r="L32" s="6"/>
      <c r="M32" s="6"/>
      <c r="N32" s="6"/>
      <c r="O32" s="6"/>
      <c r="P32" s="6"/>
      <c r="Q32" s="6"/>
      <c r="R32" s="6"/>
      <c r="S32" s="6"/>
      <c r="T32" s="6"/>
      <c r="U32" s="6"/>
      <c r="V32" s="6"/>
      <c r="W32" s="6"/>
      <c r="X32" s="6"/>
      <c r="Y32" s="6"/>
      <c r="Z32" s="6"/>
      <c r="AA32" s="6"/>
      <c r="AB32" s="6"/>
      <c r="AC32" s="6"/>
      <c r="AD32" s="6"/>
      <c r="AE32" s="6"/>
      <c r="AF32" s="6"/>
      <c r="AG32" s="6"/>
      <c r="AH32" s="5" t="str">
        <f>IF(COUNTA(K32:Z32)=0,"Not started",IF(OR(G32="",NOT(ISNUMBER(H32)),I32&lt;&gt;"Confirmed"),"Reviewer / date / release needed",IF(COUNTIFS(MCDM_Checks!$B$6:$B$3733,A32,MCDM_Checks!$J$6:$J$3733,"Evidence needed")&gt;0,"Check evidence needed",IF(COUNTIFS(MCDM_Checks!$B$6:$B$3733,A32,MCDM_Checks!$J$6:$J$3733,"Human valid")=IF(D32="Unlabeled-13",13,16),"Core review recorded","Core review incomplete"))))</f>
        <v>Not started</v>
      </c>
      <c r="AI32" s="5" t="str">
        <f>HYPERLINK("#'MCDM_Checks'!A"&amp;(MATCH("DS-027",MCDM_Checks!$B$6:$B$3733,0)+5),"Check evidence")</f>
        <v>Check evidence</v>
      </c>
    </row>
    <row r="33" spans="1:35">
      <c r="A33" s="5" t="s">
        <v>420</v>
      </c>
      <c r="B33" s="5" t="s">
        <v>421</v>
      </c>
      <c r="C33" s="5"/>
      <c r="D33" s="5" t="s">
        <v>118</v>
      </c>
      <c r="E33" s="5" t="s">
        <v>121</v>
      </c>
      <c r="F33" s="5" t="str">
        <f>HYPERLINK("https://github.com/tongzheng1992/Pavementscapes","Dataset")</f>
        <v>Dataset</v>
      </c>
      <c r="G33" s="6"/>
      <c r="H33" s="10"/>
      <c r="I33" s="6"/>
      <c r="J33" s="6"/>
      <c r="K33" s="6"/>
      <c r="L33" s="6"/>
      <c r="M33" s="6"/>
      <c r="N33" s="6"/>
      <c r="O33" s="6"/>
      <c r="P33" s="6"/>
      <c r="Q33" s="6"/>
      <c r="R33" s="6"/>
      <c r="S33" s="6"/>
      <c r="T33" s="6"/>
      <c r="U33" s="6"/>
      <c r="V33" s="6"/>
      <c r="W33" s="6"/>
      <c r="X33" s="6"/>
      <c r="Y33" s="6"/>
      <c r="Z33" s="6"/>
      <c r="AA33" s="6"/>
      <c r="AB33" s="6"/>
      <c r="AC33" s="6"/>
      <c r="AD33" s="6"/>
      <c r="AE33" s="6"/>
      <c r="AF33" s="6"/>
      <c r="AG33" s="6"/>
      <c r="AH33" s="5" t="str">
        <f>IF(COUNTA(K33:Z33)=0,"Not started",IF(OR(G33="",NOT(ISNUMBER(H33)),I33&lt;&gt;"Confirmed"),"Reviewer / date / release needed",IF(COUNTIFS(MCDM_Checks!$B$6:$B$3733,A33,MCDM_Checks!$J$6:$J$3733,"Evidence needed")&gt;0,"Check evidence needed",IF(COUNTIFS(MCDM_Checks!$B$6:$B$3733,A33,MCDM_Checks!$J$6:$J$3733,"Human valid")=IF(D33="Unlabeled-13",13,16),"Core review recorded","Core review incomplete"))))</f>
        <v>Not started</v>
      </c>
      <c r="AI33" s="5" t="str">
        <f>HYPERLINK("#'MCDM_Checks'!A"&amp;(MATCH("DS-028",MCDM_Checks!$B$6:$B$3733,0)+5),"Check evidence")</f>
        <v>Check evidence</v>
      </c>
    </row>
    <row r="34" spans="1:35">
      <c r="A34" s="5" t="s">
        <v>433</v>
      </c>
      <c r="B34" s="5" t="s">
        <v>434</v>
      </c>
      <c r="C34" s="5"/>
      <c r="D34" s="5" t="s">
        <v>118</v>
      </c>
      <c r="E34" s="5" t="s">
        <v>435</v>
      </c>
      <c r="F34" s="5" t="str">
        <f>HYPERLINK("https://github.com/FuturePave/PaveSeg-Dataset","Dataset")</f>
        <v>Dataset</v>
      </c>
      <c r="G34" s="6"/>
      <c r="H34" s="10"/>
      <c r="I34" s="6"/>
      <c r="J34" s="6"/>
      <c r="K34" s="6"/>
      <c r="L34" s="6"/>
      <c r="M34" s="6"/>
      <c r="N34" s="6"/>
      <c r="O34" s="6"/>
      <c r="P34" s="6"/>
      <c r="Q34" s="6"/>
      <c r="R34" s="6"/>
      <c r="S34" s="6"/>
      <c r="T34" s="6"/>
      <c r="U34" s="6"/>
      <c r="V34" s="6"/>
      <c r="W34" s="6"/>
      <c r="X34" s="6"/>
      <c r="Y34" s="6"/>
      <c r="Z34" s="6"/>
      <c r="AA34" s="6"/>
      <c r="AB34" s="6"/>
      <c r="AC34" s="6"/>
      <c r="AD34" s="6"/>
      <c r="AE34" s="6"/>
      <c r="AF34" s="6"/>
      <c r="AG34" s="6"/>
      <c r="AH34" s="5" t="str">
        <f>IF(COUNTA(K34:Z34)=0,"Not started",IF(OR(G34="",NOT(ISNUMBER(H34)),I34&lt;&gt;"Confirmed"),"Reviewer / date / release needed",IF(COUNTIFS(MCDM_Checks!$B$6:$B$3733,A34,MCDM_Checks!$J$6:$J$3733,"Evidence needed")&gt;0,"Check evidence needed",IF(COUNTIFS(MCDM_Checks!$B$6:$B$3733,A34,MCDM_Checks!$J$6:$J$3733,"Human valid")=IF(D34="Unlabeled-13",13,16),"Core review recorded","Core review incomplete"))))</f>
        <v>Not started</v>
      </c>
      <c r="AI34" s="5" t="str">
        <f>HYPERLINK("#'MCDM_Checks'!A"&amp;(MATCH("DS-029",MCDM_Checks!$B$6:$B$3733,0)+5),"Check evidence")</f>
        <v>Check evidence</v>
      </c>
    </row>
    <row r="35" spans="1:35">
      <c r="A35" s="5" t="s">
        <v>448</v>
      </c>
      <c r="B35" s="5" t="s">
        <v>449</v>
      </c>
      <c r="C35" s="5"/>
      <c r="D35" s="5" t="s">
        <v>118</v>
      </c>
      <c r="E35" s="5" t="s">
        <v>450</v>
      </c>
      <c r="F35" s="5" t="str">
        <f>HYPERLINK("https://github.com/Nan2020/PID-Pavement-Image-Dataset","Dataset")</f>
        <v>Dataset</v>
      </c>
      <c r="G35" s="6"/>
      <c r="H35" s="10"/>
      <c r="I35" s="6"/>
      <c r="J35" s="6"/>
      <c r="K35" s="6"/>
      <c r="L35" s="6"/>
      <c r="M35" s="6"/>
      <c r="N35" s="6"/>
      <c r="O35" s="6"/>
      <c r="P35" s="6"/>
      <c r="Q35" s="6"/>
      <c r="R35" s="6"/>
      <c r="S35" s="6"/>
      <c r="T35" s="6"/>
      <c r="U35" s="6"/>
      <c r="V35" s="6"/>
      <c r="W35" s="6"/>
      <c r="X35" s="6"/>
      <c r="Y35" s="6"/>
      <c r="Z35" s="6"/>
      <c r="AA35" s="6"/>
      <c r="AB35" s="6"/>
      <c r="AC35" s="6"/>
      <c r="AD35" s="6"/>
      <c r="AE35" s="6"/>
      <c r="AF35" s="6"/>
      <c r="AG35" s="6"/>
      <c r="AH35" s="5" t="str">
        <f>IF(COUNTA(K35:Z35)=0,"Not started",IF(OR(G35="",NOT(ISNUMBER(H35)),I35&lt;&gt;"Confirmed"),"Reviewer / date / release needed",IF(COUNTIFS(MCDM_Checks!$B$6:$B$3733,A35,MCDM_Checks!$J$6:$J$3733,"Evidence needed")&gt;0,"Check evidence needed",IF(COUNTIFS(MCDM_Checks!$B$6:$B$3733,A35,MCDM_Checks!$J$6:$J$3733,"Human valid")=IF(D35="Unlabeled-13",13,16),"Core review recorded","Core review incomplete"))))</f>
        <v>Not started</v>
      </c>
      <c r="AI35" s="5" t="str">
        <f>HYPERLINK("#'MCDM_Checks'!A"&amp;(MATCH("DS-030",MCDM_Checks!$B$6:$B$3733,0)+5),"Check evidence")</f>
        <v>Check evidence</v>
      </c>
    </row>
    <row r="36" spans="1:35">
      <c r="A36" s="5" t="s">
        <v>461</v>
      </c>
      <c r="B36" s="5" t="s">
        <v>462</v>
      </c>
      <c r="C36" s="5"/>
      <c r="D36" s="5" t="s">
        <v>118</v>
      </c>
      <c r="E36" s="5" t="s">
        <v>121</v>
      </c>
      <c r="F36" s="5" t="str">
        <f>HYPERLINK("https://github.com/jaygala24/pothole-detection","Dataset")</f>
        <v>Dataset</v>
      </c>
      <c r="G36" s="6"/>
      <c r="H36" s="10"/>
      <c r="I36" s="6"/>
      <c r="J36" s="6"/>
      <c r="K36" s="6"/>
      <c r="L36" s="6"/>
      <c r="M36" s="6"/>
      <c r="N36" s="6"/>
      <c r="O36" s="6"/>
      <c r="P36" s="6"/>
      <c r="Q36" s="6"/>
      <c r="R36" s="6"/>
      <c r="S36" s="6"/>
      <c r="T36" s="6"/>
      <c r="U36" s="6"/>
      <c r="V36" s="6"/>
      <c r="W36" s="6"/>
      <c r="X36" s="6"/>
      <c r="Y36" s="6"/>
      <c r="Z36" s="6"/>
      <c r="AA36" s="6"/>
      <c r="AB36" s="6"/>
      <c r="AC36" s="6"/>
      <c r="AD36" s="6"/>
      <c r="AE36" s="6"/>
      <c r="AF36" s="6"/>
      <c r="AG36" s="6"/>
      <c r="AH36" s="5" t="str">
        <f>IF(COUNTA(K36:Z36)=0,"Not started",IF(OR(G36="",NOT(ISNUMBER(H36)),I36&lt;&gt;"Confirmed"),"Reviewer / date / release needed",IF(COUNTIFS(MCDM_Checks!$B$6:$B$3733,A36,MCDM_Checks!$J$6:$J$3733,"Evidence needed")&gt;0,"Check evidence needed",IF(COUNTIFS(MCDM_Checks!$B$6:$B$3733,A36,MCDM_Checks!$J$6:$J$3733,"Human valid")=IF(D36="Unlabeled-13",13,16),"Core review recorded","Core review incomplete"))))</f>
        <v>Not started</v>
      </c>
      <c r="AI36" s="5" t="str">
        <f>HYPERLINK("#'MCDM_Checks'!A"&amp;(MATCH("DS-031",MCDM_Checks!$B$6:$B$3733,0)+5),"Check evidence")</f>
        <v>Check evidence</v>
      </c>
    </row>
    <row r="37" spans="1:35" ht="25.5">
      <c r="A37" s="5" t="s">
        <v>470</v>
      </c>
      <c r="B37" s="5" t="s">
        <v>471</v>
      </c>
      <c r="C37" s="5"/>
      <c r="D37" s="5" t="s">
        <v>118</v>
      </c>
      <c r="E37" s="5" t="s">
        <v>472</v>
      </c>
      <c r="F37" s="5" t="str">
        <f>HYPERLINK("https://github.com/moatifbutt/r2s100k","Dataset")</f>
        <v>Dataset</v>
      </c>
      <c r="G37" s="6"/>
      <c r="H37" s="10"/>
      <c r="I37" s="6"/>
      <c r="J37" s="6"/>
      <c r="K37" s="6"/>
      <c r="L37" s="6"/>
      <c r="M37" s="6"/>
      <c r="N37" s="6"/>
      <c r="O37" s="6"/>
      <c r="P37" s="6"/>
      <c r="Q37" s="6"/>
      <c r="R37" s="6"/>
      <c r="S37" s="6"/>
      <c r="T37" s="6"/>
      <c r="U37" s="6"/>
      <c r="V37" s="6"/>
      <c r="W37" s="6"/>
      <c r="X37" s="6"/>
      <c r="Y37" s="6"/>
      <c r="Z37" s="6"/>
      <c r="AA37" s="6"/>
      <c r="AB37" s="6"/>
      <c r="AC37" s="6"/>
      <c r="AD37" s="6"/>
      <c r="AE37" s="6"/>
      <c r="AF37" s="6"/>
      <c r="AG37" s="6"/>
      <c r="AH37" s="5" t="str">
        <f>IF(COUNTA(K37:Z37)=0,"Not started",IF(OR(G37="",NOT(ISNUMBER(H37)),I37&lt;&gt;"Confirmed"),"Reviewer / date / release needed",IF(COUNTIFS(MCDM_Checks!$B$6:$B$3733,A37,MCDM_Checks!$J$6:$J$3733,"Evidence needed")&gt;0,"Check evidence needed",IF(COUNTIFS(MCDM_Checks!$B$6:$B$3733,A37,MCDM_Checks!$J$6:$J$3733,"Human valid")=IF(D37="Unlabeled-13",13,16),"Core review recorded","Core review incomplete"))))</f>
        <v>Not started</v>
      </c>
      <c r="AI37" s="5" t="str">
        <f>HYPERLINK("#'MCDM_Checks'!A"&amp;(MATCH("DS-032",MCDM_Checks!$B$6:$B$3733,0)+5),"Check evidence")</f>
        <v>Check evidence</v>
      </c>
    </row>
    <row r="38" spans="1:35">
      <c r="A38" s="5" t="s">
        <v>484</v>
      </c>
      <c r="B38" s="5" t="s">
        <v>485</v>
      </c>
      <c r="C38" s="5"/>
      <c r="D38" s="5" t="s">
        <v>118</v>
      </c>
      <c r="E38" s="5" t="s">
        <v>121</v>
      </c>
      <c r="F38" s="5" t="str">
        <f>HYPERLINK("https://github.com/ArselanAshraf/RCD-IIUM-Road-Crack-Detection-Dataset-","Dataset")</f>
        <v>Dataset</v>
      </c>
      <c r="G38" s="6"/>
      <c r="H38" s="10"/>
      <c r="I38" s="6"/>
      <c r="J38" s="6"/>
      <c r="K38" s="6"/>
      <c r="L38" s="6"/>
      <c r="M38" s="6"/>
      <c r="N38" s="6"/>
      <c r="O38" s="6"/>
      <c r="P38" s="6"/>
      <c r="Q38" s="6"/>
      <c r="R38" s="6"/>
      <c r="S38" s="6"/>
      <c r="T38" s="6"/>
      <c r="U38" s="6"/>
      <c r="V38" s="6"/>
      <c r="W38" s="6"/>
      <c r="X38" s="6"/>
      <c r="Y38" s="6"/>
      <c r="Z38" s="6"/>
      <c r="AA38" s="6"/>
      <c r="AB38" s="6"/>
      <c r="AC38" s="6"/>
      <c r="AD38" s="6"/>
      <c r="AE38" s="6"/>
      <c r="AF38" s="6"/>
      <c r="AG38" s="6"/>
      <c r="AH38" s="5" t="str">
        <f>IF(COUNTA(K38:Z38)=0,"Not started",IF(OR(G38="",NOT(ISNUMBER(H38)),I38&lt;&gt;"Confirmed"),"Reviewer / date / release needed",IF(COUNTIFS(MCDM_Checks!$B$6:$B$3733,A38,MCDM_Checks!$J$6:$J$3733,"Evidence needed")&gt;0,"Check evidence needed",IF(COUNTIFS(MCDM_Checks!$B$6:$B$3733,A38,MCDM_Checks!$J$6:$J$3733,"Human valid")=IF(D38="Unlabeled-13",13,16),"Core review recorded","Core review incomplete"))))</f>
        <v>Not started</v>
      </c>
      <c r="AI38" s="5" t="str">
        <f>HYPERLINK("#'MCDM_Checks'!A"&amp;(MATCH("DS-033",MCDM_Checks!$B$6:$B$3733,0)+5),"Check evidence")</f>
        <v>Check evidence</v>
      </c>
    </row>
    <row r="39" spans="1:35" ht="25.5">
      <c r="A39" s="5" t="s">
        <v>494</v>
      </c>
      <c r="B39" s="5" t="s">
        <v>495</v>
      </c>
      <c r="C39" s="5"/>
      <c r="D39" s="5" t="s">
        <v>118</v>
      </c>
      <c r="E39" s="5" t="s">
        <v>496</v>
      </c>
      <c r="F39" s="5" t="str">
        <f>HYPERLINK("https://data.mendeley.com/datasets/5ty2wb6gvg/1","Dataset")</f>
        <v>Dataset</v>
      </c>
      <c r="G39" s="6"/>
      <c r="H39" s="10"/>
      <c r="I39" s="6"/>
      <c r="J39" s="6"/>
      <c r="K39" s="6"/>
      <c r="L39" s="6"/>
      <c r="M39" s="6"/>
      <c r="N39" s="6"/>
      <c r="O39" s="6"/>
      <c r="P39" s="6"/>
      <c r="Q39" s="6"/>
      <c r="R39" s="6"/>
      <c r="S39" s="6"/>
      <c r="T39" s="6"/>
      <c r="U39" s="6"/>
      <c r="V39" s="6"/>
      <c r="W39" s="6"/>
      <c r="X39" s="6"/>
      <c r="Y39" s="6"/>
      <c r="Z39" s="6"/>
      <c r="AA39" s="6"/>
      <c r="AB39" s="6"/>
      <c r="AC39" s="6"/>
      <c r="AD39" s="6"/>
      <c r="AE39" s="6"/>
      <c r="AF39" s="6"/>
      <c r="AG39" s="6"/>
      <c r="AH39" s="5" t="str">
        <f>IF(COUNTA(K39:Z39)=0,"Not started",IF(OR(G39="",NOT(ISNUMBER(H39)),I39&lt;&gt;"Confirmed"),"Reviewer / date / release needed",IF(COUNTIFS(MCDM_Checks!$B$6:$B$3733,A39,MCDM_Checks!$J$6:$J$3733,"Evidence needed")&gt;0,"Check evidence needed",IF(COUNTIFS(MCDM_Checks!$B$6:$B$3733,A39,MCDM_Checks!$J$6:$J$3733,"Human valid")=IF(D39="Unlabeled-13",13,16),"Core review recorded","Core review incomplete"))))</f>
        <v>Not started</v>
      </c>
      <c r="AI39" s="5" t="str">
        <f>HYPERLINK("#'MCDM_Checks'!A"&amp;(MATCH("DS-034",MCDM_Checks!$B$6:$B$3733,0)+5),"Check evidence")</f>
        <v>Check evidence</v>
      </c>
    </row>
    <row r="40" spans="1:35" ht="25.5">
      <c r="A40" s="5" t="s">
        <v>32</v>
      </c>
      <c r="B40" s="5" t="s">
        <v>508</v>
      </c>
      <c r="C40" s="5">
        <v>3</v>
      </c>
      <c r="D40" s="5" t="s">
        <v>118</v>
      </c>
      <c r="E40" s="5" t="s">
        <v>37</v>
      </c>
      <c r="F40" s="5" t="str">
        <f>HYPERLINK("https://figshare.com/articles/dataset/RDD2022_-_The_multi-national_Road_Damage_Dataset_released_through_CRDDC_2022/21431547/1","Dataset")</f>
        <v>Dataset</v>
      </c>
      <c r="G40" s="6"/>
      <c r="H40" s="10"/>
      <c r="I40" s="6"/>
      <c r="J40" s="6"/>
      <c r="K40" s="6"/>
      <c r="L40" s="6"/>
      <c r="M40" s="6"/>
      <c r="N40" s="6"/>
      <c r="O40" s="6"/>
      <c r="P40" s="6"/>
      <c r="Q40" s="6"/>
      <c r="R40" s="6"/>
      <c r="S40" s="6"/>
      <c r="T40" s="6"/>
      <c r="U40" s="6"/>
      <c r="V40" s="6"/>
      <c r="W40" s="6"/>
      <c r="X40" s="6"/>
      <c r="Y40" s="6"/>
      <c r="Z40" s="6"/>
      <c r="AA40" s="6"/>
      <c r="AB40" s="6"/>
      <c r="AC40" s="6"/>
      <c r="AD40" s="6"/>
      <c r="AE40" s="6"/>
      <c r="AF40" s="6"/>
      <c r="AG40" s="6"/>
      <c r="AH40" s="5" t="str">
        <f>IF(COUNTA(K40:Z40)=0,"Not started",IF(OR(G40="",NOT(ISNUMBER(H40)),I40&lt;&gt;"Confirmed"),"Reviewer / date / release needed",IF(COUNTIFS(MCDM_Checks!$B$6:$B$3733,A40,MCDM_Checks!$J$6:$J$3733,"Evidence needed")&gt;0,"Check evidence needed",IF(COUNTIFS(MCDM_Checks!$B$6:$B$3733,A40,MCDM_Checks!$J$6:$J$3733,"Human valid")=IF(D40="Unlabeled-13",13,16),"Core review recorded","Core review incomplete"))))</f>
        <v>Not started</v>
      </c>
      <c r="AI40" s="5" t="str">
        <f>HYPERLINK("#'MCDM_Checks'!A"&amp;(MATCH("DS-035",MCDM_Checks!$B$6:$B$3733,0)+5),"Check evidence")</f>
        <v>Check evidence</v>
      </c>
    </row>
    <row r="41" spans="1:35" ht="25.5">
      <c r="A41" s="5" t="s">
        <v>522</v>
      </c>
      <c r="B41" s="5" t="s">
        <v>523</v>
      </c>
      <c r="C41" s="5"/>
      <c r="D41" s="5" t="s">
        <v>118</v>
      </c>
      <c r="E41" s="5" t="s">
        <v>524</v>
      </c>
      <c r="F41" s="5" t="str">
        <f>HYPERLINK("https://github.com/endurancechallengeindonesia/RDDC2024-ID","Dataset")</f>
        <v>Dataset</v>
      </c>
      <c r="G41" s="6"/>
      <c r="H41" s="10"/>
      <c r="I41" s="6"/>
      <c r="J41" s="6"/>
      <c r="K41" s="6"/>
      <c r="L41" s="6"/>
      <c r="M41" s="6"/>
      <c r="N41" s="6"/>
      <c r="O41" s="6"/>
      <c r="P41" s="6"/>
      <c r="Q41" s="6"/>
      <c r="R41" s="6"/>
      <c r="S41" s="6"/>
      <c r="T41" s="6"/>
      <c r="U41" s="6"/>
      <c r="V41" s="6"/>
      <c r="W41" s="6"/>
      <c r="X41" s="6"/>
      <c r="Y41" s="6"/>
      <c r="Z41" s="6"/>
      <c r="AA41" s="6"/>
      <c r="AB41" s="6"/>
      <c r="AC41" s="6"/>
      <c r="AD41" s="6"/>
      <c r="AE41" s="6"/>
      <c r="AF41" s="6"/>
      <c r="AG41" s="6"/>
      <c r="AH41" s="5" t="str">
        <f>IF(COUNTA(K41:Z41)=0,"Not started",IF(OR(G41="",NOT(ISNUMBER(H41)),I41&lt;&gt;"Confirmed"),"Reviewer / date / release needed",IF(COUNTIFS(MCDM_Checks!$B$6:$B$3733,A41,MCDM_Checks!$J$6:$J$3733,"Evidence needed")&gt;0,"Check evidence needed",IF(COUNTIFS(MCDM_Checks!$B$6:$B$3733,A41,MCDM_Checks!$J$6:$J$3733,"Human valid")=IF(D41="Unlabeled-13",13,16),"Core review recorded","Core review incomplete"))))</f>
        <v>Not started</v>
      </c>
      <c r="AI41" s="5" t="str">
        <f>HYPERLINK("#'MCDM_Checks'!A"&amp;(MATCH("DS-036",MCDM_Checks!$B$6:$B$3733,0)+5),"Check evidence")</f>
        <v>Check evidence</v>
      </c>
    </row>
    <row r="42" spans="1:35">
      <c r="A42" s="5" t="s">
        <v>532</v>
      </c>
      <c r="B42" s="5" t="s">
        <v>533</v>
      </c>
      <c r="C42" s="5"/>
      <c r="D42" s="5" t="s">
        <v>118</v>
      </c>
      <c r="E42" s="5" t="s">
        <v>534</v>
      </c>
      <c r="F42" s="5" t="str">
        <f>HYPERLINK("https://github.com/sekilab/RoadDamageDetector","Dataset")</f>
        <v>Dataset</v>
      </c>
      <c r="G42" s="6"/>
      <c r="H42" s="10"/>
      <c r="I42" s="6"/>
      <c r="J42" s="6"/>
      <c r="K42" s="6"/>
      <c r="L42" s="6"/>
      <c r="M42" s="6"/>
      <c r="N42" s="6"/>
      <c r="O42" s="6"/>
      <c r="P42" s="6"/>
      <c r="Q42" s="6"/>
      <c r="R42" s="6"/>
      <c r="S42" s="6"/>
      <c r="T42" s="6"/>
      <c r="U42" s="6"/>
      <c r="V42" s="6"/>
      <c r="W42" s="6"/>
      <c r="X42" s="6"/>
      <c r="Y42" s="6"/>
      <c r="Z42" s="6"/>
      <c r="AA42" s="6"/>
      <c r="AB42" s="6"/>
      <c r="AC42" s="6"/>
      <c r="AD42" s="6"/>
      <c r="AE42" s="6"/>
      <c r="AF42" s="6"/>
      <c r="AG42" s="6"/>
      <c r="AH42" s="5" t="str">
        <f>IF(COUNTA(K42:Z42)=0,"Not started",IF(OR(G42="",NOT(ISNUMBER(H42)),I42&lt;&gt;"Confirmed"),"Reviewer / date / release needed",IF(COUNTIFS(MCDM_Checks!$B$6:$B$3733,A42,MCDM_Checks!$J$6:$J$3733,"Evidence needed")&gt;0,"Check evidence needed",IF(COUNTIFS(MCDM_Checks!$B$6:$B$3733,A42,MCDM_Checks!$J$6:$J$3733,"Human valid")=IF(D42="Unlabeled-13",13,16),"Core review recorded","Core review incomplete"))))</f>
        <v>Not started</v>
      </c>
      <c r="AI42" s="5" t="str">
        <f>HYPERLINK("#'MCDM_Checks'!A"&amp;(MATCH("DS-037",MCDM_Checks!$B$6:$B$3733,0)+5),"Check evidence")</f>
        <v>Check evidence</v>
      </c>
    </row>
    <row r="43" spans="1:35">
      <c r="A43" s="5" t="s">
        <v>545</v>
      </c>
      <c r="B43" s="5" t="s">
        <v>546</v>
      </c>
      <c r="C43" s="5"/>
      <c r="D43" s="5" t="s">
        <v>118</v>
      </c>
      <c r="E43" s="5" t="s">
        <v>547</v>
      </c>
      <c r="F43" s="5" t="str">
        <f>HYPERLINK("https://github.com/sekilab/RoadDamageDetector","Dataset")</f>
        <v>Dataset</v>
      </c>
      <c r="G43" s="6"/>
      <c r="H43" s="10"/>
      <c r="I43" s="6"/>
      <c r="J43" s="6"/>
      <c r="K43" s="6"/>
      <c r="L43" s="6"/>
      <c r="M43" s="6"/>
      <c r="N43" s="6"/>
      <c r="O43" s="6"/>
      <c r="P43" s="6"/>
      <c r="Q43" s="6"/>
      <c r="R43" s="6"/>
      <c r="S43" s="6"/>
      <c r="T43" s="6"/>
      <c r="U43" s="6"/>
      <c r="V43" s="6"/>
      <c r="W43" s="6"/>
      <c r="X43" s="6"/>
      <c r="Y43" s="6"/>
      <c r="Z43" s="6"/>
      <c r="AA43" s="6"/>
      <c r="AB43" s="6"/>
      <c r="AC43" s="6"/>
      <c r="AD43" s="6"/>
      <c r="AE43" s="6"/>
      <c r="AF43" s="6"/>
      <c r="AG43" s="6"/>
      <c r="AH43" s="5" t="str">
        <f>IF(COUNTA(K43:Z43)=0,"Not started",IF(OR(G43="",NOT(ISNUMBER(H43)),I43&lt;&gt;"Confirmed"),"Reviewer / date / release needed",IF(COUNTIFS(MCDM_Checks!$B$6:$B$3733,A43,MCDM_Checks!$J$6:$J$3733,"Evidence needed")&gt;0,"Check evidence needed",IF(COUNTIFS(MCDM_Checks!$B$6:$B$3733,A43,MCDM_Checks!$J$6:$J$3733,"Human valid")=IF(D43="Unlabeled-13",13,16),"Core review recorded","Core review incomplete"))))</f>
        <v>Not started</v>
      </c>
      <c r="AI43" s="5" t="str">
        <f>HYPERLINK("#'MCDM_Checks'!A"&amp;(MATCH("DS-038",MCDM_Checks!$B$6:$B$3733,0)+5),"Check evidence")</f>
        <v>Check evidence</v>
      </c>
    </row>
    <row r="44" spans="1:35">
      <c r="A44" s="5" t="s">
        <v>554</v>
      </c>
      <c r="B44" s="5" t="s">
        <v>555</v>
      </c>
      <c r="C44" s="5"/>
      <c r="D44" s="5" t="s">
        <v>118</v>
      </c>
      <c r="E44" s="5" t="s">
        <v>556</v>
      </c>
      <c r="F44" s="5" t="str">
        <f>HYPERLINK("https://data.mendeley.com/datasets/v8mbnvx8pv/1","Dataset")</f>
        <v>Dataset</v>
      </c>
      <c r="G44" s="6"/>
      <c r="H44" s="10"/>
      <c r="I44" s="6"/>
      <c r="J44" s="6"/>
      <c r="K44" s="6"/>
      <c r="L44" s="6"/>
      <c r="M44" s="6"/>
      <c r="N44" s="6"/>
      <c r="O44" s="6"/>
      <c r="P44" s="6"/>
      <c r="Q44" s="6"/>
      <c r="R44" s="6"/>
      <c r="S44" s="6"/>
      <c r="T44" s="6"/>
      <c r="U44" s="6"/>
      <c r="V44" s="6"/>
      <c r="W44" s="6"/>
      <c r="X44" s="6"/>
      <c r="Y44" s="6"/>
      <c r="Z44" s="6"/>
      <c r="AA44" s="6"/>
      <c r="AB44" s="6"/>
      <c r="AC44" s="6"/>
      <c r="AD44" s="6"/>
      <c r="AE44" s="6"/>
      <c r="AF44" s="6"/>
      <c r="AG44" s="6"/>
      <c r="AH44" s="5" t="str">
        <f>IF(COUNTA(K44:Z44)=0,"Not started",IF(OR(G44="",NOT(ISNUMBER(H44)),I44&lt;&gt;"Confirmed"),"Reviewer / date / release needed",IF(COUNTIFS(MCDM_Checks!$B$6:$B$3733,A44,MCDM_Checks!$J$6:$J$3733,"Evidence needed")&gt;0,"Check evidence needed",IF(COUNTIFS(MCDM_Checks!$B$6:$B$3733,A44,MCDM_Checks!$J$6:$J$3733,"Human valid")=IF(D44="Unlabeled-13",13,16),"Core review recorded","Core review incomplete"))))</f>
        <v>Not started</v>
      </c>
      <c r="AI44" s="5" t="str">
        <f>HYPERLINK("#'MCDM_Checks'!A"&amp;(MATCH("DS-039",MCDM_Checks!$B$6:$B$3733,0)+5),"Check evidence")</f>
        <v>Check evidence</v>
      </c>
    </row>
    <row r="45" spans="1:35" ht="25.5">
      <c r="A45" s="5" t="s">
        <v>565</v>
      </c>
      <c r="B45" s="5" t="s">
        <v>566</v>
      </c>
      <c r="C45" s="5"/>
      <c r="D45" s="5" t="s">
        <v>118</v>
      </c>
      <c r="E45" s="5" t="s">
        <v>567</v>
      </c>
      <c r="F45" s="5" t="str">
        <f>HYPERLINK("https://data.mendeley.com/datasets/hssswvmjwf/1","Dataset")</f>
        <v>Dataset</v>
      </c>
      <c r="G45" s="6"/>
      <c r="H45" s="10"/>
      <c r="I45" s="6"/>
      <c r="J45" s="6"/>
      <c r="K45" s="6"/>
      <c r="L45" s="6"/>
      <c r="M45" s="6"/>
      <c r="N45" s="6"/>
      <c r="O45" s="6"/>
      <c r="P45" s="6"/>
      <c r="Q45" s="6"/>
      <c r="R45" s="6"/>
      <c r="S45" s="6"/>
      <c r="T45" s="6"/>
      <c r="U45" s="6"/>
      <c r="V45" s="6"/>
      <c r="W45" s="6"/>
      <c r="X45" s="6"/>
      <c r="Y45" s="6"/>
      <c r="Z45" s="6"/>
      <c r="AA45" s="6"/>
      <c r="AB45" s="6"/>
      <c r="AC45" s="6"/>
      <c r="AD45" s="6"/>
      <c r="AE45" s="6"/>
      <c r="AF45" s="6"/>
      <c r="AG45" s="6"/>
      <c r="AH45" s="5" t="str">
        <f>IF(COUNTA(K45:Z45)=0,"Not started",IF(OR(G45="",NOT(ISNUMBER(H45)),I45&lt;&gt;"Confirmed"),"Reviewer / date / release needed",IF(COUNTIFS(MCDM_Checks!$B$6:$B$3733,A45,MCDM_Checks!$J$6:$J$3733,"Evidence needed")&gt;0,"Check evidence needed",IF(COUNTIFS(MCDM_Checks!$B$6:$B$3733,A45,MCDM_Checks!$J$6:$J$3733,"Human valid")=IF(D45="Unlabeled-13",13,16),"Core review recorded","Core review incomplete"))))</f>
        <v>Not started</v>
      </c>
      <c r="AI45" s="5" t="str">
        <f>HYPERLINK("#'MCDM_Checks'!A"&amp;(MATCH("DS-040",MCDM_Checks!$B$6:$B$3733,0)+5),"Check evidence")</f>
        <v>Check evidence</v>
      </c>
    </row>
    <row r="46" spans="1:35" ht="25.5">
      <c r="A46" s="5" t="s">
        <v>581</v>
      </c>
      <c r="B46" s="5" t="s">
        <v>582</v>
      </c>
      <c r="C46" s="5"/>
      <c r="D46" s="5" t="s">
        <v>118</v>
      </c>
      <c r="E46" s="5" t="s">
        <v>404</v>
      </c>
      <c r="F46" s="5" t="str">
        <f>HYPERLINK("https://github.com/SEUxia/Asphalt-pavement-crack-dataset","Dataset")</f>
        <v>Dataset</v>
      </c>
      <c r="G46" s="6"/>
      <c r="H46" s="10"/>
      <c r="I46" s="6"/>
      <c r="J46" s="6"/>
      <c r="K46" s="6"/>
      <c r="L46" s="6"/>
      <c r="M46" s="6"/>
      <c r="N46" s="6"/>
      <c r="O46" s="6"/>
      <c r="P46" s="6"/>
      <c r="Q46" s="6"/>
      <c r="R46" s="6"/>
      <c r="S46" s="6"/>
      <c r="T46" s="6"/>
      <c r="U46" s="6"/>
      <c r="V46" s="6"/>
      <c r="W46" s="6"/>
      <c r="X46" s="6"/>
      <c r="Y46" s="6"/>
      <c r="Z46" s="6"/>
      <c r="AA46" s="6"/>
      <c r="AB46" s="6"/>
      <c r="AC46" s="6"/>
      <c r="AD46" s="6"/>
      <c r="AE46" s="6"/>
      <c r="AF46" s="6"/>
      <c r="AG46" s="6"/>
      <c r="AH46" s="5" t="str">
        <f>IF(COUNTA(K46:Z46)=0,"Not started",IF(OR(G46="",NOT(ISNUMBER(H46)),I46&lt;&gt;"Confirmed"),"Reviewer / date / release needed",IF(COUNTIFS(MCDM_Checks!$B$6:$B$3733,A46,MCDM_Checks!$J$6:$J$3733,"Evidence needed")&gt;0,"Check evidence needed",IF(COUNTIFS(MCDM_Checks!$B$6:$B$3733,A46,MCDM_Checks!$J$6:$J$3733,"Human valid")=IF(D46="Unlabeled-13",13,16),"Core review recorded","Core review incomplete"))))</f>
        <v>Not started</v>
      </c>
      <c r="AI46" s="5" t="str">
        <f>HYPERLINK("#'MCDM_Checks'!A"&amp;(MATCH("DS-041",MCDM_Checks!$B$6:$B$3733,0)+5),"Check evidence")</f>
        <v>Check evidence</v>
      </c>
    </row>
    <row r="47" spans="1:35">
      <c r="A47" s="5" t="s">
        <v>586</v>
      </c>
      <c r="B47" s="5" t="s">
        <v>587</v>
      </c>
      <c r="C47" s="5"/>
      <c r="D47" s="5" t="s">
        <v>118</v>
      </c>
      <c r="E47" s="5" t="s">
        <v>121</v>
      </c>
      <c r="F47" s="5" t="str">
        <f>HYPERLINK("https://github.com/achireistefan/Pothole-Detection","Dataset")</f>
        <v>Dataset</v>
      </c>
      <c r="G47" s="6"/>
      <c r="H47" s="10"/>
      <c r="I47" s="6"/>
      <c r="J47" s="6"/>
      <c r="K47" s="6"/>
      <c r="L47" s="6"/>
      <c r="M47" s="6"/>
      <c r="N47" s="6"/>
      <c r="O47" s="6"/>
      <c r="P47" s="6"/>
      <c r="Q47" s="6"/>
      <c r="R47" s="6"/>
      <c r="S47" s="6"/>
      <c r="T47" s="6"/>
      <c r="U47" s="6"/>
      <c r="V47" s="6"/>
      <c r="W47" s="6"/>
      <c r="X47" s="6"/>
      <c r="Y47" s="6"/>
      <c r="Z47" s="6"/>
      <c r="AA47" s="6"/>
      <c r="AB47" s="6"/>
      <c r="AC47" s="6"/>
      <c r="AD47" s="6"/>
      <c r="AE47" s="6"/>
      <c r="AF47" s="6"/>
      <c r="AG47" s="6"/>
      <c r="AH47" s="5" t="str">
        <f>IF(COUNTA(K47:Z47)=0,"Not started",IF(OR(G47="",NOT(ISNUMBER(H47)),I47&lt;&gt;"Confirmed"),"Reviewer / date / release needed",IF(COUNTIFS(MCDM_Checks!$B$6:$B$3733,A47,MCDM_Checks!$J$6:$J$3733,"Evidence needed")&gt;0,"Check evidence needed",IF(COUNTIFS(MCDM_Checks!$B$6:$B$3733,A47,MCDM_Checks!$J$6:$J$3733,"Human valid")=IF(D47="Unlabeled-13",13,16),"Core review recorded","Core review incomplete"))))</f>
        <v>Not started</v>
      </c>
      <c r="AI47" s="5" t="str">
        <f>HYPERLINK("#'MCDM_Checks'!A"&amp;(MATCH("DS-042",MCDM_Checks!$B$6:$B$3733,0)+5),"Check evidence")</f>
        <v>Check evidence</v>
      </c>
    </row>
    <row r="48" spans="1:35">
      <c r="A48" s="5" t="s">
        <v>596</v>
      </c>
      <c r="B48" s="5" t="s">
        <v>597</v>
      </c>
      <c r="C48" s="5"/>
      <c r="D48" s="5" t="s">
        <v>118</v>
      </c>
      <c r="E48" s="5" t="s">
        <v>121</v>
      </c>
      <c r="F48" s="5" t="str">
        <f>HYPERLINK("https://github.com/ruirangerfan/stereo_pothole_datasets","Dataset")</f>
        <v>Dataset</v>
      </c>
      <c r="G48" s="6"/>
      <c r="H48" s="10"/>
      <c r="I48" s="6"/>
      <c r="J48" s="6"/>
      <c r="K48" s="6"/>
      <c r="L48" s="6"/>
      <c r="M48" s="6"/>
      <c r="N48" s="6"/>
      <c r="O48" s="6"/>
      <c r="P48" s="6"/>
      <c r="Q48" s="6"/>
      <c r="R48" s="6"/>
      <c r="S48" s="6"/>
      <c r="T48" s="6"/>
      <c r="U48" s="6"/>
      <c r="V48" s="6"/>
      <c r="W48" s="6"/>
      <c r="X48" s="6"/>
      <c r="Y48" s="6"/>
      <c r="Z48" s="6"/>
      <c r="AA48" s="6"/>
      <c r="AB48" s="6"/>
      <c r="AC48" s="6"/>
      <c r="AD48" s="6"/>
      <c r="AE48" s="6"/>
      <c r="AF48" s="6"/>
      <c r="AG48" s="6"/>
      <c r="AH48" s="5" t="str">
        <f>IF(COUNTA(K48:Z48)=0,"Not started",IF(OR(G48="",NOT(ISNUMBER(H48)),I48&lt;&gt;"Confirmed"),"Reviewer / date / release needed",IF(COUNTIFS(MCDM_Checks!$B$6:$B$3733,A48,MCDM_Checks!$J$6:$J$3733,"Evidence needed")&gt;0,"Check evidence needed",IF(COUNTIFS(MCDM_Checks!$B$6:$B$3733,A48,MCDM_Checks!$J$6:$J$3733,"Human valid")=IF(D48="Unlabeled-13",13,16),"Core review recorded","Core review incomplete"))))</f>
        <v>Not started</v>
      </c>
      <c r="AI48" s="5" t="str">
        <f>HYPERLINK("#'MCDM_Checks'!A"&amp;(MATCH("DS-043",MCDM_Checks!$B$6:$B$3733,0)+5),"Check evidence")</f>
        <v>Check evidence</v>
      </c>
    </row>
    <row r="49" spans="1:35" ht="25.5">
      <c r="A49" s="5" t="s">
        <v>606</v>
      </c>
      <c r="B49" s="5" t="s">
        <v>607</v>
      </c>
      <c r="C49" s="5"/>
      <c r="D49" s="5" t="s">
        <v>118</v>
      </c>
      <c r="E49" s="5" t="s">
        <v>608</v>
      </c>
      <c r="F49" s="5" t="str">
        <f>HYPERLINK("https://data.mendeley.com/datasets/gsbmknrhkv/6","Dataset")</f>
        <v>Dataset</v>
      </c>
      <c r="G49" s="6"/>
      <c r="H49" s="10"/>
      <c r="I49" s="6"/>
      <c r="J49" s="6"/>
      <c r="K49" s="6"/>
      <c r="L49" s="6"/>
      <c r="M49" s="6"/>
      <c r="N49" s="6"/>
      <c r="O49" s="6"/>
      <c r="P49" s="6"/>
      <c r="Q49" s="6"/>
      <c r="R49" s="6"/>
      <c r="S49" s="6"/>
      <c r="T49" s="6"/>
      <c r="U49" s="6"/>
      <c r="V49" s="6"/>
      <c r="W49" s="6"/>
      <c r="X49" s="6"/>
      <c r="Y49" s="6"/>
      <c r="Z49" s="6"/>
      <c r="AA49" s="6"/>
      <c r="AB49" s="6"/>
      <c r="AC49" s="6"/>
      <c r="AD49" s="6"/>
      <c r="AE49" s="6"/>
      <c r="AF49" s="6"/>
      <c r="AG49" s="6"/>
      <c r="AH49" s="5" t="str">
        <f>IF(COUNTA(K49:Z49)=0,"Not started",IF(OR(G49="",NOT(ISNUMBER(H49)),I49&lt;&gt;"Confirmed"),"Reviewer / date / release needed",IF(COUNTIFS(MCDM_Checks!$B$6:$B$3733,A49,MCDM_Checks!$J$6:$J$3733,"Evidence needed")&gt;0,"Check evidence needed",IF(COUNTIFS(MCDM_Checks!$B$6:$B$3733,A49,MCDM_Checks!$J$6:$J$3733,"Human valid")=IF(D49="Unlabeled-13",13,16),"Core review recorded","Core review incomplete"))))</f>
        <v>Not started</v>
      </c>
      <c r="AI49" s="5" t="str">
        <f>HYPERLINK("#'MCDM_Checks'!A"&amp;(MATCH("DS-044",MCDM_Checks!$B$6:$B$3733,0)+5),"Check evidence")</f>
        <v>Check evidence</v>
      </c>
    </row>
    <row r="50" spans="1:35">
      <c r="A50" s="5" t="s">
        <v>619</v>
      </c>
      <c r="B50" s="5" t="s">
        <v>620</v>
      </c>
      <c r="C50" s="5"/>
      <c r="D50" s="5" t="s">
        <v>118</v>
      </c>
      <c r="E50" s="5" t="s">
        <v>621</v>
      </c>
      <c r="F50" s="5" t="str">
        <f>HYPERLINK("https://github.com/tantantetetao/UAPD-Pavement-Distress-Dataset","Dataset")</f>
        <v>Dataset</v>
      </c>
      <c r="G50" s="6"/>
      <c r="H50" s="10"/>
      <c r="I50" s="6"/>
      <c r="J50" s="6"/>
      <c r="K50" s="6"/>
      <c r="L50" s="6"/>
      <c r="M50" s="6"/>
      <c r="N50" s="6"/>
      <c r="O50" s="6"/>
      <c r="P50" s="6"/>
      <c r="Q50" s="6"/>
      <c r="R50" s="6"/>
      <c r="S50" s="6"/>
      <c r="T50" s="6"/>
      <c r="U50" s="6"/>
      <c r="V50" s="6"/>
      <c r="W50" s="6"/>
      <c r="X50" s="6"/>
      <c r="Y50" s="6"/>
      <c r="Z50" s="6"/>
      <c r="AA50" s="6"/>
      <c r="AB50" s="6"/>
      <c r="AC50" s="6"/>
      <c r="AD50" s="6"/>
      <c r="AE50" s="6"/>
      <c r="AF50" s="6"/>
      <c r="AG50" s="6"/>
      <c r="AH50" s="5" t="str">
        <f>IF(COUNTA(K50:Z50)=0,"Not started",IF(OR(G50="",NOT(ISNUMBER(H50)),I50&lt;&gt;"Confirmed"),"Reviewer / date / release needed",IF(COUNTIFS(MCDM_Checks!$B$6:$B$3733,A50,MCDM_Checks!$J$6:$J$3733,"Evidence needed")&gt;0,"Check evidence needed",IF(COUNTIFS(MCDM_Checks!$B$6:$B$3733,A50,MCDM_Checks!$J$6:$J$3733,"Human valid")=IF(D50="Unlabeled-13",13,16),"Core review recorded","Core review incomplete"))))</f>
        <v>Not started</v>
      </c>
      <c r="AI50" s="5" t="str">
        <f>HYPERLINK("#'MCDM_Checks'!A"&amp;(MATCH("DS-045",MCDM_Checks!$B$6:$B$3733,0)+5),"Check evidence")</f>
        <v>Check evidence</v>
      </c>
    </row>
    <row r="51" spans="1:35" ht="25.5">
      <c r="A51" s="5" t="s">
        <v>630</v>
      </c>
      <c r="B51" s="5" t="s">
        <v>631</v>
      </c>
      <c r="C51" s="5"/>
      <c r="D51" s="5" t="s">
        <v>118</v>
      </c>
      <c r="E51" s="5" t="s">
        <v>632</v>
      </c>
      <c r="F51" s="5" t="str">
        <f>HYPERLINK("https://github.com/SHAN-JH/UAV-CrackX-Datasets","Dataset")</f>
        <v>Dataset</v>
      </c>
      <c r="G51" s="6"/>
      <c r="H51" s="10"/>
      <c r="I51" s="6"/>
      <c r="J51" s="6"/>
      <c r="K51" s="6"/>
      <c r="L51" s="6"/>
      <c r="M51" s="6"/>
      <c r="N51" s="6"/>
      <c r="O51" s="6"/>
      <c r="P51" s="6"/>
      <c r="Q51" s="6"/>
      <c r="R51" s="6"/>
      <c r="S51" s="6"/>
      <c r="T51" s="6"/>
      <c r="U51" s="6"/>
      <c r="V51" s="6"/>
      <c r="W51" s="6"/>
      <c r="X51" s="6"/>
      <c r="Y51" s="6"/>
      <c r="Z51" s="6"/>
      <c r="AA51" s="6"/>
      <c r="AB51" s="6"/>
      <c r="AC51" s="6"/>
      <c r="AD51" s="6"/>
      <c r="AE51" s="6"/>
      <c r="AF51" s="6"/>
      <c r="AG51" s="6"/>
      <c r="AH51" s="5" t="str">
        <f>IF(COUNTA(K51:Z51)=0,"Not started",IF(OR(G51="",NOT(ISNUMBER(H51)),I51&lt;&gt;"Confirmed"),"Reviewer / date / release needed",IF(COUNTIFS(MCDM_Checks!$B$6:$B$3733,A51,MCDM_Checks!$J$6:$J$3733,"Evidence needed")&gt;0,"Check evidence needed",IF(COUNTIFS(MCDM_Checks!$B$6:$B$3733,A51,MCDM_Checks!$J$6:$J$3733,"Human valid")=IF(D51="Unlabeled-13",13,16),"Core review recorded","Core review incomplete"))))</f>
        <v>Not started</v>
      </c>
      <c r="AI51" s="5" t="str">
        <f>HYPERLINK("#'MCDM_Checks'!A"&amp;(MATCH("DS-046",MCDM_Checks!$B$6:$B$3733,0)+5),"Check evidence")</f>
        <v>Check evidence</v>
      </c>
    </row>
    <row r="52" spans="1:35" ht="25.5">
      <c r="A52" s="5" t="s">
        <v>74</v>
      </c>
      <c r="B52" s="5" t="s">
        <v>642</v>
      </c>
      <c r="C52" s="5">
        <v>9</v>
      </c>
      <c r="D52" s="5" t="s">
        <v>118</v>
      </c>
      <c r="E52" s="5" t="s">
        <v>79</v>
      </c>
      <c r="F52" s="5" t="str">
        <f>HYPERLINK("https://infopave.fhwa.dot.gov/Data/StandardDataRelease","Dataset")</f>
        <v>Dataset</v>
      </c>
      <c r="G52" s="6"/>
      <c r="H52" s="10"/>
      <c r="I52" s="6"/>
      <c r="J52" s="6"/>
      <c r="K52" s="6"/>
      <c r="L52" s="6"/>
      <c r="M52" s="6"/>
      <c r="N52" s="6"/>
      <c r="O52" s="6"/>
      <c r="P52" s="6"/>
      <c r="Q52" s="6"/>
      <c r="R52" s="6"/>
      <c r="S52" s="6"/>
      <c r="T52" s="6"/>
      <c r="U52" s="6"/>
      <c r="V52" s="6"/>
      <c r="W52" s="6"/>
      <c r="X52" s="6"/>
      <c r="Y52" s="6"/>
      <c r="Z52" s="6"/>
      <c r="AA52" s="6"/>
      <c r="AB52" s="6"/>
      <c r="AC52" s="6"/>
      <c r="AD52" s="6"/>
      <c r="AE52" s="6"/>
      <c r="AF52" s="6"/>
      <c r="AG52" s="6"/>
      <c r="AH52" s="5" t="str">
        <f>IF(COUNTA(K52:Z52)=0,"Not started",IF(OR(G52="",NOT(ISNUMBER(H52)),I52&lt;&gt;"Confirmed"),"Reviewer / date / release needed",IF(COUNTIFS(MCDM_Checks!$B$6:$B$3733,A52,MCDM_Checks!$J$6:$J$3733,"Evidence needed")&gt;0,"Check evidence needed",IF(COUNTIFS(MCDM_Checks!$B$6:$B$3733,A52,MCDM_Checks!$J$6:$J$3733,"Human valid")=IF(D52="Unlabeled-13",13,16),"Core review recorded","Core review incomplete"))))</f>
        <v>Not started</v>
      </c>
      <c r="AI52" s="5" t="str">
        <f>HYPERLINK("#'MCDM_Checks'!A"&amp;(MATCH("DS-047",MCDM_Checks!$B$6:$B$3733,0)+5),"Check evidence")</f>
        <v>Check evidence</v>
      </c>
    </row>
    <row r="53" spans="1:35" ht="25.5">
      <c r="A53" s="5" t="s">
        <v>653</v>
      </c>
      <c r="B53" s="5" t="s">
        <v>654</v>
      </c>
      <c r="C53" s="5"/>
      <c r="D53" s="5" t="s">
        <v>118</v>
      </c>
      <c r="E53" s="5" t="s">
        <v>655</v>
      </c>
      <c r="F53" s="5" t="str">
        <f>HYPERLINK("https://infopave.fhwa.dot.gov/?Goto=NON-LTPP","Dataset")</f>
        <v>Dataset</v>
      </c>
      <c r="G53" s="6"/>
      <c r="H53" s="10"/>
      <c r="I53" s="6"/>
      <c r="J53" s="6"/>
      <c r="K53" s="6"/>
      <c r="L53" s="6"/>
      <c r="M53" s="6"/>
      <c r="N53" s="6"/>
      <c r="O53" s="6"/>
      <c r="P53" s="6"/>
      <c r="Q53" s="6"/>
      <c r="R53" s="6"/>
      <c r="S53" s="6"/>
      <c r="T53" s="6"/>
      <c r="U53" s="6"/>
      <c r="V53" s="6"/>
      <c r="W53" s="6"/>
      <c r="X53" s="6"/>
      <c r="Y53" s="6"/>
      <c r="Z53" s="6"/>
      <c r="AA53" s="6"/>
      <c r="AB53" s="6"/>
      <c r="AC53" s="6"/>
      <c r="AD53" s="6"/>
      <c r="AE53" s="6"/>
      <c r="AF53" s="6"/>
      <c r="AG53" s="6"/>
      <c r="AH53" s="5" t="str">
        <f>IF(COUNTA(K53:Z53)=0,"Not started",IF(OR(G53="",NOT(ISNUMBER(H53)),I53&lt;&gt;"Confirmed"),"Reviewer / date / release needed",IF(COUNTIFS(MCDM_Checks!$B$6:$B$3733,A53,MCDM_Checks!$J$6:$J$3733,"Evidence needed")&gt;0,"Check evidence needed",IF(COUNTIFS(MCDM_Checks!$B$6:$B$3733,A53,MCDM_Checks!$J$6:$J$3733,"Human valid")=IF(D53="Unlabeled-13",13,16),"Core review recorded","Core review incomplete"))))</f>
        <v>Not started</v>
      </c>
      <c r="AI53" s="5" t="str">
        <f>HYPERLINK("#'MCDM_Checks'!A"&amp;(MATCH("DS-048",MCDM_Checks!$B$6:$B$3733,0)+5),"Check evidence")</f>
        <v>Check evidence</v>
      </c>
    </row>
    <row r="54" spans="1:35" ht="25.5">
      <c r="A54" s="5" t="s">
        <v>662</v>
      </c>
      <c r="B54" s="5" t="s">
        <v>663</v>
      </c>
      <c r="C54" s="5"/>
      <c r="D54" s="5" t="s">
        <v>118</v>
      </c>
      <c r="E54" s="5" t="s">
        <v>664</v>
      </c>
      <c r="F54" s="5" t="str">
        <f>HYPERLINK("https://data.mendeley.com/datasets/s3k75x9zf4/2","Dataset")</f>
        <v>Dataset</v>
      </c>
      <c r="G54" s="6"/>
      <c r="H54" s="10"/>
      <c r="I54" s="6"/>
      <c r="J54" s="6"/>
      <c r="K54" s="6"/>
      <c r="L54" s="6"/>
      <c r="M54" s="6"/>
      <c r="N54" s="6"/>
      <c r="O54" s="6"/>
      <c r="P54" s="6"/>
      <c r="Q54" s="6"/>
      <c r="R54" s="6"/>
      <c r="S54" s="6"/>
      <c r="T54" s="6"/>
      <c r="U54" s="6"/>
      <c r="V54" s="6"/>
      <c r="W54" s="6"/>
      <c r="X54" s="6"/>
      <c r="Y54" s="6"/>
      <c r="Z54" s="6"/>
      <c r="AA54" s="6"/>
      <c r="AB54" s="6"/>
      <c r="AC54" s="6"/>
      <c r="AD54" s="6"/>
      <c r="AE54" s="6"/>
      <c r="AF54" s="6"/>
      <c r="AG54" s="6"/>
      <c r="AH54" s="5" t="str">
        <f>IF(COUNTA(K54:Z54)=0,"Not started",IF(OR(G54="",NOT(ISNUMBER(H54)),I54&lt;&gt;"Confirmed"),"Reviewer / date / release needed",IF(COUNTIFS(MCDM_Checks!$B$6:$B$3733,A54,MCDM_Checks!$J$6:$J$3733,"Evidence needed")&gt;0,"Check evidence needed",IF(COUNTIFS(MCDM_Checks!$B$6:$B$3733,A54,MCDM_Checks!$J$6:$J$3733,"Human valid")=IF(D54="Unlabeled-13",13,16),"Core review recorded","Core review incomplete"))))</f>
        <v>Not started</v>
      </c>
      <c r="AI54" s="5" t="str">
        <f>HYPERLINK("#'MCDM_Checks'!A"&amp;(MATCH("DS-049",MCDM_Checks!$B$6:$B$3733,0)+5),"Check evidence")</f>
        <v>Check evidence</v>
      </c>
    </row>
    <row r="55" spans="1:35" ht="25.5">
      <c r="A55" s="5" t="s">
        <v>672</v>
      </c>
      <c r="B55" s="5" t="s">
        <v>673</v>
      </c>
      <c r="C55" s="5"/>
      <c r="D55" s="5" t="s">
        <v>118</v>
      </c>
      <c r="E55" s="5" t="s">
        <v>556</v>
      </c>
      <c r="F55" s="5" t="str">
        <f>HYPERLINK("https://data.mendeley.com/datasets/7zzcmv2wz7/1","Dataset")</f>
        <v>Dataset</v>
      </c>
      <c r="G55" s="6"/>
      <c r="H55" s="10"/>
      <c r="I55" s="6"/>
      <c r="J55" s="6"/>
      <c r="K55" s="6"/>
      <c r="L55" s="6"/>
      <c r="M55" s="6"/>
      <c r="N55" s="6"/>
      <c r="O55" s="6"/>
      <c r="P55" s="6"/>
      <c r="Q55" s="6"/>
      <c r="R55" s="6"/>
      <c r="S55" s="6"/>
      <c r="T55" s="6"/>
      <c r="U55" s="6"/>
      <c r="V55" s="6"/>
      <c r="W55" s="6"/>
      <c r="X55" s="6"/>
      <c r="Y55" s="6"/>
      <c r="Z55" s="6"/>
      <c r="AA55" s="6"/>
      <c r="AB55" s="6"/>
      <c r="AC55" s="6"/>
      <c r="AD55" s="6"/>
      <c r="AE55" s="6"/>
      <c r="AF55" s="6"/>
      <c r="AG55" s="6"/>
      <c r="AH55" s="5" t="str">
        <f>IF(COUNTA(K55:Z55)=0,"Not started",IF(OR(G55="",NOT(ISNUMBER(H55)),I55&lt;&gt;"Confirmed"),"Reviewer / date / release needed",IF(COUNTIFS(MCDM_Checks!$B$6:$B$3733,A55,MCDM_Checks!$J$6:$J$3733,"Evidence needed")&gt;0,"Check evidence needed",IF(COUNTIFS(MCDM_Checks!$B$6:$B$3733,A55,MCDM_Checks!$J$6:$J$3733,"Human valid")=IF(D55="Unlabeled-13",13,16),"Core review recorded","Core review incomplete"))))</f>
        <v>Not started</v>
      </c>
      <c r="AI55" s="5" t="str">
        <f>HYPERLINK("#'MCDM_Checks'!A"&amp;(MATCH("DS-050",MCDM_Checks!$B$6:$B$3733,0)+5),"Check evidence")</f>
        <v>Check evidence</v>
      </c>
    </row>
    <row r="56" spans="1:35" ht="25.5">
      <c r="A56" s="5" t="s">
        <v>681</v>
      </c>
      <c r="B56" s="5" t="s">
        <v>682</v>
      </c>
      <c r="C56" s="5"/>
      <c r="D56" s="5" t="s">
        <v>118</v>
      </c>
      <c r="E56" s="5" t="s">
        <v>556</v>
      </c>
      <c r="F56" s="5" t="str">
        <f>HYPERLINK("https://data.mendeley.com/datasets/tp95cdvgm8/1","Dataset")</f>
        <v>Dataset</v>
      </c>
      <c r="G56" s="6"/>
      <c r="H56" s="10"/>
      <c r="I56" s="6"/>
      <c r="J56" s="6"/>
      <c r="K56" s="6"/>
      <c r="L56" s="6"/>
      <c r="M56" s="6"/>
      <c r="N56" s="6"/>
      <c r="O56" s="6"/>
      <c r="P56" s="6"/>
      <c r="Q56" s="6"/>
      <c r="R56" s="6"/>
      <c r="S56" s="6"/>
      <c r="T56" s="6"/>
      <c r="U56" s="6"/>
      <c r="V56" s="6"/>
      <c r="W56" s="6"/>
      <c r="X56" s="6"/>
      <c r="Y56" s="6"/>
      <c r="Z56" s="6"/>
      <c r="AA56" s="6"/>
      <c r="AB56" s="6"/>
      <c r="AC56" s="6"/>
      <c r="AD56" s="6"/>
      <c r="AE56" s="6"/>
      <c r="AF56" s="6"/>
      <c r="AG56" s="6"/>
      <c r="AH56" s="5" t="str">
        <f>IF(COUNTA(K56:Z56)=0,"Not started",IF(OR(G56="",NOT(ISNUMBER(H56)),I56&lt;&gt;"Confirmed"),"Reviewer / date / release needed",IF(COUNTIFS(MCDM_Checks!$B$6:$B$3733,A56,MCDM_Checks!$J$6:$J$3733,"Evidence needed")&gt;0,"Check evidence needed",IF(COUNTIFS(MCDM_Checks!$B$6:$B$3733,A56,MCDM_Checks!$J$6:$J$3733,"Human valid")=IF(D56="Unlabeled-13",13,16),"Core review recorded","Core review incomplete"))))</f>
        <v>Not started</v>
      </c>
      <c r="AI56" s="5" t="str">
        <f>HYPERLINK("#'MCDM_Checks'!A"&amp;(MATCH("DS-051",MCDM_Checks!$B$6:$B$3733,0)+5),"Check evidence")</f>
        <v>Check evidence</v>
      </c>
    </row>
    <row r="57" spans="1:35">
      <c r="A57" s="5" t="s">
        <v>691</v>
      </c>
      <c r="B57" s="5" t="s">
        <v>692</v>
      </c>
      <c r="C57" s="5"/>
      <c r="D57" s="5" t="s">
        <v>118</v>
      </c>
      <c r="E57" s="5" t="s">
        <v>664</v>
      </c>
      <c r="F57" s="5" t="str">
        <f>HYPERLINK("https://data.mendeley.com/datasets/xnzhj3x8v4/2","Dataset")</f>
        <v>Dataset</v>
      </c>
      <c r="G57" s="6"/>
      <c r="H57" s="10"/>
      <c r="I57" s="6"/>
      <c r="J57" s="6"/>
      <c r="K57" s="6"/>
      <c r="L57" s="6"/>
      <c r="M57" s="6"/>
      <c r="N57" s="6"/>
      <c r="O57" s="6"/>
      <c r="P57" s="6"/>
      <c r="Q57" s="6"/>
      <c r="R57" s="6"/>
      <c r="S57" s="6"/>
      <c r="T57" s="6"/>
      <c r="U57" s="6"/>
      <c r="V57" s="6"/>
      <c r="W57" s="6"/>
      <c r="X57" s="6"/>
      <c r="Y57" s="6"/>
      <c r="Z57" s="6"/>
      <c r="AA57" s="6"/>
      <c r="AB57" s="6"/>
      <c r="AC57" s="6"/>
      <c r="AD57" s="6"/>
      <c r="AE57" s="6"/>
      <c r="AF57" s="6"/>
      <c r="AG57" s="6"/>
      <c r="AH57" s="5" t="str">
        <f>IF(COUNTA(K57:Z57)=0,"Not started",IF(OR(G57="",NOT(ISNUMBER(H57)),I57&lt;&gt;"Confirmed"),"Reviewer / date / release needed",IF(COUNTIFS(MCDM_Checks!$B$6:$B$3733,A57,MCDM_Checks!$J$6:$J$3733,"Evidence needed")&gt;0,"Check evidence needed",IF(COUNTIFS(MCDM_Checks!$B$6:$B$3733,A57,MCDM_Checks!$J$6:$J$3733,"Human valid")=IF(D57="Unlabeled-13",13,16),"Core review recorded","Core review incomplete"))))</f>
        <v>Not started</v>
      </c>
      <c r="AI57" s="5" t="str">
        <f>HYPERLINK("#'MCDM_Checks'!A"&amp;(MATCH("DS-052",MCDM_Checks!$B$6:$B$3733,0)+5),"Check evidence")</f>
        <v>Check evidence</v>
      </c>
    </row>
    <row r="58" spans="1:35">
      <c r="A58" s="5" t="s">
        <v>699</v>
      </c>
      <c r="B58" s="5" t="s">
        <v>700</v>
      </c>
      <c r="C58" s="5"/>
      <c r="D58" s="5" t="s">
        <v>118</v>
      </c>
      <c r="E58" s="5" t="s">
        <v>556</v>
      </c>
      <c r="F58" s="5" t="str">
        <f>HYPERLINK("https://data.mendeley.com/datasets/88kdyyc73h/1","Dataset")</f>
        <v>Dataset</v>
      </c>
      <c r="G58" s="6"/>
      <c r="H58" s="10"/>
      <c r="I58" s="6"/>
      <c r="J58" s="6"/>
      <c r="K58" s="6"/>
      <c r="L58" s="6"/>
      <c r="M58" s="6"/>
      <c r="N58" s="6"/>
      <c r="O58" s="6"/>
      <c r="P58" s="6"/>
      <c r="Q58" s="6"/>
      <c r="R58" s="6"/>
      <c r="S58" s="6"/>
      <c r="T58" s="6"/>
      <c r="U58" s="6"/>
      <c r="V58" s="6"/>
      <c r="W58" s="6"/>
      <c r="X58" s="6"/>
      <c r="Y58" s="6"/>
      <c r="Z58" s="6"/>
      <c r="AA58" s="6"/>
      <c r="AB58" s="6"/>
      <c r="AC58" s="6"/>
      <c r="AD58" s="6"/>
      <c r="AE58" s="6"/>
      <c r="AF58" s="6"/>
      <c r="AG58" s="6"/>
      <c r="AH58" s="5" t="str">
        <f>IF(COUNTA(K58:Z58)=0,"Not started",IF(OR(G58="",NOT(ISNUMBER(H58)),I58&lt;&gt;"Confirmed"),"Reviewer / date / release needed",IF(COUNTIFS(MCDM_Checks!$B$6:$B$3733,A58,MCDM_Checks!$J$6:$J$3733,"Evidence needed")&gt;0,"Check evidence needed",IF(COUNTIFS(MCDM_Checks!$B$6:$B$3733,A58,MCDM_Checks!$J$6:$J$3733,"Human valid")=IF(D58="Unlabeled-13",13,16),"Core review recorded","Core review incomplete"))))</f>
        <v>Not started</v>
      </c>
      <c r="AI58" s="5" t="str">
        <f>HYPERLINK("#'MCDM_Checks'!A"&amp;(MATCH("DS-053",MCDM_Checks!$B$6:$B$3733,0)+5),"Check evidence")</f>
        <v>Check evidence</v>
      </c>
    </row>
    <row r="59" spans="1:35" ht="25.5">
      <c r="A59" s="5" t="s">
        <v>708</v>
      </c>
      <c r="B59" s="5" t="s">
        <v>709</v>
      </c>
      <c r="C59" s="5"/>
      <c r="D59" s="5" t="s">
        <v>118</v>
      </c>
      <c r="E59" s="5" t="s">
        <v>556</v>
      </c>
      <c r="F59" s="5" t="str">
        <f>HYPERLINK("https://data.mendeley.com/datasets/nykrzdm74f/1","Dataset")</f>
        <v>Dataset</v>
      </c>
      <c r="G59" s="6"/>
      <c r="H59" s="10"/>
      <c r="I59" s="6"/>
      <c r="J59" s="6"/>
      <c r="K59" s="6"/>
      <c r="L59" s="6"/>
      <c r="M59" s="6"/>
      <c r="N59" s="6"/>
      <c r="O59" s="6"/>
      <c r="P59" s="6"/>
      <c r="Q59" s="6"/>
      <c r="R59" s="6"/>
      <c r="S59" s="6"/>
      <c r="T59" s="6"/>
      <c r="U59" s="6"/>
      <c r="V59" s="6"/>
      <c r="W59" s="6"/>
      <c r="X59" s="6"/>
      <c r="Y59" s="6"/>
      <c r="Z59" s="6"/>
      <c r="AA59" s="6"/>
      <c r="AB59" s="6"/>
      <c r="AC59" s="6"/>
      <c r="AD59" s="6"/>
      <c r="AE59" s="6"/>
      <c r="AF59" s="6"/>
      <c r="AG59" s="6"/>
      <c r="AH59" s="5" t="str">
        <f>IF(COUNTA(K59:Z59)=0,"Not started",IF(OR(G59="",NOT(ISNUMBER(H59)),I59&lt;&gt;"Confirmed"),"Reviewer / date / release needed",IF(COUNTIFS(MCDM_Checks!$B$6:$B$3733,A59,MCDM_Checks!$J$6:$J$3733,"Evidence needed")&gt;0,"Check evidence needed",IF(COUNTIFS(MCDM_Checks!$B$6:$B$3733,A59,MCDM_Checks!$J$6:$J$3733,"Human valid")=IF(D59="Unlabeled-13",13,16),"Core review recorded","Core review incomplete"))))</f>
        <v>Not started</v>
      </c>
      <c r="AI59" s="5" t="str">
        <f>HYPERLINK("#'MCDM_Checks'!A"&amp;(MATCH("DS-054",MCDM_Checks!$B$6:$B$3733,0)+5),"Check evidence")</f>
        <v>Check evidence</v>
      </c>
    </row>
    <row r="60" spans="1:35">
      <c r="A60" s="5" t="s">
        <v>719</v>
      </c>
      <c r="B60" s="5" t="s">
        <v>720</v>
      </c>
      <c r="C60" s="5"/>
      <c r="D60" s="5" t="s">
        <v>118</v>
      </c>
      <c r="E60" s="5" t="s">
        <v>556</v>
      </c>
      <c r="F60" s="5" t="str">
        <f>HYPERLINK("https://data.mendeley.com/datasets/rgymy6dwdd/1","Dataset")</f>
        <v>Dataset</v>
      </c>
      <c r="G60" s="6"/>
      <c r="H60" s="10"/>
      <c r="I60" s="6"/>
      <c r="J60" s="6"/>
      <c r="K60" s="6"/>
      <c r="L60" s="6"/>
      <c r="M60" s="6"/>
      <c r="N60" s="6"/>
      <c r="O60" s="6"/>
      <c r="P60" s="6"/>
      <c r="Q60" s="6"/>
      <c r="R60" s="6"/>
      <c r="S60" s="6"/>
      <c r="T60" s="6"/>
      <c r="U60" s="6"/>
      <c r="V60" s="6"/>
      <c r="W60" s="6"/>
      <c r="X60" s="6"/>
      <c r="Y60" s="6"/>
      <c r="Z60" s="6"/>
      <c r="AA60" s="6"/>
      <c r="AB60" s="6"/>
      <c r="AC60" s="6"/>
      <c r="AD60" s="6"/>
      <c r="AE60" s="6"/>
      <c r="AF60" s="6"/>
      <c r="AG60" s="6"/>
      <c r="AH60" s="5" t="str">
        <f>IF(COUNTA(K60:Z60)=0,"Not started",IF(OR(G60="",NOT(ISNUMBER(H60)),I60&lt;&gt;"Confirmed"),"Reviewer / date / release needed",IF(COUNTIFS(MCDM_Checks!$B$6:$B$3733,A60,MCDM_Checks!$J$6:$J$3733,"Evidence needed")&gt;0,"Check evidence needed",IF(COUNTIFS(MCDM_Checks!$B$6:$B$3733,A60,MCDM_Checks!$J$6:$J$3733,"Human valid")=IF(D60="Unlabeled-13",13,16),"Core review recorded","Core review incomplete"))))</f>
        <v>Not started</v>
      </c>
      <c r="AI60" s="5" t="str">
        <f>HYPERLINK("#'MCDM_Checks'!A"&amp;(MATCH("DS-055",MCDM_Checks!$B$6:$B$3733,0)+5),"Check evidence")</f>
        <v>Check evidence</v>
      </c>
    </row>
    <row r="61" spans="1:35">
      <c r="A61" s="5" t="s">
        <v>727</v>
      </c>
      <c r="B61" s="5" t="s">
        <v>728</v>
      </c>
      <c r="C61" s="5"/>
      <c r="D61" s="5" t="s">
        <v>118</v>
      </c>
      <c r="E61" s="5" t="s">
        <v>556</v>
      </c>
      <c r="F61" s="5" t="str">
        <f>HYPERLINK("https://data.mendeley.com/datasets/ktnx66vtmc/1","Dataset")</f>
        <v>Dataset</v>
      </c>
      <c r="G61" s="6"/>
      <c r="H61" s="10"/>
      <c r="I61" s="6"/>
      <c r="J61" s="6"/>
      <c r="K61" s="6"/>
      <c r="L61" s="6"/>
      <c r="M61" s="6"/>
      <c r="N61" s="6"/>
      <c r="O61" s="6"/>
      <c r="P61" s="6"/>
      <c r="Q61" s="6"/>
      <c r="R61" s="6"/>
      <c r="S61" s="6"/>
      <c r="T61" s="6"/>
      <c r="U61" s="6"/>
      <c r="V61" s="6"/>
      <c r="W61" s="6"/>
      <c r="X61" s="6"/>
      <c r="Y61" s="6"/>
      <c r="Z61" s="6"/>
      <c r="AA61" s="6"/>
      <c r="AB61" s="6"/>
      <c r="AC61" s="6"/>
      <c r="AD61" s="6"/>
      <c r="AE61" s="6"/>
      <c r="AF61" s="6"/>
      <c r="AG61" s="6"/>
      <c r="AH61" s="5" t="str">
        <f>IF(COUNTA(K61:Z61)=0,"Not started",IF(OR(G61="",NOT(ISNUMBER(H61)),I61&lt;&gt;"Confirmed"),"Reviewer / date / release needed",IF(COUNTIFS(MCDM_Checks!$B$6:$B$3733,A61,MCDM_Checks!$J$6:$J$3733,"Evidence needed")&gt;0,"Check evidence needed",IF(COUNTIFS(MCDM_Checks!$B$6:$B$3733,A61,MCDM_Checks!$J$6:$J$3733,"Human valid")=IF(D61="Unlabeled-13",13,16),"Core review recorded","Core review incomplete"))))</f>
        <v>Not started</v>
      </c>
      <c r="AI61" s="5" t="str">
        <f>HYPERLINK("#'MCDM_Checks'!A"&amp;(MATCH("DS-056",MCDM_Checks!$B$6:$B$3733,0)+5),"Check evidence")</f>
        <v>Check evidence</v>
      </c>
    </row>
    <row r="62" spans="1:35" ht="25.5">
      <c r="A62" s="5" t="s">
        <v>737</v>
      </c>
      <c r="B62" s="5" t="s">
        <v>738</v>
      </c>
      <c r="C62" s="5"/>
      <c r="D62" s="5" t="s">
        <v>118</v>
      </c>
      <c r="E62" s="5" t="s">
        <v>739</v>
      </c>
      <c r="F62" s="5" t="str">
        <f>HYPERLINK("https://data.mendeley.com/datasets/z3nx8n396g/3","Dataset")</f>
        <v>Dataset</v>
      </c>
      <c r="G62" s="6"/>
      <c r="H62" s="10"/>
      <c r="I62" s="6"/>
      <c r="J62" s="6"/>
      <c r="K62" s="6"/>
      <c r="L62" s="6"/>
      <c r="M62" s="6"/>
      <c r="N62" s="6"/>
      <c r="O62" s="6"/>
      <c r="P62" s="6"/>
      <c r="Q62" s="6"/>
      <c r="R62" s="6"/>
      <c r="S62" s="6"/>
      <c r="T62" s="6"/>
      <c r="U62" s="6"/>
      <c r="V62" s="6"/>
      <c r="W62" s="6"/>
      <c r="X62" s="6"/>
      <c r="Y62" s="6"/>
      <c r="Z62" s="6"/>
      <c r="AA62" s="6"/>
      <c r="AB62" s="6"/>
      <c r="AC62" s="6"/>
      <c r="AD62" s="6"/>
      <c r="AE62" s="6"/>
      <c r="AF62" s="6"/>
      <c r="AG62" s="6"/>
      <c r="AH62" s="5" t="str">
        <f>IF(COUNTA(K62:Z62)=0,"Not started",IF(OR(G62="",NOT(ISNUMBER(H62)),I62&lt;&gt;"Confirmed"),"Reviewer / date / release needed",IF(COUNTIFS(MCDM_Checks!$B$6:$B$3733,A62,MCDM_Checks!$J$6:$J$3733,"Evidence needed")&gt;0,"Check evidence needed",IF(COUNTIFS(MCDM_Checks!$B$6:$B$3733,A62,MCDM_Checks!$J$6:$J$3733,"Human valid")=IF(D62="Unlabeled-13",13,16),"Core review recorded","Core review incomplete"))))</f>
        <v>Not started</v>
      </c>
      <c r="AI62" s="5" t="str">
        <f>HYPERLINK("#'MCDM_Checks'!A"&amp;(MATCH("DS-057",MCDM_Checks!$B$6:$B$3733,0)+5),"Check evidence")</f>
        <v>Check evidence</v>
      </c>
    </row>
    <row r="63" spans="1:35" ht="25.5">
      <c r="A63" s="5" t="s">
        <v>749</v>
      </c>
      <c r="B63" s="5" t="s">
        <v>750</v>
      </c>
      <c r="C63" s="5"/>
      <c r="D63" s="5" t="s">
        <v>118</v>
      </c>
      <c r="E63" s="5" t="s">
        <v>556</v>
      </c>
      <c r="F63" s="5" t="str">
        <f>HYPERLINK("https://data.mendeley.com/datasets/n6cvjnx3b6/1","Dataset")</f>
        <v>Dataset</v>
      </c>
      <c r="G63" s="6"/>
      <c r="H63" s="10"/>
      <c r="I63" s="6"/>
      <c r="J63" s="6"/>
      <c r="K63" s="6"/>
      <c r="L63" s="6"/>
      <c r="M63" s="6"/>
      <c r="N63" s="6"/>
      <c r="O63" s="6"/>
      <c r="P63" s="6"/>
      <c r="Q63" s="6"/>
      <c r="R63" s="6"/>
      <c r="S63" s="6"/>
      <c r="T63" s="6"/>
      <c r="U63" s="6"/>
      <c r="V63" s="6"/>
      <c r="W63" s="6"/>
      <c r="X63" s="6"/>
      <c r="Y63" s="6"/>
      <c r="Z63" s="6"/>
      <c r="AA63" s="6"/>
      <c r="AB63" s="6"/>
      <c r="AC63" s="6"/>
      <c r="AD63" s="6"/>
      <c r="AE63" s="6"/>
      <c r="AF63" s="6"/>
      <c r="AG63" s="6"/>
      <c r="AH63" s="5" t="str">
        <f>IF(COUNTA(K63:Z63)=0,"Not started",IF(OR(G63="",NOT(ISNUMBER(H63)),I63&lt;&gt;"Confirmed"),"Reviewer / date / release needed",IF(COUNTIFS(MCDM_Checks!$B$6:$B$3733,A63,MCDM_Checks!$J$6:$J$3733,"Evidence needed")&gt;0,"Check evidence needed",IF(COUNTIFS(MCDM_Checks!$B$6:$B$3733,A63,MCDM_Checks!$J$6:$J$3733,"Human valid")=IF(D63="Unlabeled-13",13,16),"Core review recorded","Core review incomplete"))))</f>
        <v>Not started</v>
      </c>
      <c r="AI63" s="5" t="str">
        <f>HYPERLINK("#'MCDM_Checks'!A"&amp;(MATCH("DS-058",MCDM_Checks!$B$6:$B$3733,0)+5),"Check evidence")</f>
        <v>Check evidence</v>
      </c>
    </row>
    <row r="64" spans="1:35" ht="25.5">
      <c r="A64" s="5" t="s">
        <v>759</v>
      </c>
      <c r="B64" s="5" t="s">
        <v>760</v>
      </c>
      <c r="C64" s="5"/>
      <c r="D64" s="5" t="s">
        <v>118</v>
      </c>
      <c r="E64" s="5" t="s">
        <v>556</v>
      </c>
      <c r="F64" s="5" t="str">
        <f>HYPERLINK("https://data.mendeley.com/datasets/snyyfknw56/1","Dataset")</f>
        <v>Dataset</v>
      </c>
      <c r="G64" s="6"/>
      <c r="H64" s="10"/>
      <c r="I64" s="6"/>
      <c r="J64" s="6"/>
      <c r="K64" s="6"/>
      <c r="L64" s="6"/>
      <c r="M64" s="6"/>
      <c r="N64" s="6"/>
      <c r="O64" s="6"/>
      <c r="P64" s="6"/>
      <c r="Q64" s="6"/>
      <c r="R64" s="6"/>
      <c r="S64" s="6"/>
      <c r="T64" s="6"/>
      <c r="U64" s="6"/>
      <c r="V64" s="6"/>
      <c r="W64" s="6"/>
      <c r="X64" s="6"/>
      <c r="Y64" s="6"/>
      <c r="Z64" s="6"/>
      <c r="AA64" s="6"/>
      <c r="AB64" s="6"/>
      <c r="AC64" s="6"/>
      <c r="AD64" s="6"/>
      <c r="AE64" s="6"/>
      <c r="AF64" s="6"/>
      <c r="AG64" s="6"/>
      <c r="AH64" s="5" t="str">
        <f>IF(COUNTA(K64:Z64)=0,"Not started",IF(OR(G64="",NOT(ISNUMBER(H64)),I64&lt;&gt;"Confirmed"),"Reviewer / date / release needed",IF(COUNTIFS(MCDM_Checks!$B$6:$B$3733,A64,MCDM_Checks!$J$6:$J$3733,"Evidence needed")&gt;0,"Check evidence needed",IF(COUNTIFS(MCDM_Checks!$B$6:$B$3733,A64,MCDM_Checks!$J$6:$J$3733,"Human valid")=IF(D64="Unlabeled-13",13,16),"Core review recorded","Core review incomplete"))))</f>
        <v>Not started</v>
      </c>
      <c r="AI64" s="5" t="str">
        <f>HYPERLINK("#'MCDM_Checks'!A"&amp;(MATCH("DS-059",MCDM_Checks!$B$6:$B$3733,0)+5),"Check evidence")</f>
        <v>Check evidence</v>
      </c>
    </row>
    <row r="65" spans="1:35" ht="25.5">
      <c r="A65" s="5" t="s">
        <v>770</v>
      </c>
      <c r="B65" s="5" t="s">
        <v>771</v>
      </c>
      <c r="C65" s="5"/>
      <c r="D65" s="5" t="s">
        <v>118</v>
      </c>
      <c r="E65" s="5" t="s">
        <v>556</v>
      </c>
      <c r="F65" s="5" t="str">
        <f>HYPERLINK("https://data.mendeley.com/datasets/2dfyh84pdf/1","Dataset")</f>
        <v>Dataset</v>
      </c>
      <c r="G65" s="6"/>
      <c r="H65" s="10"/>
      <c r="I65" s="6"/>
      <c r="J65" s="6"/>
      <c r="K65" s="6"/>
      <c r="L65" s="6"/>
      <c r="M65" s="6"/>
      <c r="N65" s="6"/>
      <c r="O65" s="6"/>
      <c r="P65" s="6"/>
      <c r="Q65" s="6"/>
      <c r="R65" s="6"/>
      <c r="S65" s="6"/>
      <c r="T65" s="6"/>
      <c r="U65" s="6"/>
      <c r="V65" s="6"/>
      <c r="W65" s="6"/>
      <c r="X65" s="6"/>
      <c r="Y65" s="6"/>
      <c r="Z65" s="6"/>
      <c r="AA65" s="6"/>
      <c r="AB65" s="6"/>
      <c r="AC65" s="6"/>
      <c r="AD65" s="6"/>
      <c r="AE65" s="6"/>
      <c r="AF65" s="6"/>
      <c r="AG65" s="6"/>
      <c r="AH65" s="5" t="str">
        <f>IF(COUNTA(K65:Z65)=0,"Not started",IF(OR(G65="",NOT(ISNUMBER(H65)),I65&lt;&gt;"Confirmed"),"Reviewer / date / release needed",IF(COUNTIFS(MCDM_Checks!$B$6:$B$3733,A65,MCDM_Checks!$J$6:$J$3733,"Evidence needed")&gt;0,"Check evidence needed",IF(COUNTIFS(MCDM_Checks!$B$6:$B$3733,A65,MCDM_Checks!$J$6:$J$3733,"Human valid")=IF(D65="Unlabeled-13",13,16),"Core review recorded","Core review incomplete"))))</f>
        <v>Not started</v>
      </c>
      <c r="AI65" s="5" t="str">
        <f>HYPERLINK("#'MCDM_Checks'!A"&amp;(MATCH("DS-060",MCDM_Checks!$B$6:$B$3733,0)+5),"Check evidence")</f>
        <v>Check evidence</v>
      </c>
    </row>
    <row r="66" spans="1:35">
      <c r="A66" s="5" t="s">
        <v>777</v>
      </c>
      <c r="B66" s="5" t="s">
        <v>778</v>
      </c>
      <c r="C66" s="5"/>
      <c r="D66" s="5" t="s">
        <v>118</v>
      </c>
      <c r="E66" s="5" t="s">
        <v>779</v>
      </c>
      <c r="F66" s="5" t="str">
        <f>HYPERLINK("https://data.mendeley.com/datasets/429vzbgmbx/1","Dataset")</f>
        <v>Dataset</v>
      </c>
      <c r="G66" s="6"/>
      <c r="H66" s="10"/>
      <c r="I66" s="6"/>
      <c r="J66" s="6"/>
      <c r="K66" s="6"/>
      <c r="L66" s="6"/>
      <c r="M66" s="6"/>
      <c r="N66" s="6"/>
      <c r="O66" s="6"/>
      <c r="P66" s="6"/>
      <c r="Q66" s="6"/>
      <c r="R66" s="6"/>
      <c r="S66" s="6"/>
      <c r="T66" s="6"/>
      <c r="U66" s="6"/>
      <c r="V66" s="6"/>
      <c r="W66" s="6"/>
      <c r="X66" s="6"/>
      <c r="Y66" s="6"/>
      <c r="Z66" s="6"/>
      <c r="AA66" s="6"/>
      <c r="AB66" s="6"/>
      <c r="AC66" s="6"/>
      <c r="AD66" s="6"/>
      <c r="AE66" s="6"/>
      <c r="AF66" s="6"/>
      <c r="AG66" s="6"/>
      <c r="AH66" s="5" t="str">
        <f>IF(COUNTA(K66:Z66)=0,"Not started",IF(OR(G66="",NOT(ISNUMBER(H66)),I66&lt;&gt;"Confirmed"),"Reviewer / date / release needed",IF(COUNTIFS(MCDM_Checks!$B$6:$B$3733,A66,MCDM_Checks!$J$6:$J$3733,"Evidence needed")&gt;0,"Check evidence needed",IF(COUNTIFS(MCDM_Checks!$B$6:$B$3733,A66,MCDM_Checks!$J$6:$J$3733,"Human valid")=IF(D66="Unlabeled-13",13,16),"Core review recorded","Core review incomplete"))))</f>
        <v>Not started</v>
      </c>
      <c r="AI66" s="5" t="str">
        <f>HYPERLINK("#'MCDM_Checks'!A"&amp;(MATCH("DS-061",MCDM_Checks!$B$6:$B$3733,0)+5),"Check evidence")</f>
        <v>Check evidence</v>
      </c>
    </row>
    <row r="67" spans="1:35">
      <c r="A67" s="5" t="s">
        <v>792</v>
      </c>
      <c r="B67" s="5" t="s">
        <v>793</v>
      </c>
      <c r="C67" s="5"/>
      <c r="D67" s="5" t="s">
        <v>118</v>
      </c>
      <c r="E67" s="5" t="s">
        <v>556</v>
      </c>
      <c r="F67" s="5" t="str">
        <f>HYPERLINK("https://data.mendeley.com/datasets/wddt4gbttd/1","Dataset")</f>
        <v>Dataset</v>
      </c>
      <c r="G67" s="6"/>
      <c r="H67" s="10"/>
      <c r="I67" s="6"/>
      <c r="J67" s="6"/>
      <c r="K67" s="6"/>
      <c r="L67" s="6"/>
      <c r="M67" s="6"/>
      <c r="N67" s="6"/>
      <c r="O67" s="6"/>
      <c r="P67" s="6"/>
      <c r="Q67" s="6"/>
      <c r="R67" s="6"/>
      <c r="S67" s="6"/>
      <c r="T67" s="6"/>
      <c r="U67" s="6"/>
      <c r="V67" s="6"/>
      <c r="W67" s="6"/>
      <c r="X67" s="6"/>
      <c r="Y67" s="6"/>
      <c r="Z67" s="6"/>
      <c r="AA67" s="6"/>
      <c r="AB67" s="6"/>
      <c r="AC67" s="6"/>
      <c r="AD67" s="6"/>
      <c r="AE67" s="6"/>
      <c r="AF67" s="6"/>
      <c r="AG67" s="6"/>
      <c r="AH67" s="5" t="str">
        <f>IF(COUNTA(K67:Z67)=0,"Not started",IF(OR(G67="",NOT(ISNUMBER(H67)),I67&lt;&gt;"Confirmed"),"Reviewer / date / release needed",IF(COUNTIFS(MCDM_Checks!$B$6:$B$3733,A67,MCDM_Checks!$J$6:$J$3733,"Evidence needed")&gt;0,"Check evidence needed",IF(COUNTIFS(MCDM_Checks!$B$6:$B$3733,A67,MCDM_Checks!$J$6:$J$3733,"Human valid")=IF(D67="Unlabeled-13",13,16),"Core review recorded","Core review incomplete"))))</f>
        <v>Not started</v>
      </c>
      <c r="AI67" s="5" t="str">
        <f>HYPERLINK("#'MCDM_Checks'!A"&amp;(MATCH("DS-062",MCDM_Checks!$B$6:$B$3733,0)+5),"Check evidence")</f>
        <v>Check evidence</v>
      </c>
    </row>
    <row r="68" spans="1:35" ht="25.5">
      <c r="A68" s="5" t="s">
        <v>803</v>
      </c>
      <c r="B68" s="5" t="s">
        <v>804</v>
      </c>
      <c r="C68" s="5"/>
      <c r="D68" s="5" t="s">
        <v>118</v>
      </c>
      <c r="E68" s="5" t="s">
        <v>556</v>
      </c>
      <c r="F68" s="5" t="str">
        <f>HYPERLINK("https://data.mendeley.com/datasets/3v5r2fxf89/1","Dataset")</f>
        <v>Dataset</v>
      </c>
      <c r="G68" s="6"/>
      <c r="H68" s="10"/>
      <c r="I68" s="6"/>
      <c r="J68" s="6"/>
      <c r="K68" s="6"/>
      <c r="L68" s="6"/>
      <c r="M68" s="6"/>
      <c r="N68" s="6"/>
      <c r="O68" s="6"/>
      <c r="P68" s="6"/>
      <c r="Q68" s="6"/>
      <c r="R68" s="6"/>
      <c r="S68" s="6"/>
      <c r="T68" s="6"/>
      <c r="U68" s="6"/>
      <c r="V68" s="6"/>
      <c r="W68" s="6"/>
      <c r="X68" s="6"/>
      <c r="Y68" s="6"/>
      <c r="Z68" s="6"/>
      <c r="AA68" s="6"/>
      <c r="AB68" s="6"/>
      <c r="AC68" s="6"/>
      <c r="AD68" s="6"/>
      <c r="AE68" s="6"/>
      <c r="AF68" s="6"/>
      <c r="AG68" s="6"/>
      <c r="AH68" s="5" t="str">
        <f>IF(COUNTA(K68:Z68)=0,"Not started",IF(OR(G68="",NOT(ISNUMBER(H68)),I68&lt;&gt;"Confirmed"),"Reviewer / date / release needed",IF(COUNTIFS(MCDM_Checks!$B$6:$B$3733,A68,MCDM_Checks!$J$6:$J$3733,"Evidence needed")&gt;0,"Check evidence needed",IF(COUNTIFS(MCDM_Checks!$B$6:$B$3733,A68,MCDM_Checks!$J$6:$J$3733,"Human valid")=IF(D68="Unlabeled-13",13,16),"Core review recorded","Core review incomplete"))))</f>
        <v>Not started</v>
      </c>
      <c r="AI68" s="5" t="str">
        <f>HYPERLINK("#'MCDM_Checks'!A"&amp;(MATCH("DS-063",MCDM_Checks!$B$6:$B$3733,0)+5),"Check evidence")</f>
        <v>Check evidence</v>
      </c>
    </row>
    <row r="69" spans="1:35" ht="25.5">
      <c r="A69" s="5" t="s">
        <v>812</v>
      </c>
      <c r="B69" s="5" t="s">
        <v>813</v>
      </c>
      <c r="C69" s="5"/>
      <c r="D69" s="5" t="s">
        <v>118</v>
      </c>
      <c r="E69" s="5" t="s">
        <v>814</v>
      </c>
      <c r="F69" s="5" t="str">
        <f>HYPERLINK("https://data.mendeley.com/datasets/csd32bm8zx/1","Dataset")</f>
        <v>Dataset</v>
      </c>
      <c r="G69" s="6"/>
      <c r="H69" s="10"/>
      <c r="I69" s="6"/>
      <c r="J69" s="6"/>
      <c r="K69" s="6"/>
      <c r="L69" s="6"/>
      <c r="M69" s="6"/>
      <c r="N69" s="6"/>
      <c r="O69" s="6"/>
      <c r="P69" s="6"/>
      <c r="Q69" s="6"/>
      <c r="R69" s="6"/>
      <c r="S69" s="6"/>
      <c r="T69" s="6"/>
      <c r="U69" s="6"/>
      <c r="V69" s="6"/>
      <c r="W69" s="6"/>
      <c r="X69" s="6"/>
      <c r="Y69" s="6"/>
      <c r="Z69" s="6"/>
      <c r="AA69" s="6"/>
      <c r="AB69" s="6"/>
      <c r="AC69" s="6"/>
      <c r="AD69" s="6"/>
      <c r="AE69" s="6"/>
      <c r="AF69" s="6"/>
      <c r="AG69" s="6"/>
      <c r="AH69" s="5" t="str">
        <f>IF(COUNTA(K69:Z69)=0,"Not started",IF(OR(G69="",NOT(ISNUMBER(H69)),I69&lt;&gt;"Confirmed"),"Reviewer / date / release needed",IF(COUNTIFS(MCDM_Checks!$B$6:$B$3733,A69,MCDM_Checks!$J$6:$J$3733,"Evidence needed")&gt;0,"Check evidence needed",IF(COUNTIFS(MCDM_Checks!$B$6:$B$3733,A69,MCDM_Checks!$J$6:$J$3733,"Human valid")=IF(D69="Unlabeled-13",13,16),"Core review recorded","Core review incomplete"))))</f>
        <v>Not started</v>
      </c>
      <c r="AI69" s="5" t="str">
        <f>HYPERLINK("#'MCDM_Checks'!A"&amp;(MATCH("DS-064",MCDM_Checks!$B$6:$B$3733,0)+5),"Check evidence")</f>
        <v>Check evidence</v>
      </c>
    </row>
    <row r="70" spans="1:35" ht="25.5">
      <c r="A70" s="5" t="s">
        <v>824</v>
      </c>
      <c r="B70" s="5" t="s">
        <v>825</v>
      </c>
      <c r="C70" s="5"/>
      <c r="D70" s="5" t="s">
        <v>118</v>
      </c>
      <c r="E70" s="5" t="s">
        <v>826</v>
      </c>
      <c r="F70" s="5" t="str">
        <f>HYPERLINK("https://data.mendeley.com/datasets/tj2m7zz4rg/2","Dataset")</f>
        <v>Dataset</v>
      </c>
      <c r="G70" s="6"/>
      <c r="H70" s="10"/>
      <c r="I70" s="6"/>
      <c r="J70" s="6"/>
      <c r="K70" s="6"/>
      <c r="L70" s="6"/>
      <c r="M70" s="6"/>
      <c r="N70" s="6"/>
      <c r="O70" s="6"/>
      <c r="P70" s="6"/>
      <c r="Q70" s="6"/>
      <c r="R70" s="6"/>
      <c r="S70" s="6"/>
      <c r="T70" s="6"/>
      <c r="U70" s="6"/>
      <c r="V70" s="6"/>
      <c r="W70" s="6"/>
      <c r="X70" s="6"/>
      <c r="Y70" s="6"/>
      <c r="Z70" s="6"/>
      <c r="AA70" s="6"/>
      <c r="AB70" s="6"/>
      <c r="AC70" s="6"/>
      <c r="AD70" s="6"/>
      <c r="AE70" s="6"/>
      <c r="AF70" s="6"/>
      <c r="AG70" s="6"/>
      <c r="AH70" s="5" t="str">
        <f>IF(COUNTA(K70:Z70)=0,"Not started",IF(OR(G70="",NOT(ISNUMBER(H70)),I70&lt;&gt;"Confirmed"),"Reviewer / date / release needed",IF(COUNTIFS(MCDM_Checks!$B$6:$B$3733,A70,MCDM_Checks!$J$6:$J$3733,"Evidence needed")&gt;0,"Check evidence needed",IF(COUNTIFS(MCDM_Checks!$B$6:$B$3733,A70,MCDM_Checks!$J$6:$J$3733,"Human valid")=IF(D70="Unlabeled-13",13,16),"Core review recorded","Core review incomplete"))))</f>
        <v>Not started</v>
      </c>
      <c r="AI70" s="5" t="str">
        <f>HYPERLINK("#'MCDM_Checks'!A"&amp;(MATCH("DS-065",MCDM_Checks!$B$6:$B$3733,0)+5),"Check evidence")</f>
        <v>Check evidence</v>
      </c>
    </row>
    <row r="71" spans="1:35" ht="25.5">
      <c r="A71" s="5" t="s">
        <v>837</v>
      </c>
      <c r="B71" s="5" t="s">
        <v>838</v>
      </c>
      <c r="C71" s="5"/>
      <c r="D71" s="5" t="s">
        <v>118</v>
      </c>
      <c r="E71" s="5" t="s">
        <v>556</v>
      </c>
      <c r="F71" s="5" t="str">
        <f>HYPERLINK("https://data.mendeley.com/datasets/7wr6hxk54h/1","Dataset")</f>
        <v>Dataset</v>
      </c>
      <c r="G71" s="6"/>
      <c r="H71" s="10"/>
      <c r="I71" s="6"/>
      <c r="J71" s="6"/>
      <c r="K71" s="6"/>
      <c r="L71" s="6"/>
      <c r="M71" s="6"/>
      <c r="N71" s="6"/>
      <c r="O71" s="6"/>
      <c r="P71" s="6"/>
      <c r="Q71" s="6"/>
      <c r="R71" s="6"/>
      <c r="S71" s="6"/>
      <c r="T71" s="6"/>
      <c r="U71" s="6"/>
      <c r="V71" s="6"/>
      <c r="W71" s="6"/>
      <c r="X71" s="6"/>
      <c r="Y71" s="6"/>
      <c r="Z71" s="6"/>
      <c r="AA71" s="6"/>
      <c r="AB71" s="6"/>
      <c r="AC71" s="6"/>
      <c r="AD71" s="6"/>
      <c r="AE71" s="6"/>
      <c r="AF71" s="6"/>
      <c r="AG71" s="6"/>
      <c r="AH71" s="5" t="str">
        <f>IF(COUNTA(K71:Z71)=0,"Not started",IF(OR(G71="",NOT(ISNUMBER(H71)),I71&lt;&gt;"Confirmed"),"Reviewer / date / release needed",IF(COUNTIFS(MCDM_Checks!$B$6:$B$3733,A71,MCDM_Checks!$J$6:$J$3733,"Evidence needed")&gt;0,"Check evidence needed",IF(COUNTIFS(MCDM_Checks!$B$6:$B$3733,A71,MCDM_Checks!$J$6:$J$3733,"Human valid")=IF(D71="Unlabeled-13",13,16),"Core review recorded","Core review incomplete"))))</f>
        <v>Not started</v>
      </c>
      <c r="AI71" s="5" t="str">
        <f>HYPERLINK("#'MCDM_Checks'!A"&amp;(MATCH("DS-066",MCDM_Checks!$B$6:$B$3733,0)+5),"Check evidence")</f>
        <v>Check evidence</v>
      </c>
    </row>
    <row r="72" spans="1:35" ht="25.5">
      <c r="A72" s="5" t="s">
        <v>847</v>
      </c>
      <c r="B72" s="5" t="s">
        <v>848</v>
      </c>
      <c r="C72" s="5"/>
      <c r="D72" s="5" t="s">
        <v>118</v>
      </c>
      <c r="E72" s="5" t="s">
        <v>556</v>
      </c>
      <c r="F72" s="5" t="str">
        <f>HYPERLINK("https://data.mendeley.com/datasets/sywswj7djj/1","Dataset")</f>
        <v>Dataset</v>
      </c>
      <c r="G72" s="6"/>
      <c r="H72" s="10"/>
      <c r="I72" s="6"/>
      <c r="J72" s="6"/>
      <c r="K72" s="6"/>
      <c r="L72" s="6"/>
      <c r="M72" s="6"/>
      <c r="N72" s="6"/>
      <c r="O72" s="6"/>
      <c r="P72" s="6"/>
      <c r="Q72" s="6"/>
      <c r="R72" s="6"/>
      <c r="S72" s="6"/>
      <c r="T72" s="6"/>
      <c r="U72" s="6"/>
      <c r="V72" s="6"/>
      <c r="W72" s="6"/>
      <c r="X72" s="6"/>
      <c r="Y72" s="6"/>
      <c r="Z72" s="6"/>
      <c r="AA72" s="6"/>
      <c r="AB72" s="6"/>
      <c r="AC72" s="6"/>
      <c r="AD72" s="6"/>
      <c r="AE72" s="6"/>
      <c r="AF72" s="6"/>
      <c r="AG72" s="6"/>
      <c r="AH72" s="5" t="str">
        <f>IF(COUNTA(K72:Z72)=0,"Not started",IF(OR(G72="",NOT(ISNUMBER(H72)),I72&lt;&gt;"Confirmed"),"Reviewer / date / release needed",IF(COUNTIFS(MCDM_Checks!$B$6:$B$3733,A72,MCDM_Checks!$J$6:$J$3733,"Evidence needed")&gt;0,"Check evidence needed",IF(COUNTIFS(MCDM_Checks!$B$6:$B$3733,A72,MCDM_Checks!$J$6:$J$3733,"Human valid")=IF(D72="Unlabeled-13",13,16),"Core review recorded","Core review incomplete"))))</f>
        <v>Not started</v>
      </c>
      <c r="AI72" s="5" t="str">
        <f>HYPERLINK("#'MCDM_Checks'!A"&amp;(MATCH("DS-067",MCDM_Checks!$B$6:$B$3733,0)+5),"Check evidence")</f>
        <v>Check evidence</v>
      </c>
    </row>
    <row r="73" spans="1:35" ht="25.5">
      <c r="A73" s="5" t="s">
        <v>858</v>
      </c>
      <c r="B73" s="5" t="s">
        <v>859</v>
      </c>
      <c r="C73" s="5"/>
      <c r="D73" s="5" t="s">
        <v>118</v>
      </c>
      <c r="E73" s="5" t="s">
        <v>556</v>
      </c>
      <c r="F73" s="5" t="str">
        <f>HYPERLINK("https://data.mendeley.com/datasets/ftcrvjz92c/1","Dataset")</f>
        <v>Dataset</v>
      </c>
      <c r="G73" s="6"/>
      <c r="H73" s="10"/>
      <c r="I73" s="6"/>
      <c r="J73" s="6"/>
      <c r="K73" s="6"/>
      <c r="L73" s="6"/>
      <c r="M73" s="6"/>
      <c r="N73" s="6"/>
      <c r="O73" s="6"/>
      <c r="P73" s="6"/>
      <c r="Q73" s="6"/>
      <c r="R73" s="6"/>
      <c r="S73" s="6"/>
      <c r="T73" s="6"/>
      <c r="U73" s="6"/>
      <c r="V73" s="6"/>
      <c r="W73" s="6"/>
      <c r="X73" s="6"/>
      <c r="Y73" s="6"/>
      <c r="Z73" s="6"/>
      <c r="AA73" s="6"/>
      <c r="AB73" s="6"/>
      <c r="AC73" s="6"/>
      <c r="AD73" s="6"/>
      <c r="AE73" s="6"/>
      <c r="AF73" s="6"/>
      <c r="AG73" s="6"/>
      <c r="AH73" s="5" t="str">
        <f>IF(COUNTA(K73:Z73)=0,"Not started",IF(OR(G73="",NOT(ISNUMBER(H73)),I73&lt;&gt;"Confirmed"),"Reviewer / date / release needed",IF(COUNTIFS(MCDM_Checks!$B$6:$B$3733,A73,MCDM_Checks!$J$6:$J$3733,"Evidence needed")&gt;0,"Check evidence needed",IF(COUNTIFS(MCDM_Checks!$B$6:$B$3733,A73,MCDM_Checks!$J$6:$J$3733,"Human valid")=IF(D73="Unlabeled-13",13,16),"Core review recorded","Core review incomplete"))))</f>
        <v>Not started</v>
      </c>
      <c r="AI73" s="5" t="str">
        <f>HYPERLINK("#'MCDM_Checks'!A"&amp;(MATCH("DS-068",MCDM_Checks!$B$6:$B$3733,0)+5),"Check evidence")</f>
        <v>Check evidence</v>
      </c>
    </row>
    <row r="74" spans="1:35">
      <c r="A74" s="5" t="s">
        <v>865</v>
      </c>
      <c r="B74" s="5" t="s">
        <v>866</v>
      </c>
      <c r="C74" s="5"/>
      <c r="D74" s="5" t="s">
        <v>118</v>
      </c>
      <c r="E74" s="5" t="s">
        <v>867</v>
      </c>
      <c r="F74" s="5" t="str">
        <f>HYPERLINK("https://data.mendeley.com/datasets/s5hx9n2jc3/2","Dataset")</f>
        <v>Dataset</v>
      </c>
      <c r="G74" s="6"/>
      <c r="H74" s="10"/>
      <c r="I74" s="6"/>
      <c r="J74" s="6"/>
      <c r="K74" s="6"/>
      <c r="L74" s="6"/>
      <c r="M74" s="6"/>
      <c r="N74" s="6"/>
      <c r="O74" s="6"/>
      <c r="P74" s="6"/>
      <c r="Q74" s="6"/>
      <c r="R74" s="6"/>
      <c r="S74" s="6"/>
      <c r="T74" s="6"/>
      <c r="U74" s="6"/>
      <c r="V74" s="6"/>
      <c r="W74" s="6"/>
      <c r="X74" s="6"/>
      <c r="Y74" s="6"/>
      <c r="Z74" s="6"/>
      <c r="AA74" s="6"/>
      <c r="AB74" s="6"/>
      <c r="AC74" s="6"/>
      <c r="AD74" s="6"/>
      <c r="AE74" s="6"/>
      <c r="AF74" s="6"/>
      <c r="AG74" s="6"/>
      <c r="AH74" s="5" t="str">
        <f>IF(COUNTA(K74:Z74)=0,"Not started",IF(OR(G74="",NOT(ISNUMBER(H74)),I74&lt;&gt;"Confirmed"),"Reviewer / date / release needed",IF(COUNTIFS(MCDM_Checks!$B$6:$B$3733,A74,MCDM_Checks!$J$6:$J$3733,"Evidence needed")&gt;0,"Check evidence needed",IF(COUNTIFS(MCDM_Checks!$B$6:$B$3733,A74,MCDM_Checks!$J$6:$J$3733,"Human valid")=IF(D74="Unlabeled-13",13,16),"Core review recorded","Core review incomplete"))))</f>
        <v>Not started</v>
      </c>
      <c r="AI74" s="5" t="str">
        <f>HYPERLINK("#'MCDM_Checks'!A"&amp;(MATCH("DS-069",MCDM_Checks!$B$6:$B$3733,0)+5),"Check evidence")</f>
        <v>Check evidence</v>
      </c>
    </row>
    <row r="75" spans="1:35" ht="25.5">
      <c r="A75" s="5" t="s">
        <v>876</v>
      </c>
      <c r="B75" s="5" t="s">
        <v>877</v>
      </c>
      <c r="C75" s="5"/>
      <c r="D75" s="5" t="s">
        <v>118</v>
      </c>
      <c r="E75" s="5" t="s">
        <v>664</v>
      </c>
      <c r="F75" s="5" t="str">
        <f>HYPERLINK("https://data.mendeley.com/datasets/697w4jkr2x/2","Dataset")</f>
        <v>Dataset</v>
      </c>
      <c r="G75" s="6"/>
      <c r="H75" s="10"/>
      <c r="I75" s="6"/>
      <c r="J75" s="6"/>
      <c r="K75" s="6"/>
      <c r="L75" s="6"/>
      <c r="M75" s="6"/>
      <c r="N75" s="6"/>
      <c r="O75" s="6"/>
      <c r="P75" s="6"/>
      <c r="Q75" s="6"/>
      <c r="R75" s="6"/>
      <c r="S75" s="6"/>
      <c r="T75" s="6"/>
      <c r="U75" s="6"/>
      <c r="V75" s="6"/>
      <c r="W75" s="6"/>
      <c r="X75" s="6"/>
      <c r="Y75" s="6"/>
      <c r="Z75" s="6"/>
      <c r="AA75" s="6"/>
      <c r="AB75" s="6"/>
      <c r="AC75" s="6"/>
      <c r="AD75" s="6"/>
      <c r="AE75" s="6"/>
      <c r="AF75" s="6"/>
      <c r="AG75" s="6"/>
      <c r="AH75" s="5" t="str">
        <f>IF(COUNTA(K75:Z75)=0,"Not started",IF(OR(G75="",NOT(ISNUMBER(H75)),I75&lt;&gt;"Confirmed"),"Reviewer / date / release needed",IF(COUNTIFS(MCDM_Checks!$B$6:$B$3733,A75,MCDM_Checks!$J$6:$J$3733,"Evidence needed")&gt;0,"Check evidence needed",IF(COUNTIFS(MCDM_Checks!$B$6:$B$3733,A75,MCDM_Checks!$J$6:$J$3733,"Human valid")=IF(D75="Unlabeled-13",13,16),"Core review recorded","Core review incomplete"))))</f>
        <v>Not started</v>
      </c>
      <c r="AI75" s="5" t="str">
        <f>HYPERLINK("#'MCDM_Checks'!A"&amp;(MATCH("DS-070",MCDM_Checks!$B$6:$B$3733,0)+5),"Check evidence")</f>
        <v>Check evidence</v>
      </c>
    </row>
    <row r="76" spans="1:35" ht="25.5">
      <c r="A76" s="5" t="s">
        <v>883</v>
      </c>
      <c r="B76" s="5" t="s">
        <v>884</v>
      </c>
      <c r="C76" s="5"/>
      <c r="D76" s="5" t="s">
        <v>118</v>
      </c>
      <c r="E76" s="5" t="s">
        <v>885</v>
      </c>
      <c r="F76" s="5" t="str">
        <f>HYPERLINK("https://data.mendeley.com/datasets/zs3t38sxds/1","Dataset")</f>
        <v>Dataset</v>
      </c>
      <c r="G76" s="6"/>
      <c r="H76" s="10"/>
      <c r="I76" s="6"/>
      <c r="J76" s="6"/>
      <c r="K76" s="6"/>
      <c r="L76" s="6"/>
      <c r="M76" s="6"/>
      <c r="N76" s="6"/>
      <c r="O76" s="6"/>
      <c r="P76" s="6"/>
      <c r="Q76" s="6"/>
      <c r="R76" s="6"/>
      <c r="S76" s="6"/>
      <c r="T76" s="6"/>
      <c r="U76" s="6"/>
      <c r="V76" s="6"/>
      <c r="W76" s="6"/>
      <c r="X76" s="6"/>
      <c r="Y76" s="6"/>
      <c r="Z76" s="6"/>
      <c r="AA76" s="6"/>
      <c r="AB76" s="6"/>
      <c r="AC76" s="6"/>
      <c r="AD76" s="6"/>
      <c r="AE76" s="6"/>
      <c r="AF76" s="6"/>
      <c r="AG76" s="6"/>
      <c r="AH76" s="5" t="str">
        <f>IF(COUNTA(K76:Z76)=0,"Not started",IF(OR(G76="",NOT(ISNUMBER(H76)),I76&lt;&gt;"Confirmed"),"Reviewer / date / release needed",IF(COUNTIFS(MCDM_Checks!$B$6:$B$3733,A76,MCDM_Checks!$J$6:$J$3733,"Evidence needed")&gt;0,"Check evidence needed",IF(COUNTIFS(MCDM_Checks!$B$6:$B$3733,A76,MCDM_Checks!$J$6:$J$3733,"Human valid")=IF(D76="Unlabeled-13",13,16),"Core review recorded","Core review incomplete"))))</f>
        <v>Not started</v>
      </c>
      <c r="AI76" s="5" t="str">
        <f>HYPERLINK("#'MCDM_Checks'!A"&amp;(MATCH("DS-071",MCDM_Checks!$B$6:$B$3733,0)+5),"Check evidence")</f>
        <v>Check evidence</v>
      </c>
    </row>
    <row r="77" spans="1:35">
      <c r="A77" s="5" t="s">
        <v>894</v>
      </c>
      <c r="B77" s="5" t="s">
        <v>895</v>
      </c>
      <c r="C77" s="5"/>
      <c r="D77" s="5" t="s">
        <v>118</v>
      </c>
      <c r="E77" s="5" t="s">
        <v>896</v>
      </c>
      <c r="F77" s="5" t="str">
        <f>HYPERLINK("https://data.mendeley.com/datasets/27c8pwsd6v/5","Dataset")</f>
        <v>Dataset</v>
      </c>
      <c r="G77" s="6"/>
      <c r="H77" s="10"/>
      <c r="I77" s="6"/>
      <c r="J77" s="6"/>
      <c r="K77" s="6"/>
      <c r="L77" s="6"/>
      <c r="M77" s="6"/>
      <c r="N77" s="6"/>
      <c r="O77" s="6"/>
      <c r="P77" s="6"/>
      <c r="Q77" s="6"/>
      <c r="R77" s="6"/>
      <c r="S77" s="6"/>
      <c r="T77" s="6"/>
      <c r="U77" s="6"/>
      <c r="V77" s="6"/>
      <c r="W77" s="6"/>
      <c r="X77" s="6"/>
      <c r="Y77" s="6"/>
      <c r="Z77" s="6"/>
      <c r="AA77" s="6"/>
      <c r="AB77" s="6"/>
      <c r="AC77" s="6"/>
      <c r="AD77" s="6"/>
      <c r="AE77" s="6"/>
      <c r="AF77" s="6"/>
      <c r="AG77" s="6"/>
      <c r="AH77" s="5" t="str">
        <f>IF(COUNTA(K77:Z77)=0,"Not started",IF(OR(G77="",NOT(ISNUMBER(H77)),I77&lt;&gt;"Confirmed"),"Reviewer / date / release needed",IF(COUNTIFS(MCDM_Checks!$B$6:$B$3733,A77,MCDM_Checks!$J$6:$J$3733,"Evidence needed")&gt;0,"Check evidence needed",IF(COUNTIFS(MCDM_Checks!$B$6:$B$3733,A77,MCDM_Checks!$J$6:$J$3733,"Human valid")=IF(D77="Unlabeled-13",13,16),"Core review recorded","Core review incomplete"))))</f>
        <v>Not started</v>
      </c>
      <c r="AI77" s="5" t="str">
        <f>HYPERLINK("#'MCDM_Checks'!A"&amp;(MATCH("DS-072",MCDM_Checks!$B$6:$B$3733,0)+5),"Check evidence")</f>
        <v>Check evidence</v>
      </c>
    </row>
    <row r="78" spans="1:35">
      <c r="A78" s="5" t="s">
        <v>909</v>
      </c>
      <c r="B78" s="5" t="s">
        <v>910</v>
      </c>
      <c r="C78" s="5"/>
      <c r="D78" s="5" t="s">
        <v>118</v>
      </c>
      <c r="E78" s="5" t="s">
        <v>664</v>
      </c>
      <c r="F78" s="5" t="str">
        <f>HYPERLINK("https://data.mendeley.com/datasets/6p52w7d5xd/2","Dataset")</f>
        <v>Dataset</v>
      </c>
      <c r="G78" s="6"/>
      <c r="H78" s="10"/>
      <c r="I78" s="6"/>
      <c r="J78" s="6"/>
      <c r="K78" s="6"/>
      <c r="L78" s="6"/>
      <c r="M78" s="6"/>
      <c r="N78" s="6"/>
      <c r="O78" s="6"/>
      <c r="P78" s="6"/>
      <c r="Q78" s="6"/>
      <c r="R78" s="6"/>
      <c r="S78" s="6"/>
      <c r="T78" s="6"/>
      <c r="U78" s="6"/>
      <c r="V78" s="6"/>
      <c r="W78" s="6"/>
      <c r="X78" s="6"/>
      <c r="Y78" s="6"/>
      <c r="Z78" s="6"/>
      <c r="AA78" s="6"/>
      <c r="AB78" s="6"/>
      <c r="AC78" s="6"/>
      <c r="AD78" s="6"/>
      <c r="AE78" s="6"/>
      <c r="AF78" s="6"/>
      <c r="AG78" s="6"/>
      <c r="AH78" s="5" t="str">
        <f>IF(COUNTA(K78:Z78)=0,"Not started",IF(OR(G78="",NOT(ISNUMBER(H78)),I78&lt;&gt;"Confirmed"),"Reviewer / date / release needed",IF(COUNTIFS(MCDM_Checks!$B$6:$B$3733,A78,MCDM_Checks!$J$6:$J$3733,"Evidence needed")&gt;0,"Check evidence needed",IF(COUNTIFS(MCDM_Checks!$B$6:$B$3733,A78,MCDM_Checks!$J$6:$J$3733,"Human valid")=IF(D78="Unlabeled-13",13,16),"Core review recorded","Core review incomplete"))))</f>
        <v>Not started</v>
      </c>
      <c r="AI78" s="5" t="str">
        <f>HYPERLINK("#'MCDM_Checks'!A"&amp;(MATCH("DS-073",MCDM_Checks!$B$6:$B$3733,0)+5),"Check evidence")</f>
        <v>Check evidence</v>
      </c>
    </row>
    <row r="79" spans="1:35" ht="25.5">
      <c r="A79" s="5" t="s">
        <v>920</v>
      </c>
      <c r="B79" s="5" t="s">
        <v>921</v>
      </c>
      <c r="C79" s="5"/>
      <c r="D79" s="5" t="s">
        <v>118</v>
      </c>
      <c r="E79" s="5" t="s">
        <v>556</v>
      </c>
      <c r="F79" s="5" t="str">
        <f>HYPERLINK("https://data.mendeley.com/datasets/8b27pdcxv7/1","Dataset")</f>
        <v>Dataset</v>
      </c>
      <c r="G79" s="6"/>
      <c r="H79" s="10"/>
      <c r="I79" s="6"/>
      <c r="J79" s="6"/>
      <c r="K79" s="6"/>
      <c r="L79" s="6"/>
      <c r="M79" s="6"/>
      <c r="N79" s="6"/>
      <c r="O79" s="6"/>
      <c r="P79" s="6"/>
      <c r="Q79" s="6"/>
      <c r="R79" s="6"/>
      <c r="S79" s="6"/>
      <c r="T79" s="6"/>
      <c r="U79" s="6"/>
      <c r="V79" s="6"/>
      <c r="W79" s="6"/>
      <c r="X79" s="6"/>
      <c r="Y79" s="6"/>
      <c r="Z79" s="6"/>
      <c r="AA79" s="6"/>
      <c r="AB79" s="6"/>
      <c r="AC79" s="6"/>
      <c r="AD79" s="6"/>
      <c r="AE79" s="6"/>
      <c r="AF79" s="6"/>
      <c r="AG79" s="6"/>
      <c r="AH79" s="5" t="str">
        <f>IF(COUNTA(K79:Z79)=0,"Not started",IF(OR(G79="",NOT(ISNUMBER(H79)),I79&lt;&gt;"Confirmed"),"Reviewer / date / release needed",IF(COUNTIFS(MCDM_Checks!$B$6:$B$3733,A79,MCDM_Checks!$J$6:$J$3733,"Evidence needed")&gt;0,"Check evidence needed",IF(COUNTIFS(MCDM_Checks!$B$6:$B$3733,A79,MCDM_Checks!$J$6:$J$3733,"Human valid")=IF(D79="Unlabeled-13",13,16),"Core review recorded","Core review incomplete"))))</f>
        <v>Not started</v>
      </c>
      <c r="AI79" s="5" t="str">
        <f>HYPERLINK("#'MCDM_Checks'!A"&amp;(MATCH("DS-074",MCDM_Checks!$B$6:$B$3733,0)+5),"Check evidence")</f>
        <v>Check evidence</v>
      </c>
    </row>
    <row r="80" spans="1:35" ht="25.5">
      <c r="A80" s="5" t="s">
        <v>930</v>
      </c>
      <c r="B80" s="5" t="s">
        <v>931</v>
      </c>
      <c r="C80" s="5"/>
      <c r="D80" s="5" t="s">
        <v>118</v>
      </c>
      <c r="E80" s="5" t="s">
        <v>556</v>
      </c>
      <c r="F80" s="5" t="str">
        <f>HYPERLINK("https://data.mendeley.com/datasets/f46zt2g83x/1","Dataset")</f>
        <v>Dataset</v>
      </c>
      <c r="G80" s="6"/>
      <c r="H80" s="10"/>
      <c r="I80" s="6"/>
      <c r="J80" s="6"/>
      <c r="K80" s="6"/>
      <c r="L80" s="6"/>
      <c r="M80" s="6"/>
      <c r="N80" s="6"/>
      <c r="O80" s="6"/>
      <c r="P80" s="6"/>
      <c r="Q80" s="6"/>
      <c r="R80" s="6"/>
      <c r="S80" s="6"/>
      <c r="T80" s="6"/>
      <c r="U80" s="6"/>
      <c r="V80" s="6"/>
      <c r="W80" s="6"/>
      <c r="X80" s="6"/>
      <c r="Y80" s="6"/>
      <c r="Z80" s="6"/>
      <c r="AA80" s="6"/>
      <c r="AB80" s="6"/>
      <c r="AC80" s="6"/>
      <c r="AD80" s="6"/>
      <c r="AE80" s="6"/>
      <c r="AF80" s="6"/>
      <c r="AG80" s="6"/>
      <c r="AH80" s="5" t="str">
        <f>IF(COUNTA(K80:Z80)=0,"Not started",IF(OR(G80="",NOT(ISNUMBER(H80)),I80&lt;&gt;"Confirmed"),"Reviewer / date / release needed",IF(COUNTIFS(MCDM_Checks!$B$6:$B$3733,A80,MCDM_Checks!$J$6:$J$3733,"Evidence needed")&gt;0,"Check evidence needed",IF(COUNTIFS(MCDM_Checks!$B$6:$B$3733,A80,MCDM_Checks!$J$6:$J$3733,"Human valid")=IF(D80="Unlabeled-13",13,16),"Core review recorded","Core review incomplete"))))</f>
        <v>Not started</v>
      </c>
      <c r="AI80" s="5" t="str">
        <f>HYPERLINK("#'MCDM_Checks'!A"&amp;(MATCH("DS-075",MCDM_Checks!$B$6:$B$3733,0)+5),"Check evidence")</f>
        <v>Check evidence</v>
      </c>
    </row>
    <row r="81" spans="1:35">
      <c r="A81" s="5" t="s">
        <v>940</v>
      </c>
      <c r="B81" s="5" t="s">
        <v>941</v>
      </c>
      <c r="C81" s="5"/>
      <c r="D81" s="5" t="s">
        <v>118</v>
      </c>
      <c r="E81" s="5" t="s">
        <v>556</v>
      </c>
      <c r="F81" s="5" t="str">
        <f>HYPERLINK("https://data.mendeley.com/datasets/cbm6dkvggn/1","Dataset")</f>
        <v>Dataset</v>
      </c>
      <c r="G81" s="6"/>
      <c r="H81" s="10"/>
      <c r="I81" s="6"/>
      <c r="J81" s="6"/>
      <c r="K81" s="6"/>
      <c r="L81" s="6"/>
      <c r="M81" s="6"/>
      <c r="N81" s="6"/>
      <c r="O81" s="6"/>
      <c r="P81" s="6"/>
      <c r="Q81" s="6"/>
      <c r="R81" s="6"/>
      <c r="S81" s="6"/>
      <c r="T81" s="6"/>
      <c r="U81" s="6"/>
      <c r="V81" s="6"/>
      <c r="W81" s="6"/>
      <c r="X81" s="6"/>
      <c r="Y81" s="6"/>
      <c r="Z81" s="6"/>
      <c r="AA81" s="6"/>
      <c r="AB81" s="6"/>
      <c r="AC81" s="6"/>
      <c r="AD81" s="6"/>
      <c r="AE81" s="6"/>
      <c r="AF81" s="6"/>
      <c r="AG81" s="6"/>
      <c r="AH81" s="5" t="str">
        <f>IF(COUNTA(K81:Z81)=0,"Not started",IF(OR(G81="",NOT(ISNUMBER(H81)),I81&lt;&gt;"Confirmed"),"Reviewer / date / release needed",IF(COUNTIFS(MCDM_Checks!$B$6:$B$3733,A81,MCDM_Checks!$J$6:$J$3733,"Evidence needed")&gt;0,"Check evidence needed",IF(COUNTIFS(MCDM_Checks!$B$6:$B$3733,A81,MCDM_Checks!$J$6:$J$3733,"Human valid")=IF(D81="Unlabeled-13",13,16),"Core review recorded","Core review incomplete"))))</f>
        <v>Not started</v>
      </c>
      <c r="AI81" s="5" t="str">
        <f>HYPERLINK("#'MCDM_Checks'!A"&amp;(MATCH("DS-076",MCDM_Checks!$B$6:$B$3733,0)+5),"Check evidence")</f>
        <v>Check evidence</v>
      </c>
    </row>
    <row r="82" spans="1:35">
      <c r="A82" s="5" t="s">
        <v>947</v>
      </c>
      <c r="B82" s="5" t="s">
        <v>948</v>
      </c>
      <c r="C82" s="5"/>
      <c r="D82" s="5" t="s">
        <v>118</v>
      </c>
      <c r="E82" s="5" t="s">
        <v>949</v>
      </c>
      <c r="F82" s="5" t="str">
        <f>HYPERLINK("https://data.mendeley.com/datasets/yb65trwbd8/3","Dataset")</f>
        <v>Dataset</v>
      </c>
      <c r="G82" s="6"/>
      <c r="H82" s="10"/>
      <c r="I82" s="6"/>
      <c r="J82" s="6"/>
      <c r="K82" s="6"/>
      <c r="L82" s="6"/>
      <c r="M82" s="6"/>
      <c r="N82" s="6"/>
      <c r="O82" s="6"/>
      <c r="P82" s="6"/>
      <c r="Q82" s="6"/>
      <c r="R82" s="6"/>
      <c r="S82" s="6"/>
      <c r="T82" s="6"/>
      <c r="U82" s="6"/>
      <c r="V82" s="6"/>
      <c r="W82" s="6"/>
      <c r="X82" s="6"/>
      <c r="Y82" s="6"/>
      <c r="Z82" s="6"/>
      <c r="AA82" s="6"/>
      <c r="AB82" s="6"/>
      <c r="AC82" s="6"/>
      <c r="AD82" s="6"/>
      <c r="AE82" s="6"/>
      <c r="AF82" s="6"/>
      <c r="AG82" s="6"/>
      <c r="AH82" s="5" t="str">
        <f>IF(COUNTA(K82:Z82)=0,"Not started",IF(OR(G82="",NOT(ISNUMBER(H82)),I82&lt;&gt;"Confirmed"),"Reviewer / date / release needed",IF(COUNTIFS(MCDM_Checks!$B$6:$B$3733,A82,MCDM_Checks!$J$6:$J$3733,"Evidence needed")&gt;0,"Check evidence needed",IF(COUNTIFS(MCDM_Checks!$B$6:$B$3733,A82,MCDM_Checks!$J$6:$J$3733,"Human valid")=IF(D82="Unlabeled-13",13,16),"Core review recorded","Core review incomplete"))))</f>
        <v>Not started</v>
      </c>
      <c r="AI82" s="5" t="str">
        <f>HYPERLINK("#'MCDM_Checks'!A"&amp;(MATCH("DS-077",MCDM_Checks!$B$6:$B$3733,0)+5),"Check evidence")</f>
        <v>Check evidence</v>
      </c>
    </row>
    <row r="83" spans="1:35" ht="38.25">
      <c r="A83" s="5" t="s">
        <v>958</v>
      </c>
      <c r="B83" s="5" t="s">
        <v>959</v>
      </c>
      <c r="C83" s="5"/>
      <c r="D83" s="5" t="s">
        <v>118</v>
      </c>
      <c r="E83" s="5" t="s">
        <v>556</v>
      </c>
      <c r="F83" s="5" t="str">
        <f>HYPERLINK("https://data.mendeley.com/datasets/fgtjn9kjkd/1","Dataset")</f>
        <v>Dataset</v>
      </c>
      <c r="G83" s="6"/>
      <c r="H83" s="10"/>
      <c r="I83" s="6"/>
      <c r="J83" s="6"/>
      <c r="K83" s="6"/>
      <c r="L83" s="6"/>
      <c r="M83" s="6"/>
      <c r="N83" s="6"/>
      <c r="O83" s="6"/>
      <c r="P83" s="6"/>
      <c r="Q83" s="6"/>
      <c r="R83" s="6"/>
      <c r="S83" s="6"/>
      <c r="T83" s="6"/>
      <c r="U83" s="6"/>
      <c r="V83" s="6"/>
      <c r="W83" s="6"/>
      <c r="X83" s="6"/>
      <c r="Y83" s="6"/>
      <c r="Z83" s="6"/>
      <c r="AA83" s="6"/>
      <c r="AB83" s="6"/>
      <c r="AC83" s="6"/>
      <c r="AD83" s="6"/>
      <c r="AE83" s="6"/>
      <c r="AF83" s="6"/>
      <c r="AG83" s="6"/>
      <c r="AH83" s="5" t="str">
        <f>IF(COUNTA(K83:Z83)=0,"Not started",IF(OR(G83="",NOT(ISNUMBER(H83)),I83&lt;&gt;"Confirmed"),"Reviewer / date / release needed",IF(COUNTIFS(MCDM_Checks!$B$6:$B$3733,A83,MCDM_Checks!$J$6:$J$3733,"Evidence needed")&gt;0,"Check evidence needed",IF(COUNTIFS(MCDM_Checks!$B$6:$B$3733,A83,MCDM_Checks!$J$6:$J$3733,"Human valid")=IF(D83="Unlabeled-13",13,16),"Core review recorded","Core review incomplete"))))</f>
        <v>Not started</v>
      </c>
      <c r="AI83" s="5" t="str">
        <f>HYPERLINK("#'MCDM_Checks'!A"&amp;(MATCH("DS-078",MCDM_Checks!$B$6:$B$3733,0)+5),"Check evidence")</f>
        <v>Check evidence</v>
      </c>
    </row>
    <row r="84" spans="1:35">
      <c r="A84" s="5" t="s">
        <v>969</v>
      </c>
      <c r="B84" s="5" t="s">
        <v>970</v>
      </c>
      <c r="C84" s="5"/>
      <c r="D84" s="5" t="s">
        <v>118</v>
      </c>
      <c r="E84" s="5" t="s">
        <v>971</v>
      </c>
      <c r="F84" s="5" t="str">
        <f>HYPERLINK("https://data.mendeley.com/datasets/kfth5g2xk3/2","Dataset")</f>
        <v>Dataset</v>
      </c>
      <c r="G84" s="6"/>
      <c r="H84" s="10"/>
      <c r="I84" s="6"/>
      <c r="J84" s="6"/>
      <c r="K84" s="6"/>
      <c r="L84" s="6"/>
      <c r="M84" s="6"/>
      <c r="N84" s="6"/>
      <c r="O84" s="6"/>
      <c r="P84" s="6"/>
      <c r="Q84" s="6"/>
      <c r="R84" s="6"/>
      <c r="S84" s="6"/>
      <c r="T84" s="6"/>
      <c r="U84" s="6"/>
      <c r="V84" s="6"/>
      <c r="W84" s="6"/>
      <c r="X84" s="6"/>
      <c r="Y84" s="6"/>
      <c r="Z84" s="6"/>
      <c r="AA84" s="6"/>
      <c r="AB84" s="6"/>
      <c r="AC84" s="6"/>
      <c r="AD84" s="6"/>
      <c r="AE84" s="6"/>
      <c r="AF84" s="6"/>
      <c r="AG84" s="6"/>
      <c r="AH84" s="5" t="str">
        <f>IF(COUNTA(K84:Z84)=0,"Not started",IF(OR(G84="",NOT(ISNUMBER(H84)),I84&lt;&gt;"Confirmed"),"Reviewer / date / release needed",IF(COUNTIFS(MCDM_Checks!$B$6:$B$3733,A84,MCDM_Checks!$J$6:$J$3733,"Evidence needed")&gt;0,"Check evidence needed",IF(COUNTIFS(MCDM_Checks!$B$6:$B$3733,A84,MCDM_Checks!$J$6:$J$3733,"Human valid")=IF(D84="Unlabeled-13",13,16),"Core review recorded","Core review incomplete"))))</f>
        <v>Not started</v>
      </c>
      <c r="AI84" s="5" t="str">
        <f>HYPERLINK("#'MCDM_Checks'!A"&amp;(MATCH("DS-079",MCDM_Checks!$B$6:$B$3733,0)+5),"Check evidence")</f>
        <v>Check evidence</v>
      </c>
    </row>
    <row r="85" spans="1:35">
      <c r="A85" s="5" t="s">
        <v>982</v>
      </c>
      <c r="B85" s="5" t="s">
        <v>983</v>
      </c>
      <c r="C85" s="5"/>
      <c r="D85" s="5" t="s">
        <v>118</v>
      </c>
      <c r="E85" s="5" t="s">
        <v>984</v>
      </c>
      <c r="F85" s="5" t="str">
        <f>HYPERLINK("https://data.mendeley.com/datasets/5bwfg4v4cd/3","Dataset")</f>
        <v>Dataset</v>
      </c>
      <c r="G85" s="6"/>
      <c r="H85" s="10"/>
      <c r="I85" s="6"/>
      <c r="J85" s="6"/>
      <c r="K85" s="6"/>
      <c r="L85" s="6"/>
      <c r="M85" s="6"/>
      <c r="N85" s="6"/>
      <c r="O85" s="6"/>
      <c r="P85" s="6"/>
      <c r="Q85" s="6"/>
      <c r="R85" s="6"/>
      <c r="S85" s="6"/>
      <c r="T85" s="6"/>
      <c r="U85" s="6"/>
      <c r="V85" s="6"/>
      <c r="W85" s="6"/>
      <c r="X85" s="6"/>
      <c r="Y85" s="6"/>
      <c r="Z85" s="6"/>
      <c r="AA85" s="6"/>
      <c r="AB85" s="6"/>
      <c r="AC85" s="6"/>
      <c r="AD85" s="6"/>
      <c r="AE85" s="6"/>
      <c r="AF85" s="6"/>
      <c r="AG85" s="6"/>
      <c r="AH85" s="5" t="str">
        <f>IF(COUNTA(K85:Z85)=0,"Not started",IF(OR(G85="",NOT(ISNUMBER(H85)),I85&lt;&gt;"Confirmed"),"Reviewer / date / release needed",IF(COUNTIFS(MCDM_Checks!$B$6:$B$3733,A85,MCDM_Checks!$J$6:$J$3733,"Evidence needed")&gt;0,"Check evidence needed",IF(COUNTIFS(MCDM_Checks!$B$6:$B$3733,A85,MCDM_Checks!$J$6:$J$3733,"Human valid")=IF(D85="Unlabeled-13",13,16),"Core review recorded","Core review incomplete"))))</f>
        <v>Not started</v>
      </c>
      <c r="AI85" s="5" t="str">
        <f>HYPERLINK("#'MCDM_Checks'!A"&amp;(MATCH("DS-080",MCDM_Checks!$B$6:$B$3733,0)+5),"Check evidence")</f>
        <v>Check evidence</v>
      </c>
    </row>
    <row r="86" spans="1:35" ht="25.5">
      <c r="A86" s="5" t="s">
        <v>995</v>
      </c>
      <c r="B86" s="5" t="s">
        <v>996</v>
      </c>
      <c r="C86" s="5"/>
      <c r="D86" s="5" t="s">
        <v>118</v>
      </c>
      <c r="E86" s="5" t="s">
        <v>664</v>
      </c>
      <c r="F86" s="5" t="str">
        <f>HYPERLINK("https://data.mendeley.com/datasets/8wpk4c4n2m/2","Dataset")</f>
        <v>Dataset</v>
      </c>
      <c r="G86" s="6"/>
      <c r="H86" s="10"/>
      <c r="I86" s="6"/>
      <c r="J86" s="6"/>
      <c r="K86" s="6"/>
      <c r="L86" s="6"/>
      <c r="M86" s="6"/>
      <c r="N86" s="6"/>
      <c r="O86" s="6"/>
      <c r="P86" s="6"/>
      <c r="Q86" s="6"/>
      <c r="R86" s="6"/>
      <c r="S86" s="6"/>
      <c r="T86" s="6"/>
      <c r="U86" s="6"/>
      <c r="V86" s="6"/>
      <c r="W86" s="6"/>
      <c r="X86" s="6"/>
      <c r="Y86" s="6"/>
      <c r="Z86" s="6"/>
      <c r="AA86" s="6"/>
      <c r="AB86" s="6"/>
      <c r="AC86" s="6"/>
      <c r="AD86" s="6"/>
      <c r="AE86" s="6"/>
      <c r="AF86" s="6"/>
      <c r="AG86" s="6"/>
      <c r="AH86" s="5" t="str">
        <f>IF(COUNTA(K86:Z86)=0,"Not started",IF(OR(G86="",NOT(ISNUMBER(H86)),I86&lt;&gt;"Confirmed"),"Reviewer / date / release needed",IF(COUNTIFS(MCDM_Checks!$B$6:$B$3733,A86,MCDM_Checks!$J$6:$J$3733,"Evidence needed")&gt;0,"Check evidence needed",IF(COUNTIFS(MCDM_Checks!$B$6:$B$3733,A86,MCDM_Checks!$J$6:$J$3733,"Human valid")=IF(D86="Unlabeled-13",13,16),"Core review recorded","Core review incomplete"))))</f>
        <v>Not started</v>
      </c>
      <c r="AI86" s="5" t="str">
        <f>HYPERLINK("#'MCDM_Checks'!A"&amp;(MATCH("DS-081",MCDM_Checks!$B$6:$B$3733,0)+5),"Check evidence")</f>
        <v>Check evidence</v>
      </c>
    </row>
    <row r="87" spans="1:35" ht="25.5">
      <c r="A87" s="5" t="s">
        <v>1000</v>
      </c>
      <c r="B87" s="5" t="s">
        <v>1001</v>
      </c>
      <c r="C87" s="5"/>
      <c r="D87" s="5" t="s">
        <v>118</v>
      </c>
      <c r="E87" s="5" t="s">
        <v>949</v>
      </c>
      <c r="F87" s="5" t="str">
        <f>HYPERLINK("https://data.mendeley.com/datasets/ypm4h4z25c/3","Dataset")</f>
        <v>Dataset</v>
      </c>
      <c r="G87" s="6"/>
      <c r="H87" s="10"/>
      <c r="I87" s="6"/>
      <c r="J87" s="6"/>
      <c r="K87" s="6"/>
      <c r="L87" s="6"/>
      <c r="M87" s="6"/>
      <c r="N87" s="6"/>
      <c r="O87" s="6"/>
      <c r="P87" s="6"/>
      <c r="Q87" s="6"/>
      <c r="R87" s="6"/>
      <c r="S87" s="6"/>
      <c r="T87" s="6"/>
      <c r="U87" s="6"/>
      <c r="V87" s="6"/>
      <c r="W87" s="6"/>
      <c r="X87" s="6"/>
      <c r="Y87" s="6"/>
      <c r="Z87" s="6"/>
      <c r="AA87" s="6"/>
      <c r="AB87" s="6"/>
      <c r="AC87" s="6"/>
      <c r="AD87" s="6"/>
      <c r="AE87" s="6"/>
      <c r="AF87" s="6"/>
      <c r="AG87" s="6"/>
      <c r="AH87" s="5" t="str">
        <f>IF(COUNTA(K87:Z87)=0,"Not started",IF(OR(G87="",NOT(ISNUMBER(H87)),I87&lt;&gt;"Confirmed"),"Reviewer / date / release needed",IF(COUNTIFS(MCDM_Checks!$B$6:$B$3733,A87,MCDM_Checks!$J$6:$J$3733,"Evidence needed")&gt;0,"Check evidence needed",IF(COUNTIFS(MCDM_Checks!$B$6:$B$3733,A87,MCDM_Checks!$J$6:$J$3733,"Human valid")=IF(D87="Unlabeled-13",13,16),"Core review recorded","Core review incomplete"))))</f>
        <v>Not started</v>
      </c>
      <c r="AI87" s="5" t="str">
        <f>HYPERLINK("#'MCDM_Checks'!A"&amp;(MATCH("DS-082",MCDM_Checks!$B$6:$B$3733,0)+5),"Check evidence")</f>
        <v>Check evidence</v>
      </c>
    </row>
    <row r="88" spans="1:35" ht="25.5">
      <c r="A88" s="5" t="s">
        <v>1009</v>
      </c>
      <c r="B88" s="5" t="s">
        <v>1010</v>
      </c>
      <c r="C88" s="5"/>
      <c r="D88" s="5" t="s">
        <v>118</v>
      </c>
      <c r="E88" s="5" t="s">
        <v>556</v>
      </c>
      <c r="F88" s="5" t="str">
        <f>HYPERLINK("https://data.mendeley.com/datasets/745n5wnt7v/1","Dataset")</f>
        <v>Dataset</v>
      </c>
      <c r="G88" s="6"/>
      <c r="H88" s="10"/>
      <c r="I88" s="6"/>
      <c r="J88" s="6"/>
      <c r="K88" s="6"/>
      <c r="L88" s="6"/>
      <c r="M88" s="6"/>
      <c r="N88" s="6"/>
      <c r="O88" s="6"/>
      <c r="P88" s="6"/>
      <c r="Q88" s="6"/>
      <c r="R88" s="6"/>
      <c r="S88" s="6"/>
      <c r="T88" s="6"/>
      <c r="U88" s="6"/>
      <c r="V88" s="6"/>
      <c r="W88" s="6"/>
      <c r="X88" s="6"/>
      <c r="Y88" s="6"/>
      <c r="Z88" s="6"/>
      <c r="AA88" s="6"/>
      <c r="AB88" s="6"/>
      <c r="AC88" s="6"/>
      <c r="AD88" s="6"/>
      <c r="AE88" s="6"/>
      <c r="AF88" s="6"/>
      <c r="AG88" s="6"/>
      <c r="AH88" s="5" t="str">
        <f>IF(COUNTA(K88:Z88)=0,"Not started",IF(OR(G88="",NOT(ISNUMBER(H88)),I88&lt;&gt;"Confirmed"),"Reviewer / date / release needed",IF(COUNTIFS(MCDM_Checks!$B$6:$B$3733,A88,MCDM_Checks!$J$6:$J$3733,"Evidence needed")&gt;0,"Check evidence needed",IF(COUNTIFS(MCDM_Checks!$B$6:$B$3733,A88,MCDM_Checks!$J$6:$J$3733,"Human valid")=IF(D88="Unlabeled-13",13,16),"Core review recorded","Core review incomplete"))))</f>
        <v>Not started</v>
      </c>
      <c r="AI88" s="5" t="str">
        <f>HYPERLINK("#'MCDM_Checks'!A"&amp;(MATCH("DS-083",MCDM_Checks!$B$6:$B$3733,0)+5),"Check evidence")</f>
        <v>Check evidence</v>
      </c>
    </row>
    <row r="89" spans="1:35" ht="25.5">
      <c r="A89" s="5" t="s">
        <v>18</v>
      </c>
      <c r="B89" s="5" t="s">
        <v>1020</v>
      </c>
      <c r="C89" s="5">
        <v>1</v>
      </c>
      <c r="D89" s="5" t="s">
        <v>118</v>
      </c>
      <c r="E89" s="5" t="s">
        <v>23</v>
      </c>
      <c r="F89" s="5" t="str">
        <f>HYPERLINK("https://digitalcommons.usu.edu/all_datasets/48/","Dataset")</f>
        <v>Dataset</v>
      </c>
      <c r="G89" s="6"/>
      <c r="H89" s="10"/>
      <c r="I89" s="6"/>
      <c r="J89" s="6"/>
      <c r="K89" s="6"/>
      <c r="L89" s="6"/>
      <c r="M89" s="6"/>
      <c r="N89" s="6"/>
      <c r="O89" s="6"/>
      <c r="P89" s="6"/>
      <c r="Q89" s="6"/>
      <c r="R89" s="6"/>
      <c r="S89" s="6"/>
      <c r="T89" s="6"/>
      <c r="U89" s="6"/>
      <c r="V89" s="6"/>
      <c r="W89" s="6"/>
      <c r="X89" s="6"/>
      <c r="Y89" s="6"/>
      <c r="Z89" s="6"/>
      <c r="AA89" s="6"/>
      <c r="AB89" s="6"/>
      <c r="AC89" s="6"/>
      <c r="AD89" s="6"/>
      <c r="AE89" s="6"/>
      <c r="AF89" s="6"/>
      <c r="AG89" s="6"/>
      <c r="AH89" s="5" t="str">
        <f>IF(COUNTA(K89:Z89)=0,"Not started",IF(OR(G89="",NOT(ISNUMBER(H89)),I89&lt;&gt;"Confirmed"),"Reviewer / date / release needed",IF(COUNTIFS(MCDM_Checks!$B$6:$B$3733,A89,MCDM_Checks!$J$6:$J$3733,"Evidence needed")&gt;0,"Check evidence needed",IF(COUNTIFS(MCDM_Checks!$B$6:$B$3733,A89,MCDM_Checks!$J$6:$J$3733,"Human valid")=IF(D89="Unlabeled-13",13,16),"Core review recorded","Core review incomplete"))))</f>
        <v>Not started</v>
      </c>
      <c r="AI89" s="5" t="str">
        <f>HYPERLINK("#'MCDM_Checks'!A"&amp;(MATCH("DS-084",MCDM_Checks!$B$6:$B$3733,0)+5),"Check evidence")</f>
        <v>Check evidence</v>
      </c>
    </row>
    <row r="90" spans="1:35">
      <c r="A90" s="5" t="s">
        <v>1033</v>
      </c>
      <c r="B90" s="5" t="s">
        <v>1034</v>
      </c>
      <c r="C90" s="5"/>
      <c r="D90" s="5" t="s">
        <v>118</v>
      </c>
      <c r="E90" s="5" t="s">
        <v>556</v>
      </c>
      <c r="F90" s="5" t="str">
        <f>HYPERLINK("https://data.mendeley.com/datasets/gd5t95rv5t/1","Dataset")</f>
        <v>Dataset</v>
      </c>
      <c r="G90" s="6"/>
      <c r="H90" s="10"/>
      <c r="I90" s="6"/>
      <c r="J90" s="6"/>
      <c r="K90" s="6"/>
      <c r="L90" s="6"/>
      <c r="M90" s="6"/>
      <c r="N90" s="6"/>
      <c r="O90" s="6"/>
      <c r="P90" s="6"/>
      <c r="Q90" s="6"/>
      <c r="R90" s="6"/>
      <c r="S90" s="6"/>
      <c r="T90" s="6"/>
      <c r="U90" s="6"/>
      <c r="V90" s="6"/>
      <c r="W90" s="6"/>
      <c r="X90" s="6"/>
      <c r="Y90" s="6"/>
      <c r="Z90" s="6"/>
      <c r="AA90" s="6"/>
      <c r="AB90" s="6"/>
      <c r="AC90" s="6"/>
      <c r="AD90" s="6"/>
      <c r="AE90" s="6"/>
      <c r="AF90" s="6"/>
      <c r="AG90" s="6"/>
      <c r="AH90" s="5" t="str">
        <f>IF(COUNTA(K90:Z90)=0,"Not started",IF(OR(G90="",NOT(ISNUMBER(H90)),I90&lt;&gt;"Confirmed"),"Reviewer / date / release needed",IF(COUNTIFS(MCDM_Checks!$B$6:$B$3733,A90,MCDM_Checks!$J$6:$J$3733,"Evidence needed")&gt;0,"Check evidence needed",IF(COUNTIFS(MCDM_Checks!$B$6:$B$3733,A90,MCDM_Checks!$J$6:$J$3733,"Human valid")=IF(D90="Unlabeled-13",13,16),"Core review recorded","Core review incomplete"))))</f>
        <v>Not started</v>
      </c>
      <c r="AI90" s="5" t="str">
        <f>HYPERLINK("#'MCDM_Checks'!A"&amp;(MATCH("DS-085",MCDM_Checks!$B$6:$B$3733,0)+5),"Check evidence")</f>
        <v>Check evidence</v>
      </c>
    </row>
    <row r="91" spans="1:35" ht="25.5">
      <c r="A91" s="5" t="s">
        <v>1043</v>
      </c>
      <c r="B91" s="5" t="s">
        <v>1044</v>
      </c>
      <c r="C91" s="5"/>
      <c r="D91" s="5" t="s">
        <v>118</v>
      </c>
      <c r="E91" s="5" t="s">
        <v>556</v>
      </c>
      <c r="F91" s="5" t="str">
        <f>HYPERLINK("https://data.mendeley.com/datasets/c6f2b7mx9t/1","Dataset")</f>
        <v>Dataset</v>
      </c>
      <c r="G91" s="6"/>
      <c r="H91" s="10"/>
      <c r="I91" s="6"/>
      <c r="J91" s="6"/>
      <c r="K91" s="6"/>
      <c r="L91" s="6"/>
      <c r="M91" s="6"/>
      <c r="N91" s="6"/>
      <c r="O91" s="6"/>
      <c r="P91" s="6"/>
      <c r="Q91" s="6"/>
      <c r="R91" s="6"/>
      <c r="S91" s="6"/>
      <c r="T91" s="6"/>
      <c r="U91" s="6"/>
      <c r="V91" s="6"/>
      <c r="W91" s="6"/>
      <c r="X91" s="6"/>
      <c r="Y91" s="6"/>
      <c r="Z91" s="6"/>
      <c r="AA91" s="6"/>
      <c r="AB91" s="6"/>
      <c r="AC91" s="6"/>
      <c r="AD91" s="6"/>
      <c r="AE91" s="6"/>
      <c r="AF91" s="6"/>
      <c r="AG91" s="6"/>
      <c r="AH91" s="5" t="str">
        <f>IF(COUNTA(K91:Z91)=0,"Not started",IF(OR(G91="",NOT(ISNUMBER(H91)),I91&lt;&gt;"Confirmed"),"Reviewer / date / release needed",IF(COUNTIFS(MCDM_Checks!$B$6:$B$3733,A91,MCDM_Checks!$J$6:$J$3733,"Evidence needed")&gt;0,"Check evidence needed",IF(COUNTIFS(MCDM_Checks!$B$6:$B$3733,A91,MCDM_Checks!$J$6:$J$3733,"Human valid")=IF(D91="Unlabeled-13",13,16),"Core review recorded","Core review incomplete"))))</f>
        <v>Not started</v>
      </c>
      <c r="AI91" s="5" t="str">
        <f>HYPERLINK("#'MCDM_Checks'!A"&amp;(MATCH("DS-086",MCDM_Checks!$B$6:$B$3733,0)+5),"Check evidence")</f>
        <v>Check evidence</v>
      </c>
    </row>
    <row r="92" spans="1:35">
      <c r="A92" s="5" t="s">
        <v>1053</v>
      </c>
      <c r="B92" s="5" t="s">
        <v>1054</v>
      </c>
      <c r="C92" s="5"/>
      <c r="D92" s="5" t="s">
        <v>118</v>
      </c>
      <c r="E92" s="5" t="s">
        <v>1055</v>
      </c>
      <c r="F92" s="5" t="str">
        <f>HYPERLINK("https://huggingface.co/datasets/lambert1862/BLACrack","Dataset")</f>
        <v>Dataset</v>
      </c>
      <c r="G92" s="6"/>
      <c r="H92" s="10"/>
      <c r="I92" s="6"/>
      <c r="J92" s="6"/>
      <c r="K92" s="6"/>
      <c r="L92" s="6"/>
      <c r="M92" s="6"/>
      <c r="N92" s="6"/>
      <c r="O92" s="6"/>
      <c r="P92" s="6"/>
      <c r="Q92" s="6"/>
      <c r="R92" s="6"/>
      <c r="S92" s="6"/>
      <c r="T92" s="6"/>
      <c r="U92" s="6"/>
      <c r="V92" s="6"/>
      <c r="W92" s="6"/>
      <c r="X92" s="6"/>
      <c r="Y92" s="6"/>
      <c r="Z92" s="6"/>
      <c r="AA92" s="6"/>
      <c r="AB92" s="6"/>
      <c r="AC92" s="6"/>
      <c r="AD92" s="6"/>
      <c r="AE92" s="6"/>
      <c r="AF92" s="6"/>
      <c r="AG92" s="6"/>
      <c r="AH92" s="5" t="str">
        <f>IF(COUNTA(K92:Z92)=0,"Not started",IF(OR(G92="",NOT(ISNUMBER(H92)),I92&lt;&gt;"Confirmed"),"Reviewer / date / release needed",IF(COUNTIFS(MCDM_Checks!$B$6:$B$3733,A92,MCDM_Checks!$J$6:$J$3733,"Evidence needed")&gt;0,"Check evidence needed",IF(COUNTIFS(MCDM_Checks!$B$6:$B$3733,A92,MCDM_Checks!$J$6:$J$3733,"Human valid")=IF(D92="Unlabeled-13",13,16),"Core review recorded","Core review incomplete"))))</f>
        <v>Not started</v>
      </c>
      <c r="AI92" s="5" t="str">
        <f>HYPERLINK("#'MCDM_Checks'!A"&amp;(MATCH("DS-087",MCDM_Checks!$B$6:$B$3733,0)+5),"Check evidence")</f>
        <v>Check evidence</v>
      </c>
    </row>
    <row r="93" spans="1:35" ht="25.5">
      <c r="A93" s="5" t="s">
        <v>1068</v>
      </c>
      <c r="B93" s="5" t="s">
        <v>1069</v>
      </c>
      <c r="C93" s="5"/>
      <c r="D93" s="5" t="s">
        <v>118</v>
      </c>
      <c r="E93" s="5" t="s">
        <v>1070</v>
      </c>
      <c r="F93" s="5" t="str">
        <f>HYPERLINK("https://huggingface.co/datasets/Chrisathy/LCSD","Dataset")</f>
        <v>Dataset</v>
      </c>
      <c r="G93" s="6"/>
      <c r="H93" s="10"/>
      <c r="I93" s="6"/>
      <c r="J93" s="6"/>
      <c r="K93" s="6"/>
      <c r="L93" s="6"/>
      <c r="M93" s="6"/>
      <c r="N93" s="6"/>
      <c r="O93" s="6"/>
      <c r="P93" s="6"/>
      <c r="Q93" s="6"/>
      <c r="R93" s="6"/>
      <c r="S93" s="6"/>
      <c r="T93" s="6"/>
      <c r="U93" s="6"/>
      <c r="V93" s="6"/>
      <c r="W93" s="6"/>
      <c r="X93" s="6"/>
      <c r="Y93" s="6"/>
      <c r="Z93" s="6"/>
      <c r="AA93" s="6"/>
      <c r="AB93" s="6"/>
      <c r="AC93" s="6"/>
      <c r="AD93" s="6"/>
      <c r="AE93" s="6"/>
      <c r="AF93" s="6"/>
      <c r="AG93" s="6"/>
      <c r="AH93" s="5" t="str">
        <f>IF(COUNTA(K93:Z93)=0,"Not started",IF(OR(G93="",NOT(ISNUMBER(H93)),I93&lt;&gt;"Confirmed"),"Reviewer / date / release needed",IF(COUNTIFS(MCDM_Checks!$B$6:$B$3733,A93,MCDM_Checks!$J$6:$J$3733,"Evidence needed")&gt;0,"Check evidence needed",IF(COUNTIFS(MCDM_Checks!$B$6:$B$3733,A93,MCDM_Checks!$J$6:$J$3733,"Human valid")=IF(D93="Unlabeled-13",13,16),"Core review recorded","Core review incomplete"))))</f>
        <v>Not started</v>
      </c>
      <c r="AI93" s="5" t="str">
        <f>HYPERLINK("#'MCDM_Checks'!A"&amp;(MATCH("DS-088",MCDM_Checks!$B$6:$B$3733,0)+5),"Check evidence")</f>
        <v>Check evidence</v>
      </c>
    </row>
    <row r="94" spans="1:35">
      <c r="A94" s="5" t="s">
        <v>1081</v>
      </c>
      <c r="B94" s="5" t="s">
        <v>1082</v>
      </c>
      <c r="C94" s="5"/>
      <c r="D94" s="5" t="s">
        <v>118</v>
      </c>
      <c r="E94" s="5" t="s">
        <v>1083</v>
      </c>
      <c r="F94" s="5" t="str">
        <f>HYPERLINK("https://huggingface.co/datasets/Mr-Perfectuz/crack","Dataset")</f>
        <v>Dataset</v>
      </c>
      <c r="G94" s="6"/>
      <c r="H94" s="10"/>
      <c r="I94" s="6"/>
      <c r="J94" s="6"/>
      <c r="K94" s="6"/>
      <c r="L94" s="6"/>
      <c r="M94" s="6"/>
      <c r="N94" s="6"/>
      <c r="O94" s="6"/>
      <c r="P94" s="6"/>
      <c r="Q94" s="6"/>
      <c r="R94" s="6"/>
      <c r="S94" s="6"/>
      <c r="T94" s="6"/>
      <c r="U94" s="6"/>
      <c r="V94" s="6"/>
      <c r="W94" s="6"/>
      <c r="X94" s="6"/>
      <c r="Y94" s="6"/>
      <c r="Z94" s="6"/>
      <c r="AA94" s="6"/>
      <c r="AB94" s="6"/>
      <c r="AC94" s="6"/>
      <c r="AD94" s="6"/>
      <c r="AE94" s="6"/>
      <c r="AF94" s="6"/>
      <c r="AG94" s="6"/>
      <c r="AH94" s="5" t="str">
        <f>IF(COUNTA(K94:Z94)=0,"Not started",IF(OR(G94="",NOT(ISNUMBER(H94)),I94&lt;&gt;"Confirmed"),"Reviewer / date / release needed",IF(COUNTIFS(MCDM_Checks!$B$6:$B$3733,A94,MCDM_Checks!$J$6:$J$3733,"Evidence needed")&gt;0,"Check evidence needed",IF(COUNTIFS(MCDM_Checks!$B$6:$B$3733,A94,MCDM_Checks!$J$6:$J$3733,"Human valid")=IF(D94="Unlabeled-13",13,16),"Core review recorded","Core review incomplete"))))</f>
        <v>Not started</v>
      </c>
      <c r="AI94" s="5" t="str">
        <f>HYPERLINK("#'MCDM_Checks'!A"&amp;(MATCH("DS-089",MCDM_Checks!$B$6:$B$3733,0)+5),"Check evidence")</f>
        <v>Check evidence</v>
      </c>
    </row>
    <row r="95" spans="1:35">
      <c r="A95" s="5" t="s">
        <v>1090</v>
      </c>
      <c r="B95" s="5" t="s">
        <v>1091</v>
      </c>
      <c r="C95" s="5"/>
      <c r="D95" s="5" t="s">
        <v>118</v>
      </c>
      <c r="E95" s="5" t="s">
        <v>1092</v>
      </c>
      <c r="F95" s="5" t="str">
        <f>HYPERLINK("https://zenodo.org/records/17636238","Dataset")</f>
        <v>Dataset</v>
      </c>
      <c r="G95" s="6"/>
      <c r="H95" s="10"/>
      <c r="I95" s="6"/>
      <c r="J95" s="6"/>
      <c r="K95" s="6"/>
      <c r="L95" s="6"/>
      <c r="M95" s="6"/>
      <c r="N95" s="6"/>
      <c r="O95" s="6"/>
      <c r="P95" s="6"/>
      <c r="Q95" s="6"/>
      <c r="R95" s="6"/>
      <c r="S95" s="6"/>
      <c r="T95" s="6"/>
      <c r="U95" s="6"/>
      <c r="V95" s="6"/>
      <c r="W95" s="6"/>
      <c r="X95" s="6"/>
      <c r="Y95" s="6"/>
      <c r="Z95" s="6"/>
      <c r="AA95" s="6"/>
      <c r="AB95" s="6"/>
      <c r="AC95" s="6"/>
      <c r="AD95" s="6"/>
      <c r="AE95" s="6"/>
      <c r="AF95" s="6"/>
      <c r="AG95" s="6"/>
      <c r="AH95" s="5" t="str">
        <f>IF(COUNTA(K95:Z95)=0,"Not started",IF(OR(G95="",NOT(ISNUMBER(H95)),I95&lt;&gt;"Confirmed"),"Reviewer / date / release needed",IF(COUNTIFS(MCDM_Checks!$B$6:$B$3733,A95,MCDM_Checks!$J$6:$J$3733,"Evidence needed")&gt;0,"Check evidence needed",IF(COUNTIFS(MCDM_Checks!$B$6:$B$3733,A95,MCDM_Checks!$J$6:$J$3733,"Human valid")=IF(D95="Unlabeled-13",13,16),"Core review recorded","Core review incomplete"))))</f>
        <v>Not started</v>
      </c>
      <c r="AI95" s="5" t="str">
        <f>HYPERLINK("#'MCDM_Checks'!A"&amp;(MATCH("DS-090",MCDM_Checks!$B$6:$B$3733,0)+5),"Check evidence")</f>
        <v>Check evidence</v>
      </c>
    </row>
    <row r="96" spans="1:35">
      <c r="A96" s="5" t="s">
        <v>1105</v>
      </c>
      <c r="B96" s="5" t="s">
        <v>1106</v>
      </c>
      <c r="C96" s="5"/>
      <c r="D96" s="5" t="s">
        <v>118</v>
      </c>
      <c r="E96" s="5" t="s">
        <v>1107</v>
      </c>
      <c r="F96" s="5" t="str">
        <f>HYPERLINK("https://huggingface.co/datasets/fcakyon/crack-instance-segmentation","Dataset")</f>
        <v>Dataset</v>
      </c>
      <c r="G96" s="6"/>
      <c r="H96" s="10"/>
      <c r="I96" s="6"/>
      <c r="J96" s="6"/>
      <c r="K96" s="6"/>
      <c r="L96" s="6"/>
      <c r="M96" s="6"/>
      <c r="N96" s="6"/>
      <c r="O96" s="6"/>
      <c r="P96" s="6"/>
      <c r="Q96" s="6"/>
      <c r="R96" s="6"/>
      <c r="S96" s="6"/>
      <c r="T96" s="6"/>
      <c r="U96" s="6"/>
      <c r="V96" s="6"/>
      <c r="W96" s="6"/>
      <c r="X96" s="6"/>
      <c r="Y96" s="6"/>
      <c r="Z96" s="6"/>
      <c r="AA96" s="6"/>
      <c r="AB96" s="6"/>
      <c r="AC96" s="6"/>
      <c r="AD96" s="6"/>
      <c r="AE96" s="6"/>
      <c r="AF96" s="6"/>
      <c r="AG96" s="6"/>
      <c r="AH96" s="5" t="str">
        <f>IF(COUNTA(K96:Z96)=0,"Not started",IF(OR(G96="",NOT(ISNUMBER(H96)),I96&lt;&gt;"Confirmed"),"Reviewer / date / release needed",IF(COUNTIFS(MCDM_Checks!$B$6:$B$3733,A96,MCDM_Checks!$J$6:$J$3733,"Evidence needed")&gt;0,"Check evidence needed",IF(COUNTIFS(MCDM_Checks!$B$6:$B$3733,A96,MCDM_Checks!$J$6:$J$3733,"Human valid")=IF(D96="Unlabeled-13",13,16),"Core review recorded","Core review incomplete"))))</f>
        <v>Not started</v>
      </c>
      <c r="AI96" s="5" t="str">
        <f>HYPERLINK("#'MCDM_Checks'!A"&amp;(MATCH("DS-091",MCDM_Checks!$B$6:$B$3733,0)+5),"Check evidence")</f>
        <v>Check evidence</v>
      </c>
    </row>
    <row r="97" spans="1:35">
      <c r="A97" s="5" t="s">
        <v>1114</v>
      </c>
      <c r="B97" s="5" t="s">
        <v>1115</v>
      </c>
      <c r="C97" s="5"/>
      <c r="D97" s="5" t="s">
        <v>118</v>
      </c>
      <c r="E97" s="5" t="s">
        <v>1116</v>
      </c>
      <c r="F97" s="5" t="str">
        <f>HYPERLINK("https://huggingface.co/datasets/Outerview/global-potholes-dataset","Dataset")</f>
        <v>Dataset</v>
      </c>
      <c r="G97" s="6"/>
      <c r="H97" s="10"/>
      <c r="I97" s="6"/>
      <c r="J97" s="6"/>
      <c r="K97" s="6"/>
      <c r="L97" s="6"/>
      <c r="M97" s="6"/>
      <c r="N97" s="6"/>
      <c r="O97" s="6"/>
      <c r="P97" s="6"/>
      <c r="Q97" s="6"/>
      <c r="R97" s="6"/>
      <c r="S97" s="6"/>
      <c r="T97" s="6"/>
      <c r="U97" s="6"/>
      <c r="V97" s="6"/>
      <c r="W97" s="6"/>
      <c r="X97" s="6"/>
      <c r="Y97" s="6"/>
      <c r="Z97" s="6"/>
      <c r="AA97" s="6"/>
      <c r="AB97" s="6"/>
      <c r="AC97" s="6"/>
      <c r="AD97" s="6"/>
      <c r="AE97" s="6"/>
      <c r="AF97" s="6"/>
      <c r="AG97" s="6"/>
      <c r="AH97" s="5" t="str">
        <f>IF(COUNTA(K97:Z97)=0,"Not started",IF(OR(G97="",NOT(ISNUMBER(H97)),I97&lt;&gt;"Confirmed"),"Reviewer / date / release needed",IF(COUNTIFS(MCDM_Checks!$B$6:$B$3733,A97,MCDM_Checks!$J$6:$J$3733,"Evidence needed")&gt;0,"Check evidence needed",IF(COUNTIFS(MCDM_Checks!$B$6:$B$3733,A97,MCDM_Checks!$J$6:$J$3733,"Human valid")=IF(D97="Unlabeled-13",13,16),"Core review recorded","Core review incomplete"))))</f>
        <v>Not started</v>
      </c>
      <c r="AI97" s="5" t="str">
        <f>HYPERLINK("#'MCDM_Checks'!A"&amp;(MATCH("DS-092",MCDM_Checks!$B$6:$B$3733,0)+5),"Check evidence")</f>
        <v>Check evidence</v>
      </c>
    </row>
    <row r="98" spans="1:35" ht="25.5">
      <c r="A98" s="5" t="s">
        <v>1127</v>
      </c>
      <c r="B98" s="5" t="s">
        <v>1128</v>
      </c>
      <c r="C98" s="5"/>
      <c r="D98" s="5" t="s">
        <v>118</v>
      </c>
      <c r="E98" s="5" t="s">
        <v>1129</v>
      </c>
      <c r="F98" s="5" t="str">
        <f>HYPERLINK("https://huggingface.co/datasets/keremberke/pothole-segmentation","Dataset")</f>
        <v>Dataset</v>
      </c>
      <c r="G98" s="6"/>
      <c r="H98" s="10"/>
      <c r="I98" s="6"/>
      <c r="J98" s="6"/>
      <c r="K98" s="6"/>
      <c r="L98" s="6"/>
      <c r="M98" s="6"/>
      <c r="N98" s="6"/>
      <c r="O98" s="6"/>
      <c r="P98" s="6"/>
      <c r="Q98" s="6"/>
      <c r="R98" s="6"/>
      <c r="S98" s="6"/>
      <c r="T98" s="6"/>
      <c r="U98" s="6"/>
      <c r="V98" s="6"/>
      <c r="W98" s="6"/>
      <c r="X98" s="6"/>
      <c r="Y98" s="6"/>
      <c r="Z98" s="6"/>
      <c r="AA98" s="6"/>
      <c r="AB98" s="6"/>
      <c r="AC98" s="6"/>
      <c r="AD98" s="6"/>
      <c r="AE98" s="6"/>
      <c r="AF98" s="6"/>
      <c r="AG98" s="6"/>
      <c r="AH98" s="5" t="str">
        <f>IF(COUNTA(K98:Z98)=0,"Not started",IF(OR(G98="",NOT(ISNUMBER(H98)),I98&lt;&gt;"Confirmed"),"Reviewer / date / release needed",IF(COUNTIFS(MCDM_Checks!$B$6:$B$3733,A98,MCDM_Checks!$J$6:$J$3733,"Evidence needed")&gt;0,"Check evidence needed",IF(COUNTIFS(MCDM_Checks!$B$6:$B$3733,A98,MCDM_Checks!$J$6:$J$3733,"Human valid")=IF(D98="Unlabeled-13",13,16),"Core review recorded","Core review incomplete"))))</f>
        <v>Not started</v>
      </c>
      <c r="AI98" s="5" t="str">
        <f>HYPERLINK("#'MCDM_Checks'!A"&amp;(MATCH("DS-093",MCDM_Checks!$B$6:$B$3733,0)+5),"Check evidence")</f>
        <v>Check evidence</v>
      </c>
    </row>
    <row r="99" spans="1:35">
      <c r="A99" s="5" t="s">
        <v>1139</v>
      </c>
      <c r="B99" s="5" t="s">
        <v>1140</v>
      </c>
      <c r="C99" s="5"/>
      <c r="D99" s="5" t="s">
        <v>118</v>
      </c>
      <c r="E99" s="5" t="s">
        <v>1070</v>
      </c>
      <c r="F99" s="5" t="str">
        <f>HYPERLINK("https://huggingface.co/datasets/manot/pothole-segmentation2","Dataset")</f>
        <v>Dataset</v>
      </c>
      <c r="G99" s="6"/>
      <c r="H99" s="10"/>
      <c r="I99" s="6"/>
      <c r="J99" s="6"/>
      <c r="K99" s="6"/>
      <c r="L99" s="6"/>
      <c r="M99" s="6"/>
      <c r="N99" s="6"/>
      <c r="O99" s="6"/>
      <c r="P99" s="6"/>
      <c r="Q99" s="6"/>
      <c r="R99" s="6"/>
      <c r="S99" s="6"/>
      <c r="T99" s="6"/>
      <c r="U99" s="6"/>
      <c r="V99" s="6"/>
      <c r="W99" s="6"/>
      <c r="X99" s="6"/>
      <c r="Y99" s="6"/>
      <c r="Z99" s="6"/>
      <c r="AA99" s="6"/>
      <c r="AB99" s="6"/>
      <c r="AC99" s="6"/>
      <c r="AD99" s="6"/>
      <c r="AE99" s="6"/>
      <c r="AF99" s="6"/>
      <c r="AG99" s="6"/>
      <c r="AH99" s="5" t="str">
        <f>IF(COUNTA(K99:Z99)=0,"Not started",IF(OR(G99="",NOT(ISNUMBER(H99)),I99&lt;&gt;"Confirmed"),"Reviewer / date / release needed",IF(COUNTIFS(MCDM_Checks!$B$6:$B$3733,A99,MCDM_Checks!$J$6:$J$3733,"Evidence needed")&gt;0,"Check evidence needed",IF(COUNTIFS(MCDM_Checks!$B$6:$B$3733,A99,MCDM_Checks!$J$6:$J$3733,"Human valid")=IF(D99="Unlabeled-13",13,16),"Core review recorded","Core review incomplete"))))</f>
        <v>Not started</v>
      </c>
      <c r="AI99" s="5" t="str">
        <f>HYPERLINK("#'MCDM_Checks'!A"&amp;(MATCH("DS-094",MCDM_Checks!$B$6:$B$3733,0)+5),"Check evidence")</f>
        <v>Check evidence</v>
      </c>
    </row>
    <row r="100" spans="1:35">
      <c r="A100" s="5" t="s">
        <v>1147</v>
      </c>
      <c r="B100" s="5" t="s">
        <v>1148</v>
      </c>
      <c r="C100" s="5"/>
      <c r="D100" s="5" t="s">
        <v>118</v>
      </c>
      <c r="E100" s="5" t="s">
        <v>1149</v>
      </c>
      <c r="F100" s="5" t="str">
        <f>HYPERLINK("https://huggingface.co/datasets/TamAko783/n-rdd2024-distilled-frdc","Dataset")</f>
        <v>Dataset</v>
      </c>
      <c r="G100" s="6"/>
      <c r="H100" s="10"/>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5" t="str">
        <f>IF(COUNTA(K100:Z100)=0,"Not started",IF(OR(G100="",NOT(ISNUMBER(H100)),I100&lt;&gt;"Confirmed"),"Reviewer / date / release needed",IF(COUNTIFS(MCDM_Checks!$B$6:$B$3733,A100,MCDM_Checks!$J$6:$J$3733,"Evidence needed")&gt;0,"Check evidence needed",IF(COUNTIFS(MCDM_Checks!$B$6:$B$3733,A100,MCDM_Checks!$J$6:$J$3733,"Human valid")=IF(D100="Unlabeled-13",13,16),"Core review recorded","Core review incomplete"))))</f>
        <v>Not started</v>
      </c>
      <c r="AI100" s="5" t="str">
        <f>HYPERLINK("#'MCDM_Checks'!A"&amp;(MATCH("DS-095",MCDM_Checks!$B$6:$B$3733,0)+5),"Check evidence")</f>
        <v>Check evidence</v>
      </c>
    </row>
    <row r="101" spans="1:35" ht="25.5">
      <c r="A101" s="5" t="s">
        <v>39</v>
      </c>
      <c r="B101" s="5" t="s">
        <v>1158</v>
      </c>
      <c r="C101" s="5">
        <v>4</v>
      </c>
      <c r="D101" s="5" t="s">
        <v>118</v>
      </c>
      <c r="E101" s="5" t="s">
        <v>44</v>
      </c>
      <c r="F101" s="5" t="str">
        <f>HYPERLINK("https://huggingface.co/datasets/MML-Group/PaveBench","Dataset")</f>
        <v>Dataset</v>
      </c>
      <c r="G101" s="6"/>
      <c r="H101" s="10"/>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5" t="str">
        <f>IF(COUNTA(K101:Z101)=0,"Not started",IF(OR(G101="",NOT(ISNUMBER(H101)),I101&lt;&gt;"Confirmed"),"Reviewer / date / release needed",IF(COUNTIFS(MCDM_Checks!$B$6:$B$3733,A101,MCDM_Checks!$J$6:$J$3733,"Evidence needed")&gt;0,"Check evidence needed",IF(COUNTIFS(MCDM_Checks!$B$6:$B$3733,A101,MCDM_Checks!$J$6:$J$3733,"Human valid")=IF(D101="Unlabeled-13",13,16),"Core review recorded","Core review incomplete"))))</f>
        <v>Not started</v>
      </c>
      <c r="AI101" s="5" t="str">
        <f>HYPERLINK("#'MCDM_Checks'!A"&amp;(MATCH("DS-096",MCDM_Checks!$B$6:$B$3733,0)+5),"Check evidence")</f>
        <v>Check evidence</v>
      </c>
    </row>
    <row r="102" spans="1:35">
      <c r="A102" s="5" t="s">
        <v>1169</v>
      </c>
      <c r="B102" s="5" t="s">
        <v>1170</v>
      </c>
      <c r="C102" s="5"/>
      <c r="D102" s="5" t="s">
        <v>118</v>
      </c>
      <c r="E102" s="5" t="s">
        <v>1171</v>
      </c>
      <c r="F102" s="5" t="str">
        <f>HYPERLINK("https://huggingface.co/datasets/Programmer-RD-AI/road-issues-detection-dataset","Dataset")</f>
        <v>Dataset</v>
      </c>
      <c r="G102" s="6"/>
      <c r="H102" s="10"/>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5" t="str">
        <f>IF(COUNTA(K102:Z102)=0,"Not started",IF(OR(G102="",NOT(ISNUMBER(H102)),I102&lt;&gt;"Confirmed"),"Reviewer / date / release needed",IF(COUNTIFS(MCDM_Checks!$B$6:$B$3733,A102,MCDM_Checks!$J$6:$J$3733,"Evidence needed")&gt;0,"Check evidence needed",IF(COUNTIFS(MCDM_Checks!$B$6:$B$3733,A102,MCDM_Checks!$J$6:$J$3733,"Human valid")=IF(D102="Unlabeled-13",13,16),"Core review recorded","Core review incomplete"))))</f>
        <v>Not started</v>
      </c>
      <c r="AI102" s="5" t="str">
        <f>HYPERLINK("#'MCDM_Checks'!A"&amp;(MATCH("DS-097",MCDM_Checks!$B$6:$B$3733,0)+5),"Check evidence")</f>
        <v>Check evidence</v>
      </c>
    </row>
    <row r="103" spans="1:35">
      <c r="A103" s="5" t="s">
        <v>1184</v>
      </c>
      <c r="B103" s="5" t="s">
        <v>1185</v>
      </c>
      <c r="C103" s="5"/>
      <c r="D103" s="5" t="s">
        <v>118</v>
      </c>
      <c r="E103" s="5" t="s">
        <v>1083</v>
      </c>
      <c r="F103" s="5" t="str">
        <f>HYPERLINK("https://huggingface.co/datasets/Emanyaser/road-damage-classification","Dataset")</f>
        <v>Dataset</v>
      </c>
      <c r="G103" s="6"/>
      <c r="H103" s="10"/>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5" t="str">
        <f>IF(COUNTA(K103:Z103)=0,"Not started",IF(OR(G103="",NOT(ISNUMBER(H103)),I103&lt;&gt;"Confirmed"),"Reviewer / date / release needed",IF(COUNTIFS(MCDM_Checks!$B$6:$B$3733,A103,MCDM_Checks!$J$6:$J$3733,"Evidence needed")&gt;0,"Check evidence needed",IF(COUNTIFS(MCDM_Checks!$B$6:$B$3733,A103,MCDM_Checks!$J$6:$J$3733,"Human valid")=IF(D103="Unlabeled-13",13,16),"Core review recorded","Core review incomplete"))))</f>
        <v>Not started</v>
      </c>
      <c r="AI103" s="5" t="str">
        <f>HYPERLINK("#'MCDM_Checks'!A"&amp;(MATCH("DS-098",MCDM_Checks!$B$6:$B$3733,0)+5),"Check evidence")</f>
        <v>Check evidence</v>
      </c>
    </row>
    <row r="104" spans="1:35">
      <c r="A104" s="5" t="s">
        <v>1192</v>
      </c>
      <c r="B104" s="5" t="s">
        <v>1193</v>
      </c>
      <c r="C104" s="5"/>
      <c r="D104" s="5" t="s">
        <v>118</v>
      </c>
      <c r="E104" s="5" t="s">
        <v>1194</v>
      </c>
      <c r="F104" s="5" t="str">
        <f>HYPERLINK("https://huggingface.co/datasets/cvtechniques/Road_Damage_Detection_USA","Dataset")</f>
        <v>Dataset</v>
      </c>
      <c r="G104" s="6"/>
      <c r="H104" s="10"/>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5" t="str">
        <f>IF(COUNTA(K104:Z104)=0,"Not started",IF(OR(G104="",NOT(ISNUMBER(H104)),I104&lt;&gt;"Confirmed"),"Reviewer / date / release needed",IF(COUNTIFS(MCDM_Checks!$B$6:$B$3733,A104,MCDM_Checks!$J$6:$J$3733,"Evidence needed")&gt;0,"Check evidence needed",IF(COUNTIFS(MCDM_Checks!$B$6:$B$3733,A104,MCDM_Checks!$J$6:$J$3733,"Human valid")=IF(D104="Unlabeled-13",13,16),"Core review recorded","Core review incomplete"))))</f>
        <v>Not started</v>
      </c>
      <c r="AI104" s="5" t="str">
        <f>HYPERLINK("#'MCDM_Checks'!A"&amp;(MATCH("DS-099",MCDM_Checks!$B$6:$B$3733,0)+5),"Check evidence")</f>
        <v>Check evidence</v>
      </c>
    </row>
    <row r="105" spans="1:35" ht="25.5">
      <c r="A105" s="5" t="s">
        <v>1204</v>
      </c>
      <c r="B105" s="5" t="s">
        <v>1205</v>
      </c>
      <c r="C105" s="5"/>
      <c r="D105" s="5" t="s">
        <v>118</v>
      </c>
      <c r="E105" s="5" t="s">
        <v>1206</v>
      </c>
      <c r="F105" s="5" t="str">
        <f>HYPERLINK("https://thu-rsxd.com/rscd/","Dataset")</f>
        <v>Dataset</v>
      </c>
      <c r="G105" s="6"/>
      <c r="H105" s="10"/>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5" t="str">
        <f>IF(COUNTA(K105:Z105)=0,"Not started",IF(OR(G105="",NOT(ISNUMBER(H105)),I105&lt;&gt;"Confirmed"),"Reviewer / date / release needed",IF(COUNTIFS(MCDM_Checks!$B$6:$B$3733,A105,MCDM_Checks!$J$6:$J$3733,"Evidence needed")&gt;0,"Check evidence needed",IF(COUNTIFS(MCDM_Checks!$B$6:$B$3733,A105,MCDM_Checks!$J$6:$J$3733,"Human valid")=IF(D105="Unlabeled-13",13,16),"Core review recorded","Core review incomplete"))))</f>
        <v>Not started</v>
      </c>
      <c r="AI105" s="5" t="str">
        <f>HYPERLINK("#'MCDM_Checks'!A"&amp;(MATCH("DS-100",MCDM_Checks!$B$6:$B$3733,0)+5),"Check evidence")</f>
        <v>Check evidence</v>
      </c>
    </row>
    <row r="106" spans="1:35">
      <c r="A106" s="5" t="s">
        <v>1221</v>
      </c>
      <c r="B106" s="5" t="s">
        <v>1222</v>
      </c>
      <c r="C106" s="5"/>
      <c r="D106" s="5" t="s">
        <v>118</v>
      </c>
      <c r="E106" s="5" t="s">
        <v>1223</v>
      </c>
      <c r="F106" s="5" t="str">
        <f>HYPERLINK("https://huggingface.co/datasets/Ryukijano/Pothole-detection-Yolov8","Dataset")</f>
        <v>Dataset</v>
      </c>
      <c r="G106" s="6"/>
      <c r="H106" s="10"/>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5" t="str">
        <f>IF(COUNTA(K106:Z106)=0,"Not started",IF(OR(G106="",NOT(ISNUMBER(H106)),I106&lt;&gt;"Confirmed"),"Reviewer / date / release needed",IF(COUNTIFS(MCDM_Checks!$B$6:$B$3733,A106,MCDM_Checks!$J$6:$J$3733,"Evidence needed")&gt;0,"Check evidence needed",IF(COUNTIFS(MCDM_Checks!$B$6:$B$3733,A106,MCDM_Checks!$J$6:$J$3733,"Human valid")=IF(D106="Unlabeled-13",13,16),"Core review recorded","Core review incomplete"))))</f>
        <v>Not started</v>
      </c>
      <c r="AI106" s="5" t="str">
        <f>HYPERLINK("#'MCDM_Checks'!A"&amp;(MATCH("DS-101",MCDM_Checks!$B$6:$B$3733,0)+5),"Check evidence")</f>
        <v>Check evidence</v>
      </c>
    </row>
    <row r="107" spans="1:35" ht="25.5">
      <c r="A107" s="5" t="s">
        <v>1232</v>
      </c>
      <c r="B107" s="5" t="s">
        <v>1233</v>
      </c>
      <c r="C107" s="5"/>
      <c r="D107" s="5" t="s">
        <v>118</v>
      </c>
      <c r="E107" s="5" t="s">
        <v>1234</v>
      </c>
      <c r="F107" s="5" t="str">
        <f>HYPERLINK("https://zenodo.org/records/10100129","Dataset")</f>
        <v>Dataset</v>
      </c>
      <c r="G107" s="6"/>
      <c r="H107" s="10"/>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5" t="str">
        <f>IF(COUNTA(K107:Z107)=0,"Not started",IF(OR(G107="",NOT(ISNUMBER(H107)),I107&lt;&gt;"Confirmed"),"Reviewer / date / release needed",IF(COUNTIFS(MCDM_Checks!$B$6:$B$3733,A107,MCDM_Checks!$J$6:$J$3733,"Evidence needed")&gt;0,"Check evidence needed",IF(COUNTIFS(MCDM_Checks!$B$6:$B$3733,A107,MCDM_Checks!$J$6:$J$3733,"Human valid")=IF(D107="Unlabeled-13",13,16),"Core review recorded","Core review incomplete"))))</f>
        <v>Not started</v>
      </c>
      <c r="AI107" s="5" t="str">
        <f>HYPERLINK("#'MCDM_Checks'!A"&amp;(MATCH("DS-102",MCDM_Checks!$B$6:$B$3733,0)+5),"Check evidence")</f>
        <v>Check evidence</v>
      </c>
    </row>
    <row r="108" spans="1:35">
      <c r="A108" s="5" t="s">
        <v>1244</v>
      </c>
      <c r="B108" s="5" t="s">
        <v>1245</v>
      </c>
      <c r="C108" s="5"/>
      <c r="D108" s="5" t="s">
        <v>118</v>
      </c>
      <c r="E108" s="5" t="s">
        <v>1070</v>
      </c>
      <c r="F108" s="5" t="str">
        <f>HYPERLINK("https://huggingface.co/datasets/taroii/pothole-detection","Dataset")</f>
        <v>Dataset</v>
      </c>
      <c r="G108" s="6"/>
      <c r="H108" s="10"/>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5" t="str">
        <f>IF(COUNTA(K108:Z108)=0,"Not started",IF(OR(G108="",NOT(ISNUMBER(H108)),I108&lt;&gt;"Confirmed"),"Reviewer / date / release needed",IF(COUNTIFS(MCDM_Checks!$B$6:$B$3733,A108,MCDM_Checks!$J$6:$J$3733,"Evidence needed")&gt;0,"Check evidence needed",IF(COUNTIFS(MCDM_Checks!$B$6:$B$3733,A108,MCDM_Checks!$J$6:$J$3733,"Human valid")=IF(D108="Unlabeled-13",13,16),"Core review recorded","Core review incomplete"))))</f>
        <v>Not started</v>
      </c>
      <c r="AI108" s="5" t="str">
        <f>HYPERLINK("#'MCDM_Checks'!A"&amp;(MATCH("DS-103",MCDM_Checks!$B$6:$B$3733,0)+5),"Check evidence")</f>
        <v>Check evidence</v>
      </c>
    </row>
    <row r="109" spans="1:35">
      <c r="A109" s="5" t="s">
        <v>1250</v>
      </c>
      <c r="B109" s="5" t="s">
        <v>1251</v>
      </c>
      <c r="C109" s="5"/>
      <c r="D109" s="5" t="s">
        <v>118</v>
      </c>
      <c r="E109" s="5" t="s">
        <v>1252</v>
      </c>
      <c r="F109" s="5" t="str">
        <f>HYPERLINK("https://huggingface.co/datasets/TamAko783/Unified_Road_Defect_Dataset","Dataset")</f>
        <v>Dataset</v>
      </c>
      <c r="G109" s="6"/>
      <c r="H109" s="10"/>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5" t="str">
        <f>IF(COUNTA(K109:Z109)=0,"Not started",IF(OR(G109="",NOT(ISNUMBER(H109)),I109&lt;&gt;"Confirmed"),"Reviewer / date / release needed",IF(COUNTIFS(MCDM_Checks!$B$6:$B$3733,A109,MCDM_Checks!$J$6:$J$3733,"Evidence needed")&gt;0,"Check evidence needed",IF(COUNTIFS(MCDM_Checks!$B$6:$B$3733,A109,MCDM_Checks!$J$6:$J$3733,"Human valid")=IF(D109="Unlabeled-13",13,16),"Core review recorded","Core review incomplete"))))</f>
        <v>Not started</v>
      </c>
      <c r="AI109" s="5" t="str">
        <f>HYPERLINK("#'MCDM_Checks'!A"&amp;(MATCH("DS-104",MCDM_Checks!$B$6:$B$3733,0)+5),"Check evidence")</f>
        <v>Check evidence</v>
      </c>
    </row>
    <row r="110" spans="1:35">
      <c r="A110" s="5" t="s">
        <v>1261</v>
      </c>
      <c r="B110" s="5" t="s">
        <v>1262</v>
      </c>
      <c r="C110" s="5"/>
      <c r="D110" s="5" t="s">
        <v>118</v>
      </c>
      <c r="E110" s="5" t="s">
        <v>1263</v>
      </c>
      <c r="F110" s="5" t="str">
        <f>HYPERLINK("https://huggingface.co/datasets/TamAko783/Unified_Road_Defect_FRDC_Pseudolabeled_v2","Dataset")</f>
        <v>Dataset</v>
      </c>
      <c r="G110" s="6"/>
      <c r="H110" s="10"/>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5" t="str">
        <f>IF(COUNTA(K110:Z110)=0,"Not started",IF(OR(G110="",NOT(ISNUMBER(H110)),I110&lt;&gt;"Confirmed"),"Reviewer / date / release needed",IF(COUNTIFS(MCDM_Checks!$B$6:$B$3733,A110,MCDM_Checks!$J$6:$J$3733,"Evidence needed")&gt;0,"Check evidence needed",IF(COUNTIFS(MCDM_Checks!$B$6:$B$3733,A110,MCDM_Checks!$J$6:$J$3733,"Human valid")=IF(D110="Unlabeled-13",13,16),"Core review recorded","Core review incomplete"))))</f>
        <v>Not started</v>
      </c>
      <c r="AI110" s="5" t="str">
        <f>HYPERLINK("#'MCDM_Checks'!A"&amp;(MATCH("DS-105",MCDM_Checks!$B$6:$B$3733,0)+5),"Check evidence")</f>
        <v>Check evidence</v>
      </c>
    </row>
    <row r="111" spans="1:35">
      <c r="A111" s="5" t="s">
        <v>1270</v>
      </c>
      <c r="B111" s="5" t="s">
        <v>1271</v>
      </c>
      <c r="C111" s="5"/>
      <c r="D111" s="5" t="s">
        <v>118</v>
      </c>
      <c r="E111" s="5" t="s">
        <v>1272</v>
      </c>
      <c r="F111" s="5" t="str">
        <f>HYPERLINK("https://huggingface.co/datasets/varcoder/crack-segmentation-dataset","Dataset")</f>
        <v>Dataset</v>
      </c>
      <c r="G111" s="6"/>
      <c r="H111" s="10"/>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5" t="str">
        <f>IF(COUNTA(K111:Z111)=0,"Not started",IF(OR(G111="",NOT(ISNUMBER(H111)),I111&lt;&gt;"Confirmed"),"Reviewer / date / release needed",IF(COUNTIFS(MCDM_Checks!$B$6:$B$3733,A111,MCDM_Checks!$J$6:$J$3733,"Evidence needed")&gt;0,"Check evidence needed",IF(COUNTIFS(MCDM_Checks!$B$6:$B$3733,A111,MCDM_Checks!$J$6:$J$3733,"Human valid")=IF(D111="Unlabeled-13",13,16),"Core review recorded","Core review incomplete"))))</f>
        <v>Not started</v>
      </c>
      <c r="AI111" s="5" t="str">
        <f>HYPERLINK("#'MCDM_Checks'!A"&amp;(MATCH("DS-106",MCDM_Checks!$B$6:$B$3733,0)+5),"Check evidence")</f>
        <v>Check evidence</v>
      </c>
    </row>
    <row r="112" spans="1:35" ht="38.25">
      <c r="A112" s="5" t="s">
        <v>1280</v>
      </c>
      <c r="B112" s="5" t="s">
        <v>1281</v>
      </c>
      <c r="C112" s="5"/>
      <c r="D112" s="5" t="s">
        <v>118</v>
      </c>
      <c r="E112" s="5" t="s">
        <v>121</v>
      </c>
      <c r="F112" s="5" t="str">
        <f>HYPERLINK("https://zenodo.org/records/18241476","Dataset")</f>
        <v>Dataset</v>
      </c>
      <c r="G112" s="6"/>
      <c r="H112" s="10"/>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5" t="str">
        <f>IF(COUNTA(K112:Z112)=0,"Not started",IF(OR(G112="",NOT(ISNUMBER(H112)),I112&lt;&gt;"Confirmed"),"Reviewer / date / release needed",IF(COUNTIFS(MCDM_Checks!$B$6:$B$3733,A112,MCDM_Checks!$J$6:$J$3733,"Evidence needed")&gt;0,"Check evidence needed",IF(COUNTIFS(MCDM_Checks!$B$6:$B$3733,A112,MCDM_Checks!$J$6:$J$3733,"Human valid")=IF(D112="Unlabeled-13",13,16),"Core review recorded","Core review incomplete"))))</f>
        <v>Not started</v>
      </c>
      <c r="AI112" s="5" t="str">
        <f>HYPERLINK("#'MCDM_Checks'!A"&amp;(MATCH("DS-107",MCDM_Checks!$B$6:$B$3733,0)+5),"Check evidence")</f>
        <v>Check evidence</v>
      </c>
    </row>
    <row r="113" spans="1:35" ht="25.5">
      <c r="A113" s="5" t="s">
        <v>1289</v>
      </c>
      <c r="B113" s="5" t="s">
        <v>1290</v>
      </c>
      <c r="C113" s="5"/>
      <c r="D113" s="5" t="s">
        <v>118</v>
      </c>
      <c r="E113" s="5" t="s">
        <v>121</v>
      </c>
      <c r="F113" s="5" t="str">
        <f>HYPERLINK("https://zenodo.org/records/20040434","Dataset")</f>
        <v>Dataset</v>
      </c>
      <c r="G113" s="6"/>
      <c r="H113" s="10"/>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5" t="str">
        <f>IF(COUNTA(K113:Z113)=0,"Not started",IF(OR(G113="",NOT(ISNUMBER(H113)),I113&lt;&gt;"Confirmed"),"Reviewer / date / release needed",IF(COUNTIFS(MCDM_Checks!$B$6:$B$3733,A113,MCDM_Checks!$J$6:$J$3733,"Evidence needed")&gt;0,"Check evidence needed",IF(COUNTIFS(MCDM_Checks!$B$6:$B$3733,A113,MCDM_Checks!$J$6:$J$3733,"Human valid")=IF(D113="Unlabeled-13",13,16),"Core review recorded","Core review incomplete"))))</f>
        <v>Not started</v>
      </c>
      <c r="AI113" s="5" t="str">
        <f>HYPERLINK("#'MCDM_Checks'!A"&amp;(MATCH("DS-108",MCDM_Checks!$B$6:$B$3733,0)+5),"Check evidence")</f>
        <v>Check evidence</v>
      </c>
    </row>
    <row r="114" spans="1:35" ht="25.5">
      <c r="A114" s="5" t="s">
        <v>1299</v>
      </c>
      <c r="B114" s="5" t="s">
        <v>1300</v>
      </c>
      <c r="C114" s="5"/>
      <c r="D114" s="5" t="s">
        <v>118</v>
      </c>
      <c r="E114" s="5" t="s">
        <v>1301</v>
      </c>
      <c r="F114" s="5" t="str">
        <f>HYPERLINK("https://zenodo.org/records/18735883","Dataset")</f>
        <v>Dataset</v>
      </c>
      <c r="G114" s="6"/>
      <c r="H114" s="10"/>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5" t="str">
        <f>IF(COUNTA(K114:Z114)=0,"Not started",IF(OR(G114="",NOT(ISNUMBER(H114)),I114&lt;&gt;"Confirmed"),"Reviewer / date / release needed",IF(COUNTIFS(MCDM_Checks!$B$6:$B$3733,A114,MCDM_Checks!$J$6:$J$3733,"Evidence needed")&gt;0,"Check evidence needed",IF(COUNTIFS(MCDM_Checks!$B$6:$B$3733,A114,MCDM_Checks!$J$6:$J$3733,"Human valid")=IF(D114="Unlabeled-13",13,16),"Core review recorded","Core review incomplete"))))</f>
        <v>Not started</v>
      </c>
      <c r="AI114" s="5" t="str">
        <f>HYPERLINK("#'MCDM_Checks'!A"&amp;(MATCH("DS-109",MCDM_Checks!$B$6:$B$3733,0)+5),"Check evidence")</f>
        <v>Check evidence</v>
      </c>
    </row>
    <row r="115" spans="1:35" ht="25.5">
      <c r="A115" s="5" t="s">
        <v>1311</v>
      </c>
      <c r="B115" s="5" t="s">
        <v>1312</v>
      </c>
      <c r="C115" s="5"/>
      <c r="D115" s="5" t="s">
        <v>118</v>
      </c>
      <c r="E115" s="5" t="s">
        <v>121</v>
      </c>
      <c r="F115" s="5" t="str">
        <f>HYPERLINK("https://zenodo.org/records/16291115","Dataset")</f>
        <v>Dataset</v>
      </c>
      <c r="G115" s="6"/>
      <c r="H115" s="10"/>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5" t="str">
        <f>IF(COUNTA(K115:Z115)=0,"Not started",IF(OR(G115="",NOT(ISNUMBER(H115)),I115&lt;&gt;"Confirmed"),"Reviewer / date / release needed",IF(COUNTIFS(MCDM_Checks!$B$6:$B$3733,A115,MCDM_Checks!$J$6:$J$3733,"Evidence needed")&gt;0,"Check evidence needed",IF(COUNTIFS(MCDM_Checks!$B$6:$B$3733,A115,MCDM_Checks!$J$6:$J$3733,"Human valid")=IF(D115="Unlabeled-13",13,16),"Core review recorded","Core review incomplete"))))</f>
        <v>Not started</v>
      </c>
      <c r="AI115" s="5" t="str">
        <f>HYPERLINK("#'MCDM_Checks'!A"&amp;(MATCH("DS-110",MCDM_Checks!$B$6:$B$3733,0)+5),"Check evidence")</f>
        <v>Check evidence</v>
      </c>
    </row>
    <row r="116" spans="1:35" ht="25.5">
      <c r="A116" s="5" t="s">
        <v>1320</v>
      </c>
      <c r="B116" s="5" t="s">
        <v>1321</v>
      </c>
      <c r="C116" s="5"/>
      <c r="D116" s="5" t="s">
        <v>118</v>
      </c>
      <c r="E116" s="5" t="s">
        <v>1322</v>
      </c>
      <c r="F116" s="5" t="str">
        <f>HYPERLINK("https://zenodo.org/records/18704114","Dataset")</f>
        <v>Dataset</v>
      </c>
      <c r="G116" s="6"/>
      <c r="H116" s="10"/>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5" t="str">
        <f>IF(COUNTA(K116:Z116)=0,"Not started",IF(OR(G116="",NOT(ISNUMBER(H116)),I116&lt;&gt;"Confirmed"),"Reviewer / date / release needed",IF(COUNTIFS(MCDM_Checks!$B$6:$B$3733,A116,MCDM_Checks!$J$6:$J$3733,"Evidence needed")&gt;0,"Check evidence needed",IF(COUNTIFS(MCDM_Checks!$B$6:$B$3733,A116,MCDM_Checks!$J$6:$J$3733,"Human valid")=IF(D116="Unlabeled-13",13,16),"Core review recorded","Core review incomplete"))))</f>
        <v>Not started</v>
      </c>
      <c r="AI116" s="5" t="str">
        <f>HYPERLINK("#'MCDM_Checks'!A"&amp;(MATCH("DS-111",MCDM_Checks!$B$6:$B$3733,0)+5),"Check evidence")</f>
        <v>Check evidence</v>
      </c>
    </row>
    <row r="117" spans="1:35" ht="25.5">
      <c r="A117" s="5" t="s">
        <v>1334</v>
      </c>
      <c r="B117" s="5" t="s">
        <v>1335</v>
      </c>
      <c r="C117" s="5"/>
      <c r="D117" s="5" t="s">
        <v>1336</v>
      </c>
      <c r="E117" s="5" t="s">
        <v>1337</v>
      </c>
      <c r="F117" s="5" t="str">
        <f>HYPERLINK("https://zenodo.org/records/3383693","Dataset")</f>
        <v>Dataset</v>
      </c>
      <c r="G117" s="6"/>
      <c r="H117" s="10"/>
      <c r="I117" s="6"/>
      <c r="J117" s="6"/>
      <c r="K117" s="6"/>
      <c r="L117" s="6"/>
      <c r="M117" s="6"/>
      <c r="N117" s="15"/>
      <c r="O117" s="15"/>
      <c r="P117" s="15"/>
      <c r="Q117" s="6"/>
      <c r="R117" s="6"/>
      <c r="S117" s="6"/>
      <c r="T117" s="6"/>
      <c r="U117" s="6"/>
      <c r="V117" s="6"/>
      <c r="W117" s="6"/>
      <c r="X117" s="6"/>
      <c r="Y117" s="6"/>
      <c r="Z117" s="6"/>
      <c r="AA117" s="6"/>
      <c r="AB117" s="6"/>
      <c r="AC117" s="6"/>
      <c r="AD117" s="6"/>
      <c r="AE117" s="6"/>
      <c r="AF117" s="6"/>
      <c r="AG117" s="6"/>
      <c r="AH117" s="5" t="str">
        <f>IF(COUNTA(K117:Z117)=0,"Not started",IF(OR(G117="",NOT(ISNUMBER(H117)),I117&lt;&gt;"Confirmed"),"Reviewer / date / release needed",IF(COUNTIFS(MCDM_Checks!$B$6:$B$3733,A117,MCDM_Checks!$J$6:$J$3733,"Evidence needed")&gt;0,"Check evidence needed",IF(COUNTIFS(MCDM_Checks!$B$6:$B$3733,A117,MCDM_Checks!$J$6:$J$3733,"Human valid")=IF(D117="Unlabeled-13",13,16),"Core review recorded","Core review incomplete"))))</f>
        <v>Not started</v>
      </c>
      <c r="AI117" s="5" t="str">
        <f>HYPERLINK("#'MCDM_Checks'!A"&amp;(MATCH("DS-112",MCDM_Checks!$B$6:$B$3733,0)+5),"Check evidence")</f>
        <v>Check evidence</v>
      </c>
    </row>
    <row r="118" spans="1:35" ht="38.25">
      <c r="A118" s="5" t="s">
        <v>1345</v>
      </c>
      <c r="B118" s="5" t="s">
        <v>1346</v>
      </c>
      <c r="C118" s="5"/>
      <c r="D118" s="5" t="s">
        <v>118</v>
      </c>
      <c r="E118" s="5" t="s">
        <v>121</v>
      </c>
      <c r="F118" s="5" t="str">
        <f>HYPERLINK("https://zenodo.org/records/11625865","Dataset")</f>
        <v>Dataset</v>
      </c>
      <c r="G118" s="6"/>
      <c r="H118" s="10"/>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5" t="str">
        <f>IF(COUNTA(K118:Z118)=0,"Not started",IF(OR(G118="",NOT(ISNUMBER(H118)),I118&lt;&gt;"Confirmed"),"Reviewer / date / release needed",IF(COUNTIFS(MCDM_Checks!$B$6:$B$3733,A118,MCDM_Checks!$J$6:$J$3733,"Evidence needed")&gt;0,"Check evidence needed",IF(COUNTIFS(MCDM_Checks!$B$6:$B$3733,A118,MCDM_Checks!$J$6:$J$3733,"Human valid")=IF(D118="Unlabeled-13",13,16),"Core review recorded","Core review incomplete"))))</f>
        <v>Not started</v>
      </c>
      <c r="AI118" s="5" t="str">
        <f>HYPERLINK("#'MCDM_Checks'!A"&amp;(MATCH("DS-113",MCDM_Checks!$B$6:$B$3733,0)+5),"Check evidence")</f>
        <v>Check evidence</v>
      </c>
    </row>
    <row r="119" spans="1:35" ht="38.25">
      <c r="A119" s="5" t="s">
        <v>1354</v>
      </c>
      <c r="B119" s="5" t="s">
        <v>1355</v>
      </c>
      <c r="C119" s="5"/>
      <c r="D119" s="5" t="s">
        <v>118</v>
      </c>
      <c r="E119" s="5" t="s">
        <v>121</v>
      </c>
      <c r="F119" s="5" t="str">
        <f>HYPERLINK("https://zenodo.org/records/11625820","Dataset")</f>
        <v>Dataset</v>
      </c>
      <c r="G119" s="6"/>
      <c r="H119" s="10"/>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5" t="str">
        <f>IF(COUNTA(K119:Z119)=0,"Not started",IF(OR(G119="",NOT(ISNUMBER(H119)),I119&lt;&gt;"Confirmed"),"Reviewer / date / release needed",IF(COUNTIFS(MCDM_Checks!$B$6:$B$3733,A119,MCDM_Checks!$J$6:$J$3733,"Evidence needed")&gt;0,"Check evidence needed",IF(COUNTIFS(MCDM_Checks!$B$6:$B$3733,A119,MCDM_Checks!$J$6:$J$3733,"Human valid")=IF(D119="Unlabeled-13",13,16),"Core review recorded","Core review incomplete"))))</f>
        <v>Not started</v>
      </c>
      <c r="AI119" s="5" t="str">
        <f>HYPERLINK("#'MCDM_Checks'!A"&amp;(MATCH("DS-114",MCDM_Checks!$B$6:$B$3733,0)+5),"Check evidence")</f>
        <v>Check evidence</v>
      </c>
    </row>
    <row r="120" spans="1:35">
      <c r="A120" s="5" t="s">
        <v>1359</v>
      </c>
      <c r="B120" s="5" t="s">
        <v>1360</v>
      </c>
      <c r="C120" s="5"/>
      <c r="D120" s="5" t="s">
        <v>118</v>
      </c>
      <c r="E120" s="5" t="s">
        <v>121</v>
      </c>
      <c r="F120" s="5" t="str">
        <f>HYPERLINK("https://zenodo.org/records/20454801","Dataset")</f>
        <v>Dataset</v>
      </c>
      <c r="G120" s="6"/>
      <c r="H120" s="10"/>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5" t="str">
        <f>IF(COUNTA(K120:Z120)=0,"Not started",IF(OR(G120="",NOT(ISNUMBER(H120)),I120&lt;&gt;"Confirmed"),"Reviewer / date / release needed",IF(COUNTIFS(MCDM_Checks!$B$6:$B$3733,A120,MCDM_Checks!$J$6:$J$3733,"Evidence needed")&gt;0,"Check evidence needed",IF(COUNTIFS(MCDM_Checks!$B$6:$B$3733,A120,MCDM_Checks!$J$6:$J$3733,"Human valid")=IF(D120="Unlabeled-13",13,16),"Core review recorded","Core review incomplete"))))</f>
        <v>Not started</v>
      </c>
      <c r="AI120" s="5" t="str">
        <f>HYPERLINK("#'MCDM_Checks'!A"&amp;(MATCH("DS-115",MCDM_Checks!$B$6:$B$3733,0)+5),"Check evidence")</f>
        <v>Check evidence</v>
      </c>
    </row>
    <row r="121" spans="1:35" ht="38.25">
      <c r="A121" s="5" t="s">
        <v>1369</v>
      </c>
      <c r="B121" s="5" t="s">
        <v>1370</v>
      </c>
      <c r="C121" s="5"/>
      <c r="D121" s="5" t="s">
        <v>118</v>
      </c>
      <c r="E121" s="5" t="s">
        <v>1371</v>
      </c>
      <c r="F121" s="5" t="str">
        <f>HYPERLINK("https://zenodo.org/records/18072573","Dataset")</f>
        <v>Dataset</v>
      </c>
      <c r="G121" s="6"/>
      <c r="H121" s="10"/>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5" t="str">
        <f>IF(COUNTA(K121:Z121)=0,"Not started",IF(OR(G121="",NOT(ISNUMBER(H121)),I121&lt;&gt;"Confirmed"),"Reviewer / date / release needed",IF(COUNTIFS(MCDM_Checks!$B$6:$B$3733,A121,MCDM_Checks!$J$6:$J$3733,"Evidence needed")&gt;0,"Check evidence needed",IF(COUNTIFS(MCDM_Checks!$B$6:$B$3733,A121,MCDM_Checks!$J$6:$J$3733,"Human valid")=IF(D121="Unlabeled-13",13,16),"Core review recorded","Core review incomplete"))))</f>
        <v>Not started</v>
      </c>
      <c r="AI121" s="5" t="str">
        <f>HYPERLINK("#'MCDM_Checks'!A"&amp;(MATCH("DS-116",MCDM_Checks!$B$6:$B$3733,0)+5),"Check evidence")</f>
        <v>Check evidence</v>
      </c>
    </row>
    <row r="122" spans="1:35" ht="38.25">
      <c r="A122" s="5" t="s">
        <v>1379</v>
      </c>
      <c r="B122" s="5" t="s">
        <v>1380</v>
      </c>
      <c r="C122" s="5"/>
      <c r="D122" s="5" t="s">
        <v>118</v>
      </c>
      <c r="E122" s="5" t="s">
        <v>1381</v>
      </c>
      <c r="F122" s="5" t="str">
        <f>HYPERLINK("https://zenodo.org/records/18114226","Dataset")</f>
        <v>Dataset</v>
      </c>
      <c r="G122" s="6"/>
      <c r="H122" s="10"/>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5" t="str">
        <f>IF(COUNTA(K122:Z122)=0,"Not started",IF(OR(G122="",NOT(ISNUMBER(H122)),I122&lt;&gt;"Confirmed"),"Reviewer / date / release needed",IF(COUNTIFS(MCDM_Checks!$B$6:$B$3733,A122,MCDM_Checks!$J$6:$J$3733,"Evidence needed")&gt;0,"Check evidence needed",IF(COUNTIFS(MCDM_Checks!$B$6:$B$3733,A122,MCDM_Checks!$J$6:$J$3733,"Human valid")=IF(D122="Unlabeled-13",13,16),"Core review recorded","Core review incomplete"))))</f>
        <v>Not started</v>
      </c>
      <c r="AI122" s="5" t="str">
        <f>HYPERLINK("#'MCDM_Checks'!A"&amp;(MATCH("DS-117",MCDM_Checks!$B$6:$B$3733,0)+5),"Check evidence")</f>
        <v>Check evidence</v>
      </c>
    </row>
    <row r="123" spans="1:35">
      <c r="A123" s="5" t="s">
        <v>1385</v>
      </c>
      <c r="B123" s="5" t="s">
        <v>1386</v>
      </c>
      <c r="C123" s="5"/>
      <c r="D123" s="5" t="s">
        <v>118</v>
      </c>
      <c r="E123" s="5" t="s">
        <v>121</v>
      </c>
      <c r="F123" s="5" t="str">
        <f>HYPERLINK("https://zenodo.org/records/17189667","Dataset")</f>
        <v>Dataset</v>
      </c>
      <c r="G123" s="6"/>
      <c r="H123" s="10"/>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5" t="str">
        <f>IF(COUNTA(K123:Z123)=0,"Not started",IF(OR(G123="",NOT(ISNUMBER(H123)),I123&lt;&gt;"Confirmed"),"Reviewer / date / release needed",IF(COUNTIFS(MCDM_Checks!$B$6:$B$3733,A123,MCDM_Checks!$J$6:$J$3733,"Evidence needed")&gt;0,"Check evidence needed",IF(COUNTIFS(MCDM_Checks!$B$6:$B$3733,A123,MCDM_Checks!$J$6:$J$3733,"Human valid")=IF(D123="Unlabeled-13",13,16),"Core review recorded","Core review incomplete"))))</f>
        <v>Not started</v>
      </c>
      <c r="AI123" s="5" t="str">
        <f>HYPERLINK("#'MCDM_Checks'!A"&amp;(MATCH("DS-118",MCDM_Checks!$B$6:$B$3733,0)+5),"Check evidence")</f>
        <v>Check evidence</v>
      </c>
    </row>
    <row r="124" spans="1:35" ht="25.5">
      <c r="A124" s="5" t="s">
        <v>1394</v>
      </c>
      <c r="B124" s="5" t="s">
        <v>1395</v>
      </c>
      <c r="C124" s="5"/>
      <c r="D124" s="5" t="s">
        <v>118</v>
      </c>
      <c r="E124" s="5" t="s">
        <v>119</v>
      </c>
      <c r="F124" s="5" t="str">
        <f>HYPERLINK("https://zenodo.org/records/6383044","Dataset")</f>
        <v>Dataset</v>
      </c>
      <c r="G124" s="6"/>
      <c r="H124" s="10"/>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5" t="str">
        <f>IF(COUNTA(K124:Z124)=0,"Not started",IF(OR(G124="",NOT(ISNUMBER(H124)),I124&lt;&gt;"Confirmed"),"Reviewer / date / release needed",IF(COUNTIFS(MCDM_Checks!$B$6:$B$3733,A124,MCDM_Checks!$J$6:$J$3733,"Evidence needed")&gt;0,"Check evidence needed",IF(COUNTIFS(MCDM_Checks!$B$6:$B$3733,A124,MCDM_Checks!$J$6:$J$3733,"Human valid")=IF(D124="Unlabeled-13",13,16),"Core review recorded","Core review incomplete"))))</f>
        <v>Not started</v>
      </c>
      <c r="AI124" s="5" t="str">
        <f>HYPERLINK("#'MCDM_Checks'!A"&amp;(MATCH("DS-119",MCDM_Checks!$B$6:$B$3733,0)+5),"Check evidence")</f>
        <v>Check evidence</v>
      </c>
    </row>
    <row r="125" spans="1:35" ht="38.25">
      <c r="A125" s="5" t="s">
        <v>1405</v>
      </c>
      <c r="B125" s="5" t="s">
        <v>1406</v>
      </c>
      <c r="C125" s="5"/>
      <c r="D125" s="5" t="s">
        <v>118</v>
      </c>
      <c r="E125" s="5" t="s">
        <v>1407</v>
      </c>
      <c r="F125" s="5" t="str">
        <f>HYPERLINK("https://zenodo.org/records/20727180","Dataset")</f>
        <v>Dataset</v>
      </c>
      <c r="G125" s="6"/>
      <c r="H125" s="10"/>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5" t="str">
        <f>IF(COUNTA(K125:Z125)=0,"Not started",IF(OR(G125="",NOT(ISNUMBER(H125)),I125&lt;&gt;"Confirmed"),"Reviewer / date / release needed",IF(COUNTIFS(MCDM_Checks!$B$6:$B$3733,A125,MCDM_Checks!$J$6:$J$3733,"Evidence needed")&gt;0,"Check evidence needed",IF(COUNTIFS(MCDM_Checks!$B$6:$B$3733,A125,MCDM_Checks!$J$6:$J$3733,"Human valid")=IF(D125="Unlabeled-13",13,16),"Core review recorded","Core review incomplete"))))</f>
        <v>Not started</v>
      </c>
      <c r="AI125" s="5" t="str">
        <f>HYPERLINK("#'MCDM_Checks'!A"&amp;(MATCH("DS-120",MCDM_Checks!$B$6:$B$3733,0)+5),"Check evidence")</f>
        <v>Check evidence</v>
      </c>
    </row>
    <row r="126" spans="1:35">
      <c r="A126" s="5" t="s">
        <v>1416</v>
      </c>
      <c r="B126" s="5" t="s">
        <v>1417</v>
      </c>
      <c r="C126" s="5"/>
      <c r="D126" s="5" t="s">
        <v>118</v>
      </c>
      <c r="E126" s="5" t="s">
        <v>1407</v>
      </c>
      <c r="F126" s="5" t="str">
        <f>HYPERLINK("https://zenodo.org/records/21370736","Dataset")</f>
        <v>Dataset</v>
      </c>
      <c r="G126" s="6"/>
      <c r="H126" s="10"/>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5" t="str">
        <f>IF(COUNTA(K126:Z126)=0,"Not started",IF(OR(G126="",NOT(ISNUMBER(H126)),I126&lt;&gt;"Confirmed"),"Reviewer / date / release needed",IF(COUNTIFS(MCDM_Checks!$B$6:$B$3733,A126,MCDM_Checks!$J$6:$J$3733,"Evidence needed")&gt;0,"Check evidence needed",IF(COUNTIFS(MCDM_Checks!$B$6:$B$3733,A126,MCDM_Checks!$J$6:$J$3733,"Human valid")=IF(D126="Unlabeled-13",13,16),"Core review recorded","Core review incomplete"))))</f>
        <v>Not started</v>
      </c>
      <c r="AI126" s="5" t="str">
        <f>HYPERLINK("#'MCDM_Checks'!A"&amp;(MATCH("DS-121",MCDM_Checks!$B$6:$B$3733,0)+5),"Check evidence")</f>
        <v>Check evidence</v>
      </c>
    </row>
    <row r="127" spans="1:35" ht="25.5">
      <c r="A127" s="5" t="s">
        <v>1427</v>
      </c>
      <c r="B127" s="5" t="s">
        <v>1428</v>
      </c>
      <c r="C127" s="5"/>
      <c r="D127" s="5" t="s">
        <v>118</v>
      </c>
      <c r="E127" s="5" t="s">
        <v>1429</v>
      </c>
      <c r="F127" s="5" t="str">
        <f>HYPERLINK("https://zenodo.org/records/21167531","Dataset")</f>
        <v>Dataset</v>
      </c>
      <c r="G127" s="6"/>
      <c r="H127" s="10"/>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5" t="str">
        <f>IF(COUNTA(K127:Z127)=0,"Not started",IF(OR(G127="",NOT(ISNUMBER(H127)),I127&lt;&gt;"Confirmed"),"Reviewer / date / release needed",IF(COUNTIFS(MCDM_Checks!$B$6:$B$3733,A127,MCDM_Checks!$J$6:$J$3733,"Evidence needed")&gt;0,"Check evidence needed",IF(COUNTIFS(MCDM_Checks!$B$6:$B$3733,A127,MCDM_Checks!$J$6:$J$3733,"Human valid")=IF(D127="Unlabeled-13",13,16),"Core review recorded","Core review incomplete"))))</f>
        <v>Not started</v>
      </c>
      <c r="AI127" s="5" t="str">
        <f>HYPERLINK("#'MCDM_Checks'!A"&amp;(MATCH("DS-122",MCDM_Checks!$B$6:$B$3733,0)+5),"Check evidence")</f>
        <v>Check evidence</v>
      </c>
    </row>
    <row r="128" spans="1:35">
      <c r="A128" s="5" t="s">
        <v>1439</v>
      </c>
      <c r="B128" s="5" t="s">
        <v>1440</v>
      </c>
      <c r="C128" s="5"/>
      <c r="D128" s="5" t="s">
        <v>118</v>
      </c>
      <c r="E128" s="5" t="s">
        <v>119</v>
      </c>
      <c r="F128" s="5" t="str">
        <f>HYPERLINK("https://zenodo.org/records/7795975","Dataset")</f>
        <v>Dataset</v>
      </c>
      <c r="G128" s="6"/>
      <c r="H128" s="10"/>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5" t="str">
        <f>IF(COUNTA(K128:Z128)=0,"Not started",IF(OR(G128="",NOT(ISNUMBER(H128)),I128&lt;&gt;"Confirmed"),"Reviewer / date / release needed",IF(COUNTIFS(MCDM_Checks!$B$6:$B$3733,A128,MCDM_Checks!$J$6:$J$3733,"Evidence needed")&gt;0,"Check evidence needed",IF(COUNTIFS(MCDM_Checks!$B$6:$B$3733,A128,MCDM_Checks!$J$6:$J$3733,"Human valid")=IF(D128="Unlabeled-13",13,16),"Core review recorded","Core review incomplete"))))</f>
        <v>Not started</v>
      </c>
      <c r="AI128" s="5" t="str">
        <f>HYPERLINK("#'MCDM_Checks'!A"&amp;(MATCH("DS-123",MCDM_Checks!$B$6:$B$3733,0)+5),"Check evidence")</f>
        <v>Check evidence</v>
      </c>
    </row>
    <row r="129" spans="1:35" ht="25.5">
      <c r="A129" s="5" t="s">
        <v>1450</v>
      </c>
      <c r="B129" s="5" t="s">
        <v>1451</v>
      </c>
      <c r="C129" s="5"/>
      <c r="D129" s="5" t="s">
        <v>118</v>
      </c>
      <c r="E129" s="5" t="s">
        <v>1452</v>
      </c>
      <c r="F129" s="5" t="str">
        <f>HYPERLINK("https://zenodo.org/records/19267189","Dataset")</f>
        <v>Dataset</v>
      </c>
      <c r="G129" s="6"/>
      <c r="H129" s="10"/>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5" t="str">
        <f>IF(COUNTA(K129:Z129)=0,"Not started",IF(OR(G129="",NOT(ISNUMBER(H129)),I129&lt;&gt;"Confirmed"),"Reviewer / date / release needed",IF(COUNTIFS(MCDM_Checks!$B$6:$B$3733,A129,MCDM_Checks!$J$6:$J$3733,"Evidence needed")&gt;0,"Check evidence needed",IF(COUNTIFS(MCDM_Checks!$B$6:$B$3733,A129,MCDM_Checks!$J$6:$J$3733,"Human valid")=IF(D129="Unlabeled-13",13,16),"Core review recorded","Core review incomplete"))))</f>
        <v>Not started</v>
      </c>
      <c r="AI129" s="5" t="str">
        <f>HYPERLINK("#'MCDM_Checks'!A"&amp;(MATCH("DS-124",MCDM_Checks!$B$6:$B$3733,0)+5),"Check evidence")</f>
        <v>Check evidence</v>
      </c>
    </row>
    <row r="130" spans="1:35">
      <c r="A130" s="5" t="s">
        <v>1462</v>
      </c>
      <c r="B130" s="5" t="s">
        <v>1463</v>
      </c>
      <c r="C130" s="5"/>
      <c r="D130" s="5" t="s">
        <v>118</v>
      </c>
      <c r="E130" s="5" t="s">
        <v>119</v>
      </c>
      <c r="F130" s="5" t="str">
        <f>HYPERLINK("https://zenodo.org/records/15229291","Dataset")</f>
        <v>Dataset</v>
      </c>
      <c r="G130" s="6"/>
      <c r="H130" s="10"/>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5" t="str">
        <f>IF(COUNTA(K130:Z130)=0,"Not started",IF(OR(G130="",NOT(ISNUMBER(H130)),I130&lt;&gt;"Confirmed"),"Reviewer / date / release needed",IF(COUNTIFS(MCDM_Checks!$B$6:$B$3733,A130,MCDM_Checks!$J$6:$J$3733,"Evidence needed")&gt;0,"Check evidence needed",IF(COUNTIFS(MCDM_Checks!$B$6:$B$3733,A130,MCDM_Checks!$J$6:$J$3733,"Human valid")=IF(D130="Unlabeled-13",13,16),"Core review recorded","Core review incomplete"))))</f>
        <v>Not started</v>
      </c>
      <c r="AI130" s="5" t="str">
        <f>HYPERLINK("#'MCDM_Checks'!A"&amp;(MATCH("DS-125",MCDM_Checks!$B$6:$B$3733,0)+5),"Check evidence")</f>
        <v>Check evidence</v>
      </c>
    </row>
    <row r="131" spans="1:35" ht="38.25">
      <c r="A131" s="5" t="s">
        <v>1469</v>
      </c>
      <c r="B131" s="5" t="s">
        <v>1470</v>
      </c>
      <c r="C131" s="5"/>
      <c r="D131" s="5" t="s">
        <v>118</v>
      </c>
      <c r="E131" s="5" t="s">
        <v>121</v>
      </c>
      <c r="F131" s="5" t="str">
        <f>HYPERLINK("https://zenodo.org/records/18208073","Dataset")</f>
        <v>Dataset</v>
      </c>
      <c r="G131" s="6"/>
      <c r="H131" s="10"/>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5" t="str">
        <f>IF(COUNTA(K131:Z131)=0,"Not started",IF(OR(G131="",NOT(ISNUMBER(H131)),I131&lt;&gt;"Confirmed"),"Reviewer / date / release needed",IF(COUNTIFS(MCDM_Checks!$B$6:$B$3733,A131,MCDM_Checks!$J$6:$J$3733,"Evidence needed")&gt;0,"Check evidence needed",IF(COUNTIFS(MCDM_Checks!$B$6:$B$3733,A131,MCDM_Checks!$J$6:$J$3733,"Human valid")=IF(D131="Unlabeled-13",13,16),"Core review recorded","Core review incomplete"))))</f>
        <v>Not started</v>
      </c>
      <c r="AI131" s="5" t="str">
        <f>HYPERLINK("#'MCDM_Checks'!A"&amp;(MATCH("DS-126",MCDM_Checks!$B$6:$B$3733,0)+5),"Check evidence")</f>
        <v>Check evidence</v>
      </c>
    </row>
    <row r="132" spans="1:35" ht="38.25">
      <c r="A132" s="5" t="s">
        <v>1480</v>
      </c>
      <c r="B132" s="5" t="s">
        <v>1481</v>
      </c>
      <c r="C132" s="5"/>
      <c r="D132" s="5" t="s">
        <v>118</v>
      </c>
      <c r="E132" s="5" t="s">
        <v>556</v>
      </c>
      <c r="F132" s="5" t="str">
        <f>HYPERLINK("https://zenodo.org/records/20581123","Dataset")</f>
        <v>Dataset</v>
      </c>
      <c r="G132" s="6"/>
      <c r="H132" s="10"/>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5" t="str">
        <f>IF(COUNTA(K132:Z132)=0,"Not started",IF(OR(G132="",NOT(ISNUMBER(H132)),I132&lt;&gt;"Confirmed"),"Reviewer / date / release needed",IF(COUNTIFS(MCDM_Checks!$B$6:$B$3733,A132,MCDM_Checks!$J$6:$J$3733,"Evidence needed")&gt;0,"Check evidence needed",IF(COUNTIFS(MCDM_Checks!$B$6:$B$3733,A132,MCDM_Checks!$J$6:$J$3733,"Human valid")=IF(D132="Unlabeled-13",13,16),"Core review recorded","Core review incomplete"))))</f>
        <v>Not started</v>
      </c>
      <c r="AI132" s="5" t="str">
        <f>HYPERLINK("#'MCDM_Checks'!A"&amp;(MATCH("DS-127",MCDM_Checks!$B$6:$B$3733,0)+5),"Check evidence")</f>
        <v>Check evidence</v>
      </c>
    </row>
    <row r="133" spans="1:35">
      <c r="A133" s="5" t="s">
        <v>1488</v>
      </c>
      <c r="B133" s="5" t="s">
        <v>1489</v>
      </c>
      <c r="C133" s="5"/>
      <c r="D133" s="5" t="s">
        <v>118</v>
      </c>
      <c r="E133" s="5" t="s">
        <v>121</v>
      </c>
      <c r="F133" s="5" t="str">
        <f>HYPERLINK("https://zenodo.org/records/7681876","Dataset")</f>
        <v>Dataset</v>
      </c>
      <c r="G133" s="6"/>
      <c r="H133" s="10"/>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5" t="str">
        <f>IF(COUNTA(K133:Z133)=0,"Not started",IF(OR(G133="",NOT(ISNUMBER(H133)),I133&lt;&gt;"Confirmed"),"Reviewer / date / release needed",IF(COUNTIFS(MCDM_Checks!$B$6:$B$3733,A133,MCDM_Checks!$J$6:$J$3733,"Evidence needed")&gt;0,"Check evidence needed",IF(COUNTIFS(MCDM_Checks!$B$6:$B$3733,A133,MCDM_Checks!$J$6:$J$3733,"Human valid")=IF(D133="Unlabeled-13",13,16),"Core review recorded","Core review incomplete"))))</f>
        <v>Not started</v>
      </c>
      <c r="AI133" s="5" t="str">
        <f>HYPERLINK("#'MCDM_Checks'!A"&amp;(MATCH("DS-128",MCDM_Checks!$B$6:$B$3733,0)+5),"Check evidence")</f>
        <v>Check evidence</v>
      </c>
    </row>
    <row r="134" spans="1:35" ht="25.5">
      <c r="A134" s="5" t="s">
        <v>1495</v>
      </c>
      <c r="B134" s="5" t="s">
        <v>1496</v>
      </c>
      <c r="C134" s="5"/>
      <c r="D134" s="5" t="s">
        <v>118</v>
      </c>
      <c r="E134" s="5" t="s">
        <v>1497</v>
      </c>
      <c r="F134" s="5" t="str">
        <f>HYPERLINK("https://zenodo.org/records/18528034","Dataset")</f>
        <v>Dataset</v>
      </c>
      <c r="G134" s="6"/>
      <c r="H134" s="10"/>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5" t="str">
        <f>IF(COUNTA(K134:Z134)=0,"Not started",IF(OR(G134="",NOT(ISNUMBER(H134)),I134&lt;&gt;"Confirmed"),"Reviewer / date / release needed",IF(COUNTIFS(MCDM_Checks!$B$6:$B$3733,A134,MCDM_Checks!$J$6:$J$3733,"Evidence needed")&gt;0,"Check evidence needed",IF(COUNTIFS(MCDM_Checks!$B$6:$B$3733,A134,MCDM_Checks!$J$6:$J$3733,"Human valid")=IF(D134="Unlabeled-13",13,16),"Core review recorded","Core review incomplete"))))</f>
        <v>Not started</v>
      </c>
      <c r="AI134" s="5" t="str">
        <f>HYPERLINK("#'MCDM_Checks'!A"&amp;(MATCH("DS-129",MCDM_Checks!$B$6:$B$3733,0)+5),"Check evidence")</f>
        <v>Check evidence</v>
      </c>
    </row>
    <row r="135" spans="1:35" ht="38.25">
      <c r="A135" s="5" t="s">
        <v>1511</v>
      </c>
      <c r="B135" s="5" t="s">
        <v>1512</v>
      </c>
      <c r="C135" s="5"/>
      <c r="D135" s="5" t="s">
        <v>118</v>
      </c>
      <c r="E135" s="5" t="s">
        <v>1407</v>
      </c>
      <c r="F135" s="5" t="str">
        <f>HYPERLINK("https://zenodo.org/records/21701636","Dataset")</f>
        <v>Dataset</v>
      </c>
      <c r="G135" s="6"/>
      <c r="H135" s="10"/>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5" t="str">
        <f>IF(COUNTA(K135:Z135)=0,"Not started",IF(OR(G135="",NOT(ISNUMBER(H135)),I135&lt;&gt;"Confirmed"),"Reviewer / date / release needed",IF(COUNTIFS(MCDM_Checks!$B$6:$B$3733,A135,MCDM_Checks!$J$6:$J$3733,"Evidence needed")&gt;0,"Check evidence needed",IF(COUNTIFS(MCDM_Checks!$B$6:$B$3733,A135,MCDM_Checks!$J$6:$J$3733,"Human valid")=IF(D135="Unlabeled-13",13,16),"Core review recorded","Core review incomplete"))))</f>
        <v>Not started</v>
      </c>
      <c r="AI135" s="5" t="str">
        <f>HYPERLINK("#'MCDM_Checks'!A"&amp;(MATCH("DS-130",MCDM_Checks!$B$6:$B$3733,0)+5),"Check evidence")</f>
        <v>Check evidence</v>
      </c>
    </row>
    <row r="136" spans="1:35" ht="25.5">
      <c r="A136" s="5" t="s">
        <v>1521</v>
      </c>
      <c r="B136" s="5" t="s">
        <v>1522</v>
      </c>
      <c r="C136" s="5"/>
      <c r="D136" s="5" t="s">
        <v>118</v>
      </c>
      <c r="E136" s="5" t="s">
        <v>119</v>
      </c>
      <c r="F136" s="5" t="str">
        <f>HYPERLINK("https://zenodo.org/records/17194814","Dataset")</f>
        <v>Dataset</v>
      </c>
      <c r="G136" s="6"/>
      <c r="H136" s="10"/>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5" t="str">
        <f>IF(COUNTA(K136:Z136)=0,"Not started",IF(OR(G136="",NOT(ISNUMBER(H136)),I136&lt;&gt;"Confirmed"),"Reviewer / date / release needed",IF(COUNTIFS(MCDM_Checks!$B$6:$B$3733,A136,MCDM_Checks!$J$6:$J$3733,"Evidence needed")&gt;0,"Check evidence needed",IF(COUNTIFS(MCDM_Checks!$B$6:$B$3733,A136,MCDM_Checks!$J$6:$J$3733,"Human valid")=IF(D136="Unlabeled-13",13,16),"Core review recorded","Core review incomplete"))))</f>
        <v>Not started</v>
      </c>
      <c r="AI136" s="5" t="str">
        <f>HYPERLINK("#'MCDM_Checks'!A"&amp;(MATCH("DS-131",MCDM_Checks!$B$6:$B$3733,0)+5),"Check evidence")</f>
        <v>Check evidence</v>
      </c>
    </row>
    <row r="137" spans="1:35" ht="25.5">
      <c r="A137" s="5" t="s">
        <v>1533</v>
      </c>
      <c r="B137" s="5" t="s">
        <v>1534</v>
      </c>
      <c r="C137" s="5"/>
      <c r="D137" s="5" t="s">
        <v>118</v>
      </c>
      <c r="E137" s="5" t="s">
        <v>119</v>
      </c>
      <c r="F137" s="5" t="str">
        <f>HYPERLINK("https://zenodo.org/records/17952339","Dataset")</f>
        <v>Dataset</v>
      </c>
      <c r="G137" s="6"/>
      <c r="H137" s="10"/>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5" t="str">
        <f>IF(COUNTA(K137:Z137)=0,"Not started",IF(OR(G137="",NOT(ISNUMBER(H137)),I137&lt;&gt;"Confirmed"),"Reviewer / date / release needed",IF(COUNTIFS(MCDM_Checks!$B$6:$B$3733,A137,MCDM_Checks!$J$6:$J$3733,"Evidence needed")&gt;0,"Check evidence needed",IF(COUNTIFS(MCDM_Checks!$B$6:$B$3733,A137,MCDM_Checks!$J$6:$J$3733,"Human valid")=IF(D137="Unlabeled-13",13,16),"Core review recorded","Core review incomplete"))))</f>
        <v>Not started</v>
      </c>
      <c r="AI137" s="5" t="str">
        <f>HYPERLINK("#'MCDM_Checks'!A"&amp;(MATCH("DS-132",MCDM_Checks!$B$6:$B$3733,0)+5),"Check evidence")</f>
        <v>Check evidence</v>
      </c>
    </row>
    <row r="138" spans="1:35">
      <c r="A138" s="5" t="s">
        <v>1543</v>
      </c>
      <c r="B138" s="5" t="s">
        <v>1544</v>
      </c>
      <c r="C138" s="5"/>
      <c r="D138" s="5" t="s">
        <v>118</v>
      </c>
      <c r="E138" s="5" t="s">
        <v>121</v>
      </c>
      <c r="F138" s="5" t="str">
        <f>HYPERLINK("https://zenodo.org/records/20687211","Dataset")</f>
        <v>Dataset</v>
      </c>
      <c r="G138" s="6"/>
      <c r="H138" s="10"/>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5" t="str">
        <f>IF(COUNTA(K138:Z138)=0,"Not started",IF(OR(G138="",NOT(ISNUMBER(H138)),I138&lt;&gt;"Confirmed"),"Reviewer / date / release needed",IF(COUNTIFS(MCDM_Checks!$B$6:$B$3733,A138,MCDM_Checks!$J$6:$J$3733,"Evidence needed")&gt;0,"Check evidence needed",IF(COUNTIFS(MCDM_Checks!$B$6:$B$3733,A138,MCDM_Checks!$J$6:$J$3733,"Human valid")=IF(D138="Unlabeled-13",13,16),"Core review recorded","Core review incomplete"))))</f>
        <v>Not started</v>
      </c>
      <c r="AI138" s="5" t="str">
        <f>HYPERLINK("#'MCDM_Checks'!A"&amp;(MATCH("DS-133",MCDM_Checks!$B$6:$B$3733,0)+5),"Check evidence")</f>
        <v>Check evidence</v>
      </c>
    </row>
    <row r="139" spans="1:35" ht="25.5">
      <c r="A139" s="5" t="s">
        <v>1554</v>
      </c>
      <c r="B139" s="5" t="s">
        <v>1555</v>
      </c>
      <c r="C139" s="5"/>
      <c r="D139" s="5" t="s">
        <v>118</v>
      </c>
      <c r="E139" s="5" t="s">
        <v>1556</v>
      </c>
      <c r="F139" s="5" t="str">
        <f>HYPERLINK("https://zenodo.org/records/11473582","Dataset")</f>
        <v>Dataset</v>
      </c>
      <c r="G139" s="6"/>
      <c r="H139" s="10"/>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5" t="str">
        <f>IF(COUNTA(K139:Z139)=0,"Not started",IF(OR(G139="",NOT(ISNUMBER(H139)),I139&lt;&gt;"Confirmed"),"Reviewer / date / release needed",IF(COUNTIFS(MCDM_Checks!$B$6:$B$3733,A139,MCDM_Checks!$J$6:$J$3733,"Evidence needed")&gt;0,"Check evidence needed",IF(COUNTIFS(MCDM_Checks!$B$6:$B$3733,A139,MCDM_Checks!$J$6:$J$3733,"Human valid")=IF(D139="Unlabeled-13",13,16),"Core review recorded","Core review incomplete"))))</f>
        <v>Not started</v>
      </c>
      <c r="AI139" s="5" t="str">
        <f>HYPERLINK("#'MCDM_Checks'!A"&amp;(MATCH("DS-134",MCDM_Checks!$B$6:$B$3733,0)+5),"Check evidence")</f>
        <v>Check evidence</v>
      </c>
    </row>
    <row r="140" spans="1:35" ht="25.5">
      <c r="A140" s="5" t="s">
        <v>53</v>
      </c>
      <c r="B140" s="5" t="s">
        <v>1566</v>
      </c>
      <c r="C140" s="5">
        <v>6</v>
      </c>
      <c r="D140" s="5" t="s">
        <v>118</v>
      </c>
      <c r="E140" s="5" t="s">
        <v>58</v>
      </c>
      <c r="F140" s="5" t="str">
        <f>HYPERLINK("https://zenodo.org/records/8429208","Dataset")</f>
        <v>Dataset</v>
      </c>
      <c r="G140" s="6"/>
      <c r="H140" s="10"/>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5" t="str">
        <f>IF(COUNTA(K140:Z140)=0,"Not started",IF(OR(G140="",NOT(ISNUMBER(H140)),I140&lt;&gt;"Confirmed"),"Reviewer / date / release needed",IF(COUNTIFS(MCDM_Checks!$B$6:$B$3733,A140,MCDM_Checks!$J$6:$J$3733,"Evidence needed")&gt;0,"Check evidence needed",IF(COUNTIFS(MCDM_Checks!$B$6:$B$3733,A140,MCDM_Checks!$J$6:$J$3733,"Human valid")=IF(D140="Unlabeled-13",13,16),"Core review recorded","Core review incomplete"))))</f>
        <v>Not started</v>
      </c>
      <c r="AI140" s="5" t="str">
        <f>HYPERLINK("#'MCDM_Checks'!A"&amp;(MATCH("DS-135",MCDM_Checks!$B$6:$B$3733,0)+5),"Check evidence")</f>
        <v>Check evidence</v>
      </c>
    </row>
    <row r="141" spans="1:35">
      <c r="A141" s="5" t="s">
        <v>1578</v>
      </c>
      <c r="B141" s="5" t="s">
        <v>1579</v>
      </c>
      <c r="C141" s="5"/>
      <c r="D141" s="5" t="s">
        <v>118</v>
      </c>
      <c r="E141" s="5" t="s">
        <v>119</v>
      </c>
      <c r="F141" s="5" t="str">
        <f>HYPERLINK("https://zenodo.org/records/4244084","Dataset")</f>
        <v>Dataset</v>
      </c>
      <c r="G141" s="6"/>
      <c r="H141" s="10"/>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5" t="str">
        <f>IF(COUNTA(K141:Z141)=0,"Not started",IF(OR(G141="",NOT(ISNUMBER(H141)),I141&lt;&gt;"Confirmed"),"Reviewer / date / release needed",IF(COUNTIFS(MCDM_Checks!$B$6:$B$3733,A141,MCDM_Checks!$J$6:$J$3733,"Evidence needed")&gt;0,"Check evidence needed",IF(COUNTIFS(MCDM_Checks!$B$6:$B$3733,A141,MCDM_Checks!$J$6:$J$3733,"Human valid")=IF(D141="Unlabeled-13",13,16),"Core review recorded","Core review incomplete"))))</f>
        <v>Not started</v>
      </c>
      <c r="AI141" s="5" t="str">
        <f>HYPERLINK("#'MCDM_Checks'!A"&amp;(MATCH("DS-136",MCDM_Checks!$B$6:$B$3733,0)+5),"Check evidence")</f>
        <v>Check evidence</v>
      </c>
    </row>
    <row r="142" spans="1:35" ht="25.5">
      <c r="A142" s="5" t="s">
        <v>1588</v>
      </c>
      <c r="B142" s="5" t="s">
        <v>1589</v>
      </c>
      <c r="C142" s="5"/>
      <c r="D142" s="5" t="s">
        <v>118</v>
      </c>
      <c r="E142" s="5" t="s">
        <v>1590</v>
      </c>
      <c r="F142" s="5" t="str">
        <f>HYPERLINK("https://zenodo.org/records/20365503","Dataset")</f>
        <v>Dataset</v>
      </c>
      <c r="G142" s="6"/>
      <c r="H142" s="10"/>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5" t="str">
        <f>IF(COUNTA(K142:Z142)=0,"Not started",IF(OR(G142="",NOT(ISNUMBER(H142)),I142&lt;&gt;"Confirmed"),"Reviewer / date / release needed",IF(COUNTIFS(MCDM_Checks!$B$6:$B$3733,A142,MCDM_Checks!$J$6:$J$3733,"Evidence needed")&gt;0,"Check evidence needed",IF(COUNTIFS(MCDM_Checks!$B$6:$B$3733,A142,MCDM_Checks!$J$6:$J$3733,"Human valid")=IF(D142="Unlabeled-13",13,16),"Core review recorded","Core review incomplete"))))</f>
        <v>Not started</v>
      </c>
      <c r="AI142" s="5" t="str">
        <f>HYPERLINK("#'MCDM_Checks'!A"&amp;(MATCH("DS-137",MCDM_Checks!$B$6:$B$3733,0)+5),"Check evidence")</f>
        <v>Check evidence</v>
      </c>
    </row>
    <row r="143" spans="1:35">
      <c r="A143" s="5" t="s">
        <v>1599</v>
      </c>
      <c r="B143" s="5" t="s">
        <v>1600</v>
      </c>
      <c r="C143" s="5"/>
      <c r="D143" s="5" t="s">
        <v>118</v>
      </c>
      <c r="E143" s="5" t="s">
        <v>1601</v>
      </c>
      <c r="F143" s="5" t="str">
        <f>HYPERLINK("https://www.kaggle.com/datasets/chitholian/annotated-potholes-dataset","Dataset")</f>
        <v>Dataset</v>
      </c>
      <c r="G143" s="6"/>
      <c r="H143" s="10"/>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5" t="str">
        <f>IF(COUNTA(K143:Z143)=0,"Not started",IF(OR(G143="",NOT(ISNUMBER(H143)),I143&lt;&gt;"Confirmed"),"Reviewer / date / release needed",IF(COUNTIFS(MCDM_Checks!$B$6:$B$3733,A143,MCDM_Checks!$J$6:$J$3733,"Evidence needed")&gt;0,"Check evidence needed",IF(COUNTIFS(MCDM_Checks!$B$6:$B$3733,A143,MCDM_Checks!$J$6:$J$3733,"Human valid")=IF(D143="Unlabeled-13",13,16),"Core review recorded","Core review incomplete"))))</f>
        <v>Not started</v>
      </c>
      <c r="AI143" s="5" t="str">
        <f>HYPERLINK("#'MCDM_Checks'!A"&amp;(MATCH("DS-138",MCDM_Checks!$B$6:$B$3733,0)+5),"Check evidence")</f>
        <v>Check evidence</v>
      </c>
    </row>
    <row r="144" spans="1:35">
      <c r="A144" s="5" t="s">
        <v>1610</v>
      </c>
      <c r="B144" s="5" t="s">
        <v>1611</v>
      </c>
      <c r="C144" s="5"/>
      <c r="D144" s="5" t="s">
        <v>118</v>
      </c>
      <c r="E144" s="5" t="s">
        <v>1601</v>
      </c>
      <c r="F144" s="5" t="str">
        <f>HYPERLINK("https://www.kaggle.com/datasets/idanbaru/annotated-potholes-with-severity-levels","Dataset")</f>
        <v>Dataset</v>
      </c>
      <c r="G144" s="6"/>
      <c r="H144" s="10"/>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5" t="str">
        <f>IF(COUNTA(K144:Z144)=0,"Not started",IF(OR(G144="",NOT(ISNUMBER(H144)),I144&lt;&gt;"Confirmed"),"Reviewer / date / release needed",IF(COUNTIFS(MCDM_Checks!$B$6:$B$3733,A144,MCDM_Checks!$J$6:$J$3733,"Evidence needed")&gt;0,"Check evidence needed",IF(COUNTIFS(MCDM_Checks!$B$6:$B$3733,A144,MCDM_Checks!$J$6:$J$3733,"Human valid")=IF(D144="Unlabeled-13",13,16),"Core review recorded","Core review incomplete"))))</f>
        <v>Not started</v>
      </c>
      <c r="AI144" s="5" t="str">
        <f>HYPERLINK("#'MCDM_Checks'!A"&amp;(MATCH("DS-139",MCDM_Checks!$B$6:$B$3733,0)+5),"Check evidence")</f>
        <v>Check evidence</v>
      </c>
    </row>
    <row r="145" spans="1:35">
      <c r="A145" s="5" t="s">
        <v>1622</v>
      </c>
      <c r="B145" s="5" t="s">
        <v>1623</v>
      </c>
      <c r="C145" s="5"/>
      <c r="D145" s="5" t="s">
        <v>118</v>
      </c>
      <c r="E145" s="5" t="s">
        <v>1601</v>
      </c>
      <c r="F145" s="5" t="str">
        <f>HYPERLINK("https://www.kaggle.com/datasets/abrahamanderson/asphalt-cracks","Dataset")</f>
        <v>Dataset</v>
      </c>
      <c r="G145" s="6"/>
      <c r="H145" s="10"/>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5" t="str">
        <f>IF(COUNTA(K145:Z145)=0,"Not started",IF(OR(G145="",NOT(ISNUMBER(H145)),I145&lt;&gt;"Confirmed"),"Reviewer / date / release needed",IF(COUNTIFS(MCDM_Checks!$B$6:$B$3733,A145,MCDM_Checks!$J$6:$J$3733,"Evidence needed")&gt;0,"Check evidence needed",IF(COUNTIFS(MCDM_Checks!$B$6:$B$3733,A145,MCDM_Checks!$J$6:$J$3733,"Human valid")=IF(D145="Unlabeled-13",13,16),"Core review recorded","Core review incomplete"))))</f>
        <v>Not started</v>
      </c>
      <c r="AI145" s="5" t="str">
        <f>HYPERLINK("#'MCDM_Checks'!A"&amp;(MATCH("DS-140",MCDM_Checks!$B$6:$B$3733,0)+5),"Check evidence")</f>
        <v>Check evidence</v>
      </c>
    </row>
    <row r="146" spans="1:35">
      <c r="A146" s="5" t="s">
        <v>1628</v>
      </c>
      <c r="B146" s="5" t="s">
        <v>1629</v>
      </c>
      <c r="C146" s="5"/>
      <c r="D146" s="5" t="s">
        <v>118</v>
      </c>
      <c r="E146" s="5" t="s">
        <v>1601</v>
      </c>
      <c r="F146" s="5" t="str">
        <f>HYPERLINK("https://www.kaggle.com/datasets/shubhamadsul97/cdac-dai-pavement-distress-detection","Dataset")</f>
        <v>Dataset</v>
      </c>
      <c r="G146" s="6"/>
      <c r="H146" s="10"/>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5" t="str">
        <f>IF(COUNTA(K146:Z146)=0,"Not started",IF(OR(G146="",NOT(ISNUMBER(H146)),I146&lt;&gt;"Confirmed"),"Reviewer / date / release needed",IF(COUNTIFS(MCDM_Checks!$B$6:$B$3733,A146,MCDM_Checks!$J$6:$J$3733,"Evidence needed")&gt;0,"Check evidence needed",IF(COUNTIFS(MCDM_Checks!$B$6:$B$3733,A146,MCDM_Checks!$J$6:$J$3733,"Human valid")=IF(D146="Unlabeled-13",13,16),"Core review recorded","Core review incomplete"))))</f>
        <v>Not started</v>
      </c>
      <c r="AI146" s="5" t="str">
        <f>HYPERLINK("#'MCDM_Checks'!A"&amp;(MATCH("DS-141",MCDM_Checks!$B$6:$B$3733,0)+5),"Check evidence")</f>
        <v>Check evidence</v>
      </c>
    </row>
    <row r="147" spans="1:35">
      <c r="A147" s="5" t="s">
        <v>1636</v>
      </c>
      <c r="B147" s="5" t="s">
        <v>1637</v>
      </c>
      <c r="C147" s="5"/>
      <c r="D147" s="5" t="s">
        <v>118</v>
      </c>
      <c r="E147" s="5" t="s">
        <v>1601</v>
      </c>
      <c r="F147" s="5" t="str">
        <f>HYPERLINK("https://www.kaggle.com/datasets/aryanbadiee/combinedcrack","Dataset")</f>
        <v>Dataset</v>
      </c>
      <c r="G147" s="6"/>
      <c r="H147" s="10"/>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5" t="str">
        <f>IF(COUNTA(K147:Z147)=0,"Not started",IF(OR(G147="",NOT(ISNUMBER(H147)),I147&lt;&gt;"Confirmed"),"Reviewer / date / release needed",IF(COUNTIFS(MCDM_Checks!$B$6:$B$3733,A147,MCDM_Checks!$J$6:$J$3733,"Evidence needed")&gt;0,"Check evidence needed",IF(COUNTIFS(MCDM_Checks!$B$6:$B$3733,A147,MCDM_Checks!$J$6:$J$3733,"Human valid")=IF(D147="Unlabeled-13",13,16),"Core review recorded","Core review incomplete"))))</f>
        <v>Not started</v>
      </c>
      <c r="AI147" s="5" t="str">
        <f>HYPERLINK("#'MCDM_Checks'!A"&amp;(MATCH("DS-142",MCDM_Checks!$B$6:$B$3733,0)+5),"Check evidence")</f>
        <v>Check evidence</v>
      </c>
    </row>
    <row r="148" spans="1:35">
      <c r="A148" s="5" t="s">
        <v>1644</v>
      </c>
      <c r="B148" s="5" t="s">
        <v>1645</v>
      </c>
      <c r="C148" s="5"/>
      <c r="D148" s="5" t="s">
        <v>118</v>
      </c>
      <c r="E148" s="5" t="s">
        <v>1601</v>
      </c>
      <c r="F148" s="5" t="str">
        <f>HYPERLINK("https://www.kaggle.com/datasets/ammanaveen/custom-multitask-indian-road-dataset-cmird","Dataset")</f>
        <v>Dataset</v>
      </c>
      <c r="G148" s="6"/>
      <c r="H148" s="10"/>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5" t="str">
        <f>IF(COUNTA(K148:Z148)=0,"Not started",IF(OR(G148="",NOT(ISNUMBER(H148)),I148&lt;&gt;"Confirmed"),"Reviewer / date / release needed",IF(COUNTIFS(MCDM_Checks!$B$6:$B$3733,A148,MCDM_Checks!$J$6:$J$3733,"Evidence needed")&gt;0,"Check evidence needed",IF(COUNTIFS(MCDM_Checks!$B$6:$B$3733,A148,MCDM_Checks!$J$6:$J$3733,"Human valid")=IF(D148="Unlabeled-13",13,16),"Core review recorded","Core review incomplete"))))</f>
        <v>Not started</v>
      </c>
      <c r="AI148" s="5" t="str">
        <f>HYPERLINK("#'MCDM_Checks'!A"&amp;(MATCH("DS-143",MCDM_Checks!$B$6:$B$3733,0)+5),"Check evidence")</f>
        <v>Check evidence</v>
      </c>
    </row>
    <row r="149" spans="1:35">
      <c r="A149" s="5" t="s">
        <v>1653</v>
      </c>
      <c r="B149" s="5" t="s">
        <v>1654</v>
      </c>
      <c r="C149" s="5"/>
      <c r="D149" s="5" t="s">
        <v>118</v>
      </c>
      <c r="E149" s="5" t="s">
        <v>1601</v>
      </c>
      <c r="F149" s="5" t="str">
        <f>HYPERLINK("https://www.kaggle.com/datasets/ziya07/highway-surface-crack-detection","Dataset")</f>
        <v>Dataset</v>
      </c>
      <c r="G149" s="6"/>
      <c r="H149" s="10"/>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5" t="str">
        <f>IF(COUNTA(K149:Z149)=0,"Not started",IF(OR(G149="",NOT(ISNUMBER(H149)),I149&lt;&gt;"Confirmed"),"Reviewer / date / release needed",IF(COUNTIFS(MCDM_Checks!$B$6:$B$3733,A149,MCDM_Checks!$J$6:$J$3733,"Evidence needed")&gt;0,"Check evidence needed",IF(COUNTIFS(MCDM_Checks!$B$6:$B$3733,A149,MCDM_Checks!$J$6:$J$3733,"Human valid")=IF(D149="Unlabeled-13",13,16),"Core review recorded","Core review incomplete"))))</f>
        <v>Not started</v>
      </c>
      <c r="AI149" s="5" t="str">
        <f>HYPERLINK("#'MCDM_Checks'!A"&amp;(MATCH("DS-144",MCDM_Checks!$B$6:$B$3733,0)+5),"Check evidence")</f>
        <v>Check evidence</v>
      </c>
    </row>
    <row r="150" spans="1:35" ht="25.5">
      <c r="A150" s="5" t="s">
        <v>1662</v>
      </c>
      <c r="B150" s="5" t="s">
        <v>1663</v>
      </c>
      <c r="C150" s="5"/>
      <c r="D150" s="5" t="s">
        <v>118</v>
      </c>
      <c r="E150" s="5" t="s">
        <v>1664</v>
      </c>
      <c r="F150" s="5" t="str">
        <f>HYPERLINK("https://www.kaggle.com/datasets/srajanchourasia/pothole-dataset","Dataset")</f>
        <v>Dataset</v>
      </c>
      <c r="G150" s="6"/>
      <c r="H150" s="10"/>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5" t="str">
        <f>IF(COUNTA(K150:Z150)=0,"Not started",IF(OR(G150="",NOT(ISNUMBER(H150)),I150&lt;&gt;"Confirmed"),"Reviewer / date / release needed",IF(COUNTIFS(MCDM_Checks!$B$6:$B$3733,A150,MCDM_Checks!$J$6:$J$3733,"Evidence needed")&gt;0,"Check evidence needed",IF(COUNTIFS(MCDM_Checks!$B$6:$B$3733,A150,MCDM_Checks!$J$6:$J$3733,"Human valid")=IF(D150="Unlabeled-13",13,16),"Core review recorded","Core review incomplete"))))</f>
        <v>Not started</v>
      </c>
      <c r="AI150" s="5" t="str">
        <f>HYPERLINK("#'MCDM_Checks'!A"&amp;(MATCH("DS-145",MCDM_Checks!$B$6:$B$3733,0)+5),"Check evidence")</f>
        <v>Check evidence</v>
      </c>
    </row>
    <row r="151" spans="1:35">
      <c r="A151" s="5" t="s">
        <v>1671</v>
      </c>
      <c r="B151" s="5" t="s">
        <v>1672</v>
      </c>
      <c r="C151" s="5"/>
      <c r="D151" s="5" t="s">
        <v>118</v>
      </c>
      <c r="E151" s="5" t="s">
        <v>1601</v>
      </c>
      <c r="F151" s="5" t="str">
        <f>HYPERLINK("https://www.kaggle.com/datasets/abdukeram/intersecting-crack-analysis","Dataset")</f>
        <v>Dataset</v>
      </c>
      <c r="G151" s="6"/>
      <c r="H151" s="10"/>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5" t="str">
        <f>IF(COUNTA(K151:Z151)=0,"Not started",IF(OR(G151="",NOT(ISNUMBER(H151)),I151&lt;&gt;"Confirmed"),"Reviewer / date / release needed",IF(COUNTIFS(MCDM_Checks!$B$6:$B$3733,A151,MCDM_Checks!$J$6:$J$3733,"Evidence needed")&gt;0,"Check evidence needed",IF(COUNTIFS(MCDM_Checks!$B$6:$B$3733,A151,MCDM_Checks!$J$6:$J$3733,"Human valid")=IF(D151="Unlabeled-13",13,16),"Core review recorded","Core review incomplete"))))</f>
        <v>Not started</v>
      </c>
      <c r="AI151" s="5" t="str">
        <f>HYPERLINK("#'MCDM_Checks'!A"&amp;(MATCH("DS-146",MCDM_Checks!$B$6:$B$3733,0)+5),"Check evidence")</f>
        <v>Check evidence</v>
      </c>
    </row>
    <row r="152" spans="1:35">
      <c r="A152" s="5" t="s">
        <v>1679</v>
      </c>
      <c r="B152" s="5" t="s">
        <v>1680</v>
      </c>
      <c r="C152" s="5"/>
      <c r="D152" s="5" t="s">
        <v>118</v>
      </c>
      <c r="E152" s="5" t="s">
        <v>121</v>
      </c>
      <c r="F152" s="5" t="str">
        <f>HYPERLINK("https://www.kaggle.com/datasets/salimhammadi07/miia-pothole-image-classification-challenge","Dataset")</f>
        <v>Dataset</v>
      </c>
      <c r="G152" s="6"/>
      <c r="H152" s="10"/>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5" t="str">
        <f>IF(COUNTA(K152:Z152)=0,"Not started",IF(OR(G152="",NOT(ISNUMBER(H152)),I152&lt;&gt;"Confirmed"),"Reviewer / date / release needed",IF(COUNTIFS(MCDM_Checks!$B$6:$B$3733,A152,MCDM_Checks!$J$6:$J$3733,"Evidence needed")&gt;0,"Check evidence needed",IF(COUNTIFS(MCDM_Checks!$B$6:$B$3733,A152,MCDM_Checks!$J$6:$J$3733,"Human valid")=IF(D152="Unlabeled-13",13,16),"Core review recorded","Core review incomplete"))))</f>
        <v>Not started</v>
      </c>
      <c r="AI152" s="5" t="str">
        <f>HYPERLINK("#'MCDM_Checks'!A"&amp;(MATCH("DS-147",MCDM_Checks!$B$6:$B$3733,0)+5),"Check evidence")</f>
        <v>Check evidence</v>
      </c>
    </row>
    <row r="153" spans="1:35">
      <c r="A153" s="5" t="s">
        <v>1691</v>
      </c>
      <c r="B153" s="5" t="s">
        <v>1692</v>
      </c>
      <c r="C153" s="5"/>
      <c r="D153" s="5" t="s">
        <v>118</v>
      </c>
      <c r="E153" s="5" t="s">
        <v>1601</v>
      </c>
      <c r="F153" s="5" t="str">
        <f>HYPERLINK("https://www.kaggle.com/datasets/bandisr/post-earthquake-asphalt-crack-classification","Dataset")</f>
        <v>Dataset</v>
      </c>
      <c r="G153" s="6"/>
      <c r="H153" s="10"/>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5" t="str">
        <f>IF(COUNTA(K153:Z153)=0,"Not started",IF(OR(G153="",NOT(ISNUMBER(H153)),I153&lt;&gt;"Confirmed"),"Reviewer / date / release needed",IF(COUNTIFS(MCDM_Checks!$B$6:$B$3733,A153,MCDM_Checks!$J$6:$J$3733,"Evidence needed")&gt;0,"Check evidence needed",IF(COUNTIFS(MCDM_Checks!$B$6:$B$3733,A153,MCDM_Checks!$J$6:$J$3733,"Human valid")=IF(D153="Unlabeled-13",13,16),"Core review recorded","Core review incomplete"))))</f>
        <v>Not started</v>
      </c>
      <c r="AI153" s="5" t="str">
        <f>HYPERLINK("#'MCDM_Checks'!A"&amp;(MATCH("DS-148",MCDM_Checks!$B$6:$B$3733,0)+5),"Check evidence")</f>
        <v>Check evidence</v>
      </c>
    </row>
    <row r="154" spans="1:35">
      <c r="A154" s="5" t="s">
        <v>1701</v>
      </c>
      <c r="B154" s="5" t="s">
        <v>1702</v>
      </c>
      <c r="C154" s="5"/>
      <c r="D154" s="5" t="s">
        <v>118</v>
      </c>
      <c r="E154" s="5" t="s">
        <v>1601</v>
      </c>
      <c r="F154" s="5" t="str">
        <f>HYPERLINK("https://www.kaggle.com/datasets/andrewmvd/pothole-detection","Dataset")</f>
        <v>Dataset</v>
      </c>
      <c r="G154" s="6"/>
      <c r="H154" s="10"/>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5" t="str">
        <f>IF(COUNTA(K154:Z154)=0,"Not started",IF(OR(G154="",NOT(ISNUMBER(H154)),I154&lt;&gt;"Confirmed"),"Reviewer / date / release needed",IF(COUNTIFS(MCDM_Checks!$B$6:$B$3733,A154,MCDM_Checks!$J$6:$J$3733,"Evidence needed")&gt;0,"Check evidence needed",IF(COUNTIFS(MCDM_Checks!$B$6:$B$3733,A154,MCDM_Checks!$J$6:$J$3733,"Human valid")=IF(D154="Unlabeled-13",13,16),"Core review recorded","Core review incomplete"))))</f>
        <v>Not started</v>
      </c>
      <c r="AI154" s="5" t="str">
        <f>HYPERLINK("#'MCDM_Checks'!A"&amp;(MATCH("DS-149",MCDM_Checks!$B$6:$B$3733,0)+5),"Check evidence")</f>
        <v>Check evidence</v>
      </c>
    </row>
    <row r="155" spans="1:35">
      <c r="A155" s="5" t="s">
        <v>1709</v>
      </c>
      <c r="B155" s="5" t="s">
        <v>1710</v>
      </c>
      <c r="C155" s="5"/>
      <c r="D155" s="5" t="s">
        <v>118</v>
      </c>
      <c r="E155" s="5" t="s">
        <v>1497</v>
      </c>
      <c r="F155" s="5" t="str">
        <f>HYPERLINK("https://www.kaggle.com/datasets/atulyakumar98/pothole-detection-dataset","Dataset")</f>
        <v>Dataset</v>
      </c>
      <c r="G155" s="6"/>
      <c r="H155" s="10"/>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5" t="str">
        <f>IF(COUNTA(K155:Z155)=0,"Not started",IF(OR(G155="",NOT(ISNUMBER(H155)),I155&lt;&gt;"Confirmed"),"Reviewer / date / release needed",IF(COUNTIFS(MCDM_Checks!$B$6:$B$3733,A155,MCDM_Checks!$J$6:$J$3733,"Evidence needed")&gt;0,"Check evidence needed",IF(COUNTIFS(MCDM_Checks!$B$6:$B$3733,A155,MCDM_Checks!$J$6:$J$3733,"Human valid")=IF(D155="Unlabeled-13",13,16),"Core review recorded","Core review incomplete"))))</f>
        <v>Not started</v>
      </c>
      <c r="AI155" s="5" t="str">
        <f>HYPERLINK("#'MCDM_Checks'!A"&amp;(MATCH("DS-150",MCDM_Checks!$B$6:$B$3733,0)+5),"Check evidence")</f>
        <v>Check evidence</v>
      </c>
    </row>
    <row r="156" spans="1:35">
      <c r="A156" s="5" t="s">
        <v>1717</v>
      </c>
      <c r="B156" s="5" t="s">
        <v>1718</v>
      </c>
      <c r="C156" s="5"/>
      <c r="D156" s="5" t="s">
        <v>118</v>
      </c>
      <c r="E156" s="5" t="s">
        <v>1601</v>
      </c>
      <c r="F156" s="5" t="str">
        <f>HYPERLINK("https://www.kaggle.com/datasets/muskanverma24/pothole-detection-dataset-yolov11-optimized","Dataset")</f>
        <v>Dataset</v>
      </c>
      <c r="G156" s="6"/>
      <c r="H156" s="10"/>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5" t="str">
        <f>IF(COUNTA(K156:Z156)=0,"Not started",IF(OR(G156="",NOT(ISNUMBER(H156)),I156&lt;&gt;"Confirmed"),"Reviewer / date / release needed",IF(COUNTIFS(MCDM_Checks!$B$6:$B$3733,A156,MCDM_Checks!$J$6:$J$3733,"Evidence needed")&gt;0,"Check evidence needed",IF(COUNTIFS(MCDM_Checks!$B$6:$B$3733,A156,MCDM_Checks!$J$6:$J$3733,"Human valid")=IF(D156="Unlabeled-13",13,16),"Core review recorded","Core review incomplete"))))</f>
        <v>Not started</v>
      </c>
      <c r="AI156" s="5" t="str">
        <f>HYPERLINK("#'MCDM_Checks'!A"&amp;(MATCH("DS-151",MCDM_Checks!$B$6:$B$3733,0)+5),"Check evidence")</f>
        <v>Check evidence</v>
      </c>
    </row>
    <row r="157" spans="1:35">
      <c r="A157" s="5" t="s">
        <v>1727</v>
      </c>
      <c r="B157" s="5" t="s">
        <v>1728</v>
      </c>
      <c r="C157" s="5"/>
      <c r="D157" s="5" t="s">
        <v>118</v>
      </c>
      <c r="E157" s="5" t="s">
        <v>1601</v>
      </c>
      <c r="F157" s="5" t="str">
        <f>HYPERLINK("https://www.kaggle.com/datasets/raunakkesharwani/pothole-image-segmentation-dataset","Dataset")</f>
        <v>Dataset</v>
      </c>
      <c r="G157" s="6"/>
      <c r="H157" s="10"/>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5" t="str">
        <f>IF(COUNTA(K157:Z157)=0,"Not started",IF(OR(G157="",NOT(ISNUMBER(H157)),I157&lt;&gt;"Confirmed"),"Reviewer / date / release needed",IF(COUNTIFS(MCDM_Checks!$B$6:$B$3733,A157,MCDM_Checks!$J$6:$J$3733,"Evidence needed")&gt;0,"Check evidence needed",IF(COUNTIFS(MCDM_Checks!$B$6:$B$3733,A157,MCDM_Checks!$J$6:$J$3733,"Human valid")=IF(D157="Unlabeled-13",13,16),"Core review recorded","Core review incomplete"))))</f>
        <v>Not started</v>
      </c>
      <c r="AI157" s="5" t="str">
        <f>HYPERLINK("#'MCDM_Checks'!A"&amp;(MATCH("DS-152",MCDM_Checks!$B$6:$B$3733,0)+5),"Check evidence")</f>
        <v>Check evidence</v>
      </c>
    </row>
    <row r="158" spans="1:35">
      <c r="A158" s="5" t="s">
        <v>1736</v>
      </c>
      <c r="B158" s="5" t="s">
        <v>1737</v>
      </c>
      <c r="C158" s="5"/>
      <c r="D158" s="5" t="s">
        <v>118</v>
      </c>
      <c r="E158" s="5" t="s">
        <v>1664</v>
      </c>
      <c r="F158" s="5" t="str">
        <f>HYPERLINK("https://www.kaggle.com/datasets/farzadnekouei/pothole-image-segmentation-dataset","Dataset")</f>
        <v>Dataset</v>
      </c>
      <c r="G158" s="6"/>
      <c r="H158" s="10"/>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5" t="str">
        <f>IF(COUNTA(K158:Z158)=0,"Not started",IF(OR(G158="",NOT(ISNUMBER(H158)),I158&lt;&gt;"Confirmed"),"Reviewer / date / release needed",IF(COUNTIFS(MCDM_Checks!$B$6:$B$3733,A158,MCDM_Checks!$J$6:$J$3733,"Evidence needed")&gt;0,"Check evidence needed",IF(COUNTIFS(MCDM_Checks!$B$6:$B$3733,A158,MCDM_Checks!$J$6:$J$3733,"Human valid")=IF(D158="Unlabeled-13",13,16),"Core review recorded","Core review incomplete"))))</f>
        <v>Not started</v>
      </c>
      <c r="AI158" s="5" t="str">
        <f>HYPERLINK("#'MCDM_Checks'!A"&amp;(MATCH("DS-153",MCDM_Checks!$B$6:$B$3733,0)+5),"Check evidence")</f>
        <v>Check evidence</v>
      </c>
    </row>
    <row r="159" spans="1:35" ht="25.5">
      <c r="A159" s="5" t="s">
        <v>1746</v>
      </c>
      <c r="B159" s="5" t="s">
        <v>1747</v>
      </c>
      <c r="C159" s="5"/>
      <c r="D159" s="5" t="s">
        <v>118</v>
      </c>
      <c r="E159" s="5" t="s">
        <v>1601</v>
      </c>
      <c r="F159" s="5" t="str">
        <f>HYPERLINK("https://www.kaggle.com/datasets/abdulrahmanksaeed/pothole-patrol-normalized-dataset","Dataset")</f>
        <v>Dataset</v>
      </c>
      <c r="G159" s="6"/>
      <c r="H159" s="10"/>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5" t="str">
        <f>IF(COUNTA(K159:Z159)=0,"Not started",IF(OR(G159="",NOT(ISNUMBER(H159)),I159&lt;&gt;"Confirmed"),"Reviewer / date / release needed",IF(COUNTIFS(MCDM_Checks!$B$6:$B$3733,A159,MCDM_Checks!$J$6:$J$3733,"Evidence needed")&gt;0,"Check evidence needed",IF(COUNTIFS(MCDM_Checks!$B$6:$B$3733,A159,MCDM_Checks!$J$6:$J$3733,"Human valid")=IF(D159="Unlabeled-13",13,16),"Core review recorded","Core review incomplete"))))</f>
        <v>Not started</v>
      </c>
      <c r="AI159" s="5" t="str">
        <f>HYPERLINK("#'MCDM_Checks'!A"&amp;(MATCH("DS-154",MCDM_Checks!$B$6:$B$3733,0)+5),"Check evidence")</f>
        <v>Check evidence</v>
      </c>
    </row>
    <row r="160" spans="1:35">
      <c r="A160" s="5" t="s">
        <v>1756</v>
      </c>
      <c r="B160" s="5" t="s">
        <v>1757</v>
      </c>
      <c r="C160" s="5"/>
      <c r="D160" s="5" t="s">
        <v>118</v>
      </c>
      <c r="E160" s="5" t="s">
        <v>1601</v>
      </c>
      <c r="F160" s="5" t="str">
        <f>HYPERLINK("https://www.kaggle.com/datasets/gracehephzibahm/pothole-severity-classification","Dataset")</f>
        <v>Dataset</v>
      </c>
      <c r="G160" s="6"/>
      <c r="H160" s="10"/>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5" t="str">
        <f>IF(COUNTA(K160:Z160)=0,"Not started",IF(OR(G160="",NOT(ISNUMBER(H160)),I160&lt;&gt;"Confirmed"),"Reviewer / date / release needed",IF(COUNTIFS(MCDM_Checks!$B$6:$B$3733,A160,MCDM_Checks!$J$6:$J$3733,"Evidence needed")&gt;0,"Check evidence needed",IF(COUNTIFS(MCDM_Checks!$B$6:$B$3733,A160,MCDM_Checks!$J$6:$J$3733,"Human valid")=IF(D160="Unlabeled-13",13,16),"Core review recorded","Core review incomplete"))))</f>
        <v>Not started</v>
      </c>
      <c r="AI160" s="5" t="str">
        <f>HYPERLINK("#'MCDM_Checks'!A"&amp;(MATCH("DS-155",MCDM_Checks!$B$6:$B$3733,0)+5),"Check evidence")</f>
        <v>Check evidence</v>
      </c>
    </row>
    <row r="161" spans="1:35">
      <c r="A161" s="5" t="s">
        <v>1767</v>
      </c>
      <c r="B161" s="5" t="s">
        <v>1768</v>
      </c>
      <c r="C161" s="5"/>
      <c r="D161" s="5" t="s">
        <v>118</v>
      </c>
      <c r="E161" s="5" t="s">
        <v>121</v>
      </c>
      <c r="F161" s="5" t="str">
        <f>HYPERLINK("https://www.kaggle.com/datasets/sabidrahman/pothole-cracks-and-openmanhole","Dataset")</f>
        <v>Dataset</v>
      </c>
      <c r="G161" s="6"/>
      <c r="H161" s="10"/>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5" t="str">
        <f>IF(COUNTA(K161:Z161)=0,"Not started",IF(OR(G161="",NOT(ISNUMBER(H161)),I161&lt;&gt;"Confirmed"),"Reviewer / date / release needed",IF(COUNTIFS(MCDM_Checks!$B$6:$B$3733,A161,MCDM_Checks!$J$6:$J$3733,"Evidence needed")&gt;0,"Check evidence needed",IF(COUNTIFS(MCDM_Checks!$B$6:$B$3733,A161,MCDM_Checks!$J$6:$J$3733,"Human valid")=IF(D161="Unlabeled-13",13,16),"Core review recorded","Core review incomplete"))))</f>
        <v>Not started</v>
      </c>
      <c r="AI161" s="5" t="str">
        <f>HYPERLINK("#'MCDM_Checks'!A"&amp;(MATCH("DS-156",MCDM_Checks!$B$6:$B$3733,0)+5),"Check evidence")</f>
        <v>Check evidence</v>
      </c>
    </row>
    <row r="162" spans="1:35" ht="25.5">
      <c r="A162" s="5" t="s">
        <v>60</v>
      </c>
      <c r="B162" s="5" t="s">
        <v>61</v>
      </c>
      <c r="C162" s="5">
        <v>7</v>
      </c>
      <c r="D162" s="5" t="s">
        <v>118</v>
      </c>
      <c r="E162" s="5" t="s">
        <v>65</v>
      </c>
      <c r="F162" s="5" t="str">
        <f>HYPERLINK("https://sites.google.com/view/pothole-600/dataset","Dataset")</f>
        <v>Dataset</v>
      </c>
      <c r="G162" s="6"/>
      <c r="H162" s="10"/>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5" t="str">
        <f>IF(COUNTA(K162:Z162)=0,"Not started",IF(OR(G162="",NOT(ISNUMBER(H162)),I162&lt;&gt;"Confirmed"),"Reviewer / date / release needed",IF(COUNTIFS(MCDM_Checks!$B$6:$B$3733,A162,MCDM_Checks!$J$6:$J$3733,"Evidence needed")&gt;0,"Check evidence needed",IF(COUNTIFS(MCDM_Checks!$B$6:$B$3733,A162,MCDM_Checks!$J$6:$J$3733,"Human valid")=IF(D162="Unlabeled-13",13,16),"Core review recorded","Core review incomplete"))))</f>
        <v>Not started</v>
      </c>
      <c r="AI162" s="5" t="str">
        <f>HYPERLINK("#'MCDM_Checks'!A"&amp;(MATCH("DS-157",MCDM_Checks!$B$6:$B$3733,0)+5),"Check evidence")</f>
        <v>Check evidence</v>
      </c>
    </row>
    <row r="163" spans="1:35">
      <c r="A163" s="5" t="s">
        <v>1790</v>
      </c>
      <c r="B163" s="5" t="s">
        <v>1791</v>
      </c>
      <c r="C163" s="5"/>
      <c r="D163" s="5" t="s">
        <v>118</v>
      </c>
      <c r="E163" s="5" t="s">
        <v>121</v>
      </c>
      <c r="F163" s="5" t="str">
        <f>HYPERLINK("https://www.kaggle.com/datasets/dataclusterlabs/potholes-or-cracks-on-road-image-dataset","Dataset")</f>
        <v>Dataset</v>
      </c>
      <c r="G163" s="6"/>
      <c r="H163" s="10"/>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5" t="str">
        <f>IF(COUNTA(K163:Z163)=0,"Not started",IF(OR(G163="",NOT(ISNUMBER(H163)),I163&lt;&gt;"Confirmed"),"Reviewer / date / release needed",IF(COUNTIFS(MCDM_Checks!$B$6:$B$3733,A163,MCDM_Checks!$J$6:$J$3733,"Evidence needed")&gt;0,"Check evidence needed",IF(COUNTIFS(MCDM_Checks!$B$6:$B$3733,A163,MCDM_Checks!$J$6:$J$3733,"Human valid")=IF(D163="Unlabeled-13",13,16),"Core review recorded","Core review incomplete"))))</f>
        <v>Not started</v>
      </c>
      <c r="AI163" s="5" t="str">
        <f>HYPERLINK("#'MCDM_Checks'!A"&amp;(MATCH("DS-158",MCDM_Checks!$B$6:$B$3733,0)+5),"Check evidence")</f>
        <v>Check evidence</v>
      </c>
    </row>
    <row r="164" spans="1:35">
      <c r="A164" s="5" t="s">
        <v>1800</v>
      </c>
      <c r="B164" s="5" t="s">
        <v>1801</v>
      </c>
      <c r="C164" s="5"/>
      <c r="D164" s="5" t="s">
        <v>118</v>
      </c>
      <c r="E164" s="5" t="s">
        <v>1601</v>
      </c>
      <c r="F164" s="5" t="str">
        <f>HYPERLINK("https://www.kaggle.com/datasets/mahyeks/pothrgbd-rgb-and-depth-images-of-potholes","Dataset")</f>
        <v>Dataset</v>
      </c>
      <c r="G164" s="6"/>
      <c r="H164" s="10"/>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5" t="str">
        <f>IF(COUNTA(K164:Z164)=0,"Not started",IF(OR(G164="",NOT(ISNUMBER(H164)),I164&lt;&gt;"Confirmed"),"Reviewer / date / release needed",IF(COUNTIFS(MCDM_Checks!$B$6:$B$3733,A164,MCDM_Checks!$J$6:$J$3733,"Evidence needed")&gt;0,"Check evidence needed",IF(COUNTIFS(MCDM_Checks!$B$6:$B$3733,A164,MCDM_Checks!$J$6:$J$3733,"Human valid")=IF(D164="Unlabeled-13",13,16),"Core review recorded","Core review incomplete"))))</f>
        <v>Not started</v>
      </c>
      <c r="AI164" s="5" t="str">
        <f>HYPERLINK("#'MCDM_Checks'!A"&amp;(MATCH("DS-159",MCDM_Checks!$B$6:$B$3733,0)+5),"Check evidence")</f>
        <v>Check evidence</v>
      </c>
    </row>
    <row r="165" spans="1:35">
      <c r="A165" s="5" t="s">
        <v>67</v>
      </c>
      <c r="B165" s="5" t="s">
        <v>1808</v>
      </c>
      <c r="C165" s="5">
        <v>8</v>
      </c>
      <c r="D165" s="5" t="s">
        <v>118</v>
      </c>
      <c r="E165" s="5" t="s">
        <v>72</v>
      </c>
      <c r="F165" s="5" t="str">
        <f>HYPERLINK("https://github.com/jefmenegazzo/Intelligent-Vehicle-Perception-Based-on-Inertial-Sensing-and-Artificial-Intelligence","Dataset")</f>
        <v>Dataset</v>
      </c>
      <c r="G165" s="6"/>
      <c r="H165" s="10"/>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5" t="str">
        <f>IF(COUNTA(K165:Z165)=0,"Not started",IF(OR(G165="",NOT(ISNUMBER(H165)),I165&lt;&gt;"Confirmed"),"Reviewer / date / release needed",IF(COUNTIFS(MCDM_Checks!$B$6:$B$3733,A165,MCDM_Checks!$J$6:$J$3733,"Evidence needed")&gt;0,"Check evidence needed",IF(COUNTIFS(MCDM_Checks!$B$6:$B$3733,A165,MCDM_Checks!$J$6:$J$3733,"Human valid")=IF(D165="Unlabeled-13",13,16),"Core review recorded","Core review incomplete"))))</f>
        <v>Not started</v>
      </c>
      <c r="AI165" s="5" t="str">
        <f>HYPERLINK("#'MCDM_Checks'!A"&amp;(MATCH("DS-160",MCDM_Checks!$B$6:$B$3733,0)+5),"Check evidence")</f>
        <v>Check evidence</v>
      </c>
    </row>
    <row r="166" spans="1:35">
      <c r="A166" s="5" t="s">
        <v>1821</v>
      </c>
      <c r="B166" s="5" t="s">
        <v>1822</v>
      </c>
      <c r="C166" s="5"/>
      <c r="D166" s="5" t="s">
        <v>118</v>
      </c>
      <c r="E166" s="5" t="s">
        <v>1823</v>
      </c>
      <c r="F166" s="5" t="str">
        <f>HYPERLINK("https://www.kaggle.com/datasets/rohitsuresh15/radroad-anomaly-detection","Dataset")</f>
        <v>Dataset</v>
      </c>
      <c r="G166" s="6"/>
      <c r="H166" s="10"/>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5" t="str">
        <f>IF(COUNTA(K166:Z166)=0,"Not started",IF(OR(G166="",NOT(ISNUMBER(H166)),I166&lt;&gt;"Confirmed"),"Reviewer / date / release needed",IF(COUNTIFS(MCDM_Checks!$B$6:$B$3733,A166,MCDM_Checks!$J$6:$J$3733,"Evidence needed")&gt;0,"Check evidence needed",IF(COUNTIFS(MCDM_Checks!$B$6:$B$3733,A166,MCDM_Checks!$J$6:$J$3733,"Human valid")=IF(D166="Unlabeled-13",13,16),"Core review recorded","Core review incomplete"))))</f>
        <v>Not started</v>
      </c>
      <c r="AI166" s="5" t="str">
        <f>HYPERLINK("#'MCDM_Checks'!A"&amp;(MATCH("DS-161",MCDM_Checks!$B$6:$B$3733,0)+5),"Check evidence")</f>
        <v>Check evidence</v>
      </c>
    </row>
    <row r="167" spans="1:35">
      <c r="A167" s="5" t="s">
        <v>1831</v>
      </c>
      <c r="B167" s="5" t="s">
        <v>1832</v>
      </c>
      <c r="C167" s="5"/>
      <c r="D167" s="5" t="s">
        <v>118</v>
      </c>
      <c r="E167" s="5" t="s">
        <v>1601</v>
      </c>
      <c r="F167" s="5" t="str">
        <f>HYPERLINK("https://www.kaggle.com/datasets/juusos/rdd2022es","Dataset")</f>
        <v>Dataset</v>
      </c>
      <c r="G167" s="6"/>
      <c r="H167" s="10"/>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5" t="str">
        <f>IF(COUNTA(K167:Z167)=0,"Not started",IF(OR(G167="",NOT(ISNUMBER(H167)),I167&lt;&gt;"Confirmed"),"Reviewer / date / release needed",IF(COUNTIFS(MCDM_Checks!$B$6:$B$3733,A167,MCDM_Checks!$J$6:$J$3733,"Evidence needed")&gt;0,"Check evidence needed",IF(COUNTIFS(MCDM_Checks!$B$6:$B$3733,A167,MCDM_Checks!$J$6:$J$3733,"Human valid")=IF(D167="Unlabeled-13",13,16),"Core review recorded","Core review incomplete"))))</f>
        <v>Not started</v>
      </c>
      <c r="AI167" s="5" t="str">
        <f>HYPERLINK("#'MCDM_Checks'!A"&amp;(MATCH("DS-162",MCDM_Checks!$B$6:$B$3733,0)+5),"Check evidence")</f>
        <v>Check evidence</v>
      </c>
    </row>
    <row r="168" spans="1:35">
      <c r="A168" s="5" t="s">
        <v>1837</v>
      </c>
      <c r="B168" s="5" t="s">
        <v>1838</v>
      </c>
      <c r="C168" s="5"/>
      <c r="D168" s="5" t="s">
        <v>118</v>
      </c>
      <c r="E168" s="5" t="s">
        <v>1823</v>
      </c>
      <c r="F168" s="5" t="str">
        <f>HYPERLINK("https://www.kaggle.com/datasets/rukiyeaydn/road-crack-dataset","Dataset")</f>
        <v>Dataset</v>
      </c>
      <c r="G168" s="6"/>
      <c r="H168" s="10"/>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5" t="str">
        <f>IF(COUNTA(K168:Z168)=0,"Not started",IF(OR(G168="",NOT(ISNUMBER(H168)),I168&lt;&gt;"Confirmed"),"Reviewer / date / release needed",IF(COUNTIFS(MCDM_Checks!$B$6:$B$3733,A168,MCDM_Checks!$J$6:$J$3733,"Evidence needed")&gt;0,"Check evidence needed",IF(COUNTIFS(MCDM_Checks!$B$6:$B$3733,A168,MCDM_Checks!$J$6:$J$3733,"Human valid")=IF(D168="Unlabeled-13",13,16),"Core review recorded","Core review incomplete"))))</f>
        <v>Not started</v>
      </c>
      <c r="AI168" s="5" t="str">
        <f>HYPERLINK("#'MCDM_Checks'!A"&amp;(MATCH("DS-163",MCDM_Checks!$B$6:$B$3733,0)+5),"Check evidence")</f>
        <v>Check evidence</v>
      </c>
    </row>
    <row r="169" spans="1:35">
      <c r="A169" s="5" t="s">
        <v>1844</v>
      </c>
      <c r="B169" s="5" t="s">
        <v>1845</v>
      </c>
      <c r="C169" s="5"/>
      <c r="D169" s="5" t="s">
        <v>118</v>
      </c>
      <c r="E169" s="5" t="s">
        <v>121</v>
      </c>
      <c r="F169" s="5" t="str">
        <f>HYPERLINK("https://www.kaggle.com/datasets/alvarobasily/road-damage","Dataset")</f>
        <v>Dataset</v>
      </c>
      <c r="G169" s="6"/>
      <c r="H169" s="10"/>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5" t="str">
        <f>IF(COUNTA(K169:Z169)=0,"Not started",IF(OR(G169="",NOT(ISNUMBER(H169)),I169&lt;&gt;"Confirmed"),"Reviewer / date / release needed",IF(COUNTIFS(MCDM_Checks!$B$6:$B$3733,A169,MCDM_Checks!$J$6:$J$3733,"Evidence needed")&gt;0,"Check evidence needed",IF(COUNTIFS(MCDM_Checks!$B$6:$B$3733,A169,MCDM_Checks!$J$6:$J$3733,"Human valid")=IF(D169="Unlabeled-13",13,16),"Core review recorded","Core review incomplete"))))</f>
        <v>Not started</v>
      </c>
      <c r="AI169" s="5" t="str">
        <f>HYPERLINK("#'MCDM_Checks'!A"&amp;(MATCH("DS-164",MCDM_Checks!$B$6:$B$3733,0)+5),"Check evidence")</f>
        <v>Check evidence</v>
      </c>
    </row>
    <row r="170" spans="1:35">
      <c r="A170" s="5" t="s">
        <v>1855</v>
      </c>
      <c r="B170" s="5" t="s">
        <v>1856</v>
      </c>
      <c r="C170" s="5"/>
      <c r="D170" s="5" t="s">
        <v>118</v>
      </c>
      <c r="E170" s="5" t="s">
        <v>1601</v>
      </c>
      <c r="F170" s="5" t="str">
        <f>HYPERLINK("https://www.kaggle.com/datasets/yuzhang0211/road-defect-classification-dataset","Dataset")</f>
        <v>Dataset</v>
      </c>
      <c r="G170" s="6"/>
      <c r="H170" s="10"/>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5" t="str">
        <f>IF(COUNTA(K170:Z170)=0,"Not started",IF(OR(G170="",NOT(ISNUMBER(H170)),I170&lt;&gt;"Confirmed"),"Reviewer / date / release needed",IF(COUNTIFS(MCDM_Checks!$B$6:$B$3733,A170,MCDM_Checks!$J$6:$J$3733,"Evidence needed")&gt;0,"Check evidence needed",IF(COUNTIFS(MCDM_Checks!$B$6:$B$3733,A170,MCDM_Checks!$J$6:$J$3733,"Human valid")=IF(D170="Unlabeled-13",13,16),"Core review recorded","Core review incomplete"))))</f>
        <v>Not started</v>
      </c>
      <c r="AI170" s="5" t="str">
        <f>HYPERLINK("#'MCDM_Checks'!A"&amp;(MATCH("DS-165",MCDM_Checks!$B$6:$B$3733,0)+5),"Check evidence")</f>
        <v>Check evidence</v>
      </c>
    </row>
    <row r="171" spans="1:35">
      <c r="A171" s="5" t="s">
        <v>1860</v>
      </c>
      <c r="B171" s="5" t="s">
        <v>1861</v>
      </c>
      <c r="C171" s="5"/>
      <c r="D171" s="5" t="s">
        <v>118</v>
      </c>
      <c r="E171" s="5" t="s">
        <v>1601</v>
      </c>
      <c r="F171" s="5" t="str">
        <f>HYPERLINK("https://www.kaggle.com/datasets/patelmihir/road-defects-nonaugmented","Dataset")</f>
        <v>Dataset</v>
      </c>
      <c r="G171" s="6"/>
      <c r="H171" s="10"/>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5" t="str">
        <f>IF(COUNTA(K171:Z171)=0,"Not started",IF(OR(G171="",NOT(ISNUMBER(H171)),I171&lt;&gt;"Confirmed"),"Reviewer / date / release needed",IF(COUNTIFS(MCDM_Checks!$B$6:$B$3733,A171,MCDM_Checks!$J$6:$J$3733,"Evidence needed")&gt;0,"Check evidence needed",IF(COUNTIFS(MCDM_Checks!$B$6:$B$3733,A171,MCDM_Checks!$J$6:$J$3733,"Human valid")=IF(D171="Unlabeled-13",13,16),"Core review recorded","Core review incomplete"))))</f>
        <v>Not started</v>
      </c>
      <c r="AI171" s="5" t="str">
        <f>HYPERLINK("#'MCDM_Checks'!A"&amp;(MATCH("DS-166",MCDM_Checks!$B$6:$B$3733,0)+5),"Check evidence")</f>
        <v>Check evidence</v>
      </c>
    </row>
    <row r="172" spans="1:35">
      <c r="A172" s="5" t="s">
        <v>1868</v>
      </c>
      <c r="B172" s="5" t="s">
        <v>1869</v>
      </c>
      <c r="C172" s="5"/>
      <c r="D172" s="5" t="s">
        <v>118</v>
      </c>
      <c r="E172" s="5" t="s">
        <v>1664</v>
      </c>
      <c r="F172" s="5" t="str">
        <f>HYPERLINK("https://www.kaggle.com/datasets/sovitrath/road-pothole-images-for-pothole-detection","Dataset")</f>
        <v>Dataset</v>
      </c>
      <c r="G172" s="6"/>
      <c r="H172" s="10"/>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5" t="str">
        <f>IF(COUNTA(K172:Z172)=0,"Not started",IF(OR(G172="",NOT(ISNUMBER(H172)),I172&lt;&gt;"Confirmed"),"Reviewer / date / release needed",IF(COUNTIFS(MCDM_Checks!$B$6:$B$3733,A172,MCDM_Checks!$J$6:$J$3733,"Evidence needed")&gt;0,"Check evidence needed",IF(COUNTIFS(MCDM_Checks!$B$6:$B$3733,A172,MCDM_Checks!$J$6:$J$3733,"Human valid")=IF(D172="Unlabeled-13",13,16),"Core review recorded","Core review incomplete"))))</f>
        <v>Not started</v>
      </c>
      <c r="AI172" s="5" t="str">
        <f>HYPERLINK("#'MCDM_Checks'!A"&amp;(MATCH("DS-167",MCDM_Checks!$B$6:$B$3733,0)+5),"Check evidence")</f>
        <v>Check evidence</v>
      </c>
    </row>
    <row r="173" spans="1:35">
      <c r="A173" s="5" t="s">
        <v>1877</v>
      </c>
      <c r="B173" s="5" t="s">
        <v>1878</v>
      </c>
      <c r="C173" s="5"/>
      <c r="D173" s="5" t="s">
        <v>118</v>
      </c>
      <c r="E173" s="5" t="s">
        <v>121</v>
      </c>
      <c r="F173" s="5" t="str">
        <f>HYPERLINK("https://www.kaggle.com/datasets/nickkotarelas/road-quality-dataset","Dataset")</f>
        <v>Dataset</v>
      </c>
      <c r="G173" s="6"/>
      <c r="H173" s="10"/>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5" t="str">
        <f>IF(COUNTA(K173:Z173)=0,"Not started",IF(OR(G173="",NOT(ISNUMBER(H173)),I173&lt;&gt;"Confirmed"),"Reviewer / date / release needed",IF(COUNTIFS(MCDM_Checks!$B$6:$B$3733,A173,MCDM_Checks!$J$6:$J$3733,"Evidence needed")&gt;0,"Check evidence needed",IF(COUNTIFS(MCDM_Checks!$B$6:$B$3733,A173,MCDM_Checks!$J$6:$J$3733,"Human valid")=IF(D173="Unlabeled-13",13,16),"Core review recorded","Core review incomplete"))))</f>
        <v>Not started</v>
      </c>
      <c r="AI173" s="5" t="str">
        <f>HYPERLINK("#'MCDM_Checks'!A"&amp;(MATCH("DS-168",MCDM_Checks!$B$6:$B$3733,0)+5),"Check evidence")</f>
        <v>Check evidence</v>
      </c>
    </row>
    <row r="174" spans="1:35">
      <c r="A174" s="5" t="s">
        <v>1888</v>
      </c>
      <c r="B174" s="5" t="s">
        <v>1889</v>
      </c>
      <c r="C174" s="5"/>
      <c r="D174" s="5" t="s">
        <v>118</v>
      </c>
      <c r="E174" s="5" t="s">
        <v>1601</v>
      </c>
      <c r="F174" s="5" t="str">
        <f>HYPERLINK("https://www.kaggle.com/datasets/angelikafarahmanoppo/road-surface-dataset-datasetjalan","Dataset")</f>
        <v>Dataset</v>
      </c>
      <c r="G174" s="6"/>
      <c r="H174" s="10"/>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5" t="str">
        <f>IF(COUNTA(K174:Z174)=0,"Not started",IF(OR(G174="",NOT(ISNUMBER(H174)),I174&lt;&gt;"Confirmed"),"Reviewer / date / release needed",IF(COUNTIFS(MCDM_Checks!$B$6:$B$3733,A174,MCDM_Checks!$J$6:$J$3733,"Evidence needed")&gt;0,"Check evidence needed",IF(COUNTIFS(MCDM_Checks!$B$6:$B$3733,A174,MCDM_Checks!$J$6:$J$3733,"Human valid")=IF(D174="Unlabeled-13",13,16),"Core review recorded","Core review incomplete"))))</f>
        <v>Not started</v>
      </c>
      <c r="AI174" s="5" t="str">
        <f>HYPERLINK("#'MCDM_Checks'!A"&amp;(MATCH("DS-169",MCDM_Checks!$B$6:$B$3733,0)+5),"Check evidence")</f>
        <v>Check evidence</v>
      </c>
    </row>
    <row r="175" spans="1:35">
      <c r="A175" s="5" t="s">
        <v>1895</v>
      </c>
      <c r="B175" s="5" t="s">
        <v>1896</v>
      </c>
      <c r="C175" s="5"/>
      <c r="D175" s="5" t="s">
        <v>118</v>
      </c>
      <c r="E175" s="5" t="s">
        <v>1601</v>
      </c>
      <c r="F175" s="5" t="str">
        <f>HYPERLINK("https://www.kaggle.com/datasets/zara2099/road-surface-recognition-dataset","Dataset")</f>
        <v>Dataset</v>
      </c>
      <c r="G175" s="6"/>
      <c r="H175" s="10"/>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5" t="str">
        <f>IF(COUNTA(K175:Z175)=0,"Not started",IF(OR(G175="",NOT(ISNUMBER(H175)),I175&lt;&gt;"Confirmed"),"Reviewer / date / release needed",IF(COUNTIFS(MCDM_Checks!$B$6:$B$3733,A175,MCDM_Checks!$J$6:$J$3733,"Evidence needed")&gt;0,"Check evidence needed",IF(COUNTIFS(MCDM_Checks!$B$6:$B$3733,A175,MCDM_Checks!$J$6:$J$3733,"Human valid")=IF(D175="Unlabeled-13",13,16),"Core review recorded","Core review incomplete"))))</f>
        <v>Not started</v>
      </c>
      <c r="AI175" s="5" t="str">
        <f>HYPERLINK("#'MCDM_Checks'!A"&amp;(MATCH("DS-170",MCDM_Checks!$B$6:$B$3733,0)+5),"Check evidence")</f>
        <v>Check evidence</v>
      </c>
    </row>
    <row r="176" spans="1:35">
      <c r="A176" s="5" t="s">
        <v>1905</v>
      </c>
      <c r="B176" s="5" t="s">
        <v>1906</v>
      </c>
      <c r="C176" s="5"/>
      <c r="D176" s="5" t="s">
        <v>118</v>
      </c>
      <c r="E176" s="5" t="s">
        <v>1601</v>
      </c>
      <c r="F176" s="5" t="str">
        <f>HYPERLINK("https://www.kaggle.com/datasets/saadkhan0/road-conditionalert-dataset","Dataset")</f>
        <v>Dataset</v>
      </c>
      <c r="G176" s="6"/>
      <c r="H176" s="10"/>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5" t="str">
        <f>IF(COUNTA(K176:Z176)=0,"Not started",IF(OR(G176="",NOT(ISNUMBER(H176)),I176&lt;&gt;"Confirmed"),"Reviewer / date / release needed",IF(COUNTIFS(MCDM_Checks!$B$6:$B$3733,A176,MCDM_Checks!$J$6:$J$3733,"Evidence needed")&gt;0,"Check evidence needed",IF(COUNTIFS(MCDM_Checks!$B$6:$B$3733,A176,MCDM_Checks!$J$6:$J$3733,"Human valid")=IF(D176="Unlabeled-13",13,16),"Core review recorded","Core review incomplete"))))</f>
        <v>Not started</v>
      </c>
      <c r="AI176" s="5" t="str">
        <f>HYPERLINK("#'MCDM_Checks'!A"&amp;(MATCH("DS-171",MCDM_Checks!$B$6:$B$3733,0)+5),"Check evidence")</f>
        <v>Check evidence</v>
      </c>
    </row>
    <row r="177" spans="1:35">
      <c r="A177" s="5" t="s">
        <v>1913</v>
      </c>
      <c r="B177" s="5" t="s">
        <v>1914</v>
      </c>
      <c r="C177" s="5"/>
      <c r="D177" s="5" t="s">
        <v>118</v>
      </c>
      <c r="E177" s="5" t="s">
        <v>1601</v>
      </c>
      <c r="F177" s="5" t="str">
        <f>HYPERLINK("https://www.kaggle.com/datasets/danishghaffar786/roads-and-bridges-cracks-yolov8-format","Dataset")</f>
        <v>Dataset</v>
      </c>
      <c r="G177" s="6"/>
      <c r="H177" s="10"/>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5" t="str">
        <f>IF(COUNTA(K177:Z177)=0,"Not started",IF(OR(G177="",NOT(ISNUMBER(H177)),I177&lt;&gt;"Confirmed"),"Reviewer / date / release needed",IF(COUNTIFS(MCDM_Checks!$B$6:$B$3733,A177,MCDM_Checks!$J$6:$J$3733,"Evidence needed")&gt;0,"Check evidence needed",IF(COUNTIFS(MCDM_Checks!$B$6:$B$3733,A177,MCDM_Checks!$J$6:$J$3733,"Human valid")=IF(D177="Unlabeled-13",13,16),"Core review recorded","Core review incomplete"))))</f>
        <v>Not started</v>
      </c>
      <c r="AI177" s="5" t="str">
        <f>HYPERLINK("#'MCDM_Checks'!A"&amp;(MATCH("DS-172",MCDM_Checks!$B$6:$B$3733,0)+5),"Check evidence")</f>
        <v>Check evidence</v>
      </c>
    </row>
    <row r="178" spans="1:35" ht="25.5">
      <c r="A178" s="5" t="s">
        <v>1922</v>
      </c>
      <c r="B178" s="5" t="s">
        <v>1923</v>
      </c>
      <c r="C178" s="5"/>
      <c r="D178" s="5" t="s">
        <v>118</v>
      </c>
      <c r="E178" s="5" t="s">
        <v>1601</v>
      </c>
      <c r="F178" s="5" t="str">
        <f>HYPERLINK("https://www.kaggle.com/datasets/mohamedaminebelasri7/roadscan-dataset","Dataset")</f>
        <v>Dataset</v>
      </c>
      <c r="G178" s="6"/>
      <c r="H178" s="10"/>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5" t="str">
        <f>IF(COUNTA(K178:Z178)=0,"Not started",IF(OR(G178="",NOT(ISNUMBER(H178)),I178&lt;&gt;"Confirmed"),"Reviewer / date / release needed",IF(COUNTIFS(MCDM_Checks!$B$6:$B$3733,A178,MCDM_Checks!$J$6:$J$3733,"Evidence needed")&gt;0,"Check evidence needed",IF(COUNTIFS(MCDM_Checks!$B$6:$B$3733,A178,MCDM_Checks!$J$6:$J$3733,"Human valid")=IF(D178="Unlabeled-13",13,16),"Core review recorded","Core review incomplete"))))</f>
        <v>Not started</v>
      </c>
      <c r="AI178" s="5" t="str">
        <f>HYPERLINK("#'MCDM_Checks'!A"&amp;(MATCH("DS-173",MCDM_Checks!$B$6:$B$3733,0)+5),"Check evidence")</f>
        <v>Check evidence</v>
      </c>
    </row>
    <row r="179" spans="1:35">
      <c r="A179" s="5" t="s">
        <v>1930</v>
      </c>
      <c r="B179" s="5" t="s">
        <v>1931</v>
      </c>
      <c r="C179" s="5"/>
      <c r="D179" s="5" t="s">
        <v>118</v>
      </c>
      <c r="E179" s="5" t="s">
        <v>1601</v>
      </c>
      <c r="F179" s="5" t="str">
        <f>HYPERLINK("https://www.kaggle.com/datasets/guijiezhu/stu-camcrack792","Dataset")</f>
        <v>Dataset</v>
      </c>
      <c r="G179" s="6"/>
      <c r="H179" s="10"/>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5" t="str">
        <f>IF(COUNTA(K179:Z179)=0,"Not started",IF(OR(G179="",NOT(ISNUMBER(H179)),I179&lt;&gt;"Confirmed"),"Reviewer / date / release needed",IF(COUNTIFS(MCDM_Checks!$B$6:$B$3733,A179,MCDM_Checks!$J$6:$J$3733,"Evidence needed")&gt;0,"Check evidence needed",IF(COUNTIFS(MCDM_Checks!$B$6:$B$3733,A179,MCDM_Checks!$J$6:$J$3733,"Human valid")=IF(D179="Unlabeled-13",13,16),"Core review recorded","Core review incomplete"))))</f>
        <v>Not started</v>
      </c>
      <c r="AI179" s="5" t="str">
        <f>HYPERLINK("#'MCDM_Checks'!A"&amp;(MATCH("DS-174",MCDM_Checks!$B$6:$B$3733,0)+5),"Check evidence")</f>
        <v>Check evidence</v>
      </c>
    </row>
    <row r="180" spans="1:35" ht="25.5">
      <c r="A180" s="5" t="s">
        <v>1941</v>
      </c>
      <c r="B180" s="5" t="s">
        <v>1942</v>
      </c>
      <c r="C180" s="5"/>
      <c r="D180" s="5" t="s">
        <v>118</v>
      </c>
      <c r="E180" s="5" t="s">
        <v>1601</v>
      </c>
      <c r="F180" s="5" t="str">
        <f>HYPERLINK("https://www.kaggle.com/datasets/patelravi07/enhanced-uav-pdd","Dataset")</f>
        <v>Dataset</v>
      </c>
      <c r="G180" s="6"/>
      <c r="H180" s="10"/>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5" t="str">
        <f>IF(COUNTA(K180:Z180)=0,"Not started",IF(OR(G180="",NOT(ISNUMBER(H180)),I180&lt;&gt;"Confirmed"),"Reviewer / date / release needed",IF(COUNTIFS(MCDM_Checks!$B$6:$B$3733,A180,MCDM_Checks!$J$6:$J$3733,"Evidence needed")&gt;0,"Check evidence needed",IF(COUNTIFS(MCDM_Checks!$B$6:$B$3733,A180,MCDM_Checks!$J$6:$J$3733,"Human valid")=IF(D180="Unlabeled-13",13,16),"Core review recorded","Core review incomplete"))))</f>
        <v>Not started</v>
      </c>
      <c r="AI180" s="5" t="str">
        <f>HYPERLINK("#'MCDM_Checks'!A"&amp;(MATCH("DS-175",MCDM_Checks!$B$6:$B$3733,0)+5),"Check evidence")</f>
        <v>Check evidence</v>
      </c>
    </row>
    <row r="181" spans="1:35" ht="25.5">
      <c r="A181" s="5" t="s">
        <v>1954</v>
      </c>
      <c r="B181" s="5" t="s">
        <v>1955</v>
      </c>
      <c r="C181" s="5"/>
      <c r="D181" s="5" t="s">
        <v>118</v>
      </c>
      <c r="E181" s="5" t="s">
        <v>1956</v>
      </c>
      <c r="F181" s="5" t="str">
        <f>HYPERLINK("https://www.kaggle.com/datasets/adamnovozmsk/ward-weather-aware-road-dataset","Dataset")</f>
        <v>Dataset</v>
      </c>
      <c r="G181" s="6"/>
      <c r="H181" s="10"/>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5" t="str">
        <f>IF(COUNTA(K181:Z181)=0,"Not started",IF(OR(G181="",NOT(ISNUMBER(H181)),I181&lt;&gt;"Confirmed"),"Reviewer / date / release needed",IF(COUNTIFS(MCDM_Checks!$B$6:$B$3733,A181,MCDM_Checks!$J$6:$J$3733,"Evidence needed")&gt;0,"Check evidence needed",IF(COUNTIFS(MCDM_Checks!$B$6:$B$3733,A181,MCDM_Checks!$J$6:$J$3733,"Human valid")=IF(D181="Unlabeled-13",13,16),"Core review recorded","Core review incomplete"))))</f>
        <v>Not started</v>
      </c>
      <c r="AI181" s="5" t="str">
        <f>HYPERLINK("#'MCDM_Checks'!A"&amp;(MATCH("DS-176",MCDM_Checks!$B$6:$B$3733,0)+5),"Check evidence")</f>
        <v>Check evidence</v>
      </c>
    </row>
    <row r="182" spans="1:35">
      <c r="A182" s="5" t="s">
        <v>1971</v>
      </c>
      <c r="B182" s="5" t="s">
        <v>1972</v>
      </c>
      <c r="C182" s="5"/>
      <c r="D182" s="5" t="s">
        <v>118</v>
      </c>
      <c r="E182" s="5" t="s">
        <v>1973</v>
      </c>
      <c r="F182" s="5" t="str">
        <f>HYPERLINK("https://www.irit.fr/~Sylvie.Chambon/Crack_Detection_Database.html","Dataset")</f>
        <v>Dataset</v>
      </c>
      <c r="G182" s="6"/>
      <c r="H182" s="10"/>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5" t="str">
        <f>IF(COUNTA(K182:Z182)=0,"Not started",IF(OR(G182="",NOT(ISNUMBER(H182)),I182&lt;&gt;"Confirmed"),"Reviewer / date / release needed",IF(COUNTIFS(MCDM_Checks!$B$6:$B$3733,A182,MCDM_Checks!$J$6:$J$3733,"Evidence needed")&gt;0,"Check evidence needed",IF(COUNTIFS(MCDM_Checks!$B$6:$B$3733,A182,MCDM_Checks!$J$6:$J$3733,"Human valid")=IF(D182="Unlabeled-13",13,16),"Core review recorded","Core review incomplete"))))</f>
        <v>Not started</v>
      </c>
      <c r="AI182" s="5" t="str">
        <f>HYPERLINK("#'MCDM_Checks'!A"&amp;(MATCH("DS-177",MCDM_Checks!$B$6:$B$3733,0)+5),"Check evidence")</f>
        <v>Check evidence</v>
      </c>
    </row>
    <row r="183" spans="1:35">
      <c r="A183" s="5" t="s">
        <v>1981</v>
      </c>
      <c r="B183" s="5" t="s">
        <v>1982</v>
      </c>
      <c r="C183" s="5"/>
      <c r="D183" s="5" t="s">
        <v>118</v>
      </c>
      <c r="E183" s="5" t="s">
        <v>1983</v>
      </c>
      <c r="F183" s="5" t="str">
        <f>HYPERLINK("https://huggingface.co/datasets/natix-network-org/natix-edge-case-driving-dataset","Dataset")</f>
        <v>Dataset</v>
      </c>
      <c r="G183" s="6"/>
      <c r="H183" s="10"/>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5" t="str">
        <f>IF(COUNTA(K183:Z183)=0,"Not started",IF(OR(G183="",NOT(ISNUMBER(H183)),I183&lt;&gt;"Confirmed"),"Reviewer / date / release needed",IF(COUNTIFS(MCDM_Checks!$B$6:$B$3733,A183,MCDM_Checks!$J$6:$J$3733,"Evidence needed")&gt;0,"Check evidence needed",IF(COUNTIFS(MCDM_Checks!$B$6:$B$3733,A183,MCDM_Checks!$J$6:$J$3733,"Human valid")=IF(D183="Unlabeled-13",13,16),"Core review recorded","Core review incomplete"))))</f>
        <v>Not started</v>
      </c>
      <c r="AI183" s="5" t="str">
        <f>HYPERLINK("#'MCDM_Checks'!A"&amp;(MATCH("DS-178",MCDM_Checks!$B$6:$B$3733,0)+5),"Check evidence")</f>
        <v>Check evidence</v>
      </c>
    </row>
    <row r="184" spans="1:35">
      <c r="A184" s="5" t="s">
        <v>1997</v>
      </c>
      <c r="B184" s="5" t="s">
        <v>1998</v>
      </c>
      <c r="C184" s="5"/>
      <c r="D184" s="5" t="s">
        <v>118</v>
      </c>
      <c r="E184" s="5" t="s">
        <v>1999</v>
      </c>
      <c r="F184" s="5" t="str">
        <f>HYPERLINK("https://huggingface.co/datasets/DarrylT/M2S-RoAD","Dataset")</f>
        <v>Dataset</v>
      </c>
      <c r="G184" s="6"/>
      <c r="H184" s="10"/>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5" t="str">
        <f>IF(COUNTA(K184:Z184)=0,"Not started",IF(OR(G184="",NOT(ISNUMBER(H184)),I184&lt;&gt;"Confirmed"),"Reviewer / date / release needed",IF(COUNTIFS(MCDM_Checks!$B$6:$B$3733,A184,MCDM_Checks!$J$6:$J$3733,"Evidence needed")&gt;0,"Check evidence needed",IF(COUNTIFS(MCDM_Checks!$B$6:$B$3733,A184,MCDM_Checks!$J$6:$J$3733,"Human valid")=IF(D184="Unlabeled-13",13,16),"Core review recorded","Core review incomplete"))))</f>
        <v>Not started</v>
      </c>
      <c r="AI184" s="5" t="str">
        <f>HYPERLINK("#'MCDM_Checks'!A"&amp;(MATCH("DS-179",MCDM_Checks!$B$6:$B$3733,0)+5),"Check evidence")</f>
        <v>Check evidence</v>
      </c>
    </row>
    <row r="185" spans="1:35">
      <c r="A185" s="5" t="s">
        <v>2011</v>
      </c>
      <c r="B185" s="5" t="s">
        <v>2012</v>
      </c>
      <c r="C185" s="5"/>
      <c r="D185" s="5" t="s">
        <v>118</v>
      </c>
      <c r="E185" s="5" t="s">
        <v>2013</v>
      </c>
      <c r="F185" s="5" t="str">
        <f>HYPERLINK("https://huggingface.co/datasets/AD-Assurance-Lab/winter-driving-dataset","Dataset")</f>
        <v>Dataset</v>
      </c>
      <c r="G185" s="6"/>
      <c r="H185" s="10"/>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5" t="str">
        <f>IF(COUNTA(K185:Z185)=0,"Not started",IF(OR(G185="",NOT(ISNUMBER(H185)),I185&lt;&gt;"Confirmed"),"Reviewer / date / release needed",IF(COUNTIFS(MCDM_Checks!$B$6:$B$3733,A185,MCDM_Checks!$J$6:$J$3733,"Evidence needed")&gt;0,"Check evidence needed",IF(COUNTIFS(MCDM_Checks!$B$6:$B$3733,A185,MCDM_Checks!$J$6:$J$3733,"Human valid")=IF(D185="Unlabeled-13",13,16),"Core review recorded","Core review incomplete"))))</f>
        <v>Not started</v>
      </c>
      <c r="AI185" s="5" t="str">
        <f>HYPERLINK("#'MCDM_Checks'!A"&amp;(MATCH("DS-180",MCDM_Checks!$B$6:$B$3733,0)+5),"Check evidence")</f>
        <v>Check evidence</v>
      </c>
    </row>
    <row r="186" spans="1:35" ht="25.5">
      <c r="A186" s="5" t="s">
        <v>2025</v>
      </c>
      <c r="B186" s="5" t="s">
        <v>2026</v>
      </c>
      <c r="C186" s="5"/>
      <c r="D186" s="5" t="s">
        <v>118</v>
      </c>
      <c r="E186" s="5" t="s">
        <v>2027</v>
      </c>
      <c r="F186" s="5" t="str">
        <f>HYPERLINK("https://lapix.ufsc.br/pesquisas/projeto-veiculo-autonomo/datasets/?lang=en","Dataset")</f>
        <v>Dataset</v>
      </c>
      <c r="G186" s="6"/>
      <c r="H186" s="10"/>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5" t="str">
        <f>IF(COUNTA(K186:Z186)=0,"Not started",IF(OR(G186="",NOT(ISNUMBER(H186)),I186&lt;&gt;"Confirmed"),"Reviewer / date / release needed",IF(COUNTIFS(MCDM_Checks!$B$6:$B$3733,A186,MCDM_Checks!$J$6:$J$3733,"Evidence needed")&gt;0,"Check evidence needed",IF(COUNTIFS(MCDM_Checks!$B$6:$B$3733,A186,MCDM_Checks!$J$6:$J$3733,"Human valid")=IF(D186="Unlabeled-13",13,16),"Core review recorded","Core review incomplete"))))</f>
        <v>Not started</v>
      </c>
      <c r="AI186" s="5" t="str">
        <f>HYPERLINK("#'MCDM_Checks'!A"&amp;(MATCH("DS-181",MCDM_Checks!$B$6:$B$3733,0)+5),"Check evidence")</f>
        <v>Check evidence</v>
      </c>
    </row>
    <row r="187" spans="1:35" ht="25.5">
      <c r="A187" s="5" t="s">
        <v>2040</v>
      </c>
      <c r="B187" s="5" t="s">
        <v>2041</v>
      </c>
      <c r="C187" s="5"/>
      <c r="D187" s="5" t="s">
        <v>118</v>
      </c>
      <c r="E187" s="5" t="s">
        <v>2042</v>
      </c>
      <c r="F187" s="5" t="str">
        <f>HYPERLINK("https://huggingface.co/datasets/ysilabs/latam-urban-driving-sample","Dataset")</f>
        <v>Dataset</v>
      </c>
      <c r="G187" s="6"/>
      <c r="H187" s="10"/>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5" t="str">
        <f>IF(COUNTA(K187:Z187)=0,"Not started",IF(OR(G187="",NOT(ISNUMBER(H187)),I187&lt;&gt;"Confirmed"),"Reviewer / date / release needed",IF(COUNTIFS(MCDM_Checks!$B$6:$B$3733,A187,MCDM_Checks!$J$6:$J$3733,"Evidence needed")&gt;0,"Check evidence needed",IF(COUNTIFS(MCDM_Checks!$B$6:$B$3733,A187,MCDM_Checks!$J$6:$J$3733,"Human valid")=IF(D187="Unlabeled-13",13,16),"Core review recorded","Core review incomplete"))))</f>
        <v>Not started</v>
      </c>
      <c r="AI187" s="5" t="str">
        <f>HYPERLINK("#'MCDM_Checks'!A"&amp;(MATCH("DS-182",MCDM_Checks!$B$6:$B$3733,0)+5),"Check evidence")</f>
        <v>Check evidence</v>
      </c>
    </row>
    <row r="188" spans="1:35" ht="25.5">
      <c r="A188" s="5" t="s">
        <v>81</v>
      </c>
      <c r="B188" s="5" t="s">
        <v>2053</v>
      </c>
      <c r="C188" s="5">
        <v>10</v>
      </c>
      <c r="D188" s="5" t="s">
        <v>118</v>
      </c>
      <c r="E188" s="5" t="s">
        <v>86</v>
      </c>
      <c r="F188" s="5" t="str">
        <f>HYPERLINK("https://zod.zenseact.com/frames/","Dataset")</f>
        <v>Dataset</v>
      </c>
      <c r="G188" s="6"/>
      <c r="H188" s="10"/>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5" t="str">
        <f>IF(COUNTA(K188:Z188)=0,"Not started",IF(OR(G188="",NOT(ISNUMBER(H188)),I188&lt;&gt;"Confirmed"),"Reviewer / date / release needed",IF(COUNTIFS(MCDM_Checks!$B$6:$B$3733,A188,MCDM_Checks!$J$6:$J$3733,"Evidence needed")&gt;0,"Check evidence needed",IF(COUNTIFS(MCDM_Checks!$B$6:$B$3733,A188,MCDM_Checks!$J$6:$J$3733,"Human valid")=IF(D188="Unlabeled-13",13,16),"Core review recorded","Core review incomplete"))))</f>
        <v>Not started</v>
      </c>
      <c r="AI188" s="5" t="str">
        <f>HYPERLINK("#'MCDM_Checks'!A"&amp;(MATCH("DS-183",MCDM_Checks!$B$6:$B$3733,0)+5),"Check evidence")</f>
        <v>Check evidence</v>
      </c>
    </row>
    <row r="189" spans="1:35">
      <c r="A189" s="5" t="s">
        <v>2066</v>
      </c>
      <c r="B189" s="5" t="s">
        <v>2067</v>
      </c>
      <c r="C189" s="5"/>
      <c r="D189" s="5" t="s">
        <v>118</v>
      </c>
      <c r="E189" s="5" t="s">
        <v>2068</v>
      </c>
      <c r="F189" s="5" t="str">
        <f>HYPERLINK("https://www.uni-ulm.de/en/in/institute-of-measurement-control-and-microtechnology/research/data-sets/dense-datasets/","Dataset")</f>
        <v>Dataset</v>
      </c>
      <c r="G189" s="6"/>
      <c r="H189" s="10"/>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5" t="str">
        <f>IF(COUNTA(K189:Z189)=0,"Not started",IF(OR(G189="",NOT(ISNUMBER(H189)),I189&lt;&gt;"Confirmed"),"Reviewer / date / release needed",IF(COUNTIFS(MCDM_Checks!$B$6:$B$3733,A189,MCDM_Checks!$J$6:$J$3733,"Evidence needed")&gt;0,"Check evidence needed",IF(COUNTIFS(MCDM_Checks!$B$6:$B$3733,A189,MCDM_Checks!$J$6:$J$3733,"Human valid")=IF(D189="Unlabeled-13",13,16),"Core review recorded","Core review incomplete"))))</f>
        <v>Not started</v>
      </c>
      <c r="AI189" s="5" t="str">
        <f>HYPERLINK("#'MCDM_Checks'!A"&amp;(MATCH("DS-184",MCDM_Checks!$B$6:$B$3733,0)+5),"Check evidence")</f>
        <v>Check evidence</v>
      </c>
    </row>
    <row r="190" spans="1:35">
      <c r="A190" s="5" t="s">
        <v>2080</v>
      </c>
      <c r="B190" s="5" t="s">
        <v>2081</v>
      </c>
      <c r="C190" s="5"/>
      <c r="D190" s="5" t="s">
        <v>118</v>
      </c>
      <c r="E190" s="5" t="s">
        <v>2082</v>
      </c>
      <c r="F190" s="5" t="str">
        <f>HYPERLINK("https://www.viscoda.com/index.php/en/downloads-en/roadsaw-dataset","Dataset")</f>
        <v>Dataset</v>
      </c>
      <c r="G190" s="6"/>
      <c r="H190" s="10"/>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5" t="str">
        <f>IF(COUNTA(K190:Z190)=0,"Not started",IF(OR(G190="",NOT(ISNUMBER(H190)),I190&lt;&gt;"Confirmed"),"Reviewer / date / release needed",IF(COUNTIFS(MCDM_Checks!$B$6:$B$3733,A190,MCDM_Checks!$J$6:$J$3733,"Evidence needed")&gt;0,"Check evidence needed",IF(COUNTIFS(MCDM_Checks!$B$6:$B$3733,A190,MCDM_Checks!$J$6:$J$3733,"Human valid")=IF(D190="Unlabeled-13",13,16),"Core review recorded","Core review incomplete"))))</f>
        <v>Not started</v>
      </c>
      <c r="AI190" s="5" t="str">
        <f>HYPERLINK("#'MCDM_Checks'!A"&amp;(MATCH("DS-185",MCDM_Checks!$B$6:$B$3733,0)+5),"Check evidence")</f>
        <v>Check evidence</v>
      </c>
    </row>
    <row r="191" spans="1:35">
      <c r="A191" s="5" t="s">
        <v>2095</v>
      </c>
      <c r="B191" s="5" t="s">
        <v>2096</v>
      </c>
      <c r="C191" s="5"/>
      <c r="D191" s="5" t="s">
        <v>118</v>
      </c>
      <c r="E191" s="5" t="s">
        <v>2097</v>
      </c>
      <c r="F191" s="5" t="str">
        <f>HYPERLINK("https://www.viscoda.com/index.php/en/downloads-en/roadsc-dataset","Dataset")</f>
        <v>Dataset</v>
      </c>
      <c r="G191" s="6"/>
      <c r="H191" s="10"/>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5" t="str">
        <f>IF(COUNTA(K191:Z191)=0,"Not started",IF(OR(G191="",NOT(ISNUMBER(H191)),I191&lt;&gt;"Confirmed"),"Reviewer / date / release needed",IF(COUNTIFS(MCDM_Checks!$B$6:$B$3733,A191,MCDM_Checks!$J$6:$J$3733,"Evidence needed")&gt;0,"Check evidence needed",IF(COUNTIFS(MCDM_Checks!$B$6:$B$3733,A191,MCDM_Checks!$J$6:$J$3733,"Human valid")=IF(D191="Unlabeled-13",13,16),"Core review recorded","Core review incomplete"))))</f>
        <v>Not started</v>
      </c>
      <c r="AI191" s="5" t="str">
        <f>HYPERLINK("#'MCDM_Checks'!A"&amp;(MATCH("DS-186",MCDM_Checks!$B$6:$B$3733,0)+5),"Check evidence")</f>
        <v>Check evidence</v>
      </c>
    </row>
    <row r="192" spans="1:35" ht="25.5">
      <c r="A192" s="5" t="s">
        <v>2107</v>
      </c>
      <c r="B192" s="5" t="s">
        <v>2108</v>
      </c>
      <c r="C192" s="5"/>
      <c r="D192" s="5" t="s">
        <v>118</v>
      </c>
      <c r="E192" s="5" t="s">
        <v>2109</v>
      </c>
      <c r="F192" s="5" t="str">
        <f>HYPERLINK("https://github.com/ShaoyanZhai2001/SAVeD","Dataset")</f>
        <v>Dataset</v>
      </c>
      <c r="G192" s="6"/>
      <c r="H192" s="10"/>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5" t="str">
        <f>IF(COUNTA(K192:Z192)=0,"Not started",IF(OR(G192="",NOT(ISNUMBER(H192)),I192&lt;&gt;"Confirmed"),"Reviewer / date / release needed",IF(COUNTIFS(MCDM_Checks!$B$6:$B$3733,A192,MCDM_Checks!$J$6:$J$3733,"Evidence needed")&gt;0,"Check evidence needed",IF(COUNTIFS(MCDM_Checks!$B$6:$B$3733,A192,MCDM_Checks!$J$6:$J$3733,"Human valid")=IF(D192="Unlabeled-13",13,16),"Core review recorded","Core review incomplete"))))</f>
        <v>Not started</v>
      </c>
      <c r="AI192" s="5" t="str">
        <f>HYPERLINK("#'MCDM_Checks'!A"&amp;(MATCH("DS-187",MCDM_Checks!$B$6:$B$3733,0)+5),"Check evidence")</f>
        <v>Check evidence</v>
      </c>
    </row>
    <row r="193" spans="1:35">
      <c r="A193" s="5" t="s">
        <v>2122</v>
      </c>
      <c r="B193" s="5" t="s">
        <v>2123</v>
      </c>
      <c r="C193" s="5"/>
      <c r="D193" s="5" t="s">
        <v>118</v>
      </c>
      <c r="E193" s="5" t="s">
        <v>2124</v>
      </c>
      <c r="F193" s="5" t="str">
        <f>HYPERLINK("https://doi.org/10.6084/m9.figshare.30341143.v3","Dataset")</f>
        <v>Dataset</v>
      </c>
      <c r="G193" s="6"/>
      <c r="H193" s="10"/>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5" t="str">
        <f>IF(COUNTA(K193:Z193)=0,"Not started",IF(OR(G193="",NOT(ISNUMBER(H193)),I193&lt;&gt;"Confirmed"),"Reviewer / date / release needed",IF(COUNTIFS(MCDM_Checks!$B$6:$B$3733,A193,MCDM_Checks!$J$6:$J$3733,"Evidence needed")&gt;0,"Check evidence needed",IF(COUNTIFS(MCDM_Checks!$B$6:$B$3733,A193,MCDM_Checks!$J$6:$J$3733,"Human valid")=IF(D193="Unlabeled-13",13,16),"Core review recorded","Core review incomplete"))))</f>
        <v>Not started</v>
      </c>
      <c r="AI193" s="5" t="str">
        <f>HYPERLINK("#'MCDM_Checks'!A"&amp;(MATCH("DS-188",MCDM_Checks!$B$6:$B$3733,0)+5),"Check evidence")</f>
        <v>Check evidence</v>
      </c>
    </row>
    <row r="194" spans="1:35">
      <c r="A194" s="5" t="s">
        <v>2136</v>
      </c>
      <c r="B194" s="5" t="s">
        <v>2137</v>
      </c>
      <c r="C194" s="5"/>
      <c r="D194" s="5" t="s">
        <v>118</v>
      </c>
      <c r="E194" s="5" t="s">
        <v>2138</v>
      </c>
      <c r="F194" s="5" t="str">
        <f>HYPERLINK("https://thu-rsxd.com/dxhdiefb/","Dataset")</f>
        <v>Dataset</v>
      </c>
      <c r="G194" s="6"/>
      <c r="H194" s="10"/>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5" t="str">
        <f>IF(COUNTA(K194:Z194)=0,"Not started",IF(OR(G194="",NOT(ISNUMBER(H194)),I194&lt;&gt;"Confirmed"),"Reviewer / date / release needed",IF(COUNTIFS(MCDM_Checks!$B$6:$B$3733,A194,MCDM_Checks!$J$6:$J$3733,"Evidence needed")&gt;0,"Check evidence needed",IF(COUNTIFS(MCDM_Checks!$B$6:$B$3733,A194,MCDM_Checks!$J$6:$J$3733,"Human valid")=IF(D194="Unlabeled-13",13,16),"Core review recorded","Core review incomplete"))))</f>
        <v>Not started</v>
      </c>
      <c r="AI194" s="5" t="str">
        <f>HYPERLINK("#'MCDM_Checks'!A"&amp;(MATCH("DS-189",MCDM_Checks!$B$6:$B$3733,0)+5),"Check evidence")</f>
        <v>Check evidence</v>
      </c>
    </row>
    <row r="195" spans="1:35" ht="25.5">
      <c r="A195" s="5" t="s">
        <v>2151</v>
      </c>
      <c r="B195" s="5" t="s">
        <v>2152</v>
      </c>
      <c r="C195" s="5"/>
      <c r="D195" s="5" t="s">
        <v>118</v>
      </c>
      <c r="E195" s="5" t="s">
        <v>2153</v>
      </c>
      <c r="F195" s="5" t="str">
        <f>HYPERLINK("https://github.com/hanshenChen/HRP4K","Dataset")</f>
        <v>Dataset</v>
      </c>
      <c r="G195" s="6"/>
      <c r="H195" s="10"/>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5" t="str">
        <f>IF(COUNTA(K195:Z195)=0,"Not started",IF(OR(G195="",NOT(ISNUMBER(H195)),I195&lt;&gt;"Confirmed"),"Reviewer / date / release needed",IF(COUNTIFS(MCDM_Checks!$B$6:$B$3733,A195,MCDM_Checks!$J$6:$J$3733,"Evidence needed")&gt;0,"Check evidence needed",IF(COUNTIFS(MCDM_Checks!$B$6:$B$3733,A195,MCDM_Checks!$J$6:$J$3733,"Human valid")=IF(D195="Unlabeled-13",13,16),"Core review recorded","Core review incomplete"))))</f>
        <v>Not started</v>
      </c>
      <c r="AI195" s="5" t="str">
        <f>HYPERLINK("#'MCDM_Checks'!A"&amp;(MATCH("DS-190",MCDM_Checks!$B$6:$B$3733,0)+5),"Check evidence")</f>
        <v>Check evidence</v>
      </c>
    </row>
    <row r="196" spans="1:35">
      <c r="A196" s="5" t="s">
        <v>2165</v>
      </c>
      <c r="B196" s="5" t="s">
        <v>2166</v>
      </c>
      <c r="C196" s="5"/>
      <c r="D196" s="5" t="s">
        <v>118</v>
      </c>
      <c r="E196" s="5" t="s">
        <v>2167</v>
      </c>
      <c r="F196" s="5" t="str">
        <f>HYPERLINK("https://github.com/unmannedlab/RELLIS-3D","Dataset")</f>
        <v>Dataset</v>
      </c>
      <c r="G196" s="6"/>
      <c r="H196" s="10"/>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5" t="str">
        <f>IF(COUNTA(K196:Z196)=0,"Not started",IF(OR(G196="",NOT(ISNUMBER(H196)),I196&lt;&gt;"Confirmed"),"Reviewer / date / release needed",IF(COUNTIFS(MCDM_Checks!$B$6:$B$3733,A196,MCDM_Checks!$J$6:$J$3733,"Evidence needed")&gt;0,"Check evidence needed",IF(COUNTIFS(MCDM_Checks!$B$6:$B$3733,A196,MCDM_Checks!$J$6:$J$3733,"Human valid")=IF(D196="Unlabeled-13",13,16),"Core review recorded","Core review incomplete"))))</f>
        <v>Not started</v>
      </c>
      <c r="AI196" s="5" t="str">
        <f>HYPERLINK("#'MCDM_Checks'!A"&amp;(MATCH("DS-191",MCDM_Checks!$B$6:$B$3733,0)+5),"Check evidence")</f>
        <v>Check evidence</v>
      </c>
    </row>
    <row r="197" spans="1:35" ht="25.5">
      <c r="A197" s="5" t="s">
        <v>2181</v>
      </c>
      <c r="B197" s="5" t="s">
        <v>2182</v>
      </c>
      <c r="C197" s="5"/>
      <c r="D197" s="5" t="s">
        <v>118</v>
      </c>
      <c r="E197" s="5" t="s">
        <v>2183</v>
      </c>
      <c r="F197" s="5" t="str">
        <f>HYPERLINK("https://road-dataset.github.io/","Dataset")</f>
        <v>Dataset</v>
      </c>
      <c r="G197" s="6"/>
      <c r="H197" s="10"/>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5" t="str">
        <f>IF(COUNTA(K197:Z197)=0,"Not started",IF(OR(G197="",NOT(ISNUMBER(H197)),I197&lt;&gt;"Confirmed"),"Reviewer / date / release needed",IF(COUNTIFS(MCDM_Checks!$B$6:$B$3733,A197,MCDM_Checks!$J$6:$J$3733,"Evidence needed")&gt;0,"Check evidence needed",IF(COUNTIFS(MCDM_Checks!$B$6:$B$3733,A197,MCDM_Checks!$J$6:$J$3733,"Human valid")=IF(D197="Unlabeled-13",13,16),"Core review recorded","Core review incomplete"))))</f>
        <v>Not started</v>
      </c>
      <c r="AI197" s="5" t="str">
        <f>HYPERLINK("#'MCDM_Checks'!A"&amp;(MATCH("DS-192",MCDM_Checks!$B$6:$B$3733,0)+5),"Check evidence")</f>
        <v>Check evidence</v>
      </c>
    </row>
    <row r="198" spans="1:35">
      <c r="A198" s="5" t="s">
        <v>2195</v>
      </c>
      <c r="B198" s="5" t="s">
        <v>2196</v>
      </c>
      <c r="C198" s="5"/>
      <c r="D198" s="5" t="s">
        <v>118</v>
      </c>
      <c r="E198" s="5" t="s">
        <v>2197</v>
      </c>
      <c r="F198" s="5" t="str">
        <f>HYPERLINK("https://www.tu-ilmenau.de/fileadmin/Bereiche/IA/neurob/Datasets/Request-Gaps3.pdf","Dataset")</f>
        <v>Dataset</v>
      </c>
      <c r="G198" s="6"/>
      <c r="H198" s="10"/>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5" t="str">
        <f>IF(COUNTA(K198:Z198)=0,"Not started",IF(OR(G198="",NOT(ISNUMBER(H198)),I198&lt;&gt;"Confirmed"),"Reviewer / date / release needed",IF(COUNTIFS(MCDM_Checks!$B$6:$B$3733,A198,MCDM_Checks!$J$6:$J$3733,"Evidence needed")&gt;0,"Check evidence needed",IF(COUNTIFS(MCDM_Checks!$B$6:$B$3733,A198,MCDM_Checks!$J$6:$J$3733,"Human valid")=IF(D198="Unlabeled-13",13,16),"Core review recorded","Core review incomplete"))))</f>
        <v>Not started</v>
      </c>
      <c r="AI198" s="5" t="str">
        <f>HYPERLINK("#'MCDM_Checks'!A"&amp;(MATCH("DS-193",MCDM_Checks!$B$6:$B$3733,0)+5),"Check evidence")</f>
        <v>Check evidence</v>
      </c>
    </row>
    <row r="199" spans="1:35">
      <c r="A199" s="5" t="s">
        <v>2210</v>
      </c>
      <c r="B199" s="5" t="s">
        <v>2211</v>
      </c>
      <c r="C199" s="5"/>
      <c r="D199" s="5" t="s">
        <v>118</v>
      </c>
      <c r="E199" s="5" t="s">
        <v>2212</v>
      </c>
      <c r="F199" s="16" t="s">
        <v>4</v>
      </c>
      <c r="G199" s="6"/>
      <c r="H199" s="10"/>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5" t="str">
        <f>IF(COUNTA(K199:Z199)=0,"Not started",IF(OR(G199="",NOT(ISNUMBER(H199)),I199&lt;&gt;"Confirmed"),"Reviewer / date / release needed",IF(COUNTIFS(MCDM_Checks!$B$6:$B$3733,A199,MCDM_Checks!$J$6:$J$3733,"Evidence needed")&gt;0,"Check evidence needed",IF(COUNTIFS(MCDM_Checks!$B$6:$B$3733,A199,MCDM_Checks!$J$6:$J$3733,"Human valid")=IF(D199="Unlabeled-13",13,16),"Core review recorded","Core review incomplete"))))</f>
        <v>Not started</v>
      </c>
      <c r="AI199" s="5" t="str">
        <f>HYPERLINK("#'MCDM_Checks'!A"&amp;(MATCH("DS-194",MCDM_Checks!$B$6:$B$3733,0)+5),"Check evidence")</f>
        <v>Check evidence</v>
      </c>
    </row>
    <row r="200" spans="1:35">
      <c r="A200" s="5" t="s">
        <v>2223</v>
      </c>
      <c r="B200" s="5" t="s">
        <v>2224</v>
      </c>
      <c r="C200" s="5"/>
      <c r="D200" s="5" t="s">
        <v>118</v>
      </c>
      <c r="E200" s="5" t="s">
        <v>2225</v>
      </c>
      <c r="F200" s="5" t="str">
        <f>HYPERLINK("https://www.mapillary.com/dataset/vistas","Dataset")</f>
        <v>Dataset</v>
      </c>
      <c r="G200" s="6"/>
      <c r="H200" s="10"/>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5" t="str">
        <f>IF(COUNTA(K200:Z200)=0,"Not started",IF(OR(G200="",NOT(ISNUMBER(H200)),I200&lt;&gt;"Confirmed"),"Reviewer / date / release needed",IF(COUNTIFS(MCDM_Checks!$B$6:$B$3733,A200,MCDM_Checks!$J$6:$J$3733,"Evidence needed")&gt;0,"Check evidence needed",IF(COUNTIFS(MCDM_Checks!$B$6:$B$3733,A200,MCDM_Checks!$J$6:$J$3733,"Human valid")=IF(D200="Unlabeled-13",13,16),"Core review recorded","Core review incomplete"))))</f>
        <v>Not started</v>
      </c>
      <c r="AI200" s="5" t="str">
        <f>HYPERLINK("#'MCDM_Checks'!A"&amp;(MATCH("DS-195",MCDM_Checks!$B$6:$B$3733,0)+5),"Check evidence")</f>
        <v>Check evidence</v>
      </c>
    </row>
    <row r="201" spans="1:35">
      <c r="A201" s="5" t="s">
        <v>2238</v>
      </c>
      <c r="B201" s="5" t="s">
        <v>2239</v>
      </c>
      <c r="C201" s="5"/>
      <c r="D201" s="5" t="s">
        <v>118</v>
      </c>
      <c r="E201" s="5" t="s">
        <v>2240</v>
      </c>
      <c r="F201" s="5" t="str">
        <f>HYPERLINK("https://zenodo.org/records/11449977","Dataset")</f>
        <v>Dataset</v>
      </c>
      <c r="G201" s="6"/>
      <c r="H201" s="10"/>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5" t="str">
        <f>IF(COUNTA(K201:Z201)=0,"Not started",IF(OR(G201="",NOT(ISNUMBER(H201)),I201&lt;&gt;"Confirmed"),"Reviewer / date / release needed",IF(COUNTIFS(MCDM_Checks!$B$6:$B$3733,A201,MCDM_Checks!$J$6:$J$3733,"Evidence needed")&gt;0,"Check evidence needed",IF(COUNTIFS(MCDM_Checks!$B$6:$B$3733,A201,MCDM_Checks!$J$6:$J$3733,"Human valid")=IF(D201="Unlabeled-13",13,16),"Core review recorded","Core review incomplete"))))</f>
        <v>Not started</v>
      </c>
      <c r="AI201" s="5" t="str">
        <f>HYPERLINK("#'MCDM_Checks'!A"&amp;(MATCH("DS-196",MCDM_Checks!$B$6:$B$3733,0)+5),"Check evidence")</f>
        <v>Check evidence</v>
      </c>
    </row>
    <row r="202" spans="1:35">
      <c r="A202" s="5" t="s">
        <v>2252</v>
      </c>
      <c r="B202" s="5" t="s">
        <v>2253</v>
      </c>
      <c r="C202" s="5"/>
      <c r="D202" s="5" t="s">
        <v>118</v>
      </c>
      <c r="E202" s="5" t="s">
        <v>2254</v>
      </c>
      <c r="F202" s="5" t="str">
        <f>HYPERLINK("https://a2d2-dataset.github.io/","Dataset")</f>
        <v>Dataset</v>
      </c>
      <c r="G202" s="6"/>
      <c r="H202" s="10"/>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5" t="str">
        <f>IF(COUNTA(K202:Z202)=0,"Not started",IF(OR(G202="",NOT(ISNUMBER(H202)),I202&lt;&gt;"Confirmed"),"Reviewer / date / release needed",IF(COUNTIFS(MCDM_Checks!$B$6:$B$3733,A202,MCDM_Checks!$J$6:$J$3733,"Evidence needed")&gt;0,"Check evidence needed",IF(COUNTIFS(MCDM_Checks!$B$6:$B$3733,A202,MCDM_Checks!$J$6:$J$3733,"Human valid")=IF(D202="Unlabeled-13",13,16),"Core review recorded","Core review incomplete"))))</f>
        <v>Not started</v>
      </c>
      <c r="AI202" s="5" t="str">
        <f>HYPERLINK("#'MCDM_Checks'!A"&amp;(MATCH("DS-197",MCDM_Checks!$B$6:$B$3733,0)+5),"Check evidence")</f>
        <v>Check evidence</v>
      </c>
    </row>
    <row r="203" spans="1:35" ht="25.5">
      <c r="A203" s="5" t="s">
        <v>2267</v>
      </c>
      <c r="B203" s="5" t="s">
        <v>2268</v>
      </c>
      <c r="C203" s="5"/>
      <c r="D203" s="5" t="s">
        <v>118</v>
      </c>
      <c r="E203" s="5" t="s">
        <v>2269</v>
      </c>
      <c r="F203" s="5" t="str">
        <f>HYPERLINK("https://acdc.vision.ee.ethz.ch/","Dataset")</f>
        <v>Dataset</v>
      </c>
      <c r="G203" s="6"/>
      <c r="H203" s="10"/>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5" t="str">
        <f>IF(COUNTA(K203:Z203)=0,"Not started",IF(OR(G203="",NOT(ISNUMBER(H203)),I203&lt;&gt;"Confirmed"),"Reviewer / date / release needed",IF(COUNTIFS(MCDM_Checks!$B$6:$B$3733,A203,MCDM_Checks!$J$6:$J$3733,"Evidence needed")&gt;0,"Check evidence needed",IF(COUNTIFS(MCDM_Checks!$B$6:$B$3733,A203,MCDM_Checks!$J$6:$J$3733,"Human valid")=IF(D203="Unlabeled-13",13,16),"Core review recorded","Core review incomplete"))))</f>
        <v>Not started</v>
      </c>
      <c r="AI203" s="5" t="str">
        <f>HYPERLINK("#'MCDM_Checks'!A"&amp;(MATCH("DS-198",MCDM_Checks!$B$6:$B$3733,0)+5),"Check evidence")</f>
        <v>Check evidence</v>
      </c>
    </row>
    <row r="204" spans="1:35">
      <c r="A204" s="5" t="s">
        <v>2281</v>
      </c>
      <c r="B204" s="5" t="s">
        <v>2282</v>
      </c>
      <c r="C204" s="5"/>
      <c r="D204" s="5" t="s">
        <v>118</v>
      </c>
      <c r="E204" s="5" t="s">
        <v>2283</v>
      </c>
      <c r="F204" s="5" t="str">
        <f>HYPERLINK("https://github.com/aimotive/aimotive_dataset","Dataset")</f>
        <v>Dataset</v>
      </c>
      <c r="G204" s="6"/>
      <c r="H204" s="10"/>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5" t="str">
        <f>IF(COUNTA(K204:Z204)=0,"Not started",IF(OR(G204="",NOT(ISNUMBER(H204)),I204&lt;&gt;"Confirmed"),"Reviewer / date / release needed",IF(COUNTIFS(MCDM_Checks!$B$6:$B$3733,A204,MCDM_Checks!$J$6:$J$3733,"Evidence needed")&gt;0,"Check evidence needed",IF(COUNTIFS(MCDM_Checks!$B$6:$B$3733,A204,MCDM_Checks!$J$6:$J$3733,"Human valid")=IF(D204="Unlabeled-13",13,16),"Core review recorded","Core review incomplete"))))</f>
        <v>Not started</v>
      </c>
      <c r="AI204" s="5" t="str">
        <f>HYPERLINK("#'MCDM_Checks'!A"&amp;(MATCH("DS-199",MCDM_Checks!$B$6:$B$3733,0)+5),"Check evidence")</f>
        <v>Check evidence</v>
      </c>
    </row>
    <row r="205" spans="1:35">
      <c r="A205" s="5" t="s">
        <v>2295</v>
      </c>
      <c r="B205" s="5" t="s">
        <v>2296</v>
      </c>
      <c r="C205" s="5"/>
      <c r="D205" s="5" t="s">
        <v>118</v>
      </c>
      <c r="E205" s="5" t="s">
        <v>2297</v>
      </c>
      <c r="F205" s="5" t="str">
        <f>HYPERLINK("https://apolloscapeauto.github.io/dataset-api/","Dataset")</f>
        <v>Dataset</v>
      </c>
      <c r="G205" s="6"/>
      <c r="H205" s="10"/>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5" t="str">
        <f>IF(COUNTA(K205:Z205)=0,"Not started",IF(OR(G205="",NOT(ISNUMBER(H205)),I205&lt;&gt;"Confirmed"),"Reviewer / date / release needed",IF(COUNTIFS(MCDM_Checks!$B$6:$B$3733,A205,MCDM_Checks!$J$6:$J$3733,"Evidence needed")&gt;0,"Check evidence needed",IF(COUNTIFS(MCDM_Checks!$B$6:$B$3733,A205,MCDM_Checks!$J$6:$J$3733,"Human valid")=IF(D205="Unlabeled-13",13,16),"Core review recorded","Core review incomplete"))))</f>
        <v>Not started</v>
      </c>
      <c r="AI205" s="5" t="str">
        <f>HYPERLINK("#'MCDM_Checks'!A"&amp;(MATCH("DS-200",MCDM_Checks!$B$6:$B$3733,0)+5),"Check evidence")</f>
        <v>Check evidence</v>
      </c>
    </row>
    <row r="206" spans="1:35">
      <c r="A206" s="5" t="s">
        <v>2309</v>
      </c>
      <c r="B206" s="5" t="s">
        <v>2310</v>
      </c>
      <c r="C206" s="5"/>
      <c r="D206" s="5" t="s">
        <v>118</v>
      </c>
      <c r="E206" s="5" t="s">
        <v>2311</v>
      </c>
      <c r="F206" s="5" t="str">
        <f>HYPERLINK("https://www.argoverse.org/av1.html","Dataset")</f>
        <v>Dataset</v>
      </c>
      <c r="G206" s="6"/>
      <c r="H206" s="10"/>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5" t="str">
        <f>IF(COUNTA(K206:Z206)=0,"Not started",IF(OR(G206="",NOT(ISNUMBER(H206)),I206&lt;&gt;"Confirmed"),"Reviewer / date / release needed",IF(COUNTIFS(MCDM_Checks!$B$6:$B$3733,A206,MCDM_Checks!$J$6:$J$3733,"Evidence needed")&gt;0,"Check evidence needed",IF(COUNTIFS(MCDM_Checks!$B$6:$B$3733,A206,MCDM_Checks!$J$6:$J$3733,"Human valid")=IF(D206="Unlabeled-13",13,16),"Core review recorded","Core review incomplete"))))</f>
        <v>Not started</v>
      </c>
      <c r="AI206" s="5" t="str">
        <f>HYPERLINK("#'MCDM_Checks'!A"&amp;(MATCH("DS-201",MCDM_Checks!$B$6:$B$3733,0)+5),"Check evidence")</f>
        <v>Check evidence</v>
      </c>
    </row>
    <row r="207" spans="1:35">
      <c r="A207" s="5" t="s">
        <v>2323</v>
      </c>
      <c r="B207" s="5" t="s">
        <v>2324</v>
      </c>
      <c r="C207" s="5"/>
      <c r="D207" s="5" t="s">
        <v>118</v>
      </c>
      <c r="E207" s="5" t="s">
        <v>2325</v>
      </c>
      <c r="F207" s="5" t="str">
        <f>HYPERLINK("https://www.argoverse.org/av2.html","Dataset")</f>
        <v>Dataset</v>
      </c>
      <c r="G207" s="6"/>
      <c r="H207" s="10"/>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5" t="str">
        <f>IF(COUNTA(K207:Z207)=0,"Not started",IF(OR(G207="",NOT(ISNUMBER(H207)),I207&lt;&gt;"Confirmed"),"Reviewer / date / release needed",IF(COUNTIFS(MCDM_Checks!$B$6:$B$3733,A207,MCDM_Checks!$J$6:$J$3733,"Evidence needed")&gt;0,"Check evidence needed",IF(COUNTIFS(MCDM_Checks!$B$6:$B$3733,A207,MCDM_Checks!$J$6:$J$3733,"Human valid")=IF(D207="Unlabeled-13",13,16),"Core review recorded","Core review incomplete"))))</f>
        <v>Not started</v>
      </c>
      <c r="AI207" s="5" t="str">
        <f>HYPERLINK("#'MCDM_Checks'!A"&amp;(MATCH("DS-202",MCDM_Checks!$B$6:$B$3733,0)+5),"Check evidence")</f>
        <v>Check evidence</v>
      </c>
    </row>
    <row r="208" spans="1:35">
      <c r="A208" s="5" t="s">
        <v>2334</v>
      </c>
      <c r="B208" s="5" t="s">
        <v>2335</v>
      </c>
      <c r="C208" s="5"/>
      <c r="D208" s="5" t="s">
        <v>118</v>
      </c>
      <c r="E208" s="5" t="s">
        <v>2336</v>
      </c>
      <c r="F208" s="5" t="str">
        <f>HYPERLINK("https://www.argoverse.org/av2.html","Dataset")</f>
        <v>Dataset</v>
      </c>
      <c r="G208" s="6"/>
      <c r="H208" s="10"/>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5" t="str">
        <f>IF(COUNTA(K208:Z208)=0,"Not started",IF(OR(G208="",NOT(ISNUMBER(H208)),I208&lt;&gt;"Confirmed"),"Reviewer / date / release needed",IF(COUNTIFS(MCDM_Checks!$B$6:$B$3733,A208,MCDM_Checks!$J$6:$J$3733,"Evidence needed")&gt;0,"Check evidence needed",IF(COUNTIFS(MCDM_Checks!$B$6:$B$3733,A208,MCDM_Checks!$J$6:$J$3733,"Human valid")=IF(D208="Unlabeled-13",13,16),"Core review recorded","Core review incomplete"))))</f>
        <v>Not started</v>
      </c>
      <c r="AI208" s="5" t="str">
        <f>HYPERLINK("#'MCDM_Checks'!A"&amp;(MATCH("DS-203",MCDM_Checks!$B$6:$B$3733,0)+5),"Check evidence")</f>
        <v>Check evidence</v>
      </c>
    </row>
    <row r="209" spans="1:35" ht="25.5">
      <c r="A209" s="5" t="s">
        <v>2345</v>
      </c>
      <c r="B209" s="5" t="s">
        <v>2346</v>
      </c>
      <c r="C209" s="5"/>
      <c r="D209" s="5" t="s">
        <v>118</v>
      </c>
      <c r="E209" s="5" t="s">
        <v>2347</v>
      </c>
      <c r="F209" s="5" t="str">
        <f>HYPERLINK("https://pit30m.github.io/","Dataset")</f>
        <v>Dataset</v>
      </c>
      <c r="G209" s="6"/>
      <c r="H209" s="10"/>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5" t="str">
        <f>IF(COUNTA(K209:Z209)=0,"Not started",IF(OR(G209="",NOT(ISNUMBER(H209)),I209&lt;&gt;"Confirmed"),"Reviewer / date / release needed",IF(COUNTIFS(MCDM_Checks!$B$6:$B$3733,A209,MCDM_Checks!$J$6:$J$3733,"Evidence needed")&gt;0,"Check evidence needed",IF(COUNTIFS(MCDM_Checks!$B$6:$B$3733,A209,MCDM_Checks!$J$6:$J$3733,"Human valid")=IF(D209="Unlabeled-13",13,16),"Core review recorded","Core review incomplete"))))</f>
        <v>Not started</v>
      </c>
      <c r="AI209" s="5" t="str">
        <f>HYPERLINK("#'MCDM_Checks'!A"&amp;(MATCH("DS-204",MCDM_Checks!$B$6:$B$3733,0)+5),"Check evidence")</f>
        <v>Check evidence</v>
      </c>
    </row>
    <row r="210" spans="1:35">
      <c r="A210" s="5" t="s">
        <v>2359</v>
      </c>
      <c r="B210" s="5" t="s">
        <v>2360</v>
      </c>
      <c r="C210" s="5"/>
      <c r="D210" s="5" t="s">
        <v>118</v>
      </c>
      <c r="E210" s="5" t="s">
        <v>2361</v>
      </c>
      <c r="F210" s="5" t="str">
        <f>HYPERLINK("https://github.com/bdd100k/bdd100k","Dataset")</f>
        <v>Dataset</v>
      </c>
      <c r="G210" s="6"/>
      <c r="H210" s="10"/>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5" t="str">
        <f>IF(COUNTA(K210:Z210)=0,"Not started",IF(OR(G210="",NOT(ISNUMBER(H210)),I210&lt;&gt;"Confirmed"),"Reviewer / date / release needed",IF(COUNTIFS(MCDM_Checks!$B$6:$B$3733,A210,MCDM_Checks!$J$6:$J$3733,"Evidence needed")&gt;0,"Check evidence needed",IF(COUNTIFS(MCDM_Checks!$B$6:$B$3733,A210,MCDM_Checks!$J$6:$J$3733,"Human valid")=IF(D210="Unlabeled-13",13,16),"Core review recorded","Core review incomplete"))))</f>
        <v>Not started</v>
      </c>
      <c r="AI210" s="5" t="str">
        <f>HYPERLINK("#'MCDM_Checks'!A"&amp;(MATCH("DS-205",MCDM_Checks!$B$6:$B$3733,0)+5),"Check evidence")</f>
        <v>Check evidence</v>
      </c>
    </row>
    <row r="211" spans="1:35" ht="25.5">
      <c r="A211" s="5" t="s">
        <v>2372</v>
      </c>
      <c r="B211" s="5" t="s">
        <v>2373</v>
      </c>
      <c r="C211" s="5"/>
      <c r="D211" s="5" t="s">
        <v>118</v>
      </c>
      <c r="E211" s="5" t="s">
        <v>2374</v>
      </c>
      <c r="F211" s="5" t="str">
        <f>HYPERLINK("https://www.boreas.utias.utoronto.ca/","Dataset")</f>
        <v>Dataset</v>
      </c>
      <c r="G211" s="6"/>
      <c r="H211" s="10"/>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5" t="str">
        <f>IF(COUNTA(K211:Z211)=0,"Not started",IF(OR(G211="",NOT(ISNUMBER(H211)),I211&lt;&gt;"Confirmed"),"Reviewer / date / release needed",IF(COUNTIFS(MCDM_Checks!$B$6:$B$3733,A211,MCDM_Checks!$J$6:$J$3733,"Evidence needed")&gt;0,"Check evidence needed",IF(COUNTIFS(MCDM_Checks!$B$6:$B$3733,A211,MCDM_Checks!$J$6:$J$3733,"Human valid")=IF(D211="Unlabeled-13",13,16),"Core review recorded","Core review incomplete"))))</f>
        <v>Not started</v>
      </c>
      <c r="AI211" s="5" t="str">
        <f>HYPERLINK("#'MCDM_Checks'!A"&amp;(MATCH("DS-206",MCDM_Checks!$B$6:$B$3733,0)+5),"Check evidence")</f>
        <v>Check evidence</v>
      </c>
    </row>
    <row r="212" spans="1:35" ht="25.5">
      <c r="A212" s="5" t="s">
        <v>2386</v>
      </c>
      <c r="B212" s="5" t="s">
        <v>2387</v>
      </c>
      <c r="C212" s="5"/>
      <c r="D212" s="5" t="s">
        <v>118</v>
      </c>
      <c r="E212" s="5" t="s">
        <v>2388</v>
      </c>
      <c r="F212" s="5" t="str">
        <f>HYPERLINK("https://github.com/mpitropov/cadc_devkit","Dataset")</f>
        <v>Dataset</v>
      </c>
      <c r="G212" s="6"/>
      <c r="H212" s="10"/>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5" t="str">
        <f>IF(COUNTA(K212:Z212)=0,"Not started",IF(OR(G212="",NOT(ISNUMBER(H212)),I212&lt;&gt;"Confirmed"),"Reviewer / date / release needed",IF(COUNTIFS(MCDM_Checks!$B$6:$B$3733,A212,MCDM_Checks!$J$6:$J$3733,"Evidence needed")&gt;0,"Check evidence needed",IF(COUNTIFS(MCDM_Checks!$B$6:$B$3733,A212,MCDM_Checks!$J$6:$J$3733,"Human valid")=IF(D212="Unlabeled-13",13,16),"Core review recorded","Core review incomplete"))))</f>
        <v>Not started</v>
      </c>
      <c r="AI212" s="5" t="str">
        <f>HYPERLINK("#'MCDM_Checks'!A"&amp;(MATCH("DS-207",MCDM_Checks!$B$6:$B$3733,0)+5),"Check evidence")</f>
        <v>Check evidence</v>
      </c>
    </row>
    <row r="213" spans="1:35">
      <c r="A213" s="5" t="s">
        <v>2400</v>
      </c>
      <c r="B213" s="5" t="s">
        <v>2401</v>
      </c>
      <c r="C213" s="5"/>
      <c r="D213" s="5" t="s">
        <v>118</v>
      </c>
      <c r="E213" s="5" t="s">
        <v>2402</v>
      </c>
      <c r="F213" s="5" t="str">
        <f>HYPERLINK("https://www.cityscapes-dataset.com/","Dataset")</f>
        <v>Dataset</v>
      </c>
      <c r="G213" s="6"/>
      <c r="H213" s="10"/>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5" t="str">
        <f>IF(COUNTA(K213:Z213)=0,"Not started",IF(OR(G213="",NOT(ISNUMBER(H213)),I213&lt;&gt;"Confirmed"),"Reviewer / date / release needed",IF(COUNTIFS(MCDM_Checks!$B$6:$B$3733,A213,MCDM_Checks!$J$6:$J$3733,"Evidence needed")&gt;0,"Check evidence needed",IF(COUNTIFS(MCDM_Checks!$B$6:$B$3733,A213,MCDM_Checks!$J$6:$J$3733,"Human valid")=IF(D213="Unlabeled-13",13,16),"Core review recorded","Core review incomplete"))))</f>
        <v>Not started</v>
      </c>
      <c r="AI213" s="5" t="str">
        <f>HYPERLINK("#'MCDM_Checks'!A"&amp;(MATCH("DS-208",MCDM_Checks!$B$6:$B$3733,0)+5),"Check evidence")</f>
        <v>Check evidence</v>
      </c>
    </row>
    <row r="214" spans="1:35">
      <c r="A214" s="5" t="s">
        <v>2413</v>
      </c>
      <c r="B214" s="5" t="s">
        <v>2414</v>
      </c>
      <c r="C214" s="5"/>
      <c r="D214" s="5" t="s">
        <v>118</v>
      </c>
      <c r="E214" s="5" t="s">
        <v>2415</v>
      </c>
      <c r="F214" s="5" t="str">
        <f>HYPERLINK("https://github.com/commaai/comma10k","Dataset")</f>
        <v>Dataset</v>
      </c>
      <c r="G214" s="6"/>
      <c r="H214" s="10"/>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5" t="str">
        <f>IF(COUNTA(K214:Z214)=0,"Not started",IF(OR(G214="",NOT(ISNUMBER(H214)),I214&lt;&gt;"Confirmed"),"Reviewer / date / release needed",IF(COUNTIFS(MCDM_Checks!$B$6:$B$3733,A214,MCDM_Checks!$J$6:$J$3733,"Evidence needed")&gt;0,"Check evidence needed",IF(COUNTIFS(MCDM_Checks!$B$6:$B$3733,A214,MCDM_Checks!$J$6:$J$3733,"Human valid")=IF(D214="Unlabeled-13",13,16),"Core review recorded","Core review incomplete"))))</f>
        <v>Not started</v>
      </c>
      <c r="AI214" s="5" t="str">
        <f>HYPERLINK("#'MCDM_Checks'!A"&amp;(MATCH("DS-209",MCDM_Checks!$B$6:$B$3733,0)+5),"Check evidence")</f>
        <v>Check evidence</v>
      </c>
    </row>
    <row r="215" spans="1:35">
      <c r="A215" s="5" t="s">
        <v>2426</v>
      </c>
      <c r="B215" s="5" t="s">
        <v>2427</v>
      </c>
      <c r="C215" s="5"/>
      <c r="D215" s="5" t="s">
        <v>1336</v>
      </c>
      <c r="E215" s="5" t="s">
        <v>2428</v>
      </c>
      <c r="F215" s="5" t="str">
        <f>HYPERLINK("https://github.com/commaai/comma2k19","Dataset")</f>
        <v>Dataset</v>
      </c>
      <c r="G215" s="6"/>
      <c r="H215" s="10"/>
      <c r="I215" s="6"/>
      <c r="J215" s="6"/>
      <c r="K215" s="6"/>
      <c r="L215" s="6"/>
      <c r="M215" s="6"/>
      <c r="N215" s="15"/>
      <c r="O215" s="15"/>
      <c r="P215" s="15"/>
      <c r="Q215" s="6"/>
      <c r="R215" s="6"/>
      <c r="S215" s="6"/>
      <c r="T215" s="6"/>
      <c r="U215" s="6"/>
      <c r="V215" s="6"/>
      <c r="W215" s="6"/>
      <c r="X215" s="6"/>
      <c r="Y215" s="6"/>
      <c r="Z215" s="6"/>
      <c r="AA215" s="6"/>
      <c r="AB215" s="6"/>
      <c r="AC215" s="6"/>
      <c r="AD215" s="6"/>
      <c r="AE215" s="6"/>
      <c r="AF215" s="6"/>
      <c r="AG215" s="6"/>
      <c r="AH215" s="5" t="str">
        <f>IF(COUNTA(K215:Z215)=0,"Not started",IF(OR(G215="",NOT(ISNUMBER(H215)),I215&lt;&gt;"Confirmed"),"Reviewer / date / release needed",IF(COUNTIFS(MCDM_Checks!$B$6:$B$3733,A215,MCDM_Checks!$J$6:$J$3733,"Evidence needed")&gt;0,"Check evidence needed",IF(COUNTIFS(MCDM_Checks!$B$6:$B$3733,A215,MCDM_Checks!$J$6:$J$3733,"Human valid")=IF(D215="Unlabeled-13",13,16),"Core review recorded","Core review incomplete"))))</f>
        <v>Not started</v>
      </c>
      <c r="AI215" s="5" t="str">
        <f>HYPERLINK("#'MCDM_Checks'!A"&amp;(MATCH("DS-210",MCDM_Checks!$B$6:$B$3733,0)+5),"Check evidence")</f>
        <v>Check evidence</v>
      </c>
    </row>
    <row r="216" spans="1:35">
      <c r="A216" s="5" t="s">
        <v>2439</v>
      </c>
      <c r="B216" s="5" t="s">
        <v>2440</v>
      </c>
      <c r="C216" s="5"/>
      <c r="D216" s="5" t="s">
        <v>118</v>
      </c>
      <c r="E216" s="5" t="s">
        <v>2441</v>
      </c>
      <c r="F216" s="5" t="str">
        <f>HYPERLINK("https://arxiv.org/abs/1904.01975","Dataset")</f>
        <v>Dataset</v>
      </c>
      <c r="G216" s="6"/>
      <c r="H216" s="10"/>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5" t="str">
        <f>IF(COUNTA(K216:Z216)=0,"Not started",IF(OR(G216="",NOT(ISNUMBER(H216)),I216&lt;&gt;"Confirmed"),"Reviewer / date / release needed",IF(COUNTIFS(MCDM_Checks!$B$6:$B$3733,A216,MCDM_Checks!$J$6:$J$3733,"Evidence needed")&gt;0,"Check evidence needed",IF(COUNTIFS(MCDM_Checks!$B$6:$B$3733,A216,MCDM_Checks!$J$6:$J$3733,"Human valid")=IF(D216="Unlabeled-13",13,16),"Core review recorded","Core review incomplete"))))</f>
        <v>Not started</v>
      </c>
      <c r="AI216" s="5" t="str">
        <f>HYPERLINK("#'MCDM_Checks'!A"&amp;(MATCH("DS-211",MCDM_Checks!$B$6:$B$3733,0)+5),"Check evidence")</f>
        <v>Check evidence</v>
      </c>
    </row>
    <row r="217" spans="1:35">
      <c r="A217" s="5" t="s">
        <v>2451</v>
      </c>
      <c r="B217" s="5" t="s">
        <v>2452</v>
      </c>
      <c r="C217" s="5"/>
      <c r="D217" s="5" t="s">
        <v>1336</v>
      </c>
      <c r="E217" s="5" t="s">
        <v>2453</v>
      </c>
      <c r="F217" s="5" t="str">
        <f>HYPERLINK("https://avdata.ford.com/home/default.aspx","Dataset")</f>
        <v>Dataset</v>
      </c>
      <c r="G217" s="6"/>
      <c r="H217" s="10"/>
      <c r="I217" s="6"/>
      <c r="J217" s="6"/>
      <c r="K217" s="6"/>
      <c r="L217" s="6"/>
      <c r="M217" s="6"/>
      <c r="N217" s="15"/>
      <c r="O217" s="15"/>
      <c r="P217" s="15"/>
      <c r="Q217" s="6"/>
      <c r="R217" s="6"/>
      <c r="S217" s="6"/>
      <c r="T217" s="6"/>
      <c r="U217" s="6"/>
      <c r="V217" s="6"/>
      <c r="W217" s="6"/>
      <c r="X217" s="6"/>
      <c r="Y217" s="6"/>
      <c r="Z217" s="6"/>
      <c r="AA217" s="6"/>
      <c r="AB217" s="6"/>
      <c r="AC217" s="6"/>
      <c r="AD217" s="6"/>
      <c r="AE217" s="6"/>
      <c r="AF217" s="6"/>
      <c r="AG217" s="6"/>
      <c r="AH217" s="5" t="str">
        <f>IF(COUNTA(K217:Z217)=0,"Not started",IF(OR(G217="",NOT(ISNUMBER(H217)),I217&lt;&gt;"Confirmed"),"Reviewer / date / release needed",IF(COUNTIFS(MCDM_Checks!$B$6:$B$3733,A217,MCDM_Checks!$J$6:$J$3733,"Evidence needed")&gt;0,"Check evidence needed",IF(COUNTIFS(MCDM_Checks!$B$6:$B$3733,A217,MCDM_Checks!$J$6:$J$3733,"Human valid")=IF(D217="Unlabeled-13",13,16),"Core review recorded","Core review incomplete"))))</f>
        <v>Not started</v>
      </c>
      <c r="AI217" s="5" t="str">
        <f>HYPERLINK("#'MCDM_Checks'!A"&amp;(MATCH("DS-212",MCDM_Checks!$B$6:$B$3733,0)+5),"Check evidence")</f>
        <v>Check evidence</v>
      </c>
    </row>
    <row r="218" spans="1:35">
      <c r="A218" s="5" t="s">
        <v>2465</v>
      </c>
      <c r="B218" s="5" t="s">
        <v>2466</v>
      </c>
      <c r="C218" s="5"/>
      <c r="D218" s="5" t="s">
        <v>118</v>
      </c>
      <c r="E218" s="5" t="s">
        <v>2467</v>
      </c>
      <c r="F218" s="5" t="str">
        <f>HYPERLINK("https://idd.insaan.iiit.ac.in/dataset/details/","Dataset")</f>
        <v>Dataset</v>
      </c>
      <c r="G218" s="6"/>
      <c r="H218" s="10"/>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5" t="str">
        <f>IF(COUNTA(K218:Z218)=0,"Not started",IF(OR(G218="",NOT(ISNUMBER(H218)),I218&lt;&gt;"Confirmed"),"Reviewer / date / release needed",IF(COUNTIFS(MCDM_Checks!$B$6:$B$3733,A218,MCDM_Checks!$J$6:$J$3733,"Evidence needed")&gt;0,"Check evidence needed",IF(COUNTIFS(MCDM_Checks!$B$6:$B$3733,A218,MCDM_Checks!$J$6:$J$3733,"Human valid")=IF(D218="Unlabeled-13",13,16),"Core review recorded","Core review incomplete"))))</f>
        <v>Not started</v>
      </c>
      <c r="AI218" s="5" t="str">
        <f>HYPERLINK("#'MCDM_Checks'!A"&amp;(MATCH("DS-213",MCDM_Checks!$B$6:$B$3733,0)+5),"Check evidence")</f>
        <v>Check evidence</v>
      </c>
    </row>
    <row r="219" spans="1:35">
      <c r="A219" s="5" t="s">
        <v>2478</v>
      </c>
      <c r="B219" s="5" t="s">
        <v>2479</v>
      </c>
      <c r="C219" s="5"/>
      <c r="D219" s="5" t="s">
        <v>118</v>
      </c>
      <c r="E219" s="5" t="s">
        <v>2480</v>
      </c>
      <c r="F219" s="5" t="str">
        <f>HYPERLINK("https://www.cvlibs.net/datasets/kitti/raw_data.php","Dataset")</f>
        <v>Dataset</v>
      </c>
      <c r="G219" s="6"/>
      <c r="H219" s="10"/>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5" t="str">
        <f>IF(COUNTA(K219:Z219)=0,"Not started",IF(OR(G219="",NOT(ISNUMBER(H219)),I219&lt;&gt;"Confirmed"),"Reviewer / date / release needed",IF(COUNTIFS(MCDM_Checks!$B$6:$B$3733,A219,MCDM_Checks!$J$6:$J$3733,"Evidence needed")&gt;0,"Check evidence needed",IF(COUNTIFS(MCDM_Checks!$B$6:$B$3733,A219,MCDM_Checks!$J$6:$J$3733,"Human valid")=IF(D219="Unlabeled-13",13,16),"Core review recorded","Core review incomplete"))))</f>
        <v>Not started</v>
      </c>
      <c r="AI219" s="5" t="str">
        <f>HYPERLINK("#'MCDM_Checks'!A"&amp;(MATCH("DS-214",MCDM_Checks!$B$6:$B$3733,0)+5),"Check evidence")</f>
        <v>Check evidence</v>
      </c>
    </row>
    <row r="220" spans="1:35">
      <c r="A220" s="5" t="s">
        <v>2492</v>
      </c>
      <c r="B220" s="5" t="s">
        <v>2493</v>
      </c>
      <c r="C220" s="5"/>
      <c r="D220" s="5" t="s">
        <v>118</v>
      </c>
      <c r="E220" s="5" t="s">
        <v>2494</v>
      </c>
      <c r="F220" s="5" t="str">
        <f>HYPERLINK("https://www.cvlibs.net/datasets/kitti-360/","Dataset")</f>
        <v>Dataset</v>
      </c>
      <c r="G220" s="6"/>
      <c r="H220" s="10"/>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5" t="str">
        <f>IF(COUNTA(K220:Z220)=0,"Not started",IF(OR(G220="",NOT(ISNUMBER(H220)),I220&lt;&gt;"Confirmed"),"Reviewer / date / release needed",IF(COUNTIFS(MCDM_Checks!$B$6:$B$3733,A220,MCDM_Checks!$J$6:$J$3733,"Evidence needed")&gt;0,"Check evidence needed",IF(COUNTIFS(MCDM_Checks!$B$6:$B$3733,A220,MCDM_Checks!$J$6:$J$3733,"Human valid")=IF(D220="Unlabeled-13",13,16),"Core review recorded","Core review incomplete"))))</f>
        <v>Not started</v>
      </c>
      <c r="AI220" s="5" t="str">
        <f>HYPERLINK("#'MCDM_Checks'!A"&amp;(MATCH("DS-215",MCDM_Checks!$B$6:$B$3733,0)+5),"Check evidence")</f>
        <v>Check evidence</v>
      </c>
    </row>
    <row r="221" spans="1:35">
      <c r="A221" s="5" t="s">
        <v>2504</v>
      </c>
      <c r="B221" s="5" t="s">
        <v>2505</v>
      </c>
      <c r="C221" s="5"/>
      <c r="D221" s="5" t="s">
        <v>118</v>
      </c>
      <c r="E221" s="5" t="s">
        <v>2506</v>
      </c>
      <c r="F221" s="5" t="str">
        <f>HYPERLINK("https://www.man.eu/truckscenes","Dataset")</f>
        <v>Dataset</v>
      </c>
      <c r="G221" s="6"/>
      <c r="H221" s="10"/>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5" t="str">
        <f>IF(COUNTA(K221:Z221)=0,"Not started",IF(OR(G221="",NOT(ISNUMBER(H221)),I221&lt;&gt;"Confirmed"),"Reviewer / date / release needed",IF(COUNTIFS(MCDM_Checks!$B$6:$B$3733,A221,MCDM_Checks!$J$6:$J$3733,"Evidence needed")&gt;0,"Check evidence needed",IF(COUNTIFS(MCDM_Checks!$B$6:$B$3733,A221,MCDM_Checks!$J$6:$J$3733,"Human valid")=IF(D221="Unlabeled-13",13,16),"Core review recorded","Core review incomplete"))))</f>
        <v>Not started</v>
      </c>
      <c r="AI221" s="5" t="str">
        <f>HYPERLINK("#'MCDM_Checks'!A"&amp;(MATCH("DS-216",MCDM_Checks!$B$6:$B$3733,0)+5),"Check evidence")</f>
        <v>Check evidence</v>
      </c>
    </row>
    <row r="222" spans="1:35">
      <c r="A222" s="5" t="s">
        <v>2517</v>
      </c>
      <c r="B222" s="5" t="s">
        <v>2518</v>
      </c>
      <c r="C222" s="5"/>
      <c r="D222" s="5" t="s">
        <v>1336</v>
      </c>
      <c r="E222" s="5" t="s">
        <v>2519</v>
      </c>
      <c r="F222" s="5" t="str">
        <f>HYPERLINK("https://huggingface.co/datasets/natix-network-org/natix-multi-camera-driving-dataset","Dataset")</f>
        <v>Dataset</v>
      </c>
      <c r="G222" s="6"/>
      <c r="H222" s="10"/>
      <c r="I222" s="6"/>
      <c r="J222" s="6"/>
      <c r="K222" s="6"/>
      <c r="L222" s="6"/>
      <c r="M222" s="6"/>
      <c r="N222" s="15"/>
      <c r="O222" s="15"/>
      <c r="P222" s="15"/>
      <c r="Q222" s="6"/>
      <c r="R222" s="6"/>
      <c r="S222" s="6"/>
      <c r="T222" s="6"/>
      <c r="U222" s="6"/>
      <c r="V222" s="6"/>
      <c r="W222" s="6"/>
      <c r="X222" s="6"/>
      <c r="Y222" s="6"/>
      <c r="Z222" s="6"/>
      <c r="AA222" s="6"/>
      <c r="AB222" s="6"/>
      <c r="AC222" s="6"/>
      <c r="AD222" s="6"/>
      <c r="AE222" s="6"/>
      <c r="AF222" s="6"/>
      <c r="AG222" s="6"/>
      <c r="AH222" s="5" t="str">
        <f>IF(COUNTA(K222:Z222)=0,"Not started",IF(OR(G222="",NOT(ISNUMBER(H222)),I222&lt;&gt;"Confirmed"),"Reviewer / date / release needed",IF(COUNTIFS(MCDM_Checks!$B$6:$B$3733,A222,MCDM_Checks!$J$6:$J$3733,"Evidence needed")&gt;0,"Check evidence needed",IF(COUNTIFS(MCDM_Checks!$B$6:$B$3733,A222,MCDM_Checks!$J$6:$J$3733,"Human valid")=IF(D222="Unlabeled-13",13,16),"Core review recorded","Core review incomplete"))))</f>
        <v>Not started</v>
      </c>
      <c r="AI222" s="5" t="str">
        <f>HYPERLINK("#'MCDM_Checks'!A"&amp;(MATCH("DS-217",MCDM_Checks!$B$6:$B$3733,0)+5),"Check evidence")</f>
        <v>Check evidence</v>
      </c>
    </row>
    <row r="223" spans="1:35">
      <c r="A223" s="5" t="s">
        <v>2529</v>
      </c>
      <c r="B223" s="5" t="s">
        <v>2530</v>
      </c>
      <c r="C223" s="5"/>
      <c r="D223" s="5" t="s">
        <v>118</v>
      </c>
      <c r="E223" s="5" t="s">
        <v>2531</v>
      </c>
      <c r="F223" s="5" t="str">
        <f>HYPERLINK("https://huggingface.co/datasets/natix-network-org/natix-safety-critical-driving-events-dataset","Dataset")</f>
        <v>Dataset</v>
      </c>
      <c r="G223" s="6"/>
      <c r="H223" s="10"/>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5" t="str">
        <f>IF(COUNTA(K223:Z223)=0,"Not started",IF(OR(G223="",NOT(ISNUMBER(H223)),I223&lt;&gt;"Confirmed"),"Reviewer / date / release needed",IF(COUNTIFS(MCDM_Checks!$B$6:$B$3733,A223,MCDM_Checks!$J$6:$J$3733,"Evidence needed")&gt;0,"Check evidence needed",IF(COUNTIFS(MCDM_Checks!$B$6:$B$3733,A223,MCDM_Checks!$J$6:$J$3733,"Human valid")=IF(D223="Unlabeled-13",13,16),"Core review recorded","Core review incomplete"))))</f>
        <v>Not started</v>
      </c>
      <c r="AI223" s="5" t="str">
        <f>HYPERLINK("#'MCDM_Checks'!A"&amp;(MATCH("DS-218",MCDM_Checks!$B$6:$B$3733,0)+5),"Check evidence")</f>
        <v>Check evidence</v>
      </c>
    </row>
    <row r="224" spans="1:35">
      <c r="A224" s="5" t="s">
        <v>2542</v>
      </c>
      <c r="B224" s="5" t="s">
        <v>2543</v>
      </c>
      <c r="C224" s="5"/>
      <c r="D224" s="5" t="s">
        <v>118</v>
      </c>
      <c r="E224" s="5" t="s">
        <v>2544</v>
      </c>
      <c r="F224" s="5" t="str">
        <f>HYPERLINK("https://www.nuscenes.org/nuimages","Dataset")</f>
        <v>Dataset</v>
      </c>
      <c r="G224" s="6"/>
      <c r="H224" s="10"/>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5" t="str">
        <f>IF(COUNTA(K224:Z224)=0,"Not started",IF(OR(G224="",NOT(ISNUMBER(H224)),I224&lt;&gt;"Confirmed"),"Reviewer / date / release needed",IF(COUNTIFS(MCDM_Checks!$B$6:$B$3733,A224,MCDM_Checks!$J$6:$J$3733,"Evidence needed")&gt;0,"Check evidence needed",IF(COUNTIFS(MCDM_Checks!$B$6:$B$3733,A224,MCDM_Checks!$J$6:$J$3733,"Human valid")=IF(D224="Unlabeled-13",13,16),"Core review recorded","Core review incomplete"))))</f>
        <v>Not started</v>
      </c>
      <c r="AI224" s="5" t="str">
        <f>HYPERLINK("#'MCDM_Checks'!A"&amp;(MATCH("DS-219",MCDM_Checks!$B$6:$B$3733,0)+5),"Check evidence")</f>
        <v>Check evidence</v>
      </c>
    </row>
    <row r="225" spans="1:35">
      <c r="A225" s="5" t="s">
        <v>2557</v>
      </c>
      <c r="B225" s="5" t="s">
        <v>2558</v>
      </c>
      <c r="C225" s="5"/>
      <c r="D225" s="5" t="s">
        <v>118</v>
      </c>
      <c r="E225" s="5" t="s">
        <v>2559</v>
      </c>
      <c r="F225" s="5" t="str">
        <f>HYPERLINK("https://www.nuscenes.org/nuplan","Dataset")</f>
        <v>Dataset</v>
      </c>
      <c r="G225" s="6"/>
      <c r="H225" s="10"/>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5" t="str">
        <f>IF(COUNTA(K225:Z225)=0,"Not started",IF(OR(G225="",NOT(ISNUMBER(H225)),I225&lt;&gt;"Confirmed"),"Reviewer / date / release needed",IF(COUNTIFS(MCDM_Checks!$B$6:$B$3733,A225,MCDM_Checks!$J$6:$J$3733,"Evidence needed")&gt;0,"Check evidence needed",IF(COUNTIFS(MCDM_Checks!$B$6:$B$3733,A225,MCDM_Checks!$J$6:$J$3733,"Human valid")=IF(D225="Unlabeled-13",13,16),"Core review recorded","Core review incomplete"))))</f>
        <v>Not started</v>
      </c>
      <c r="AI225" s="5" t="str">
        <f>HYPERLINK("#'MCDM_Checks'!A"&amp;(MATCH("DS-220",MCDM_Checks!$B$6:$B$3733,0)+5),"Check evidence")</f>
        <v>Check evidence</v>
      </c>
    </row>
    <row r="226" spans="1:35">
      <c r="A226" s="5" t="s">
        <v>2568</v>
      </c>
      <c r="B226" s="5" t="s">
        <v>2569</v>
      </c>
      <c r="C226" s="5"/>
      <c r="D226" s="5" t="s">
        <v>118</v>
      </c>
      <c r="E226" s="5" t="s">
        <v>2570</v>
      </c>
      <c r="F226" s="5" t="str">
        <f>HYPERLINK("https://www.nuscenes.org/nuscenes","Dataset")</f>
        <v>Dataset</v>
      </c>
      <c r="G226" s="6"/>
      <c r="H226" s="10"/>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5" t="str">
        <f>IF(COUNTA(K226:Z226)=0,"Not started",IF(OR(G226="",NOT(ISNUMBER(H226)),I226&lt;&gt;"Confirmed"),"Reviewer / date / release needed",IF(COUNTIFS(MCDM_Checks!$B$6:$B$3733,A226,MCDM_Checks!$J$6:$J$3733,"Evidence needed")&gt;0,"Check evidence needed",IF(COUNTIFS(MCDM_Checks!$B$6:$B$3733,A226,MCDM_Checks!$J$6:$J$3733,"Human valid")=IF(D226="Unlabeled-13",13,16),"Core review recorded","Core review incomplete"))))</f>
        <v>Not started</v>
      </c>
      <c r="AI226" s="5" t="str">
        <f>HYPERLINK("#'MCDM_Checks'!A"&amp;(MATCH("DS-221",MCDM_Checks!$B$6:$B$3733,0)+5),"Check evidence")</f>
        <v>Check evidence</v>
      </c>
    </row>
    <row r="227" spans="1:35">
      <c r="A227" s="5" t="s">
        <v>2580</v>
      </c>
      <c r="B227" s="5" t="s">
        <v>2581</v>
      </c>
      <c r="C227" s="5"/>
      <c r="D227" s="5" t="s">
        <v>118</v>
      </c>
      <c r="E227" s="5" t="s">
        <v>2582</v>
      </c>
      <c r="F227" s="5" t="str">
        <f>HYPERLINK("https://huggingface.co/datasets/nvidia/PhysicalAI-Autonomous-Vehicles","Dataset")</f>
        <v>Dataset</v>
      </c>
      <c r="G227" s="6"/>
      <c r="H227" s="10"/>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5" t="str">
        <f>IF(COUNTA(K227:Z227)=0,"Not started",IF(OR(G227="",NOT(ISNUMBER(H227)),I227&lt;&gt;"Confirmed"),"Reviewer / date / release needed",IF(COUNTIFS(MCDM_Checks!$B$6:$B$3733,A227,MCDM_Checks!$J$6:$J$3733,"Evidence needed")&gt;0,"Check evidence needed",IF(COUNTIFS(MCDM_Checks!$B$6:$B$3733,A227,MCDM_Checks!$J$6:$J$3733,"Human valid")=IF(D227="Unlabeled-13",13,16),"Core review recorded","Core review incomplete"))))</f>
        <v>Not started</v>
      </c>
      <c r="AI227" s="5" t="str">
        <f>HYPERLINK("#'MCDM_Checks'!A"&amp;(MATCH("DS-222",MCDM_Checks!$B$6:$B$3733,0)+5),"Check evidence")</f>
        <v>Check evidence</v>
      </c>
    </row>
    <row r="228" spans="1:35">
      <c r="A228" s="5" t="s">
        <v>2593</v>
      </c>
      <c r="B228" s="5" t="s">
        <v>2594</v>
      </c>
      <c r="C228" s="5"/>
      <c r="D228" s="5" t="s">
        <v>118</v>
      </c>
      <c r="E228" s="5" t="s">
        <v>2595</v>
      </c>
      <c r="F228" s="5" t="str">
        <f>HYPERLINK("https://once-for-auto-driving.github.io/index.html","Dataset")</f>
        <v>Dataset</v>
      </c>
      <c r="G228" s="6"/>
      <c r="H228" s="10"/>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5" t="str">
        <f>IF(COUNTA(K228:Z228)=0,"Not started",IF(OR(G228="",NOT(ISNUMBER(H228)),I228&lt;&gt;"Confirmed"),"Reviewer / date / release needed",IF(COUNTIFS(MCDM_Checks!$B$6:$B$3733,A228,MCDM_Checks!$J$6:$J$3733,"Evidence needed")&gt;0,"Check evidence needed",IF(COUNTIFS(MCDM_Checks!$B$6:$B$3733,A228,MCDM_Checks!$J$6:$J$3733,"Human valid")=IF(D228="Unlabeled-13",13,16),"Core review recorded","Core review incomplete"))))</f>
        <v>Not started</v>
      </c>
      <c r="AI228" s="5" t="str">
        <f>HYPERLINK("#'MCDM_Checks'!A"&amp;(MATCH("DS-223",MCDM_Checks!$B$6:$B$3733,0)+5),"Check evidence")</f>
        <v>Check evidence</v>
      </c>
    </row>
    <row r="229" spans="1:35">
      <c r="A229" s="5" t="s">
        <v>2607</v>
      </c>
      <c r="B229" s="5" t="s">
        <v>2608</v>
      </c>
      <c r="C229" s="5"/>
      <c r="D229" s="5" t="s">
        <v>118</v>
      </c>
      <c r="E229" s="5" t="s">
        <v>2609</v>
      </c>
      <c r="F229" s="5" t="str">
        <f>HYPERLINK("https://github.com/OpenDriveLab/DriveAGI","Dataset")</f>
        <v>Dataset</v>
      </c>
      <c r="G229" s="6"/>
      <c r="H229" s="10"/>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5" t="str">
        <f>IF(COUNTA(K229:Z229)=0,"Not started",IF(OR(G229="",NOT(ISNUMBER(H229)),I229&lt;&gt;"Confirmed"),"Reviewer / date / release needed",IF(COUNTIFS(MCDM_Checks!$B$6:$B$3733,A229,MCDM_Checks!$J$6:$J$3733,"Evidence needed")&gt;0,"Check evidence needed",IF(COUNTIFS(MCDM_Checks!$B$6:$B$3733,A229,MCDM_Checks!$J$6:$J$3733,"Human valid")=IF(D229="Unlabeled-13",13,16),"Core review recorded","Core review incomplete"))))</f>
        <v>Not started</v>
      </c>
      <c r="AI229" s="5" t="str">
        <f>HYPERLINK("#'MCDM_Checks'!A"&amp;(MATCH("DS-224",MCDM_Checks!$B$6:$B$3733,0)+5),"Check evidence")</f>
        <v>Check evidence</v>
      </c>
    </row>
    <row r="230" spans="1:35" ht="25.5">
      <c r="A230" s="5" t="s">
        <v>2622</v>
      </c>
      <c r="B230" s="5" t="s">
        <v>2623</v>
      </c>
      <c r="C230" s="5"/>
      <c r="D230" s="5" t="s">
        <v>118</v>
      </c>
      <c r="E230" s="5" t="s">
        <v>2624</v>
      </c>
      <c r="F230" s="5" t="str">
        <f>HYPERLINK("https://robotcar-dataset.robots.ox.ac.uk/","Dataset")</f>
        <v>Dataset</v>
      </c>
      <c r="G230" s="6"/>
      <c r="H230" s="10"/>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5" t="str">
        <f>IF(COUNTA(K230:Z230)=0,"Not started",IF(OR(G230="",NOT(ISNUMBER(H230)),I230&lt;&gt;"Confirmed"),"Reviewer / date / release needed",IF(COUNTIFS(MCDM_Checks!$B$6:$B$3733,A230,MCDM_Checks!$J$6:$J$3733,"Evidence needed")&gt;0,"Check evidence needed",IF(COUNTIFS(MCDM_Checks!$B$6:$B$3733,A230,MCDM_Checks!$J$6:$J$3733,"Human valid")=IF(D230="Unlabeled-13",13,16),"Core review recorded","Core review incomplete"))))</f>
        <v>Not started</v>
      </c>
      <c r="AI230" s="5" t="str">
        <f>HYPERLINK("#'MCDM_Checks'!A"&amp;(MATCH("DS-225",MCDM_Checks!$B$6:$B$3733,0)+5),"Check evidence")</f>
        <v>Check evidence</v>
      </c>
    </row>
    <row r="231" spans="1:35">
      <c r="A231" s="5" t="s">
        <v>2636</v>
      </c>
      <c r="B231" s="5" t="s">
        <v>2637</v>
      </c>
      <c r="C231" s="5"/>
      <c r="D231" s="5" t="s">
        <v>118</v>
      </c>
      <c r="E231" s="5" t="s">
        <v>2638</v>
      </c>
      <c r="F231" s="5" t="str">
        <f>HYPERLINK("https://github.com/scaleapi/pandaset-devkit","Dataset")</f>
        <v>Dataset</v>
      </c>
      <c r="G231" s="6"/>
      <c r="H231" s="10"/>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5" t="str">
        <f>IF(COUNTA(K231:Z231)=0,"Not started",IF(OR(G231="",NOT(ISNUMBER(H231)),I231&lt;&gt;"Confirmed"),"Reviewer / date / release needed",IF(COUNTIFS(MCDM_Checks!$B$6:$B$3733,A231,MCDM_Checks!$J$6:$J$3733,"Evidence needed")&gt;0,"Check evidence needed",IF(COUNTIFS(MCDM_Checks!$B$6:$B$3733,A231,MCDM_Checks!$J$6:$J$3733,"Human valid")=IF(D231="Unlabeled-13",13,16),"Core review recorded","Core review incomplete"))))</f>
        <v>Not started</v>
      </c>
      <c r="AI231" s="5" t="str">
        <f>HYPERLINK("#'MCDM_Checks'!A"&amp;(MATCH("DS-226",MCDM_Checks!$B$6:$B$3733,0)+5),"Check evidence")</f>
        <v>Check evidence</v>
      </c>
    </row>
    <row r="232" spans="1:35">
      <c r="A232" s="5" t="s">
        <v>2650</v>
      </c>
      <c r="B232" s="5" t="s">
        <v>2651</v>
      </c>
      <c r="C232" s="5"/>
      <c r="D232" s="5" t="s">
        <v>118</v>
      </c>
      <c r="E232" s="5" t="s">
        <v>2652</v>
      </c>
      <c r="F232" s="5" t="str">
        <f>HYPERLINK("https://pro.hw.ac.uk/radiate/","Dataset")</f>
        <v>Dataset</v>
      </c>
      <c r="G232" s="6"/>
      <c r="H232" s="10"/>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5" t="str">
        <f>IF(COUNTA(K232:Z232)=0,"Not started",IF(OR(G232="",NOT(ISNUMBER(H232)),I232&lt;&gt;"Confirmed"),"Reviewer / date / release needed",IF(COUNTIFS(MCDM_Checks!$B$6:$B$3733,A232,MCDM_Checks!$J$6:$J$3733,"Evidence needed")&gt;0,"Check evidence needed",IF(COUNTIFS(MCDM_Checks!$B$6:$B$3733,A232,MCDM_Checks!$J$6:$J$3733,"Human valid")=IF(D232="Unlabeled-13",13,16),"Core review recorded","Core review incomplete"))))</f>
        <v>Not started</v>
      </c>
      <c r="AI232" s="5" t="str">
        <f>HYPERLINK("#'MCDM_Checks'!A"&amp;(MATCH("DS-227",MCDM_Checks!$B$6:$B$3733,0)+5),"Check evidence")</f>
        <v>Check evidence</v>
      </c>
    </row>
    <row r="233" spans="1:35">
      <c r="A233" s="5" t="s">
        <v>2663</v>
      </c>
      <c r="B233" s="5" t="s">
        <v>2664</v>
      </c>
      <c r="C233" s="5"/>
      <c r="D233" s="5" t="s">
        <v>118</v>
      </c>
      <c r="E233" s="5" t="s">
        <v>2665</v>
      </c>
      <c r="F233" s="5" t="str">
        <f>HYPERLINK("https://huggingface.co/datasets/Torc-Robotics/TruckDrive","Dataset")</f>
        <v>Dataset</v>
      </c>
      <c r="G233" s="6"/>
      <c r="H233" s="10"/>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5" t="str">
        <f>IF(COUNTA(K233:Z233)=0,"Not started",IF(OR(G233="",NOT(ISNUMBER(H233)),I233&lt;&gt;"Confirmed"),"Reviewer / date / release needed",IF(COUNTIFS(MCDM_Checks!$B$6:$B$3733,A233,MCDM_Checks!$J$6:$J$3733,"Evidence needed")&gt;0,"Check evidence needed",IF(COUNTIFS(MCDM_Checks!$B$6:$B$3733,A233,MCDM_Checks!$J$6:$J$3733,"Human valid")=IF(D233="Unlabeled-13",13,16),"Core review recorded","Core review incomplete"))))</f>
        <v>Not started</v>
      </c>
      <c r="AI233" s="5" t="str">
        <f>HYPERLINK("#'MCDM_Checks'!A"&amp;(MATCH("DS-228",MCDM_Checks!$B$6:$B$3733,0)+5),"Check evidence")</f>
        <v>Check evidence</v>
      </c>
    </row>
    <row r="234" spans="1:35">
      <c r="A234" s="5" t="s">
        <v>2676</v>
      </c>
      <c r="B234" s="5" t="s">
        <v>2677</v>
      </c>
      <c r="C234" s="5"/>
      <c r="D234" s="5" t="s">
        <v>118</v>
      </c>
      <c r="E234" s="5" t="s">
        <v>2678</v>
      </c>
      <c r="F234" s="5" t="str">
        <f>HYPERLINK("https://github.com/TuSimple/tusimple-benchmark/issues/3","Dataset")</f>
        <v>Dataset</v>
      </c>
      <c r="G234" s="6"/>
      <c r="H234" s="10"/>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5" t="str">
        <f>IF(COUNTA(K234:Z234)=0,"Not started",IF(OR(G234="",NOT(ISNUMBER(H234)),I234&lt;&gt;"Confirmed"),"Reviewer / date / release needed",IF(COUNTIFS(MCDM_Checks!$B$6:$B$3733,A234,MCDM_Checks!$J$6:$J$3733,"Evidence needed")&gt;0,"Check evidence needed",IF(COUNTIFS(MCDM_Checks!$B$6:$B$3733,A234,MCDM_Checks!$J$6:$J$3733,"Human valid")=IF(D234="Unlabeled-13",13,16),"Core review recorded","Core review incomplete"))))</f>
        <v>Not started</v>
      </c>
      <c r="AI234" s="5" t="str">
        <f>HYPERLINK("#'MCDM_Checks'!A"&amp;(MATCH("DS-229",MCDM_Checks!$B$6:$B$3733,0)+5),"Check evidence")</f>
        <v>Check evidence</v>
      </c>
    </row>
    <row r="235" spans="1:35">
      <c r="A235" s="5" t="s">
        <v>2690</v>
      </c>
      <c r="B235" s="5" t="s">
        <v>2691</v>
      </c>
      <c r="C235" s="5"/>
      <c r="D235" s="5" t="s">
        <v>118</v>
      </c>
      <c r="E235" s="5" t="s">
        <v>2692</v>
      </c>
      <c r="F235" s="5" t="str">
        <f>HYPERLINK("https://waymo.com/open/download/","Dataset")</f>
        <v>Dataset</v>
      </c>
      <c r="G235" s="6"/>
      <c r="H235" s="10"/>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5" t="str">
        <f>IF(COUNTA(K235:Z235)=0,"Not started",IF(OR(G235="",NOT(ISNUMBER(H235)),I235&lt;&gt;"Confirmed"),"Reviewer / date / release needed",IF(COUNTIFS(MCDM_Checks!$B$6:$B$3733,A235,MCDM_Checks!$J$6:$J$3733,"Evidence needed")&gt;0,"Check evidence needed",IF(COUNTIFS(MCDM_Checks!$B$6:$B$3733,A235,MCDM_Checks!$J$6:$J$3733,"Human valid")=IF(D235="Unlabeled-13",13,16),"Core review recorded","Core review incomplete"))))</f>
        <v>Not started</v>
      </c>
      <c r="AI235" s="5" t="str">
        <f>HYPERLINK("#'MCDM_Checks'!A"&amp;(MATCH("DS-230",MCDM_Checks!$B$6:$B$3733,0)+5),"Check evidence")</f>
        <v>Check evidence</v>
      </c>
    </row>
    <row r="236" spans="1:35" ht="25.5">
      <c r="A236" s="5" t="s">
        <v>2705</v>
      </c>
      <c r="B236" s="5" t="s">
        <v>2706</v>
      </c>
      <c r="C236" s="5"/>
      <c r="D236" s="5" t="s">
        <v>118</v>
      </c>
      <c r="E236" s="5" t="s">
        <v>2707</v>
      </c>
      <c r="F236" s="5" t="str">
        <f>HYPERLINK("https://waymo.com/open/download/","Dataset")</f>
        <v>Dataset</v>
      </c>
      <c r="G236" s="6"/>
      <c r="H236" s="10"/>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5" t="str">
        <f>IF(COUNTA(K236:Z236)=0,"Not started",IF(OR(G236="",NOT(ISNUMBER(H236)),I236&lt;&gt;"Confirmed"),"Reviewer / date / release needed",IF(COUNTIFS(MCDM_Checks!$B$6:$B$3733,A236,MCDM_Checks!$J$6:$J$3733,"Evidence needed")&gt;0,"Check evidence needed",IF(COUNTIFS(MCDM_Checks!$B$6:$B$3733,A236,MCDM_Checks!$J$6:$J$3733,"Human valid")=IF(D236="Unlabeled-13",13,16),"Core review recorded","Core review incomplete"))))</f>
        <v>Not started</v>
      </c>
      <c r="AI236" s="5" t="str">
        <f>HYPERLINK("#'MCDM_Checks'!A"&amp;(MATCH("DS-231",MCDM_Checks!$B$6:$B$3733,0)+5),"Check evidence")</f>
        <v>Check evidence</v>
      </c>
    </row>
    <row r="237" spans="1:35">
      <c r="A237" s="5" t="s">
        <v>2717</v>
      </c>
      <c r="B237" s="5" t="s">
        <v>2718</v>
      </c>
      <c r="C237" s="5"/>
      <c r="D237" s="5" t="s">
        <v>118</v>
      </c>
      <c r="E237" s="5" t="s">
        <v>2719</v>
      </c>
      <c r="F237" s="5" t="str">
        <f>HYPERLINK("https://huggingface.co/datasets/XieTenghu1/TruckV2X","Dataset")</f>
        <v>Dataset</v>
      </c>
      <c r="G237" s="6"/>
      <c r="H237" s="10"/>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5" t="str">
        <f>IF(COUNTA(K237:Z237)=0,"Not started",IF(OR(G237="",NOT(ISNUMBER(H237)),I237&lt;&gt;"Confirmed"),"Reviewer / date / release needed",IF(COUNTIFS(MCDM_Checks!$B$6:$B$3733,A237,MCDM_Checks!$J$6:$J$3733,"Evidence needed")&gt;0,"Check evidence needed",IF(COUNTIFS(MCDM_Checks!$B$6:$B$3733,A237,MCDM_Checks!$J$6:$J$3733,"Human valid")=IF(D237="Unlabeled-13",13,16),"Core review recorded","Core review incomplete"))))</f>
        <v>Not started</v>
      </c>
      <c r="AI237" s="5" t="str">
        <f>HYPERLINK("#'MCDM_Checks'!A"&amp;(MATCH("DS-232",MCDM_Checks!$B$6:$B$3733,0)+5),"Check evidence")</f>
        <v>Check evidence</v>
      </c>
    </row>
    <row r="238" spans="1:35" ht="25.5">
      <c r="A238" s="5" t="s">
        <v>2733</v>
      </c>
      <c r="B238" s="5" t="s">
        <v>2734</v>
      </c>
      <c r="C238" s="5"/>
      <c r="D238" s="5" t="s">
        <v>118</v>
      </c>
      <c r="E238" s="5" t="s">
        <v>2735</v>
      </c>
      <c r="F238" s="5" t="str">
        <f>HYPERLINK("https://thu-rsxd.com/dxhdiefb/","Dataset")</f>
        <v>Dataset</v>
      </c>
      <c r="G238" s="6"/>
      <c r="H238" s="10"/>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5" t="str">
        <f>IF(COUNTA(K238:Z238)=0,"Not started",IF(OR(G238="",NOT(ISNUMBER(H238)),I238&lt;&gt;"Confirmed"),"Reviewer / date / release needed",IF(COUNTIFS(MCDM_Checks!$B$6:$B$3733,A238,MCDM_Checks!$J$6:$J$3733,"Evidence needed")&gt;0,"Check evidence needed",IF(COUNTIFS(MCDM_Checks!$B$6:$B$3733,A238,MCDM_Checks!$J$6:$J$3733,"Human valid")=IF(D238="Unlabeled-13",13,16),"Core review recorded","Core review incomplete"))))</f>
        <v>Not started</v>
      </c>
      <c r="AI238" s="5" t="str">
        <f>HYPERLINK("#'MCDM_Checks'!A"&amp;(MATCH("DS-233",MCDM_Checks!$B$6:$B$3733,0)+5),"Check evidence")</f>
        <v>Check evidence</v>
      </c>
    </row>
  </sheetData>
  <conditionalFormatting sqref="A6:F238">
    <cfRule type="expression" dxfId="3" priority="1">
      <formula>AND(ISNUMBER($C6),$C6&gt;0)</formula>
    </cfRule>
  </conditionalFormatting>
  <conditionalFormatting sqref="AH6:AI238">
    <cfRule type="expression" dxfId="2" priority="2">
      <formula>AND(ISNUMBER($C6),$C6&gt;0)</formula>
    </cfRule>
  </conditionalFormatting>
  <dataValidations count="3">
    <dataValidation type="list" sqref="K6:Z238" xr:uid="{00000000-0002-0000-0300-000000000000}">
      <formula1>"Y,N,U,X"</formula1>
    </dataValidation>
    <dataValidation type="list" sqref="I6:I238" xr:uid="{00000000-0002-0000-0300-000001000000}">
      <formula1>"Confirmed,Uncertain"</formula1>
    </dataValidation>
    <dataValidation type="list" sqref="AA6:AE238" xr:uid="{00000000-0002-0000-0300-000002000000}">
      <formula1>"Pass,Pending,Fail,N/A"</formula1>
    </dataValidation>
  </dataValidations>
  <hyperlinks>
    <hyperlink ref="F199" r:id="rId1" xr:uid="{23BF25FC-1284-40F6-8B13-A8DD78159230}"/>
  </hyperlink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3A53"/>
  </sheetPr>
  <dimension ref="A1:AZ238"/>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3" customWidth="1"/>
    <col min="2" max="2" width="39" customWidth="1"/>
    <col min="3" max="3" width="12" customWidth="1"/>
    <col min="4" max="4" width="18" customWidth="1"/>
    <col min="5" max="6" width="15" customWidth="1"/>
    <col min="7" max="7" width="16" customWidth="1"/>
    <col min="8" max="8" width="34" customWidth="1"/>
    <col min="9" max="9" width="32" customWidth="1"/>
    <col min="10" max="10" width="50" customWidth="1"/>
    <col min="11" max="12" width="18" customWidth="1"/>
    <col min="13" max="28" width="8" customWidth="1"/>
    <col min="29" max="46" width="15" customWidth="1"/>
    <col min="47" max="50" width="35" customWidth="1"/>
    <col min="51" max="51" width="25" customWidth="1"/>
    <col min="52" max="52" width="22" customWidth="1"/>
  </cols>
  <sheetData>
    <row r="1" spans="1:52"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24" customHeight="1">
      <c r="A2" s="2" t="s">
        <v>2806</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ht="21" customHeight="1">
      <c r="A3" s="3" t="s">
        <v>2807</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9.9499999999999993"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42.95" customHeight="1">
      <c r="A5" s="4" t="s">
        <v>3</v>
      </c>
      <c r="B5" s="4" t="s">
        <v>90</v>
      </c>
      <c r="C5" s="4" t="s">
        <v>91</v>
      </c>
      <c r="D5" s="4" t="s">
        <v>92</v>
      </c>
      <c r="E5" s="4" t="s">
        <v>6</v>
      </c>
      <c r="F5" s="4" t="s">
        <v>7</v>
      </c>
      <c r="G5" s="4" t="s">
        <v>8</v>
      </c>
      <c r="H5" s="4" t="s">
        <v>2804</v>
      </c>
      <c r="I5" s="4" t="s">
        <v>110</v>
      </c>
      <c r="J5" s="4" t="s">
        <v>94</v>
      </c>
      <c r="K5" s="4" t="s">
        <v>9</v>
      </c>
      <c r="L5" s="4" t="s">
        <v>2808</v>
      </c>
      <c r="M5" s="4" t="s">
        <v>2781</v>
      </c>
      <c r="N5" s="4" t="s">
        <v>2782</v>
      </c>
      <c r="O5" s="4" t="s">
        <v>2783</v>
      </c>
      <c r="P5" s="4" t="s">
        <v>2784</v>
      </c>
      <c r="Q5" s="4" t="s">
        <v>2785</v>
      </c>
      <c r="R5" s="4" t="s">
        <v>2786</v>
      </c>
      <c r="S5" s="4" t="s">
        <v>2787</v>
      </c>
      <c r="T5" s="4" t="s">
        <v>2788</v>
      </c>
      <c r="U5" s="4" t="s">
        <v>2789</v>
      </c>
      <c r="V5" s="4" t="s">
        <v>2790</v>
      </c>
      <c r="W5" s="4" t="s">
        <v>2791</v>
      </c>
      <c r="X5" s="4" t="s">
        <v>2792</v>
      </c>
      <c r="Y5" s="4" t="s">
        <v>2793</v>
      </c>
      <c r="Z5" s="4" t="s">
        <v>2794</v>
      </c>
      <c r="AA5" s="4" t="s">
        <v>2795</v>
      </c>
      <c r="AB5" s="4" t="s">
        <v>2796</v>
      </c>
      <c r="AC5" s="4" t="s">
        <v>2809</v>
      </c>
      <c r="AD5" s="4" t="s">
        <v>2810</v>
      </c>
      <c r="AE5" s="4" t="s">
        <v>2811</v>
      </c>
      <c r="AF5" s="4" t="s">
        <v>2812</v>
      </c>
      <c r="AG5" s="4" t="s">
        <v>2813</v>
      </c>
      <c r="AH5" s="4" t="s">
        <v>2814</v>
      </c>
      <c r="AI5" s="4" t="s">
        <v>2815</v>
      </c>
      <c r="AJ5" s="4" t="s">
        <v>2816</v>
      </c>
      <c r="AK5" s="4" t="s">
        <v>2817</v>
      </c>
      <c r="AL5" s="4" t="s">
        <v>2818</v>
      </c>
      <c r="AM5" s="4" t="s">
        <v>2819</v>
      </c>
      <c r="AN5" s="4" t="s">
        <v>2820</v>
      </c>
      <c r="AO5" s="4" t="s">
        <v>2821</v>
      </c>
      <c r="AP5" s="4" t="s">
        <v>2822</v>
      </c>
      <c r="AQ5" s="4" t="s">
        <v>2823</v>
      </c>
      <c r="AR5" s="4" t="s">
        <v>2824</v>
      </c>
      <c r="AS5" s="4" t="s">
        <v>2825</v>
      </c>
      <c r="AT5" s="4" t="s">
        <v>2826</v>
      </c>
      <c r="AU5" s="4" t="s">
        <v>2827</v>
      </c>
      <c r="AV5" s="4" t="s">
        <v>2828</v>
      </c>
      <c r="AW5" s="4" t="s">
        <v>2829</v>
      </c>
      <c r="AX5" s="4" t="s">
        <v>2830</v>
      </c>
      <c r="AY5" s="4" t="s">
        <v>2831</v>
      </c>
      <c r="AZ5" s="4" t="s">
        <v>2832</v>
      </c>
    </row>
    <row r="6" spans="1:52" ht="25.5">
      <c r="A6" s="5" t="s">
        <v>116</v>
      </c>
      <c r="B6" s="5" t="s">
        <v>117</v>
      </c>
      <c r="C6" s="5"/>
      <c r="D6" s="5" t="s">
        <v>118</v>
      </c>
      <c r="E6" s="12">
        <f>IF(OR(AY6&lt;&gt;"Valid",AZ6&lt;&gt;"16 keys present"),"Review settings",20*(IF(ISNUMBER(AC6),AC6*IF($D6="Unlabeled-13",MCDM_Settings!$E$6,MCDM_Settings!$C$6),0)+IF(ISNUMBER(AF6),AF6*IF($D6="Unlabeled-13",MCDM_Settings!$E$7,MCDM_Settings!$C$7),0)+IF(ISNUMBER(AI6),AI6*IF($D6="Unlabeled-13",MCDM_Settings!$E$8,MCDM_Settings!$C$8),0)+IF(ISNUMBER(AL6),AL6*IF($D6="Unlabeled-13",MCDM_Settings!$E$9,MCDM_Settings!$C$9),0)+IF(ISNUMBER(AO6),AO6*IF($D6="Unlabeled-13",MCDM_Settings!$E$10,MCDM_Settings!$C$10),0)+IF(ISNUMBER(AR6),AR6*IF($D6="Unlabeled-13",MCDM_Settings!$E$11,MCDM_Settings!$C$11),0)))</f>
        <v>11.111111111111111</v>
      </c>
      <c r="F6" s="12">
        <f>IF(OR(AY6&lt;&gt;"Valid",AZ6&lt;&gt;"16 keys present"),"Review settings",20*(IF(ISNUMBER(AD6),AD6*IF($D6="Unlabeled-13",MCDM_Settings!$E$6,MCDM_Settings!$C$6),0)+IF(ISNUMBER(AG6),AG6*IF($D6="Unlabeled-13",MCDM_Settings!$E$7,MCDM_Settings!$C$7),0)+IF(ISNUMBER(AJ6),AJ6*IF($D6="Unlabeled-13",MCDM_Settings!$E$8,MCDM_Settings!$C$8),0)+IF(ISNUMBER(AM6),AM6*IF($D6="Unlabeled-13",MCDM_Settings!$E$9,MCDM_Settings!$C$9),0)+IF(ISNUMBER(AP6),AP6*IF($D6="Unlabeled-13",MCDM_Settings!$E$10,MCDM_Settings!$C$10),0)+IF(ISNUMBER(AS6),AS6*IF($D6="Unlabeled-13",MCDM_Settings!$E$11,MCDM_Settings!$C$11),0)))</f>
        <v>99.999999999999986</v>
      </c>
      <c r="G6" s="13">
        <f>IF(OR(AY6&lt;&gt;"Valid",AZ6&lt;&gt;"16 keys present"),"Review settings",1*(IF(ISNUMBER(AE6),AE6*IF($D6="Unlabeled-13",MCDM_Settings!$E$6,MCDM_Settings!$C$6),0)+IF(ISNUMBER(AH6),AH6*IF($D6="Unlabeled-13",MCDM_Settings!$E$7,MCDM_Settings!$C$7),0)+IF(ISNUMBER(AK6),AK6*IF($D6="Unlabeled-13",MCDM_Settings!$E$8,MCDM_Settings!$C$8),0)+IF(ISNUMBER(AN6),AN6*IF($D6="Unlabeled-13",MCDM_Settings!$E$9,MCDM_Settings!$C$9),0)+IF(ISNUMBER(AQ6),AQ6*IF($D6="Unlabeled-13",MCDM_Settings!$E$10,MCDM_Settings!$C$10),0)+IF(ISNUMBER(AT6),AT6*IF($D6="Unlabeled-13",MCDM_Settings!$E$11,MCDM_Settings!$C$11),0)))</f>
        <v>0.1111111111111111</v>
      </c>
      <c r="H6" s="5" t="str">
        <f>INDEX(Manual_Review!$AH$6:$AH$238,MATCH(A6,Manual_Review!$A$6:$A$238,0))</f>
        <v>Not started</v>
      </c>
      <c r="I6" s="5" t="s">
        <v>128</v>
      </c>
      <c r="J6" s="5" t="s">
        <v>119</v>
      </c>
      <c r="K6" s="5" t="str">
        <f>HYPERLINK("https://github.com/summoners29/Asphalt-Pavement-Crack-Data","Dataset")</f>
        <v>Dataset</v>
      </c>
      <c r="L6" s="5" t="str">
        <f>HYPERLINK("#'Manual_Review'!A"&amp;(MATCH("DS-001",Manual_Review!$A$6:$A$238,0)+5),"Enter review")</f>
        <v>Enter review</v>
      </c>
      <c r="M6" s="5" t="str">
        <f>INDEX(MCDM_Checks!$K$6:$K$3733,MATCH(A6&amp;"|"&amp;M$5,MCDM_Checks!$A$6:$A$3733,0))</f>
        <v>Y</v>
      </c>
      <c r="N6" s="5" t="str">
        <f>INDEX(MCDM_Checks!$K$6:$K$3733,MATCH(A6&amp;"|"&amp;N$5,MCDM_Checks!$A$6:$A$3733,0))</f>
        <v>Y</v>
      </c>
      <c r="O6" s="5" t="str">
        <f>INDEX(MCDM_Checks!$K$6:$K$3733,MATCH(A6&amp;"|"&amp;O$5,MCDM_Checks!$A$6:$A$3733,0))</f>
        <v>U</v>
      </c>
      <c r="P6" s="5" t="str">
        <f>INDEX(MCDM_Checks!$K$6:$K$3733,MATCH(A6&amp;"|"&amp;P$5,MCDM_Checks!$A$6:$A$3733,0))</f>
        <v>U</v>
      </c>
      <c r="Q6" s="5" t="str">
        <f>INDEX(MCDM_Checks!$K$6:$K$3733,MATCH(A6&amp;"|"&amp;Q$5,MCDM_Checks!$A$6:$A$3733,0))</f>
        <v>U</v>
      </c>
      <c r="R6" s="5" t="str">
        <f>INDEX(MCDM_Checks!$K$6:$K$3733,MATCH(A6&amp;"|"&amp;R$5,MCDM_Checks!$A$6:$A$3733,0))</f>
        <v>U</v>
      </c>
      <c r="S6" s="5" t="str">
        <f>INDEX(MCDM_Checks!$K$6:$K$3733,MATCH(A6&amp;"|"&amp;S$5,MCDM_Checks!$A$6:$A$3733,0))</f>
        <v>U</v>
      </c>
      <c r="T6" s="5" t="str">
        <f>INDEX(MCDM_Checks!$K$6:$K$3733,MATCH(A6&amp;"|"&amp;T$5,MCDM_Checks!$A$6:$A$3733,0))</f>
        <v>U</v>
      </c>
      <c r="U6" s="5" t="str">
        <f>INDEX(MCDM_Checks!$K$6:$K$3733,MATCH(A6&amp;"|"&amp;U$5,MCDM_Checks!$A$6:$A$3733,0))</f>
        <v>U</v>
      </c>
      <c r="V6" s="5" t="str">
        <f>INDEX(MCDM_Checks!$K$6:$K$3733,MATCH(A6&amp;"|"&amp;V$5,MCDM_Checks!$A$6:$A$3733,0))</f>
        <v>U</v>
      </c>
      <c r="W6" s="5" t="str">
        <f>INDEX(MCDM_Checks!$K$6:$K$3733,MATCH(A6&amp;"|"&amp;W$5,MCDM_Checks!$A$6:$A$3733,0))</f>
        <v>U</v>
      </c>
      <c r="X6" s="5" t="str">
        <f>INDEX(MCDM_Checks!$K$6:$K$3733,MATCH(A6&amp;"|"&amp;X$5,MCDM_Checks!$A$6:$A$3733,0))</f>
        <v>U</v>
      </c>
      <c r="Y6" s="5" t="str">
        <f>INDEX(MCDM_Checks!$K$6:$K$3733,MATCH(A6&amp;"|"&amp;Y$5,MCDM_Checks!$A$6:$A$3733,0))</f>
        <v>U</v>
      </c>
      <c r="Z6" s="5" t="str">
        <f>INDEX(MCDM_Checks!$K$6:$K$3733,MATCH(A6&amp;"|"&amp;Z$5,MCDM_Checks!$A$6:$A$3733,0))</f>
        <v>U</v>
      </c>
      <c r="AA6" s="5" t="str">
        <f>INDEX(MCDM_Checks!$K$6:$K$3733,MATCH(A6&amp;"|"&amp;AA$5,MCDM_Checks!$A$6:$A$3733,0))</f>
        <v>U</v>
      </c>
      <c r="AB6" s="5" t="str">
        <f>INDEX(MCDM_Checks!$K$6:$K$3733,MATCH(A6&amp;"|"&amp;AB$5,MCDM_Checks!$A$6:$A$3733,0))</f>
        <v>U</v>
      </c>
      <c r="AC6" s="12">
        <f>IF(IF($D6="Unlabeled-13",MCDM_Settings!$F$6,MCDM_Settings!$D$6)=0,"n.a.",5*COUNTIF(M6:O6,"Y")/IF($D6="Unlabeled-13",MCDM_Settings!$F$6,MCDM_Settings!$D$6))</f>
        <v>3.3333333333333335</v>
      </c>
      <c r="AD6" s="12">
        <f>IF(IF($D6="Unlabeled-13",MCDM_Settings!$F$6,MCDM_Settings!$D$6)=0,"n.a.",5*(COUNTIF(M6:O6,"Y")+COUNTIF(M6:O6,"U")+COUNTIF(M6:O6,"X"))/IF($D6="Unlabeled-13",MCDM_Settings!$F$6,MCDM_Settings!$D$6))</f>
        <v>5</v>
      </c>
      <c r="AE6" s="13">
        <f>IF(IF($D6="Unlabeled-13",MCDM_Settings!$F$6,MCDM_Settings!$D$6)=0,"n.a.",(COUNTIF(M6:O6,"Y")+COUNTIF(M6:O6,"N"))/IF($D6="Unlabeled-13",MCDM_Settings!$F$6,MCDM_Settings!$D$6))</f>
        <v>0.66666666666666663</v>
      </c>
      <c r="AF6" s="12">
        <f>IF(IF($D6="Unlabeled-13",MCDM_Settings!$F$7,MCDM_Settings!$D$7)=0,"n.a.",5*COUNTIF(P6:R6,"Y")/IF($D6="Unlabeled-13",MCDM_Settings!$F$7,MCDM_Settings!$D$7))</f>
        <v>0</v>
      </c>
      <c r="AG6" s="12">
        <f>IF(IF($D6="Unlabeled-13",MCDM_Settings!$F$7,MCDM_Settings!$D$7)=0,"n.a.",5*(COUNTIF(P6:R6,"Y")+COUNTIF(P6:R6,"U")+COUNTIF(P6:R6,"X"))/IF($D6="Unlabeled-13",MCDM_Settings!$F$7,MCDM_Settings!$D$7))</f>
        <v>5</v>
      </c>
      <c r="AH6" s="13">
        <f>IF(IF($D6="Unlabeled-13",MCDM_Settings!$F$7,MCDM_Settings!$D$7)=0,"n.a.",(COUNTIF(P6:R6,"Y")+COUNTIF(P6:R6,"N"))/IF($D6="Unlabeled-13",MCDM_Settings!$F$7,MCDM_Settings!$D$7))</f>
        <v>0</v>
      </c>
      <c r="AI6" s="12">
        <f>IF(IF($D6="Unlabeled-13",MCDM_Settings!$F$8,MCDM_Settings!$D$8)=0,"n.a.",5*COUNTIF(S6:U6,"Y")/IF($D6="Unlabeled-13",MCDM_Settings!$F$8,MCDM_Settings!$D$8))</f>
        <v>0</v>
      </c>
      <c r="AJ6" s="12">
        <f>IF(IF($D6="Unlabeled-13",MCDM_Settings!$F$8,MCDM_Settings!$D$8)=0,"n.a.",5*(COUNTIF(S6:U6,"Y")+COUNTIF(S6:U6,"U")+COUNTIF(S6:U6,"X"))/IF($D6="Unlabeled-13",MCDM_Settings!$F$8,MCDM_Settings!$D$8))</f>
        <v>5</v>
      </c>
      <c r="AK6" s="13">
        <f>IF(IF($D6="Unlabeled-13",MCDM_Settings!$F$8,MCDM_Settings!$D$8)=0,"n.a.",(COUNTIF(S6:U6,"Y")+COUNTIF(S6:U6,"N"))/IF($D6="Unlabeled-13",MCDM_Settings!$F$8,MCDM_Settings!$D$8))</f>
        <v>0</v>
      </c>
      <c r="AL6" s="12">
        <f>IF(IF($D6="Unlabeled-13",MCDM_Settings!$F$9,MCDM_Settings!$D$9)=0,"n.a.",5*COUNTIF(V6:W6,"Y")/IF($D6="Unlabeled-13",MCDM_Settings!$F$9,MCDM_Settings!$D$9))</f>
        <v>0</v>
      </c>
      <c r="AM6" s="12">
        <f>IF(IF($D6="Unlabeled-13",MCDM_Settings!$F$9,MCDM_Settings!$D$9)=0,"n.a.",5*(COUNTIF(V6:W6,"Y")+COUNTIF(V6:W6,"U")+COUNTIF(V6:W6,"X"))/IF($D6="Unlabeled-13",MCDM_Settings!$F$9,MCDM_Settings!$D$9))</f>
        <v>5</v>
      </c>
      <c r="AN6" s="13">
        <f>IF(IF($D6="Unlabeled-13",MCDM_Settings!$F$9,MCDM_Settings!$D$9)=0,"n.a.",(COUNTIF(V6:W6,"Y")+COUNTIF(V6:W6,"N"))/IF($D6="Unlabeled-13",MCDM_Settings!$F$9,MCDM_Settings!$D$9))</f>
        <v>0</v>
      </c>
      <c r="AO6" s="12">
        <f>IF(IF($D6="Unlabeled-13",MCDM_Settings!$F$10,MCDM_Settings!$D$10)=0,"n.a.",5*COUNTIF(X6:Y6,"Y")/IF($D6="Unlabeled-13",MCDM_Settings!$F$10,MCDM_Settings!$D$10))</f>
        <v>0</v>
      </c>
      <c r="AP6" s="12">
        <f>IF(IF($D6="Unlabeled-13",MCDM_Settings!$F$10,MCDM_Settings!$D$10)=0,"n.a.",5*(COUNTIF(X6:Y6,"Y")+COUNTIF(X6:Y6,"U")+COUNTIF(X6:Y6,"X"))/IF($D6="Unlabeled-13",MCDM_Settings!$F$10,MCDM_Settings!$D$10))</f>
        <v>5</v>
      </c>
      <c r="AQ6" s="13">
        <f>IF(IF($D6="Unlabeled-13",MCDM_Settings!$F$10,MCDM_Settings!$D$10)=0,"n.a.",(COUNTIF(X6:Y6,"Y")+COUNTIF(X6:Y6,"N"))/IF($D6="Unlabeled-13",MCDM_Settings!$F$10,MCDM_Settings!$D$10))</f>
        <v>0</v>
      </c>
      <c r="AR6" s="12">
        <f>IF(IF($D6="Unlabeled-13",MCDM_Settings!$F$11,MCDM_Settings!$D$11)=0,"n.a.",5*COUNTIF(Z6:AB6,"Y")/IF($D6="Unlabeled-13",MCDM_Settings!$F$11,MCDM_Settings!$D$11))</f>
        <v>0</v>
      </c>
      <c r="AS6" s="12">
        <f>IF(IF($D6="Unlabeled-13",MCDM_Settings!$F$11,MCDM_Settings!$D$11)=0,"n.a.",5*(COUNTIF(Z6:AB6,"Y")+COUNTIF(Z6:AB6,"U")+COUNTIF(Z6:AB6,"X"))/IF($D6="Unlabeled-13",MCDM_Settings!$F$11,MCDM_Settings!$D$11))</f>
        <v>5</v>
      </c>
      <c r="AT6" s="13">
        <f>IF(IF($D6="Unlabeled-13",MCDM_Settings!$F$11,MCDM_Settings!$D$11)=0,"n.a.",(COUNTIF(Z6:AB6,"Y")+COUNTIF(Z6:AB6,"N"))/IF($D6="Unlabeled-13",MCDM_Settings!$F$11,MCDM_Settings!$D$11))</f>
        <v>0</v>
      </c>
      <c r="AU6" s="5" t="str">
        <f>IF(AND(INDEX(Manual_Review!$G$6:$G$238,MATCH(A6,Manual_Review!$A$6:$A$238,0))&lt;&gt;"",ISNUMBER(INDEX(Manual_Review!$H$6:$H$238,MATCH(A6,Manual_Review!$A$6:$A$238,0))),INDEX(Manual_Review!$H$6:$H$238,MATCH(A6,Manual_Review!$A$6:$A$238,0))&gt;0,INDEX(Manual_Review!$I$6:$I$238,MATCH(A6,Manual_Review!$A$6:$A$238,0))="Confirmed",INDEX(Manual_Review!$AF$6:$AF$238,MATCH(A6,Manual_Review!$A$6:$A$238,0))&lt;&gt;""),IF(INDEX(Manual_Review!$AA$6:$AA$238,MATCH(A6,Manual_Review!$A$6:$A$238,0))="Pass","Pass",IF(INDEX(Manual_Review!$AA$6:$AA$238,MATCH(A6,Manual_Review!$A$6:$A$238,0))="Fail","Fail","Pending")),"Pending human identity confirmation")</f>
        <v>Pending human identity confirmation</v>
      </c>
      <c r="AV6" s="5" t="str">
        <f>IF(AND(AND(INDEX(Manual_Review!$G$6:$G$238,MATCH(A6,Manual_Review!$A$6:$A$238,0))&lt;&gt;"",ISNUMBER(INDEX(Manual_Review!$H$6:$H$238,MATCH(A6,Manual_Review!$A$6:$A$238,0))),INDEX(Manual_Review!$H$6:$H$238,MATCH(A6,Manual_Review!$A$6:$A$238,0))&gt;0,INDEX(Manual_Review!$I$6:$I$238,MATCH(A6,Manual_Review!$A$6:$A$238,0))="Confirmed",INDEX(Manual_Review!$AF$6:$AF$238,MATCH(A6,Manual_Review!$A$6:$A$238,0))&lt;&gt;""),INDEX(Manual_Review!$AG$6:$AG$238,MATCH(A6,Manual_Review!$A$6:$A$238,0))&lt;&gt;""),IF(INDEX(Manual_Review!$AB$6:$AB$238,MATCH(A6,Manual_Review!$A$6:$A$238,0))="Pass","Pass",IF(INDEX(Manual_Review!$AB$6:$AB$238,MATCH(A6,Manual_Review!$A$6:$A$238,0))="Fail","Fail","Pending")),"Not assessed: define intended task")</f>
        <v>Not assessed: define intended task</v>
      </c>
      <c r="AW6" s="5" t="str">
        <f>IF(AND(AND(INDEX(Manual_Review!$G$6:$G$238,MATCH(A6,Manual_Review!$A$6:$A$238,0))&lt;&gt;"",ISNUMBER(INDEX(Manual_Review!$H$6:$H$238,MATCH(A6,Manual_Review!$A$6:$A$238,0))),INDEX(Manual_Review!$H$6:$H$238,MATCH(A6,Manual_Review!$A$6:$A$238,0))&gt;0,INDEX(Manual_Review!$I$6:$I$238,MATCH(A6,Manual_Review!$A$6:$A$238,0))="Confirmed",INDEX(Manual_Review!$AF$6:$AF$238,MATCH(A6,Manual_Review!$A$6:$A$238,0))&lt;&gt;""),INDEX(Manual_Review!$AG$6:$AG$238,MATCH(A6,Manual_Review!$A$6:$A$238,0))&lt;&gt;""),IF(OR(INDEX(Manual_Review!$AC$6:$AC$238,MATCH(A6,Manual_Review!$A$6:$A$238,0))="Fail",INDEX(Manual_Review!$AD$6:$AD$238,MATCH(A6,Manual_Review!$A$6:$A$238,0))="Fail"),"Fail: rights or retrieval",IF(AND(INDEX(Manual_Review!$AC$6:$AC$238,MATCH(A6,Manual_Review!$A$6:$A$238,0))="Pass",INDEX(Manual_Review!$AD$6:$AD$238,MATCH(A6,Manual_Review!$A$6:$A$238,0))="Pass"),"Pass","Pending rights and retrieval")),"Pending rights and retrieval")</f>
        <v>Pending rights and retrieval</v>
      </c>
      <c r="AX6" s="5" t="str">
        <f>IF(INDEX(Manual_Review!$AG$6:$AG$238,MATCH(A6,Manual_Review!$A$6:$A$238,0))="","N/A: documentation inventory",IF(AND(INDEX(Manual_Review!$G$6:$G$238,MATCH(A6,Manual_Review!$A$6:$A$238,0))&lt;&gt;"",ISNUMBER(INDEX(Manual_Review!$H$6:$H$238,MATCH(A6,Manual_Review!$A$6:$A$238,0))),INDEX(Manual_Review!$H$6:$H$238,MATCH(A6,Manual_Review!$A$6:$A$238,0))&gt;0,INDEX(Manual_Review!$I$6:$I$238,MATCH(A6,Manual_Review!$A$6:$A$238,0))="Confirmed",INDEX(Manual_Review!$AF$6:$AF$238,MATCH(A6,Manual_Review!$A$6:$A$238,0))&lt;&gt;""),IF(INDEX(Manual_Review!$AE$6:$AE$238,MATCH(A6,Manual_Review!$A$6:$A$238,0))="Pass","Pass",IF(INDEX(Manual_Review!$AE$6:$AE$238,MATCH(A6,Manual_Review!$A$6:$A$238,0))="Fail","Fail: benchmark leakage",IF(INDEX(Manual_Review!$AE$6:$AE$238,MATCH(A6,Manual_Review!$A$6:$A$238,0))="N/A","N/A: nonbenchmark task","Pending task-specific leakage check"))),"Pending task-specific leakage check"))</f>
        <v>N/A: documentation inventory</v>
      </c>
      <c r="AY6" s="5" t="str">
        <f>IF(IF(D6="Unlabeled-13",AND(ABS(MCDM_Settings!$D$14-1)&lt;0.0000001,MIN(MCDM_Settings!$E$6:$E$11)&gt;=0,MCDM_Settings!$E$7=0),AND(ABS(MCDM_Settings!$B$14-1)&lt;0.0000001,MIN(MCDM_Settings!$C$6:$C$11)&gt;=0)),"Valid","Check weights")</f>
        <v>Valid</v>
      </c>
      <c r="AZ6" s="5" t="str">
        <f>IF(AND(COUNTIF(MCDM_Checks!$B$6:$B$3733,A6)=16,COUNTIF(Manual_Review!$A$6:$A$238,A6)=1),"16 keys present","Check key count")</f>
        <v>16 keys present</v>
      </c>
    </row>
    <row r="7" spans="1:52">
      <c r="A7" s="5" t="s">
        <v>132</v>
      </c>
      <c r="B7" s="5" t="s">
        <v>133</v>
      </c>
      <c r="C7" s="5"/>
      <c r="D7" s="5" t="s">
        <v>118</v>
      </c>
      <c r="E7" s="12">
        <f>IF(OR(AY7&lt;&gt;"Valid",AZ7&lt;&gt;"16 keys present"),"Review settings",20*(IF(ISNUMBER(AC7),AC7*IF($D7="Unlabeled-13",MCDM_Settings!$E$6,MCDM_Settings!$C$6),0)+IF(ISNUMBER(AF7),AF7*IF($D7="Unlabeled-13",MCDM_Settings!$E$7,MCDM_Settings!$C$7),0)+IF(ISNUMBER(AI7),AI7*IF($D7="Unlabeled-13",MCDM_Settings!$E$8,MCDM_Settings!$C$8),0)+IF(ISNUMBER(AL7),AL7*IF($D7="Unlabeled-13",MCDM_Settings!$E$9,MCDM_Settings!$C$9),0)+IF(ISNUMBER(AO7),AO7*IF($D7="Unlabeled-13",MCDM_Settings!$E$10,MCDM_Settings!$C$10),0)+IF(ISNUMBER(AR7),AR7*IF($D7="Unlabeled-13",MCDM_Settings!$E$11,MCDM_Settings!$C$11),0)))</f>
        <v>11.111111111111111</v>
      </c>
      <c r="F7" s="12">
        <f>IF(OR(AY7&lt;&gt;"Valid",AZ7&lt;&gt;"16 keys present"),"Review settings",20*(IF(ISNUMBER(AD7),AD7*IF($D7="Unlabeled-13",MCDM_Settings!$E$6,MCDM_Settings!$C$6),0)+IF(ISNUMBER(AG7),AG7*IF($D7="Unlabeled-13",MCDM_Settings!$E$7,MCDM_Settings!$C$7),0)+IF(ISNUMBER(AJ7),AJ7*IF($D7="Unlabeled-13",MCDM_Settings!$E$8,MCDM_Settings!$C$8),0)+IF(ISNUMBER(AM7),AM7*IF($D7="Unlabeled-13",MCDM_Settings!$E$9,MCDM_Settings!$C$9),0)+IF(ISNUMBER(AP7),AP7*IF($D7="Unlabeled-13",MCDM_Settings!$E$10,MCDM_Settings!$C$10),0)+IF(ISNUMBER(AS7),AS7*IF($D7="Unlabeled-13",MCDM_Settings!$E$11,MCDM_Settings!$C$11),0)))</f>
        <v>99.999999999999986</v>
      </c>
      <c r="G7" s="13">
        <f>IF(OR(AY7&lt;&gt;"Valid",AZ7&lt;&gt;"16 keys present"),"Review settings",1*(IF(ISNUMBER(AE7),AE7*IF($D7="Unlabeled-13",MCDM_Settings!$E$6,MCDM_Settings!$C$6),0)+IF(ISNUMBER(AH7),AH7*IF($D7="Unlabeled-13",MCDM_Settings!$E$7,MCDM_Settings!$C$7),0)+IF(ISNUMBER(AK7),AK7*IF($D7="Unlabeled-13",MCDM_Settings!$E$8,MCDM_Settings!$C$8),0)+IF(ISNUMBER(AN7),AN7*IF($D7="Unlabeled-13",MCDM_Settings!$E$9,MCDM_Settings!$C$9),0)+IF(ISNUMBER(AQ7),AQ7*IF($D7="Unlabeled-13",MCDM_Settings!$E$10,MCDM_Settings!$C$10),0)+IF(ISNUMBER(AT7),AT7*IF($D7="Unlabeled-13",MCDM_Settings!$E$11,MCDM_Settings!$C$11),0)))</f>
        <v>0.1111111111111111</v>
      </c>
      <c r="H7" s="5" t="str">
        <f>INDEX(Manual_Review!$AH$6:$AH$238,MATCH(A7,Manual_Review!$A$6:$A$238,0))</f>
        <v>Not started</v>
      </c>
      <c r="I7" s="5" t="s">
        <v>128</v>
      </c>
      <c r="J7" s="5" t="s">
        <v>119</v>
      </c>
      <c r="K7" s="5" t="str">
        <f>HYPERLINK("https://github.com/Oct-Sunn/Asphalt-Pavement-Distress-Dataset","Dataset")</f>
        <v>Dataset</v>
      </c>
      <c r="L7" s="5" t="str">
        <f>HYPERLINK("#'Manual_Review'!A"&amp;(MATCH("DS-002",Manual_Review!$A$6:$A$238,0)+5),"Enter review")</f>
        <v>Enter review</v>
      </c>
      <c r="M7" s="5" t="str">
        <f>INDEX(MCDM_Checks!$K$6:$K$3733,MATCH(A7&amp;"|"&amp;M$5,MCDM_Checks!$A$6:$A$3733,0))</f>
        <v>Y</v>
      </c>
      <c r="N7" s="5" t="str">
        <f>INDEX(MCDM_Checks!$K$6:$K$3733,MATCH(A7&amp;"|"&amp;N$5,MCDM_Checks!$A$6:$A$3733,0))</f>
        <v>Y</v>
      </c>
      <c r="O7" s="5" t="str">
        <f>INDEX(MCDM_Checks!$K$6:$K$3733,MATCH(A7&amp;"|"&amp;O$5,MCDM_Checks!$A$6:$A$3733,0))</f>
        <v>U</v>
      </c>
      <c r="P7" s="5" t="str">
        <f>INDEX(MCDM_Checks!$K$6:$K$3733,MATCH(A7&amp;"|"&amp;P$5,MCDM_Checks!$A$6:$A$3733,0))</f>
        <v>X</v>
      </c>
      <c r="Q7" s="5" t="str">
        <f>INDEX(MCDM_Checks!$K$6:$K$3733,MATCH(A7&amp;"|"&amp;Q$5,MCDM_Checks!$A$6:$A$3733,0))</f>
        <v>U</v>
      </c>
      <c r="R7" s="5" t="str">
        <f>INDEX(MCDM_Checks!$K$6:$K$3733,MATCH(A7&amp;"|"&amp;R$5,MCDM_Checks!$A$6:$A$3733,0))</f>
        <v>U</v>
      </c>
      <c r="S7" s="5" t="str">
        <f>INDEX(MCDM_Checks!$K$6:$K$3733,MATCH(A7&amp;"|"&amp;S$5,MCDM_Checks!$A$6:$A$3733,0))</f>
        <v>U</v>
      </c>
      <c r="T7" s="5" t="str">
        <f>INDEX(MCDM_Checks!$K$6:$K$3733,MATCH(A7&amp;"|"&amp;T$5,MCDM_Checks!$A$6:$A$3733,0))</f>
        <v>U</v>
      </c>
      <c r="U7" s="5" t="str">
        <f>INDEX(MCDM_Checks!$K$6:$K$3733,MATCH(A7&amp;"|"&amp;U$5,MCDM_Checks!$A$6:$A$3733,0))</f>
        <v>U</v>
      </c>
      <c r="V7" s="5" t="str">
        <f>INDEX(MCDM_Checks!$K$6:$K$3733,MATCH(A7&amp;"|"&amp;V$5,MCDM_Checks!$A$6:$A$3733,0))</f>
        <v>U</v>
      </c>
      <c r="W7" s="5" t="str">
        <f>INDEX(MCDM_Checks!$K$6:$K$3733,MATCH(A7&amp;"|"&amp;W$5,MCDM_Checks!$A$6:$A$3733,0))</f>
        <v>U</v>
      </c>
      <c r="X7" s="5" t="str">
        <f>INDEX(MCDM_Checks!$K$6:$K$3733,MATCH(A7&amp;"|"&amp;X$5,MCDM_Checks!$A$6:$A$3733,0))</f>
        <v>U</v>
      </c>
      <c r="Y7" s="5" t="str">
        <f>INDEX(MCDM_Checks!$K$6:$K$3733,MATCH(A7&amp;"|"&amp;Y$5,MCDM_Checks!$A$6:$A$3733,0))</f>
        <v>U</v>
      </c>
      <c r="Z7" s="5" t="str">
        <f>INDEX(MCDM_Checks!$K$6:$K$3733,MATCH(A7&amp;"|"&amp;Z$5,MCDM_Checks!$A$6:$A$3733,0))</f>
        <v>U</v>
      </c>
      <c r="AA7" s="5" t="str">
        <f>INDEX(MCDM_Checks!$K$6:$K$3733,MATCH(A7&amp;"|"&amp;AA$5,MCDM_Checks!$A$6:$A$3733,0))</f>
        <v>U</v>
      </c>
      <c r="AB7" s="5" t="str">
        <f>INDEX(MCDM_Checks!$K$6:$K$3733,MATCH(A7&amp;"|"&amp;AB$5,MCDM_Checks!$A$6:$A$3733,0))</f>
        <v>U</v>
      </c>
      <c r="AC7" s="12">
        <f>IF(IF($D7="Unlabeled-13",MCDM_Settings!$F$6,MCDM_Settings!$D$6)=0,"n.a.",5*COUNTIF(M7:O7,"Y")/IF($D7="Unlabeled-13",MCDM_Settings!$F$6,MCDM_Settings!$D$6))</f>
        <v>3.3333333333333335</v>
      </c>
      <c r="AD7" s="12">
        <f>IF(IF($D7="Unlabeled-13",MCDM_Settings!$F$6,MCDM_Settings!$D$6)=0,"n.a.",5*(COUNTIF(M7:O7,"Y")+COUNTIF(M7:O7,"U")+COUNTIF(M7:O7,"X"))/IF($D7="Unlabeled-13",MCDM_Settings!$F$6,MCDM_Settings!$D$6))</f>
        <v>5</v>
      </c>
      <c r="AE7" s="13">
        <f>IF(IF($D7="Unlabeled-13",MCDM_Settings!$F$6,MCDM_Settings!$D$6)=0,"n.a.",(COUNTIF(M7:O7,"Y")+COUNTIF(M7:O7,"N"))/IF($D7="Unlabeled-13",MCDM_Settings!$F$6,MCDM_Settings!$D$6))</f>
        <v>0.66666666666666663</v>
      </c>
      <c r="AF7" s="12">
        <f>IF(IF($D7="Unlabeled-13",MCDM_Settings!$F$7,MCDM_Settings!$D$7)=0,"n.a.",5*COUNTIF(P7:R7,"Y")/IF($D7="Unlabeled-13",MCDM_Settings!$F$7,MCDM_Settings!$D$7))</f>
        <v>0</v>
      </c>
      <c r="AG7" s="12">
        <f>IF(IF($D7="Unlabeled-13",MCDM_Settings!$F$7,MCDM_Settings!$D$7)=0,"n.a.",5*(COUNTIF(P7:R7,"Y")+COUNTIF(P7:R7,"U")+COUNTIF(P7:R7,"X"))/IF($D7="Unlabeled-13",MCDM_Settings!$F$7,MCDM_Settings!$D$7))</f>
        <v>5</v>
      </c>
      <c r="AH7" s="13">
        <f>IF(IF($D7="Unlabeled-13",MCDM_Settings!$F$7,MCDM_Settings!$D$7)=0,"n.a.",(COUNTIF(P7:R7,"Y")+COUNTIF(P7:R7,"N"))/IF($D7="Unlabeled-13",MCDM_Settings!$F$7,MCDM_Settings!$D$7))</f>
        <v>0</v>
      </c>
      <c r="AI7" s="12">
        <f>IF(IF($D7="Unlabeled-13",MCDM_Settings!$F$8,MCDM_Settings!$D$8)=0,"n.a.",5*COUNTIF(S7:U7,"Y")/IF($D7="Unlabeled-13",MCDM_Settings!$F$8,MCDM_Settings!$D$8))</f>
        <v>0</v>
      </c>
      <c r="AJ7" s="12">
        <f>IF(IF($D7="Unlabeled-13",MCDM_Settings!$F$8,MCDM_Settings!$D$8)=0,"n.a.",5*(COUNTIF(S7:U7,"Y")+COUNTIF(S7:U7,"U")+COUNTIF(S7:U7,"X"))/IF($D7="Unlabeled-13",MCDM_Settings!$F$8,MCDM_Settings!$D$8))</f>
        <v>5</v>
      </c>
      <c r="AK7" s="13">
        <f>IF(IF($D7="Unlabeled-13",MCDM_Settings!$F$8,MCDM_Settings!$D$8)=0,"n.a.",(COUNTIF(S7:U7,"Y")+COUNTIF(S7:U7,"N"))/IF($D7="Unlabeled-13",MCDM_Settings!$F$8,MCDM_Settings!$D$8))</f>
        <v>0</v>
      </c>
      <c r="AL7" s="12">
        <f>IF(IF($D7="Unlabeled-13",MCDM_Settings!$F$9,MCDM_Settings!$D$9)=0,"n.a.",5*COUNTIF(V7:W7,"Y")/IF($D7="Unlabeled-13",MCDM_Settings!$F$9,MCDM_Settings!$D$9))</f>
        <v>0</v>
      </c>
      <c r="AM7" s="12">
        <f>IF(IF($D7="Unlabeled-13",MCDM_Settings!$F$9,MCDM_Settings!$D$9)=0,"n.a.",5*(COUNTIF(V7:W7,"Y")+COUNTIF(V7:W7,"U")+COUNTIF(V7:W7,"X"))/IF($D7="Unlabeled-13",MCDM_Settings!$F$9,MCDM_Settings!$D$9))</f>
        <v>5</v>
      </c>
      <c r="AN7" s="13">
        <f>IF(IF($D7="Unlabeled-13",MCDM_Settings!$F$9,MCDM_Settings!$D$9)=0,"n.a.",(COUNTIF(V7:W7,"Y")+COUNTIF(V7:W7,"N"))/IF($D7="Unlabeled-13",MCDM_Settings!$F$9,MCDM_Settings!$D$9))</f>
        <v>0</v>
      </c>
      <c r="AO7" s="12">
        <f>IF(IF($D7="Unlabeled-13",MCDM_Settings!$F$10,MCDM_Settings!$D$10)=0,"n.a.",5*COUNTIF(X7:Y7,"Y")/IF($D7="Unlabeled-13",MCDM_Settings!$F$10,MCDM_Settings!$D$10))</f>
        <v>0</v>
      </c>
      <c r="AP7" s="12">
        <f>IF(IF($D7="Unlabeled-13",MCDM_Settings!$F$10,MCDM_Settings!$D$10)=0,"n.a.",5*(COUNTIF(X7:Y7,"Y")+COUNTIF(X7:Y7,"U")+COUNTIF(X7:Y7,"X"))/IF($D7="Unlabeled-13",MCDM_Settings!$F$10,MCDM_Settings!$D$10))</f>
        <v>5</v>
      </c>
      <c r="AQ7" s="13">
        <f>IF(IF($D7="Unlabeled-13",MCDM_Settings!$F$10,MCDM_Settings!$D$10)=0,"n.a.",(COUNTIF(X7:Y7,"Y")+COUNTIF(X7:Y7,"N"))/IF($D7="Unlabeled-13",MCDM_Settings!$F$10,MCDM_Settings!$D$10))</f>
        <v>0</v>
      </c>
      <c r="AR7" s="12">
        <f>IF(IF($D7="Unlabeled-13",MCDM_Settings!$F$11,MCDM_Settings!$D$11)=0,"n.a.",5*COUNTIF(Z7:AB7,"Y")/IF($D7="Unlabeled-13",MCDM_Settings!$F$11,MCDM_Settings!$D$11))</f>
        <v>0</v>
      </c>
      <c r="AS7" s="12">
        <f>IF(IF($D7="Unlabeled-13",MCDM_Settings!$F$11,MCDM_Settings!$D$11)=0,"n.a.",5*(COUNTIF(Z7:AB7,"Y")+COUNTIF(Z7:AB7,"U")+COUNTIF(Z7:AB7,"X"))/IF($D7="Unlabeled-13",MCDM_Settings!$F$11,MCDM_Settings!$D$11))</f>
        <v>5</v>
      </c>
      <c r="AT7" s="13">
        <f>IF(IF($D7="Unlabeled-13",MCDM_Settings!$F$11,MCDM_Settings!$D$11)=0,"n.a.",(COUNTIF(Z7:AB7,"Y")+COUNTIF(Z7:AB7,"N"))/IF($D7="Unlabeled-13",MCDM_Settings!$F$11,MCDM_Settings!$D$11))</f>
        <v>0</v>
      </c>
      <c r="AU7" s="5" t="str">
        <f>IF(AND(INDEX(Manual_Review!$G$6:$G$238,MATCH(A7,Manual_Review!$A$6:$A$238,0))&lt;&gt;"",ISNUMBER(INDEX(Manual_Review!$H$6:$H$238,MATCH(A7,Manual_Review!$A$6:$A$238,0))),INDEX(Manual_Review!$H$6:$H$238,MATCH(A7,Manual_Review!$A$6:$A$238,0))&gt;0,INDEX(Manual_Review!$I$6:$I$238,MATCH(A7,Manual_Review!$A$6:$A$238,0))="Confirmed",INDEX(Manual_Review!$AF$6:$AF$238,MATCH(A7,Manual_Review!$A$6:$A$238,0))&lt;&gt;""),IF(INDEX(Manual_Review!$AA$6:$AA$238,MATCH(A7,Manual_Review!$A$6:$A$238,0))="Pass","Pass",IF(INDEX(Manual_Review!$AA$6:$AA$238,MATCH(A7,Manual_Review!$A$6:$A$238,0))="Fail","Fail","Pending")),"Pending human identity confirmation")</f>
        <v>Pending human identity confirmation</v>
      </c>
      <c r="AV7" s="5" t="str">
        <f>IF(AND(AND(INDEX(Manual_Review!$G$6:$G$238,MATCH(A7,Manual_Review!$A$6:$A$238,0))&lt;&gt;"",ISNUMBER(INDEX(Manual_Review!$H$6:$H$238,MATCH(A7,Manual_Review!$A$6:$A$238,0))),INDEX(Manual_Review!$H$6:$H$238,MATCH(A7,Manual_Review!$A$6:$A$238,0))&gt;0,INDEX(Manual_Review!$I$6:$I$238,MATCH(A7,Manual_Review!$A$6:$A$238,0))="Confirmed",INDEX(Manual_Review!$AF$6:$AF$238,MATCH(A7,Manual_Review!$A$6:$A$238,0))&lt;&gt;""),INDEX(Manual_Review!$AG$6:$AG$238,MATCH(A7,Manual_Review!$A$6:$A$238,0))&lt;&gt;""),IF(INDEX(Manual_Review!$AB$6:$AB$238,MATCH(A7,Manual_Review!$A$6:$A$238,0))="Pass","Pass",IF(INDEX(Manual_Review!$AB$6:$AB$238,MATCH(A7,Manual_Review!$A$6:$A$238,0))="Fail","Fail","Pending")),"Not assessed: define intended task")</f>
        <v>Not assessed: define intended task</v>
      </c>
      <c r="AW7" s="5" t="str">
        <f>IF(AND(AND(INDEX(Manual_Review!$G$6:$G$238,MATCH(A7,Manual_Review!$A$6:$A$238,0))&lt;&gt;"",ISNUMBER(INDEX(Manual_Review!$H$6:$H$238,MATCH(A7,Manual_Review!$A$6:$A$238,0))),INDEX(Manual_Review!$H$6:$H$238,MATCH(A7,Manual_Review!$A$6:$A$238,0))&gt;0,INDEX(Manual_Review!$I$6:$I$238,MATCH(A7,Manual_Review!$A$6:$A$238,0))="Confirmed",INDEX(Manual_Review!$AF$6:$AF$238,MATCH(A7,Manual_Review!$A$6:$A$238,0))&lt;&gt;""),INDEX(Manual_Review!$AG$6:$AG$238,MATCH(A7,Manual_Review!$A$6:$A$238,0))&lt;&gt;""),IF(OR(INDEX(Manual_Review!$AC$6:$AC$238,MATCH(A7,Manual_Review!$A$6:$A$238,0))="Fail",INDEX(Manual_Review!$AD$6:$AD$238,MATCH(A7,Manual_Review!$A$6:$A$238,0))="Fail"),"Fail: rights or retrieval",IF(AND(INDEX(Manual_Review!$AC$6:$AC$238,MATCH(A7,Manual_Review!$A$6:$A$238,0))="Pass",INDEX(Manual_Review!$AD$6:$AD$238,MATCH(A7,Manual_Review!$A$6:$A$238,0))="Pass"),"Pass","Pending rights and retrieval")),"Pending rights and retrieval")</f>
        <v>Pending rights and retrieval</v>
      </c>
      <c r="AX7" s="5" t="str">
        <f>IF(INDEX(Manual_Review!$AG$6:$AG$238,MATCH(A7,Manual_Review!$A$6:$A$238,0))="","N/A: documentation inventory",IF(AND(INDEX(Manual_Review!$G$6:$G$238,MATCH(A7,Manual_Review!$A$6:$A$238,0))&lt;&gt;"",ISNUMBER(INDEX(Manual_Review!$H$6:$H$238,MATCH(A7,Manual_Review!$A$6:$A$238,0))),INDEX(Manual_Review!$H$6:$H$238,MATCH(A7,Manual_Review!$A$6:$A$238,0))&gt;0,INDEX(Manual_Review!$I$6:$I$238,MATCH(A7,Manual_Review!$A$6:$A$238,0))="Confirmed",INDEX(Manual_Review!$AF$6:$AF$238,MATCH(A7,Manual_Review!$A$6:$A$238,0))&lt;&gt;""),IF(INDEX(Manual_Review!$AE$6:$AE$238,MATCH(A7,Manual_Review!$A$6:$A$238,0))="Pass","Pass",IF(INDEX(Manual_Review!$AE$6:$AE$238,MATCH(A7,Manual_Review!$A$6:$A$238,0))="Fail","Fail: benchmark leakage",IF(INDEX(Manual_Review!$AE$6:$AE$238,MATCH(A7,Manual_Review!$A$6:$A$238,0))="N/A","N/A: nonbenchmark task","Pending task-specific leakage check"))),"Pending task-specific leakage check"))</f>
        <v>N/A: documentation inventory</v>
      </c>
      <c r="AY7" s="5" t="str">
        <f>IF(IF(D7="Unlabeled-13",AND(ABS(MCDM_Settings!$D$14-1)&lt;0.0000001,MIN(MCDM_Settings!$E$6:$E$11)&gt;=0,MCDM_Settings!$E$7=0),AND(ABS(MCDM_Settings!$B$14-1)&lt;0.0000001,MIN(MCDM_Settings!$C$6:$C$11)&gt;=0)),"Valid","Check weights")</f>
        <v>Valid</v>
      </c>
      <c r="AZ7" s="5" t="str">
        <f>IF(AND(COUNTIF(MCDM_Checks!$B$6:$B$3733,A7)=16,COUNTIF(Manual_Review!$A$6:$A$238,A7)=1),"16 keys present","Check key count")</f>
        <v>16 keys present</v>
      </c>
    </row>
    <row r="8" spans="1:52">
      <c r="A8" s="5" t="s">
        <v>142</v>
      </c>
      <c r="B8" s="5" t="s">
        <v>143</v>
      </c>
      <c r="C8" s="5"/>
      <c r="D8" s="5" t="s">
        <v>118</v>
      </c>
      <c r="E8" s="12">
        <f>IF(OR(AY8&lt;&gt;"Valid",AZ8&lt;&gt;"16 keys present"),"Review settings",20*(IF(ISNUMBER(AC8),AC8*IF($D8="Unlabeled-13",MCDM_Settings!$E$6,MCDM_Settings!$C$6),0)+IF(ISNUMBER(AF8),AF8*IF($D8="Unlabeled-13",MCDM_Settings!$E$7,MCDM_Settings!$C$7),0)+IF(ISNUMBER(AI8),AI8*IF($D8="Unlabeled-13",MCDM_Settings!$E$8,MCDM_Settings!$C$8),0)+IF(ISNUMBER(AL8),AL8*IF($D8="Unlabeled-13",MCDM_Settings!$E$9,MCDM_Settings!$C$9),0)+IF(ISNUMBER(AO8),AO8*IF($D8="Unlabeled-13",MCDM_Settings!$E$10,MCDM_Settings!$C$10),0)+IF(ISNUMBER(AR8),AR8*IF($D8="Unlabeled-13",MCDM_Settings!$E$11,MCDM_Settings!$C$11),0)))</f>
        <v>11.111111111111111</v>
      </c>
      <c r="F8" s="12">
        <f>IF(OR(AY8&lt;&gt;"Valid",AZ8&lt;&gt;"16 keys present"),"Review settings",20*(IF(ISNUMBER(AD8),AD8*IF($D8="Unlabeled-13",MCDM_Settings!$E$6,MCDM_Settings!$C$6),0)+IF(ISNUMBER(AG8),AG8*IF($D8="Unlabeled-13",MCDM_Settings!$E$7,MCDM_Settings!$C$7),0)+IF(ISNUMBER(AJ8),AJ8*IF($D8="Unlabeled-13",MCDM_Settings!$E$8,MCDM_Settings!$C$8),0)+IF(ISNUMBER(AM8),AM8*IF($D8="Unlabeled-13",MCDM_Settings!$E$9,MCDM_Settings!$C$9),0)+IF(ISNUMBER(AP8),AP8*IF($D8="Unlabeled-13",MCDM_Settings!$E$10,MCDM_Settings!$C$10),0)+IF(ISNUMBER(AS8),AS8*IF($D8="Unlabeled-13",MCDM_Settings!$E$11,MCDM_Settings!$C$11),0)))</f>
        <v>99.999999999999986</v>
      </c>
      <c r="G8" s="13">
        <f>IF(OR(AY8&lt;&gt;"Valid",AZ8&lt;&gt;"16 keys present"),"Review settings",1*(IF(ISNUMBER(AE8),AE8*IF($D8="Unlabeled-13",MCDM_Settings!$E$6,MCDM_Settings!$C$6),0)+IF(ISNUMBER(AH8),AH8*IF($D8="Unlabeled-13",MCDM_Settings!$E$7,MCDM_Settings!$C$7),0)+IF(ISNUMBER(AK8),AK8*IF($D8="Unlabeled-13",MCDM_Settings!$E$8,MCDM_Settings!$C$8),0)+IF(ISNUMBER(AN8),AN8*IF($D8="Unlabeled-13",MCDM_Settings!$E$9,MCDM_Settings!$C$9),0)+IF(ISNUMBER(AQ8),AQ8*IF($D8="Unlabeled-13",MCDM_Settings!$E$10,MCDM_Settings!$C$10),0)+IF(ISNUMBER(AT8),AT8*IF($D8="Unlabeled-13",MCDM_Settings!$E$11,MCDM_Settings!$C$11),0)))</f>
        <v>0.1111111111111111</v>
      </c>
      <c r="H8" s="5" t="str">
        <f>INDEX(Manual_Review!$AH$6:$AH$238,MATCH(A8,Manual_Review!$A$6:$A$238,0))</f>
        <v>Not started</v>
      </c>
      <c r="I8" s="5" t="s">
        <v>128</v>
      </c>
      <c r="J8" s="5" t="s">
        <v>144</v>
      </c>
      <c r="K8" s="5" t="str">
        <f>HYPERLINK("https://github.com/DrEdwardLee/Pavement-Crack-Dataset","Dataset")</f>
        <v>Dataset</v>
      </c>
      <c r="L8" s="5" t="str">
        <f>HYPERLINK("#'Manual_Review'!A"&amp;(MATCH("DS-003",Manual_Review!$A$6:$A$238,0)+5),"Enter review")</f>
        <v>Enter review</v>
      </c>
      <c r="M8" s="5" t="str">
        <f>INDEX(MCDM_Checks!$K$6:$K$3733,MATCH(A8&amp;"|"&amp;M$5,MCDM_Checks!$A$6:$A$3733,0))</f>
        <v>Y</v>
      </c>
      <c r="N8" s="5" t="str">
        <f>INDEX(MCDM_Checks!$K$6:$K$3733,MATCH(A8&amp;"|"&amp;N$5,MCDM_Checks!$A$6:$A$3733,0))</f>
        <v>Y</v>
      </c>
      <c r="O8" s="5" t="str">
        <f>INDEX(MCDM_Checks!$K$6:$K$3733,MATCH(A8&amp;"|"&amp;O$5,MCDM_Checks!$A$6:$A$3733,0))</f>
        <v>U</v>
      </c>
      <c r="P8" s="5" t="str">
        <f>INDEX(MCDM_Checks!$K$6:$K$3733,MATCH(A8&amp;"|"&amp;P$5,MCDM_Checks!$A$6:$A$3733,0))</f>
        <v>U</v>
      </c>
      <c r="Q8" s="5" t="str">
        <f>INDEX(MCDM_Checks!$K$6:$K$3733,MATCH(A8&amp;"|"&amp;Q$5,MCDM_Checks!$A$6:$A$3733,0))</f>
        <v>U</v>
      </c>
      <c r="R8" s="5" t="str">
        <f>INDEX(MCDM_Checks!$K$6:$K$3733,MATCH(A8&amp;"|"&amp;R$5,MCDM_Checks!$A$6:$A$3733,0))</f>
        <v>U</v>
      </c>
      <c r="S8" s="5" t="str">
        <f>INDEX(MCDM_Checks!$K$6:$K$3733,MATCH(A8&amp;"|"&amp;S$5,MCDM_Checks!$A$6:$A$3733,0))</f>
        <v>U</v>
      </c>
      <c r="T8" s="5" t="str">
        <f>INDEX(MCDM_Checks!$K$6:$K$3733,MATCH(A8&amp;"|"&amp;T$5,MCDM_Checks!$A$6:$A$3733,0))</f>
        <v>U</v>
      </c>
      <c r="U8" s="5" t="str">
        <f>INDEX(MCDM_Checks!$K$6:$K$3733,MATCH(A8&amp;"|"&amp;U$5,MCDM_Checks!$A$6:$A$3733,0))</f>
        <v>U</v>
      </c>
      <c r="V8" s="5" t="str">
        <f>INDEX(MCDM_Checks!$K$6:$K$3733,MATCH(A8&amp;"|"&amp;V$5,MCDM_Checks!$A$6:$A$3733,0))</f>
        <v>U</v>
      </c>
      <c r="W8" s="5" t="str">
        <f>INDEX(MCDM_Checks!$K$6:$K$3733,MATCH(A8&amp;"|"&amp;W$5,MCDM_Checks!$A$6:$A$3733,0))</f>
        <v>U</v>
      </c>
      <c r="X8" s="5" t="str">
        <f>INDEX(MCDM_Checks!$K$6:$K$3733,MATCH(A8&amp;"|"&amp;X$5,MCDM_Checks!$A$6:$A$3733,0))</f>
        <v>U</v>
      </c>
      <c r="Y8" s="5" t="str">
        <f>INDEX(MCDM_Checks!$K$6:$K$3733,MATCH(A8&amp;"|"&amp;Y$5,MCDM_Checks!$A$6:$A$3733,0))</f>
        <v>U</v>
      </c>
      <c r="Z8" s="5" t="str">
        <f>INDEX(MCDM_Checks!$K$6:$K$3733,MATCH(A8&amp;"|"&amp;Z$5,MCDM_Checks!$A$6:$A$3733,0))</f>
        <v>U</v>
      </c>
      <c r="AA8" s="5" t="str">
        <f>INDEX(MCDM_Checks!$K$6:$K$3733,MATCH(A8&amp;"|"&amp;AA$5,MCDM_Checks!$A$6:$A$3733,0))</f>
        <v>U</v>
      </c>
      <c r="AB8" s="5" t="str">
        <f>INDEX(MCDM_Checks!$K$6:$K$3733,MATCH(A8&amp;"|"&amp;AB$5,MCDM_Checks!$A$6:$A$3733,0))</f>
        <v>U</v>
      </c>
      <c r="AC8" s="12">
        <f>IF(IF($D8="Unlabeled-13",MCDM_Settings!$F$6,MCDM_Settings!$D$6)=0,"n.a.",5*COUNTIF(M8:O8,"Y")/IF($D8="Unlabeled-13",MCDM_Settings!$F$6,MCDM_Settings!$D$6))</f>
        <v>3.3333333333333335</v>
      </c>
      <c r="AD8" s="12">
        <f>IF(IF($D8="Unlabeled-13",MCDM_Settings!$F$6,MCDM_Settings!$D$6)=0,"n.a.",5*(COUNTIF(M8:O8,"Y")+COUNTIF(M8:O8,"U")+COUNTIF(M8:O8,"X"))/IF($D8="Unlabeled-13",MCDM_Settings!$F$6,MCDM_Settings!$D$6))</f>
        <v>5</v>
      </c>
      <c r="AE8" s="13">
        <f>IF(IF($D8="Unlabeled-13",MCDM_Settings!$F$6,MCDM_Settings!$D$6)=0,"n.a.",(COUNTIF(M8:O8,"Y")+COUNTIF(M8:O8,"N"))/IF($D8="Unlabeled-13",MCDM_Settings!$F$6,MCDM_Settings!$D$6))</f>
        <v>0.66666666666666663</v>
      </c>
      <c r="AF8" s="12">
        <f>IF(IF($D8="Unlabeled-13",MCDM_Settings!$F$7,MCDM_Settings!$D$7)=0,"n.a.",5*COUNTIF(P8:R8,"Y")/IF($D8="Unlabeled-13",MCDM_Settings!$F$7,MCDM_Settings!$D$7))</f>
        <v>0</v>
      </c>
      <c r="AG8" s="12">
        <f>IF(IF($D8="Unlabeled-13",MCDM_Settings!$F$7,MCDM_Settings!$D$7)=0,"n.a.",5*(COUNTIF(P8:R8,"Y")+COUNTIF(P8:R8,"U")+COUNTIF(P8:R8,"X"))/IF($D8="Unlabeled-13",MCDM_Settings!$F$7,MCDM_Settings!$D$7))</f>
        <v>5</v>
      </c>
      <c r="AH8" s="13">
        <f>IF(IF($D8="Unlabeled-13",MCDM_Settings!$F$7,MCDM_Settings!$D$7)=0,"n.a.",(COUNTIF(P8:R8,"Y")+COUNTIF(P8:R8,"N"))/IF($D8="Unlabeled-13",MCDM_Settings!$F$7,MCDM_Settings!$D$7))</f>
        <v>0</v>
      </c>
      <c r="AI8" s="12">
        <f>IF(IF($D8="Unlabeled-13",MCDM_Settings!$F$8,MCDM_Settings!$D$8)=0,"n.a.",5*COUNTIF(S8:U8,"Y")/IF($D8="Unlabeled-13",MCDM_Settings!$F$8,MCDM_Settings!$D$8))</f>
        <v>0</v>
      </c>
      <c r="AJ8" s="12">
        <f>IF(IF($D8="Unlabeled-13",MCDM_Settings!$F$8,MCDM_Settings!$D$8)=0,"n.a.",5*(COUNTIF(S8:U8,"Y")+COUNTIF(S8:U8,"U")+COUNTIF(S8:U8,"X"))/IF($D8="Unlabeled-13",MCDM_Settings!$F$8,MCDM_Settings!$D$8))</f>
        <v>5</v>
      </c>
      <c r="AK8" s="13">
        <f>IF(IF($D8="Unlabeled-13",MCDM_Settings!$F$8,MCDM_Settings!$D$8)=0,"n.a.",(COUNTIF(S8:U8,"Y")+COUNTIF(S8:U8,"N"))/IF($D8="Unlabeled-13",MCDM_Settings!$F$8,MCDM_Settings!$D$8))</f>
        <v>0</v>
      </c>
      <c r="AL8" s="12">
        <f>IF(IF($D8="Unlabeled-13",MCDM_Settings!$F$9,MCDM_Settings!$D$9)=0,"n.a.",5*COUNTIF(V8:W8,"Y")/IF($D8="Unlabeled-13",MCDM_Settings!$F$9,MCDM_Settings!$D$9))</f>
        <v>0</v>
      </c>
      <c r="AM8" s="12">
        <f>IF(IF($D8="Unlabeled-13",MCDM_Settings!$F$9,MCDM_Settings!$D$9)=0,"n.a.",5*(COUNTIF(V8:W8,"Y")+COUNTIF(V8:W8,"U")+COUNTIF(V8:W8,"X"))/IF($D8="Unlabeled-13",MCDM_Settings!$F$9,MCDM_Settings!$D$9))</f>
        <v>5</v>
      </c>
      <c r="AN8" s="13">
        <f>IF(IF($D8="Unlabeled-13",MCDM_Settings!$F$9,MCDM_Settings!$D$9)=0,"n.a.",(COUNTIF(V8:W8,"Y")+COUNTIF(V8:W8,"N"))/IF($D8="Unlabeled-13",MCDM_Settings!$F$9,MCDM_Settings!$D$9))</f>
        <v>0</v>
      </c>
      <c r="AO8" s="12">
        <f>IF(IF($D8="Unlabeled-13",MCDM_Settings!$F$10,MCDM_Settings!$D$10)=0,"n.a.",5*COUNTIF(X8:Y8,"Y")/IF($D8="Unlabeled-13",MCDM_Settings!$F$10,MCDM_Settings!$D$10))</f>
        <v>0</v>
      </c>
      <c r="AP8" s="12">
        <f>IF(IF($D8="Unlabeled-13",MCDM_Settings!$F$10,MCDM_Settings!$D$10)=0,"n.a.",5*(COUNTIF(X8:Y8,"Y")+COUNTIF(X8:Y8,"U")+COUNTIF(X8:Y8,"X"))/IF($D8="Unlabeled-13",MCDM_Settings!$F$10,MCDM_Settings!$D$10))</f>
        <v>5</v>
      </c>
      <c r="AQ8" s="13">
        <f>IF(IF($D8="Unlabeled-13",MCDM_Settings!$F$10,MCDM_Settings!$D$10)=0,"n.a.",(COUNTIF(X8:Y8,"Y")+COUNTIF(X8:Y8,"N"))/IF($D8="Unlabeled-13",MCDM_Settings!$F$10,MCDM_Settings!$D$10))</f>
        <v>0</v>
      </c>
      <c r="AR8" s="12">
        <f>IF(IF($D8="Unlabeled-13",MCDM_Settings!$F$11,MCDM_Settings!$D$11)=0,"n.a.",5*COUNTIF(Z8:AB8,"Y")/IF($D8="Unlabeled-13",MCDM_Settings!$F$11,MCDM_Settings!$D$11))</f>
        <v>0</v>
      </c>
      <c r="AS8" s="12">
        <f>IF(IF($D8="Unlabeled-13",MCDM_Settings!$F$11,MCDM_Settings!$D$11)=0,"n.a.",5*(COUNTIF(Z8:AB8,"Y")+COUNTIF(Z8:AB8,"U")+COUNTIF(Z8:AB8,"X"))/IF($D8="Unlabeled-13",MCDM_Settings!$F$11,MCDM_Settings!$D$11))</f>
        <v>5</v>
      </c>
      <c r="AT8" s="13">
        <f>IF(IF($D8="Unlabeled-13",MCDM_Settings!$F$11,MCDM_Settings!$D$11)=0,"n.a.",(COUNTIF(Z8:AB8,"Y")+COUNTIF(Z8:AB8,"N"))/IF($D8="Unlabeled-13",MCDM_Settings!$F$11,MCDM_Settings!$D$11))</f>
        <v>0</v>
      </c>
      <c r="AU8" s="5" t="str">
        <f>IF(AND(INDEX(Manual_Review!$G$6:$G$238,MATCH(A8,Manual_Review!$A$6:$A$238,0))&lt;&gt;"",ISNUMBER(INDEX(Manual_Review!$H$6:$H$238,MATCH(A8,Manual_Review!$A$6:$A$238,0))),INDEX(Manual_Review!$H$6:$H$238,MATCH(A8,Manual_Review!$A$6:$A$238,0))&gt;0,INDEX(Manual_Review!$I$6:$I$238,MATCH(A8,Manual_Review!$A$6:$A$238,0))="Confirmed",INDEX(Manual_Review!$AF$6:$AF$238,MATCH(A8,Manual_Review!$A$6:$A$238,0))&lt;&gt;""),IF(INDEX(Manual_Review!$AA$6:$AA$238,MATCH(A8,Manual_Review!$A$6:$A$238,0))="Pass","Pass",IF(INDEX(Manual_Review!$AA$6:$AA$238,MATCH(A8,Manual_Review!$A$6:$A$238,0))="Fail","Fail","Pending")),"Pending human identity confirmation")</f>
        <v>Pending human identity confirmation</v>
      </c>
      <c r="AV8" s="5" t="str">
        <f>IF(AND(AND(INDEX(Manual_Review!$G$6:$G$238,MATCH(A8,Manual_Review!$A$6:$A$238,0))&lt;&gt;"",ISNUMBER(INDEX(Manual_Review!$H$6:$H$238,MATCH(A8,Manual_Review!$A$6:$A$238,0))),INDEX(Manual_Review!$H$6:$H$238,MATCH(A8,Manual_Review!$A$6:$A$238,0))&gt;0,INDEX(Manual_Review!$I$6:$I$238,MATCH(A8,Manual_Review!$A$6:$A$238,0))="Confirmed",INDEX(Manual_Review!$AF$6:$AF$238,MATCH(A8,Manual_Review!$A$6:$A$238,0))&lt;&gt;""),INDEX(Manual_Review!$AG$6:$AG$238,MATCH(A8,Manual_Review!$A$6:$A$238,0))&lt;&gt;""),IF(INDEX(Manual_Review!$AB$6:$AB$238,MATCH(A8,Manual_Review!$A$6:$A$238,0))="Pass","Pass",IF(INDEX(Manual_Review!$AB$6:$AB$238,MATCH(A8,Manual_Review!$A$6:$A$238,0))="Fail","Fail","Pending")),"Not assessed: define intended task")</f>
        <v>Not assessed: define intended task</v>
      </c>
      <c r="AW8" s="5" t="str">
        <f>IF(AND(AND(INDEX(Manual_Review!$G$6:$G$238,MATCH(A8,Manual_Review!$A$6:$A$238,0))&lt;&gt;"",ISNUMBER(INDEX(Manual_Review!$H$6:$H$238,MATCH(A8,Manual_Review!$A$6:$A$238,0))),INDEX(Manual_Review!$H$6:$H$238,MATCH(A8,Manual_Review!$A$6:$A$238,0))&gt;0,INDEX(Manual_Review!$I$6:$I$238,MATCH(A8,Manual_Review!$A$6:$A$238,0))="Confirmed",INDEX(Manual_Review!$AF$6:$AF$238,MATCH(A8,Manual_Review!$A$6:$A$238,0))&lt;&gt;""),INDEX(Manual_Review!$AG$6:$AG$238,MATCH(A8,Manual_Review!$A$6:$A$238,0))&lt;&gt;""),IF(OR(INDEX(Manual_Review!$AC$6:$AC$238,MATCH(A8,Manual_Review!$A$6:$A$238,0))="Fail",INDEX(Manual_Review!$AD$6:$AD$238,MATCH(A8,Manual_Review!$A$6:$A$238,0))="Fail"),"Fail: rights or retrieval",IF(AND(INDEX(Manual_Review!$AC$6:$AC$238,MATCH(A8,Manual_Review!$A$6:$A$238,0))="Pass",INDEX(Manual_Review!$AD$6:$AD$238,MATCH(A8,Manual_Review!$A$6:$A$238,0))="Pass"),"Pass","Pending rights and retrieval")),"Pending rights and retrieval")</f>
        <v>Pending rights and retrieval</v>
      </c>
      <c r="AX8" s="5" t="str">
        <f>IF(INDEX(Manual_Review!$AG$6:$AG$238,MATCH(A8,Manual_Review!$A$6:$A$238,0))="","N/A: documentation inventory",IF(AND(INDEX(Manual_Review!$G$6:$G$238,MATCH(A8,Manual_Review!$A$6:$A$238,0))&lt;&gt;"",ISNUMBER(INDEX(Manual_Review!$H$6:$H$238,MATCH(A8,Manual_Review!$A$6:$A$238,0))),INDEX(Manual_Review!$H$6:$H$238,MATCH(A8,Manual_Review!$A$6:$A$238,0))&gt;0,INDEX(Manual_Review!$I$6:$I$238,MATCH(A8,Manual_Review!$A$6:$A$238,0))="Confirmed",INDEX(Manual_Review!$AF$6:$AF$238,MATCH(A8,Manual_Review!$A$6:$A$238,0))&lt;&gt;""),IF(INDEX(Manual_Review!$AE$6:$AE$238,MATCH(A8,Manual_Review!$A$6:$A$238,0))="Pass","Pass",IF(INDEX(Manual_Review!$AE$6:$AE$238,MATCH(A8,Manual_Review!$A$6:$A$238,0))="Fail","Fail: benchmark leakage",IF(INDEX(Manual_Review!$AE$6:$AE$238,MATCH(A8,Manual_Review!$A$6:$A$238,0))="N/A","N/A: nonbenchmark task","Pending task-specific leakage check"))),"Pending task-specific leakage check"))</f>
        <v>N/A: documentation inventory</v>
      </c>
      <c r="AY8" s="5" t="str">
        <f>IF(IF(D8="Unlabeled-13",AND(ABS(MCDM_Settings!$D$14-1)&lt;0.0000001,MIN(MCDM_Settings!$E$6:$E$11)&gt;=0,MCDM_Settings!$E$7=0),AND(ABS(MCDM_Settings!$B$14-1)&lt;0.0000001,MIN(MCDM_Settings!$C$6:$C$11)&gt;=0)),"Valid","Check weights")</f>
        <v>Valid</v>
      </c>
      <c r="AZ8" s="5" t="str">
        <f>IF(AND(COUNTIF(MCDM_Checks!$B$6:$B$3733,A8)=16,COUNTIF(Manual_Review!$A$6:$A$238,A8)=1),"16 keys present","Check key count")</f>
        <v>16 keys present</v>
      </c>
    </row>
    <row r="9" spans="1:52">
      <c r="A9" s="5" t="s">
        <v>152</v>
      </c>
      <c r="B9" s="5" t="s">
        <v>153</v>
      </c>
      <c r="C9" s="5"/>
      <c r="D9" s="5" t="s">
        <v>118</v>
      </c>
      <c r="E9" s="12">
        <f>IF(OR(AY9&lt;&gt;"Valid",AZ9&lt;&gt;"16 keys present"),"Review settings",20*(IF(ISNUMBER(AC9),AC9*IF($D9="Unlabeled-13",MCDM_Settings!$E$6,MCDM_Settings!$C$6),0)+IF(ISNUMBER(AF9),AF9*IF($D9="Unlabeled-13",MCDM_Settings!$E$7,MCDM_Settings!$C$7),0)+IF(ISNUMBER(AI9),AI9*IF($D9="Unlabeled-13",MCDM_Settings!$E$8,MCDM_Settings!$C$8),0)+IF(ISNUMBER(AL9),AL9*IF($D9="Unlabeled-13",MCDM_Settings!$E$9,MCDM_Settings!$C$9),0)+IF(ISNUMBER(AO9),AO9*IF($D9="Unlabeled-13",MCDM_Settings!$E$10,MCDM_Settings!$C$10),0)+IF(ISNUMBER(AR9),AR9*IF($D9="Unlabeled-13",MCDM_Settings!$E$11,MCDM_Settings!$C$11),0)))</f>
        <v>36.111111111111107</v>
      </c>
      <c r="F9" s="12">
        <f>IF(OR(AY9&lt;&gt;"Valid",AZ9&lt;&gt;"16 keys present"),"Review settings",20*(IF(ISNUMBER(AD9),AD9*IF($D9="Unlabeled-13",MCDM_Settings!$E$6,MCDM_Settings!$C$6),0)+IF(ISNUMBER(AG9),AG9*IF($D9="Unlabeled-13",MCDM_Settings!$E$7,MCDM_Settings!$C$7),0)+IF(ISNUMBER(AJ9),AJ9*IF($D9="Unlabeled-13",MCDM_Settings!$E$8,MCDM_Settings!$C$8),0)+IF(ISNUMBER(AM9),AM9*IF($D9="Unlabeled-13",MCDM_Settings!$E$9,MCDM_Settings!$C$9),0)+IF(ISNUMBER(AP9),AP9*IF($D9="Unlabeled-13",MCDM_Settings!$E$10,MCDM_Settings!$C$10),0)+IF(ISNUMBER(AS9),AS9*IF($D9="Unlabeled-13",MCDM_Settings!$E$11,MCDM_Settings!$C$11),0)))</f>
        <v>99.999999999999986</v>
      </c>
      <c r="G9" s="13">
        <f>IF(OR(AY9&lt;&gt;"Valid",AZ9&lt;&gt;"16 keys present"),"Review settings",1*(IF(ISNUMBER(AE9),AE9*IF($D9="Unlabeled-13",MCDM_Settings!$E$6,MCDM_Settings!$C$6),0)+IF(ISNUMBER(AH9),AH9*IF($D9="Unlabeled-13",MCDM_Settings!$E$7,MCDM_Settings!$C$7),0)+IF(ISNUMBER(AK9),AK9*IF($D9="Unlabeled-13",MCDM_Settings!$E$8,MCDM_Settings!$C$8),0)+IF(ISNUMBER(AN9),AN9*IF($D9="Unlabeled-13",MCDM_Settings!$E$9,MCDM_Settings!$C$9),0)+IF(ISNUMBER(AQ9),AQ9*IF($D9="Unlabeled-13",MCDM_Settings!$E$10,MCDM_Settings!$C$10),0)+IF(ISNUMBER(AT9),AT9*IF($D9="Unlabeled-13",MCDM_Settings!$E$11,MCDM_Settings!$C$11),0)))</f>
        <v>0.36111111111111105</v>
      </c>
      <c r="H9" s="5" t="str">
        <f>INDEX(Manual_Review!$AH$6:$AH$238,MATCH(A9,Manual_Review!$A$6:$A$238,0))</f>
        <v>Not started</v>
      </c>
      <c r="I9" s="5" t="s">
        <v>128</v>
      </c>
      <c r="J9" s="5" t="s">
        <v>119</v>
      </c>
      <c r="K9" s="5" t="str">
        <f>HYPERLINK("https://github.com/SEU-zhc/complexPavementCrackDataset","Dataset")</f>
        <v>Dataset</v>
      </c>
      <c r="L9" s="5" t="str">
        <f>HYPERLINK("#'Manual_Review'!A"&amp;(MATCH("DS-004",Manual_Review!$A$6:$A$238,0)+5),"Enter review")</f>
        <v>Enter review</v>
      </c>
      <c r="M9" s="5" t="str">
        <f>INDEX(MCDM_Checks!$K$6:$K$3733,MATCH(A9&amp;"|"&amp;M$5,MCDM_Checks!$A$6:$A$3733,0))</f>
        <v>Y</v>
      </c>
      <c r="N9" s="5" t="str">
        <f>INDEX(MCDM_Checks!$K$6:$K$3733,MATCH(A9&amp;"|"&amp;N$5,MCDM_Checks!$A$6:$A$3733,0))</f>
        <v>Y</v>
      </c>
      <c r="O9" s="5" t="str">
        <f>INDEX(MCDM_Checks!$K$6:$K$3733,MATCH(A9&amp;"|"&amp;O$5,MCDM_Checks!$A$6:$A$3733,0))</f>
        <v>U</v>
      </c>
      <c r="P9" s="5" t="str">
        <f>INDEX(MCDM_Checks!$K$6:$K$3733,MATCH(A9&amp;"|"&amp;P$5,MCDM_Checks!$A$6:$A$3733,0))</f>
        <v>Y</v>
      </c>
      <c r="Q9" s="5" t="str">
        <f>INDEX(MCDM_Checks!$K$6:$K$3733,MATCH(A9&amp;"|"&amp;Q$5,MCDM_Checks!$A$6:$A$3733,0))</f>
        <v>U</v>
      </c>
      <c r="R9" s="5" t="str">
        <f>INDEX(MCDM_Checks!$K$6:$K$3733,MATCH(A9&amp;"|"&amp;R$5,MCDM_Checks!$A$6:$A$3733,0))</f>
        <v>U</v>
      </c>
      <c r="S9" s="5" t="str">
        <f>INDEX(MCDM_Checks!$K$6:$K$3733,MATCH(A9&amp;"|"&amp;S$5,MCDM_Checks!$A$6:$A$3733,0))</f>
        <v>Y</v>
      </c>
      <c r="T9" s="5" t="str">
        <f>INDEX(MCDM_Checks!$K$6:$K$3733,MATCH(A9&amp;"|"&amp;T$5,MCDM_Checks!$A$6:$A$3733,0))</f>
        <v>U</v>
      </c>
      <c r="U9" s="5" t="str">
        <f>INDEX(MCDM_Checks!$K$6:$K$3733,MATCH(A9&amp;"|"&amp;U$5,MCDM_Checks!$A$6:$A$3733,0))</f>
        <v>U</v>
      </c>
      <c r="V9" s="5" t="str">
        <f>INDEX(MCDM_Checks!$K$6:$K$3733,MATCH(A9&amp;"|"&amp;V$5,MCDM_Checks!$A$6:$A$3733,0))</f>
        <v>Y</v>
      </c>
      <c r="W9" s="5" t="str">
        <f>INDEX(MCDM_Checks!$K$6:$K$3733,MATCH(A9&amp;"|"&amp;W$5,MCDM_Checks!$A$6:$A$3733,0))</f>
        <v>U</v>
      </c>
      <c r="X9" s="5" t="str">
        <f>INDEX(MCDM_Checks!$K$6:$K$3733,MATCH(A9&amp;"|"&amp;X$5,MCDM_Checks!$A$6:$A$3733,0))</f>
        <v>U</v>
      </c>
      <c r="Y9" s="5" t="str">
        <f>INDEX(MCDM_Checks!$K$6:$K$3733,MATCH(A9&amp;"|"&amp;Y$5,MCDM_Checks!$A$6:$A$3733,0))</f>
        <v>U</v>
      </c>
      <c r="Z9" s="5" t="str">
        <f>INDEX(MCDM_Checks!$K$6:$K$3733,MATCH(A9&amp;"|"&amp;Z$5,MCDM_Checks!$A$6:$A$3733,0))</f>
        <v>Y</v>
      </c>
      <c r="AA9" s="5" t="str">
        <f>INDEX(MCDM_Checks!$K$6:$K$3733,MATCH(A9&amp;"|"&amp;AA$5,MCDM_Checks!$A$6:$A$3733,0))</f>
        <v>U</v>
      </c>
      <c r="AB9" s="5" t="str">
        <f>INDEX(MCDM_Checks!$K$6:$K$3733,MATCH(A9&amp;"|"&amp;AB$5,MCDM_Checks!$A$6:$A$3733,0))</f>
        <v>U</v>
      </c>
      <c r="AC9" s="12">
        <f>IF(IF($D9="Unlabeled-13",MCDM_Settings!$F$6,MCDM_Settings!$D$6)=0,"n.a.",5*COUNTIF(M9:O9,"Y")/IF($D9="Unlabeled-13",MCDM_Settings!$F$6,MCDM_Settings!$D$6))</f>
        <v>3.3333333333333335</v>
      </c>
      <c r="AD9" s="12">
        <f>IF(IF($D9="Unlabeled-13",MCDM_Settings!$F$6,MCDM_Settings!$D$6)=0,"n.a.",5*(COUNTIF(M9:O9,"Y")+COUNTIF(M9:O9,"U")+COUNTIF(M9:O9,"X"))/IF($D9="Unlabeled-13",MCDM_Settings!$F$6,MCDM_Settings!$D$6))</f>
        <v>5</v>
      </c>
      <c r="AE9" s="13">
        <f>IF(IF($D9="Unlabeled-13",MCDM_Settings!$F$6,MCDM_Settings!$D$6)=0,"n.a.",(COUNTIF(M9:O9,"Y")+COUNTIF(M9:O9,"N"))/IF($D9="Unlabeled-13",MCDM_Settings!$F$6,MCDM_Settings!$D$6))</f>
        <v>0.66666666666666663</v>
      </c>
      <c r="AF9" s="12">
        <f>IF(IF($D9="Unlabeled-13",MCDM_Settings!$F$7,MCDM_Settings!$D$7)=0,"n.a.",5*COUNTIF(P9:R9,"Y")/IF($D9="Unlabeled-13",MCDM_Settings!$F$7,MCDM_Settings!$D$7))</f>
        <v>1.6666666666666667</v>
      </c>
      <c r="AG9" s="12">
        <f>IF(IF($D9="Unlabeled-13",MCDM_Settings!$F$7,MCDM_Settings!$D$7)=0,"n.a.",5*(COUNTIF(P9:R9,"Y")+COUNTIF(P9:R9,"U")+COUNTIF(P9:R9,"X"))/IF($D9="Unlabeled-13",MCDM_Settings!$F$7,MCDM_Settings!$D$7))</f>
        <v>5</v>
      </c>
      <c r="AH9" s="13">
        <f>IF(IF($D9="Unlabeled-13",MCDM_Settings!$F$7,MCDM_Settings!$D$7)=0,"n.a.",(COUNTIF(P9:R9,"Y")+COUNTIF(P9:R9,"N"))/IF($D9="Unlabeled-13",MCDM_Settings!$F$7,MCDM_Settings!$D$7))</f>
        <v>0.33333333333333331</v>
      </c>
      <c r="AI9" s="12">
        <f>IF(IF($D9="Unlabeled-13",MCDM_Settings!$F$8,MCDM_Settings!$D$8)=0,"n.a.",5*COUNTIF(S9:U9,"Y")/IF($D9="Unlabeled-13",MCDM_Settings!$F$8,MCDM_Settings!$D$8))</f>
        <v>1.6666666666666667</v>
      </c>
      <c r="AJ9" s="12">
        <f>IF(IF($D9="Unlabeled-13",MCDM_Settings!$F$8,MCDM_Settings!$D$8)=0,"n.a.",5*(COUNTIF(S9:U9,"Y")+COUNTIF(S9:U9,"U")+COUNTIF(S9:U9,"X"))/IF($D9="Unlabeled-13",MCDM_Settings!$F$8,MCDM_Settings!$D$8))</f>
        <v>5</v>
      </c>
      <c r="AK9" s="13">
        <f>IF(IF($D9="Unlabeled-13",MCDM_Settings!$F$8,MCDM_Settings!$D$8)=0,"n.a.",(COUNTIF(S9:U9,"Y")+COUNTIF(S9:U9,"N"))/IF($D9="Unlabeled-13",MCDM_Settings!$F$8,MCDM_Settings!$D$8))</f>
        <v>0.33333333333333331</v>
      </c>
      <c r="AL9" s="12">
        <f>IF(IF($D9="Unlabeled-13",MCDM_Settings!$F$9,MCDM_Settings!$D$9)=0,"n.a.",5*COUNTIF(V9:W9,"Y")/IF($D9="Unlabeled-13",MCDM_Settings!$F$9,MCDM_Settings!$D$9))</f>
        <v>2.5</v>
      </c>
      <c r="AM9" s="12">
        <f>IF(IF($D9="Unlabeled-13",MCDM_Settings!$F$9,MCDM_Settings!$D$9)=0,"n.a.",5*(COUNTIF(V9:W9,"Y")+COUNTIF(V9:W9,"U")+COUNTIF(V9:W9,"X"))/IF($D9="Unlabeled-13",MCDM_Settings!$F$9,MCDM_Settings!$D$9))</f>
        <v>5</v>
      </c>
      <c r="AN9" s="13">
        <f>IF(IF($D9="Unlabeled-13",MCDM_Settings!$F$9,MCDM_Settings!$D$9)=0,"n.a.",(COUNTIF(V9:W9,"Y")+COUNTIF(V9:W9,"N"))/IF($D9="Unlabeled-13",MCDM_Settings!$F$9,MCDM_Settings!$D$9))</f>
        <v>0.5</v>
      </c>
      <c r="AO9" s="12">
        <f>IF(IF($D9="Unlabeled-13",MCDM_Settings!$F$10,MCDM_Settings!$D$10)=0,"n.a.",5*COUNTIF(X9:Y9,"Y")/IF($D9="Unlabeled-13",MCDM_Settings!$F$10,MCDM_Settings!$D$10))</f>
        <v>0</v>
      </c>
      <c r="AP9" s="12">
        <f>IF(IF($D9="Unlabeled-13",MCDM_Settings!$F$10,MCDM_Settings!$D$10)=0,"n.a.",5*(COUNTIF(X9:Y9,"Y")+COUNTIF(X9:Y9,"U")+COUNTIF(X9:Y9,"X"))/IF($D9="Unlabeled-13",MCDM_Settings!$F$10,MCDM_Settings!$D$10))</f>
        <v>5</v>
      </c>
      <c r="AQ9" s="13">
        <f>IF(IF($D9="Unlabeled-13",MCDM_Settings!$F$10,MCDM_Settings!$D$10)=0,"n.a.",(COUNTIF(X9:Y9,"Y")+COUNTIF(X9:Y9,"N"))/IF($D9="Unlabeled-13",MCDM_Settings!$F$10,MCDM_Settings!$D$10))</f>
        <v>0</v>
      </c>
      <c r="AR9" s="12">
        <f>IF(IF($D9="Unlabeled-13",MCDM_Settings!$F$11,MCDM_Settings!$D$11)=0,"n.a.",5*COUNTIF(Z9:AB9,"Y")/IF($D9="Unlabeled-13",MCDM_Settings!$F$11,MCDM_Settings!$D$11))</f>
        <v>1.6666666666666667</v>
      </c>
      <c r="AS9" s="12">
        <f>IF(IF($D9="Unlabeled-13",MCDM_Settings!$F$11,MCDM_Settings!$D$11)=0,"n.a.",5*(COUNTIF(Z9:AB9,"Y")+COUNTIF(Z9:AB9,"U")+COUNTIF(Z9:AB9,"X"))/IF($D9="Unlabeled-13",MCDM_Settings!$F$11,MCDM_Settings!$D$11))</f>
        <v>5</v>
      </c>
      <c r="AT9" s="13">
        <f>IF(IF($D9="Unlabeled-13",MCDM_Settings!$F$11,MCDM_Settings!$D$11)=0,"n.a.",(COUNTIF(Z9:AB9,"Y")+COUNTIF(Z9:AB9,"N"))/IF($D9="Unlabeled-13",MCDM_Settings!$F$11,MCDM_Settings!$D$11))</f>
        <v>0.33333333333333331</v>
      </c>
      <c r="AU9" s="5" t="str">
        <f>IF(AND(INDEX(Manual_Review!$G$6:$G$238,MATCH(A9,Manual_Review!$A$6:$A$238,0))&lt;&gt;"",ISNUMBER(INDEX(Manual_Review!$H$6:$H$238,MATCH(A9,Manual_Review!$A$6:$A$238,0))),INDEX(Manual_Review!$H$6:$H$238,MATCH(A9,Manual_Review!$A$6:$A$238,0))&gt;0,INDEX(Manual_Review!$I$6:$I$238,MATCH(A9,Manual_Review!$A$6:$A$238,0))="Confirmed",INDEX(Manual_Review!$AF$6:$AF$238,MATCH(A9,Manual_Review!$A$6:$A$238,0))&lt;&gt;""),IF(INDEX(Manual_Review!$AA$6:$AA$238,MATCH(A9,Manual_Review!$A$6:$A$238,0))="Pass","Pass",IF(INDEX(Manual_Review!$AA$6:$AA$238,MATCH(A9,Manual_Review!$A$6:$A$238,0))="Fail","Fail","Pending")),"Pending human identity confirmation")</f>
        <v>Pending human identity confirmation</v>
      </c>
      <c r="AV9" s="5" t="str">
        <f>IF(AND(AND(INDEX(Manual_Review!$G$6:$G$238,MATCH(A9,Manual_Review!$A$6:$A$238,0))&lt;&gt;"",ISNUMBER(INDEX(Manual_Review!$H$6:$H$238,MATCH(A9,Manual_Review!$A$6:$A$238,0))),INDEX(Manual_Review!$H$6:$H$238,MATCH(A9,Manual_Review!$A$6:$A$238,0))&gt;0,INDEX(Manual_Review!$I$6:$I$238,MATCH(A9,Manual_Review!$A$6:$A$238,0))="Confirmed",INDEX(Manual_Review!$AF$6:$AF$238,MATCH(A9,Manual_Review!$A$6:$A$238,0))&lt;&gt;""),INDEX(Manual_Review!$AG$6:$AG$238,MATCH(A9,Manual_Review!$A$6:$A$238,0))&lt;&gt;""),IF(INDEX(Manual_Review!$AB$6:$AB$238,MATCH(A9,Manual_Review!$A$6:$A$238,0))="Pass","Pass",IF(INDEX(Manual_Review!$AB$6:$AB$238,MATCH(A9,Manual_Review!$A$6:$A$238,0))="Fail","Fail","Pending")),"Not assessed: define intended task")</f>
        <v>Not assessed: define intended task</v>
      </c>
      <c r="AW9" s="5" t="str">
        <f>IF(AND(AND(INDEX(Manual_Review!$G$6:$G$238,MATCH(A9,Manual_Review!$A$6:$A$238,0))&lt;&gt;"",ISNUMBER(INDEX(Manual_Review!$H$6:$H$238,MATCH(A9,Manual_Review!$A$6:$A$238,0))),INDEX(Manual_Review!$H$6:$H$238,MATCH(A9,Manual_Review!$A$6:$A$238,0))&gt;0,INDEX(Manual_Review!$I$6:$I$238,MATCH(A9,Manual_Review!$A$6:$A$238,0))="Confirmed",INDEX(Manual_Review!$AF$6:$AF$238,MATCH(A9,Manual_Review!$A$6:$A$238,0))&lt;&gt;""),INDEX(Manual_Review!$AG$6:$AG$238,MATCH(A9,Manual_Review!$A$6:$A$238,0))&lt;&gt;""),IF(OR(INDEX(Manual_Review!$AC$6:$AC$238,MATCH(A9,Manual_Review!$A$6:$A$238,0))="Fail",INDEX(Manual_Review!$AD$6:$AD$238,MATCH(A9,Manual_Review!$A$6:$A$238,0))="Fail"),"Fail: rights or retrieval",IF(AND(INDEX(Manual_Review!$AC$6:$AC$238,MATCH(A9,Manual_Review!$A$6:$A$238,0))="Pass",INDEX(Manual_Review!$AD$6:$AD$238,MATCH(A9,Manual_Review!$A$6:$A$238,0))="Pass"),"Pass","Pending rights and retrieval")),"Pending rights and retrieval")</f>
        <v>Pending rights and retrieval</v>
      </c>
      <c r="AX9" s="5" t="str">
        <f>IF(INDEX(Manual_Review!$AG$6:$AG$238,MATCH(A9,Manual_Review!$A$6:$A$238,0))="","N/A: documentation inventory",IF(AND(INDEX(Manual_Review!$G$6:$G$238,MATCH(A9,Manual_Review!$A$6:$A$238,0))&lt;&gt;"",ISNUMBER(INDEX(Manual_Review!$H$6:$H$238,MATCH(A9,Manual_Review!$A$6:$A$238,0))),INDEX(Manual_Review!$H$6:$H$238,MATCH(A9,Manual_Review!$A$6:$A$238,0))&gt;0,INDEX(Manual_Review!$I$6:$I$238,MATCH(A9,Manual_Review!$A$6:$A$238,0))="Confirmed",INDEX(Manual_Review!$AF$6:$AF$238,MATCH(A9,Manual_Review!$A$6:$A$238,0))&lt;&gt;""),IF(INDEX(Manual_Review!$AE$6:$AE$238,MATCH(A9,Manual_Review!$A$6:$A$238,0))="Pass","Pass",IF(INDEX(Manual_Review!$AE$6:$AE$238,MATCH(A9,Manual_Review!$A$6:$A$238,0))="Fail","Fail: benchmark leakage",IF(INDEX(Manual_Review!$AE$6:$AE$238,MATCH(A9,Manual_Review!$A$6:$A$238,0))="N/A","N/A: nonbenchmark task","Pending task-specific leakage check"))),"Pending task-specific leakage check"))</f>
        <v>N/A: documentation inventory</v>
      </c>
      <c r="AY9" s="5" t="str">
        <f>IF(IF(D9="Unlabeled-13",AND(ABS(MCDM_Settings!$D$14-1)&lt;0.0000001,MIN(MCDM_Settings!$E$6:$E$11)&gt;=0,MCDM_Settings!$E$7=0),AND(ABS(MCDM_Settings!$B$14-1)&lt;0.0000001,MIN(MCDM_Settings!$C$6:$C$11)&gt;=0)),"Valid","Check weights")</f>
        <v>Valid</v>
      </c>
      <c r="AZ9" s="5" t="str">
        <f>IF(AND(COUNTIF(MCDM_Checks!$B$6:$B$3733,A9)=16,COUNTIF(Manual_Review!$A$6:$A$238,A9)=1),"16 keys present","Check key count")</f>
        <v>16 keys present</v>
      </c>
    </row>
    <row r="10" spans="1:52" ht="25.5">
      <c r="A10" s="5" t="s">
        <v>165</v>
      </c>
      <c r="B10" s="5" t="s">
        <v>166</v>
      </c>
      <c r="C10" s="5"/>
      <c r="D10" s="5" t="s">
        <v>118</v>
      </c>
      <c r="E10" s="12">
        <f>IF(OR(AY10&lt;&gt;"Valid",AZ10&lt;&gt;"16 keys present"),"Review settings",20*(IF(ISNUMBER(AC10),AC10*IF($D10="Unlabeled-13",MCDM_Settings!$E$6,MCDM_Settings!$C$6),0)+IF(ISNUMBER(AF10),AF10*IF($D10="Unlabeled-13",MCDM_Settings!$E$7,MCDM_Settings!$C$7),0)+IF(ISNUMBER(AI10),AI10*IF($D10="Unlabeled-13",MCDM_Settings!$E$8,MCDM_Settings!$C$8),0)+IF(ISNUMBER(AL10),AL10*IF($D10="Unlabeled-13",MCDM_Settings!$E$9,MCDM_Settings!$C$9),0)+IF(ISNUMBER(AO10),AO10*IF($D10="Unlabeled-13",MCDM_Settings!$E$10,MCDM_Settings!$C$10),0)+IF(ISNUMBER(AR10),AR10*IF($D10="Unlabeled-13",MCDM_Settings!$E$11,MCDM_Settings!$C$11),0)))</f>
        <v>61.111111111111107</v>
      </c>
      <c r="F10" s="12">
        <f>IF(OR(AY10&lt;&gt;"Valid",AZ10&lt;&gt;"16 keys present"),"Review settings",20*(IF(ISNUMBER(AD10),AD10*IF($D10="Unlabeled-13",MCDM_Settings!$E$6,MCDM_Settings!$C$6),0)+IF(ISNUMBER(AG10),AG10*IF($D10="Unlabeled-13",MCDM_Settings!$E$7,MCDM_Settings!$C$7),0)+IF(ISNUMBER(AJ10),AJ10*IF($D10="Unlabeled-13",MCDM_Settings!$E$8,MCDM_Settings!$C$8),0)+IF(ISNUMBER(AM10),AM10*IF($D10="Unlabeled-13",MCDM_Settings!$E$9,MCDM_Settings!$C$9),0)+IF(ISNUMBER(AP10),AP10*IF($D10="Unlabeled-13",MCDM_Settings!$E$10,MCDM_Settings!$C$10),0)+IF(ISNUMBER(AS10),AS10*IF($D10="Unlabeled-13",MCDM_Settings!$E$11,MCDM_Settings!$C$11),0)))</f>
        <v>99.999999999999986</v>
      </c>
      <c r="G10" s="13">
        <f>IF(OR(AY10&lt;&gt;"Valid",AZ10&lt;&gt;"16 keys present"),"Review settings",1*(IF(ISNUMBER(AE10),AE10*IF($D10="Unlabeled-13",MCDM_Settings!$E$6,MCDM_Settings!$C$6),0)+IF(ISNUMBER(AH10),AH10*IF($D10="Unlabeled-13",MCDM_Settings!$E$7,MCDM_Settings!$C$7),0)+IF(ISNUMBER(AK10),AK10*IF($D10="Unlabeled-13",MCDM_Settings!$E$8,MCDM_Settings!$C$8),0)+IF(ISNUMBER(AN10),AN10*IF($D10="Unlabeled-13",MCDM_Settings!$E$9,MCDM_Settings!$C$9),0)+IF(ISNUMBER(AQ10),AQ10*IF($D10="Unlabeled-13",MCDM_Settings!$E$10,MCDM_Settings!$C$10),0)+IF(ISNUMBER(AT10),AT10*IF($D10="Unlabeled-13",MCDM_Settings!$E$11,MCDM_Settings!$C$11),0)))</f>
        <v>0.61111111111111116</v>
      </c>
      <c r="H10" s="5" t="str">
        <f>INDEX(Manual_Review!$AH$6:$AH$238,MATCH(A10,Manual_Review!$A$6:$A$238,0))</f>
        <v>Not started</v>
      </c>
      <c r="I10" s="5" t="s">
        <v>182</v>
      </c>
      <c r="J10" s="5" t="s">
        <v>167</v>
      </c>
      <c r="K10" s="5" t="str">
        <f>HYPERLINK("https://huggingface.co/datasets/Dearcat/CQU-BPDD","Dataset")</f>
        <v>Dataset</v>
      </c>
      <c r="L10" s="5" t="str">
        <f>HYPERLINK("#'Manual_Review'!A"&amp;(MATCH("DS-005",Manual_Review!$A$6:$A$238,0)+5),"Enter review")</f>
        <v>Enter review</v>
      </c>
      <c r="M10" s="5" t="str">
        <f>INDEX(MCDM_Checks!$K$6:$K$3733,MATCH(A10&amp;"|"&amp;M$5,MCDM_Checks!$A$6:$A$3733,0))</f>
        <v>Y</v>
      </c>
      <c r="N10" s="5" t="str">
        <f>INDEX(MCDM_Checks!$K$6:$K$3733,MATCH(A10&amp;"|"&amp;N$5,MCDM_Checks!$A$6:$A$3733,0))</f>
        <v>Y</v>
      </c>
      <c r="O10" s="5" t="str">
        <f>INDEX(MCDM_Checks!$K$6:$K$3733,MATCH(A10&amp;"|"&amp;O$5,MCDM_Checks!$A$6:$A$3733,0))</f>
        <v>Y</v>
      </c>
      <c r="P10" s="5" t="str">
        <f>INDEX(MCDM_Checks!$K$6:$K$3733,MATCH(A10&amp;"|"&amp;P$5,MCDM_Checks!$A$6:$A$3733,0))</f>
        <v>Y</v>
      </c>
      <c r="Q10" s="5" t="str">
        <f>INDEX(MCDM_Checks!$K$6:$K$3733,MATCH(A10&amp;"|"&amp;Q$5,MCDM_Checks!$A$6:$A$3733,0))</f>
        <v>U</v>
      </c>
      <c r="R10" s="5" t="str">
        <f>INDEX(MCDM_Checks!$K$6:$K$3733,MATCH(A10&amp;"|"&amp;R$5,MCDM_Checks!$A$6:$A$3733,0))</f>
        <v>U</v>
      </c>
      <c r="S10" s="5" t="str">
        <f>INDEX(MCDM_Checks!$K$6:$K$3733,MATCH(A10&amp;"|"&amp;S$5,MCDM_Checks!$A$6:$A$3733,0))</f>
        <v>U</v>
      </c>
      <c r="T10" s="5" t="str">
        <f>INDEX(MCDM_Checks!$K$6:$K$3733,MATCH(A10&amp;"|"&amp;T$5,MCDM_Checks!$A$6:$A$3733,0))</f>
        <v>Y</v>
      </c>
      <c r="U10" s="5" t="str">
        <f>INDEX(MCDM_Checks!$K$6:$K$3733,MATCH(A10&amp;"|"&amp;U$5,MCDM_Checks!$A$6:$A$3733,0))</f>
        <v>Y</v>
      </c>
      <c r="V10" s="5" t="str">
        <f>INDEX(MCDM_Checks!$K$6:$K$3733,MATCH(A10&amp;"|"&amp;V$5,MCDM_Checks!$A$6:$A$3733,0))</f>
        <v>X</v>
      </c>
      <c r="W10" s="5" t="str">
        <f>INDEX(MCDM_Checks!$K$6:$K$3733,MATCH(A10&amp;"|"&amp;W$5,MCDM_Checks!$A$6:$A$3733,0))</f>
        <v>U</v>
      </c>
      <c r="X10" s="5" t="str">
        <f>INDEX(MCDM_Checks!$K$6:$K$3733,MATCH(A10&amp;"|"&amp;X$5,MCDM_Checks!$A$6:$A$3733,0))</f>
        <v>Y</v>
      </c>
      <c r="Y10" s="5" t="str">
        <f>INDEX(MCDM_Checks!$K$6:$K$3733,MATCH(A10&amp;"|"&amp;Y$5,MCDM_Checks!$A$6:$A$3733,0))</f>
        <v>Y</v>
      </c>
      <c r="Z10" s="5" t="str">
        <f>INDEX(MCDM_Checks!$K$6:$K$3733,MATCH(A10&amp;"|"&amp;Z$5,MCDM_Checks!$A$6:$A$3733,0))</f>
        <v>Y</v>
      </c>
      <c r="AA10" s="5" t="str">
        <f>INDEX(MCDM_Checks!$K$6:$K$3733,MATCH(A10&amp;"|"&amp;AA$5,MCDM_Checks!$A$6:$A$3733,0))</f>
        <v>Y</v>
      </c>
      <c r="AB10" s="5" t="str">
        <f>INDEX(MCDM_Checks!$K$6:$K$3733,MATCH(A10&amp;"|"&amp;AB$5,MCDM_Checks!$A$6:$A$3733,0))</f>
        <v>U</v>
      </c>
      <c r="AC10" s="12">
        <f>IF(IF($D10="Unlabeled-13",MCDM_Settings!$F$6,MCDM_Settings!$D$6)=0,"n.a.",5*COUNTIF(M10:O10,"Y")/IF($D10="Unlabeled-13",MCDM_Settings!$F$6,MCDM_Settings!$D$6))</f>
        <v>5</v>
      </c>
      <c r="AD10" s="12">
        <f>IF(IF($D10="Unlabeled-13",MCDM_Settings!$F$6,MCDM_Settings!$D$6)=0,"n.a.",5*(COUNTIF(M10:O10,"Y")+COUNTIF(M10:O10,"U")+COUNTIF(M10:O10,"X"))/IF($D10="Unlabeled-13",MCDM_Settings!$F$6,MCDM_Settings!$D$6))</f>
        <v>5</v>
      </c>
      <c r="AE10" s="13">
        <f>IF(IF($D10="Unlabeled-13",MCDM_Settings!$F$6,MCDM_Settings!$D$6)=0,"n.a.",(COUNTIF(M10:O10,"Y")+COUNTIF(M10:O10,"N"))/IF($D10="Unlabeled-13",MCDM_Settings!$F$6,MCDM_Settings!$D$6))</f>
        <v>1</v>
      </c>
      <c r="AF10" s="12">
        <f>IF(IF($D10="Unlabeled-13",MCDM_Settings!$F$7,MCDM_Settings!$D$7)=0,"n.a.",5*COUNTIF(P10:R10,"Y")/IF($D10="Unlabeled-13",MCDM_Settings!$F$7,MCDM_Settings!$D$7))</f>
        <v>1.6666666666666667</v>
      </c>
      <c r="AG10" s="12">
        <f>IF(IF($D10="Unlabeled-13",MCDM_Settings!$F$7,MCDM_Settings!$D$7)=0,"n.a.",5*(COUNTIF(P10:R10,"Y")+COUNTIF(P10:R10,"U")+COUNTIF(P10:R10,"X"))/IF($D10="Unlabeled-13",MCDM_Settings!$F$7,MCDM_Settings!$D$7))</f>
        <v>5</v>
      </c>
      <c r="AH10" s="13">
        <f>IF(IF($D10="Unlabeled-13",MCDM_Settings!$F$7,MCDM_Settings!$D$7)=0,"n.a.",(COUNTIF(P10:R10,"Y")+COUNTIF(P10:R10,"N"))/IF($D10="Unlabeled-13",MCDM_Settings!$F$7,MCDM_Settings!$D$7))</f>
        <v>0.33333333333333331</v>
      </c>
      <c r="AI10" s="12">
        <f>IF(IF($D10="Unlabeled-13",MCDM_Settings!$F$8,MCDM_Settings!$D$8)=0,"n.a.",5*COUNTIF(S10:U10,"Y")/IF($D10="Unlabeled-13",MCDM_Settings!$F$8,MCDM_Settings!$D$8))</f>
        <v>3.3333333333333335</v>
      </c>
      <c r="AJ10" s="12">
        <f>IF(IF($D10="Unlabeled-13",MCDM_Settings!$F$8,MCDM_Settings!$D$8)=0,"n.a.",5*(COUNTIF(S10:U10,"Y")+COUNTIF(S10:U10,"U")+COUNTIF(S10:U10,"X"))/IF($D10="Unlabeled-13",MCDM_Settings!$F$8,MCDM_Settings!$D$8))</f>
        <v>5</v>
      </c>
      <c r="AK10" s="13">
        <f>IF(IF($D10="Unlabeled-13",MCDM_Settings!$F$8,MCDM_Settings!$D$8)=0,"n.a.",(COUNTIF(S10:U10,"Y")+COUNTIF(S10:U10,"N"))/IF($D10="Unlabeled-13",MCDM_Settings!$F$8,MCDM_Settings!$D$8))</f>
        <v>0.66666666666666663</v>
      </c>
      <c r="AL10" s="12">
        <f>IF(IF($D10="Unlabeled-13",MCDM_Settings!$F$9,MCDM_Settings!$D$9)=0,"n.a.",5*COUNTIF(V10:W10,"Y")/IF($D10="Unlabeled-13",MCDM_Settings!$F$9,MCDM_Settings!$D$9))</f>
        <v>0</v>
      </c>
      <c r="AM10" s="12">
        <f>IF(IF($D10="Unlabeled-13",MCDM_Settings!$F$9,MCDM_Settings!$D$9)=0,"n.a.",5*(COUNTIF(V10:W10,"Y")+COUNTIF(V10:W10,"U")+COUNTIF(V10:W10,"X"))/IF($D10="Unlabeled-13",MCDM_Settings!$F$9,MCDM_Settings!$D$9))</f>
        <v>5</v>
      </c>
      <c r="AN10" s="13">
        <f>IF(IF($D10="Unlabeled-13",MCDM_Settings!$F$9,MCDM_Settings!$D$9)=0,"n.a.",(COUNTIF(V10:W10,"Y")+COUNTIF(V10:W10,"N"))/IF($D10="Unlabeled-13",MCDM_Settings!$F$9,MCDM_Settings!$D$9))</f>
        <v>0</v>
      </c>
      <c r="AO10" s="12">
        <f>IF(IF($D10="Unlabeled-13",MCDM_Settings!$F$10,MCDM_Settings!$D$10)=0,"n.a.",5*COUNTIF(X10:Y10,"Y")/IF($D10="Unlabeled-13",MCDM_Settings!$F$10,MCDM_Settings!$D$10))</f>
        <v>5</v>
      </c>
      <c r="AP10" s="12">
        <f>IF(IF($D10="Unlabeled-13",MCDM_Settings!$F$10,MCDM_Settings!$D$10)=0,"n.a.",5*(COUNTIF(X10:Y10,"Y")+COUNTIF(X10:Y10,"U")+COUNTIF(X10:Y10,"X"))/IF($D10="Unlabeled-13",MCDM_Settings!$F$10,MCDM_Settings!$D$10))</f>
        <v>5</v>
      </c>
      <c r="AQ10" s="13">
        <f>IF(IF($D10="Unlabeled-13",MCDM_Settings!$F$10,MCDM_Settings!$D$10)=0,"n.a.",(COUNTIF(X10:Y10,"Y")+COUNTIF(X10:Y10,"N"))/IF($D10="Unlabeled-13",MCDM_Settings!$F$10,MCDM_Settings!$D$10))</f>
        <v>1</v>
      </c>
      <c r="AR10" s="12">
        <f>IF(IF($D10="Unlabeled-13",MCDM_Settings!$F$11,MCDM_Settings!$D$11)=0,"n.a.",5*COUNTIF(Z10:AB10,"Y")/IF($D10="Unlabeled-13",MCDM_Settings!$F$11,MCDM_Settings!$D$11))</f>
        <v>3.3333333333333335</v>
      </c>
      <c r="AS10" s="12">
        <f>IF(IF($D10="Unlabeled-13",MCDM_Settings!$F$11,MCDM_Settings!$D$11)=0,"n.a.",5*(COUNTIF(Z10:AB10,"Y")+COUNTIF(Z10:AB10,"U")+COUNTIF(Z10:AB10,"X"))/IF($D10="Unlabeled-13",MCDM_Settings!$F$11,MCDM_Settings!$D$11))</f>
        <v>5</v>
      </c>
      <c r="AT10" s="13">
        <f>IF(IF($D10="Unlabeled-13",MCDM_Settings!$F$11,MCDM_Settings!$D$11)=0,"n.a.",(COUNTIF(Z10:AB10,"Y")+COUNTIF(Z10:AB10,"N"))/IF($D10="Unlabeled-13",MCDM_Settings!$F$11,MCDM_Settings!$D$11))</f>
        <v>0.66666666666666663</v>
      </c>
      <c r="AU10" s="5" t="str">
        <f>IF(AND(INDEX(Manual_Review!$G$6:$G$238,MATCH(A10,Manual_Review!$A$6:$A$238,0))&lt;&gt;"",ISNUMBER(INDEX(Manual_Review!$H$6:$H$238,MATCH(A10,Manual_Review!$A$6:$A$238,0))),INDEX(Manual_Review!$H$6:$H$238,MATCH(A10,Manual_Review!$A$6:$A$238,0))&gt;0,INDEX(Manual_Review!$I$6:$I$238,MATCH(A10,Manual_Review!$A$6:$A$238,0))="Confirmed",INDEX(Manual_Review!$AF$6:$AF$238,MATCH(A10,Manual_Review!$A$6:$A$238,0))&lt;&gt;""),IF(INDEX(Manual_Review!$AA$6:$AA$238,MATCH(A10,Manual_Review!$A$6:$A$238,0))="Pass","Pass",IF(INDEX(Manual_Review!$AA$6:$AA$238,MATCH(A10,Manual_Review!$A$6:$A$238,0))="Fail","Fail","Pending")),"Pending human identity confirmation")</f>
        <v>Pending human identity confirmation</v>
      </c>
      <c r="AV10" s="5" t="str">
        <f>IF(AND(AND(INDEX(Manual_Review!$G$6:$G$238,MATCH(A10,Manual_Review!$A$6:$A$238,0))&lt;&gt;"",ISNUMBER(INDEX(Manual_Review!$H$6:$H$238,MATCH(A10,Manual_Review!$A$6:$A$238,0))),INDEX(Manual_Review!$H$6:$H$238,MATCH(A10,Manual_Review!$A$6:$A$238,0))&gt;0,INDEX(Manual_Review!$I$6:$I$238,MATCH(A10,Manual_Review!$A$6:$A$238,0))="Confirmed",INDEX(Manual_Review!$AF$6:$AF$238,MATCH(A10,Manual_Review!$A$6:$A$238,0))&lt;&gt;""),INDEX(Manual_Review!$AG$6:$AG$238,MATCH(A10,Manual_Review!$A$6:$A$238,0))&lt;&gt;""),IF(INDEX(Manual_Review!$AB$6:$AB$238,MATCH(A10,Manual_Review!$A$6:$A$238,0))="Pass","Pass",IF(INDEX(Manual_Review!$AB$6:$AB$238,MATCH(A10,Manual_Review!$A$6:$A$238,0))="Fail","Fail","Pending")),"Not assessed: define intended task")</f>
        <v>Not assessed: define intended task</v>
      </c>
      <c r="AW10" s="5" t="str">
        <f>IF(AND(AND(INDEX(Manual_Review!$G$6:$G$238,MATCH(A10,Manual_Review!$A$6:$A$238,0))&lt;&gt;"",ISNUMBER(INDEX(Manual_Review!$H$6:$H$238,MATCH(A10,Manual_Review!$A$6:$A$238,0))),INDEX(Manual_Review!$H$6:$H$238,MATCH(A10,Manual_Review!$A$6:$A$238,0))&gt;0,INDEX(Manual_Review!$I$6:$I$238,MATCH(A10,Manual_Review!$A$6:$A$238,0))="Confirmed",INDEX(Manual_Review!$AF$6:$AF$238,MATCH(A10,Manual_Review!$A$6:$A$238,0))&lt;&gt;""),INDEX(Manual_Review!$AG$6:$AG$238,MATCH(A10,Manual_Review!$A$6:$A$238,0))&lt;&gt;""),IF(OR(INDEX(Manual_Review!$AC$6:$AC$238,MATCH(A10,Manual_Review!$A$6:$A$238,0))="Fail",INDEX(Manual_Review!$AD$6:$AD$238,MATCH(A10,Manual_Review!$A$6:$A$238,0))="Fail"),"Fail: rights or retrieval",IF(AND(INDEX(Manual_Review!$AC$6:$AC$238,MATCH(A10,Manual_Review!$A$6:$A$238,0))="Pass",INDEX(Manual_Review!$AD$6:$AD$238,MATCH(A10,Manual_Review!$A$6:$A$238,0))="Pass"),"Pass","Pending rights and retrieval")),"Pending rights and retrieval")</f>
        <v>Pending rights and retrieval</v>
      </c>
      <c r="AX10" s="5" t="str">
        <f>IF(INDEX(Manual_Review!$AG$6:$AG$238,MATCH(A10,Manual_Review!$A$6:$A$238,0))="","N/A: documentation inventory",IF(AND(INDEX(Manual_Review!$G$6:$G$238,MATCH(A10,Manual_Review!$A$6:$A$238,0))&lt;&gt;"",ISNUMBER(INDEX(Manual_Review!$H$6:$H$238,MATCH(A10,Manual_Review!$A$6:$A$238,0))),INDEX(Manual_Review!$H$6:$H$238,MATCH(A10,Manual_Review!$A$6:$A$238,0))&gt;0,INDEX(Manual_Review!$I$6:$I$238,MATCH(A10,Manual_Review!$A$6:$A$238,0))="Confirmed",INDEX(Manual_Review!$AF$6:$AF$238,MATCH(A10,Manual_Review!$A$6:$A$238,0))&lt;&gt;""),IF(INDEX(Manual_Review!$AE$6:$AE$238,MATCH(A10,Manual_Review!$A$6:$A$238,0))="Pass","Pass",IF(INDEX(Manual_Review!$AE$6:$AE$238,MATCH(A10,Manual_Review!$A$6:$A$238,0))="Fail","Fail: benchmark leakage",IF(INDEX(Manual_Review!$AE$6:$AE$238,MATCH(A10,Manual_Review!$A$6:$A$238,0))="N/A","N/A: nonbenchmark task","Pending task-specific leakage check"))),"Pending task-specific leakage check"))</f>
        <v>N/A: documentation inventory</v>
      </c>
      <c r="AY10" s="5" t="str">
        <f>IF(IF(D10="Unlabeled-13",AND(ABS(MCDM_Settings!$D$14-1)&lt;0.0000001,MIN(MCDM_Settings!$E$6:$E$11)&gt;=0,MCDM_Settings!$E$7=0),AND(ABS(MCDM_Settings!$B$14-1)&lt;0.0000001,MIN(MCDM_Settings!$C$6:$C$11)&gt;=0)),"Valid","Check weights")</f>
        <v>Valid</v>
      </c>
      <c r="AZ10" s="5" t="str">
        <f>IF(AND(COUNTIF(MCDM_Checks!$B$6:$B$3733,A10)=16,COUNTIF(Manual_Review!$A$6:$A$238,A10)=1),"16 keys present","Check key count")</f>
        <v>16 keys present</v>
      </c>
    </row>
    <row r="11" spans="1:52" ht="25.5">
      <c r="A11" s="5" t="s">
        <v>187</v>
      </c>
      <c r="B11" s="5" t="s">
        <v>188</v>
      </c>
      <c r="C11" s="5"/>
      <c r="D11" s="5" t="s">
        <v>118</v>
      </c>
      <c r="E11" s="12">
        <f>IF(OR(AY11&lt;&gt;"Valid",AZ11&lt;&gt;"16 keys present"),"Review settings",20*(IF(ISNUMBER(AC11),AC11*IF($D11="Unlabeled-13",MCDM_Settings!$E$6,MCDM_Settings!$C$6),0)+IF(ISNUMBER(AF11),AF11*IF($D11="Unlabeled-13",MCDM_Settings!$E$7,MCDM_Settings!$C$7),0)+IF(ISNUMBER(AI11),AI11*IF($D11="Unlabeled-13",MCDM_Settings!$E$8,MCDM_Settings!$C$8),0)+IF(ISNUMBER(AL11),AL11*IF($D11="Unlabeled-13",MCDM_Settings!$E$9,MCDM_Settings!$C$9),0)+IF(ISNUMBER(AO11),AO11*IF($D11="Unlabeled-13",MCDM_Settings!$E$10,MCDM_Settings!$C$10),0)+IF(ISNUMBER(AR11),AR11*IF($D11="Unlabeled-13",MCDM_Settings!$E$11,MCDM_Settings!$C$11),0)))</f>
        <v>50</v>
      </c>
      <c r="F11" s="12">
        <f>IF(OR(AY11&lt;&gt;"Valid",AZ11&lt;&gt;"16 keys present"),"Review settings",20*(IF(ISNUMBER(AD11),AD11*IF($D11="Unlabeled-13",MCDM_Settings!$E$6,MCDM_Settings!$C$6),0)+IF(ISNUMBER(AG11),AG11*IF($D11="Unlabeled-13",MCDM_Settings!$E$7,MCDM_Settings!$C$7),0)+IF(ISNUMBER(AJ11),AJ11*IF($D11="Unlabeled-13",MCDM_Settings!$E$8,MCDM_Settings!$C$8),0)+IF(ISNUMBER(AM11),AM11*IF($D11="Unlabeled-13",MCDM_Settings!$E$9,MCDM_Settings!$C$9),0)+IF(ISNUMBER(AP11),AP11*IF($D11="Unlabeled-13",MCDM_Settings!$E$10,MCDM_Settings!$C$10),0)+IF(ISNUMBER(AS11),AS11*IF($D11="Unlabeled-13",MCDM_Settings!$E$11,MCDM_Settings!$C$11),0)))</f>
        <v>99.999999999999986</v>
      </c>
      <c r="G11" s="13">
        <f>IF(OR(AY11&lt;&gt;"Valid",AZ11&lt;&gt;"16 keys present"),"Review settings",1*(IF(ISNUMBER(AE11),AE11*IF($D11="Unlabeled-13",MCDM_Settings!$E$6,MCDM_Settings!$C$6),0)+IF(ISNUMBER(AH11),AH11*IF($D11="Unlabeled-13",MCDM_Settings!$E$7,MCDM_Settings!$C$7),0)+IF(ISNUMBER(AK11),AK11*IF($D11="Unlabeled-13",MCDM_Settings!$E$8,MCDM_Settings!$C$8),0)+IF(ISNUMBER(AN11),AN11*IF($D11="Unlabeled-13",MCDM_Settings!$E$9,MCDM_Settings!$C$9),0)+IF(ISNUMBER(AQ11),AQ11*IF($D11="Unlabeled-13",MCDM_Settings!$E$10,MCDM_Settings!$C$10),0)+IF(ISNUMBER(AT11),AT11*IF($D11="Unlabeled-13",MCDM_Settings!$E$11,MCDM_Settings!$C$11),0)))</f>
        <v>0.5</v>
      </c>
      <c r="H11" s="5" t="str">
        <f>INDEX(Manual_Review!$AH$6:$AH$238,MATCH(A11,Manual_Review!$A$6:$A$238,0))</f>
        <v>Not started</v>
      </c>
      <c r="I11" s="5" t="s">
        <v>128</v>
      </c>
      <c r="J11" s="5" t="s">
        <v>119</v>
      </c>
      <c r="K11" s="5" t="str">
        <f>HYPERLINK("https://github.com/0110TJY/Crack-Classification-Dataset","Dataset")</f>
        <v>Dataset</v>
      </c>
      <c r="L11" s="5" t="str">
        <f>HYPERLINK("#'Manual_Review'!A"&amp;(MATCH("DS-006",Manual_Review!$A$6:$A$238,0)+5),"Enter review")</f>
        <v>Enter review</v>
      </c>
      <c r="M11" s="5" t="str">
        <f>INDEX(MCDM_Checks!$K$6:$K$3733,MATCH(A11&amp;"|"&amp;M$5,MCDM_Checks!$A$6:$A$3733,0))</f>
        <v>Y</v>
      </c>
      <c r="N11" s="5" t="str">
        <f>INDEX(MCDM_Checks!$K$6:$K$3733,MATCH(A11&amp;"|"&amp;N$5,MCDM_Checks!$A$6:$A$3733,0))</f>
        <v>Y</v>
      </c>
      <c r="O11" s="5" t="str">
        <f>INDEX(MCDM_Checks!$K$6:$K$3733,MATCH(A11&amp;"|"&amp;O$5,MCDM_Checks!$A$6:$A$3733,0))</f>
        <v>U</v>
      </c>
      <c r="P11" s="5" t="str">
        <f>INDEX(MCDM_Checks!$K$6:$K$3733,MATCH(A11&amp;"|"&amp;P$5,MCDM_Checks!$A$6:$A$3733,0))</f>
        <v>U</v>
      </c>
      <c r="Q11" s="5" t="str">
        <f>INDEX(MCDM_Checks!$K$6:$K$3733,MATCH(A11&amp;"|"&amp;Q$5,MCDM_Checks!$A$6:$A$3733,0))</f>
        <v>U</v>
      </c>
      <c r="R11" s="5" t="str">
        <f>INDEX(MCDM_Checks!$K$6:$K$3733,MATCH(A11&amp;"|"&amp;R$5,MCDM_Checks!$A$6:$A$3733,0))</f>
        <v>U</v>
      </c>
      <c r="S11" s="5" t="str">
        <f>INDEX(MCDM_Checks!$K$6:$K$3733,MATCH(A11&amp;"|"&amp;S$5,MCDM_Checks!$A$6:$A$3733,0))</f>
        <v>U</v>
      </c>
      <c r="T11" s="5" t="str">
        <f>INDEX(MCDM_Checks!$K$6:$K$3733,MATCH(A11&amp;"|"&amp;T$5,MCDM_Checks!$A$6:$A$3733,0))</f>
        <v>Y</v>
      </c>
      <c r="U11" s="5" t="str">
        <f>INDEX(MCDM_Checks!$K$6:$K$3733,MATCH(A11&amp;"|"&amp;U$5,MCDM_Checks!$A$6:$A$3733,0))</f>
        <v>U</v>
      </c>
      <c r="V11" s="5" t="str">
        <f>INDEX(MCDM_Checks!$K$6:$K$3733,MATCH(A11&amp;"|"&amp;V$5,MCDM_Checks!$A$6:$A$3733,0))</f>
        <v>Y</v>
      </c>
      <c r="W11" s="5" t="str">
        <f>INDEX(MCDM_Checks!$K$6:$K$3733,MATCH(A11&amp;"|"&amp;W$5,MCDM_Checks!$A$6:$A$3733,0))</f>
        <v>U</v>
      </c>
      <c r="X11" s="5" t="str">
        <f>INDEX(MCDM_Checks!$K$6:$K$3733,MATCH(A11&amp;"|"&amp;X$5,MCDM_Checks!$A$6:$A$3733,0))</f>
        <v>U</v>
      </c>
      <c r="Y11" s="5" t="str">
        <f>INDEX(MCDM_Checks!$K$6:$K$3733,MATCH(A11&amp;"|"&amp;Y$5,MCDM_Checks!$A$6:$A$3733,0))</f>
        <v>Y</v>
      </c>
      <c r="Z11" s="5" t="str">
        <f>INDEX(MCDM_Checks!$K$6:$K$3733,MATCH(A11&amp;"|"&amp;Z$5,MCDM_Checks!$A$6:$A$3733,0))</f>
        <v>Y</v>
      </c>
      <c r="AA11" s="5" t="str">
        <f>INDEX(MCDM_Checks!$K$6:$K$3733,MATCH(A11&amp;"|"&amp;AA$5,MCDM_Checks!$A$6:$A$3733,0))</f>
        <v>Y</v>
      </c>
      <c r="AB11" s="5" t="str">
        <f>INDEX(MCDM_Checks!$K$6:$K$3733,MATCH(A11&amp;"|"&amp;AB$5,MCDM_Checks!$A$6:$A$3733,0))</f>
        <v>Y</v>
      </c>
      <c r="AC11" s="12">
        <f>IF(IF($D11="Unlabeled-13",MCDM_Settings!$F$6,MCDM_Settings!$D$6)=0,"n.a.",5*COUNTIF(M11:O11,"Y")/IF($D11="Unlabeled-13",MCDM_Settings!$F$6,MCDM_Settings!$D$6))</f>
        <v>3.3333333333333335</v>
      </c>
      <c r="AD11" s="12">
        <f>IF(IF($D11="Unlabeled-13",MCDM_Settings!$F$6,MCDM_Settings!$D$6)=0,"n.a.",5*(COUNTIF(M11:O11,"Y")+COUNTIF(M11:O11,"U")+COUNTIF(M11:O11,"X"))/IF($D11="Unlabeled-13",MCDM_Settings!$F$6,MCDM_Settings!$D$6))</f>
        <v>5</v>
      </c>
      <c r="AE11" s="13">
        <f>IF(IF($D11="Unlabeled-13",MCDM_Settings!$F$6,MCDM_Settings!$D$6)=0,"n.a.",(COUNTIF(M11:O11,"Y")+COUNTIF(M11:O11,"N"))/IF($D11="Unlabeled-13",MCDM_Settings!$F$6,MCDM_Settings!$D$6))</f>
        <v>0.66666666666666663</v>
      </c>
      <c r="AF11" s="12">
        <f>IF(IF($D11="Unlabeled-13",MCDM_Settings!$F$7,MCDM_Settings!$D$7)=0,"n.a.",5*COUNTIF(P11:R11,"Y")/IF($D11="Unlabeled-13",MCDM_Settings!$F$7,MCDM_Settings!$D$7))</f>
        <v>0</v>
      </c>
      <c r="AG11" s="12">
        <f>IF(IF($D11="Unlabeled-13",MCDM_Settings!$F$7,MCDM_Settings!$D$7)=0,"n.a.",5*(COUNTIF(P11:R11,"Y")+COUNTIF(P11:R11,"U")+COUNTIF(P11:R11,"X"))/IF($D11="Unlabeled-13",MCDM_Settings!$F$7,MCDM_Settings!$D$7))</f>
        <v>5</v>
      </c>
      <c r="AH11" s="13">
        <f>IF(IF($D11="Unlabeled-13",MCDM_Settings!$F$7,MCDM_Settings!$D$7)=0,"n.a.",(COUNTIF(P11:R11,"Y")+COUNTIF(P11:R11,"N"))/IF($D11="Unlabeled-13",MCDM_Settings!$F$7,MCDM_Settings!$D$7))</f>
        <v>0</v>
      </c>
      <c r="AI11" s="12">
        <f>IF(IF($D11="Unlabeled-13",MCDM_Settings!$F$8,MCDM_Settings!$D$8)=0,"n.a.",5*COUNTIF(S11:U11,"Y")/IF($D11="Unlabeled-13",MCDM_Settings!$F$8,MCDM_Settings!$D$8))</f>
        <v>1.6666666666666667</v>
      </c>
      <c r="AJ11" s="12">
        <f>IF(IF($D11="Unlabeled-13",MCDM_Settings!$F$8,MCDM_Settings!$D$8)=0,"n.a.",5*(COUNTIF(S11:U11,"Y")+COUNTIF(S11:U11,"U")+COUNTIF(S11:U11,"X"))/IF($D11="Unlabeled-13",MCDM_Settings!$F$8,MCDM_Settings!$D$8))</f>
        <v>5</v>
      </c>
      <c r="AK11" s="13">
        <f>IF(IF($D11="Unlabeled-13",MCDM_Settings!$F$8,MCDM_Settings!$D$8)=0,"n.a.",(COUNTIF(S11:U11,"Y")+COUNTIF(S11:U11,"N"))/IF($D11="Unlabeled-13",MCDM_Settings!$F$8,MCDM_Settings!$D$8))</f>
        <v>0.33333333333333331</v>
      </c>
      <c r="AL11" s="12">
        <f>IF(IF($D11="Unlabeled-13",MCDM_Settings!$F$9,MCDM_Settings!$D$9)=0,"n.a.",5*COUNTIF(V11:W11,"Y")/IF($D11="Unlabeled-13",MCDM_Settings!$F$9,MCDM_Settings!$D$9))</f>
        <v>2.5</v>
      </c>
      <c r="AM11" s="12">
        <f>IF(IF($D11="Unlabeled-13",MCDM_Settings!$F$9,MCDM_Settings!$D$9)=0,"n.a.",5*(COUNTIF(V11:W11,"Y")+COUNTIF(V11:W11,"U")+COUNTIF(V11:W11,"X"))/IF($D11="Unlabeled-13",MCDM_Settings!$F$9,MCDM_Settings!$D$9))</f>
        <v>5</v>
      </c>
      <c r="AN11" s="13">
        <f>IF(IF($D11="Unlabeled-13",MCDM_Settings!$F$9,MCDM_Settings!$D$9)=0,"n.a.",(COUNTIF(V11:W11,"Y")+COUNTIF(V11:W11,"N"))/IF($D11="Unlabeled-13",MCDM_Settings!$F$9,MCDM_Settings!$D$9))</f>
        <v>0.5</v>
      </c>
      <c r="AO11" s="12">
        <f>IF(IF($D11="Unlabeled-13",MCDM_Settings!$F$10,MCDM_Settings!$D$10)=0,"n.a.",5*COUNTIF(X11:Y11,"Y")/IF($D11="Unlabeled-13",MCDM_Settings!$F$10,MCDM_Settings!$D$10))</f>
        <v>2.5</v>
      </c>
      <c r="AP11" s="12">
        <f>IF(IF($D11="Unlabeled-13",MCDM_Settings!$F$10,MCDM_Settings!$D$10)=0,"n.a.",5*(COUNTIF(X11:Y11,"Y")+COUNTIF(X11:Y11,"U")+COUNTIF(X11:Y11,"X"))/IF($D11="Unlabeled-13",MCDM_Settings!$F$10,MCDM_Settings!$D$10))</f>
        <v>5</v>
      </c>
      <c r="AQ11" s="13">
        <f>IF(IF($D11="Unlabeled-13",MCDM_Settings!$F$10,MCDM_Settings!$D$10)=0,"n.a.",(COUNTIF(X11:Y11,"Y")+COUNTIF(X11:Y11,"N"))/IF($D11="Unlabeled-13",MCDM_Settings!$F$10,MCDM_Settings!$D$10))</f>
        <v>0.5</v>
      </c>
      <c r="AR11" s="12">
        <f>IF(IF($D11="Unlabeled-13",MCDM_Settings!$F$11,MCDM_Settings!$D$11)=0,"n.a.",5*COUNTIF(Z11:AB11,"Y")/IF($D11="Unlabeled-13",MCDM_Settings!$F$11,MCDM_Settings!$D$11))</f>
        <v>5</v>
      </c>
      <c r="AS11" s="12">
        <f>IF(IF($D11="Unlabeled-13",MCDM_Settings!$F$11,MCDM_Settings!$D$11)=0,"n.a.",5*(COUNTIF(Z11:AB11,"Y")+COUNTIF(Z11:AB11,"U")+COUNTIF(Z11:AB11,"X"))/IF($D11="Unlabeled-13",MCDM_Settings!$F$11,MCDM_Settings!$D$11))</f>
        <v>5</v>
      </c>
      <c r="AT11" s="13">
        <f>IF(IF($D11="Unlabeled-13",MCDM_Settings!$F$11,MCDM_Settings!$D$11)=0,"n.a.",(COUNTIF(Z11:AB11,"Y")+COUNTIF(Z11:AB11,"N"))/IF($D11="Unlabeled-13",MCDM_Settings!$F$11,MCDM_Settings!$D$11))</f>
        <v>1</v>
      </c>
      <c r="AU11" s="5" t="str">
        <f>IF(AND(INDEX(Manual_Review!$G$6:$G$238,MATCH(A11,Manual_Review!$A$6:$A$238,0))&lt;&gt;"",ISNUMBER(INDEX(Manual_Review!$H$6:$H$238,MATCH(A11,Manual_Review!$A$6:$A$238,0))),INDEX(Manual_Review!$H$6:$H$238,MATCH(A11,Manual_Review!$A$6:$A$238,0))&gt;0,INDEX(Manual_Review!$I$6:$I$238,MATCH(A11,Manual_Review!$A$6:$A$238,0))="Confirmed",INDEX(Manual_Review!$AF$6:$AF$238,MATCH(A11,Manual_Review!$A$6:$A$238,0))&lt;&gt;""),IF(INDEX(Manual_Review!$AA$6:$AA$238,MATCH(A11,Manual_Review!$A$6:$A$238,0))="Pass","Pass",IF(INDEX(Manual_Review!$AA$6:$AA$238,MATCH(A11,Manual_Review!$A$6:$A$238,0))="Fail","Fail","Pending")),"Pending human identity confirmation")</f>
        <v>Pending human identity confirmation</v>
      </c>
      <c r="AV11" s="5" t="str">
        <f>IF(AND(AND(INDEX(Manual_Review!$G$6:$G$238,MATCH(A11,Manual_Review!$A$6:$A$238,0))&lt;&gt;"",ISNUMBER(INDEX(Manual_Review!$H$6:$H$238,MATCH(A11,Manual_Review!$A$6:$A$238,0))),INDEX(Manual_Review!$H$6:$H$238,MATCH(A11,Manual_Review!$A$6:$A$238,0))&gt;0,INDEX(Manual_Review!$I$6:$I$238,MATCH(A11,Manual_Review!$A$6:$A$238,0))="Confirmed",INDEX(Manual_Review!$AF$6:$AF$238,MATCH(A11,Manual_Review!$A$6:$A$238,0))&lt;&gt;""),INDEX(Manual_Review!$AG$6:$AG$238,MATCH(A11,Manual_Review!$A$6:$A$238,0))&lt;&gt;""),IF(INDEX(Manual_Review!$AB$6:$AB$238,MATCH(A11,Manual_Review!$A$6:$A$238,0))="Pass","Pass",IF(INDEX(Manual_Review!$AB$6:$AB$238,MATCH(A11,Manual_Review!$A$6:$A$238,0))="Fail","Fail","Pending")),"Not assessed: define intended task")</f>
        <v>Not assessed: define intended task</v>
      </c>
      <c r="AW11" s="5" t="str">
        <f>IF(AND(AND(INDEX(Manual_Review!$G$6:$G$238,MATCH(A11,Manual_Review!$A$6:$A$238,0))&lt;&gt;"",ISNUMBER(INDEX(Manual_Review!$H$6:$H$238,MATCH(A11,Manual_Review!$A$6:$A$238,0))),INDEX(Manual_Review!$H$6:$H$238,MATCH(A11,Manual_Review!$A$6:$A$238,0))&gt;0,INDEX(Manual_Review!$I$6:$I$238,MATCH(A11,Manual_Review!$A$6:$A$238,0))="Confirmed",INDEX(Manual_Review!$AF$6:$AF$238,MATCH(A11,Manual_Review!$A$6:$A$238,0))&lt;&gt;""),INDEX(Manual_Review!$AG$6:$AG$238,MATCH(A11,Manual_Review!$A$6:$A$238,0))&lt;&gt;""),IF(OR(INDEX(Manual_Review!$AC$6:$AC$238,MATCH(A11,Manual_Review!$A$6:$A$238,0))="Fail",INDEX(Manual_Review!$AD$6:$AD$238,MATCH(A11,Manual_Review!$A$6:$A$238,0))="Fail"),"Fail: rights or retrieval",IF(AND(INDEX(Manual_Review!$AC$6:$AC$238,MATCH(A11,Manual_Review!$A$6:$A$238,0))="Pass",INDEX(Manual_Review!$AD$6:$AD$238,MATCH(A11,Manual_Review!$A$6:$A$238,0))="Pass"),"Pass","Pending rights and retrieval")),"Pending rights and retrieval")</f>
        <v>Pending rights and retrieval</v>
      </c>
      <c r="AX11" s="5" t="str">
        <f>IF(INDEX(Manual_Review!$AG$6:$AG$238,MATCH(A11,Manual_Review!$A$6:$A$238,0))="","N/A: documentation inventory",IF(AND(INDEX(Manual_Review!$G$6:$G$238,MATCH(A11,Manual_Review!$A$6:$A$238,0))&lt;&gt;"",ISNUMBER(INDEX(Manual_Review!$H$6:$H$238,MATCH(A11,Manual_Review!$A$6:$A$238,0))),INDEX(Manual_Review!$H$6:$H$238,MATCH(A11,Manual_Review!$A$6:$A$238,0))&gt;0,INDEX(Manual_Review!$I$6:$I$238,MATCH(A11,Manual_Review!$A$6:$A$238,0))="Confirmed",INDEX(Manual_Review!$AF$6:$AF$238,MATCH(A11,Manual_Review!$A$6:$A$238,0))&lt;&gt;""),IF(INDEX(Manual_Review!$AE$6:$AE$238,MATCH(A11,Manual_Review!$A$6:$A$238,0))="Pass","Pass",IF(INDEX(Manual_Review!$AE$6:$AE$238,MATCH(A11,Manual_Review!$A$6:$A$238,0))="Fail","Fail: benchmark leakage",IF(INDEX(Manual_Review!$AE$6:$AE$238,MATCH(A11,Manual_Review!$A$6:$A$238,0))="N/A","N/A: nonbenchmark task","Pending task-specific leakage check"))),"Pending task-specific leakage check"))</f>
        <v>N/A: documentation inventory</v>
      </c>
      <c r="AY11" s="5" t="str">
        <f>IF(IF(D11="Unlabeled-13",AND(ABS(MCDM_Settings!$D$14-1)&lt;0.0000001,MIN(MCDM_Settings!$E$6:$E$11)&gt;=0,MCDM_Settings!$E$7=0),AND(ABS(MCDM_Settings!$B$14-1)&lt;0.0000001,MIN(MCDM_Settings!$C$6:$C$11)&gt;=0)),"Valid","Check weights")</f>
        <v>Valid</v>
      </c>
      <c r="AZ11" s="5" t="str">
        <f>IF(AND(COUNTIF(MCDM_Checks!$B$6:$B$3733,A11)=16,COUNTIF(Manual_Review!$A$6:$A$238,A11)=1),"16 keys present","Check key count")</f>
        <v>16 keys present</v>
      </c>
    </row>
    <row r="12" spans="1:52" ht="25.5">
      <c r="A12" s="5" t="s">
        <v>25</v>
      </c>
      <c r="B12" s="5" t="s">
        <v>196</v>
      </c>
      <c r="C12" s="5">
        <v>2</v>
      </c>
      <c r="D12" s="5" t="s">
        <v>118</v>
      </c>
      <c r="E12" s="12">
        <f>IF(OR(AY12&lt;&gt;"Valid",AZ12&lt;&gt;"16 keys present"),"Review settings",20*(IF(ISNUMBER(AC12),AC12*IF($D12="Unlabeled-13",MCDM_Settings!$E$6,MCDM_Settings!$C$6),0)+IF(ISNUMBER(AF12),AF12*IF($D12="Unlabeled-13",MCDM_Settings!$E$7,MCDM_Settings!$C$7),0)+IF(ISNUMBER(AI12),AI12*IF($D12="Unlabeled-13",MCDM_Settings!$E$8,MCDM_Settings!$C$8),0)+IF(ISNUMBER(AL12),AL12*IF($D12="Unlabeled-13",MCDM_Settings!$E$9,MCDM_Settings!$C$9),0)+IF(ISNUMBER(AO12),AO12*IF($D12="Unlabeled-13",MCDM_Settings!$E$10,MCDM_Settings!$C$10),0)+IF(ISNUMBER(AR12),AR12*IF($D12="Unlabeled-13",MCDM_Settings!$E$11,MCDM_Settings!$C$11),0)))</f>
        <v>77.777777777777771</v>
      </c>
      <c r="F12" s="12">
        <f>IF(OR(AY12&lt;&gt;"Valid",AZ12&lt;&gt;"16 keys present"),"Review settings",20*(IF(ISNUMBER(AD12),AD12*IF($D12="Unlabeled-13",MCDM_Settings!$E$6,MCDM_Settings!$C$6),0)+IF(ISNUMBER(AG12),AG12*IF($D12="Unlabeled-13",MCDM_Settings!$E$7,MCDM_Settings!$C$7),0)+IF(ISNUMBER(AJ12),AJ12*IF($D12="Unlabeled-13",MCDM_Settings!$E$8,MCDM_Settings!$C$8),0)+IF(ISNUMBER(AM12),AM12*IF($D12="Unlabeled-13",MCDM_Settings!$E$9,MCDM_Settings!$C$9),0)+IF(ISNUMBER(AP12),AP12*IF($D12="Unlabeled-13",MCDM_Settings!$E$10,MCDM_Settings!$C$10),0)+IF(ISNUMBER(AS12),AS12*IF($D12="Unlabeled-13",MCDM_Settings!$E$11,MCDM_Settings!$C$11),0)))</f>
        <v>99.999999999999986</v>
      </c>
      <c r="G12" s="13">
        <f>IF(OR(AY12&lt;&gt;"Valid",AZ12&lt;&gt;"16 keys present"),"Review settings",1*(IF(ISNUMBER(AE12),AE12*IF($D12="Unlabeled-13",MCDM_Settings!$E$6,MCDM_Settings!$C$6),0)+IF(ISNUMBER(AH12),AH12*IF($D12="Unlabeled-13",MCDM_Settings!$E$7,MCDM_Settings!$C$7),0)+IF(ISNUMBER(AK12),AK12*IF($D12="Unlabeled-13",MCDM_Settings!$E$8,MCDM_Settings!$C$8),0)+IF(ISNUMBER(AN12),AN12*IF($D12="Unlabeled-13",MCDM_Settings!$E$9,MCDM_Settings!$C$9),0)+IF(ISNUMBER(AQ12),AQ12*IF($D12="Unlabeled-13",MCDM_Settings!$E$10,MCDM_Settings!$C$10),0)+IF(ISNUMBER(AT12),AT12*IF($D12="Unlabeled-13",MCDM_Settings!$E$11,MCDM_Settings!$C$11),0)))</f>
        <v>0.77777777777777768</v>
      </c>
      <c r="H12" s="5" t="str">
        <f>INDEX(Manual_Review!$AH$6:$AH$238,MATCH(A12,Manual_Review!$A$6:$A$238,0))</f>
        <v>Not started</v>
      </c>
      <c r="I12" s="5" t="s">
        <v>206</v>
      </c>
      <c r="J12" s="5" t="s">
        <v>30</v>
      </c>
      <c r="K12" s="5" t="str">
        <f>HYPERLINK("https://github.com/fyangneil/pavement-crack-detection","Dataset")</f>
        <v>Dataset</v>
      </c>
      <c r="L12" s="5" t="str">
        <f>HYPERLINK("#'Manual_Review'!A"&amp;(MATCH("DS-007",Manual_Review!$A$6:$A$238,0)+5),"Enter review")</f>
        <v>Enter review</v>
      </c>
      <c r="M12" s="5" t="str">
        <f>INDEX(MCDM_Checks!$K$6:$K$3733,MATCH(A12&amp;"|"&amp;M$5,MCDM_Checks!$A$6:$A$3733,0))</f>
        <v>Y</v>
      </c>
      <c r="N12" s="5" t="str">
        <f>INDEX(MCDM_Checks!$K$6:$K$3733,MATCH(A12&amp;"|"&amp;N$5,MCDM_Checks!$A$6:$A$3733,0))</f>
        <v>Y</v>
      </c>
      <c r="O12" s="5" t="str">
        <f>INDEX(MCDM_Checks!$K$6:$K$3733,MATCH(A12&amp;"|"&amp;O$5,MCDM_Checks!$A$6:$A$3733,0))</f>
        <v>U</v>
      </c>
      <c r="P12" s="5" t="str">
        <f>INDEX(MCDM_Checks!$K$6:$K$3733,MATCH(A12&amp;"|"&amp;P$5,MCDM_Checks!$A$6:$A$3733,0))</f>
        <v>Y</v>
      </c>
      <c r="Q12" s="5" t="str">
        <f>INDEX(MCDM_Checks!$K$6:$K$3733,MATCH(A12&amp;"|"&amp;Q$5,MCDM_Checks!$A$6:$A$3733,0))</f>
        <v>U</v>
      </c>
      <c r="R12" s="5" t="str">
        <f>INDEX(MCDM_Checks!$K$6:$K$3733,MATCH(A12&amp;"|"&amp;R$5,MCDM_Checks!$A$6:$A$3733,0))</f>
        <v>U</v>
      </c>
      <c r="S12" s="5" t="str">
        <f>INDEX(MCDM_Checks!$K$6:$K$3733,MATCH(A12&amp;"|"&amp;S$5,MCDM_Checks!$A$6:$A$3733,0))</f>
        <v>U</v>
      </c>
      <c r="T12" s="5" t="str">
        <f>INDEX(MCDM_Checks!$K$6:$K$3733,MATCH(A12&amp;"|"&amp;T$5,MCDM_Checks!$A$6:$A$3733,0))</f>
        <v>Y</v>
      </c>
      <c r="U12" s="5" t="str">
        <f>INDEX(MCDM_Checks!$K$6:$K$3733,MATCH(A12&amp;"|"&amp;U$5,MCDM_Checks!$A$6:$A$3733,0))</f>
        <v>Y</v>
      </c>
      <c r="V12" s="5" t="str">
        <f>INDEX(MCDM_Checks!$K$6:$K$3733,MATCH(A12&amp;"|"&amp;V$5,MCDM_Checks!$A$6:$A$3733,0))</f>
        <v>Y</v>
      </c>
      <c r="W12" s="5" t="str">
        <f>INDEX(MCDM_Checks!$K$6:$K$3733,MATCH(A12&amp;"|"&amp;W$5,MCDM_Checks!$A$6:$A$3733,0))</f>
        <v>Y</v>
      </c>
      <c r="X12" s="5" t="str">
        <f>INDEX(MCDM_Checks!$K$6:$K$3733,MATCH(A12&amp;"|"&amp;X$5,MCDM_Checks!$A$6:$A$3733,0))</f>
        <v>Y</v>
      </c>
      <c r="Y12" s="5" t="str">
        <f>INDEX(MCDM_Checks!$K$6:$K$3733,MATCH(A12&amp;"|"&amp;Y$5,MCDM_Checks!$A$6:$A$3733,0))</f>
        <v>Y</v>
      </c>
      <c r="Z12" s="5" t="str">
        <f>INDEX(MCDM_Checks!$K$6:$K$3733,MATCH(A12&amp;"|"&amp;Z$5,MCDM_Checks!$A$6:$A$3733,0))</f>
        <v>Y</v>
      </c>
      <c r="AA12" s="5" t="str">
        <f>INDEX(MCDM_Checks!$K$6:$K$3733,MATCH(A12&amp;"|"&amp;AA$5,MCDM_Checks!$A$6:$A$3733,0))</f>
        <v>Y</v>
      </c>
      <c r="AB12" s="5" t="str">
        <f>INDEX(MCDM_Checks!$K$6:$K$3733,MATCH(A12&amp;"|"&amp;AB$5,MCDM_Checks!$A$6:$A$3733,0))</f>
        <v>Y</v>
      </c>
      <c r="AC12" s="12">
        <f>IF(IF($D12="Unlabeled-13",MCDM_Settings!$F$6,MCDM_Settings!$D$6)=0,"n.a.",5*COUNTIF(M12:O12,"Y")/IF($D12="Unlabeled-13",MCDM_Settings!$F$6,MCDM_Settings!$D$6))</f>
        <v>3.3333333333333335</v>
      </c>
      <c r="AD12" s="12">
        <f>IF(IF($D12="Unlabeled-13",MCDM_Settings!$F$6,MCDM_Settings!$D$6)=0,"n.a.",5*(COUNTIF(M12:O12,"Y")+COUNTIF(M12:O12,"U")+COUNTIF(M12:O12,"X"))/IF($D12="Unlabeled-13",MCDM_Settings!$F$6,MCDM_Settings!$D$6))</f>
        <v>5</v>
      </c>
      <c r="AE12" s="13">
        <f>IF(IF($D12="Unlabeled-13",MCDM_Settings!$F$6,MCDM_Settings!$D$6)=0,"n.a.",(COUNTIF(M12:O12,"Y")+COUNTIF(M12:O12,"N"))/IF($D12="Unlabeled-13",MCDM_Settings!$F$6,MCDM_Settings!$D$6))</f>
        <v>0.66666666666666663</v>
      </c>
      <c r="AF12" s="12">
        <f>IF(IF($D12="Unlabeled-13",MCDM_Settings!$F$7,MCDM_Settings!$D$7)=0,"n.a.",5*COUNTIF(P12:R12,"Y")/IF($D12="Unlabeled-13",MCDM_Settings!$F$7,MCDM_Settings!$D$7))</f>
        <v>1.6666666666666667</v>
      </c>
      <c r="AG12" s="12">
        <f>IF(IF($D12="Unlabeled-13",MCDM_Settings!$F$7,MCDM_Settings!$D$7)=0,"n.a.",5*(COUNTIF(P12:R12,"Y")+COUNTIF(P12:R12,"U")+COUNTIF(P12:R12,"X"))/IF($D12="Unlabeled-13",MCDM_Settings!$F$7,MCDM_Settings!$D$7))</f>
        <v>5</v>
      </c>
      <c r="AH12" s="13">
        <f>IF(IF($D12="Unlabeled-13",MCDM_Settings!$F$7,MCDM_Settings!$D$7)=0,"n.a.",(COUNTIF(P12:R12,"Y")+COUNTIF(P12:R12,"N"))/IF($D12="Unlabeled-13",MCDM_Settings!$F$7,MCDM_Settings!$D$7))</f>
        <v>0.33333333333333331</v>
      </c>
      <c r="AI12" s="12">
        <f>IF(IF($D12="Unlabeled-13",MCDM_Settings!$F$8,MCDM_Settings!$D$8)=0,"n.a.",5*COUNTIF(S12:U12,"Y")/IF($D12="Unlabeled-13",MCDM_Settings!$F$8,MCDM_Settings!$D$8))</f>
        <v>3.3333333333333335</v>
      </c>
      <c r="AJ12" s="12">
        <f>IF(IF($D12="Unlabeled-13",MCDM_Settings!$F$8,MCDM_Settings!$D$8)=0,"n.a.",5*(COUNTIF(S12:U12,"Y")+COUNTIF(S12:U12,"U")+COUNTIF(S12:U12,"X"))/IF($D12="Unlabeled-13",MCDM_Settings!$F$8,MCDM_Settings!$D$8))</f>
        <v>5</v>
      </c>
      <c r="AK12" s="13">
        <f>IF(IF($D12="Unlabeled-13",MCDM_Settings!$F$8,MCDM_Settings!$D$8)=0,"n.a.",(COUNTIF(S12:U12,"Y")+COUNTIF(S12:U12,"N"))/IF($D12="Unlabeled-13",MCDM_Settings!$F$8,MCDM_Settings!$D$8))</f>
        <v>0.66666666666666663</v>
      </c>
      <c r="AL12" s="12">
        <f>IF(IF($D12="Unlabeled-13",MCDM_Settings!$F$9,MCDM_Settings!$D$9)=0,"n.a.",5*COUNTIF(V12:W12,"Y")/IF($D12="Unlabeled-13",MCDM_Settings!$F$9,MCDM_Settings!$D$9))</f>
        <v>5</v>
      </c>
      <c r="AM12" s="12">
        <f>IF(IF($D12="Unlabeled-13",MCDM_Settings!$F$9,MCDM_Settings!$D$9)=0,"n.a.",5*(COUNTIF(V12:W12,"Y")+COUNTIF(V12:W12,"U")+COUNTIF(V12:W12,"X"))/IF($D12="Unlabeled-13",MCDM_Settings!$F$9,MCDM_Settings!$D$9))</f>
        <v>5</v>
      </c>
      <c r="AN12" s="13">
        <f>IF(IF($D12="Unlabeled-13",MCDM_Settings!$F$9,MCDM_Settings!$D$9)=0,"n.a.",(COUNTIF(V12:W12,"Y")+COUNTIF(V12:W12,"N"))/IF($D12="Unlabeled-13",MCDM_Settings!$F$9,MCDM_Settings!$D$9))</f>
        <v>1</v>
      </c>
      <c r="AO12" s="12">
        <f>IF(IF($D12="Unlabeled-13",MCDM_Settings!$F$10,MCDM_Settings!$D$10)=0,"n.a.",5*COUNTIF(X12:Y12,"Y")/IF($D12="Unlabeled-13",MCDM_Settings!$F$10,MCDM_Settings!$D$10))</f>
        <v>5</v>
      </c>
      <c r="AP12" s="12">
        <f>IF(IF($D12="Unlabeled-13",MCDM_Settings!$F$10,MCDM_Settings!$D$10)=0,"n.a.",5*(COUNTIF(X12:Y12,"Y")+COUNTIF(X12:Y12,"U")+COUNTIF(X12:Y12,"X"))/IF($D12="Unlabeled-13",MCDM_Settings!$F$10,MCDM_Settings!$D$10))</f>
        <v>5</v>
      </c>
      <c r="AQ12" s="13">
        <f>IF(IF($D12="Unlabeled-13",MCDM_Settings!$F$10,MCDM_Settings!$D$10)=0,"n.a.",(COUNTIF(X12:Y12,"Y")+COUNTIF(X12:Y12,"N"))/IF($D12="Unlabeled-13",MCDM_Settings!$F$10,MCDM_Settings!$D$10))</f>
        <v>1</v>
      </c>
      <c r="AR12" s="12">
        <f>IF(IF($D12="Unlabeled-13",MCDM_Settings!$F$11,MCDM_Settings!$D$11)=0,"n.a.",5*COUNTIF(Z12:AB12,"Y")/IF($D12="Unlabeled-13",MCDM_Settings!$F$11,MCDM_Settings!$D$11))</f>
        <v>5</v>
      </c>
      <c r="AS12" s="12">
        <f>IF(IF($D12="Unlabeled-13",MCDM_Settings!$F$11,MCDM_Settings!$D$11)=0,"n.a.",5*(COUNTIF(Z12:AB12,"Y")+COUNTIF(Z12:AB12,"U")+COUNTIF(Z12:AB12,"X"))/IF($D12="Unlabeled-13",MCDM_Settings!$F$11,MCDM_Settings!$D$11))</f>
        <v>5</v>
      </c>
      <c r="AT12" s="13">
        <f>IF(IF($D12="Unlabeled-13",MCDM_Settings!$F$11,MCDM_Settings!$D$11)=0,"n.a.",(COUNTIF(Z12:AB12,"Y")+COUNTIF(Z12:AB12,"N"))/IF($D12="Unlabeled-13",MCDM_Settings!$F$11,MCDM_Settings!$D$11))</f>
        <v>1</v>
      </c>
      <c r="AU12" s="5" t="str">
        <f>IF(AND(INDEX(Manual_Review!$G$6:$G$238,MATCH(A12,Manual_Review!$A$6:$A$238,0))&lt;&gt;"",ISNUMBER(INDEX(Manual_Review!$H$6:$H$238,MATCH(A12,Manual_Review!$A$6:$A$238,0))),INDEX(Manual_Review!$H$6:$H$238,MATCH(A12,Manual_Review!$A$6:$A$238,0))&gt;0,INDEX(Manual_Review!$I$6:$I$238,MATCH(A12,Manual_Review!$A$6:$A$238,0))="Confirmed",INDEX(Manual_Review!$AF$6:$AF$238,MATCH(A12,Manual_Review!$A$6:$A$238,0))&lt;&gt;""),IF(INDEX(Manual_Review!$AA$6:$AA$238,MATCH(A12,Manual_Review!$A$6:$A$238,0))="Pass","Pass",IF(INDEX(Manual_Review!$AA$6:$AA$238,MATCH(A12,Manual_Review!$A$6:$A$238,0))="Fail","Fail","Pending")),"Pending human identity confirmation")</f>
        <v>Pending human identity confirmation</v>
      </c>
      <c r="AV12" s="5" t="str">
        <f>IF(AND(AND(INDEX(Manual_Review!$G$6:$G$238,MATCH(A12,Manual_Review!$A$6:$A$238,0))&lt;&gt;"",ISNUMBER(INDEX(Manual_Review!$H$6:$H$238,MATCH(A12,Manual_Review!$A$6:$A$238,0))),INDEX(Manual_Review!$H$6:$H$238,MATCH(A12,Manual_Review!$A$6:$A$238,0))&gt;0,INDEX(Manual_Review!$I$6:$I$238,MATCH(A12,Manual_Review!$A$6:$A$238,0))="Confirmed",INDEX(Manual_Review!$AF$6:$AF$238,MATCH(A12,Manual_Review!$A$6:$A$238,0))&lt;&gt;""),INDEX(Manual_Review!$AG$6:$AG$238,MATCH(A12,Manual_Review!$A$6:$A$238,0))&lt;&gt;""),IF(INDEX(Manual_Review!$AB$6:$AB$238,MATCH(A12,Manual_Review!$A$6:$A$238,0))="Pass","Pass",IF(INDEX(Manual_Review!$AB$6:$AB$238,MATCH(A12,Manual_Review!$A$6:$A$238,0))="Fail","Fail","Pending")),"Not assessed: define intended task")</f>
        <v>Not assessed: define intended task</v>
      </c>
      <c r="AW12" s="5" t="str">
        <f>IF(AND(AND(INDEX(Manual_Review!$G$6:$G$238,MATCH(A12,Manual_Review!$A$6:$A$238,0))&lt;&gt;"",ISNUMBER(INDEX(Manual_Review!$H$6:$H$238,MATCH(A12,Manual_Review!$A$6:$A$238,0))),INDEX(Manual_Review!$H$6:$H$238,MATCH(A12,Manual_Review!$A$6:$A$238,0))&gt;0,INDEX(Manual_Review!$I$6:$I$238,MATCH(A12,Manual_Review!$A$6:$A$238,0))="Confirmed",INDEX(Manual_Review!$AF$6:$AF$238,MATCH(A12,Manual_Review!$A$6:$A$238,0))&lt;&gt;""),INDEX(Manual_Review!$AG$6:$AG$238,MATCH(A12,Manual_Review!$A$6:$A$238,0))&lt;&gt;""),IF(OR(INDEX(Manual_Review!$AC$6:$AC$238,MATCH(A12,Manual_Review!$A$6:$A$238,0))="Fail",INDEX(Manual_Review!$AD$6:$AD$238,MATCH(A12,Manual_Review!$A$6:$A$238,0))="Fail"),"Fail: rights or retrieval",IF(AND(INDEX(Manual_Review!$AC$6:$AC$238,MATCH(A12,Manual_Review!$A$6:$A$238,0))="Pass",INDEX(Manual_Review!$AD$6:$AD$238,MATCH(A12,Manual_Review!$A$6:$A$238,0))="Pass"),"Pass","Pending rights and retrieval")),"Pending rights and retrieval")</f>
        <v>Pending rights and retrieval</v>
      </c>
      <c r="AX12" s="5" t="str">
        <f>IF(INDEX(Manual_Review!$AG$6:$AG$238,MATCH(A12,Manual_Review!$A$6:$A$238,0))="","N/A: documentation inventory",IF(AND(INDEX(Manual_Review!$G$6:$G$238,MATCH(A12,Manual_Review!$A$6:$A$238,0))&lt;&gt;"",ISNUMBER(INDEX(Manual_Review!$H$6:$H$238,MATCH(A12,Manual_Review!$A$6:$A$238,0))),INDEX(Manual_Review!$H$6:$H$238,MATCH(A12,Manual_Review!$A$6:$A$238,0))&gt;0,INDEX(Manual_Review!$I$6:$I$238,MATCH(A12,Manual_Review!$A$6:$A$238,0))="Confirmed",INDEX(Manual_Review!$AF$6:$AF$238,MATCH(A12,Manual_Review!$A$6:$A$238,0))&lt;&gt;""),IF(INDEX(Manual_Review!$AE$6:$AE$238,MATCH(A12,Manual_Review!$A$6:$A$238,0))="Pass","Pass",IF(INDEX(Manual_Review!$AE$6:$AE$238,MATCH(A12,Manual_Review!$A$6:$A$238,0))="Fail","Fail: benchmark leakage",IF(INDEX(Manual_Review!$AE$6:$AE$238,MATCH(A12,Manual_Review!$A$6:$A$238,0))="N/A","N/A: nonbenchmark task","Pending task-specific leakage check"))),"Pending task-specific leakage check"))</f>
        <v>N/A: documentation inventory</v>
      </c>
      <c r="AY12" s="5" t="str">
        <f>IF(IF(D12="Unlabeled-13",AND(ABS(MCDM_Settings!$D$14-1)&lt;0.0000001,MIN(MCDM_Settings!$E$6:$E$11)&gt;=0,MCDM_Settings!$E$7=0),AND(ABS(MCDM_Settings!$B$14-1)&lt;0.0000001,MIN(MCDM_Settings!$C$6:$C$11)&gt;=0)),"Valid","Check weights")</f>
        <v>Valid</v>
      </c>
      <c r="AZ12" s="5" t="str">
        <f>IF(AND(COUNTIF(MCDM_Checks!$B$6:$B$3733,A12)=16,COUNTIF(Manual_Review!$A$6:$A$238,A12)=1),"16 keys present","Check key count")</f>
        <v>16 keys present</v>
      </c>
    </row>
    <row r="13" spans="1:52">
      <c r="A13" s="5" t="s">
        <v>211</v>
      </c>
      <c r="B13" s="5" t="s">
        <v>212</v>
      </c>
      <c r="C13" s="5"/>
      <c r="D13" s="5" t="s">
        <v>118</v>
      </c>
      <c r="E13" s="12">
        <f>IF(OR(AY13&lt;&gt;"Valid",AZ13&lt;&gt;"16 keys present"),"Review settings",20*(IF(ISNUMBER(AC13),AC13*IF($D13="Unlabeled-13",MCDM_Settings!$E$6,MCDM_Settings!$C$6),0)+IF(ISNUMBER(AF13),AF13*IF($D13="Unlabeled-13",MCDM_Settings!$E$7,MCDM_Settings!$C$7),0)+IF(ISNUMBER(AI13),AI13*IF($D13="Unlabeled-13",MCDM_Settings!$E$8,MCDM_Settings!$C$8),0)+IF(ISNUMBER(AL13),AL13*IF($D13="Unlabeled-13",MCDM_Settings!$E$9,MCDM_Settings!$C$9),0)+IF(ISNUMBER(AO13),AO13*IF($D13="Unlabeled-13",MCDM_Settings!$E$10,MCDM_Settings!$C$10),0)+IF(ISNUMBER(AR13),AR13*IF($D13="Unlabeled-13",MCDM_Settings!$E$11,MCDM_Settings!$C$11),0)))</f>
        <v>69.444444444444443</v>
      </c>
      <c r="F13" s="12">
        <f>IF(OR(AY13&lt;&gt;"Valid",AZ13&lt;&gt;"16 keys present"),"Review settings",20*(IF(ISNUMBER(AD13),AD13*IF($D13="Unlabeled-13",MCDM_Settings!$E$6,MCDM_Settings!$C$6),0)+IF(ISNUMBER(AG13),AG13*IF($D13="Unlabeled-13",MCDM_Settings!$E$7,MCDM_Settings!$C$7),0)+IF(ISNUMBER(AJ13),AJ13*IF($D13="Unlabeled-13",MCDM_Settings!$E$8,MCDM_Settings!$C$8),0)+IF(ISNUMBER(AM13),AM13*IF($D13="Unlabeled-13",MCDM_Settings!$E$9,MCDM_Settings!$C$9),0)+IF(ISNUMBER(AP13),AP13*IF($D13="Unlabeled-13",MCDM_Settings!$E$10,MCDM_Settings!$C$10),0)+IF(ISNUMBER(AS13),AS13*IF($D13="Unlabeled-13",MCDM_Settings!$E$11,MCDM_Settings!$C$11),0)))</f>
        <v>99.999999999999986</v>
      </c>
      <c r="G13" s="13">
        <f>IF(OR(AY13&lt;&gt;"Valid",AZ13&lt;&gt;"16 keys present"),"Review settings",1*(IF(ISNUMBER(AE13),AE13*IF($D13="Unlabeled-13",MCDM_Settings!$E$6,MCDM_Settings!$C$6),0)+IF(ISNUMBER(AH13),AH13*IF($D13="Unlabeled-13",MCDM_Settings!$E$7,MCDM_Settings!$C$7),0)+IF(ISNUMBER(AK13),AK13*IF($D13="Unlabeled-13",MCDM_Settings!$E$8,MCDM_Settings!$C$8),0)+IF(ISNUMBER(AN13),AN13*IF($D13="Unlabeled-13",MCDM_Settings!$E$9,MCDM_Settings!$C$9),0)+IF(ISNUMBER(AQ13),AQ13*IF($D13="Unlabeled-13",MCDM_Settings!$E$10,MCDM_Settings!$C$10),0)+IF(ISNUMBER(AT13),AT13*IF($D13="Unlabeled-13",MCDM_Settings!$E$11,MCDM_Settings!$C$11),0)))</f>
        <v>0.69444444444444442</v>
      </c>
      <c r="H13" s="5" t="str">
        <f>INDEX(Manual_Review!$AH$6:$AH$238,MATCH(A13,Manual_Review!$A$6:$A$238,0))</f>
        <v>Not started</v>
      </c>
      <c r="I13" s="5" t="s">
        <v>128</v>
      </c>
      <c r="J13" s="5" t="s">
        <v>121</v>
      </c>
      <c r="K13" s="5" t="str">
        <f>HYPERLINK("https://github.com/cuilimeng/CrackForest-dataset","Dataset")</f>
        <v>Dataset</v>
      </c>
      <c r="L13" s="5" t="str">
        <f>HYPERLINK("#'Manual_Review'!A"&amp;(MATCH("DS-008",Manual_Review!$A$6:$A$238,0)+5),"Enter review")</f>
        <v>Enter review</v>
      </c>
      <c r="M13" s="5" t="str">
        <f>INDEX(MCDM_Checks!$K$6:$K$3733,MATCH(A13&amp;"|"&amp;M$5,MCDM_Checks!$A$6:$A$3733,0))</f>
        <v>Y</v>
      </c>
      <c r="N13" s="5" t="str">
        <f>INDEX(MCDM_Checks!$K$6:$K$3733,MATCH(A13&amp;"|"&amp;N$5,MCDM_Checks!$A$6:$A$3733,0))</f>
        <v>Y</v>
      </c>
      <c r="O13" s="5" t="str">
        <f>INDEX(MCDM_Checks!$K$6:$K$3733,MATCH(A13&amp;"|"&amp;O$5,MCDM_Checks!$A$6:$A$3733,0))</f>
        <v>Y</v>
      </c>
      <c r="P13" s="5" t="str">
        <f>INDEX(MCDM_Checks!$K$6:$K$3733,MATCH(A13&amp;"|"&amp;P$5,MCDM_Checks!$A$6:$A$3733,0))</f>
        <v>Y</v>
      </c>
      <c r="Q13" s="5" t="str">
        <f>INDEX(MCDM_Checks!$K$6:$K$3733,MATCH(A13&amp;"|"&amp;Q$5,MCDM_Checks!$A$6:$A$3733,0))</f>
        <v>Y</v>
      </c>
      <c r="R13" s="5" t="str">
        <f>INDEX(MCDM_Checks!$K$6:$K$3733,MATCH(A13&amp;"|"&amp;R$5,MCDM_Checks!$A$6:$A$3733,0))</f>
        <v>U</v>
      </c>
      <c r="S13" s="5" t="str">
        <f>INDEX(MCDM_Checks!$K$6:$K$3733,MATCH(A13&amp;"|"&amp;S$5,MCDM_Checks!$A$6:$A$3733,0))</f>
        <v>Y</v>
      </c>
      <c r="T13" s="5" t="str">
        <f>INDEX(MCDM_Checks!$K$6:$K$3733,MATCH(A13&amp;"|"&amp;T$5,MCDM_Checks!$A$6:$A$3733,0))</f>
        <v>Y</v>
      </c>
      <c r="U13" s="5" t="str">
        <f>INDEX(MCDM_Checks!$K$6:$K$3733,MATCH(A13&amp;"|"&amp;U$5,MCDM_Checks!$A$6:$A$3733,0))</f>
        <v>U</v>
      </c>
      <c r="V13" s="5" t="str">
        <f>INDEX(MCDM_Checks!$K$6:$K$3733,MATCH(A13&amp;"|"&amp;V$5,MCDM_Checks!$A$6:$A$3733,0))</f>
        <v>Y</v>
      </c>
      <c r="W13" s="5" t="str">
        <f>INDEX(MCDM_Checks!$K$6:$K$3733,MATCH(A13&amp;"|"&amp;W$5,MCDM_Checks!$A$6:$A$3733,0))</f>
        <v>U</v>
      </c>
      <c r="X13" s="5" t="str">
        <f>INDEX(MCDM_Checks!$K$6:$K$3733,MATCH(A13&amp;"|"&amp;X$5,MCDM_Checks!$A$6:$A$3733,0))</f>
        <v>Y</v>
      </c>
      <c r="Y13" s="5" t="str">
        <f>INDEX(MCDM_Checks!$K$6:$K$3733,MATCH(A13&amp;"|"&amp;Y$5,MCDM_Checks!$A$6:$A$3733,0))</f>
        <v>Y</v>
      </c>
      <c r="Z13" s="5" t="str">
        <f>INDEX(MCDM_Checks!$K$6:$K$3733,MATCH(A13&amp;"|"&amp;Z$5,MCDM_Checks!$A$6:$A$3733,0))</f>
        <v>Y</v>
      </c>
      <c r="AA13" s="5" t="str">
        <f>INDEX(MCDM_Checks!$K$6:$K$3733,MATCH(A13&amp;"|"&amp;AA$5,MCDM_Checks!$A$6:$A$3733,0))</f>
        <v>U</v>
      </c>
      <c r="AB13" s="5" t="str">
        <f>INDEX(MCDM_Checks!$K$6:$K$3733,MATCH(A13&amp;"|"&amp;AB$5,MCDM_Checks!$A$6:$A$3733,0))</f>
        <v>U</v>
      </c>
      <c r="AC13" s="12">
        <f>IF(IF($D13="Unlabeled-13",MCDM_Settings!$F$6,MCDM_Settings!$D$6)=0,"n.a.",5*COUNTIF(M13:O13,"Y")/IF($D13="Unlabeled-13",MCDM_Settings!$F$6,MCDM_Settings!$D$6))</f>
        <v>5</v>
      </c>
      <c r="AD13" s="12">
        <f>IF(IF($D13="Unlabeled-13",MCDM_Settings!$F$6,MCDM_Settings!$D$6)=0,"n.a.",5*(COUNTIF(M13:O13,"Y")+COUNTIF(M13:O13,"U")+COUNTIF(M13:O13,"X"))/IF($D13="Unlabeled-13",MCDM_Settings!$F$6,MCDM_Settings!$D$6))</f>
        <v>5</v>
      </c>
      <c r="AE13" s="13">
        <f>IF(IF($D13="Unlabeled-13",MCDM_Settings!$F$6,MCDM_Settings!$D$6)=0,"n.a.",(COUNTIF(M13:O13,"Y")+COUNTIF(M13:O13,"N"))/IF($D13="Unlabeled-13",MCDM_Settings!$F$6,MCDM_Settings!$D$6))</f>
        <v>1</v>
      </c>
      <c r="AF13" s="12">
        <f>IF(IF($D13="Unlabeled-13",MCDM_Settings!$F$7,MCDM_Settings!$D$7)=0,"n.a.",5*COUNTIF(P13:R13,"Y")/IF($D13="Unlabeled-13",MCDM_Settings!$F$7,MCDM_Settings!$D$7))</f>
        <v>3.3333333333333335</v>
      </c>
      <c r="AG13" s="12">
        <f>IF(IF($D13="Unlabeled-13",MCDM_Settings!$F$7,MCDM_Settings!$D$7)=0,"n.a.",5*(COUNTIF(P13:R13,"Y")+COUNTIF(P13:R13,"U")+COUNTIF(P13:R13,"X"))/IF($D13="Unlabeled-13",MCDM_Settings!$F$7,MCDM_Settings!$D$7))</f>
        <v>5</v>
      </c>
      <c r="AH13" s="13">
        <f>IF(IF($D13="Unlabeled-13",MCDM_Settings!$F$7,MCDM_Settings!$D$7)=0,"n.a.",(COUNTIF(P13:R13,"Y")+COUNTIF(P13:R13,"N"))/IF($D13="Unlabeled-13",MCDM_Settings!$F$7,MCDM_Settings!$D$7))</f>
        <v>0.66666666666666663</v>
      </c>
      <c r="AI13" s="12">
        <f>IF(IF($D13="Unlabeled-13",MCDM_Settings!$F$8,MCDM_Settings!$D$8)=0,"n.a.",5*COUNTIF(S13:U13,"Y")/IF($D13="Unlabeled-13",MCDM_Settings!$F$8,MCDM_Settings!$D$8))</f>
        <v>3.3333333333333335</v>
      </c>
      <c r="AJ13" s="12">
        <f>IF(IF($D13="Unlabeled-13",MCDM_Settings!$F$8,MCDM_Settings!$D$8)=0,"n.a.",5*(COUNTIF(S13:U13,"Y")+COUNTIF(S13:U13,"U")+COUNTIF(S13:U13,"X"))/IF($D13="Unlabeled-13",MCDM_Settings!$F$8,MCDM_Settings!$D$8))</f>
        <v>5</v>
      </c>
      <c r="AK13" s="13">
        <f>IF(IF($D13="Unlabeled-13",MCDM_Settings!$F$8,MCDM_Settings!$D$8)=0,"n.a.",(COUNTIF(S13:U13,"Y")+COUNTIF(S13:U13,"N"))/IF($D13="Unlabeled-13",MCDM_Settings!$F$8,MCDM_Settings!$D$8))</f>
        <v>0.66666666666666663</v>
      </c>
      <c r="AL13" s="12">
        <f>IF(IF($D13="Unlabeled-13",MCDM_Settings!$F$9,MCDM_Settings!$D$9)=0,"n.a.",5*COUNTIF(V13:W13,"Y")/IF($D13="Unlabeled-13",MCDM_Settings!$F$9,MCDM_Settings!$D$9))</f>
        <v>2.5</v>
      </c>
      <c r="AM13" s="12">
        <f>IF(IF($D13="Unlabeled-13",MCDM_Settings!$F$9,MCDM_Settings!$D$9)=0,"n.a.",5*(COUNTIF(V13:W13,"Y")+COUNTIF(V13:W13,"U")+COUNTIF(V13:W13,"X"))/IF($D13="Unlabeled-13",MCDM_Settings!$F$9,MCDM_Settings!$D$9))</f>
        <v>5</v>
      </c>
      <c r="AN13" s="13">
        <f>IF(IF($D13="Unlabeled-13",MCDM_Settings!$F$9,MCDM_Settings!$D$9)=0,"n.a.",(COUNTIF(V13:W13,"Y")+COUNTIF(V13:W13,"N"))/IF($D13="Unlabeled-13",MCDM_Settings!$F$9,MCDM_Settings!$D$9))</f>
        <v>0.5</v>
      </c>
      <c r="AO13" s="12">
        <f>IF(IF($D13="Unlabeled-13",MCDM_Settings!$F$10,MCDM_Settings!$D$10)=0,"n.a.",5*COUNTIF(X13:Y13,"Y")/IF($D13="Unlabeled-13",MCDM_Settings!$F$10,MCDM_Settings!$D$10))</f>
        <v>5</v>
      </c>
      <c r="AP13" s="12">
        <f>IF(IF($D13="Unlabeled-13",MCDM_Settings!$F$10,MCDM_Settings!$D$10)=0,"n.a.",5*(COUNTIF(X13:Y13,"Y")+COUNTIF(X13:Y13,"U")+COUNTIF(X13:Y13,"X"))/IF($D13="Unlabeled-13",MCDM_Settings!$F$10,MCDM_Settings!$D$10))</f>
        <v>5</v>
      </c>
      <c r="AQ13" s="13">
        <f>IF(IF($D13="Unlabeled-13",MCDM_Settings!$F$10,MCDM_Settings!$D$10)=0,"n.a.",(COUNTIF(X13:Y13,"Y")+COUNTIF(X13:Y13,"N"))/IF($D13="Unlabeled-13",MCDM_Settings!$F$10,MCDM_Settings!$D$10))</f>
        <v>1</v>
      </c>
      <c r="AR13" s="12">
        <f>IF(IF($D13="Unlabeled-13",MCDM_Settings!$F$11,MCDM_Settings!$D$11)=0,"n.a.",5*COUNTIF(Z13:AB13,"Y")/IF($D13="Unlabeled-13",MCDM_Settings!$F$11,MCDM_Settings!$D$11))</f>
        <v>1.6666666666666667</v>
      </c>
      <c r="AS13" s="12">
        <f>IF(IF($D13="Unlabeled-13",MCDM_Settings!$F$11,MCDM_Settings!$D$11)=0,"n.a.",5*(COUNTIF(Z13:AB13,"Y")+COUNTIF(Z13:AB13,"U")+COUNTIF(Z13:AB13,"X"))/IF($D13="Unlabeled-13",MCDM_Settings!$F$11,MCDM_Settings!$D$11))</f>
        <v>5</v>
      </c>
      <c r="AT13" s="13">
        <f>IF(IF($D13="Unlabeled-13",MCDM_Settings!$F$11,MCDM_Settings!$D$11)=0,"n.a.",(COUNTIF(Z13:AB13,"Y")+COUNTIF(Z13:AB13,"N"))/IF($D13="Unlabeled-13",MCDM_Settings!$F$11,MCDM_Settings!$D$11))</f>
        <v>0.33333333333333331</v>
      </c>
      <c r="AU13" s="5" t="str">
        <f>IF(AND(INDEX(Manual_Review!$G$6:$G$238,MATCH(A13,Manual_Review!$A$6:$A$238,0))&lt;&gt;"",ISNUMBER(INDEX(Manual_Review!$H$6:$H$238,MATCH(A13,Manual_Review!$A$6:$A$238,0))),INDEX(Manual_Review!$H$6:$H$238,MATCH(A13,Manual_Review!$A$6:$A$238,0))&gt;0,INDEX(Manual_Review!$I$6:$I$238,MATCH(A13,Manual_Review!$A$6:$A$238,0))="Confirmed",INDEX(Manual_Review!$AF$6:$AF$238,MATCH(A13,Manual_Review!$A$6:$A$238,0))&lt;&gt;""),IF(INDEX(Manual_Review!$AA$6:$AA$238,MATCH(A13,Manual_Review!$A$6:$A$238,0))="Pass","Pass",IF(INDEX(Manual_Review!$AA$6:$AA$238,MATCH(A13,Manual_Review!$A$6:$A$238,0))="Fail","Fail","Pending")),"Pending human identity confirmation")</f>
        <v>Pending human identity confirmation</v>
      </c>
      <c r="AV13" s="5" t="str">
        <f>IF(AND(AND(INDEX(Manual_Review!$G$6:$G$238,MATCH(A13,Manual_Review!$A$6:$A$238,0))&lt;&gt;"",ISNUMBER(INDEX(Manual_Review!$H$6:$H$238,MATCH(A13,Manual_Review!$A$6:$A$238,0))),INDEX(Manual_Review!$H$6:$H$238,MATCH(A13,Manual_Review!$A$6:$A$238,0))&gt;0,INDEX(Manual_Review!$I$6:$I$238,MATCH(A13,Manual_Review!$A$6:$A$238,0))="Confirmed",INDEX(Manual_Review!$AF$6:$AF$238,MATCH(A13,Manual_Review!$A$6:$A$238,0))&lt;&gt;""),INDEX(Manual_Review!$AG$6:$AG$238,MATCH(A13,Manual_Review!$A$6:$A$238,0))&lt;&gt;""),IF(INDEX(Manual_Review!$AB$6:$AB$238,MATCH(A13,Manual_Review!$A$6:$A$238,0))="Pass","Pass",IF(INDEX(Manual_Review!$AB$6:$AB$238,MATCH(A13,Manual_Review!$A$6:$A$238,0))="Fail","Fail","Pending")),"Not assessed: define intended task")</f>
        <v>Not assessed: define intended task</v>
      </c>
      <c r="AW13" s="5" t="str">
        <f>IF(AND(AND(INDEX(Manual_Review!$G$6:$G$238,MATCH(A13,Manual_Review!$A$6:$A$238,0))&lt;&gt;"",ISNUMBER(INDEX(Manual_Review!$H$6:$H$238,MATCH(A13,Manual_Review!$A$6:$A$238,0))),INDEX(Manual_Review!$H$6:$H$238,MATCH(A13,Manual_Review!$A$6:$A$238,0))&gt;0,INDEX(Manual_Review!$I$6:$I$238,MATCH(A13,Manual_Review!$A$6:$A$238,0))="Confirmed",INDEX(Manual_Review!$AF$6:$AF$238,MATCH(A13,Manual_Review!$A$6:$A$238,0))&lt;&gt;""),INDEX(Manual_Review!$AG$6:$AG$238,MATCH(A13,Manual_Review!$A$6:$A$238,0))&lt;&gt;""),IF(OR(INDEX(Manual_Review!$AC$6:$AC$238,MATCH(A13,Manual_Review!$A$6:$A$238,0))="Fail",INDEX(Manual_Review!$AD$6:$AD$238,MATCH(A13,Manual_Review!$A$6:$A$238,0))="Fail"),"Fail: rights or retrieval",IF(AND(INDEX(Manual_Review!$AC$6:$AC$238,MATCH(A13,Manual_Review!$A$6:$A$238,0))="Pass",INDEX(Manual_Review!$AD$6:$AD$238,MATCH(A13,Manual_Review!$A$6:$A$238,0))="Pass"),"Pass","Pending rights and retrieval")),"Pending rights and retrieval")</f>
        <v>Pending rights and retrieval</v>
      </c>
      <c r="AX13" s="5" t="str">
        <f>IF(INDEX(Manual_Review!$AG$6:$AG$238,MATCH(A13,Manual_Review!$A$6:$A$238,0))="","N/A: documentation inventory",IF(AND(INDEX(Manual_Review!$G$6:$G$238,MATCH(A13,Manual_Review!$A$6:$A$238,0))&lt;&gt;"",ISNUMBER(INDEX(Manual_Review!$H$6:$H$238,MATCH(A13,Manual_Review!$A$6:$A$238,0))),INDEX(Manual_Review!$H$6:$H$238,MATCH(A13,Manual_Review!$A$6:$A$238,0))&gt;0,INDEX(Manual_Review!$I$6:$I$238,MATCH(A13,Manual_Review!$A$6:$A$238,0))="Confirmed",INDEX(Manual_Review!$AF$6:$AF$238,MATCH(A13,Manual_Review!$A$6:$A$238,0))&lt;&gt;""),IF(INDEX(Manual_Review!$AE$6:$AE$238,MATCH(A13,Manual_Review!$A$6:$A$238,0))="Pass","Pass",IF(INDEX(Manual_Review!$AE$6:$AE$238,MATCH(A13,Manual_Review!$A$6:$A$238,0))="Fail","Fail: benchmark leakage",IF(INDEX(Manual_Review!$AE$6:$AE$238,MATCH(A13,Manual_Review!$A$6:$A$238,0))="N/A","N/A: nonbenchmark task","Pending task-specific leakage check"))),"Pending task-specific leakage check"))</f>
        <v>N/A: documentation inventory</v>
      </c>
      <c r="AY13" s="5" t="str">
        <f>IF(IF(D13="Unlabeled-13",AND(ABS(MCDM_Settings!$D$14-1)&lt;0.0000001,MIN(MCDM_Settings!$E$6:$E$11)&gt;=0,MCDM_Settings!$E$7=0),AND(ABS(MCDM_Settings!$B$14-1)&lt;0.0000001,MIN(MCDM_Settings!$C$6:$C$11)&gt;=0)),"Valid","Check weights")</f>
        <v>Valid</v>
      </c>
      <c r="AZ13" s="5" t="str">
        <f>IF(AND(COUNTIF(MCDM_Checks!$B$6:$B$3733,A13)=16,COUNTIF(Manual_Review!$A$6:$A$238,A13)=1),"16 keys present","Check key count")</f>
        <v>16 keys present</v>
      </c>
    </row>
    <row r="14" spans="1:52">
      <c r="A14" s="5" t="s">
        <v>223</v>
      </c>
      <c r="B14" s="5" t="s">
        <v>224</v>
      </c>
      <c r="C14" s="5"/>
      <c r="D14" s="5" t="s">
        <v>118</v>
      </c>
      <c r="E14" s="12">
        <f>IF(OR(AY14&lt;&gt;"Valid",AZ14&lt;&gt;"16 keys present"),"Review settings",20*(IF(ISNUMBER(AC14),AC14*IF($D14="Unlabeled-13",MCDM_Settings!$E$6,MCDM_Settings!$C$6),0)+IF(ISNUMBER(AF14),AF14*IF($D14="Unlabeled-13",MCDM_Settings!$E$7,MCDM_Settings!$C$7),0)+IF(ISNUMBER(AI14),AI14*IF($D14="Unlabeled-13",MCDM_Settings!$E$8,MCDM_Settings!$C$8),0)+IF(ISNUMBER(AL14),AL14*IF($D14="Unlabeled-13",MCDM_Settings!$E$9,MCDM_Settings!$C$9),0)+IF(ISNUMBER(AO14),AO14*IF($D14="Unlabeled-13",MCDM_Settings!$E$10,MCDM_Settings!$C$10),0)+IF(ISNUMBER(AR14),AR14*IF($D14="Unlabeled-13",MCDM_Settings!$E$11,MCDM_Settings!$C$11),0)))</f>
        <v>41.666666666666657</v>
      </c>
      <c r="F14" s="12">
        <f>IF(OR(AY14&lt;&gt;"Valid",AZ14&lt;&gt;"16 keys present"),"Review settings",20*(IF(ISNUMBER(AD14),AD14*IF($D14="Unlabeled-13",MCDM_Settings!$E$6,MCDM_Settings!$C$6),0)+IF(ISNUMBER(AG14),AG14*IF($D14="Unlabeled-13",MCDM_Settings!$E$7,MCDM_Settings!$C$7),0)+IF(ISNUMBER(AJ14),AJ14*IF($D14="Unlabeled-13",MCDM_Settings!$E$8,MCDM_Settings!$C$8),0)+IF(ISNUMBER(AM14),AM14*IF($D14="Unlabeled-13",MCDM_Settings!$E$9,MCDM_Settings!$C$9),0)+IF(ISNUMBER(AP14),AP14*IF($D14="Unlabeled-13",MCDM_Settings!$E$10,MCDM_Settings!$C$10),0)+IF(ISNUMBER(AS14),AS14*IF($D14="Unlabeled-13",MCDM_Settings!$E$11,MCDM_Settings!$C$11),0)))</f>
        <v>99.999999999999986</v>
      </c>
      <c r="G14" s="13">
        <f>IF(OR(AY14&lt;&gt;"Valid",AZ14&lt;&gt;"16 keys present"),"Review settings",1*(IF(ISNUMBER(AE14),AE14*IF($D14="Unlabeled-13",MCDM_Settings!$E$6,MCDM_Settings!$C$6),0)+IF(ISNUMBER(AH14),AH14*IF($D14="Unlabeled-13",MCDM_Settings!$E$7,MCDM_Settings!$C$7),0)+IF(ISNUMBER(AK14),AK14*IF($D14="Unlabeled-13",MCDM_Settings!$E$8,MCDM_Settings!$C$8),0)+IF(ISNUMBER(AN14),AN14*IF($D14="Unlabeled-13",MCDM_Settings!$E$9,MCDM_Settings!$C$9),0)+IF(ISNUMBER(AQ14),AQ14*IF($D14="Unlabeled-13",MCDM_Settings!$E$10,MCDM_Settings!$C$10),0)+IF(ISNUMBER(AT14),AT14*IF($D14="Unlabeled-13",MCDM_Settings!$E$11,MCDM_Settings!$C$11),0)))</f>
        <v>0.41666666666666663</v>
      </c>
      <c r="H14" s="5" t="str">
        <f>INDEX(Manual_Review!$AH$6:$AH$238,MATCH(A14,Manual_Review!$A$6:$A$238,0))</f>
        <v>Not started</v>
      </c>
      <c r="I14" s="5" t="s">
        <v>128</v>
      </c>
      <c r="J14" s="5" t="s">
        <v>224</v>
      </c>
      <c r="K14" s="5" t="str">
        <f>HYPERLINK("https://github.com/qinnzou/DeepCrack","Dataset")</f>
        <v>Dataset</v>
      </c>
      <c r="L14" s="5" t="str">
        <f>HYPERLINK("#'Manual_Review'!A"&amp;(MATCH("DS-009",Manual_Review!$A$6:$A$238,0)+5),"Enter review")</f>
        <v>Enter review</v>
      </c>
      <c r="M14" s="5" t="str">
        <f>INDEX(MCDM_Checks!$K$6:$K$3733,MATCH(A14&amp;"|"&amp;M$5,MCDM_Checks!$A$6:$A$3733,0))</f>
        <v>Y</v>
      </c>
      <c r="N14" s="5" t="str">
        <f>INDEX(MCDM_Checks!$K$6:$K$3733,MATCH(A14&amp;"|"&amp;N$5,MCDM_Checks!$A$6:$A$3733,0))</f>
        <v>Y</v>
      </c>
      <c r="O14" s="5" t="str">
        <f>INDEX(MCDM_Checks!$K$6:$K$3733,MATCH(A14&amp;"|"&amp;O$5,MCDM_Checks!$A$6:$A$3733,0))</f>
        <v>U</v>
      </c>
      <c r="P14" s="5" t="str">
        <f>INDEX(MCDM_Checks!$K$6:$K$3733,MATCH(A14&amp;"|"&amp;P$5,MCDM_Checks!$A$6:$A$3733,0))</f>
        <v>Y</v>
      </c>
      <c r="Q14" s="5" t="str">
        <f>INDEX(MCDM_Checks!$K$6:$K$3733,MATCH(A14&amp;"|"&amp;Q$5,MCDM_Checks!$A$6:$A$3733,0))</f>
        <v>Y</v>
      </c>
      <c r="R14" s="5" t="str">
        <f>INDEX(MCDM_Checks!$K$6:$K$3733,MATCH(A14&amp;"|"&amp;R$5,MCDM_Checks!$A$6:$A$3733,0))</f>
        <v>U</v>
      </c>
      <c r="S14" s="5" t="str">
        <f>INDEX(MCDM_Checks!$K$6:$K$3733,MATCH(A14&amp;"|"&amp;S$5,MCDM_Checks!$A$6:$A$3733,0))</f>
        <v>U</v>
      </c>
      <c r="T14" s="5" t="str">
        <f>INDEX(MCDM_Checks!$K$6:$K$3733,MATCH(A14&amp;"|"&amp;T$5,MCDM_Checks!$A$6:$A$3733,0))</f>
        <v>U</v>
      </c>
      <c r="U14" s="5" t="str">
        <f>INDEX(MCDM_Checks!$K$6:$K$3733,MATCH(A14&amp;"|"&amp;U$5,MCDM_Checks!$A$6:$A$3733,0))</f>
        <v>Y</v>
      </c>
      <c r="V14" s="5" t="str">
        <f>INDEX(MCDM_Checks!$K$6:$K$3733,MATCH(A14&amp;"|"&amp;V$5,MCDM_Checks!$A$6:$A$3733,0))</f>
        <v>Y</v>
      </c>
      <c r="W14" s="5" t="str">
        <f>INDEX(MCDM_Checks!$K$6:$K$3733,MATCH(A14&amp;"|"&amp;W$5,MCDM_Checks!$A$6:$A$3733,0))</f>
        <v>U</v>
      </c>
      <c r="X14" s="5" t="str">
        <f>INDEX(MCDM_Checks!$K$6:$K$3733,MATCH(A14&amp;"|"&amp;X$5,MCDM_Checks!$A$6:$A$3733,0))</f>
        <v>U</v>
      </c>
      <c r="Y14" s="5" t="str">
        <f>INDEX(MCDM_Checks!$K$6:$K$3733,MATCH(A14&amp;"|"&amp;Y$5,MCDM_Checks!$A$6:$A$3733,0))</f>
        <v>U</v>
      </c>
      <c r="Z14" s="5" t="str">
        <f>INDEX(MCDM_Checks!$K$6:$K$3733,MATCH(A14&amp;"|"&amp;Z$5,MCDM_Checks!$A$6:$A$3733,0))</f>
        <v>Y</v>
      </c>
      <c r="AA14" s="5" t="str">
        <f>INDEX(MCDM_Checks!$K$6:$K$3733,MATCH(A14&amp;"|"&amp;AA$5,MCDM_Checks!$A$6:$A$3733,0))</f>
        <v>U</v>
      </c>
      <c r="AB14" s="5" t="str">
        <f>INDEX(MCDM_Checks!$K$6:$K$3733,MATCH(A14&amp;"|"&amp;AB$5,MCDM_Checks!$A$6:$A$3733,0))</f>
        <v>U</v>
      </c>
      <c r="AC14" s="12">
        <f>IF(IF($D14="Unlabeled-13",MCDM_Settings!$F$6,MCDM_Settings!$D$6)=0,"n.a.",5*COUNTIF(M14:O14,"Y")/IF($D14="Unlabeled-13",MCDM_Settings!$F$6,MCDM_Settings!$D$6))</f>
        <v>3.3333333333333335</v>
      </c>
      <c r="AD14" s="12">
        <f>IF(IF($D14="Unlabeled-13",MCDM_Settings!$F$6,MCDM_Settings!$D$6)=0,"n.a.",5*(COUNTIF(M14:O14,"Y")+COUNTIF(M14:O14,"U")+COUNTIF(M14:O14,"X"))/IF($D14="Unlabeled-13",MCDM_Settings!$F$6,MCDM_Settings!$D$6))</f>
        <v>5</v>
      </c>
      <c r="AE14" s="13">
        <f>IF(IF($D14="Unlabeled-13",MCDM_Settings!$F$6,MCDM_Settings!$D$6)=0,"n.a.",(COUNTIF(M14:O14,"Y")+COUNTIF(M14:O14,"N"))/IF($D14="Unlabeled-13",MCDM_Settings!$F$6,MCDM_Settings!$D$6))</f>
        <v>0.66666666666666663</v>
      </c>
      <c r="AF14" s="12">
        <f>IF(IF($D14="Unlabeled-13",MCDM_Settings!$F$7,MCDM_Settings!$D$7)=0,"n.a.",5*COUNTIF(P14:R14,"Y")/IF($D14="Unlabeled-13",MCDM_Settings!$F$7,MCDM_Settings!$D$7))</f>
        <v>3.3333333333333335</v>
      </c>
      <c r="AG14" s="12">
        <f>IF(IF($D14="Unlabeled-13",MCDM_Settings!$F$7,MCDM_Settings!$D$7)=0,"n.a.",5*(COUNTIF(P14:R14,"Y")+COUNTIF(P14:R14,"U")+COUNTIF(P14:R14,"X"))/IF($D14="Unlabeled-13",MCDM_Settings!$F$7,MCDM_Settings!$D$7))</f>
        <v>5</v>
      </c>
      <c r="AH14" s="13">
        <f>IF(IF($D14="Unlabeled-13",MCDM_Settings!$F$7,MCDM_Settings!$D$7)=0,"n.a.",(COUNTIF(P14:R14,"Y")+COUNTIF(P14:R14,"N"))/IF($D14="Unlabeled-13",MCDM_Settings!$F$7,MCDM_Settings!$D$7))</f>
        <v>0.66666666666666663</v>
      </c>
      <c r="AI14" s="12">
        <f>IF(IF($D14="Unlabeled-13",MCDM_Settings!$F$8,MCDM_Settings!$D$8)=0,"n.a.",5*COUNTIF(S14:U14,"Y")/IF($D14="Unlabeled-13",MCDM_Settings!$F$8,MCDM_Settings!$D$8))</f>
        <v>1.6666666666666667</v>
      </c>
      <c r="AJ14" s="12">
        <f>IF(IF($D14="Unlabeled-13",MCDM_Settings!$F$8,MCDM_Settings!$D$8)=0,"n.a.",5*(COUNTIF(S14:U14,"Y")+COUNTIF(S14:U14,"U")+COUNTIF(S14:U14,"X"))/IF($D14="Unlabeled-13",MCDM_Settings!$F$8,MCDM_Settings!$D$8))</f>
        <v>5</v>
      </c>
      <c r="AK14" s="13">
        <f>IF(IF($D14="Unlabeled-13",MCDM_Settings!$F$8,MCDM_Settings!$D$8)=0,"n.a.",(COUNTIF(S14:U14,"Y")+COUNTIF(S14:U14,"N"))/IF($D14="Unlabeled-13",MCDM_Settings!$F$8,MCDM_Settings!$D$8))</f>
        <v>0.33333333333333331</v>
      </c>
      <c r="AL14" s="12">
        <f>IF(IF($D14="Unlabeled-13",MCDM_Settings!$F$9,MCDM_Settings!$D$9)=0,"n.a.",5*COUNTIF(V14:W14,"Y")/IF($D14="Unlabeled-13",MCDM_Settings!$F$9,MCDM_Settings!$D$9))</f>
        <v>2.5</v>
      </c>
      <c r="AM14" s="12">
        <f>IF(IF($D14="Unlabeled-13",MCDM_Settings!$F$9,MCDM_Settings!$D$9)=0,"n.a.",5*(COUNTIF(V14:W14,"Y")+COUNTIF(V14:W14,"U")+COUNTIF(V14:W14,"X"))/IF($D14="Unlabeled-13",MCDM_Settings!$F$9,MCDM_Settings!$D$9))</f>
        <v>5</v>
      </c>
      <c r="AN14" s="13">
        <f>IF(IF($D14="Unlabeled-13",MCDM_Settings!$F$9,MCDM_Settings!$D$9)=0,"n.a.",(COUNTIF(V14:W14,"Y")+COUNTIF(V14:W14,"N"))/IF($D14="Unlabeled-13",MCDM_Settings!$F$9,MCDM_Settings!$D$9))</f>
        <v>0.5</v>
      </c>
      <c r="AO14" s="12">
        <f>IF(IF($D14="Unlabeled-13",MCDM_Settings!$F$10,MCDM_Settings!$D$10)=0,"n.a.",5*COUNTIF(X14:Y14,"Y")/IF($D14="Unlabeled-13",MCDM_Settings!$F$10,MCDM_Settings!$D$10))</f>
        <v>0</v>
      </c>
      <c r="AP14" s="12">
        <f>IF(IF($D14="Unlabeled-13",MCDM_Settings!$F$10,MCDM_Settings!$D$10)=0,"n.a.",5*(COUNTIF(X14:Y14,"Y")+COUNTIF(X14:Y14,"U")+COUNTIF(X14:Y14,"X"))/IF($D14="Unlabeled-13",MCDM_Settings!$F$10,MCDM_Settings!$D$10))</f>
        <v>5</v>
      </c>
      <c r="AQ14" s="13">
        <f>IF(IF($D14="Unlabeled-13",MCDM_Settings!$F$10,MCDM_Settings!$D$10)=0,"n.a.",(COUNTIF(X14:Y14,"Y")+COUNTIF(X14:Y14,"N"))/IF($D14="Unlabeled-13",MCDM_Settings!$F$10,MCDM_Settings!$D$10))</f>
        <v>0</v>
      </c>
      <c r="AR14" s="12">
        <f>IF(IF($D14="Unlabeled-13",MCDM_Settings!$F$11,MCDM_Settings!$D$11)=0,"n.a.",5*COUNTIF(Z14:AB14,"Y")/IF($D14="Unlabeled-13",MCDM_Settings!$F$11,MCDM_Settings!$D$11))</f>
        <v>1.6666666666666667</v>
      </c>
      <c r="AS14" s="12">
        <f>IF(IF($D14="Unlabeled-13",MCDM_Settings!$F$11,MCDM_Settings!$D$11)=0,"n.a.",5*(COUNTIF(Z14:AB14,"Y")+COUNTIF(Z14:AB14,"U")+COUNTIF(Z14:AB14,"X"))/IF($D14="Unlabeled-13",MCDM_Settings!$F$11,MCDM_Settings!$D$11))</f>
        <v>5</v>
      </c>
      <c r="AT14" s="13">
        <f>IF(IF($D14="Unlabeled-13",MCDM_Settings!$F$11,MCDM_Settings!$D$11)=0,"n.a.",(COUNTIF(Z14:AB14,"Y")+COUNTIF(Z14:AB14,"N"))/IF($D14="Unlabeled-13",MCDM_Settings!$F$11,MCDM_Settings!$D$11))</f>
        <v>0.33333333333333331</v>
      </c>
      <c r="AU14" s="5" t="str">
        <f>IF(AND(INDEX(Manual_Review!$G$6:$G$238,MATCH(A14,Manual_Review!$A$6:$A$238,0))&lt;&gt;"",ISNUMBER(INDEX(Manual_Review!$H$6:$H$238,MATCH(A14,Manual_Review!$A$6:$A$238,0))),INDEX(Manual_Review!$H$6:$H$238,MATCH(A14,Manual_Review!$A$6:$A$238,0))&gt;0,INDEX(Manual_Review!$I$6:$I$238,MATCH(A14,Manual_Review!$A$6:$A$238,0))="Confirmed",INDEX(Manual_Review!$AF$6:$AF$238,MATCH(A14,Manual_Review!$A$6:$A$238,0))&lt;&gt;""),IF(INDEX(Manual_Review!$AA$6:$AA$238,MATCH(A14,Manual_Review!$A$6:$A$238,0))="Pass","Pass",IF(INDEX(Manual_Review!$AA$6:$AA$238,MATCH(A14,Manual_Review!$A$6:$A$238,0))="Fail","Fail","Pending")),"Pending human identity confirmation")</f>
        <v>Pending human identity confirmation</v>
      </c>
      <c r="AV14" s="5" t="str">
        <f>IF(AND(AND(INDEX(Manual_Review!$G$6:$G$238,MATCH(A14,Manual_Review!$A$6:$A$238,0))&lt;&gt;"",ISNUMBER(INDEX(Manual_Review!$H$6:$H$238,MATCH(A14,Manual_Review!$A$6:$A$238,0))),INDEX(Manual_Review!$H$6:$H$238,MATCH(A14,Manual_Review!$A$6:$A$238,0))&gt;0,INDEX(Manual_Review!$I$6:$I$238,MATCH(A14,Manual_Review!$A$6:$A$238,0))="Confirmed",INDEX(Manual_Review!$AF$6:$AF$238,MATCH(A14,Manual_Review!$A$6:$A$238,0))&lt;&gt;""),INDEX(Manual_Review!$AG$6:$AG$238,MATCH(A14,Manual_Review!$A$6:$A$238,0))&lt;&gt;""),IF(INDEX(Manual_Review!$AB$6:$AB$238,MATCH(A14,Manual_Review!$A$6:$A$238,0))="Pass","Pass",IF(INDEX(Manual_Review!$AB$6:$AB$238,MATCH(A14,Manual_Review!$A$6:$A$238,0))="Fail","Fail","Pending")),"Not assessed: define intended task")</f>
        <v>Not assessed: define intended task</v>
      </c>
      <c r="AW14" s="5" t="str">
        <f>IF(AND(AND(INDEX(Manual_Review!$G$6:$G$238,MATCH(A14,Manual_Review!$A$6:$A$238,0))&lt;&gt;"",ISNUMBER(INDEX(Manual_Review!$H$6:$H$238,MATCH(A14,Manual_Review!$A$6:$A$238,0))),INDEX(Manual_Review!$H$6:$H$238,MATCH(A14,Manual_Review!$A$6:$A$238,0))&gt;0,INDEX(Manual_Review!$I$6:$I$238,MATCH(A14,Manual_Review!$A$6:$A$238,0))="Confirmed",INDEX(Manual_Review!$AF$6:$AF$238,MATCH(A14,Manual_Review!$A$6:$A$238,0))&lt;&gt;""),INDEX(Manual_Review!$AG$6:$AG$238,MATCH(A14,Manual_Review!$A$6:$A$238,0))&lt;&gt;""),IF(OR(INDEX(Manual_Review!$AC$6:$AC$238,MATCH(A14,Manual_Review!$A$6:$A$238,0))="Fail",INDEX(Manual_Review!$AD$6:$AD$238,MATCH(A14,Manual_Review!$A$6:$A$238,0))="Fail"),"Fail: rights or retrieval",IF(AND(INDEX(Manual_Review!$AC$6:$AC$238,MATCH(A14,Manual_Review!$A$6:$A$238,0))="Pass",INDEX(Manual_Review!$AD$6:$AD$238,MATCH(A14,Manual_Review!$A$6:$A$238,0))="Pass"),"Pass","Pending rights and retrieval")),"Pending rights and retrieval")</f>
        <v>Pending rights and retrieval</v>
      </c>
      <c r="AX14" s="5" t="str">
        <f>IF(INDEX(Manual_Review!$AG$6:$AG$238,MATCH(A14,Manual_Review!$A$6:$A$238,0))="","N/A: documentation inventory",IF(AND(INDEX(Manual_Review!$G$6:$G$238,MATCH(A14,Manual_Review!$A$6:$A$238,0))&lt;&gt;"",ISNUMBER(INDEX(Manual_Review!$H$6:$H$238,MATCH(A14,Manual_Review!$A$6:$A$238,0))),INDEX(Manual_Review!$H$6:$H$238,MATCH(A14,Manual_Review!$A$6:$A$238,0))&gt;0,INDEX(Manual_Review!$I$6:$I$238,MATCH(A14,Manual_Review!$A$6:$A$238,0))="Confirmed",INDEX(Manual_Review!$AF$6:$AF$238,MATCH(A14,Manual_Review!$A$6:$A$238,0))&lt;&gt;""),IF(INDEX(Manual_Review!$AE$6:$AE$238,MATCH(A14,Manual_Review!$A$6:$A$238,0))="Pass","Pass",IF(INDEX(Manual_Review!$AE$6:$AE$238,MATCH(A14,Manual_Review!$A$6:$A$238,0))="Fail","Fail: benchmark leakage",IF(INDEX(Manual_Review!$AE$6:$AE$238,MATCH(A14,Manual_Review!$A$6:$A$238,0))="N/A","N/A: nonbenchmark task","Pending task-specific leakage check"))),"Pending task-specific leakage check"))</f>
        <v>N/A: documentation inventory</v>
      </c>
      <c r="AY14" s="5" t="str">
        <f>IF(IF(D14="Unlabeled-13",AND(ABS(MCDM_Settings!$D$14-1)&lt;0.0000001,MIN(MCDM_Settings!$E$6:$E$11)&gt;=0,MCDM_Settings!$E$7=0),AND(ABS(MCDM_Settings!$B$14-1)&lt;0.0000001,MIN(MCDM_Settings!$C$6:$C$11)&gt;=0)),"Valid","Check weights")</f>
        <v>Valid</v>
      </c>
      <c r="AZ14" s="5" t="str">
        <f>IF(AND(COUNTIF(MCDM_Checks!$B$6:$B$3733,A14)=16,COUNTIF(Manual_Review!$A$6:$A$238,A14)=1),"16 keys present","Check key count")</f>
        <v>16 keys present</v>
      </c>
    </row>
    <row r="15" spans="1:52" ht="25.5">
      <c r="A15" s="5" t="s">
        <v>234</v>
      </c>
      <c r="B15" s="5" t="s">
        <v>235</v>
      </c>
      <c r="C15" s="5"/>
      <c r="D15" s="5" t="s">
        <v>118</v>
      </c>
      <c r="E15" s="12">
        <f>IF(OR(AY15&lt;&gt;"Valid",AZ15&lt;&gt;"16 keys present"),"Review settings",20*(IF(ISNUMBER(AC15),AC15*IF($D15="Unlabeled-13",MCDM_Settings!$E$6,MCDM_Settings!$C$6),0)+IF(ISNUMBER(AF15),AF15*IF($D15="Unlabeled-13",MCDM_Settings!$E$7,MCDM_Settings!$C$7),0)+IF(ISNUMBER(AI15),AI15*IF($D15="Unlabeled-13",MCDM_Settings!$E$8,MCDM_Settings!$C$8),0)+IF(ISNUMBER(AL15),AL15*IF($D15="Unlabeled-13",MCDM_Settings!$E$9,MCDM_Settings!$C$9),0)+IF(ISNUMBER(AO15),AO15*IF($D15="Unlabeled-13",MCDM_Settings!$E$10,MCDM_Settings!$C$10),0)+IF(ISNUMBER(AR15),AR15*IF($D15="Unlabeled-13",MCDM_Settings!$E$11,MCDM_Settings!$C$11),0)))</f>
        <v>58.333333333333321</v>
      </c>
      <c r="F15" s="12">
        <f>IF(OR(AY15&lt;&gt;"Valid",AZ15&lt;&gt;"16 keys present"),"Review settings",20*(IF(ISNUMBER(AD15),AD15*IF($D15="Unlabeled-13",MCDM_Settings!$E$6,MCDM_Settings!$C$6),0)+IF(ISNUMBER(AG15),AG15*IF($D15="Unlabeled-13",MCDM_Settings!$E$7,MCDM_Settings!$C$7),0)+IF(ISNUMBER(AJ15),AJ15*IF($D15="Unlabeled-13",MCDM_Settings!$E$8,MCDM_Settings!$C$8),0)+IF(ISNUMBER(AM15),AM15*IF($D15="Unlabeled-13",MCDM_Settings!$E$9,MCDM_Settings!$C$9),0)+IF(ISNUMBER(AP15),AP15*IF($D15="Unlabeled-13",MCDM_Settings!$E$10,MCDM_Settings!$C$10),0)+IF(ISNUMBER(AS15),AS15*IF($D15="Unlabeled-13",MCDM_Settings!$E$11,MCDM_Settings!$C$11),0)))</f>
        <v>99.999999999999986</v>
      </c>
      <c r="G15" s="13">
        <f>IF(OR(AY15&lt;&gt;"Valid",AZ15&lt;&gt;"16 keys present"),"Review settings",1*(IF(ISNUMBER(AE15),AE15*IF($D15="Unlabeled-13",MCDM_Settings!$E$6,MCDM_Settings!$C$6),0)+IF(ISNUMBER(AH15),AH15*IF($D15="Unlabeled-13",MCDM_Settings!$E$7,MCDM_Settings!$C$7),0)+IF(ISNUMBER(AK15),AK15*IF($D15="Unlabeled-13",MCDM_Settings!$E$8,MCDM_Settings!$C$8),0)+IF(ISNUMBER(AN15),AN15*IF($D15="Unlabeled-13",MCDM_Settings!$E$9,MCDM_Settings!$C$9),0)+IF(ISNUMBER(AQ15),AQ15*IF($D15="Unlabeled-13",MCDM_Settings!$E$10,MCDM_Settings!$C$10),0)+IF(ISNUMBER(AT15),AT15*IF($D15="Unlabeled-13",MCDM_Settings!$E$11,MCDM_Settings!$C$11),0)))</f>
        <v>0.58333333333333337</v>
      </c>
      <c r="H15" s="5" t="str">
        <f>INDEX(Manual_Review!$AH$6:$AH$238,MATCH(A15,Manual_Review!$A$6:$A$238,0))</f>
        <v>Not started</v>
      </c>
      <c r="I15" s="5" t="s">
        <v>128</v>
      </c>
      <c r="J15" s="5" t="s">
        <v>236</v>
      </c>
      <c r="K15" s="5" t="str">
        <f>HYPERLINK("https://data.mendeley.com/datasets/t576ydh9v8/4","Dataset")</f>
        <v>Dataset</v>
      </c>
      <c r="L15" s="5" t="str">
        <f>HYPERLINK("#'Manual_Review'!A"&amp;(MATCH("DS-010",Manual_Review!$A$6:$A$238,0)+5),"Enter review")</f>
        <v>Enter review</v>
      </c>
      <c r="M15" s="5" t="str">
        <f>INDEX(MCDM_Checks!$K$6:$K$3733,MATCH(A15&amp;"|"&amp;M$5,MCDM_Checks!$A$6:$A$3733,0))</f>
        <v>Y</v>
      </c>
      <c r="N15" s="5" t="str">
        <f>INDEX(MCDM_Checks!$K$6:$K$3733,MATCH(A15&amp;"|"&amp;N$5,MCDM_Checks!$A$6:$A$3733,0))</f>
        <v>Y</v>
      </c>
      <c r="O15" s="5" t="str">
        <f>INDEX(MCDM_Checks!$K$6:$K$3733,MATCH(A15&amp;"|"&amp;O$5,MCDM_Checks!$A$6:$A$3733,0))</f>
        <v>Y</v>
      </c>
      <c r="P15" s="5" t="str">
        <f>INDEX(MCDM_Checks!$K$6:$K$3733,MATCH(A15&amp;"|"&amp;P$5,MCDM_Checks!$A$6:$A$3733,0))</f>
        <v>Y</v>
      </c>
      <c r="Q15" s="5" t="str">
        <f>INDEX(MCDM_Checks!$K$6:$K$3733,MATCH(A15&amp;"|"&amp;Q$5,MCDM_Checks!$A$6:$A$3733,0))</f>
        <v>Y</v>
      </c>
      <c r="R15" s="5" t="str">
        <f>INDEX(MCDM_Checks!$K$6:$K$3733,MATCH(A15&amp;"|"&amp;R$5,MCDM_Checks!$A$6:$A$3733,0))</f>
        <v>U</v>
      </c>
      <c r="S15" s="5" t="str">
        <f>INDEX(MCDM_Checks!$K$6:$K$3733,MATCH(A15&amp;"|"&amp;S$5,MCDM_Checks!$A$6:$A$3733,0))</f>
        <v>U</v>
      </c>
      <c r="T15" s="5" t="str">
        <f>INDEX(MCDM_Checks!$K$6:$K$3733,MATCH(A15&amp;"|"&amp;T$5,MCDM_Checks!$A$6:$A$3733,0))</f>
        <v>Y</v>
      </c>
      <c r="U15" s="5" t="str">
        <f>INDEX(MCDM_Checks!$K$6:$K$3733,MATCH(A15&amp;"|"&amp;U$5,MCDM_Checks!$A$6:$A$3733,0))</f>
        <v>U</v>
      </c>
      <c r="V15" s="5" t="str">
        <f>INDEX(MCDM_Checks!$K$6:$K$3733,MATCH(A15&amp;"|"&amp;V$5,MCDM_Checks!$A$6:$A$3733,0))</f>
        <v>Y</v>
      </c>
      <c r="W15" s="5" t="str">
        <f>INDEX(MCDM_Checks!$K$6:$K$3733,MATCH(A15&amp;"|"&amp;W$5,MCDM_Checks!$A$6:$A$3733,0))</f>
        <v>U</v>
      </c>
      <c r="X15" s="5" t="str">
        <f>INDEX(MCDM_Checks!$K$6:$K$3733,MATCH(A15&amp;"|"&amp;X$5,MCDM_Checks!$A$6:$A$3733,0))</f>
        <v>Y</v>
      </c>
      <c r="Y15" s="5" t="str">
        <f>INDEX(MCDM_Checks!$K$6:$K$3733,MATCH(A15&amp;"|"&amp;Y$5,MCDM_Checks!$A$6:$A$3733,0))</f>
        <v>Y</v>
      </c>
      <c r="Z15" s="5" t="str">
        <f>INDEX(MCDM_Checks!$K$6:$K$3733,MATCH(A15&amp;"|"&amp;Z$5,MCDM_Checks!$A$6:$A$3733,0))</f>
        <v>U</v>
      </c>
      <c r="AA15" s="5" t="str">
        <f>INDEX(MCDM_Checks!$K$6:$K$3733,MATCH(A15&amp;"|"&amp;AA$5,MCDM_Checks!$A$6:$A$3733,0))</f>
        <v>U</v>
      </c>
      <c r="AB15" s="5" t="str">
        <f>INDEX(MCDM_Checks!$K$6:$K$3733,MATCH(A15&amp;"|"&amp;AB$5,MCDM_Checks!$A$6:$A$3733,0))</f>
        <v>U</v>
      </c>
      <c r="AC15" s="12">
        <f>IF(IF($D15="Unlabeled-13",MCDM_Settings!$F$6,MCDM_Settings!$D$6)=0,"n.a.",5*COUNTIF(M15:O15,"Y")/IF($D15="Unlabeled-13",MCDM_Settings!$F$6,MCDM_Settings!$D$6))</f>
        <v>5</v>
      </c>
      <c r="AD15" s="12">
        <f>IF(IF($D15="Unlabeled-13",MCDM_Settings!$F$6,MCDM_Settings!$D$6)=0,"n.a.",5*(COUNTIF(M15:O15,"Y")+COUNTIF(M15:O15,"U")+COUNTIF(M15:O15,"X"))/IF($D15="Unlabeled-13",MCDM_Settings!$F$6,MCDM_Settings!$D$6))</f>
        <v>5</v>
      </c>
      <c r="AE15" s="13">
        <f>IF(IF($D15="Unlabeled-13",MCDM_Settings!$F$6,MCDM_Settings!$D$6)=0,"n.a.",(COUNTIF(M15:O15,"Y")+COUNTIF(M15:O15,"N"))/IF($D15="Unlabeled-13",MCDM_Settings!$F$6,MCDM_Settings!$D$6))</f>
        <v>1</v>
      </c>
      <c r="AF15" s="12">
        <f>IF(IF($D15="Unlabeled-13",MCDM_Settings!$F$7,MCDM_Settings!$D$7)=0,"n.a.",5*COUNTIF(P15:R15,"Y")/IF($D15="Unlabeled-13",MCDM_Settings!$F$7,MCDM_Settings!$D$7))</f>
        <v>3.3333333333333335</v>
      </c>
      <c r="AG15" s="12">
        <f>IF(IF($D15="Unlabeled-13",MCDM_Settings!$F$7,MCDM_Settings!$D$7)=0,"n.a.",5*(COUNTIF(P15:R15,"Y")+COUNTIF(P15:R15,"U")+COUNTIF(P15:R15,"X"))/IF($D15="Unlabeled-13",MCDM_Settings!$F$7,MCDM_Settings!$D$7))</f>
        <v>5</v>
      </c>
      <c r="AH15" s="13">
        <f>IF(IF($D15="Unlabeled-13",MCDM_Settings!$F$7,MCDM_Settings!$D$7)=0,"n.a.",(COUNTIF(P15:R15,"Y")+COUNTIF(P15:R15,"N"))/IF($D15="Unlabeled-13",MCDM_Settings!$F$7,MCDM_Settings!$D$7))</f>
        <v>0.66666666666666663</v>
      </c>
      <c r="AI15" s="12">
        <f>IF(IF($D15="Unlabeled-13",MCDM_Settings!$F$8,MCDM_Settings!$D$8)=0,"n.a.",5*COUNTIF(S15:U15,"Y")/IF($D15="Unlabeled-13",MCDM_Settings!$F$8,MCDM_Settings!$D$8))</f>
        <v>1.6666666666666667</v>
      </c>
      <c r="AJ15" s="12">
        <f>IF(IF($D15="Unlabeled-13",MCDM_Settings!$F$8,MCDM_Settings!$D$8)=0,"n.a.",5*(COUNTIF(S15:U15,"Y")+COUNTIF(S15:U15,"U")+COUNTIF(S15:U15,"X"))/IF($D15="Unlabeled-13",MCDM_Settings!$F$8,MCDM_Settings!$D$8))</f>
        <v>5</v>
      </c>
      <c r="AK15" s="13">
        <f>IF(IF($D15="Unlabeled-13",MCDM_Settings!$F$8,MCDM_Settings!$D$8)=0,"n.a.",(COUNTIF(S15:U15,"Y")+COUNTIF(S15:U15,"N"))/IF($D15="Unlabeled-13",MCDM_Settings!$F$8,MCDM_Settings!$D$8))</f>
        <v>0.33333333333333331</v>
      </c>
      <c r="AL15" s="12">
        <f>IF(IF($D15="Unlabeled-13",MCDM_Settings!$F$9,MCDM_Settings!$D$9)=0,"n.a.",5*COUNTIF(V15:W15,"Y")/IF($D15="Unlabeled-13",MCDM_Settings!$F$9,MCDM_Settings!$D$9))</f>
        <v>2.5</v>
      </c>
      <c r="AM15" s="12">
        <f>IF(IF($D15="Unlabeled-13",MCDM_Settings!$F$9,MCDM_Settings!$D$9)=0,"n.a.",5*(COUNTIF(V15:W15,"Y")+COUNTIF(V15:W15,"U")+COUNTIF(V15:W15,"X"))/IF($D15="Unlabeled-13",MCDM_Settings!$F$9,MCDM_Settings!$D$9))</f>
        <v>5</v>
      </c>
      <c r="AN15" s="13">
        <f>IF(IF($D15="Unlabeled-13",MCDM_Settings!$F$9,MCDM_Settings!$D$9)=0,"n.a.",(COUNTIF(V15:W15,"Y")+COUNTIF(V15:W15,"N"))/IF($D15="Unlabeled-13",MCDM_Settings!$F$9,MCDM_Settings!$D$9))</f>
        <v>0.5</v>
      </c>
      <c r="AO15" s="12">
        <f>IF(IF($D15="Unlabeled-13",MCDM_Settings!$F$10,MCDM_Settings!$D$10)=0,"n.a.",5*COUNTIF(X15:Y15,"Y")/IF($D15="Unlabeled-13",MCDM_Settings!$F$10,MCDM_Settings!$D$10))</f>
        <v>5</v>
      </c>
      <c r="AP15" s="12">
        <f>IF(IF($D15="Unlabeled-13",MCDM_Settings!$F$10,MCDM_Settings!$D$10)=0,"n.a.",5*(COUNTIF(X15:Y15,"Y")+COUNTIF(X15:Y15,"U")+COUNTIF(X15:Y15,"X"))/IF($D15="Unlabeled-13",MCDM_Settings!$F$10,MCDM_Settings!$D$10))</f>
        <v>5</v>
      </c>
      <c r="AQ15" s="13">
        <f>IF(IF($D15="Unlabeled-13",MCDM_Settings!$F$10,MCDM_Settings!$D$10)=0,"n.a.",(COUNTIF(X15:Y15,"Y")+COUNTIF(X15:Y15,"N"))/IF($D15="Unlabeled-13",MCDM_Settings!$F$10,MCDM_Settings!$D$10))</f>
        <v>1</v>
      </c>
      <c r="AR15" s="12">
        <f>IF(IF($D15="Unlabeled-13",MCDM_Settings!$F$11,MCDM_Settings!$D$11)=0,"n.a.",5*COUNTIF(Z15:AB15,"Y")/IF($D15="Unlabeled-13",MCDM_Settings!$F$11,MCDM_Settings!$D$11))</f>
        <v>0</v>
      </c>
      <c r="AS15" s="12">
        <f>IF(IF($D15="Unlabeled-13",MCDM_Settings!$F$11,MCDM_Settings!$D$11)=0,"n.a.",5*(COUNTIF(Z15:AB15,"Y")+COUNTIF(Z15:AB15,"U")+COUNTIF(Z15:AB15,"X"))/IF($D15="Unlabeled-13",MCDM_Settings!$F$11,MCDM_Settings!$D$11))</f>
        <v>5</v>
      </c>
      <c r="AT15" s="13">
        <f>IF(IF($D15="Unlabeled-13",MCDM_Settings!$F$11,MCDM_Settings!$D$11)=0,"n.a.",(COUNTIF(Z15:AB15,"Y")+COUNTIF(Z15:AB15,"N"))/IF($D15="Unlabeled-13",MCDM_Settings!$F$11,MCDM_Settings!$D$11))</f>
        <v>0</v>
      </c>
      <c r="AU15" s="5" t="str">
        <f>IF(AND(INDEX(Manual_Review!$G$6:$G$238,MATCH(A15,Manual_Review!$A$6:$A$238,0))&lt;&gt;"",ISNUMBER(INDEX(Manual_Review!$H$6:$H$238,MATCH(A15,Manual_Review!$A$6:$A$238,0))),INDEX(Manual_Review!$H$6:$H$238,MATCH(A15,Manual_Review!$A$6:$A$238,0))&gt;0,INDEX(Manual_Review!$I$6:$I$238,MATCH(A15,Manual_Review!$A$6:$A$238,0))="Confirmed",INDEX(Manual_Review!$AF$6:$AF$238,MATCH(A15,Manual_Review!$A$6:$A$238,0))&lt;&gt;""),IF(INDEX(Manual_Review!$AA$6:$AA$238,MATCH(A15,Manual_Review!$A$6:$A$238,0))="Pass","Pass",IF(INDEX(Manual_Review!$AA$6:$AA$238,MATCH(A15,Manual_Review!$A$6:$A$238,0))="Fail","Fail","Pending")),"Pending human identity confirmation")</f>
        <v>Pending human identity confirmation</v>
      </c>
      <c r="AV15" s="5" t="str">
        <f>IF(AND(AND(INDEX(Manual_Review!$G$6:$G$238,MATCH(A15,Manual_Review!$A$6:$A$238,0))&lt;&gt;"",ISNUMBER(INDEX(Manual_Review!$H$6:$H$238,MATCH(A15,Manual_Review!$A$6:$A$238,0))),INDEX(Manual_Review!$H$6:$H$238,MATCH(A15,Manual_Review!$A$6:$A$238,0))&gt;0,INDEX(Manual_Review!$I$6:$I$238,MATCH(A15,Manual_Review!$A$6:$A$238,0))="Confirmed",INDEX(Manual_Review!$AF$6:$AF$238,MATCH(A15,Manual_Review!$A$6:$A$238,0))&lt;&gt;""),INDEX(Manual_Review!$AG$6:$AG$238,MATCH(A15,Manual_Review!$A$6:$A$238,0))&lt;&gt;""),IF(INDEX(Manual_Review!$AB$6:$AB$238,MATCH(A15,Manual_Review!$A$6:$A$238,0))="Pass","Pass",IF(INDEX(Manual_Review!$AB$6:$AB$238,MATCH(A15,Manual_Review!$A$6:$A$238,0))="Fail","Fail","Pending")),"Not assessed: define intended task")</f>
        <v>Not assessed: define intended task</v>
      </c>
      <c r="AW15" s="5" t="str">
        <f>IF(AND(AND(INDEX(Manual_Review!$G$6:$G$238,MATCH(A15,Manual_Review!$A$6:$A$238,0))&lt;&gt;"",ISNUMBER(INDEX(Manual_Review!$H$6:$H$238,MATCH(A15,Manual_Review!$A$6:$A$238,0))),INDEX(Manual_Review!$H$6:$H$238,MATCH(A15,Manual_Review!$A$6:$A$238,0))&gt;0,INDEX(Manual_Review!$I$6:$I$238,MATCH(A15,Manual_Review!$A$6:$A$238,0))="Confirmed",INDEX(Manual_Review!$AF$6:$AF$238,MATCH(A15,Manual_Review!$A$6:$A$238,0))&lt;&gt;""),INDEX(Manual_Review!$AG$6:$AG$238,MATCH(A15,Manual_Review!$A$6:$A$238,0))&lt;&gt;""),IF(OR(INDEX(Manual_Review!$AC$6:$AC$238,MATCH(A15,Manual_Review!$A$6:$A$238,0))="Fail",INDEX(Manual_Review!$AD$6:$AD$238,MATCH(A15,Manual_Review!$A$6:$A$238,0))="Fail"),"Fail: rights or retrieval",IF(AND(INDEX(Manual_Review!$AC$6:$AC$238,MATCH(A15,Manual_Review!$A$6:$A$238,0))="Pass",INDEX(Manual_Review!$AD$6:$AD$238,MATCH(A15,Manual_Review!$A$6:$A$238,0))="Pass"),"Pass","Pending rights and retrieval")),"Pending rights and retrieval")</f>
        <v>Pending rights and retrieval</v>
      </c>
      <c r="AX15" s="5" t="str">
        <f>IF(INDEX(Manual_Review!$AG$6:$AG$238,MATCH(A15,Manual_Review!$A$6:$A$238,0))="","N/A: documentation inventory",IF(AND(INDEX(Manual_Review!$G$6:$G$238,MATCH(A15,Manual_Review!$A$6:$A$238,0))&lt;&gt;"",ISNUMBER(INDEX(Manual_Review!$H$6:$H$238,MATCH(A15,Manual_Review!$A$6:$A$238,0))),INDEX(Manual_Review!$H$6:$H$238,MATCH(A15,Manual_Review!$A$6:$A$238,0))&gt;0,INDEX(Manual_Review!$I$6:$I$238,MATCH(A15,Manual_Review!$A$6:$A$238,0))="Confirmed",INDEX(Manual_Review!$AF$6:$AF$238,MATCH(A15,Manual_Review!$A$6:$A$238,0))&lt;&gt;""),IF(INDEX(Manual_Review!$AE$6:$AE$238,MATCH(A15,Manual_Review!$A$6:$A$238,0))="Pass","Pass",IF(INDEX(Manual_Review!$AE$6:$AE$238,MATCH(A15,Manual_Review!$A$6:$A$238,0))="Fail","Fail: benchmark leakage",IF(INDEX(Manual_Review!$AE$6:$AE$238,MATCH(A15,Manual_Review!$A$6:$A$238,0))="N/A","N/A: nonbenchmark task","Pending task-specific leakage check"))),"Pending task-specific leakage check"))</f>
        <v>N/A: documentation inventory</v>
      </c>
      <c r="AY15" s="5" t="str">
        <f>IF(IF(D15="Unlabeled-13",AND(ABS(MCDM_Settings!$D$14-1)&lt;0.0000001,MIN(MCDM_Settings!$E$6:$E$11)&gt;=0,MCDM_Settings!$E$7=0),AND(ABS(MCDM_Settings!$B$14-1)&lt;0.0000001,MIN(MCDM_Settings!$C$6:$C$11)&gt;=0)),"Valid","Check weights")</f>
        <v>Valid</v>
      </c>
      <c r="AZ15" s="5" t="str">
        <f>IF(AND(COUNTIF(MCDM_Checks!$B$6:$B$3733,A15)=16,COUNTIF(Manual_Review!$A$6:$A$238,A15)=1),"16 keys present","Check key count")</f>
        <v>16 keys present</v>
      </c>
    </row>
    <row r="16" spans="1:52" ht="25.5">
      <c r="A16" s="5" t="s">
        <v>46</v>
      </c>
      <c r="B16" s="5" t="s">
        <v>47</v>
      </c>
      <c r="C16" s="5">
        <v>5</v>
      </c>
      <c r="D16" s="5" t="s">
        <v>118</v>
      </c>
      <c r="E16" s="12">
        <f>IF(OR(AY16&lt;&gt;"Valid",AZ16&lt;&gt;"16 keys present"),"Review settings",20*(IF(ISNUMBER(AC16),AC16*IF($D16="Unlabeled-13",MCDM_Settings!$E$6,MCDM_Settings!$C$6),0)+IF(ISNUMBER(AF16),AF16*IF($D16="Unlabeled-13",MCDM_Settings!$E$7,MCDM_Settings!$C$7),0)+IF(ISNUMBER(AI16),AI16*IF($D16="Unlabeled-13",MCDM_Settings!$E$8,MCDM_Settings!$C$8),0)+IF(ISNUMBER(AL16),AL16*IF($D16="Unlabeled-13",MCDM_Settings!$E$9,MCDM_Settings!$C$9),0)+IF(ISNUMBER(AO16),AO16*IF($D16="Unlabeled-13",MCDM_Settings!$E$10,MCDM_Settings!$C$10),0)+IF(ISNUMBER(AR16),AR16*IF($D16="Unlabeled-13",MCDM_Settings!$E$11,MCDM_Settings!$C$11),0)))</f>
        <v>58.333333333333321</v>
      </c>
      <c r="F16" s="12">
        <f>IF(OR(AY16&lt;&gt;"Valid",AZ16&lt;&gt;"16 keys present"),"Review settings",20*(IF(ISNUMBER(AD16),AD16*IF($D16="Unlabeled-13",MCDM_Settings!$E$6,MCDM_Settings!$C$6),0)+IF(ISNUMBER(AG16),AG16*IF($D16="Unlabeled-13",MCDM_Settings!$E$7,MCDM_Settings!$C$7),0)+IF(ISNUMBER(AJ16),AJ16*IF($D16="Unlabeled-13",MCDM_Settings!$E$8,MCDM_Settings!$C$8),0)+IF(ISNUMBER(AM16),AM16*IF($D16="Unlabeled-13",MCDM_Settings!$E$9,MCDM_Settings!$C$9),0)+IF(ISNUMBER(AP16),AP16*IF($D16="Unlabeled-13",MCDM_Settings!$E$10,MCDM_Settings!$C$10),0)+IF(ISNUMBER(AS16),AS16*IF($D16="Unlabeled-13",MCDM_Settings!$E$11,MCDM_Settings!$C$11),0)))</f>
        <v>99.999999999999986</v>
      </c>
      <c r="G16" s="13">
        <f>IF(OR(AY16&lt;&gt;"Valid",AZ16&lt;&gt;"16 keys present"),"Review settings",1*(IF(ISNUMBER(AE16),AE16*IF($D16="Unlabeled-13",MCDM_Settings!$E$6,MCDM_Settings!$C$6),0)+IF(ISNUMBER(AH16),AH16*IF($D16="Unlabeled-13",MCDM_Settings!$E$7,MCDM_Settings!$C$7),0)+IF(ISNUMBER(AK16),AK16*IF($D16="Unlabeled-13",MCDM_Settings!$E$8,MCDM_Settings!$C$8),0)+IF(ISNUMBER(AN16),AN16*IF($D16="Unlabeled-13",MCDM_Settings!$E$9,MCDM_Settings!$C$9),0)+IF(ISNUMBER(AQ16),AQ16*IF($D16="Unlabeled-13",MCDM_Settings!$E$10,MCDM_Settings!$C$10),0)+IF(ISNUMBER(AT16),AT16*IF($D16="Unlabeled-13",MCDM_Settings!$E$11,MCDM_Settings!$C$11),0)))</f>
        <v>0.58333333333333337</v>
      </c>
      <c r="H16" s="5" t="str">
        <f>INDEX(Manual_Review!$AH$6:$AH$238,MATCH(A16,Manual_Review!$A$6:$A$238,0))</f>
        <v>Not started</v>
      </c>
      <c r="I16" s="5" t="s">
        <v>206</v>
      </c>
      <c r="J16" s="5" t="s">
        <v>51</v>
      </c>
      <c r="K16" s="5" t="str">
        <f>HYPERLINK("https://dataverse.harvard.edu/dataset.xhtml?persistentId=doi:10.7910/DVN/EGIEBY&amp;version=4.0","Dataset")</f>
        <v>Dataset</v>
      </c>
      <c r="L16" s="5" t="str">
        <f>HYPERLINK("#'Manual_Review'!A"&amp;(MATCH("DS-011",Manual_Review!$A$6:$A$238,0)+5),"Enter review")</f>
        <v>Enter review</v>
      </c>
      <c r="M16" s="5" t="str">
        <f>INDEX(MCDM_Checks!$K$6:$K$3733,MATCH(A16&amp;"|"&amp;M$5,MCDM_Checks!$A$6:$A$3733,0))</f>
        <v>Y</v>
      </c>
      <c r="N16" s="5" t="str">
        <f>INDEX(MCDM_Checks!$K$6:$K$3733,MATCH(A16&amp;"|"&amp;N$5,MCDM_Checks!$A$6:$A$3733,0))</f>
        <v>Y</v>
      </c>
      <c r="O16" s="5" t="str">
        <f>INDEX(MCDM_Checks!$K$6:$K$3733,MATCH(A16&amp;"|"&amp;O$5,MCDM_Checks!$A$6:$A$3733,0))</f>
        <v>U</v>
      </c>
      <c r="P16" s="5" t="str">
        <f>INDEX(MCDM_Checks!$K$6:$K$3733,MATCH(A16&amp;"|"&amp;P$5,MCDM_Checks!$A$6:$A$3733,0))</f>
        <v>Y</v>
      </c>
      <c r="Q16" s="5" t="str">
        <f>INDEX(MCDM_Checks!$K$6:$K$3733,MATCH(A16&amp;"|"&amp;Q$5,MCDM_Checks!$A$6:$A$3733,0))</f>
        <v>U</v>
      </c>
      <c r="R16" s="5" t="str">
        <f>INDEX(MCDM_Checks!$K$6:$K$3733,MATCH(A16&amp;"|"&amp;R$5,MCDM_Checks!$A$6:$A$3733,0))</f>
        <v>U</v>
      </c>
      <c r="S16" s="5" t="str">
        <f>INDEX(MCDM_Checks!$K$6:$K$3733,MATCH(A16&amp;"|"&amp;S$5,MCDM_Checks!$A$6:$A$3733,0))</f>
        <v>U</v>
      </c>
      <c r="T16" s="5" t="str">
        <f>INDEX(MCDM_Checks!$K$6:$K$3733,MATCH(A16&amp;"|"&amp;T$5,MCDM_Checks!$A$6:$A$3733,0))</f>
        <v>Y</v>
      </c>
      <c r="U16" s="5" t="str">
        <f>INDEX(MCDM_Checks!$K$6:$K$3733,MATCH(A16&amp;"|"&amp;U$5,MCDM_Checks!$A$6:$A$3733,0))</f>
        <v>Y</v>
      </c>
      <c r="V16" s="5" t="str">
        <f>INDEX(MCDM_Checks!$K$6:$K$3733,MATCH(A16&amp;"|"&amp;V$5,MCDM_Checks!$A$6:$A$3733,0))</f>
        <v>Y</v>
      </c>
      <c r="W16" s="5" t="str">
        <f>INDEX(MCDM_Checks!$K$6:$K$3733,MATCH(A16&amp;"|"&amp;W$5,MCDM_Checks!$A$6:$A$3733,0))</f>
        <v>U</v>
      </c>
      <c r="X16" s="5" t="str">
        <f>INDEX(MCDM_Checks!$K$6:$K$3733,MATCH(A16&amp;"|"&amp;X$5,MCDM_Checks!$A$6:$A$3733,0))</f>
        <v>Y</v>
      </c>
      <c r="Y16" s="5" t="str">
        <f>INDEX(MCDM_Checks!$K$6:$K$3733,MATCH(A16&amp;"|"&amp;Y$5,MCDM_Checks!$A$6:$A$3733,0))</f>
        <v>Y</v>
      </c>
      <c r="Z16" s="5" t="str">
        <f>INDEX(MCDM_Checks!$K$6:$K$3733,MATCH(A16&amp;"|"&amp;Z$5,MCDM_Checks!$A$6:$A$3733,0))</f>
        <v>Y</v>
      </c>
      <c r="AA16" s="5" t="str">
        <f>INDEX(MCDM_Checks!$K$6:$K$3733,MATCH(A16&amp;"|"&amp;AA$5,MCDM_Checks!$A$6:$A$3733,0))</f>
        <v>U</v>
      </c>
      <c r="AB16" s="5" t="str">
        <f>INDEX(MCDM_Checks!$K$6:$K$3733,MATCH(A16&amp;"|"&amp;AB$5,MCDM_Checks!$A$6:$A$3733,0))</f>
        <v>U</v>
      </c>
      <c r="AC16" s="12">
        <f>IF(IF($D16="Unlabeled-13",MCDM_Settings!$F$6,MCDM_Settings!$D$6)=0,"n.a.",5*COUNTIF(M16:O16,"Y")/IF($D16="Unlabeled-13",MCDM_Settings!$F$6,MCDM_Settings!$D$6))</f>
        <v>3.3333333333333335</v>
      </c>
      <c r="AD16" s="12">
        <f>IF(IF($D16="Unlabeled-13",MCDM_Settings!$F$6,MCDM_Settings!$D$6)=0,"n.a.",5*(COUNTIF(M16:O16,"Y")+COUNTIF(M16:O16,"U")+COUNTIF(M16:O16,"X"))/IF($D16="Unlabeled-13",MCDM_Settings!$F$6,MCDM_Settings!$D$6))</f>
        <v>5</v>
      </c>
      <c r="AE16" s="13">
        <f>IF(IF($D16="Unlabeled-13",MCDM_Settings!$F$6,MCDM_Settings!$D$6)=0,"n.a.",(COUNTIF(M16:O16,"Y")+COUNTIF(M16:O16,"N"))/IF($D16="Unlabeled-13",MCDM_Settings!$F$6,MCDM_Settings!$D$6))</f>
        <v>0.66666666666666663</v>
      </c>
      <c r="AF16" s="12">
        <f>IF(IF($D16="Unlabeled-13",MCDM_Settings!$F$7,MCDM_Settings!$D$7)=0,"n.a.",5*COUNTIF(P16:R16,"Y")/IF($D16="Unlabeled-13",MCDM_Settings!$F$7,MCDM_Settings!$D$7))</f>
        <v>1.6666666666666667</v>
      </c>
      <c r="AG16" s="12">
        <f>IF(IF($D16="Unlabeled-13",MCDM_Settings!$F$7,MCDM_Settings!$D$7)=0,"n.a.",5*(COUNTIF(P16:R16,"Y")+COUNTIF(P16:R16,"U")+COUNTIF(P16:R16,"X"))/IF($D16="Unlabeled-13",MCDM_Settings!$F$7,MCDM_Settings!$D$7))</f>
        <v>5</v>
      </c>
      <c r="AH16" s="13">
        <f>IF(IF($D16="Unlabeled-13",MCDM_Settings!$F$7,MCDM_Settings!$D$7)=0,"n.a.",(COUNTIF(P16:R16,"Y")+COUNTIF(P16:R16,"N"))/IF($D16="Unlabeled-13",MCDM_Settings!$F$7,MCDM_Settings!$D$7))</f>
        <v>0.33333333333333331</v>
      </c>
      <c r="AI16" s="12">
        <f>IF(IF($D16="Unlabeled-13",MCDM_Settings!$F$8,MCDM_Settings!$D$8)=0,"n.a.",5*COUNTIF(S16:U16,"Y")/IF($D16="Unlabeled-13",MCDM_Settings!$F$8,MCDM_Settings!$D$8))</f>
        <v>3.3333333333333335</v>
      </c>
      <c r="AJ16" s="12">
        <f>IF(IF($D16="Unlabeled-13",MCDM_Settings!$F$8,MCDM_Settings!$D$8)=0,"n.a.",5*(COUNTIF(S16:U16,"Y")+COUNTIF(S16:U16,"U")+COUNTIF(S16:U16,"X"))/IF($D16="Unlabeled-13",MCDM_Settings!$F$8,MCDM_Settings!$D$8))</f>
        <v>5</v>
      </c>
      <c r="AK16" s="13">
        <f>IF(IF($D16="Unlabeled-13",MCDM_Settings!$F$8,MCDM_Settings!$D$8)=0,"n.a.",(COUNTIF(S16:U16,"Y")+COUNTIF(S16:U16,"N"))/IF($D16="Unlabeled-13",MCDM_Settings!$F$8,MCDM_Settings!$D$8))</f>
        <v>0.66666666666666663</v>
      </c>
      <c r="AL16" s="12">
        <f>IF(IF($D16="Unlabeled-13",MCDM_Settings!$F$9,MCDM_Settings!$D$9)=0,"n.a.",5*COUNTIF(V16:W16,"Y")/IF($D16="Unlabeled-13",MCDM_Settings!$F$9,MCDM_Settings!$D$9))</f>
        <v>2.5</v>
      </c>
      <c r="AM16" s="12">
        <f>IF(IF($D16="Unlabeled-13",MCDM_Settings!$F$9,MCDM_Settings!$D$9)=0,"n.a.",5*(COUNTIF(V16:W16,"Y")+COUNTIF(V16:W16,"U")+COUNTIF(V16:W16,"X"))/IF($D16="Unlabeled-13",MCDM_Settings!$F$9,MCDM_Settings!$D$9))</f>
        <v>5</v>
      </c>
      <c r="AN16" s="13">
        <f>IF(IF($D16="Unlabeled-13",MCDM_Settings!$F$9,MCDM_Settings!$D$9)=0,"n.a.",(COUNTIF(V16:W16,"Y")+COUNTIF(V16:W16,"N"))/IF($D16="Unlabeled-13",MCDM_Settings!$F$9,MCDM_Settings!$D$9))</f>
        <v>0.5</v>
      </c>
      <c r="AO16" s="12">
        <f>IF(IF($D16="Unlabeled-13",MCDM_Settings!$F$10,MCDM_Settings!$D$10)=0,"n.a.",5*COUNTIF(X16:Y16,"Y")/IF($D16="Unlabeled-13",MCDM_Settings!$F$10,MCDM_Settings!$D$10))</f>
        <v>5</v>
      </c>
      <c r="AP16" s="12">
        <f>IF(IF($D16="Unlabeled-13",MCDM_Settings!$F$10,MCDM_Settings!$D$10)=0,"n.a.",5*(COUNTIF(X16:Y16,"Y")+COUNTIF(X16:Y16,"U")+COUNTIF(X16:Y16,"X"))/IF($D16="Unlabeled-13",MCDM_Settings!$F$10,MCDM_Settings!$D$10))</f>
        <v>5</v>
      </c>
      <c r="AQ16" s="13">
        <f>IF(IF($D16="Unlabeled-13",MCDM_Settings!$F$10,MCDM_Settings!$D$10)=0,"n.a.",(COUNTIF(X16:Y16,"Y")+COUNTIF(X16:Y16,"N"))/IF($D16="Unlabeled-13",MCDM_Settings!$F$10,MCDM_Settings!$D$10))</f>
        <v>1</v>
      </c>
      <c r="AR16" s="12">
        <f>IF(IF($D16="Unlabeled-13",MCDM_Settings!$F$11,MCDM_Settings!$D$11)=0,"n.a.",5*COUNTIF(Z16:AB16,"Y")/IF($D16="Unlabeled-13",MCDM_Settings!$F$11,MCDM_Settings!$D$11))</f>
        <v>1.6666666666666667</v>
      </c>
      <c r="AS16" s="12">
        <f>IF(IF($D16="Unlabeled-13",MCDM_Settings!$F$11,MCDM_Settings!$D$11)=0,"n.a.",5*(COUNTIF(Z16:AB16,"Y")+COUNTIF(Z16:AB16,"U")+COUNTIF(Z16:AB16,"X"))/IF($D16="Unlabeled-13",MCDM_Settings!$F$11,MCDM_Settings!$D$11))</f>
        <v>5</v>
      </c>
      <c r="AT16" s="13">
        <f>IF(IF($D16="Unlabeled-13",MCDM_Settings!$F$11,MCDM_Settings!$D$11)=0,"n.a.",(COUNTIF(Z16:AB16,"Y")+COUNTIF(Z16:AB16,"N"))/IF($D16="Unlabeled-13",MCDM_Settings!$F$11,MCDM_Settings!$D$11))</f>
        <v>0.33333333333333331</v>
      </c>
      <c r="AU16" s="5" t="str">
        <f>IF(AND(INDEX(Manual_Review!$G$6:$G$238,MATCH(A16,Manual_Review!$A$6:$A$238,0))&lt;&gt;"",ISNUMBER(INDEX(Manual_Review!$H$6:$H$238,MATCH(A16,Manual_Review!$A$6:$A$238,0))),INDEX(Manual_Review!$H$6:$H$238,MATCH(A16,Manual_Review!$A$6:$A$238,0))&gt;0,INDEX(Manual_Review!$I$6:$I$238,MATCH(A16,Manual_Review!$A$6:$A$238,0))="Confirmed",INDEX(Manual_Review!$AF$6:$AF$238,MATCH(A16,Manual_Review!$A$6:$A$238,0))&lt;&gt;""),IF(INDEX(Manual_Review!$AA$6:$AA$238,MATCH(A16,Manual_Review!$A$6:$A$238,0))="Pass","Pass",IF(INDEX(Manual_Review!$AA$6:$AA$238,MATCH(A16,Manual_Review!$A$6:$A$238,0))="Fail","Fail","Pending")),"Pending human identity confirmation")</f>
        <v>Pending human identity confirmation</v>
      </c>
      <c r="AV16" s="5" t="str">
        <f>IF(AND(AND(INDEX(Manual_Review!$G$6:$G$238,MATCH(A16,Manual_Review!$A$6:$A$238,0))&lt;&gt;"",ISNUMBER(INDEX(Manual_Review!$H$6:$H$238,MATCH(A16,Manual_Review!$A$6:$A$238,0))),INDEX(Manual_Review!$H$6:$H$238,MATCH(A16,Manual_Review!$A$6:$A$238,0))&gt;0,INDEX(Manual_Review!$I$6:$I$238,MATCH(A16,Manual_Review!$A$6:$A$238,0))="Confirmed",INDEX(Manual_Review!$AF$6:$AF$238,MATCH(A16,Manual_Review!$A$6:$A$238,0))&lt;&gt;""),INDEX(Manual_Review!$AG$6:$AG$238,MATCH(A16,Manual_Review!$A$6:$A$238,0))&lt;&gt;""),IF(INDEX(Manual_Review!$AB$6:$AB$238,MATCH(A16,Manual_Review!$A$6:$A$238,0))="Pass","Pass",IF(INDEX(Manual_Review!$AB$6:$AB$238,MATCH(A16,Manual_Review!$A$6:$A$238,0))="Fail","Fail","Pending")),"Not assessed: define intended task")</f>
        <v>Not assessed: define intended task</v>
      </c>
      <c r="AW16" s="5" t="str">
        <f>IF(AND(AND(INDEX(Manual_Review!$G$6:$G$238,MATCH(A16,Manual_Review!$A$6:$A$238,0))&lt;&gt;"",ISNUMBER(INDEX(Manual_Review!$H$6:$H$238,MATCH(A16,Manual_Review!$A$6:$A$238,0))),INDEX(Manual_Review!$H$6:$H$238,MATCH(A16,Manual_Review!$A$6:$A$238,0))&gt;0,INDEX(Manual_Review!$I$6:$I$238,MATCH(A16,Manual_Review!$A$6:$A$238,0))="Confirmed",INDEX(Manual_Review!$AF$6:$AF$238,MATCH(A16,Manual_Review!$A$6:$A$238,0))&lt;&gt;""),INDEX(Manual_Review!$AG$6:$AG$238,MATCH(A16,Manual_Review!$A$6:$A$238,0))&lt;&gt;""),IF(OR(INDEX(Manual_Review!$AC$6:$AC$238,MATCH(A16,Manual_Review!$A$6:$A$238,0))="Fail",INDEX(Manual_Review!$AD$6:$AD$238,MATCH(A16,Manual_Review!$A$6:$A$238,0))="Fail"),"Fail: rights or retrieval",IF(AND(INDEX(Manual_Review!$AC$6:$AC$238,MATCH(A16,Manual_Review!$A$6:$A$238,0))="Pass",INDEX(Manual_Review!$AD$6:$AD$238,MATCH(A16,Manual_Review!$A$6:$A$238,0))="Pass"),"Pass","Pending rights and retrieval")),"Pending rights and retrieval")</f>
        <v>Pending rights and retrieval</v>
      </c>
      <c r="AX16" s="5" t="str">
        <f>IF(INDEX(Manual_Review!$AG$6:$AG$238,MATCH(A16,Manual_Review!$A$6:$A$238,0))="","N/A: documentation inventory",IF(AND(INDEX(Manual_Review!$G$6:$G$238,MATCH(A16,Manual_Review!$A$6:$A$238,0))&lt;&gt;"",ISNUMBER(INDEX(Manual_Review!$H$6:$H$238,MATCH(A16,Manual_Review!$A$6:$A$238,0))),INDEX(Manual_Review!$H$6:$H$238,MATCH(A16,Manual_Review!$A$6:$A$238,0))&gt;0,INDEX(Manual_Review!$I$6:$I$238,MATCH(A16,Manual_Review!$A$6:$A$238,0))="Confirmed",INDEX(Manual_Review!$AF$6:$AF$238,MATCH(A16,Manual_Review!$A$6:$A$238,0))&lt;&gt;""),IF(INDEX(Manual_Review!$AE$6:$AE$238,MATCH(A16,Manual_Review!$A$6:$A$238,0))="Pass","Pass",IF(INDEX(Manual_Review!$AE$6:$AE$238,MATCH(A16,Manual_Review!$A$6:$A$238,0))="Fail","Fail: benchmark leakage",IF(INDEX(Manual_Review!$AE$6:$AE$238,MATCH(A16,Manual_Review!$A$6:$A$238,0))="N/A","N/A: nonbenchmark task","Pending task-specific leakage check"))),"Pending task-specific leakage check"))</f>
        <v>N/A: documentation inventory</v>
      </c>
      <c r="AY16" s="5" t="str">
        <f>IF(IF(D16="Unlabeled-13",AND(ABS(MCDM_Settings!$D$14-1)&lt;0.0000001,MIN(MCDM_Settings!$E$6:$E$11)&gt;=0,MCDM_Settings!$E$7=0),AND(ABS(MCDM_Settings!$B$14-1)&lt;0.0000001,MIN(MCDM_Settings!$C$6:$C$11)&gt;=0)),"Valid","Check weights")</f>
        <v>Valid</v>
      </c>
      <c r="AZ16" s="5" t="str">
        <f>IF(AND(COUNTIF(MCDM_Checks!$B$6:$B$3733,A16)=16,COUNTIF(Manual_Review!$A$6:$A$238,A16)=1),"16 keys present","Check key count")</f>
        <v>16 keys present</v>
      </c>
    </row>
    <row r="17" spans="1:52" ht="25.5">
      <c r="A17" s="5" t="s">
        <v>256</v>
      </c>
      <c r="B17" s="5" t="s">
        <v>257</v>
      </c>
      <c r="C17" s="5"/>
      <c r="D17" s="5" t="s">
        <v>118</v>
      </c>
      <c r="E17" s="12">
        <f>IF(OR(AY17&lt;&gt;"Valid",AZ17&lt;&gt;"16 keys present"),"Review settings",20*(IF(ISNUMBER(AC17),AC17*IF($D17="Unlabeled-13",MCDM_Settings!$E$6,MCDM_Settings!$C$6),0)+IF(ISNUMBER(AF17),AF17*IF($D17="Unlabeled-13",MCDM_Settings!$E$7,MCDM_Settings!$C$7),0)+IF(ISNUMBER(AI17),AI17*IF($D17="Unlabeled-13",MCDM_Settings!$E$8,MCDM_Settings!$C$8),0)+IF(ISNUMBER(AL17),AL17*IF($D17="Unlabeled-13",MCDM_Settings!$E$9,MCDM_Settings!$C$9),0)+IF(ISNUMBER(AO17),AO17*IF($D17="Unlabeled-13",MCDM_Settings!$E$10,MCDM_Settings!$C$10),0)+IF(ISNUMBER(AR17),AR17*IF($D17="Unlabeled-13",MCDM_Settings!$E$11,MCDM_Settings!$C$11),0)))</f>
        <v>44.444444444444436</v>
      </c>
      <c r="F17" s="12">
        <f>IF(OR(AY17&lt;&gt;"Valid",AZ17&lt;&gt;"16 keys present"),"Review settings",20*(IF(ISNUMBER(AD17),AD17*IF($D17="Unlabeled-13",MCDM_Settings!$E$6,MCDM_Settings!$C$6),0)+IF(ISNUMBER(AG17),AG17*IF($D17="Unlabeled-13",MCDM_Settings!$E$7,MCDM_Settings!$C$7),0)+IF(ISNUMBER(AJ17),AJ17*IF($D17="Unlabeled-13",MCDM_Settings!$E$8,MCDM_Settings!$C$8),0)+IF(ISNUMBER(AM17),AM17*IF($D17="Unlabeled-13",MCDM_Settings!$E$9,MCDM_Settings!$C$9),0)+IF(ISNUMBER(AP17),AP17*IF($D17="Unlabeled-13",MCDM_Settings!$E$10,MCDM_Settings!$C$10),0)+IF(ISNUMBER(AS17),AS17*IF($D17="Unlabeled-13",MCDM_Settings!$E$11,MCDM_Settings!$C$11),0)))</f>
        <v>99.999999999999986</v>
      </c>
      <c r="G17" s="13">
        <f>IF(OR(AY17&lt;&gt;"Valid",AZ17&lt;&gt;"16 keys present"),"Review settings",1*(IF(ISNUMBER(AE17),AE17*IF($D17="Unlabeled-13",MCDM_Settings!$E$6,MCDM_Settings!$C$6),0)+IF(ISNUMBER(AH17),AH17*IF($D17="Unlabeled-13",MCDM_Settings!$E$7,MCDM_Settings!$C$7),0)+IF(ISNUMBER(AK17),AK17*IF($D17="Unlabeled-13",MCDM_Settings!$E$8,MCDM_Settings!$C$8),0)+IF(ISNUMBER(AN17),AN17*IF($D17="Unlabeled-13",MCDM_Settings!$E$9,MCDM_Settings!$C$9),0)+IF(ISNUMBER(AQ17),AQ17*IF($D17="Unlabeled-13",MCDM_Settings!$E$10,MCDM_Settings!$C$10),0)+IF(ISNUMBER(AT17),AT17*IF($D17="Unlabeled-13",MCDM_Settings!$E$11,MCDM_Settings!$C$11),0)))</f>
        <v>0.44444444444444442</v>
      </c>
      <c r="H17" s="5" t="str">
        <f>INDEX(Manual_Review!$AH$6:$AH$238,MATCH(A17,Manual_Review!$A$6:$A$238,0))</f>
        <v>Not started</v>
      </c>
      <c r="I17" s="5" t="s">
        <v>128</v>
      </c>
      <c r="J17" s="5" t="s">
        <v>119</v>
      </c>
      <c r="K17" s="5" t="str">
        <f>HYPERLINK("https://github.com/JZhongUTK/Pavement-crack-dataset","Dataset")</f>
        <v>Dataset</v>
      </c>
      <c r="L17" s="5" t="str">
        <f>HYPERLINK("#'Manual_Review'!A"&amp;(MATCH("DS-012",Manual_Review!$A$6:$A$238,0)+5),"Enter review")</f>
        <v>Enter review</v>
      </c>
      <c r="M17" s="5" t="str">
        <f>INDEX(MCDM_Checks!$K$6:$K$3733,MATCH(A17&amp;"|"&amp;M$5,MCDM_Checks!$A$6:$A$3733,0))</f>
        <v>Y</v>
      </c>
      <c r="N17" s="5" t="str">
        <f>INDEX(MCDM_Checks!$K$6:$K$3733,MATCH(A17&amp;"|"&amp;N$5,MCDM_Checks!$A$6:$A$3733,0))</f>
        <v>Y</v>
      </c>
      <c r="O17" s="5" t="str">
        <f>INDEX(MCDM_Checks!$K$6:$K$3733,MATCH(A17&amp;"|"&amp;O$5,MCDM_Checks!$A$6:$A$3733,0))</f>
        <v>U</v>
      </c>
      <c r="P17" s="5" t="str">
        <f>INDEX(MCDM_Checks!$K$6:$K$3733,MATCH(A17&amp;"|"&amp;P$5,MCDM_Checks!$A$6:$A$3733,0))</f>
        <v>Y</v>
      </c>
      <c r="Q17" s="5" t="str">
        <f>INDEX(MCDM_Checks!$K$6:$K$3733,MATCH(A17&amp;"|"&amp;Q$5,MCDM_Checks!$A$6:$A$3733,0))</f>
        <v>U</v>
      </c>
      <c r="R17" s="5" t="str">
        <f>INDEX(MCDM_Checks!$K$6:$K$3733,MATCH(A17&amp;"|"&amp;R$5,MCDM_Checks!$A$6:$A$3733,0))</f>
        <v>U</v>
      </c>
      <c r="S17" s="5" t="str">
        <f>INDEX(MCDM_Checks!$K$6:$K$3733,MATCH(A17&amp;"|"&amp;S$5,MCDM_Checks!$A$6:$A$3733,0))</f>
        <v>U</v>
      </c>
      <c r="T17" s="5" t="str">
        <f>INDEX(MCDM_Checks!$K$6:$K$3733,MATCH(A17&amp;"|"&amp;T$5,MCDM_Checks!$A$6:$A$3733,0))</f>
        <v>U</v>
      </c>
      <c r="U17" s="5" t="str">
        <f>INDEX(MCDM_Checks!$K$6:$K$3733,MATCH(A17&amp;"|"&amp;U$5,MCDM_Checks!$A$6:$A$3733,0))</f>
        <v>Y</v>
      </c>
      <c r="V17" s="5" t="str">
        <f>INDEX(MCDM_Checks!$K$6:$K$3733,MATCH(A17&amp;"|"&amp;V$5,MCDM_Checks!$A$6:$A$3733,0))</f>
        <v>Y</v>
      </c>
      <c r="W17" s="5" t="str">
        <f>INDEX(MCDM_Checks!$K$6:$K$3733,MATCH(A17&amp;"|"&amp;W$5,MCDM_Checks!$A$6:$A$3733,0))</f>
        <v>U</v>
      </c>
      <c r="X17" s="5" t="str">
        <f>INDEX(MCDM_Checks!$K$6:$K$3733,MATCH(A17&amp;"|"&amp;X$5,MCDM_Checks!$A$6:$A$3733,0))</f>
        <v>U</v>
      </c>
      <c r="Y17" s="5" t="str">
        <f>INDEX(MCDM_Checks!$K$6:$K$3733,MATCH(A17&amp;"|"&amp;Y$5,MCDM_Checks!$A$6:$A$3733,0))</f>
        <v>Y</v>
      </c>
      <c r="Z17" s="5" t="str">
        <f>INDEX(MCDM_Checks!$K$6:$K$3733,MATCH(A17&amp;"|"&amp;Z$5,MCDM_Checks!$A$6:$A$3733,0))</f>
        <v>Y</v>
      </c>
      <c r="AA17" s="5" t="str">
        <f>INDEX(MCDM_Checks!$K$6:$K$3733,MATCH(A17&amp;"|"&amp;AA$5,MCDM_Checks!$A$6:$A$3733,0))</f>
        <v>U</v>
      </c>
      <c r="AB17" s="5" t="str">
        <f>INDEX(MCDM_Checks!$K$6:$K$3733,MATCH(A17&amp;"|"&amp;AB$5,MCDM_Checks!$A$6:$A$3733,0))</f>
        <v>U</v>
      </c>
      <c r="AC17" s="12">
        <f>IF(IF($D17="Unlabeled-13",MCDM_Settings!$F$6,MCDM_Settings!$D$6)=0,"n.a.",5*COUNTIF(M17:O17,"Y")/IF($D17="Unlabeled-13",MCDM_Settings!$F$6,MCDM_Settings!$D$6))</f>
        <v>3.3333333333333335</v>
      </c>
      <c r="AD17" s="12">
        <f>IF(IF($D17="Unlabeled-13",MCDM_Settings!$F$6,MCDM_Settings!$D$6)=0,"n.a.",5*(COUNTIF(M17:O17,"Y")+COUNTIF(M17:O17,"U")+COUNTIF(M17:O17,"X"))/IF($D17="Unlabeled-13",MCDM_Settings!$F$6,MCDM_Settings!$D$6))</f>
        <v>5</v>
      </c>
      <c r="AE17" s="13">
        <f>IF(IF($D17="Unlabeled-13",MCDM_Settings!$F$6,MCDM_Settings!$D$6)=0,"n.a.",(COUNTIF(M17:O17,"Y")+COUNTIF(M17:O17,"N"))/IF($D17="Unlabeled-13",MCDM_Settings!$F$6,MCDM_Settings!$D$6))</f>
        <v>0.66666666666666663</v>
      </c>
      <c r="AF17" s="12">
        <f>IF(IF($D17="Unlabeled-13",MCDM_Settings!$F$7,MCDM_Settings!$D$7)=0,"n.a.",5*COUNTIF(P17:R17,"Y")/IF($D17="Unlabeled-13",MCDM_Settings!$F$7,MCDM_Settings!$D$7))</f>
        <v>1.6666666666666667</v>
      </c>
      <c r="AG17" s="12">
        <f>IF(IF($D17="Unlabeled-13",MCDM_Settings!$F$7,MCDM_Settings!$D$7)=0,"n.a.",5*(COUNTIF(P17:R17,"Y")+COUNTIF(P17:R17,"U")+COUNTIF(P17:R17,"X"))/IF($D17="Unlabeled-13",MCDM_Settings!$F$7,MCDM_Settings!$D$7))</f>
        <v>5</v>
      </c>
      <c r="AH17" s="13">
        <f>IF(IF($D17="Unlabeled-13",MCDM_Settings!$F$7,MCDM_Settings!$D$7)=0,"n.a.",(COUNTIF(P17:R17,"Y")+COUNTIF(P17:R17,"N"))/IF($D17="Unlabeled-13",MCDM_Settings!$F$7,MCDM_Settings!$D$7))</f>
        <v>0.33333333333333331</v>
      </c>
      <c r="AI17" s="12">
        <f>IF(IF($D17="Unlabeled-13",MCDM_Settings!$F$8,MCDM_Settings!$D$8)=0,"n.a.",5*COUNTIF(S17:U17,"Y")/IF($D17="Unlabeled-13",MCDM_Settings!$F$8,MCDM_Settings!$D$8))</f>
        <v>1.6666666666666667</v>
      </c>
      <c r="AJ17" s="12">
        <f>IF(IF($D17="Unlabeled-13",MCDM_Settings!$F$8,MCDM_Settings!$D$8)=0,"n.a.",5*(COUNTIF(S17:U17,"Y")+COUNTIF(S17:U17,"U")+COUNTIF(S17:U17,"X"))/IF($D17="Unlabeled-13",MCDM_Settings!$F$8,MCDM_Settings!$D$8))</f>
        <v>5</v>
      </c>
      <c r="AK17" s="13">
        <f>IF(IF($D17="Unlabeled-13",MCDM_Settings!$F$8,MCDM_Settings!$D$8)=0,"n.a.",(COUNTIF(S17:U17,"Y")+COUNTIF(S17:U17,"N"))/IF($D17="Unlabeled-13",MCDM_Settings!$F$8,MCDM_Settings!$D$8))</f>
        <v>0.33333333333333331</v>
      </c>
      <c r="AL17" s="12">
        <f>IF(IF($D17="Unlabeled-13",MCDM_Settings!$F$9,MCDM_Settings!$D$9)=0,"n.a.",5*COUNTIF(V17:W17,"Y")/IF($D17="Unlabeled-13",MCDM_Settings!$F$9,MCDM_Settings!$D$9))</f>
        <v>2.5</v>
      </c>
      <c r="AM17" s="12">
        <f>IF(IF($D17="Unlabeled-13",MCDM_Settings!$F$9,MCDM_Settings!$D$9)=0,"n.a.",5*(COUNTIF(V17:W17,"Y")+COUNTIF(V17:W17,"U")+COUNTIF(V17:W17,"X"))/IF($D17="Unlabeled-13",MCDM_Settings!$F$9,MCDM_Settings!$D$9))</f>
        <v>5</v>
      </c>
      <c r="AN17" s="13">
        <f>IF(IF($D17="Unlabeled-13",MCDM_Settings!$F$9,MCDM_Settings!$D$9)=0,"n.a.",(COUNTIF(V17:W17,"Y")+COUNTIF(V17:W17,"N"))/IF($D17="Unlabeled-13",MCDM_Settings!$F$9,MCDM_Settings!$D$9))</f>
        <v>0.5</v>
      </c>
      <c r="AO17" s="12">
        <f>IF(IF($D17="Unlabeled-13",MCDM_Settings!$F$10,MCDM_Settings!$D$10)=0,"n.a.",5*COUNTIF(X17:Y17,"Y")/IF($D17="Unlabeled-13",MCDM_Settings!$F$10,MCDM_Settings!$D$10))</f>
        <v>2.5</v>
      </c>
      <c r="AP17" s="12">
        <f>IF(IF($D17="Unlabeled-13",MCDM_Settings!$F$10,MCDM_Settings!$D$10)=0,"n.a.",5*(COUNTIF(X17:Y17,"Y")+COUNTIF(X17:Y17,"U")+COUNTIF(X17:Y17,"X"))/IF($D17="Unlabeled-13",MCDM_Settings!$F$10,MCDM_Settings!$D$10))</f>
        <v>5</v>
      </c>
      <c r="AQ17" s="13">
        <f>IF(IF($D17="Unlabeled-13",MCDM_Settings!$F$10,MCDM_Settings!$D$10)=0,"n.a.",(COUNTIF(X17:Y17,"Y")+COUNTIF(X17:Y17,"N"))/IF($D17="Unlabeled-13",MCDM_Settings!$F$10,MCDM_Settings!$D$10))</f>
        <v>0.5</v>
      </c>
      <c r="AR17" s="12">
        <f>IF(IF($D17="Unlabeled-13",MCDM_Settings!$F$11,MCDM_Settings!$D$11)=0,"n.a.",5*COUNTIF(Z17:AB17,"Y")/IF($D17="Unlabeled-13",MCDM_Settings!$F$11,MCDM_Settings!$D$11))</f>
        <v>1.6666666666666667</v>
      </c>
      <c r="AS17" s="12">
        <f>IF(IF($D17="Unlabeled-13",MCDM_Settings!$F$11,MCDM_Settings!$D$11)=0,"n.a.",5*(COUNTIF(Z17:AB17,"Y")+COUNTIF(Z17:AB17,"U")+COUNTIF(Z17:AB17,"X"))/IF($D17="Unlabeled-13",MCDM_Settings!$F$11,MCDM_Settings!$D$11))</f>
        <v>5</v>
      </c>
      <c r="AT17" s="13">
        <f>IF(IF($D17="Unlabeled-13",MCDM_Settings!$F$11,MCDM_Settings!$D$11)=0,"n.a.",(COUNTIF(Z17:AB17,"Y")+COUNTIF(Z17:AB17,"N"))/IF($D17="Unlabeled-13",MCDM_Settings!$F$11,MCDM_Settings!$D$11))</f>
        <v>0.33333333333333331</v>
      </c>
      <c r="AU17" s="5" t="str">
        <f>IF(AND(INDEX(Manual_Review!$G$6:$G$238,MATCH(A17,Manual_Review!$A$6:$A$238,0))&lt;&gt;"",ISNUMBER(INDEX(Manual_Review!$H$6:$H$238,MATCH(A17,Manual_Review!$A$6:$A$238,0))),INDEX(Manual_Review!$H$6:$H$238,MATCH(A17,Manual_Review!$A$6:$A$238,0))&gt;0,INDEX(Manual_Review!$I$6:$I$238,MATCH(A17,Manual_Review!$A$6:$A$238,0))="Confirmed",INDEX(Manual_Review!$AF$6:$AF$238,MATCH(A17,Manual_Review!$A$6:$A$238,0))&lt;&gt;""),IF(INDEX(Manual_Review!$AA$6:$AA$238,MATCH(A17,Manual_Review!$A$6:$A$238,0))="Pass","Pass",IF(INDEX(Manual_Review!$AA$6:$AA$238,MATCH(A17,Manual_Review!$A$6:$A$238,0))="Fail","Fail","Pending")),"Pending human identity confirmation")</f>
        <v>Pending human identity confirmation</v>
      </c>
      <c r="AV17" s="5" t="str">
        <f>IF(AND(AND(INDEX(Manual_Review!$G$6:$G$238,MATCH(A17,Manual_Review!$A$6:$A$238,0))&lt;&gt;"",ISNUMBER(INDEX(Manual_Review!$H$6:$H$238,MATCH(A17,Manual_Review!$A$6:$A$238,0))),INDEX(Manual_Review!$H$6:$H$238,MATCH(A17,Manual_Review!$A$6:$A$238,0))&gt;0,INDEX(Manual_Review!$I$6:$I$238,MATCH(A17,Manual_Review!$A$6:$A$238,0))="Confirmed",INDEX(Manual_Review!$AF$6:$AF$238,MATCH(A17,Manual_Review!$A$6:$A$238,0))&lt;&gt;""),INDEX(Manual_Review!$AG$6:$AG$238,MATCH(A17,Manual_Review!$A$6:$A$238,0))&lt;&gt;""),IF(INDEX(Manual_Review!$AB$6:$AB$238,MATCH(A17,Manual_Review!$A$6:$A$238,0))="Pass","Pass",IF(INDEX(Manual_Review!$AB$6:$AB$238,MATCH(A17,Manual_Review!$A$6:$A$238,0))="Fail","Fail","Pending")),"Not assessed: define intended task")</f>
        <v>Not assessed: define intended task</v>
      </c>
      <c r="AW17" s="5" t="str">
        <f>IF(AND(AND(INDEX(Manual_Review!$G$6:$G$238,MATCH(A17,Manual_Review!$A$6:$A$238,0))&lt;&gt;"",ISNUMBER(INDEX(Manual_Review!$H$6:$H$238,MATCH(A17,Manual_Review!$A$6:$A$238,0))),INDEX(Manual_Review!$H$6:$H$238,MATCH(A17,Manual_Review!$A$6:$A$238,0))&gt;0,INDEX(Manual_Review!$I$6:$I$238,MATCH(A17,Manual_Review!$A$6:$A$238,0))="Confirmed",INDEX(Manual_Review!$AF$6:$AF$238,MATCH(A17,Manual_Review!$A$6:$A$238,0))&lt;&gt;""),INDEX(Manual_Review!$AG$6:$AG$238,MATCH(A17,Manual_Review!$A$6:$A$238,0))&lt;&gt;""),IF(OR(INDEX(Manual_Review!$AC$6:$AC$238,MATCH(A17,Manual_Review!$A$6:$A$238,0))="Fail",INDEX(Manual_Review!$AD$6:$AD$238,MATCH(A17,Manual_Review!$A$6:$A$238,0))="Fail"),"Fail: rights or retrieval",IF(AND(INDEX(Manual_Review!$AC$6:$AC$238,MATCH(A17,Manual_Review!$A$6:$A$238,0))="Pass",INDEX(Manual_Review!$AD$6:$AD$238,MATCH(A17,Manual_Review!$A$6:$A$238,0))="Pass"),"Pass","Pending rights and retrieval")),"Pending rights and retrieval")</f>
        <v>Pending rights and retrieval</v>
      </c>
      <c r="AX17" s="5" t="str">
        <f>IF(INDEX(Manual_Review!$AG$6:$AG$238,MATCH(A17,Manual_Review!$A$6:$A$238,0))="","N/A: documentation inventory",IF(AND(INDEX(Manual_Review!$G$6:$G$238,MATCH(A17,Manual_Review!$A$6:$A$238,0))&lt;&gt;"",ISNUMBER(INDEX(Manual_Review!$H$6:$H$238,MATCH(A17,Manual_Review!$A$6:$A$238,0))),INDEX(Manual_Review!$H$6:$H$238,MATCH(A17,Manual_Review!$A$6:$A$238,0))&gt;0,INDEX(Manual_Review!$I$6:$I$238,MATCH(A17,Manual_Review!$A$6:$A$238,0))="Confirmed",INDEX(Manual_Review!$AF$6:$AF$238,MATCH(A17,Manual_Review!$A$6:$A$238,0))&lt;&gt;""),IF(INDEX(Manual_Review!$AE$6:$AE$238,MATCH(A17,Manual_Review!$A$6:$A$238,0))="Pass","Pass",IF(INDEX(Manual_Review!$AE$6:$AE$238,MATCH(A17,Manual_Review!$A$6:$A$238,0))="Fail","Fail: benchmark leakage",IF(INDEX(Manual_Review!$AE$6:$AE$238,MATCH(A17,Manual_Review!$A$6:$A$238,0))="N/A","N/A: nonbenchmark task","Pending task-specific leakage check"))),"Pending task-specific leakage check"))</f>
        <v>N/A: documentation inventory</v>
      </c>
      <c r="AY17" s="5" t="str">
        <f>IF(IF(D17="Unlabeled-13",AND(ABS(MCDM_Settings!$D$14-1)&lt;0.0000001,MIN(MCDM_Settings!$E$6:$E$11)&gt;=0,MCDM_Settings!$E$7=0),AND(ABS(MCDM_Settings!$B$14-1)&lt;0.0000001,MIN(MCDM_Settings!$C$6:$C$11)&gt;=0)),"Valid","Check weights")</f>
        <v>Valid</v>
      </c>
      <c r="AZ17" s="5" t="str">
        <f>IF(AND(COUNTIF(MCDM_Checks!$B$6:$B$3733,A17)=16,COUNTIF(Manual_Review!$A$6:$A$238,A17)=1),"16 keys present","Check key count")</f>
        <v>16 keys present</v>
      </c>
    </row>
    <row r="18" spans="1:52">
      <c r="A18" s="5" t="s">
        <v>268</v>
      </c>
      <c r="B18" s="5" t="s">
        <v>269</v>
      </c>
      <c r="C18" s="5"/>
      <c r="D18" s="5" t="s">
        <v>118</v>
      </c>
      <c r="E18" s="12">
        <f>IF(OR(AY18&lt;&gt;"Valid",AZ18&lt;&gt;"16 keys present"),"Review settings",20*(IF(ISNUMBER(AC18),AC18*IF($D18="Unlabeled-13",MCDM_Settings!$E$6,MCDM_Settings!$C$6),0)+IF(ISNUMBER(AF18),AF18*IF($D18="Unlabeled-13",MCDM_Settings!$E$7,MCDM_Settings!$C$7),0)+IF(ISNUMBER(AI18),AI18*IF($D18="Unlabeled-13",MCDM_Settings!$E$8,MCDM_Settings!$C$8),0)+IF(ISNUMBER(AL18),AL18*IF($D18="Unlabeled-13",MCDM_Settings!$E$9,MCDM_Settings!$C$9),0)+IF(ISNUMBER(AO18),AO18*IF($D18="Unlabeled-13",MCDM_Settings!$E$10,MCDM_Settings!$C$10),0)+IF(ISNUMBER(AR18),AR18*IF($D18="Unlabeled-13",MCDM_Settings!$E$11,MCDM_Settings!$C$11),0)))</f>
        <v>61.111111111111107</v>
      </c>
      <c r="F18" s="12">
        <f>IF(OR(AY18&lt;&gt;"Valid",AZ18&lt;&gt;"16 keys present"),"Review settings",20*(IF(ISNUMBER(AD18),AD18*IF($D18="Unlabeled-13",MCDM_Settings!$E$6,MCDM_Settings!$C$6),0)+IF(ISNUMBER(AG18),AG18*IF($D18="Unlabeled-13",MCDM_Settings!$E$7,MCDM_Settings!$C$7),0)+IF(ISNUMBER(AJ18),AJ18*IF($D18="Unlabeled-13",MCDM_Settings!$E$8,MCDM_Settings!$C$8),0)+IF(ISNUMBER(AM18),AM18*IF($D18="Unlabeled-13",MCDM_Settings!$E$9,MCDM_Settings!$C$9),0)+IF(ISNUMBER(AP18),AP18*IF($D18="Unlabeled-13",MCDM_Settings!$E$10,MCDM_Settings!$C$10),0)+IF(ISNUMBER(AS18),AS18*IF($D18="Unlabeled-13",MCDM_Settings!$E$11,MCDM_Settings!$C$11),0)))</f>
        <v>99.999999999999986</v>
      </c>
      <c r="G18" s="13">
        <f>IF(OR(AY18&lt;&gt;"Valid",AZ18&lt;&gt;"16 keys present"),"Review settings",1*(IF(ISNUMBER(AE18),AE18*IF($D18="Unlabeled-13",MCDM_Settings!$E$6,MCDM_Settings!$C$6),0)+IF(ISNUMBER(AH18),AH18*IF($D18="Unlabeled-13",MCDM_Settings!$E$7,MCDM_Settings!$C$7),0)+IF(ISNUMBER(AK18),AK18*IF($D18="Unlabeled-13",MCDM_Settings!$E$8,MCDM_Settings!$C$8),0)+IF(ISNUMBER(AN18),AN18*IF($D18="Unlabeled-13",MCDM_Settings!$E$9,MCDM_Settings!$C$9),0)+IF(ISNUMBER(AQ18),AQ18*IF($D18="Unlabeled-13",MCDM_Settings!$E$10,MCDM_Settings!$C$10),0)+IF(ISNUMBER(AT18),AT18*IF($D18="Unlabeled-13",MCDM_Settings!$E$11,MCDM_Settings!$C$11),0)))</f>
        <v>0.61111111111111105</v>
      </c>
      <c r="H18" s="5" t="str">
        <f>INDEX(Manual_Review!$AH$6:$AH$238,MATCH(A18,Manual_Review!$A$6:$A$238,0))</f>
        <v>Not started</v>
      </c>
      <c r="I18" s="5" t="s">
        <v>128</v>
      </c>
      <c r="J18" s="5" t="s">
        <v>269</v>
      </c>
      <c r="K18" s="5" t="str">
        <f>HYPERLINK("https://github.com/qinnzou/DeepCrack","Dataset")</f>
        <v>Dataset</v>
      </c>
      <c r="L18" s="5" t="str">
        <f>HYPERLINK("#'Manual_Review'!A"&amp;(MATCH("DS-013",Manual_Review!$A$6:$A$238,0)+5),"Enter review")</f>
        <v>Enter review</v>
      </c>
      <c r="M18" s="5" t="str">
        <f>INDEX(MCDM_Checks!$K$6:$K$3733,MATCH(A18&amp;"|"&amp;M$5,MCDM_Checks!$A$6:$A$3733,0))</f>
        <v>Y</v>
      </c>
      <c r="N18" s="5" t="str">
        <f>INDEX(MCDM_Checks!$K$6:$K$3733,MATCH(A18&amp;"|"&amp;N$5,MCDM_Checks!$A$6:$A$3733,0))</f>
        <v>Y</v>
      </c>
      <c r="O18" s="5" t="str">
        <f>INDEX(MCDM_Checks!$K$6:$K$3733,MATCH(A18&amp;"|"&amp;O$5,MCDM_Checks!$A$6:$A$3733,0))</f>
        <v>U</v>
      </c>
      <c r="P18" s="5" t="str">
        <f>INDEX(MCDM_Checks!$K$6:$K$3733,MATCH(A18&amp;"|"&amp;P$5,MCDM_Checks!$A$6:$A$3733,0))</f>
        <v>Y</v>
      </c>
      <c r="Q18" s="5" t="str">
        <f>INDEX(MCDM_Checks!$K$6:$K$3733,MATCH(A18&amp;"|"&amp;Q$5,MCDM_Checks!$A$6:$A$3733,0))</f>
        <v>Y</v>
      </c>
      <c r="R18" s="5" t="str">
        <f>INDEX(MCDM_Checks!$K$6:$K$3733,MATCH(A18&amp;"|"&amp;R$5,MCDM_Checks!$A$6:$A$3733,0))</f>
        <v>U</v>
      </c>
      <c r="S18" s="5" t="str">
        <f>INDEX(MCDM_Checks!$K$6:$K$3733,MATCH(A18&amp;"|"&amp;S$5,MCDM_Checks!$A$6:$A$3733,0))</f>
        <v>U</v>
      </c>
      <c r="T18" s="5" t="str">
        <f>INDEX(MCDM_Checks!$K$6:$K$3733,MATCH(A18&amp;"|"&amp;T$5,MCDM_Checks!$A$6:$A$3733,0))</f>
        <v>Y</v>
      </c>
      <c r="U18" s="5" t="str">
        <f>INDEX(MCDM_Checks!$K$6:$K$3733,MATCH(A18&amp;"|"&amp;U$5,MCDM_Checks!$A$6:$A$3733,0))</f>
        <v>Y</v>
      </c>
      <c r="V18" s="5" t="str">
        <f>INDEX(MCDM_Checks!$K$6:$K$3733,MATCH(A18&amp;"|"&amp;V$5,MCDM_Checks!$A$6:$A$3733,0))</f>
        <v>Y</v>
      </c>
      <c r="W18" s="5" t="str">
        <f>INDEX(MCDM_Checks!$K$6:$K$3733,MATCH(A18&amp;"|"&amp;W$5,MCDM_Checks!$A$6:$A$3733,0))</f>
        <v>U</v>
      </c>
      <c r="X18" s="5" t="str">
        <f>INDEX(MCDM_Checks!$K$6:$K$3733,MATCH(A18&amp;"|"&amp;X$5,MCDM_Checks!$A$6:$A$3733,0))</f>
        <v>U</v>
      </c>
      <c r="Y18" s="5" t="str">
        <f>INDEX(MCDM_Checks!$K$6:$K$3733,MATCH(A18&amp;"|"&amp;Y$5,MCDM_Checks!$A$6:$A$3733,0))</f>
        <v>Y</v>
      </c>
      <c r="Z18" s="5" t="str">
        <f>INDEX(MCDM_Checks!$K$6:$K$3733,MATCH(A18&amp;"|"&amp;Z$5,MCDM_Checks!$A$6:$A$3733,0))</f>
        <v>Y</v>
      </c>
      <c r="AA18" s="5" t="str">
        <f>INDEX(MCDM_Checks!$K$6:$K$3733,MATCH(A18&amp;"|"&amp;AA$5,MCDM_Checks!$A$6:$A$3733,0))</f>
        <v>U</v>
      </c>
      <c r="AB18" s="5" t="str">
        <f>INDEX(MCDM_Checks!$K$6:$K$3733,MATCH(A18&amp;"|"&amp;AB$5,MCDM_Checks!$A$6:$A$3733,0))</f>
        <v>Y</v>
      </c>
      <c r="AC18" s="12">
        <f>IF(IF($D18="Unlabeled-13",MCDM_Settings!$F$6,MCDM_Settings!$D$6)=0,"n.a.",5*COUNTIF(M18:O18,"Y")/IF($D18="Unlabeled-13",MCDM_Settings!$F$6,MCDM_Settings!$D$6))</f>
        <v>3.3333333333333335</v>
      </c>
      <c r="AD18" s="12">
        <f>IF(IF($D18="Unlabeled-13",MCDM_Settings!$F$6,MCDM_Settings!$D$6)=0,"n.a.",5*(COUNTIF(M18:O18,"Y")+COUNTIF(M18:O18,"U")+COUNTIF(M18:O18,"X"))/IF($D18="Unlabeled-13",MCDM_Settings!$F$6,MCDM_Settings!$D$6))</f>
        <v>5</v>
      </c>
      <c r="AE18" s="13">
        <f>IF(IF($D18="Unlabeled-13",MCDM_Settings!$F$6,MCDM_Settings!$D$6)=0,"n.a.",(COUNTIF(M18:O18,"Y")+COUNTIF(M18:O18,"N"))/IF($D18="Unlabeled-13",MCDM_Settings!$F$6,MCDM_Settings!$D$6))</f>
        <v>0.66666666666666663</v>
      </c>
      <c r="AF18" s="12">
        <f>IF(IF($D18="Unlabeled-13",MCDM_Settings!$F$7,MCDM_Settings!$D$7)=0,"n.a.",5*COUNTIF(P18:R18,"Y")/IF($D18="Unlabeled-13",MCDM_Settings!$F$7,MCDM_Settings!$D$7))</f>
        <v>3.3333333333333335</v>
      </c>
      <c r="AG18" s="12">
        <f>IF(IF($D18="Unlabeled-13",MCDM_Settings!$F$7,MCDM_Settings!$D$7)=0,"n.a.",5*(COUNTIF(P18:R18,"Y")+COUNTIF(P18:R18,"U")+COUNTIF(P18:R18,"X"))/IF($D18="Unlabeled-13",MCDM_Settings!$F$7,MCDM_Settings!$D$7))</f>
        <v>5</v>
      </c>
      <c r="AH18" s="13">
        <f>IF(IF($D18="Unlabeled-13",MCDM_Settings!$F$7,MCDM_Settings!$D$7)=0,"n.a.",(COUNTIF(P18:R18,"Y")+COUNTIF(P18:R18,"N"))/IF($D18="Unlabeled-13",MCDM_Settings!$F$7,MCDM_Settings!$D$7))</f>
        <v>0.66666666666666663</v>
      </c>
      <c r="AI18" s="12">
        <f>IF(IF($D18="Unlabeled-13",MCDM_Settings!$F$8,MCDM_Settings!$D$8)=0,"n.a.",5*COUNTIF(S18:U18,"Y")/IF($D18="Unlabeled-13",MCDM_Settings!$F$8,MCDM_Settings!$D$8))</f>
        <v>3.3333333333333335</v>
      </c>
      <c r="AJ18" s="12">
        <f>IF(IF($D18="Unlabeled-13",MCDM_Settings!$F$8,MCDM_Settings!$D$8)=0,"n.a.",5*(COUNTIF(S18:U18,"Y")+COUNTIF(S18:U18,"U")+COUNTIF(S18:U18,"X"))/IF($D18="Unlabeled-13",MCDM_Settings!$F$8,MCDM_Settings!$D$8))</f>
        <v>5</v>
      </c>
      <c r="AK18" s="13">
        <f>IF(IF($D18="Unlabeled-13",MCDM_Settings!$F$8,MCDM_Settings!$D$8)=0,"n.a.",(COUNTIF(S18:U18,"Y")+COUNTIF(S18:U18,"N"))/IF($D18="Unlabeled-13",MCDM_Settings!$F$8,MCDM_Settings!$D$8))</f>
        <v>0.66666666666666663</v>
      </c>
      <c r="AL18" s="12">
        <f>IF(IF($D18="Unlabeled-13",MCDM_Settings!$F$9,MCDM_Settings!$D$9)=0,"n.a.",5*COUNTIF(V18:W18,"Y")/IF($D18="Unlabeled-13",MCDM_Settings!$F$9,MCDM_Settings!$D$9))</f>
        <v>2.5</v>
      </c>
      <c r="AM18" s="12">
        <f>IF(IF($D18="Unlabeled-13",MCDM_Settings!$F$9,MCDM_Settings!$D$9)=0,"n.a.",5*(COUNTIF(V18:W18,"Y")+COUNTIF(V18:W18,"U")+COUNTIF(V18:W18,"X"))/IF($D18="Unlabeled-13",MCDM_Settings!$F$9,MCDM_Settings!$D$9))</f>
        <v>5</v>
      </c>
      <c r="AN18" s="13">
        <f>IF(IF($D18="Unlabeled-13",MCDM_Settings!$F$9,MCDM_Settings!$D$9)=0,"n.a.",(COUNTIF(V18:W18,"Y")+COUNTIF(V18:W18,"N"))/IF($D18="Unlabeled-13",MCDM_Settings!$F$9,MCDM_Settings!$D$9))</f>
        <v>0.5</v>
      </c>
      <c r="AO18" s="12">
        <f>IF(IF($D18="Unlabeled-13",MCDM_Settings!$F$10,MCDM_Settings!$D$10)=0,"n.a.",5*COUNTIF(X18:Y18,"Y")/IF($D18="Unlabeled-13",MCDM_Settings!$F$10,MCDM_Settings!$D$10))</f>
        <v>2.5</v>
      </c>
      <c r="AP18" s="12">
        <f>IF(IF($D18="Unlabeled-13",MCDM_Settings!$F$10,MCDM_Settings!$D$10)=0,"n.a.",5*(COUNTIF(X18:Y18,"Y")+COUNTIF(X18:Y18,"U")+COUNTIF(X18:Y18,"X"))/IF($D18="Unlabeled-13",MCDM_Settings!$F$10,MCDM_Settings!$D$10))</f>
        <v>5</v>
      </c>
      <c r="AQ18" s="13">
        <f>IF(IF($D18="Unlabeled-13",MCDM_Settings!$F$10,MCDM_Settings!$D$10)=0,"n.a.",(COUNTIF(X18:Y18,"Y")+COUNTIF(X18:Y18,"N"))/IF($D18="Unlabeled-13",MCDM_Settings!$F$10,MCDM_Settings!$D$10))</f>
        <v>0.5</v>
      </c>
      <c r="AR18" s="12">
        <f>IF(IF($D18="Unlabeled-13",MCDM_Settings!$F$11,MCDM_Settings!$D$11)=0,"n.a.",5*COUNTIF(Z18:AB18,"Y")/IF($D18="Unlabeled-13",MCDM_Settings!$F$11,MCDM_Settings!$D$11))</f>
        <v>3.3333333333333335</v>
      </c>
      <c r="AS18" s="12">
        <f>IF(IF($D18="Unlabeled-13",MCDM_Settings!$F$11,MCDM_Settings!$D$11)=0,"n.a.",5*(COUNTIF(Z18:AB18,"Y")+COUNTIF(Z18:AB18,"U")+COUNTIF(Z18:AB18,"X"))/IF($D18="Unlabeled-13",MCDM_Settings!$F$11,MCDM_Settings!$D$11))</f>
        <v>5</v>
      </c>
      <c r="AT18" s="13">
        <f>IF(IF($D18="Unlabeled-13",MCDM_Settings!$F$11,MCDM_Settings!$D$11)=0,"n.a.",(COUNTIF(Z18:AB18,"Y")+COUNTIF(Z18:AB18,"N"))/IF($D18="Unlabeled-13",MCDM_Settings!$F$11,MCDM_Settings!$D$11))</f>
        <v>0.66666666666666663</v>
      </c>
      <c r="AU18" s="5" t="str">
        <f>IF(AND(INDEX(Manual_Review!$G$6:$G$238,MATCH(A18,Manual_Review!$A$6:$A$238,0))&lt;&gt;"",ISNUMBER(INDEX(Manual_Review!$H$6:$H$238,MATCH(A18,Manual_Review!$A$6:$A$238,0))),INDEX(Manual_Review!$H$6:$H$238,MATCH(A18,Manual_Review!$A$6:$A$238,0))&gt;0,INDEX(Manual_Review!$I$6:$I$238,MATCH(A18,Manual_Review!$A$6:$A$238,0))="Confirmed",INDEX(Manual_Review!$AF$6:$AF$238,MATCH(A18,Manual_Review!$A$6:$A$238,0))&lt;&gt;""),IF(INDEX(Manual_Review!$AA$6:$AA$238,MATCH(A18,Manual_Review!$A$6:$A$238,0))="Pass","Pass",IF(INDEX(Manual_Review!$AA$6:$AA$238,MATCH(A18,Manual_Review!$A$6:$A$238,0))="Fail","Fail","Pending")),"Pending human identity confirmation")</f>
        <v>Pending human identity confirmation</v>
      </c>
      <c r="AV18" s="5" t="str">
        <f>IF(AND(AND(INDEX(Manual_Review!$G$6:$G$238,MATCH(A18,Manual_Review!$A$6:$A$238,0))&lt;&gt;"",ISNUMBER(INDEX(Manual_Review!$H$6:$H$238,MATCH(A18,Manual_Review!$A$6:$A$238,0))),INDEX(Manual_Review!$H$6:$H$238,MATCH(A18,Manual_Review!$A$6:$A$238,0))&gt;0,INDEX(Manual_Review!$I$6:$I$238,MATCH(A18,Manual_Review!$A$6:$A$238,0))="Confirmed",INDEX(Manual_Review!$AF$6:$AF$238,MATCH(A18,Manual_Review!$A$6:$A$238,0))&lt;&gt;""),INDEX(Manual_Review!$AG$6:$AG$238,MATCH(A18,Manual_Review!$A$6:$A$238,0))&lt;&gt;""),IF(INDEX(Manual_Review!$AB$6:$AB$238,MATCH(A18,Manual_Review!$A$6:$A$238,0))="Pass","Pass",IF(INDEX(Manual_Review!$AB$6:$AB$238,MATCH(A18,Manual_Review!$A$6:$A$238,0))="Fail","Fail","Pending")),"Not assessed: define intended task")</f>
        <v>Not assessed: define intended task</v>
      </c>
      <c r="AW18" s="5" t="str">
        <f>IF(AND(AND(INDEX(Manual_Review!$G$6:$G$238,MATCH(A18,Manual_Review!$A$6:$A$238,0))&lt;&gt;"",ISNUMBER(INDEX(Manual_Review!$H$6:$H$238,MATCH(A18,Manual_Review!$A$6:$A$238,0))),INDEX(Manual_Review!$H$6:$H$238,MATCH(A18,Manual_Review!$A$6:$A$238,0))&gt;0,INDEX(Manual_Review!$I$6:$I$238,MATCH(A18,Manual_Review!$A$6:$A$238,0))="Confirmed",INDEX(Manual_Review!$AF$6:$AF$238,MATCH(A18,Manual_Review!$A$6:$A$238,0))&lt;&gt;""),INDEX(Manual_Review!$AG$6:$AG$238,MATCH(A18,Manual_Review!$A$6:$A$238,0))&lt;&gt;""),IF(OR(INDEX(Manual_Review!$AC$6:$AC$238,MATCH(A18,Manual_Review!$A$6:$A$238,0))="Fail",INDEX(Manual_Review!$AD$6:$AD$238,MATCH(A18,Manual_Review!$A$6:$A$238,0))="Fail"),"Fail: rights or retrieval",IF(AND(INDEX(Manual_Review!$AC$6:$AC$238,MATCH(A18,Manual_Review!$A$6:$A$238,0))="Pass",INDEX(Manual_Review!$AD$6:$AD$238,MATCH(A18,Manual_Review!$A$6:$A$238,0))="Pass"),"Pass","Pending rights and retrieval")),"Pending rights and retrieval")</f>
        <v>Pending rights and retrieval</v>
      </c>
      <c r="AX18" s="5" t="str">
        <f>IF(INDEX(Manual_Review!$AG$6:$AG$238,MATCH(A18,Manual_Review!$A$6:$A$238,0))="","N/A: documentation inventory",IF(AND(INDEX(Manual_Review!$G$6:$G$238,MATCH(A18,Manual_Review!$A$6:$A$238,0))&lt;&gt;"",ISNUMBER(INDEX(Manual_Review!$H$6:$H$238,MATCH(A18,Manual_Review!$A$6:$A$238,0))),INDEX(Manual_Review!$H$6:$H$238,MATCH(A18,Manual_Review!$A$6:$A$238,0))&gt;0,INDEX(Manual_Review!$I$6:$I$238,MATCH(A18,Manual_Review!$A$6:$A$238,0))="Confirmed",INDEX(Manual_Review!$AF$6:$AF$238,MATCH(A18,Manual_Review!$A$6:$A$238,0))&lt;&gt;""),IF(INDEX(Manual_Review!$AE$6:$AE$238,MATCH(A18,Manual_Review!$A$6:$A$238,0))="Pass","Pass",IF(INDEX(Manual_Review!$AE$6:$AE$238,MATCH(A18,Manual_Review!$A$6:$A$238,0))="Fail","Fail: benchmark leakage",IF(INDEX(Manual_Review!$AE$6:$AE$238,MATCH(A18,Manual_Review!$A$6:$A$238,0))="N/A","N/A: nonbenchmark task","Pending task-specific leakage check"))),"Pending task-specific leakage check"))</f>
        <v>N/A: documentation inventory</v>
      </c>
      <c r="AY18" s="5" t="str">
        <f>IF(IF(D18="Unlabeled-13",AND(ABS(MCDM_Settings!$D$14-1)&lt;0.0000001,MIN(MCDM_Settings!$E$6:$E$11)&gt;=0,MCDM_Settings!$E$7=0),AND(ABS(MCDM_Settings!$B$14-1)&lt;0.0000001,MIN(MCDM_Settings!$C$6:$C$11)&gt;=0)),"Valid","Check weights")</f>
        <v>Valid</v>
      </c>
      <c r="AZ18" s="5" t="str">
        <f>IF(AND(COUNTIF(MCDM_Checks!$B$6:$B$3733,A18)=16,COUNTIF(Manual_Review!$A$6:$A$238,A18)=1),"16 keys present","Check key count")</f>
        <v>16 keys present</v>
      </c>
    </row>
    <row r="19" spans="1:52">
      <c r="A19" s="5" t="s">
        <v>274</v>
      </c>
      <c r="B19" s="5" t="s">
        <v>275</v>
      </c>
      <c r="C19" s="5"/>
      <c r="D19" s="5" t="s">
        <v>118</v>
      </c>
      <c r="E19" s="12">
        <f>IF(OR(AY19&lt;&gt;"Valid",AZ19&lt;&gt;"16 keys present"),"Review settings",20*(IF(ISNUMBER(AC19),AC19*IF($D19="Unlabeled-13",MCDM_Settings!$E$6,MCDM_Settings!$C$6),0)+IF(ISNUMBER(AF19),AF19*IF($D19="Unlabeled-13",MCDM_Settings!$E$7,MCDM_Settings!$C$7),0)+IF(ISNUMBER(AI19),AI19*IF($D19="Unlabeled-13",MCDM_Settings!$E$8,MCDM_Settings!$C$8),0)+IF(ISNUMBER(AL19),AL19*IF($D19="Unlabeled-13",MCDM_Settings!$E$9,MCDM_Settings!$C$9),0)+IF(ISNUMBER(AO19),AO19*IF($D19="Unlabeled-13",MCDM_Settings!$E$10,MCDM_Settings!$C$10),0)+IF(ISNUMBER(AR19),AR19*IF($D19="Unlabeled-13",MCDM_Settings!$E$11,MCDM_Settings!$C$11),0)))</f>
        <v>49.999999999999993</v>
      </c>
      <c r="F19" s="12">
        <f>IF(OR(AY19&lt;&gt;"Valid",AZ19&lt;&gt;"16 keys present"),"Review settings",20*(IF(ISNUMBER(AD19),AD19*IF($D19="Unlabeled-13",MCDM_Settings!$E$6,MCDM_Settings!$C$6),0)+IF(ISNUMBER(AG19),AG19*IF($D19="Unlabeled-13",MCDM_Settings!$E$7,MCDM_Settings!$C$7),0)+IF(ISNUMBER(AJ19),AJ19*IF($D19="Unlabeled-13",MCDM_Settings!$E$8,MCDM_Settings!$C$8),0)+IF(ISNUMBER(AM19),AM19*IF($D19="Unlabeled-13",MCDM_Settings!$E$9,MCDM_Settings!$C$9),0)+IF(ISNUMBER(AP19),AP19*IF($D19="Unlabeled-13",MCDM_Settings!$E$10,MCDM_Settings!$C$10),0)+IF(ISNUMBER(AS19),AS19*IF($D19="Unlabeled-13",MCDM_Settings!$E$11,MCDM_Settings!$C$11),0)))</f>
        <v>99.999999999999986</v>
      </c>
      <c r="G19" s="13">
        <f>IF(OR(AY19&lt;&gt;"Valid",AZ19&lt;&gt;"16 keys present"),"Review settings",1*(IF(ISNUMBER(AE19),AE19*IF($D19="Unlabeled-13",MCDM_Settings!$E$6,MCDM_Settings!$C$6),0)+IF(ISNUMBER(AH19),AH19*IF($D19="Unlabeled-13",MCDM_Settings!$E$7,MCDM_Settings!$C$7),0)+IF(ISNUMBER(AK19),AK19*IF($D19="Unlabeled-13",MCDM_Settings!$E$8,MCDM_Settings!$C$8),0)+IF(ISNUMBER(AN19),AN19*IF($D19="Unlabeled-13",MCDM_Settings!$E$9,MCDM_Settings!$C$9),0)+IF(ISNUMBER(AQ19),AQ19*IF($D19="Unlabeled-13",MCDM_Settings!$E$10,MCDM_Settings!$C$10),0)+IF(ISNUMBER(AT19),AT19*IF($D19="Unlabeled-13",MCDM_Settings!$E$11,MCDM_Settings!$C$11),0)))</f>
        <v>0.5</v>
      </c>
      <c r="H19" s="5" t="str">
        <f>INDEX(Manual_Review!$AH$6:$AH$238,MATCH(A19,Manual_Review!$A$6:$A$238,0))</f>
        <v>Not started</v>
      </c>
      <c r="I19" s="5" t="s">
        <v>128</v>
      </c>
      <c r="J19" s="5" t="s">
        <v>275</v>
      </c>
      <c r="K19" s="5" t="str">
        <f>HYPERLINK("https://github.com/qinnzou/DeepCrack","Dataset")</f>
        <v>Dataset</v>
      </c>
      <c r="L19" s="5" t="str">
        <f>HYPERLINK("#'Manual_Review'!A"&amp;(MATCH("DS-014",Manual_Review!$A$6:$A$238,0)+5),"Enter review")</f>
        <v>Enter review</v>
      </c>
      <c r="M19" s="5" t="str">
        <f>INDEX(MCDM_Checks!$K$6:$K$3733,MATCH(A19&amp;"|"&amp;M$5,MCDM_Checks!$A$6:$A$3733,0))</f>
        <v>Y</v>
      </c>
      <c r="N19" s="5" t="str">
        <f>INDEX(MCDM_Checks!$K$6:$K$3733,MATCH(A19&amp;"|"&amp;N$5,MCDM_Checks!$A$6:$A$3733,0))</f>
        <v>Y</v>
      </c>
      <c r="O19" s="5" t="str">
        <f>INDEX(MCDM_Checks!$K$6:$K$3733,MATCH(A19&amp;"|"&amp;O$5,MCDM_Checks!$A$6:$A$3733,0))</f>
        <v>U</v>
      </c>
      <c r="P19" s="5" t="str">
        <f>INDEX(MCDM_Checks!$K$6:$K$3733,MATCH(A19&amp;"|"&amp;P$5,MCDM_Checks!$A$6:$A$3733,0))</f>
        <v>Y</v>
      </c>
      <c r="Q19" s="5" t="str">
        <f>INDEX(MCDM_Checks!$K$6:$K$3733,MATCH(A19&amp;"|"&amp;Q$5,MCDM_Checks!$A$6:$A$3733,0))</f>
        <v>Y</v>
      </c>
      <c r="R19" s="5" t="str">
        <f>INDEX(MCDM_Checks!$K$6:$K$3733,MATCH(A19&amp;"|"&amp;R$5,MCDM_Checks!$A$6:$A$3733,0))</f>
        <v>U</v>
      </c>
      <c r="S19" s="5" t="str">
        <f>INDEX(MCDM_Checks!$K$6:$K$3733,MATCH(A19&amp;"|"&amp;S$5,MCDM_Checks!$A$6:$A$3733,0))</f>
        <v>U</v>
      </c>
      <c r="T19" s="5" t="str">
        <f>INDEX(MCDM_Checks!$K$6:$K$3733,MATCH(A19&amp;"|"&amp;T$5,MCDM_Checks!$A$6:$A$3733,0))</f>
        <v>U</v>
      </c>
      <c r="U19" s="5" t="str">
        <f>INDEX(MCDM_Checks!$K$6:$K$3733,MATCH(A19&amp;"|"&amp;U$5,MCDM_Checks!$A$6:$A$3733,0))</f>
        <v>Y</v>
      </c>
      <c r="V19" s="5" t="str">
        <f>INDEX(MCDM_Checks!$K$6:$K$3733,MATCH(A19&amp;"|"&amp;V$5,MCDM_Checks!$A$6:$A$3733,0))</f>
        <v>Y</v>
      </c>
      <c r="W19" s="5" t="str">
        <f>INDEX(MCDM_Checks!$K$6:$K$3733,MATCH(A19&amp;"|"&amp;W$5,MCDM_Checks!$A$6:$A$3733,0))</f>
        <v>U</v>
      </c>
      <c r="X19" s="5" t="str">
        <f>INDEX(MCDM_Checks!$K$6:$K$3733,MATCH(A19&amp;"|"&amp;X$5,MCDM_Checks!$A$6:$A$3733,0))</f>
        <v>U</v>
      </c>
      <c r="Y19" s="5" t="str">
        <f>INDEX(MCDM_Checks!$K$6:$K$3733,MATCH(A19&amp;"|"&amp;Y$5,MCDM_Checks!$A$6:$A$3733,0))</f>
        <v>Y</v>
      </c>
      <c r="Z19" s="5" t="str">
        <f>INDEX(MCDM_Checks!$K$6:$K$3733,MATCH(A19&amp;"|"&amp;Z$5,MCDM_Checks!$A$6:$A$3733,0))</f>
        <v>Y</v>
      </c>
      <c r="AA19" s="5" t="str">
        <f>INDEX(MCDM_Checks!$K$6:$K$3733,MATCH(A19&amp;"|"&amp;AA$5,MCDM_Checks!$A$6:$A$3733,0))</f>
        <v>U</v>
      </c>
      <c r="AB19" s="5" t="str">
        <f>INDEX(MCDM_Checks!$K$6:$K$3733,MATCH(A19&amp;"|"&amp;AB$5,MCDM_Checks!$A$6:$A$3733,0))</f>
        <v>U</v>
      </c>
      <c r="AC19" s="12">
        <f>IF(IF($D19="Unlabeled-13",MCDM_Settings!$F$6,MCDM_Settings!$D$6)=0,"n.a.",5*COUNTIF(M19:O19,"Y")/IF($D19="Unlabeled-13",MCDM_Settings!$F$6,MCDM_Settings!$D$6))</f>
        <v>3.3333333333333335</v>
      </c>
      <c r="AD19" s="12">
        <f>IF(IF($D19="Unlabeled-13",MCDM_Settings!$F$6,MCDM_Settings!$D$6)=0,"n.a.",5*(COUNTIF(M19:O19,"Y")+COUNTIF(M19:O19,"U")+COUNTIF(M19:O19,"X"))/IF($D19="Unlabeled-13",MCDM_Settings!$F$6,MCDM_Settings!$D$6))</f>
        <v>5</v>
      </c>
      <c r="AE19" s="13">
        <f>IF(IF($D19="Unlabeled-13",MCDM_Settings!$F$6,MCDM_Settings!$D$6)=0,"n.a.",(COUNTIF(M19:O19,"Y")+COUNTIF(M19:O19,"N"))/IF($D19="Unlabeled-13",MCDM_Settings!$F$6,MCDM_Settings!$D$6))</f>
        <v>0.66666666666666663</v>
      </c>
      <c r="AF19" s="12">
        <f>IF(IF($D19="Unlabeled-13",MCDM_Settings!$F$7,MCDM_Settings!$D$7)=0,"n.a.",5*COUNTIF(P19:R19,"Y")/IF($D19="Unlabeled-13",MCDM_Settings!$F$7,MCDM_Settings!$D$7))</f>
        <v>3.3333333333333335</v>
      </c>
      <c r="AG19" s="12">
        <f>IF(IF($D19="Unlabeled-13",MCDM_Settings!$F$7,MCDM_Settings!$D$7)=0,"n.a.",5*(COUNTIF(P19:R19,"Y")+COUNTIF(P19:R19,"U")+COUNTIF(P19:R19,"X"))/IF($D19="Unlabeled-13",MCDM_Settings!$F$7,MCDM_Settings!$D$7))</f>
        <v>5</v>
      </c>
      <c r="AH19" s="13">
        <f>IF(IF($D19="Unlabeled-13",MCDM_Settings!$F$7,MCDM_Settings!$D$7)=0,"n.a.",(COUNTIF(P19:R19,"Y")+COUNTIF(P19:R19,"N"))/IF($D19="Unlabeled-13",MCDM_Settings!$F$7,MCDM_Settings!$D$7))</f>
        <v>0.66666666666666663</v>
      </c>
      <c r="AI19" s="12">
        <f>IF(IF($D19="Unlabeled-13",MCDM_Settings!$F$8,MCDM_Settings!$D$8)=0,"n.a.",5*COUNTIF(S19:U19,"Y")/IF($D19="Unlabeled-13",MCDM_Settings!$F$8,MCDM_Settings!$D$8))</f>
        <v>1.6666666666666667</v>
      </c>
      <c r="AJ19" s="12">
        <f>IF(IF($D19="Unlabeled-13",MCDM_Settings!$F$8,MCDM_Settings!$D$8)=0,"n.a.",5*(COUNTIF(S19:U19,"Y")+COUNTIF(S19:U19,"U")+COUNTIF(S19:U19,"X"))/IF($D19="Unlabeled-13",MCDM_Settings!$F$8,MCDM_Settings!$D$8))</f>
        <v>5</v>
      </c>
      <c r="AK19" s="13">
        <f>IF(IF($D19="Unlabeled-13",MCDM_Settings!$F$8,MCDM_Settings!$D$8)=0,"n.a.",(COUNTIF(S19:U19,"Y")+COUNTIF(S19:U19,"N"))/IF($D19="Unlabeled-13",MCDM_Settings!$F$8,MCDM_Settings!$D$8))</f>
        <v>0.33333333333333331</v>
      </c>
      <c r="AL19" s="12">
        <f>IF(IF($D19="Unlabeled-13",MCDM_Settings!$F$9,MCDM_Settings!$D$9)=0,"n.a.",5*COUNTIF(V19:W19,"Y")/IF($D19="Unlabeled-13",MCDM_Settings!$F$9,MCDM_Settings!$D$9))</f>
        <v>2.5</v>
      </c>
      <c r="AM19" s="12">
        <f>IF(IF($D19="Unlabeled-13",MCDM_Settings!$F$9,MCDM_Settings!$D$9)=0,"n.a.",5*(COUNTIF(V19:W19,"Y")+COUNTIF(V19:W19,"U")+COUNTIF(V19:W19,"X"))/IF($D19="Unlabeled-13",MCDM_Settings!$F$9,MCDM_Settings!$D$9))</f>
        <v>5</v>
      </c>
      <c r="AN19" s="13">
        <f>IF(IF($D19="Unlabeled-13",MCDM_Settings!$F$9,MCDM_Settings!$D$9)=0,"n.a.",(COUNTIF(V19:W19,"Y")+COUNTIF(V19:W19,"N"))/IF($D19="Unlabeled-13",MCDM_Settings!$F$9,MCDM_Settings!$D$9))</f>
        <v>0.5</v>
      </c>
      <c r="AO19" s="12">
        <f>IF(IF($D19="Unlabeled-13",MCDM_Settings!$F$10,MCDM_Settings!$D$10)=0,"n.a.",5*COUNTIF(X19:Y19,"Y")/IF($D19="Unlabeled-13",MCDM_Settings!$F$10,MCDM_Settings!$D$10))</f>
        <v>2.5</v>
      </c>
      <c r="AP19" s="12">
        <f>IF(IF($D19="Unlabeled-13",MCDM_Settings!$F$10,MCDM_Settings!$D$10)=0,"n.a.",5*(COUNTIF(X19:Y19,"Y")+COUNTIF(X19:Y19,"U")+COUNTIF(X19:Y19,"X"))/IF($D19="Unlabeled-13",MCDM_Settings!$F$10,MCDM_Settings!$D$10))</f>
        <v>5</v>
      </c>
      <c r="AQ19" s="13">
        <f>IF(IF($D19="Unlabeled-13",MCDM_Settings!$F$10,MCDM_Settings!$D$10)=0,"n.a.",(COUNTIF(X19:Y19,"Y")+COUNTIF(X19:Y19,"N"))/IF($D19="Unlabeled-13",MCDM_Settings!$F$10,MCDM_Settings!$D$10))</f>
        <v>0.5</v>
      </c>
      <c r="AR19" s="12">
        <f>IF(IF($D19="Unlabeled-13",MCDM_Settings!$F$11,MCDM_Settings!$D$11)=0,"n.a.",5*COUNTIF(Z19:AB19,"Y")/IF($D19="Unlabeled-13",MCDM_Settings!$F$11,MCDM_Settings!$D$11))</f>
        <v>1.6666666666666667</v>
      </c>
      <c r="AS19" s="12">
        <f>IF(IF($D19="Unlabeled-13",MCDM_Settings!$F$11,MCDM_Settings!$D$11)=0,"n.a.",5*(COUNTIF(Z19:AB19,"Y")+COUNTIF(Z19:AB19,"U")+COUNTIF(Z19:AB19,"X"))/IF($D19="Unlabeled-13",MCDM_Settings!$F$11,MCDM_Settings!$D$11))</f>
        <v>5</v>
      </c>
      <c r="AT19" s="13">
        <f>IF(IF($D19="Unlabeled-13",MCDM_Settings!$F$11,MCDM_Settings!$D$11)=0,"n.a.",(COUNTIF(Z19:AB19,"Y")+COUNTIF(Z19:AB19,"N"))/IF($D19="Unlabeled-13",MCDM_Settings!$F$11,MCDM_Settings!$D$11))</f>
        <v>0.33333333333333331</v>
      </c>
      <c r="AU19" s="5" t="str">
        <f>IF(AND(INDEX(Manual_Review!$G$6:$G$238,MATCH(A19,Manual_Review!$A$6:$A$238,0))&lt;&gt;"",ISNUMBER(INDEX(Manual_Review!$H$6:$H$238,MATCH(A19,Manual_Review!$A$6:$A$238,0))),INDEX(Manual_Review!$H$6:$H$238,MATCH(A19,Manual_Review!$A$6:$A$238,0))&gt;0,INDEX(Manual_Review!$I$6:$I$238,MATCH(A19,Manual_Review!$A$6:$A$238,0))="Confirmed",INDEX(Manual_Review!$AF$6:$AF$238,MATCH(A19,Manual_Review!$A$6:$A$238,0))&lt;&gt;""),IF(INDEX(Manual_Review!$AA$6:$AA$238,MATCH(A19,Manual_Review!$A$6:$A$238,0))="Pass","Pass",IF(INDEX(Manual_Review!$AA$6:$AA$238,MATCH(A19,Manual_Review!$A$6:$A$238,0))="Fail","Fail","Pending")),"Pending human identity confirmation")</f>
        <v>Pending human identity confirmation</v>
      </c>
      <c r="AV19" s="5" t="str">
        <f>IF(AND(AND(INDEX(Manual_Review!$G$6:$G$238,MATCH(A19,Manual_Review!$A$6:$A$238,0))&lt;&gt;"",ISNUMBER(INDEX(Manual_Review!$H$6:$H$238,MATCH(A19,Manual_Review!$A$6:$A$238,0))),INDEX(Manual_Review!$H$6:$H$238,MATCH(A19,Manual_Review!$A$6:$A$238,0))&gt;0,INDEX(Manual_Review!$I$6:$I$238,MATCH(A19,Manual_Review!$A$6:$A$238,0))="Confirmed",INDEX(Manual_Review!$AF$6:$AF$238,MATCH(A19,Manual_Review!$A$6:$A$238,0))&lt;&gt;""),INDEX(Manual_Review!$AG$6:$AG$238,MATCH(A19,Manual_Review!$A$6:$A$238,0))&lt;&gt;""),IF(INDEX(Manual_Review!$AB$6:$AB$238,MATCH(A19,Manual_Review!$A$6:$A$238,0))="Pass","Pass",IF(INDEX(Manual_Review!$AB$6:$AB$238,MATCH(A19,Manual_Review!$A$6:$A$238,0))="Fail","Fail","Pending")),"Not assessed: define intended task")</f>
        <v>Not assessed: define intended task</v>
      </c>
      <c r="AW19" s="5" t="str">
        <f>IF(AND(AND(INDEX(Manual_Review!$G$6:$G$238,MATCH(A19,Manual_Review!$A$6:$A$238,0))&lt;&gt;"",ISNUMBER(INDEX(Manual_Review!$H$6:$H$238,MATCH(A19,Manual_Review!$A$6:$A$238,0))),INDEX(Manual_Review!$H$6:$H$238,MATCH(A19,Manual_Review!$A$6:$A$238,0))&gt;0,INDEX(Manual_Review!$I$6:$I$238,MATCH(A19,Manual_Review!$A$6:$A$238,0))="Confirmed",INDEX(Manual_Review!$AF$6:$AF$238,MATCH(A19,Manual_Review!$A$6:$A$238,0))&lt;&gt;""),INDEX(Manual_Review!$AG$6:$AG$238,MATCH(A19,Manual_Review!$A$6:$A$238,0))&lt;&gt;""),IF(OR(INDEX(Manual_Review!$AC$6:$AC$238,MATCH(A19,Manual_Review!$A$6:$A$238,0))="Fail",INDEX(Manual_Review!$AD$6:$AD$238,MATCH(A19,Manual_Review!$A$6:$A$238,0))="Fail"),"Fail: rights or retrieval",IF(AND(INDEX(Manual_Review!$AC$6:$AC$238,MATCH(A19,Manual_Review!$A$6:$A$238,0))="Pass",INDEX(Manual_Review!$AD$6:$AD$238,MATCH(A19,Manual_Review!$A$6:$A$238,0))="Pass"),"Pass","Pending rights and retrieval")),"Pending rights and retrieval")</f>
        <v>Pending rights and retrieval</v>
      </c>
      <c r="AX19" s="5" t="str">
        <f>IF(INDEX(Manual_Review!$AG$6:$AG$238,MATCH(A19,Manual_Review!$A$6:$A$238,0))="","N/A: documentation inventory",IF(AND(INDEX(Manual_Review!$G$6:$G$238,MATCH(A19,Manual_Review!$A$6:$A$238,0))&lt;&gt;"",ISNUMBER(INDEX(Manual_Review!$H$6:$H$238,MATCH(A19,Manual_Review!$A$6:$A$238,0))),INDEX(Manual_Review!$H$6:$H$238,MATCH(A19,Manual_Review!$A$6:$A$238,0))&gt;0,INDEX(Manual_Review!$I$6:$I$238,MATCH(A19,Manual_Review!$A$6:$A$238,0))="Confirmed",INDEX(Manual_Review!$AF$6:$AF$238,MATCH(A19,Manual_Review!$A$6:$A$238,0))&lt;&gt;""),IF(INDEX(Manual_Review!$AE$6:$AE$238,MATCH(A19,Manual_Review!$A$6:$A$238,0))="Pass","Pass",IF(INDEX(Manual_Review!$AE$6:$AE$238,MATCH(A19,Manual_Review!$A$6:$A$238,0))="Fail","Fail: benchmark leakage",IF(INDEX(Manual_Review!$AE$6:$AE$238,MATCH(A19,Manual_Review!$A$6:$A$238,0))="N/A","N/A: nonbenchmark task","Pending task-specific leakage check"))),"Pending task-specific leakage check"))</f>
        <v>N/A: documentation inventory</v>
      </c>
      <c r="AY19" s="5" t="str">
        <f>IF(IF(D19="Unlabeled-13",AND(ABS(MCDM_Settings!$D$14-1)&lt;0.0000001,MIN(MCDM_Settings!$E$6:$E$11)&gt;=0,MCDM_Settings!$E$7=0),AND(ABS(MCDM_Settings!$B$14-1)&lt;0.0000001,MIN(MCDM_Settings!$C$6:$C$11)&gt;=0)),"Valid","Check weights")</f>
        <v>Valid</v>
      </c>
      <c r="AZ19" s="5" t="str">
        <f>IF(AND(COUNTIF(MCDM_Checks!$B$6:$B$3733,A19)=16,COUNTIF(Manual_Review!$A$6:$A$238,A19)=1),"16 keys present","Check key count")</f>
        <v>16 keys present</v>
      </c>
    </row>
    <row r="20" spans="1:52">
      <c r="A20" s="5" t="s">
        <v>280</v>
      </c>
      <c r="B20" s="5" t="s">
        <v>281</v>
      </c>
      <c r="C20" s="5"/>
      <c r="D20" s="5" t="s">
        <v>118</v>
      </c>
      <c r="E20" s="12">
        <f>IF(OR(AY20&lt;&gt;"Valid",AZ20&lt;&gt;"16 keys present"),"Review settings",20*(IF(ISNUMBER(AC20),AC20*IF($D20="Unlabeled-13",MCDM_Settings!$E$6,MCDM_Settings!$C$6),0)+IF(ISNUMBER(AF20),AF20*IF($D20="Unlabeled-13",MCDM_Settings!$E$7,MCDM_Settings!$C$7),0)+IF(ISNUMBER(AI20),AI20*IF($D20="Unlabeled-13",MCDM_Settings!$E$8,MCDM_Settings!$C$8),0)+IF(ISNUMBER(AL20),AL20*IF($D20="Unlabeled-13",MCDM_Settings!$E$9,MCDM_Settings!$C$9),0)+IF(ISNUMBER(AO20),AO20*IF($D20="Unlabeled-13",MCDM_Settings!$E$10,MCDM_Settings!$C$10),0)+IF(ISNUMBER(AR20),AR20*IF($D20="Unlabeled-13",MCDM_Settings!$E$11,MCDM_Settings!$C$11),0)))</f>
        <v>77.777777777777771</v>
      </c>
      <c r="F20" s="12">
        <f>IF(OR(AY20&lt;&gt;"Valid",AZ20&lt;&gt;"16 keys present"),"Review settings",20*(IF(ISNUMBER(AD20),AD20*IF($D20="Unlabeled-13",MCDM_Settings!$E$6,MCDM_Settings!$C$6),0)+IF(ISNUMBER(AG20),AG20*IF($D20="Unlabeled-13",MCDM_Settings!$E$7,MCDM_Settings!$C$7),0)+IF(ISNUMBER(AJ20),AJ20*IF($D20="Unlabeled-13",MCDM_Settings!$E$8,MCDM_Settings!$C$8),0)+IF(ISNUMBER(AM20),AM20*IF($D20="Unlabeled-13",MCDM_Settings!$E$9,MCDM_Settings!$C$9),0)+IF(ISNUMBER(AP20),AP20*IF($D20="Unlabeled-13",MCDM_Settings!$E$10,MCDM_Settings!$C$10),0)+IF(ISNUMBER(AS20),AS20*IF($D20="Unlabeled-13",MCDM_Settings!$E$11,MCDM_Settings!$C$11),0)))</f>
        <v>99.999999999999986</v>
      </c>
      <c r="G20" s="13">
        <f>IF(OR(AY20&lt;&gt;"Valid",AZ20&lt;&gt;"16 keys present"),"Review settings",1*(IF(ISNUMBER(AE20),AE20*IF($D20="Unlabeled-13",MCDM_Settings!$E$6,MCDM_Settings!$C$6),0)+IF(ISNUMBER(AH20),AH20*IF($D20="Unlabeled-13",MCDM_Settings!$E$7,MCDM_Settings!$C$7),0)+IF(ISNUMBER(AK20),AK20*IF($D20="Unlabeled-13",MCDM_Settings!$E$8,MCDM_Settings!$C$8),0)+IF(ISNUMBER(AN20),AN20*IF($D20="Unlabeled-13",MCDM_Settings!$E$9,MCDM_Settings!$C$9),0)+IF(ISNUMBER(AQ20),AQ20*IF($D20="Unlabeled-13",MCDM_Settings!$E$10,MCDM_Settings!$C$10),0)+IF(ISNUMBER(AT20),AT20*IF($D20="Unlabeled-13",MCDM_Settings!$E$11,MCDM_Settings!$C$11),0)))</f>
        <v>0.77777777777777768</v>
      </c>
      <c r="H20" s="5" t="str">
        <f>INDEX(Manual_Review!$AH$6:$AH$238,MATCH(A20,Manual_Review!$A$6:$A$238,0))</f>
        <v>Not started</v>
      </c>
      <c r="I20" s="5" t="s">
        <v>128</v>
      </c>
      <c r="J20" s="5" t="s">
        <v>282</v>
      </c>
      <c r="K20" s="5" t="str">
        <f>HYPERLINK("https://github.com/CUHK-USR-Group/Defect-Dataset","Dataset")</f>
        <v>Dataset</v>
      </c>
      <c r="L20" s="5" t="str">
        <f>HYPERLINK("#'Manual_Review'!A"&amp;(MATCH("DS-015",Manual_Review!$A$6:$A$238,0)+5),"Enter review")</f>
        <v>Enter review</v>
      </c>
      <c r="M20" s="5" t="str">
        <f>INDEX(MCDM_Checks!$K$6:$K$3733,MATCH(A20&amp;"|"&amp;M$5,MCDM_Checks!$A$6:$A$3733,0))</f>
        <v>Y</v>
      </c>
      <c r="N20" s="5" t="str">
        <f>INDEX(MCDM_Checks!$K$6:$K$3733,MATCH(A20&amp;"|"&amp;N$5,MCDM_Checks!$A$6:$A$3733,0))</f>
        <v>Y</v>
      </c>
      <c r="O20" s="5" t="str">
        <f>INDEX(MCDM_Checks!$K$6:$K$3733,MATCH(A20&amp;"|"&amp;O$5,MCDM_Checks!$A$6:$A$3733,0))</f>
        <v>U</v>
      </c>
      <c r="P20" s="5" t="str">
        <f>INDEX(MCDM_Checks!$K$6:$K$3733,MATCH(A20&amp;"|"&amp;P$5,MCDM_Checks!$A$6:$A$3733,0))</f>
        <v>Y</v>
      </c>
      <c r="Q20" s="5" t="str">
        <f>INDEX(MCDM_Checks!$K$6:$K$3733,MATCH(A20&amp;"|"&amp;Q$5,MCDM_Checks!$A$6:$A$3733,0))</f>
        <v>Y</v>
      </c>
      <c r="R20" s="5" t="str">
        <f>INDEX(MCDM_Checks!$K$6:$K$3733,MATCH(A20&amp;"|"&amp;R$5,MCDM_Checks!$A$6:$A$3733,0))</f>
        <v>U</v>
      </c>
      <c r="S20" s="5" t="str">
        <f>INDEX(MCDM_Checks!$K$6:$K$3733,MATCH(A20&amp;"|"&amp;S$5,MCDM_Checks!$A$6:$A$3733,0))</f>
        <v>U</v>
      </c>
      <c r="T20" s="5" t="str">
        <f>INDEX(MCDM_Checks!$K$6:$K$3733,MATCH(A20&amp;"|"&amp;T$5,MCDM_Checks!$A$6:$A$3733,0))</f>
        <v>Y</v>
      </c>
      <c r="U20" s="5" t="str">
        <f>INDEX(MCDM_Checks!$K$6:$K$3733,MATCH(A20&amp;"|"&amp;U$5,MCDM_Checks!$A$6:$A$3733,0))</f>
        <v>Y</v>
      </c>
      <c r="V20" s="5" t="str">
        <f>INDEX(MCDM_Checks!$K$6:$K$3733,MATCH(A20&amp;"|"&amp;V$5,MCDM_Checks!$A$6:$A$3733,0))</f>
        <v>Y</v>
      </c>
      <c r="W20" s="5" t="str">
        <f>INDEX(MCDM_Checks!$K$6:$K$3733,MATCH(A20&amp;"|"&amp;W$5,MCDM_Checks!$A$6:$A$3733,0))</f>
        <v>Y</v>
      </c>
      <c r="X20" s="5" t="str">
        <f>INDEX(MCDM_Checks!$K$6:$K$3733,MATCH(A20&amp;"|"&amp;X$5,MCDM_Checks!$A$6:$A$3733,0))</f>
        <v>Y</v>
      </c>
      <c r="Y20" s="5" t="str">
        <f>INDEX(MCDM_Checks!$K$6:$K$3733,MATCH(A20&amp;"|"&amp;Y$5,MCDM_Checks!$A$6:$A$3733,0))</f>
        <v>Y</v>
      </c>
      <c r="Z20" s="5" t="str">
        <f>INDEX(MCDM_Checks!$K$6:$K$3733,MATCH(A20&amp;"|"&amp;Z$5,MCDM_Checks!$A$6:$A$3733,0))</f>
        <v>Y</v>
      </c>
      <c r="AA20" s="5" t="str">
        <f>INDEX(MCDM_Checks!$K$6:$K$3733,MATCH(A20&amp;"|"&amp;AA$5,MCDM_Checks!$A$6:$A$3733,0))</f>
        <v>Y</v>
      </c>
      <c r="AB20" s="5" t="str">
        <f>INDEX(MCDM_Checks!$K$6:$K$3733,MATCH(A20&amp;"|"&amp;AB$5,MCDM_Checks!$A$6:$A$3733,0))</f>
        <v>U</v>
      </c>
      <c r="AC20" s="12">
        <f>IF(IF($D20="Unlabeled-13",MCDM_Settings!$F$6,MCDM_Settings!$D$6)=0,"n.a.",5*COUNTIF(M20:O20,"Y")/IF($D20="Unlabeled-13",MCDM_Settings!$F$6,MCDM_Settings!$D$6))</f>
        <v>3.3333333333333335</v>
      </c>
      <c r="AD20" s="12">
        <f>IF(IF($D20="Unlabeled-13",MCDM_Settings!$F$6,MCDM_Settings!$D$6)=0,"n.a.",5*(COUNTIF(M20:O20,"Y")+COUNTIF(M20:O20,"U")+COUNTIF(M20:O20,"X"))/IF($D20="Unlabeled-13",MCDM_Settings!$F$6,MCDM_Settings!$D$6))</f>
        <v>5</v>
      </c>
      <c r="AE20" s="13">
        <f>IF(IF($D20="Unlabeled-13",MCDM_Settings!$F$6,MCDM_Settings!$D$6)=0,"n.a.",(COUNTIF(M20:O20,"Y")+COUNTIF(M20:O20,"N"))/IF($D20="Unlabeled-13",MCDM_Settings!$F$6,MCDM_Settings!$D$6))</f>
        <v>0.66666666666666663</v>
      </c>
      <c r="AF20" s="12">
        <f>IF(IF($D20="Unlabeled-13",MCDM_Settings!$F$7,MCDM_Settings!$D$7)=0,"n.a.",5*COUNTIF(P20:R20,"Y")/IF($D20="Unlabeled-13",MCDM_Settings!$F$7,MCDM_Settings!$D$7))</f>
        <v>3.3333333333333335</v>
      </c>
      <c r="AG20" s="12">
        <f>IF(IF($D20="Unlabeled-13",MCDM_Settings!$F$7,MCDM_Settings!$D$7)=0,"n.a.",5*(COUNTIF(P20:R20,"Y")+COUNTIF(P20:R20,"U")+COUNTIF(P20:R20,"X"))/IF($D20="Unlabeled-13",MCDM_Settings!$F$7,MCDM_Settings!$D$7))</f>
        <v>5</v>
      </c>
      <c r="AH20" s="13">
        <f>IF(IF($D20="Unlabeled-13",MCDM_Settings!$F$7,MCDM_Settings!$D$7)=0,"n.a.",(COUNTIF(P20:R20,"Y")+COUNTIF(P20:R20,"N"))/IF($D20="Unlabeled-13",MCDM_Settings!$F$7,MCDM_Settings!$D$7))</f>
        <v>0.66666666666666663</v>
      </c>
      <c r="AI20" s="12">
        <f>IF(IF($D20="Unlabeled-13",MCDM_Settings!$F$8,MCDM_Settings!$D$8)=0,"n.a.",5*COUNTIF(S20:U20,"Y")/IF($D20="Unlabeled-13",MCDM_Settings!$F$8,MCDM_Settings!$D$8))</f>
        <v>3.3333333333333335</v>
      </c>
      <c r="AJ20" s="12">
        <f>IF(IF($D20="Unlabeled-13",MCDM_Settings!$F$8,MCDM_Settings!$D$8)=0,"n.a.",5*(COUNTIF(S20:U20,"Y")+COUNTIF(S20:U20,"U")+COUNTIF(S20:U20,"X"))/IF($D20="Unlabeled-13",MCDM_Settings!$F$8,MCDM_Settings!$D$8))</f>
        <v>5</v>
      </c>
      <c r="AK20" s="13">
        <f>IF(IF($D20="Unlabeled-13",MCDM_Settings!$F$8,MCDM_Settings!$D$8)=0,"n.a.",(COUNTIF(S20:U20,"Y")+COUNTIF(S20:U20,"N"))/IF($D20="Unlabeled-13",MCDM_Settings!$F$8,MCDM_Settings!$D$8))</f>
        <v>0.66666666666666663</v>
      </c>
      <c r="AL20" s="12">
        <f>IF(IF($D20="Unlabeled-13",MCDM_Settings!$F$9,MCDM_Settings!$D$9)=0,"n.a.",5*COUNTIF(V20:W20,"Y")/IF($D20="Unlabeled-13",MCDM_Settings!$F$9,MCDM_Settings!$D$9))</f>
        <v>5</v>
      </c>
      <c r="AM20" s="12">
        <f>IF(IF($D20="Unlabeled-13",MCDM_Settings!$F$9,MCDM_Settings!$D$9)=0,"n.a.",5*(COUNTIF(V20:W20,"Y")+COUNTIF(V20:W20,"U")+COUNTIF(V20:W20,"X"))/IF($D20="Unlabeled-13",MCDM_Settings!$F$9,MCDM_Settings!$D$9))</f>
        <v>5</v>
      </c>
      <c r="AN20" s="13">
        <f>IF(IF($D20="Unlabeled-13",MCDM_Settings!$F$9,MCDM_Settings!$D$9)=0,"n.a.",(COUNTIF(V20:W20,"Y")+COUNTIF(V20:W20,"N"))/IF($D20="Unlabeled-13",MCDM_Settings!$F$9,MCDM_Settings!$D$9))</f>
        <v>1</v>
      </c>
      <c r="AO20" s="12">
        <f>IF(IF($D20="Unlabeled-13",MCDM_Settings!$F$10,MCDM_Settings!$D$10)=0,"n.a.",5*COUNTIF(X20:Y20,"Y")/IF($D20="Unlabeled-13",MCDM_Settings!$F$10,MCDM_Settings!$D$10))</f>
        <v>5</v>
      </c>
      <c r="AP20" s="12">
        <f>IF(IF($D20="Unlabeled-13",MCDM_Settings!$F$10,MCDM_Settings!$D$10)=0,"n.a.",5*(COUNTIF(X20:Y20,"Y")+COUNTIF(X20:Y20,"U")+COUNTIF(X20:Y20,"X"))/IF($D20="Unlabeled-13",MCDM_Settings!$F$10,MCDM_Settings!$D$10))</f>
        <v>5</v>
      </c>
      <c r="AQ20" s="13">
        <f>IF(IF($D20="Unlabeled-13",MCDM_Settings!$F$10,MCDM_Settings!$D$10)=0,"n.a.",(COUNTIF(X20:Y20,"Y")+COUNTIF(X20:Y20,"N"))/IF($D20="Unlabeled-13",MCDM_Settings!$F$10,MCDM_Settings!$D$10))</f>
        <v>1</v>
      </c>
      <c r="AR20" s="12">
        <f>IF(IF($D20="Unlabeled-13",MCDM_Settings!$F$11,MCDM_Settings!$D$11)=0,"n.a.",5*COUNTIF(Z20:AB20,"Y")/IF($D20="Unlabeled-13",MCDM_Settings!$F$11,MCDM_Settings!$D$11))</f>
        <v>3.3333333333333335</v>
      </c>
      <c r="AS20" s="12">
        <f>IF(IF($D20="Unlabeled-13",MCDM_Settings!$F$11,MCDM_Settings!$D$11)=0,"n.a.",5*(COUNTIF(Z20:AB20,"Y")+COUNTIF(Z20:AB20,"U")+COUNTIF(Z20:AB20,"X"))/IF($D20="Unlabeled-13",MCDM_Settings!$F$11,MCDM_Settings!$D$11))</f>
        <v>5</v>
      </c>
      <c r="AT20" s="13">
        <f>IF(IF($D20="Unlabeled-13",MCDM_Settings!$F$11,MCDM_Settings!$D$11)=0,"n.a.",(COUNTIF(Z20:AB20,"Y")+COUNTIF(Z20:AB20,"N"))/IF($D20="Unlabeled-13",MCDM_Settings!$F$11,MCDM_Settings!$D$11))</f>
        <v>0.66666666666666663</v>
      </c>
      <c r="AU20" s="5" t="str">
        <f>IF(AND(INDEX(Manual_Review!$G$6:$G$238,MATCH(A20,Manual_Review!$A$6:$A$238,0))&lt;&gt;"",ISNUMBER(INDEX(Manual_Review!$H$6:$H$238,MATCH(A20,Manual_Review!$A$6:$A$238,0))),INDEX(Manual_Review!$H$6:$H$238,MATCH(A20,Manual_Review!$A$6:$A$238,0))&gt;0,INDEX(Manual_Review!$I$6:$I$238,MATCH(A20,Manual_Review!$A$6:$A$238,0))="Confirmed",INDEX(Manual_Review!$AF$6:$AF$238,MATCH(A20,Manual_Review!$A$6:$A$238,0))&lt;&gt;""),IF(INDEX(Manual_Review!$AA$6:$AA$238,MATCH(A20,Manual_Review!$A$6:$A$238,0))="Pass","Pass",IF(INDEX(Manual_Review!$AA$6:$AA$238,MATCH(A20,Manual_Review!$A$6:$A$238,0))="Fail","Fail","Pending")),"Pending human identity confirmation")</f>
        <v>Pending human identity confirmation</v>
      </c>
      <c r="AV20" s="5" t="str">
        <f>IF(AND(AND(INDEX(Manual_Review!$G$6:$G$238,MATCH(A20,Manual_Review!$A$6:$A$238,0))&lt;&gt;"",ISNUMBER(INDEX(Manual_Review!$H$6:$H$238,MATCH(A20,Manual_Review!$A$6:$A$238,0))),INDEX(Manual_Review!$H$6:$H$238,MATCH(A20,Manual_Review!$A$6:$A$238,0))&gt;0,INDEX(Manual_Review!$I$6:$I$238,MATCH(A20,Manual_Review!$A$6:$A$238,0))="Confirmed",INDEX(Manual_Review!$AF$6:$AF$238,MATCH(A20,Manual_Review!$A$6:$A$238,0))&lt;&gt;""),INDEX(Manual_Review!$AG$6:$AG$238,MATCH(A20,Manual_Review!$A$6:$A$238,0))&lt;&gt;""),IF(INDEX(Manual_Review!$AB$6:$AB$238,MATCH(A20,Manual_Review!$A$6:$A$238,0))="Pass","Pass",IF(INDEX(Manual_Review!$AB$6:$AB$238,MATCH(A20,Manual_Review!$A$6:$A$238,0))="Fail","Fail","Pending")),"Not assessed: define intended task")</f>
        <v>Not assessed: define intended task</v>
      </c>
      <c r="AW20" s="5" t="str">
        <f>IF(AND(AND(INDEX(Manual_Review!$G$6:$G$238,MATCH(A20,Manual_Review!$A$6:$A$238,0))&lt;&gt;"",ISNUMBER(INDEX(Manual_Review!$H$6:$H$238,MATCH(A20,Manual_Review!$A$6:$A$238,0))),INDEX(Manual_Review!$H$6:$H$238,MATCH(A20,Manual_Review!$A$6:$A$238,0))&gt;0,INDEX(Manual_Review!$I$6:$I$238,MATCH(A20,Manual_Review!$A$6:$A$238,0))="Confirmed",INDEX(Manual_Review!$AF$6:$AF$238,MATCH(A20,Manual_Review!$A$6:$A$238,0))&lt;&gt;""),INDEX(Manual_Review!$AG$6:$AG$238,MATCH(A20,Manual_Review!$A$6:$A$238,0))&lt;&gt;""),IF(OR(INDEX(Manual_Review!$AC$6:$AC$238,MATCH(A20,Manual_Review!$A$6:$A$238,0))="Fail",INDEX(Manual_Review!$AD$6:$AD$238,MATCH(A20,Manual_Review!$A$6:$A$238,0))="Fail"),"Fail: rights or retrieval",IF(AND(INDEX(Manual_Review!$AC$6:$AC$238,MATCH(A20,Manual_Review!$A$6:$A$238,0))="Pass",INDEX(Manual_Review!$AD$6:$AD$238,MATCH(A20,Manual_Review!$A$6:$A$238,0))="Pass"),"Pass","Pending rights and retrieval")),"Pending rights and retrieval")</f>
        <v>Pending rights and retrieval</v>
      </c>
      <c r="AX20" s="5" t="str">
        <f>IF(INDEX(Manual_Review!$AG$6:$AG$238,MATCH(A20,Manual_Review!$A$6:$A$238,0))="","N/A: documentation inventory",IF(AND(INDEX(Manual_Review!$G$6:$G$238,MATCH(A20,Manual_Review!$A$6:$A$238,0))&lt;&gt;"",ISNUMBER(INDEX(Manual_Review!$H$6:$H$238,MATCH(A20,Manual_Review!$A$6:$A$238,0))),INDEX(Manual_Review!$H$6:$H$238,MATCH(A20,Manual_Review!$A$6:$A$238,0))&gt;0,INDEX(Manual_Review!$I$6:$I$238,MATCH(A20,Manual_Review!$A$6:$A$238,0))="Confirmed",INDEX(Manual_Review!$AF$6:$AF$238,MATCH(A20,Manual_Review!$A$6:$A$238,0))&lt;&gt;""),IF(INDEX(Manual_Review!$AE$6:$AE$238,MATCH(A20,Manual_Review!$A$6:$A$238,0))="Pass","Pass",IF(INDEX(Manual_Review!$AE$6:$AE$238,MATCH(A20,Manual_Review!$A$6:$A$238,0))="Fail","Fail: benchmark leakage",IF(INDEX(Manual_Review!$AE$6:$AE$238,MATCH(A20,Manual_Review!$A$6:$A$238,0))="N/A","N/A: nonbenchmark task","Pending task-specific leakage check"))),"Pending task-specific leakage check"))</f>
        <v>N/A: documentation inventory</v>
      </c>
      <c r="AY20" s="5" t="str">
        <f>IF(IF(D20="Unlabeled-13",AND(ABS(MCDM_Settings!$D$14-1)&lt;0.0000001,MIN(MCDM_Settings!$E$6:$E$11)&gt;=0,MCDM_Settings!$E$7=0),AND(ABS(MCDM_Settings!$B$14-1)&lt;0.0000001,MIN(MCDM_Settings!$C$6:$C$11)&gt;=0)),"Valid","Check weights")</f>
        <v>Valid</v>
      </c>
      <c r="AZ20" s="5" t="str">
        <f>IF(AND(COUNTIF(MCDM_Checks!$B$6:$B$3733,A20)=16,COUNTIF(Manual_Review!$A$6:$A$238,A20)=1),"16 keys present","Check key count")</f>
        <v>16 keys present</v>
      </c>
    </row>
    <row r="21" spans="1:52">
      <c r="A21" s="5" t="s">
        <v>293</v>
      </c>
      <c r="B21" s="5" t="s">
        <v>294</v>
      </c>
      <c r="C21" s="5"/>
      <c r="D21" s="5" t="s">
        <v>118</v>
      </c>
      <c r="E21" s="12">
        <f>IF(OR(AY21&lt;&gt;"Valid",AZ21&lt;&gt;"16 keys present"),"Review settings",20*(IF(ISNUMBER(AC21),AC21*IF($D21="Unlabeled-13",MCDM_Settings!$E$6,MCDM_Settings!$C$6),0)+IF(ISNUMBER(AF21),AF21*IF($D21="Unlabeled-13",MCDM_Settings!$E$7,MCDM_Settings!$C$7),0)+IF(ISNUMBER(AI21),AI21*IF($D21="Unlabeled-13",MCDM_Settings!$E$8,MCDM_Settings!$C$8),0)+IF(ISNUMBER(AL21),AL21*IF($D21="Unlabeled-13",MCDM_Settings!$E$9,MCDM_Settings!$C$9),0)+IF(ISNUMBER(AO21),AO21*IF($D21="Unlabeled-13",MCDM_Settings!$E$10,MCDM_Settings!$C$10),0)+IF(ISNUMBER(AR21),AR21*IF($D21="Unlabeled-13",MCDM_Settings!$E$11,MCDM_Settings!$C$11),0)))</f>
        <v>61.111111111111107</v>
      </c>
      <c r="F21" s="12">
        <f>IF(OR(AY21&lt;&gt;"Valid",AZ21&lt;&gt;"16 keys present"),"Review settings",20*(IF(ISNUMBER(AD21),AD21*IF($D21="Unlabeled-13",MCDM_Settings!$E$6,MCDM_Settings!$C$6),0)+IF(ISNUMBER(AG21),AG21*IF($D21="Unlabeled-13",MCDM_Settings!$E$7,MCDM_Settings!$C$7),0)+IF(ISNUMBER(AJ21),AJ21*IF($D21="Unlabeled-13",MCDM_Settings!$E$8,MCDM_Settings!$C$8),0)+IF(ISNUMBER(AM21),AM21*IF($D21="Unlabeled-13",MCDM_Settings!$E$9,MCDM_Settings!$C$9),0)+IF(ISNUMBER(AP21),AP21*IF($D21="Unlabeled-13",MCDM_Settings!$E$10,MCDM_Settings!$C$10),0)+IF(ISNUMBER(AS21),AS21*IF($D21="Unlabeled-13",MCDM_Settings!$E$11,MCDM_Settings!$C$11),0)))</f>
        <v>99.999999999999986</v>
      </c>
      <c r="G21" s="13">
        <f>IF(OR(AY21&lt;&gt;"Valid",AZ21&lt;&gt;"16 keys present"),"Review settings",1*(IF(ISNUMBER(AE21),AE21*IF($D21="Unlabeled-13",MCDM_Settings!$E$6,MCDM_Settings!$C$6),0)+IF(ISNUMBER(AH21),AH21*IF($D21="Unlabeled-13",MCDM_Settings!$E$7,MCDM_Settings!$C$7),0)+IF(ISNUMBER(AK21),AK21*IF($D21="Unlabeled-13",MCDM_Settings!$E$8,MCDM_Settings!$C$8),0)+IF(ISNUMBER(AN21),AN21*IF($D21="Unlabeled-13",MCDM_Settings!$E$9,MCDM_Settings!$C$9),0)+IF(ISNUMBER(AQ21),AQ21*IF($D21="Unlabeled-13",MCDM_Settings!$E$10,MCDM_Settings!$C$10),0)+IF(ISNUMBER(AT21),AT21*IF($D21="Unlabeled-13",MCDM_Settings!$E$11,MCDM_Settings!$C$11),0)))</f>
        <v>0.61111111111111116</v>
      </c>
      <c r="H21" s="5" t="str">
        <f>INDEX(Manual_Review!$AH$6:$AH$238,MATCH(A21,Manual_Review!$A$6:$A$238,0))</f>
        <v>Not started</v>
      </c>
      <c r="I21" s="5" t="s">
        <v>128</v>
      </c>
      <c r="J21" s="5" t="s">
        <v>295</v>
      </c>
      <c r="K21" s="5" t="str">
        <f>HYPERLINK("https://github.com/yhlleo/DeepCrack","Dataset")</f>
        <v>Dataset</v>
      </c>
      <c r="L21" s="5" t="str">
        <f>HYPERLINK("#'Manual_Review'!A"&amp;(MATCH("DS-016",Manual_Review!$A$6:$A$238,0)+5),"Enter review")</f>
        <v>Enter review</v>
      </c>
      <c r="M21" s="5" t="str">
        <f>INDEX(MCDM_Checks!$K$6:$K$3733,MATCH(A21&amp;"|"&amp;M$5,MCDM_Checks!$A$6:$A$3733,0))</f>
        <v>Y</v>
      </c>
      <c r="N21" s="5" t="str">
        <f>INDEX(MCDM_Checks!$K$6:$K$3733,MATCH(A21&amp;"|"&amp;N$5,MCDM_Checks!$A$6:$A$3733,0))</f>
        <v>Y</v>
      </c>
      <c r="O21" s="5" t="str">
        <f>INDEX(MCDM_Checks!$K$6:$K$3733,MATCH(A21&amp;"|"&amp;O$5,MCDM_Checks!$A$6:$A$3733,0))</f>
        <v>Y</v>
      </c>
      <c r="P21" s="5" t="str">
        <f>INDEX(MCDM_Checks!$K$6:$K$3733,MATCH(A21&amp;"|"&amp;P$5,MCDM_Checks!$A$6:$A$3733,0))</f>
        <v>Y</v>
      </c>
      <c r="Q21" s="5" t="str">
        <f>INDEX(MCDM_Checks!$K$6:$K$3733,MATCH(A21&amp;"|"&amp;Q$5,MCDM_Checks!$A$6:$A$3733,0))</f>
        <v>Y</v>
      </c>
      <c r="R21" s="5" t="str">
        <f>INDEX(MCDM_Checks!$K$6:$K$3733,MATCH(A21&amp;"|"&amp;R$5,MCDM_Checks!$A$6:$A$3733,0))</f>
        <v>U</v>
      </c>
      <c r="S21" s="5" t="str">
        <f>INDEX(MCDM_Checks!$K$6:$K$3733,MATCH(A21&amp;"|"&amp;S$5,MCDM_Checks!$A$6:$A$3733,0))</f>
        <v>Y</v>
      </c>
      <c r="T21" s="5" t="str">
        <f>INDEX(MCDM_Checks!$K$6:$K$3733,MATCH(A21&amp;"|"&amp;T$5,MCDM_Checks!$A$6:$A$3733,0))</f>
        <v>Y</v>
      </c>
      <c r="U21" s="5" t="str">
        <f>INDEX(MCDM_Checks!$K$6:$K$3733,MATCH(A21&amp;"|"&amp;U$5,MCDM_Checks!$A$6:$A$3733,0))</f>
        <v>Y</v>
      </c>
      <c r="V21" s="5" t="str">
        <f>INDEX(MCDM_Checks!$K$6:$K$3733,MATCH(A21&amp;"|"&amp;V$5,MCDM_Checks!$A$6:$A$3733,0))</f>
        <v>Y</v>
      </c>
      <c r="W21" s="5" t="str">
        <f>INDEX(MCDM_Checks!$K$6:$K$3733,MATCH(A21&amp;"|"&amp;W$5,MCDM_Checks!$A$6:$A$3733,0))</f>
        <v>U</v>
      </c>
      <c r="X21" s="5" t="str">
        <f>INDEX(MCDM_Checks!$K$6:$K$3733,MATCH(A21&amp;"|"&amp;X$5,MCDM_Checks!$A$6:$A$3733,0))</f>
        <v>U</v>
      </c>
      <c r="Y21" s="5" t="str">
        <f>INDEX(MCDM_Checks!$K$6:$K$3733,MATCH(A21&amp;"|"&amp;Y$5,MCDM_Checks!$A$6:$A$3733,0))</f>
        <v>Y</v>
      </c>
      <c r="Z21" s="5" t="str">
        <f>INDEX(MCDM_Checks!$K$6:$K$3733,MATCH(A21&amp;"|"&amp;Z$5,MCDM_Checks!$A$6:$A$3733,0))</f>
        <v>U</v>
      </c>
      <c r="AA21" s="5" t="str">
        <f>INDEX(MCDM_Checks!$K$6:$K$3733,MATCH(A21&amp;"|"&amp;AA$5,MCDM_Checks!$A$6:$A$3733,0))</f>
        <v>U</v>
      </c>
      <c r="AB21" s="5" t="str">
        <f>INDEX(MCDM_Checks!$K$6:$K$3733,MATCH(A21&amp;"|"&amp;AB$5,MCDM_Checks!$A$6:$A$3733,0))</f>
        <v>U</v>
      </c>
      <c r="AC21" s="12">
        <f>IF(IF($D21="Unlabeled-13",MCDM_Settings!$F$6,MCDM_Settings!$D$6)=0,"n.a.",5*COUNTIF(M21:O21,"Y")/IF($D21="Unlabeled-13",MCDM_Settings!$F$6,MCDM_Settings!$D$6))</f>
        <v>5</v>
      </c>
      <c r="AD21" s="12">
        <f>IF(IF($D21="Unlabeled-13",MCDM_Settings!$F$6,MCDM_Settings!$D$6)=0,"n.a.",5*(COUNTIF(M21:O21,"Y")+COUNTIF(M21:O21,"U")+COUNTIF(M21:O21,"X"))/IF($D21="Unlabeled-13",MCDM_Settings!$F$6,MCDM_Settings!$D$6))</f>
        <v>5</v>
      </c>
      <c r="AE21" s="13">
        <f>IF(IF($D21="Unlabeled-13",MCDM_Settings!$F$6,MCDM_Settings!$D$6)=0,"n.a.",(COUNTIF(M21:O21,"Y")+COUNTIF(M21:O21,"N"))/IF($D21="Unlabeled-13",MCDM_Settings!$F$6,MCDM_Settings!$D$6))</f>
        <v>1</v>
      </c>
      <c r="AF21" s="12">
        <f>IF(IF($D21="Unlabeled-13",MCDM_Settings!$F$7,MCDM_Settings!$D$7)=0,"n.a.",5*COUNTIF(P21:R21,"Y")/IF($D21="Unlabeled-13",MCDM_Settings!$F$7,MCDM_Settings!$D$7))</f>
        <v>3.3333333333333335</v>
      </c>
      <c r="AG21" s="12">
        <f>IF(IF($D21="Unlabeled-13",MCDM_Settings!$F$7,MCDM_Settings!$D$7)=0,"n.a.",5*(COUNTIF(P21:R21,"Y")+COUNTIF(P21:R21,"U")+COUNTIF(P21:R21,"X"))/IF($D21="Unlabeled-13",MCDM_Settings!$F$7,MCDM_Settings!$D$7))</f>
        <v>5</v>
      </c>
      <c r="AH21" s="13">
        <f>IF(IF($D21="Unlabeled-13",MCDM_Settings!$F$7,MCDM_Settings!$D$7)=0,"n.a.",(COUNTIF(P21:R21,"Y")+COUNTIF(P21:R21,"N"))/IF($D21="Unlabeled-13",MCDM_Settings!$F$7,MCDM_Settings!$D$7))</f>
        <v>0.66666666666666663</v>
      </c>
      <c r="AI21" s="12">
        <f>IF(IF($D21="Unlabeled-13",MCDM_Settings!$F$8,MCDM_Settings!$D$8)=0,"n.a.",5*COUNTIF(S21:U21,"Y")/IF($D21="Unlabeled-13",MCDM_Settings!$F$8,MCDM_Settings!$D$8))</f>
        <v>5</v>
      </c>
      <c r="AJ21" s="12">
        <f>IF(IF($D21="Unlabeled-13",MCDM_Settings!$F$8,MCDM_Settings!$D$8)=0,"n.a.",5*(COUNTIF(S21:U21,"Y")+COUNTIF(S21:U21,"U")+COUNTIF(S21:U21,"X"))/IF($D21="Unlabeled-13",MCDM_Settings!$F$8,MCDM_Settings!$D$8))</f>
        <v>5</v>
      </c>
      <c r="AK21" s="13">
        <f>IF(IF($D21="Unlabeled-13",MCDM_Settings!$F$8,MCDM_Settings!$D$8)=0,"n.a.",(COUNTIF(S21:U21,"Y")+COUNTIF(S21:U21,"N"))/IF($D21="Unlabeled-13",MCDM_Settings!$F$8,MCDM_Settings!$D$8))</f>
        <v>1</v>
      </c>
      <c r="AL21" s="12">
        <f>IF(IF($D21="Unlabeled-13",MCDM_Settings!$F$9,MCDM_Settings!$D$9)=0,"n.a.",5*COUNTIF(V21:W21,"Y")/IF($D21="Unlabeled-13",MCDM_Settings!$F$9,MCDM_Settings!$D$9))</f>
        <v>2.5</v>
      </c>
      <c r="AM21" s="12">
        <f>IF(IF($D21="Unlabeled-13",MCDM_Settings!$F$9,MCDM_Settings!$D$9)=0,"n.a.",5*(COUNTIF(V21:W21,"Y")+COUNTIF(V21:W21,"U")+COUNTIF(V21:W21,"X"))/IF($D21="Unlabeled-13",MCDM_Settings!$F$9,MCDM_Settings!$D$9))</f>
        <v>5</v>
      </c>
      <c r="AN21" s="13">
        <f>IF(IF($D21="Unlabeled-13",MCDM_Settings!$F$9,MCDM_Settings!$D$9)=0,"n.a.",(COUNTIF(V21:W21,"Y")+COUNTIF(V21:W21,"N"))/IF($D21="Unlabeled-13",MCDM_Settings!$F$9,MCDM_Settings!$D$9))</f>
        <v>0.5</v>
      </c>
      <c r="AO21" s="12">
        <f>IF(IF($D21="Unlabeled-13",MCDM_Settings!$F$10,MCDM_Settings!$D$10)=0,"n.a.",5*COUNTIF(X21:Y21,"Y")/IF($D21="Unlabeled-13",MCDM_Settings!$F$10,MCDM_Settings!$D$10))</f>
        <v>2.5</v>
      </c>
      <c r="AP21" s="12">
        <f>IF(IF($D21="Unlabeled-13",MCDM_Settings!$F$10,MCDM_Settings!$D$10)=0,"n.a.",5*(COUNTIF(X21:Y21,"Y")+COUNTIF(X21:Y21,"U")+COUNTIF(X21:Y21,"X"))/IF($D21="Unlabeled-13",MCDM_Settings!$F$10,MCDM_Settings!$D$10))</f>
        <v>5</v>
      </c>
      <c r="AQ21" s="13">
        <f>IF(IF($D21="Unlabeled-13",MCDM_Settings!$F$10,MCDM_Settings!$D$10)=0,"n.a.",(COUNTIF(X21:Y21,"Y")+COUNTIF(X21:Y21,"N"))/IF($D21="Unlabeled-13",MCDM_Settings!$F$10,MCDM_Settings!$D$10))</f>
        <v>0.5</v>
      </c>
      <c r="AR21" s="12">
        <f>IF(IF($D21="Unlabeled-13",MCDM_Settings!$F$11,MCDM_Settings!$D$11)=0,"n.a.",5*COUNTIF(Z21:AB21,"Y")/IF($D21="Unlabeled-13",MCDM_Settings!$F$11,MCDM_Settings!$D$11))</f>
        <v>0</v>
      </c>
      <c r="AS21" s="12">
        <f>IF(IF($D21="Unlabeled-13",MCDM_Settings!$F$11,MCDM_Settings!$D$11)=0,"n.a.",5*(COUNTIF(Z21:AB21,"Y")+COUNTIF(Z21:AB21,"U")+COUNTIF(Z21:AB21,"X"))/IF($D21="Unlabeled-13",MCDM_Settings!$F$11,MCDM_Settings!$D$11))</f>
        <v>5</v>
      </c>
      <c r="AT21" s="13">
        <f>IF(IF($D21="Unlabeled-13",MCDM_Settings!$F$11,MCDM_Settings!$D$11)=0,"n.a.",(COUNTIF(Z21:AB21,"Y")+COUNTIF(Z21:AB21,"N"))/IF($D21="Unlabeled-13",MCDM_Settings!$F$11,MCDM_Settings!$D$11))</f>
        <v>0</v>
      </c>
      <c r="AU21" s="5" t="str">
        <f>IF(AND(INDEX(Manual_Review!$G$6:$G$238,MATCH(A21,Manual_Review!$A$6:$A$238,0))&lt;&gt;"",ISNUMBER(INDEX(Manual_Review!$H$6:$H$238,MATCH(A21,Manual_Review!$A$6:$A$238,0))),INDEX(Manual_Review!$H$6:$H$238,MATCH(A21,Manual_Review!$A$6:$A$238,0))&gt;0,INDEX(Manual_Review!$I$6:$I$238,MATCH(A21,Manual_Review!$A$6:$A$238,0))="Confirmed",INDEX(Manual_Review!$AF$6:$AF$238,MATCH(A21,Manual_Review!$A$6:$A$238,0))&lt;&gt;""),IF(INDEX(Manual_Review!$AA$6:$AA$238,MATCH(A21,Manual_Review!$A$6:$A$238,0))="Pass","Pass",IF(INDEX(Manual_Review!$AA$6:$AA$238,MATCH(A21,Manual_Review!$A$6:$A$238,0))="Fail","Fail","Pending")),"Pending human identity confirmation")</f>
        <v>Pending human identity confirmation</v>
      </c>
      <c r="AV21" s="5" t="str">
        <f>IF(AND(AND(INDEX(Manual_Review!$G$6:$G$238,MATCH(A21,Manual_Review!$A$6:$A$238,0))&lt;&gt;"",ISNUMBER(INDEX(Manual_Review!$H$6:$H$238,MATCH(A21,Manual_Review!$A$6:$A$238,0))),INDEX(Manual_Review!$H$6:$H$238,MATCH(A21,Manual_Review!$A$6:$A$238,0))&gt;0,INDEX(Manual_Review!$I$6:$I$238,MATCH(A21,Manual_Review!$A$6:$A$238,0))="Confirmed",INDEX(Manual_Review!$AF$6:$AF$238,MATCH(A21,Manual_Review!$A$6:$A$238,0))&lt;&gt;""),INDEX(Manual_Review!$AG$6:$AG$238,MATCH(A21,Manual_Review!$A$6:$A$238,0))&lt;&gt;""),IF(INDEX(Manual_Review!$AB$6:$AB$238,MATCH(A21,Manual_Review!$A$6:$A$238,0))="Pass","Pass",IF(INDEX(Manual_Review!$AB$6:$AB$238,MATCH(A21,Manual_Review!$A$6:$A$238,0))="Fail","Fail","Pending")),"Not assessed: define intended task")</f>
        <v>Not assessed: define intended task</v>
      </c>
      <c r="AW21" s="5" t="str">
        <f>IF(AND(AND(INDEX(Manual_Review!$G$6:$G$238,MATCH(A21,Manual_Review!$A$6:$A$238,0))&lt;&gt;"",ISNUMBER(INDEX(Manual_Review!$H$6:$H$238,MATCH(A21,Manual_Review!$A$6:$A$238,0))),INDEX(Manual_Review!$H$6:$H$238,MATCH(A21,Manual_Review!$A$6:$A$238,0))&gt;0,INDEX(Manual_Review!$I$6:$I$238,MATCH(A21,Manual_Review!$A$6:$A$238,0))="Confirmed",INDEX(Manual_Review!$AF$6:$AF$238,MATCH(A21,Manual_Review!$A$6:$A$238,0))&lt;&gt;""),INDEX(Manual_Review!$AG$6:$AG$238,MATCH(A21,Manual_Review!$A$6:$A$238,0))&lt;&gt;""),IF(OR(INDEX(Manual_Review!$AC$6:$AC$238,MATCH(A21,Manual_Review!$A$6:$A$238,0))="Fail",INDEX(Manual_Review!$AD$6:$AD$238,MATCH(A21,Manual_Review!$A$6:$A$238,0))="Fail"),"Fail: rights or retrieval",IF(AND(INDEX(Manual_Review!$AC$6:$AC$238,MATCH(A21,Manual_Review!$A$6:$A$238,0))="Pass",INDEX(Manual_Review!$AD$6:$AD$238,MATCH(A21,Manual_Review!$A$6:$A$238,0))="Pass"),"Pass","Pending rights and retrieval")),"Pending rights and retrieval")</f>
        <v>Pending rights and retrieval</v>
      </c>
      <c r="AX21" s="5" t="str">
        <f>IF(INDEX(Manual_Review!$AG$6:$AG$238,MATCH(A21,Manual_Review!$A$6:$A$238,0))="","N/A: documentation inventory",IF(AND(INDEX(Manual_Review!$G$6:$G$238,MATCH(A21,Manual_Review!$A$6:$A$238,0))&lt;&gt;"",ISNUMBER(INDEX(Manual_Review!$H$6:$H$238,MATCH(A21,Manual_Review!$A$6:$A$238,0))),INDEX(Manual_Review!$H$6:$H$238,MATCH(A21,Manual_Review!$A$6:$A$238,0))&gt;0,INDEX(Manual_Review!$I$6:$I$238,MATCH(A21,Manual_Review!$A$6:$A$238,0))="Confirmed",INDEX(Manual_Review!$AF$6:$AF$238,MATCH(A21,Manual_Review!$A$6:$A$238,0))&lt;&gt;""),IF(INDEX(Manual_Review!$AE$6:$AE$238,MATCH(A21,Manual_Review!$A$6:$A$238,0))="Pass","Pass",IF(INDEX(Manual_Review!$AE$6:$AE$238,MATCH(A21,Manual_Review!$A$6:$A$238,0))="Fail","Fail: benchmark leakage",IF(INDEX(Manual_Review!$AE$6:$AE$238,MATCH(A21,Manual_Review!$A$6:$A$238,0))="N/A","N/A: nonbenchmark task","Pending task-specific leakage check"))),"Pending task-specific leakage check"))</f>
        <v>N/A: documentation inventory</v>
      </c>
      <c r="AY21" s="5" t="str">
        <f>IF(IF(D21="Unlabeled-13",AND(ABS(MCDM_Settings!$D$14-1)&lt;0.0000001,MIN(MCDM_Settings!$E$6:$E$11)&gt;=0,MCDM_Settings!$E$7=0),AND(ABS(MCDM_Settings!$B$14-1)&lt;0.0000001,MIN(MCDM_Settings!$C$6:$C$11)&gt;=0)),"Valid","Check weights")</f>
        <v>Valid</v>
      </c>
      <c r="AZ21" s="5" t="str">
        <f>IF(AND(COUNTIF(MCDM_Checks!$B$6:$B$3733,A21)=16,COUNTIF(Manual_Review!$A$6:$A$238,A21)=1),"16 keys present","Check key count")</f>
        <v>16 keys present</v>
      </c>
    </row>
    <row r="22" spans="1:52">
      <c r="A22" s="5" t="s">
        <v>302</v>
      </c>
      <c r="B22" s="5" t="s">
        <v>303</v>
      </c>
      <c r="C22" s="5"/>
      <c r="D22" s="5" t="s">
        <v>118</v>
      </c>
      <c r="E22" s="12">
        <f>IF(OR(AY22&lt;&gt;"Valid",AZ22&lt;&gt;"16 keys present"),"Review settings",20*(IF(ISNUMBER(AC22),AC22*IF($D22="Unlabeled-13",MCDM_Settings!$E$6,MCDM_Settings!$C$6),0)+IF(ISNUMBER(AF22),AF22*IF($D22="Unlabeled-13",MCDM_Settings!$E$7,MCDM_Settings!$C$7),0)+IF(ISNUMBER(AI22),AI22*IF($D22="Unlabeled-13",MCDM_Settings!$E$8,MCDM_Settings!$C$8),0)+IF(ISNUMBER(AL22),AL22*IF($D22="Unlabeled-13",MCDM_Settings!$E$9,MCDM_Settings!$C$9),0)+IF(ISNUMBER(AO22),AO22*IF($D22="Unlabeled-13",MCDM_Settings!$E$10,MCDM_Settings!$C$10),0)+IF(ISNUMBER(AR22),AR22*IF($D22="Unlabeled-13",MCDM_Settings!$E$11,MCDM_Settings!$C$11),0)))</f>
        <v>44.444444444444436</v>
      </c>
      <c r="F22" s="12">
        <f>IF(OR(AY22&lt;&gt;"Valid",AZ22&lt;&gt;"16 keys present"),"Review settings",20*(IF(ISNUMBER(AD22),AD22*IF($D22="Unlabeled-13",MCDM_Settings!$E$6,MCDM_Settings!$C$6),0)+IF(ISNUMBER(AG22),AG22*IF($D22="Unlabeled-13",MCDM_Settings!$E$7,MCDM_Settings!$C$7),0)+IF(ISNUMBER(AJ22),AJ22*IF($D22="Unlabeled-13",MCDM_Settings!$E$8,MCDM_Settings!$C$8),0)+IF(ISNUMBER(AM22),AM22*IF($D22="Unlabeled-13",MCDM_Settings!$E$9,MCDM_Settings!$C$9),0)+IF(ISNUMBER(AP22),AP22*IF($D22="Unlabeled-13",MCDM_Settings!$E$10,MCDM_Settings!$C$10),0)+IF(ISNUMBER(AS22),AS22*IF($D22="Unlabeled-13",MCDM_Settings!$E$11,MCDM_Settings!$C$11),0)))</f>
        <v>99.999999999999986</v>
      </c>
      <c r="G22" s="13">
        <f>IF(OR(AY22&lt;&gt;"Valid",AZ22&lt;&gt;"16 keys present"),"Review settings",1*(IF(ISNUMBER(AE22),AE22*IF($D22="Unlabeled-13",MCDM_Settings!$E$6,MCDM_Settings!$C$6),0)+IF(ISNUMBER(AH22),AH22*IF($D22="Unlabeled-13",MCDM_Settings!$E$7,MCDM_Settings!$C$7),0)+IF(ISNUMBER(AK22),AK22*IF($D22="Unlabeled-13",MCDM_Settings!$E$8,MCDM_Settings!$C$8),0)+IF(ISNUMBER(AN22),AN22*IF($D22="Unlabeled-13",MCDM_Settings!$E$9,MCDM_Settings!$C$9),0)+IF(ISNUMBER(AQ22),AQ22*IF($D22="Unlabeled-13",MCDM_Settings!$E$10,MCDM_Settings!$C$10),0)+IF(ISNUMBER(AT22),AT22*IF($D22="Unlabeled-13",MCDM_Settings!$E$11,MCDM_Settings!$C$11),0)))</f>
        <v>0.44444444444444442</v>
      </c>
      <c r="H22" s="5" t="str">
        <f>INDEX(Manual_Review!$AH$6:$AH$238,MATCH(A22,Manual_Review!$A$6:$A$238,0))</f>
        <v>Not started</v>
      </c>
      <c r="I22" s="5" t="s">
        <v>182</v>
      </c>
      <c r="J22" s="5" t="s">
        <v>304</v>
      </c>
      <c r="K22" s="5" t="str">
        <f>HYPERLINK("https://github.com/mqp2259/EdmCrack600","Dataset")</f>
        <v>Dataset</v>
      </c>
      <c r="L22" s="5" t="str">
        <f>HYPERLINK("#'Manual_Review'!A"&amp;(MATCH("DS-017",Manual_Review!$A$6:$A$238,0)+5),"Enter review")</f>
        <v>Enter review</v>
      </c>
      <c r="M22" s="5" t="str">
        <f>INDEX(MCDM_Checks!$K$6:$K$3733,MATCH(A22&amp;"|"&amp;M$5,MCDM_Checks!$A$6:$A$3733,0))</f>
        <v>Y</v>
      </c>
      <c r="N22" s="5" t="str">
        <f>INDEX(MCDM_Checks!$K$6:$K$3733,MATCH(A22&amp;"|"&amp;N$5,MCDM_Checks!$A$6:$A$3733,0))</f>
        <v>Y</v>
      </c>
      <c r="O22" s="5" t="str">
        <f>INDEX(MCDM_Checks!$K$6:$K$3733,MATCH(A22&amp;"|"&amp;O$5,MCDM_Checks!$A$6:$A$3733,0))</f>
        <v>Y</v>
      </c>
      <c r="P22" s="5" t="str">
        <f>INDEX(MCDM_Checks!$K$6:$K$3733,MATCH(A22&amp;"|"&amp;P$5,MCDM_Checks!$A$6:$A$3733,0))</f>
        <v>Y</v>
      </c>
      <c r="Q22" s="5" t="str">
        <f>INDEX(MCDM_Checks!$K$6:$K$3733,MATCH(A22&amp;"|"&amp;Q$5,MCDM_Checks!$A$6:$A$3733,0))</f>
        <v>U</v>
      </c>
      <c r="R22" s="5" t="str">
        <f>INDEX(MCDM_Checks!$K$6:$K$3733,MATCH(A22&amp;"|"&amp;R$5,MCDM_Checks!$A$6:$A$3733,0))</f>
        <v>U</v>
      </c>
      <c r="S22" s="5" t="str">
        <f>INDEX(MCDM_Checks!$K$6:$K$3733,MATCH(A22&amp;"|"&amp;S$5,MCDM_Checks!$A$6:$A$3733,0))</f>
        <v>U</v>
      </c>
      <c r="T22" s="5" t="str">
        <f>INDEX(MCDM_Checks!$K$6:$K$3733,MATCH(A22&amp;"|"&amp;T$5,MCDM_Checks!$A$6:$A$3733,0))</f>
        <v>Y</v>
      </c>
      <c r="U22" s="5" t="str">
        <f>INDEX(MCDM_Checks!$K$6:$K$3733,MATCH(A22&amp;"|"&amp;U$5,MCDM_Checks!$A$6:$A$3733,0))</f>
        <v>U</v>
      </c>
      <c r="V22" s="5" t="str">
        <f>INDEX(MCDM_Checks!$K$6:$K$3733,MATCH(A22&amp;"|"&amp;V$5,MCDM_Checks!$A$6:$A$3733,0))</f>
        <v>Y</v>
      </c>
      <c r="W22" s="5" t="str">
        <f>INDEX(MCDM_Checks!$K$6:$K$3733,MATCH(A22&amp;"|"&amp;W$5,MCDM_Checks!$A$6:$A$3733,0))</f>
        <v>U</v>
      </c>
      <c r="X22" s="5" t="str">
        <f>INDEX(MCDM_Checks!$K$6:$K$3733,MATCH(A22&amp;"|"&amp;X$5,MCDM_Checks!$A$6:$A$3733,0))</f>
        <v>Y</v>
      </c>
      <c r="Y22" s="5" t="str">
        <f>INDEX(MCDM_Checks!$K$6:$K$3733,MATCH(A22&amp;"|"&amp;Y$5,MCDM_Checks!$A$6:$A$3733,0))</f>
        <v>U</v>
      </c>
      <c r="Z22" s="5" t="str">
        <f>INDEX(MCDM_Checks!$K$6:$K$3733,MATCH(A22&amp;"|"&amp;Z$5,MCDM_Checks!$A$6:$A$3733,0))</f>
        <v>U</v>
      </c>
      <c r="AA22" s="5" t="str">
        <f>INDEX(MCDM_Checks!$K$6:$K$3733,MATCH(A22&amp;"|"&amp;AA$5,MCDM_Checks!$A$6:$A$3733,0))</f>
        <v>U</v>
      </c>
      <c r="AB22" s="5" t="str">
        <f>INDEX(MCDM_Checks!$K$6:$K$3733,MATCH(A22&amp;"|"&amp;AB$5,MCDM_Checks!$A$6:$A$3733,0))</f>
        <v>U</v>
      </c>
      <c r="AC22" s="12">
        <f>IF(IF($D22="Unlabeled-13",MCDM_Settings!$F$6,MCDM_Settings!$D$6)=0,"n.a.",5*COUNTIF(M22:O22,"Y")/IF($D22="Unlabeled-13",MCDM_Settings!$F$6,MCDM_Settings!$D$6))</f>
        <v>5</v>
      </c>
      <c r="AD22" s="12">
        <f>IF(IF($D22="Unlabeled-13",MCDM_Settings!$F$6,MCDM_Settings!$D$6)=0,"n.a.",5*(COUNTIF(M22:O22,"Y")+COUNTIF(M22:O22,"U")+COUNTIF(M22:O22,"X"))/IF($D22="Unlabeled-13",MCDM_Settings!$F$6,MCDM_Settings!$D$6))</f>
        <v>5</v>
      </c>
      <c r="AE22" s="13">
        <f>IF(IF($D22="Unlabeled-13",MCDM_Settings!$F$6,MCDM_Settings!$D$6)=0,"n.a.",(COUNTIF(M22:O22,"Y")+COUNTIF(M22:O22,"N"))/IF($D22="Unlabeled-13",MCDM_Settings!$F$6,MCDM_Settings!$D$6))</f>
        <v>1</v>
      </c>
      <c r="AF22" s="12">
        <f>IF(IF($D22="Unlabeled-13",MCDM_Settings!$F$7,MCDM_Settings!$D$7)=0,"n.a.",5*COUNTIF(P22:R22,"Y")/IF($D22="Unlabeled-13",MCDM_Settings!$F$7,MCDM_Settings!$D$7))</f>
        <v>1.6666666666666667</v>
      </c>
      <c r="AG22" s="12">
        <f>IF(IF($D22="Unlabeled-13",MCDM_Settings!$F$7,MCDM_Settings!$D$7)=0,"n.a.",5*(COUNTIF(P22:R22,"Y")+COUNTIF(P22:R22,"U")+COUNTIF(P22:R22,"X"))/IF($D22="Unlabeled-13",MCDM_Settings!$F$7,MCDM_Settings!$D$7))</f>
        <v>5</v>
      </c>
      <c r="AH22" s="13">
        <f>IF(IF($D22="Unlabeled-13",MCDM_Settings!$F$7,MCDM_Settings!$D$7)=0,"n.a.",(COUNTIF(P22:R22,"Y")+COUNTIF(P22:R22,"N"))/IF($D22="Unlabeled-13",MCDM_Settings!$F$7,MCDM_Settings!$D$7))</f>
        <v>0.33333333333333331</v>
      </c>
      <c r="AI22" s="12">
        <f>IF(IF($D22="Unlabeled-13",MCDM_Settings!$F$8,MCDM_Settings!$D$8)=0,"n.a.",5*COUNTIF(S22:U22,"Y")/IF($D22="Unlabeled-13",MCDM_Settings!$F$8,MCDM_Settings!$D$8))</f>
        <v>1.6666666666666667</v>
      </c>
      <c r="AJ22" s="12">
        <f>IF(IF($D22="Unlabeled-13",MCDM_Settings!$F$8,MCDM_Settings!$D$8)=0,"n.a.",5*(COUNTIF(S22:U22,"Y")+COUNTIF(S22:U22,"U")+COUNTIF(S22:U22,"X"))/IF($D22="Unlabeled-13",MCDM_Settings!$F$8,MCDM_Settings!$D$8))</f>
        <v>5</v>
      </c>
      <c r="AK22" s="13">
        <f>IF(IF($D22="Unlabeled-13",MCDM_Settings!$F$8,MCDM_Settings!$D$8)=0,"n.a.",(COUNTIF(S22:U22,"Y")+COUNTIF(S22:U22,"N"))/IF($D22="Unlabeled-13",MCDM_Settings!$F$8,MCDM_Settings!$D$8))</f>
        <v>0.33333333333333331</v>
      </c>
      <c r="AL22" s="12">
        <f>IF(IF($D22="Unlabeled-13",MCDM_Settings!$F$9,MCDM_Settings!$D$9)=0,"n.a.",5*COUNTIF(V22:W22,"Y")/IF($D22="Unlabeled-13",MCDM_Settings!$F$9,MCDM_Settings!$D$9))</f>
        <v>2.5</v>
      </c>
      <c r="AM22" s="12">
        <f>IF(IF($D22="Unlabeled-13",MCDM_Settings!$F$9,MCDM_Settings!$D$9)=0,"n.a.",5*(COUNTIF(V22:W22,"Y")+COUNTIF(V22:W22,"U")+COUNTIF(V22:W22,"X"))/IF($D22="Unlabeled-13",MCDM_Settings!$F$9,MCDM_Settings!$D$9))</f>
        <v>5</v>
      </c>
      <c r="AN22" s="13">
        <f>IF(IF($D22="Unlabeled-13",MCDM_Settings!$F$9,MCDM_Settings!$D$9)=0,"n.a.",(COUNTIF(V22:W22,"Y")+COUNTIF(V22:W22,"N"))/IF($D22="Unlabeled-13",MCDM_Settings!$F$9,MCDM_Settings!$D$9))</f>
        <v>0.5</v>
      </c>
      <c r="AO22" s="12">
        <f>IF(IF($D22="Unlabeled-13",MCDM_Settings!$F$10,MCDM_Settings!$D$10)=0,"n.a.",5*COUNTIF(X22:Y22,"Y")/IF($D22="Unlabeled-13",MCDM_Settings!$F$10,MCDM_Settings!$D$10))</f>
        <v>2.5</v>
      </c>
      <c r="AP22" s="12">
        <f>IF(IF($D22="Unlabeled-13",MCDM_Settings!$F$10,MCDM_Settings!$D$10)=0,"n.a.",5*(COUNTIF(X22:Y22,"Y")+COUNTIF(X22:Y22,"U")+COUNTIF(X22:Y22,"X"))/IF($D22="Unlabeled-13",MCDM_Settings!$F$10,MCDM_Settings!$D$10))</f>
        <v>5</v>
      </c>
      <c r="AQ22" s="13">
        <f>IF(IF($D22="Unlabeled-13",MCDM_Settings!$F$10,MCDM_Settings!$D$10)=0,"n.a.",(COUNTIF(X22:Y22,"Y")+COUNTIF(X22:Y22,"N"))/IF($D22="Unlabeled-13",MCDM_Settings!$F$10,MCDM_Settings!$D$10))</f>
        <v>0.5</v>
      </c>
      <c r="AR22" s="12">
        <f>IF(IF($D22="Unlabeled-13",MCDM_Settings!$F$11,MCDM_Settings!$D$11)=0,"n.a.",5*COUNTIF(Z22:AB22,"Y")/IF($D22="Unlabeled-13",MCDM_Settings!$F$11,MCDM_Settings!$D$11))</f>
        <v>0</v>
      </c>
      <c r="AS22" s="12">
        <f>IF(IF($D22="Unlabeled-13",MCDM_Settings!$F$11,MCDM_Settings!$D$11)=0,"n.a.",5*(COUNTIF(Z22:AB22,"Y")+COUNTIF(Z22:AB22,"U")+COUNTIF(Z22:AB22,"X"))/IF($D22="Unlabeled-13",MCDM_Settings!$F$11,MCDM_Settings!$D$11))</f>
        <v>5</v>
      </c>
      <c r="AT22" s="13">
        <f>IF(IF($D22="Unlabeled-13",MCDM_Settings!$F$11,MCDM_Settings!$D$11)=0,"n.a.",(COUNTIF(Z22:AB22,"Y")+COUNTIF(Z22:AB22,"N"))/IF($D22="Unlabeled-13",MCDM_Settings!$F$11,MCDM_Settings!$D$11))</f>
        <v>0</v>
      </c>
      <c r="AU22" s="5" t="str">
        <f>IF(AND(INDEX(Manual_Review!$G$6:$G$238,MATCH(A22,Manual_Review!$A$6:$A$238,0))&lt;&gt;"",ISNUMBER(INDEX(Manual_Review!$H$6:$H$238,MATCH(A22,Manual_Review!$A$6:$A$238,0))),INDEX(Manual_Review!$H$6:$H$238,MATCH(A22,Manual_Review!$A$6:$A$238,0))&gt;0,INDEX(Manual_Review!$I$6:$I$238,MATCH(A22,Manual_Review!$A$6:$A$238,0))="Confirmed",INDEX(Manual_Review!$AF$6:$AF$238,MATCH(A22,Manual_Review!$A$6:$A$238,0))&lt;&gt;""),IF(INDEX(Manual_Review!$AA$6:$AA$238,MATCH(A22,Manual_Review!$A$6:$A$238,0))="Pass","Pass",IF(INDEX(Manual_Review!$AA$6:$AA$238,MATCH(A22,Manual_Review!$A$6:$A$238,0))="Fail","Fail","Pending")),"Pending human identity confirmation")</f>
        <v>Pending human identity confirmation</v>
      </c>
      <c r="AV22" s="5" t="str">
        <f>IF(AND(AND(INDEX(Manual_Review!$G$6:$G$238,MATCH(A22,Manual_Review!$A$6:$A$238,0))&lt;&gt;"",ISNUMBER(INDEX(Manual_Review!$H$6:$H$238,MATCH(A22,Manual_Review!$A$6:$A$238,0))),INDEX(Manual_Review!$H$6:$H$238,MATCH(A22,Manual_Review!$A$6:$A$238,0))&gt;0,INDEX(Manual_Review!$I$6:$I$238,MATCH(A22,Manual_Review!$A$6:$A$238,0))="Confirmed",INDEX(Manual_Review!$AF$6:$AF$238,MATCH(A22,Manual_Review!$A$6:$A$238,0))&lt;&gt;""),INDEX(Manual_Review!$AG$6:$AG$238,MATCH(A22,Manual_Review!$A$6:$A$238,0))&lt;&gt;""),IF(INDEX(Manual_Review!$AB$6:$AB$238,MATCH(A22,Manual_Review!$A$6:$A$238,0))="Pass","Pass",IF(INDEX(Manual_Review!$AB$6:$AB$238,MATCH(A22,Manual_Review!$A$6:$A$238,0))="Fail","Fail","Pending")),"Not assessed: define intended task")</f>
        <v>Not assessed: define intended task</v>
      </c>
      <c r="AW22" s="5" t="str">
        <f>IF(AND(AND(INDEX(Manual_Review!$G$6:$G$238,MATCH(A22,Manual_Review!$A$6:$A$238,0))&lt;&gt;"",ISNUMBER(INDEX(Manual_Review!$H$6:$H$238,MATCH(A22,Manual_Review!$A$6:$A$238,0))),INDEX(Manual_Review!$H$6:$H$238,MATCH(A22,Manual_Review!$A$6:$A$238,0))&gt;0,INDEX(Manual_Review!$I$6:$I$238,MATCH(A22,Manual_Review!$A$6:$A$238,0))="Confirmed",INDEX(Manual_Review!$AF$6:$AF$238,MATCH(A22,Manual_Review!$A$6:$A$238,0))&lt;&gt;""),INDEX(Manual_Review!$AG$6:$AG$238,MATCH(A22,Manual_Review!$A$6:$A$238,0))&lt;&gt;""),IF(OR(INDEX(Manual_Review!$AC$6:$AC$238,MATCH(A22,Manual_Review!$A$6:$A$238,0))="Fail",INDEX(Manual_Review!$AD$6:$AD$238,MATCH(A22,Manual_Review!$A$6:$A$238,0))="Fail"),"Fail: rights or retrieval",IF(AND(INDEX(Manual_Review!$AC$6:$AC$238,MATCH(A22,Manual_Review!$A$6:$A$238,0))="Pass",INDEX(Manual_Review!$AD$6:$AD$238,MATCH(A22,Manual_Review!$A$6:$A$238,0))="Pass"),"Pass","Pending rights and retrieval")),"Pending rights and retrieval")</f>
        <v>Pending rights and retrieval</v>
      </c>
      <c r="AX22" s="5" t="str">
        <f>IF(INDEX(Manual_Review!$AG$6:$AG$238,MATCH(A22,Manual_Review!$A$6:$A$238,0))="","N/A: documentation inventory",IF(AND(INDEX(Manual_Review!$G$6:$G$238,MATCH(A22,Manual_Review!$A$6:$A$238,0))&lt;&gt;"",ISNUMBER(INDEX(Manual_Review!$H$6:$H$238,MATCH(A22,Manual_Review!$A$6:$A$238,0))),INDEX(Manual_Review!$H$6:$H$238,MATCH(A22,Manual_Review!$A$6:$A$238,0))&gt;0,INDEX(Manual_Review!$I$6:$I$238,MATCH(A22,Manual_Review!$A$6:$A$238,0))="Confirmed",INDEX(Manual_Review!$AF$6:$AF$238,MATCH(A22,Manual_Review!$A$6:$A$238,0))&lt;&gt;""),IF(INDEX(Manual_Review!$AE$6:$AE$238,MATCH(A22,Manual_Review!$A$6:$A$238,0))="Pass","Pass",IF(INDEX(Manual_Review!$AE$6:$AE$238,MATCH(A22,Manual_Review!$A$6:$A$238,0))="Fail","Fail: benchmark leakage",IF(INDEX(Manual_Review!$AE$6:$AE$238,MATCH(A22,Manual_Review!$A$6:$A$238,0))="N/A","N/A: nonbenchmark task","Pending task-specific leakage check"))),"Pending task-specific leakage check"))</f>
        <v>N/A: documentation inventory</v>
      </c>
      <c r="AY22" s="5" t="str">
        <f>IF(IF(D22="Unlabeled-13",AND(ABS(MCDM_Settings!$D$14-1)&lt;0.0000001,MIN(MCDM_Settings!$E$6:$E$11)&gt;=0,MCDM_Settings!$E$7=0),AND(ABS(MCDM_Settings!$B$14-1)&lt;0.0000001,MIN(MCDM_Settings!$C$6:$C$11)&gt;=0)),"Valid","Check weights")</f>
        <v>Valid</v>
      </c>
      <c r="AZ22" s="5" t="str">
        <f>IF(AND(COUNTIF(MCDM_Checks!$B$6:$B$3733,A22)=16,COUNTIF(Manual_Review!$A$6:$A$238,A22)=1),"16 keys present","Check key count")</f>
        <v>16 keys present</v>
      </c>
    </row>
    <row r="23" spans="1:52">
      <c r="A23" s="5" t="s">
        <v>317</v>
      </c>
      <c r="B23" s="5" t="s">
        <v>318</v>
      </c>
      <c r="C23" s="5"/>
      <c r="D23" s="5" t="s">
        <v>118</v>
      </c>
      <c r="E23" s="12">
        <f>IF(OR(AY23&lt;&gt;"Valid",AZ23&lt;&gt;"16 keys present"),"Review settings",20*(IF(ISNUMBER(AC23),AC23*IF($D23="Unlabeled-13",MCDM_Settings!$E$6,MCDM_Settings!$C$6),0)+IF(ISNUMBER(AF23),AF23*IF($D23="Unlabeled-13",MCDM_Settings!$E$7,MCDM_Settings!$C$7),0)+IF(ISNUMBER(AI23),AI23*IF($D23="Unlabeled-13",MCDM_Settings!$E$8,MCDM_Settings!$C$8),0)+IF(ISNUMBER(AL23),AL23*IF($D23="Unlabeled-13",MCDM_Settings!$E$9,MCDM_Settings!$C$9),0)+IF(ISNUMBER(AO23),AO23*IF($D23="Unlabeled-13",MCDM_Settings!$E$10,MCDM_Settings!$C$10),0)+IF(ISNUMBER(AR23),AR23*IF($D23="Unlabeled-13",MCDM_Settings!$E$11,MCDM_Settings!$C$11),0)))</f>
        <v>75</v>
      </c>
      <c r="F23" s="12">
        <f>IF(OR(AY23&lt;&gt;"Valid",AZ23&lt;&gt;"16 keys present"),"Review settings",20*(IF(ISNUMBER(AD23),AD23*IF($D23="Unlabeled-13",MCDM_Settings!$E$6,MCDM_Settings!$C$6),0)+IF(ISNUMBER(AG23),AG23*IF($D23="Unlabeled-13",MCDM_Settings!$E$7,MCDM_Settings!$C$7),0)+IF(ISNUMBER(AJ23),AJ23*IF($D23="Unlabeled-13",MCDM_Settings!$E$8,MCDM_Settings!$C$8),0)+IF(ISNUMBER(AM23),AM23*IF($D23="Unlabeled-13",MCDM_Settings!$E$9,MCDM_Settings!$C$9),0)+IF(ISNUMBER(AP23),AP23*IF($D23="Unlabeled-13",MCDM_Settings!$E$10,MCDM_Settings!$C$10),0)+IF(ISNUMBER(AS23),AS23*IF($D23="Unlabeled-13",MCDM_Settings!$E$11,MCDM_Settings!$C$11),0)))</f>
        <v>99.999999999999986</v>
      </c>
      <c r="G23" s="13">
        <f>IF(OR(AY23&lt;&gt;"Valid",AZ23&lt;&gt;"16 keys present"),"Review settings",1*(IF(ISNUMBER(AE23),AE23*IF($D23="Unlabeled-13",MCDM_Settings!$E$6,MCDM_Settings!$C$6),0)+IF(ISNUMBER(AH23),AH23*IF($D23="Unlabeled-13",MCDM_Settings!$E$7,MCDM_Settings!$C$7),0)+IF(ISNUMBER(AK23),AK23*IF($D23="Unlabeled-13",MCDM_Settings!$E$8,MCDM_Settings!$C$8),0)+IF(ISNUMBER(AN23),AN23*IF($D23="Unlabeled-13",MCDM_Settings!$E$9,MCDM_Settings!$C$9),0)+IF(ISNUMBER(AQ23),AQ23*IF($D23="Unlabeled-13",MCDM_Settings!$E$10,MCDM_Settings!$C$10),0)+IF(ISNUMBER(AT23),AT23*IF($D23="Unlabeled-13",MCDM_Settings!$E$11,MCDM_Settings!$C$11),0)))</f>
        <v>0.74999999999999989</v>
      </c>
      <c r="H23" s="5" t="str">
        <f>INDEX(Manual_Review!$AH$6:$AH$238,MATCH(A23,Manual_Review!$A$6:$A$238,0))</f>
        <v>Not started</v>
      </c>
      <c r="I23" s="5" t="s">
        <v>128</v>
      </c>
      <c r="J23" s="5" t="s">
        <v>319</v>
      </c>
      <c r="K23" s="5" t="str">
        <f>HYPERLINK("https://github.com/fyangneil/pavement-crack-detection","Dataset")</f>
        <v>Dataset</v>
      </c>
      <c r="L23" s="5" t="str">
        <f>HYPERLINK("#'Manual_Review'!A"&amp;(MATCH("DS-018",Manual_Review!$A$6:$A$238,0)+5),"Enter review")</f>
        <v>Enter review</v>
      </c>
      <c r="M23" s="5" t="str">
        <f>INDEX(MCDM_Checks!$K$6:$K$3733,MATCH(A23&amp;"|"&amp;M$5,MCDM_Checks!$A$6:$A$3733,0))</f>
        <v>Y</v>
      </c>
      <c r="N23" s="5" t="str">
        <f>INDEX(MCDM_Checks!$K$6:$K$3733,MATCH(A23&amp;"|"&amp;N$5,MCDM_Checks!$A$6:$A$3733,0))</f>
        <v>Y</v>
      </c>
      <c r="O23" s="5" t="str">
        <f>INDEX(MCDM_Checks!$K$6:$K$3733,MATCH(A23&amp;"|"&amp;O$5,MCDM_Checks!$A$6:$A$3733,0))</f>
        <v>U</v>
      </c>
      <c r="P23" s="5" t="str">
        <f>INDEX(MCDM_Checks!$K$6:$K$3733,MATCH(A23&amp;"|"&amp;P$5,MCDM_Checks!$A$6:$A$3733,0))</f>
        <v>Y</v>
      </c>
      <c r="Q23" s="5" t="str">
        <f>INDEX(MCDM_Checks!$K$6:$K$3733,MATCH(A23&amp;"|"&amp;Q$5,MCDM_Checks!$A$6:$A$3733,0))</f>
        <v>Y</v>
      </c>
      <c r="R23" s="5" t="str">
        <f>INDEX(MCDM_Checks!$K$6:$K$3733,MATCH(A23&amp;"|"&amp;R$5,MCDM_Checks!$A$6:$A$3733,0))</f>
        <v>U</v>
      </c>
      <c r="S23" s="5" t="str">
        <f>INDEX(MCDM_Checks!$K$6:$K$3733,MATCH(A23&amp;"|"&amp;S$5,MCDM_Checks!$A$6:$A$3733,0))</f>
        <v>U</v>
      </c>
      <c r="T23" s="5" t="str">
        <f>INDEX(MCDM_Checks!$K$6:$K$3733,MATCH(A23&amp;"|"&amp;T$5,MCDM_Checks!$A$6:$A$3733,0))</f>
        <v>Y</v>
      </c>
      <c r="U23" s="5" t="str">
        <f>INDEX(MCDM_Checks!$K$6:$K$3733,MATCH(A23&amp;"|"&amp;U$5,MCDM_Checks!$A$6:$A$3733,0))</f>
        <v>Y</v>
      </c>
      <c r="V23" s="5" t="str">
        <f>INDEX(MCDM_Checks!$K$6:$K$3733,MATCH(A23&amp;"|"&amp;V$5,MCDM_Checks!$A$6:$A$3733,0))</f>
        <v>Y</v>
      </c>
      <c r="W23" s="5" t="str">
        <f>INDEX(MCDM_Checks!$K$6:$K$3733,MATCH(A23&amp;"|"&amp;W$5,MCDM_Checks!$A$6:$A$3733,0))</f>
        <v>U</v>
      </c>
      <c r="X23" s="5" t="str">
        <f>INDEX(MCDM_Checks!$K$6:$K$3733,MATCH(A23&amp;"|"&amp;X$5,MCDM_Checks!$A$6:$A$3733,0))</f>
        <v>Y</v>
      </c>
      <c r="Y23" s="5" t="str">
        <f>INDEX(MCDM_Checks!$K$6:$K$3733,MATCH(A23&amp;"|"&amp;Y$5,MCDM_Checks!$A$6:$A$3733,0))</f>
        <v>Y</v>
      </c>
      <c r="Z23" s="5" t="str">
        <f>INDEX(MCDM_Checks!$K$6:$K$3733,MATCH(A23&amp;"|"&amp;Z$5,MCDM_Checks!$A$6:$A$3733,0))</f>
        <v>Y</v>
      </c>
      <c r="AA23" s="5" t="str">
        <f>INDEX(MCDM_Checks!$K$6:$K$3733,MATCH(A23&amp;"|"&amp;AA$5,MCDM_Checks!$A$6:$A$3733,0))</f>
        <v>Y</v>
      </c>
      <c r="AB23" s="5" t="str">
        <f>INDEX(MCDM_Checks!$K$6:$K$3733,MATCH(A23&amp;"|"&amp;AB$5,MCDM_Checks!$A$6:$A$3733,0))</f>
        <v>Y</v>
      </c>
      <c r="AC23" s="12">
        <f>IF(IF($D23="Unlabeled-13",MCDM_Settings!$F$6,MCDM_Settings!$D$6)=0,"n.a.",5*COUNTIF(M23:O23,"Y")/IF($D23="Unlabeled-13",MCDM_Settings!$F$6,MCDM_Settings!$D$6))</f>
        <v>3.3333333333333335</v>
      </c>
      <c r="AD23" s="12">
        <f>IF(IF($D23="Unlabeled-13",MCDM_Settings!$F$6,MCDM_Settings!$D$6)=0,"n.a.",5*(COUNTIF(M23:O23,"Y")+COUNTIF(M23:O23,"U")+COUNTIF(M23:O23,"X"))/IF($D23="Unlabeled-13",MCDM_Settings!$F$6,MCDM_Settings!$D$6))</f>
        <v>5</v>
      </c>
      <c r="AE23" s="13">
        <f>IF(IF($D23="Unlabeled-13",MCDM_Settings!$F$6,MCDM_Settings!$D$6)=0,"n.a.",(COUNTIF(M23:O23,"Y")+COUNTIF(M23:O23,"N"))/IF($D23="Unlabeled-13",MCDM_Settings!$F$6,MCDM_Settings!$D$6))</f>
        <v>0.66666666666666663</v>
      </c>
      <c r="AF23" s="12">
        <f>IF(IF($D23="Unlabeled-13",MCDM_Settings!$F$7,MCDM_Settings!$D$7)=0,"n.a.",5*COUNTIF(P23:R23,"Y")/IF($D23="Unlabeled-13",MCDM_Settings!$F$7,MCDM_Settings!$D$7))</f>
        <v>3.3333333333333335</v>
      </c>
      <c r="AG23" s="12">
        <f>IF(IF($D23="Unlabeled-13",MCDM_Settings!$F$7,MCDM_Settings!$D$7)=0,"n.a.",5*(COUNTIF(P23:R23,"Y")+COUNTIF(P23:R23,"U")+COUNTIF(P23:R23,"X"))/IF($D23="Unlabeled-13",MCDM_Settings!$F$7,MCDM_Settings!$D$7))</f>
        <v>5</v>
      </c>
      <c r="AH23" s="13">
        <f>IF(IF($D23="Unlabeled-13",MCDM_Settings!$F$7,MCDM_Settings!$D$7)=0,"n.a.",(COUNTIF(P23:R23,"Y")+COUNTIF(P23:R23,"N"))/IF($D23="Unlabeled-13",MCDM_Settings!$F$7,MCDM_Settings!$D$7))</f>
        <v>0.66666666666666663</v>
      </c>
      <c r="AI23" s="12">
        <f>IF(IF($D23="Unlabeled-13",MCDM_Settings!$F$8,MCDM_Settings!$D$8)=0,"n.a.",5*COUNTIF(S23:U23,"Y")/IF($D23="Unlabeled-13",MCDM_Settings!$F$8,MCDM_Settings!$D$8))</f>
        <v>3.3333333333333335</v>
      </c>
      <c r="AJ23" s="12">
        <f>IF(IF($D23="Unlabeled-13",MCDM_Settings!$F$8,MCDM_Settings!$D$8)=0,"n.a.",5*(COUNTIF(S23:U23,"Y")+COUNTIF(S23:U23,"U")+COUNTIF(S23:U23,"X"))/IF($D23="Unlabeled-13",MCDM_Settings!$F$8,MCDM_Settings!$D$8))</f>
        <v>5</v>
      </c>
      <c r="AK23" s="13">
        <f>IF(IF($D23="Unlabeled-13",MCDM_Settings!$F$8,MCDM_Settings!$D$8)=0,"n.a.",(COUNTIF(S23:U23,"Y")+COUNTIF(S23:U23,"N"))/IF($D23="Unlabeled-13",MCDM_Settings!$F$8,MCDM_Settings!$D$8))</f>
        <v>0.66666666666666663</v>
      </c>
      <c r="AL23" s="12">
        <f>IF(IF($D23="Unlabeled-13",MCDM_Settings!$F$9,MCDM_Settings!$D$9)=0,"n.a.",5*COUNTIF(V23:W23,"Y")/IF($D23="Unlabeled-13",MCDM_Settings!$F$9,MCDM_Settings!$D$9))</f>
        <v>2.5</v>
      </c>
      <c r="AM23" s="12">
        <f>IF(IF($D23="Unlabeled-13",MCDM_Settings!$F$9,MCDM_Settings!$D$9)=0,"n.a.",5*(COUNTIF(V23:W23,"Y")+COUNTIF(V23:W23,"U")+COUNTIF(V23:W23,"X"))/IF($D23="Unlabeled-13",MCDM_Settings!$F$9,MCDM_Settings!$D$9))</f>
        <v>5</v>
      </c>
      <c r="AN23" s="13">
        <f>IF(IF($D23="Unlabeled-13",MCDM_Settings!$F$9,MCDM_Settings!$D$9)=0,"n.a.",(COUNTIF(V23:W23,"Y")+COUNTIF(V23:W23,"N"))/IF($D23="Unlabeled-13",MCDM_Settings!$F$9,MCDM_Settings!$D$9))</f>
        <v>0.5</v>
      </c>
      <c r="AO23" s="12">
        <f>IF(IF($D23="Unlabeled-13",MCDM_Settings!$F$10,MCDM_Settings!$D$10)=0,"n.a.",5*COUNTIF(X23:Y23,"Y")/IF($D23="Unlabeled-13",MCDM_Settings!$F$10,MCDM_Settings!$D$10))</f>
        <v>5</v>
      </c>
      <c r="AP23" s="12">
        <f>IF(IF($D23="Unlabeled-13",MCDM_Settings!$F$10,MCDM_Settings!$D$10)=0,"n.a.",5*(COUNTIF(X23:Y23,"Y")+COUNTIF(X23:Y23,"U")+COUNTIF(X23:Y23,"X"))/IF($D23="Unlabeled-13",MCDM_Settings!$F$10,MCDM_Settings!$D$10))</f>
        <v>5</v>
      </c>
      <c r="AQ23" s="13">
        <f>IF(IF($D23="Unlabeled-13",MCDM_Settings!$F$10,MCDM_Settings!$D$10)=0,"n.a.",(COUNTIF(X23:Y23,"Y")+COUNTIF(X23:Y23,"N"))/IF($D23="Unlabeled-13",MCDM_Settings!$F$10,MCDM_Settings!$D$10))</f>
        <v>1</v>
      </c>
      <c r="AR23" s="12">
        <f>IF(IF($D23="Unlabeled-13",MCDM_Settings!$F$11,MCDM_Settings!$D$11)=0,"n.a.",5*COUNTIF(Z23:AB23,"Y")/IF($D23="Unlabeled-13",MCDM_Settings!$F$11,MCDM_Settings!$D$11))</f>
        <v>5</v>
      </c>
      <c r="AS23" s="12">
        <f>IF(IF($D23="Unlabeled-13",MCDM_Settings!$F$11,MCDM_Settings!$D$11)=0,"n.a.",5*(COUNTIF(Z23:AB23,"Y")+COUNTIF(Z23:AB23,"U")+COUNTIF(Z23:AB23,"X"))/IF($D23="Unlabeled-13",MCDM_Settings!$F$11,MCDM_Settings!$D$11))</f>
        <v>5</v>
      </c>
      <c r="AT23" s="13">
        <f>IF(IF($D23="Unlabeled-13",MCDM_Settings!$F$11,MCDM_Settings!$D$11)=0,"n.a.",(COUNTIF(Z23:AB23,"Y")+COUNTIF(Z23:AB23,"N"))/IF($D23="Unlabeled-13",MCDM_Settings!$F$11,MCDM_Settings!$D$11))</f>
        <v>1</v>
      </c>
      <c r="AU23" s="5" t="str">
        <f>IF(AND(INDEX(Manual_Review!$G$6:$G$238,MATCH(A23,Manual_Review!$A$6:$A$238,0))&lt;&gt;"",ISNUMBER(INDEX(Manual_Review!$H$6:$H$238,MATCH(A23,Manual_Review!$A$6:$A$238,0))),INDEX(Manual_Review!$H$6:$H$238,MATCH(A23,Manual_Review!$A$6:$A$238,0))&gt;0,INDEX(Manual_Review!$I$6:$I$238,MATCH(A23,Manual_Review!$A$6:$A$238,0))="Confirmed",INDEX(Manual_Review!$AF$6:$AF$238,MATCH(A23,Manual_Review!$A$6:$A$238,0))&lt;&gt;""),IF(INDEX(Manual_Review!$AA$6:$AA$238,MATCH(A23,Manual_Review!$A$6:$A$238,0))="Pass","Pass",IF(INDEX(Manual_Review!$AA$6:$AA$238,MATCH(A23,Manual_Review!$A$6:$A$238,0))="Fail","Fail","Pending")),"Pending human identity confirmation")</f>
        <v>Pending human identity confirmation</v>
      </c>
      <c r="AV23" s="5" t="str">
        <f>IF(AND(AND(INDEX(Manual_Review!$G$6:$G$238,MATCH(A23,Manual_Review!$A$6:$A$238,0))&lt;&gt;"",ISNUMBER(INDEX(Manual_Review!$H$6:$H$238,MATCH(A23,Manual_Review!$A$6:$A$238,0))),INDEX(Manual_Review!$H$6:$H$238,MATCH(A23,Manual_Review!$A$6:$A$238,0))&gt;0,INDEX(Manual_Review!$I$6:$I$238,MATCH(A23,Manual_Review!$A$6:$A$238,0))="Confirmed",INDEX(Manual_Review!$AF$6:$AF$238,MATCH(A23,Manual_Review!$A$6:$A$238,0))&lt;&gt;""),INDEX(Manual_Review!$AG$6:$AG$238,MATCH(A23,Manual_Review!$A$6:$A$238,0))&lt;&gt;""),IF(INDEX(Manual_Review!$AB$6:$AB$238,MATCH(A23,Manual_Review!$A$6:$A$238,0))="Pass","Pass",IF(INDEX(Manual_Review!$AB$6:$AB$238,MATCH(A23,Manual_Review!$A$6:$A$238,0))="Fail","Fail","Pending")),"Not assessed: define intended task")</f>
        <v>Not assessed: define intended task</v>
      </c>
      <c r="AW23" s="5" t="str">
        <f>IF(AND(AND(INDEX(Manual_Review!$G$6:$G$238,MATCH(A23,Manual_Review!$A$6:$A$238,0))&lt;&gt;"",ISNUMBER(INDEX(Manual_Review!$H$6:$H$238,MATCH(A23,Manual_Review!$A$6:$A$238,0))),INDEX(Manual_Review!$H$6:$H$238,MATCH(A23,Manual_Review!$A$6:$A$238,0))&gt;0,INDEX(Manual_Review!$I$6:$I$238,MATCH(A23,Manual_Review!$A$6:$A$238,0))="Confirmed",INDEX(Manual_Review!$AF$6:$AF$238,MATCH(A23,Manual_Review!$A$6:$A$238,0))&lt;&gt;""),INDEX(Manual_Review!$AG$6:$AG$238,MATCH(A23,Manual_Review!$A$6:$A$238,0))&lt;&gt;""),IF(OR(INDEX(Manual_Review!$AC$6:$AC$238,MATCH(A23,Manual_Review!$A$6:$A$238,0))="Fail",INDEX(Manual_Review!$AD$6:$AD$238,MATCH(A23,Manual_Review!$A$6:$A$238,0))="Fail"),"Fail: rights or retrieval",IF(AND(INDEX(Manual_Review!$AC$6:$AC$238,MATCH(A23,Manual_Review!$A$6:$A$238,0))="Pass",INDEX(Manual_Review!$AD$6:$AD$238,MATCH(A23,Manual_Review!$A$6:$A$238,0))="Pass"),"Pass","Pending rights and retrieval")),"Pending rights and retrieval")</f>
        <v>Pending rights and retrieval</v>
      </c>
      <c r="AX23" s="5" t="str">
        <f>IF(INDEX(Manual_Review!$AG$6:$AG$238,MATCH(A23,Manual_Review!$A$6:$A$238,0))="","N/A: documentation inventory",IF(AND(INDEX(Manual_Review!$G$6:$G$238,MATCH(A23,Manual_Review!$A$6:$A$238,0))&lt;&gt;"",ISNUMBER(INDEX(Manual_Review!$H$6:$H$238,MATCH(A23,Manual_Review!$A$6:$A$238,0))),INDEX(Manual_Review!$H$6:$H$238,MATCH(A23,Manual_Review!$A$6:$A$238,0))&gt;0,INDEX(Manual_Review!$I$6:$I$238,MATCH(A23,Manual_Review!$A$6:$A$238,0))="Confirmed",INDEX(Manual_Review!$AF$6:$AF$238,MATCH(A23,Manual_Review!$A$6:$A$238,0))&lt;&gt;""),IF(INDEX(Manual_Review!$AE$6:$AE$238,MATCH(A23,Manual_Review!$A$6:$A$238,0))="Pass","Pass",IF(INDEX(Manual_Review!$AE$6:$AE$238,MATCH(A23,Manual_Review!$A$6:$A$238,0))="Fail","Fail: benchmark leakage",IF(INDEX(Manual_Review!$AE$6:$AE$238,MATCH(A23,Manual_Review!$A$6:$A$238,0))="N/A","N/A: nonbenchmark task","Pending task-specific leakage check"))),"Pending task-specific leakage check"))</f>
        <v>N/A: documentation inventory</v>
      </c>
      <c r="AY23" s="5" t="str">
        <f>IF(IF(D23="Unlabeled-13",AND(ABS(MCDM_Settings!$D$14-1)&lt;0.0000001,MIN(MCDM_Settings!$E$6:$E$11)&gt;=0,MCDM_Settings!$E$7=0),AND(ABS(MCDM_Settings!$B$14-1)&lt;0.0000001,MIN(MCDM_Settings!$C$6:$C$11)&gt;=0)),"Valid","Check weights")</f>
        <v>Valid</v>
      </c>
      <c r="AZ23" s="5" t="str">
        <f>IF(AND(COUNTIF(MCDM_Checks!$B$6:$B$3733,A23)=16,COUNTIF(Manual_Review!$A$6:$A$238,A23)=1),"16 keys present","Check key count")</f>
        <v>16 keys present</v>
      </c>
    </row>
    <row r="24" spans="1:52" ht="25.5">
      <c r="A24" s="5" t="s">
        <v>329</v>
      </c>
      <c r="B24" s="5" t="s">
        <v>330</v>
      </c>
      <c r="C24" s="5"/>
      <c r="D24" s="5" t="s">
        <v>118</v>
      </c>
      <c r="E24" s="12">
        <f>IF(OR(AY24&lt;&gt;"Valid",AZ24&lt;&gt;"16 keys present"),"Review settings",20*(IF(ISNUMBER(AC24),AC24*IF($D24="Unlabeled-13",MCDM_Settings!$E$6,MCDM_Settings!$C$6),0)+IF(ISNUMBER(AF24),AF24*IF($D24="Unlabeled-13",MCDM_Settings!$E$7,MCDM_Settings!$C$7),0)+IF(ISNUMBER(AI24),AI24*IF($D24="Unlabeled-13",MCDM_Settings!$E$8,MCDM_Settings!$C$8),0)+IF(ISNUMBER(AL24),AL24*IF($D24="Unlabeled-13",MCDM_Settings!$E$9,MCDM_Settings!$C$9),0)+IF(ISNUMBER(AO24),AO24*IF($D24="Unlabeled-13",MCDM_Settings!$E$10,MCDM_Settings!$C$10),0)+IF(ISNUMBER(AR24),AR24*IF($D24="Unlabeled-13",MCDM_Settings!$E$11,MCDM_Settings!$C$11),0)))</f>
        <v>16.666666666666668</v>
      </c>
      <c r="F24" s="12">
        <f>IF(OR(AY24&lt;&gt;"Valid",AZ24&lt;&gt;"16 keys present"),"Review settings",20*(IF(ISNUMBER(AD24),AD24*IF($D24="Unlabeled-13",MCDM_Settings!$E$6,MCDM_Settings!$C$6),0)+IF(ISNUMBER(AG24),AG24*IF($D24="Unlabeled-13",MCDM_Settings!$E$7,MCDM_Settings!$C$7),0)+IF(ISNUMBER(AJ24),AJ24*IF($D24="Unlabeled-13",MCDM_Settings!$E$8,MCDM_Settings!$C$8),0)+IF(ISNUMBER(AM24),AM24*IF($D24="Unlabeled-13",MCDM_Settings!$E$9,MCDM_Settings!$C$9),0)+IF(ISNUMBER(AP24),AP24*IF($D24="Unlabeled-13",MCDM_Settings!$E$10,MCDM_Settings!$C$10),0)+IF(ISNUMBER(AS24),AS24*IF($D24="Unlabeled-13",MCDM_Settings!$E$11,MCDM_Settings!$C$11),0)))</f>
        <v>94.444444444444429</v>
      </c>
      <c r="G24" s="13">
        <f>IF(OR(AY24&lt;&gt;"Valid",AZ24&lt;&gt;"16 keys present"),"Review settings",1*(IF(ISNUMBER(AE24),AE24*IF($D24="Unlabeled-13",MCDM_Settings!$E$6,MCDM_Settings!$C$6),0)+IF(ISNUMBER(AH24),AH24*IF($D24="Unlabeled-13",MCDM_Settings!$E$7,MCDM_Settings!$C$7),0)+IF(ISNUMBER(AK24),AK24*IF($D24="Unlabeled-13",MCDM_Settings!$E$8,MCDM_Settings!$C$8),0)+IF(ISNUMBER(AN24),AN24*IF($D24="Unlabeled-13",MCDM_Settings!$E$9,MCDM_Settings!$C$9),0)+IF(ISNUMBER(AQ24),AQ24*IF($D24="Unlabeled-13",MCDM_Settings!$E$10,MCDM_Settings!$C$10),0)+IF(ISNUMBER(AT24),AT24*IF($D24="Unlabeled-13",MCDM_Settings!$E$11,MCDM_Settings!$C$11),0)))</f>
        <v>0.22222222222222221</v>
      </c>
      <c r="H24" s="5" t="str">
        <f>INDEX(Manual_Review!$AH$6:$AH$238,MATCH(A24,Manual_Review!$A$6:$A$238,0))</f>
        <v>Not started</v>
      </c>
      <c r="I24" s="5" t="s">
        <v>128</v>
      </c>
      <c r="J24" s="5" t="s">
        <v>331</v>
      </c>
      <c r="K24" s="5" t="str">
        <f>HYPERLINK("https://github.com/chenxiang-web/DronePave-DfineX","Dataset")</f>
        <v>Dataset</v>
      </c>
      <c r="L24" s="5" t="str">
        <f>HYPERLINK("#'Manual_Review'!A"&amp;(MATCH("DS-019",Manual_Review!$A$6:$A$238,0)+5),"Enter review")</f>
        <v>Enter review</v>
      </c>
      <c r="M24" s="5" t="str">
        <f>INDEX(MCDM_Checks!$K$6:$K$3733,MATCH(A24&amp;"|"&amp;M$5,MCDM_Checks!$A$6:$A$3733,0))</f>
        <v>Y</v>
      </c>
      <c r="N24" s="5" t="str">
        <f>INDEX(MCDM_Checks!$K$6:$K$3733,MATCH(A24&amp;"|"&amp;N$5,MCDM_Checks!$A$6:$A$3733,0))</f>
        <v>N</v>
      </c>
      <c r="O24" s="5" t="str">
        <f>INDEX(MCDM_Checks!$K$6:$K$3733,MATCH(A24&amp;"|"&amp;O$5,MCDM_Checks!$A$6:$A$3733,0))</f>
        <v>U</v>
      </c>
      <c r="P24" s="5" t="str">
        <f>INDEX(MCDM_Checks!$K$6:$K$3733,MATCH(A24&amp;"|"&amp;P$5,MCDM_Checks!$A$6:$A$3733,0))</f>
        <v>U</v>
      </c>
      <c r="Q24" s="5" t="str">
        <f>INDEX(MCDM_Checks!$K$6:$K$3733,MATCH(A24&amp;"|"&amp;Q$5,MCDM_Checks!$A$6:$A$3733,0))</f>
        <v>U</v>
      </c>
      <c r="R24" s="5" t="str">
        <f>INDEX(MCDM_Checks!$K$6:$K$3733,MATCH(A24&amp;"|"&amp;R$5,MCDM_Checks!$A$6:$A$3733,0))</f>
        <v>U</v>
      </c>
      <c r="S24" s="5" t="str">
        <f>INDEX(MCDM_Checks!$K$6:$K$3733,MATCH(A24&amp;"|"&amp;S$5,MCDM_Checks!$A$6:$A$3733,0))</f>
        <v>U</v>
      </c>
      <c r="T24" s="5" t="str">
        <f>INDEX(MCDM_Checks!$K$6:$K$3733,MATCH(A24&amp;"|"&amp;T$5,MCDM_Checks!$A$6:$A$3733,0))</f>
        <v>U</v>
      </c>
      <c r="U24" s="5" t="str">
        <f>INDEX(MCDM_Checks!$K$6:$K$3733,MATCH(A24&amp;"|"&amp;U$5,MCDM_Checks!$A$6:$A$3733,0))</f>
        <v>Y</v>
      </c>
      <c r="V24" s="5" t="str">
        <f>INDEX(MCDM_Checks!$K$6:$K$3733,MATCH(A24&amp;"|"&amp;V$5,MCDM_Checks!$A$6:$A$3733,0))</f>
        <v>U</v>
      </c>
      <c r="W24" s="5" t="str">
        <f>INDEX(MCDM_Checks!$K$6:$K$3733,MATCH(A24&amp;"|"&amp;W$5,MCDM_Checks!$A$6:$A$3733,0))</f>
        <v>U</v>
      </c>
      <c r="X24" s="5" t="str">
        <f>INDEX(MCDM_Checks!$K$6:$K$3733,MATCH(A24&amp;"|"&amp;X$5,MCDM_Checks!$A$6:$A$3733,0))</f>
        <v>U</v>
      </c>
      <c r="Y24" s="5" t="str">
        <f>INDEX(MCDM_Checks!$K$6:$K$3733,MATCH(A24&amp;"|"&amp;Y$5,MCDM_Checks!$A$6:$A$3733,0))</f>
        <v>U</v>
      </c>
      <c r="Z24" s="5" t="str">
        <f>INDEX(MCDM_Checks!$K$6:$K$3733,MATCH(A24&amp;"|"&amp;Z$5,MCDM_Checks!$A$6:$A$3733,0))</f>
        <v>Y</v>
      </c>
      <c r="AA24" s="5" t="str">
        <f>INDEX(MCDM_Checks!$K$6:$K$3733,MATCH(A24&amp;"|"&amp;AA$5,MCDM_Checks!$A$6:$A$3733,0))</f>
        <v>U</v>
      </c>
      <c r="AB24" s="5" t="str">
        <f>INDEX(MCDM_Checks!$K$6:$K$3733,MATCH(A24&amp;"|"&amp;AB$5,MCDM_Checks!$A$6:$A$3733,0))</f>
        <v>U</v>
      </c>
      <c r="AC24" s="12">
        <f>IF(IF($D24="Unlabeled-13",MCDM_Settings!$F$6,MCDM_Settings!$D$6)=0,"n.a.",5*COUNTIF(M24:O24,"Y")/IF($D24="Unlabeled-13",MCDM_Settings!$F$6,MCDM_Settings!$D$6))</f>
        <v>1.6666666666666667</v>
      </c>
      <c r="AD24" s="12">
        <f>IF(IF($D24="Unlabeled-13",MCDM_Settings!$F$6,MCDM_Settings!$D$6)=0,"n.a.",5*(COUNTIF(M24:O24,"Y")+COUNTIF(M24:O24,"U")+COUNTIF(M24:O24,"X"))/IF($D24="Unlabeled-13",MCDM_Settings!$F$6,MCDM_Settings!$D$6))</f>
        <v>3.3333333333333335</v>
      </c>
      <c r="AE24" s="13">
        <f>IF(IF($D24="Unlabeled-13",MCDM_Settings!$F$6,MCDM_Settings!$D$6)=0,"n.a.",(COUNTIF(M24:O24,"Y")+COUNTIF(M24:O24,"N"))/IF($D24="Unlabeled-13",MCDM_Settings!$F$6,MCDM_Settings!$D$6))</f>
        <v>0.66666666666666663</v>
      </c>
      <c r="AF24" s="12">
        <f>IF(IF($D24="Unlabeled-13",MCDM_Settings!$F$7,MCDM_Settings!$D$7)=0,"n.a.",5*COUNTIF(P24:R24,"Y")/IF($D24="Unlabeled-13",MCDM_Settings!$F$7,MCDM_Settings!$D$7))</f>
        <v>0</v>
      </c>
      <c r="AG24" s="12">
        <f>IF(IF($D24="Unlabeled-13",MCDM_Settings!$F$7,MCDM_Settings!$D$7)=0,"n.a.",5*(COUNTIF(P24:R24,"Y")+COUNTIF(P24:R24,"U")+COUNTIF(P24:R24,"X"))/IF($D24="Unlabeled-13",MCDM_Settings!$F$7,MCDM_Settings!$D$7))</f>
        <v>5</v>
      </c>
      <c r="AH24" s="13">
        <f>IF(IF($D24="Unlabeled-13",MCDM_Settings!$F$7,MCDM_Settings!$D$7)=0,"n.a.",(COUNTIF(P24:R24,"Y")+COUNTIF(P24:R24,"N"))/IF($D24="Unlabeled-13",MCDM_Settings!$F$7,MCDM_Settings!$D$7))</f>
        <v>0</v>
      </c>
      <c r="AI24" s="12">
        <f>IF(IF($D24="Unlabeled-13",MCDM_Settings!$F$8,MCDM_Settings!$D$8)=0,"n.a.",5*COUNTIF(S24:U24,"Y")/IF($D24="Unlabeled-13",MCDM_Settings!$F$8,MCDM_Settings!$D$8))</f>
        <v>1.6666666666666667</v>
      </c>
      <c r="AJ24" s="12">
        <f>IF(IF($D24="Unlabeled-13",MCDM_Settings!$F$8,MCDM_Settings!$D$8)=0,"n.a.",5*(COUNTIF(S24:U24,"Y")+COUNTIF(S24:U24,"U")+COUNTIF(S24:U24,"X"))/IF($D24="Unlabeled-13",MCDM_Settings!$F$8,MCDM_Settings!$D$8))</f>
        <v>5</v>
      </c>
      <c r="AK24" s="13">
        <f>IF(IF($D24="Unlabeled-13",MCDM_Settings!$F$8,MCDM_Settings!$D$8)=0,"n.a.",(COUNTIF(S24:U24,"Y")+COUNTIF(S24:U24,"N"))/IF($D24="Unlabeled-13",MCDM_Settings!$F$8,MCDM_Settings!$D$8))</f>
        <v>0.33333333333333331</v>
      </c>
      <c r="AL24" s="12">
        <f>IF(IF($D24="Unlabeled-13",MCDM_Settings!$F$9,MCDM_Settings!$D$9)=0,"n.a.",5*COUNTIF(V24:W24,"Y")/IF($D24="Unlabeled-13",MCDM_Settings!$F$9,MCDM_Settings!$D$9))</f>
        <v>0</v>
      </c>
      <c r="AM24" s="12">
        <f>IF(IF($D24="Unlabeled-13",MCDM_Settings!$F$9,MCDM_Settings!$D$9)=0,"n.a.",5*(COUNTIF(V24:W24,"Y")+COUNTIF(V24:W24,"U")+COUNTIF(V24:W24,"X"))/IF($D24="Unlabeled-13",MCDM_Settings!$F$9,MCDM_Settings!$D$9))</f>
        <v>5</v>
      </c>
      <c r="AN24" s="13">
        <f>IF(IF($D24="Unlabeled-13",MCDM_Settings!$F$9,MCDM_Settings!$D$9)=0,"n.a.",(COUNTIF(V24:W24,"Y")+COUNTIF(V24:W24,"N"))/IF($D24="Unlabeled-13",MCDM_Settings!$F$9,MCDM_Settings!$D$9))</f>
        <v>0</v>
      </c>
      <c r="AO24" s="12">
        <f>IF(IF($D24="Unlabeled-13",MCDM_Settings!$F$10,MCDM_Settings!$D$10)=0,"n.a.",5*COUNTIF(X24:Y24,"Y")/IF($D24="Unlabeled-13",MCDM_Settings!$F$10,MCDM_Settings!$D$10))</f>
        <v>0</v>
      </c>
      <c r="AP24" s="12">
        <f>IF(IF($D24="Unlabeled-13",MCDM_Settings!$F$10,MCDM_Settings!$D$10)=0,"n.a.",5*(COUNTIF(X24:Y24,"Y")+COUNTIF(X24:Y24,"U")+COUNTIF(X24:Y24,"X"))/IF($D24="Unlabeled-13",MCDM_Settings!$F$10,MCDM_Settings!$D$10))</f>
        <v>5</v>
      </c>
      <c r="AQ24" s="13">
        <f>IF(IF($D24="Unlabeled-13",MCDM_Settings!$F$10,MCDM_Settings!$D$10)=0,"n.a.",(COUNTIF(X24:Y24,"Y")+COUNTIF(X24:Y24,"N"))/IF($D24="Unlabeled-13",MCDM_Settings!$F$10,MCDM_Settings!$D$10))</f>
        <v>0</v>
      </c>
      <c r="AR24" s="12">
        <f>IF(IF($D24="Unlabeled-13",MCDM_Settings!$F$11,MCDM_Settings!$D$11)=0,"n.a.",5*COUNTIF(Z24:AB24,"Y")/IF($D24="Unlabeled-13",MCDM_Settings!$F$11,MCDM_Settings!$D$11))</f>
        <v>1.6666666666666667</v>
      </c>
      <c r="AS24" s="12">
        <f>IF(IF($D24="Unlabeled-13",MCDM_Settings!$F$11,MCDM_Settings!$D$11)=0,"n.a.",5*(COUNTIF(Z24:AB24,"Y")+COUNTIF(Z24:AB24,"U")+COUNTIF(Z24:AB24,"X"))/IF($D24="Unlabeled-13",MCDM_Settings!$F$11,MCDM_Settings!$D$11))</f>
        <v>5</v>
      </c>
      <c r="AT24" s="13">
        <f>IF(IF($D24="Unlabeled-13",MCDM_Settings!$F$11,MCDM_Settings!$D$11)=0,"n.a.",(COUNTIF(Z24:AB24,"Y")+COUNTIF(Z24:AB24,"N"))/IF($D24="Unlabeled-13",MCDM_Settings!$F$11,MCDM_Settings!$D$11))</f>
        <v>0.33333333333333331</v>
      </c>
      <c r="AU24" s="5" t="str">
        <f>IF(AND(INDEX(Manual_Review!$G$6:$G$238,MATCH(A24,Manual_Review!$A$6:$A$238,0))&lt;&gt;"",ISNUMBER(INDEX(Manual_Review!$H$6:$H$238,MATCH(A24,Manual_Review!$A$6:$A$238,0))),INDEX(Manual_Review!$H$6:$H$238,MATCH(A24,Manual_Review!$A$6:$A$238,0))&gt;0,INDEX(Manual_Review!$I$6:$I$238,MATCH(A24,Manual_Review!$A$6:$A$238,0))="Confirmed",INDEX(Manual_Review!$AF$6:$AF$238,MATCH(A24,Manual_Review!$A$6:$A$238,0))&lt;&gt;""),IF(INDEX(Manual_Review!$AA$6:$AA$238,MATCH(A24,Manual_Review!$A$6:$A$238,0))="Pass","Pass",IF(INDEX(Manual_Review!$AA$6:$AA$238,MATCH(A24,Manual_Review!$A$6:$A$238,0))="Fail","Fail","Pending")),"Pending human identity confirmation")</f>
        <v>Pending human identity confirmation</v>
      </c>
      <c r="AV24" s="5" t="str">
        <f>IF(AND(AND(INDEX(Manual_Review!$G$6:$G$238,MATCH(A24,Manual_Review!$A$6:$A$238,0))&lt;&gt;"",ISNUMBER(INDEX(Manual_Review!$H$6:$H$238,MATCH(A24,Manual_Review!$A$6:$A$238,0))),INDEX(Manual_Review!$H$6:$H$238,MATCH(A24,Manual_Review!$A$6:$A$238,0))&gt;0,INDEX(Manual_Review!$I$6:$I$238,MATCH(A24,Manual_Review!$A$6:$A$238,0))="Confirmed",INDEX(Manual_Review!$AF$6:$AF$238,MATCH(A24,Manual_Review!$A$6:$A$238,0))&lt;&gt;""),INDEX(Manual_Review!$AG$6:$AG$238,MATCH(A24,Manual_Review!$A$6:$A$238,0))&lt;&gt;""),IF(INDEX(Manual_Review!$AB$6:$AB$238,MATCH(A24,Manual_Review!$A$6:$A$238,0))="Pass","Pass",IF(INDEX(Manual_Review!$AB$6:$AB$238,MATCH(A24,Manual_Review!$A$6:$A$238,0))="Fail","Fail","Pending")),"Not assessed: define intended task")</f>
        <v>Not assessed: define intended task</v>
      </c>
      <c r="AW24" s="5" t="str">
        <f>IF(AND(AND(INDEX(Manual_Review!$G$6:$G$238,MATCH(A24,Manual_Review!$A$6:$A$238,0))&lt;&gt;"",ISNUMBER(INDEX(Manual_Review!$H$6:$H$238,MATCH(A24,Manual_Review!$A$6:$A$238,0))),INDEX(Manual_Review!$H$6:$H$238,MATCH(A24,Manual_Review!$A$6:$A$238,0))&gt;0,INDEX(Manual_Review!$I$6:$I$238,MATCH(A24,Manual_Review!$A$6:$A$238,0))="Confirmed",INDEX(Manual_Review!$AF$6:$AF$238,MATCH(A24,Manual_Review!$A$6:$A$238,0))&lt;&gt;""),INDEX(Manual_Review!$AG$6:$AG$238,MATCH(A24,Manual_Review!$A$6:$A$238,0))&lt;&gt;""),IF(OR(INDEX(Manual_Review!$AC$6:$AC$238,MATCH(A24,Manual_Review!$A$6:$A$238,0))="Fail",INDEX(Manual_Review!$AD$6:$AD$238,MATCH(A24,Manual_Review!$A$6:$A$238,0))="Fail"),"Fail: rights or retrieval",IF(AND(INDEX(Manual_Review!$AC$6:$AC$238,MATCH(A24,Manual_Review!$A$6:$A$238,0))="Pass",INDEX(Manual_Review!$AD$6:$AD$238,MATCH(A24,Manual_Review!$A$6:$A$238,0))="Pass"),"Pass","Pending rights and retrieval")),"Pending rights and retrieval")</f>
        <v>Pending rights and retrieval</v>
      </c>
      <c r="AX24" s="5" t="str">
        <f>IF(INDEX(Manual_Review!$AG$6:$AG$238,MATCH(A24,Manual_Review!$A$6:$A$238,0))="","N/A: documentation inventory",IF(AND(INDEX(Manual_Review!$G$6:$G$238,MATCH(A24,Manual_Review!$A$6:$A$238,0))&lt;&gt;"",ISNUMBER(INDEX(Manual_Review!$H$6:$H$238,MATCH(A24,Manual_Review!$A$6:$A$238,0))),INDEX(Manual_Review!$H$6:$H$238,MATCH(A24,Manual_Review!$A$6:$A$238,0))&gt;0,INDEX(Manual_Review!$I$6:$I$238,MATCH(A24,Manual_Review!$A$6:$A$238,0))="Confirmed",INDEX(Manual_Review!$AF$6:$AF$238,MATCH(A24,Manual_Review!$A$6:$A$238,0))&lt;&gt;""),IF(INDEX(Manual_Review!$AE$6:$AE$238,MATCH(A24,Manual_Review!$A$6:$A$238,0))="Pass","Pass",IF(INDEX(Manual_Review!$AE$6:$AE$238,MATCH(A24,Manual_Review!$A$6:$A$238,0))="Fail","Fail: benchmark leakage",IF(INDEX(Manual_Review!$AE$6:$AE$238,MATCH(A24,Manual_Review!$A$6:$A$238,0))="N/A","N/A: nonbenchmark task","Pending task-specific leakage check"))),"Pending task-specific leakage check"))</f>
        <v>N/A: documentation inventory</v>
      </c>
      <c r="AY24" s="5" t="str">
        <f>IF(IF(D24="Unlabeled-13",AND(ABS(MCDM_Settings!$D$14-1)&lt;0.0000001,MIN(MCDM_Settings!$E$6:$E$11)&gt;=0,MCDM_Settings!$E$7=0),AND(ABS(MCDM_Settings!$B$14-1)&lt;0.0000001,MIN(MCDM_Settings!$C$6:$C$11)&gt;=0)),"Valid","Check weights")</f>
        <v>Valid</v>
      </c>
      <c r="AZ24" s="5" t="str">
        <f>IF(AND(COUNTIF(MCDM_Checks!$B$6:$B$3733,A24)=16,COUNTIF(Manual_Review!$A$6:$A$238,A24)=1),"16 keys present","Check key count")</f>
        <v>16 keys present</v>
      </c>
    </row>
    <row r="25" spans="1:52" ht="25.5">
      <c r="A25" s="5" t="s">
        <v>340</v>
      </c>
      <c r="B25" s="5" t="s">
        <v>341</v>
      </c>
      <c r="C25" s="5"/>
      <c r="D25" s="5" t="s">
        <v>118</v>
      </c>
      <c r="E25" s="12">
        <f>IF(OR(AY25&lt;&gt;"Valid",AZ25&lt;&gt;"16 keys present"),"Review settings",20*(IF(ISNUMBER(AC25),AC25*IF($D25="Unlabeled-13",MCDM_Settings!$E$6,MCDM_Settings!$C$6),0)+IF(ISNUMBER(AF25),AF25*IF($D25="Unlabeled-13",MCDM_Settings!$E$7,MCDM_Settings!$C$7),0)+IF(ISNUMBER(AI25),AI25*IF($D25="Unlabeled-13",MCDM_Settings!$E$8,MCDM_Settings!$C$8),0)+IF(ISNUMBER(AL25),AL25*IF($D25="Unlabeled-13",MCDM_Settings!$E$9,MCDM_Settings!$C$9),0)+IF(ISNUMBER(AO25),AO25*IF($D25="Unlabeled-13",MCDM_Settings!$E$10,MCDM_Settings!$C$10),0)+IF(ISNUMBER(AR25),AR25*IF($D25="Unlabeled-13",MCDM_Settings!$E$11,MCDM_Settings!$C$11),0)))</f>
        <v>52.777777777777771</v>
      </c>
      <c r="F25" s="12">
        <f>IF(OR(AY25&lt;&gt;"Valid",AZ25&lt;&gt;"16 keys present"),"Review settings",20*(IF(ISNUMBER(AD25),AD25*IF($D25="Unlabeled-13",MCDM_Settings!$E$6,MCDM_Settings!$C$6),0)+IF(ISNUMBER(AG25),AG25*IF($D25="Unlabeled-13",MCDM_Settings!$E$7,MCDM_Settings!$C$7),0)+IF(ISNUMBER(AJ25),AJ25*IF($D25="Unlabeled-13",MCDM_Settings!$E$8,MCDM_Settings!$C$8),0)+IF(ISNUMBER(AM25),AM25*IF($D25="Unlabeled-13",MCDM_Settings!$E$9,MCDM_Settings!$C$9),0)+IF(ISNUMBER(AP25),AP25*IF($D25="Unlabeled-13",MCDM_Settings!$E$10,MCDM_Settings!$C$10),0)+IF(ISNUMBER(AS25),AS25*IF($D25="Unlabeled-13",MCDM_Settings!$E$11,MCDM_Settings!$C$11),0)))</f>
        <v>99.999999999999986</v>
      </c>
      <c r="G25" s="13">
        <f>IF(OR(AY25&lt;&gt;"Valid",AZ25&lt;&gt;"16 keys present"),"Review settings",1*(IF(ISNUMBER(AE25),AE25*IF($D25="Unlabeled-13",MCDM_Settings!$E$6,MCDM_Settings!$C$6),0)+IF(ISNUMBER(AH25),AH25*IF($D25="Unlabeled-13",MCDM_Settings!$E$7,MCDM_Settings!$C$7),0)+IF(ISNUMBER(AK25),AK25*IF($D25="Unlabeled-13",MCDM_Settings!$E$8,MCDM_Settings!$C$8),0)+IF(ISNUMBER(AN25),AN25*IF($D25="Unlabeled-13",MCDM_Settings!$E$9,MCDM_Settings!$C$9),0)+IF(ISNUMBER(AQ25),AQ25*IF($D25="Unlabeled-13",MCDM_Settings!$E$10,MCDM_Settings!$C$10),0)+IF(ISNUMBER(AT25),AT25*IF($D25="Unlabeled-13",MCDM_Settings!$E$11,MCDM_Settings!$C$11),0)))</f>
        <v>0.52777777777777779</v>
      </c>
      <c r="H25" s="5" t="str">
        <f>INDEX(Manual_Review!$AH$6:$AH$238,MATCH(A25,Manual_Review!$A$6:$A$238,0))</f>
        <v>Not started</v>
      </c>
      <c r="I25" s="5" t="s">
        <v>128</v>
      </c>
      <c r="J25" s="5" t="s">
        <v>121</v>
      </c>
      <c r="K25" s="5" t="str">
        <f>HYPERLINK("https://github.com/CHDyshli/PavementCrackDetection","Dataset")</f>
        <v>Dataset</v>
      </c>
      <c r="L25" s="5" t="str">
        <f>HYPERLINK("#'Manual_Review'!A"&amp;(MATCH("DS-020",Manual_Review!$A$6:$A$238,0)+5),"Enter review")</f>
        <v>Enter review</v>
      </c>
      <c r="M25" s="5" t="str">
        <f>INDEX(MCDM_Checks!$K$6:$K$3733,MATCH(A25&amp;"|"&amp;M$5,MCDM_Checks!$A$6:$A$3733,0))</f>
        <v>Y</v>
      </c>
      <c r="N25" s="5" t="str">
        <f>INDEX(MCDM_Checks!$K$6:$K$3733,MATCH(A25&amp;"|"&amp;N$5,MCDM_Checks!$A$6:$A$3733,0))</f>
        <v>Y</v>
      </c>
      <c r="O25" s="5" t="str">
        <f>INDEX(MCDM_Checks!$K$6:$K$3733,MATCH(A25&amp;"|"&amp;O$5,MCDM_Checks!$A$6:$A$3733,0))</f>
        <v>U</v>
      </c>
      <c r="P25" s="5" t="str">
        <f>INDEX(MCDM_Checks!$K$6:$K$3733,MATCH(A25&amp;"|"&amp;P$5,MCDM_Checks!$A$6:$A$3733,0))</f>
        <v>Y</v>
      </c>
      <c r="Q25" s="5" t="str">
        <f>INDEX(MCDM_Checks!$K$6:$K$3733,MATCH(A25&amp;"|"&amp;Q$5,MCDM_Checks!$A$6:$A$3733,0))</f>
        <v>U</v>
      </c>
      <c r="R25" s="5" t="str">
        <f>INDEX(MCDM_Checks!$K$6:$K$3733,MATCH(A25&amp;"|"&amp;R$5,MCDM_Checks!$A$6:$A$3733,0))</f>
        <v>U</v>
      </c>
      <c r="S25" s="5" t="str">
        <f>INDEX(MCDM_Checks!$K$6:$K$3733,MATCH(A25&amp;"|"&amp;S$5,MCDM_Checks!$A$6:$A$3733,0))</f>
        <v>U</v>
      </c>
      <c r="T25" s="5" t="str">
        <f>INDEX(MCDM_Checks!$K$6:$K$3733,MATCH(A25&amp;"|"&amp;T$5,MCDM_Checks!$A$6:$A$3733,0))</f>
        <v>Y</v>
      </c>
      <c r="U25" s="5" t="str">
        <f>INDEX(MCDM_Checks!$K$6:$K$3733,MATCH(A25&amp;"|"&amp;U$5,MCDM_Checks!$A$6:$A$3733,0))</f>
        <v>U</v>
      </c>
      <c r="V25" s="5" t="str">
        <f>INDEX(MCDM_Checks!$K$6:$K$3733,MATCH(A25&amp;"|"&amp;V$5,MCDM_Checks!$A$6:$A$3733,0))</f>
        <v>Y</v>
      </c>
      <c r="W25" s="5" t="str">
        <f>INDEX(MCDM_Checks!$K$6:$K$3733,MATCH(A25&amp;"|"&amp;W$5,MCDM_Checks!$A$6:$A$3733,0))</f>
        <v>U</v>
      </c>
      <c r="X25" s="5" t="str">
        <f>INDEX(MCDM_Checks!$K$6:$K$3733,MATCH(A25&amp;"|"&amp;X$5,MCDM_Checks!$A$6:$A$3733,0))</f>
        <v>Y</v>
      </c>
      <c r="Y25" s="5" t="str">
        <f>INDEX(MCDM_Checks!$K$6:$K$3733,MATCH(A25&amp;"|"&amp;Y$5,MCDM_Checks!$A$6:$A$3733,0))</f>
        <v>Y</v>
      </c>
      <c r="Z25" s="5" t="str">
        <f>INDEX(MCDM_Checks!$K$6:$K$3733,MATCH(A25&amp;"|"&amp;Z$5,MCDM_Checks!$A$6:$A$3733,0))</f>
        <v>Y</v>
      </c>
      <c r="AA25" s="5" t="str">
        <f>INDEX(MCDM_Checks!$K$6:$K$3733,MATCH(A25&amp;"|"&amp;AA$5,MCDM_Checks!$A$6:$A$3733,0))</f>
        <v>U</v>
      </c>
      <c r="AB25" s="5" t="str">
        <f>INDEX(MCDM_Checks!$K$6:$K$3733,MATCH(A25&amp;"|"&amp;AB$5,MCDM_Checks!$A$6:$A$3733,0))</f>
        <v>U</v>
      </c>
      <c r="AC25" s="12">
        <f>IF(IF($D25="Unlabeled-13",MCDM_Settings!$F$6,MCDM_Settings!$D$6)=0,"n.a.",5*COUNTIF(M25:O25,"Y")/IF($D25="Unlabeled-13",MCDM_Settings!$F$6,MCDM_Settings!$D$6))</f>
        <v>3.3333333333333335</v>
      </c>
      <c r="AD25" s="12">
        <f>IF(IF($D25="Unlabeled-13",MCDM_Settings!$F$6,MCDM_Settings!$D$6)=0,"n.a.",5*(COUNTIF(M25:O25,"Y")+COUNTIF(M25:O25,"U")+COUNTIF(M25:O25,"X"))/IF($D25="Unlabeled-13",MCDM_Settings!$F$6,MCDM_Settings!$D$6))</f>
        <v>5</v>
      </c>
      <c r="AE25" s="13">
        <f>IF(IF($D25="Unlabeled-13",MCDM_Settings!$F$6,MCDM_Settings!$D$6)=0,"n.a.",(COUNTIF(M25:O25,"Y")+COUNTIF(M25:O25,"N"))/IF($D25="Unlabeled-13",MCDM_Settings!$F$6,MCDM_Settings!$D$6))</f>
        <v>0.66666666666666663</v>
      </c>
      <c r="AF25" s="12">
        <f>IF(IF($D25="Unlabeled-13",MCDM_Settings!$F$7,MCDM_Settings!$D$7)=0,"n.a.",5*COUNTIF(P25:R25,"Y")/IF($D25="Unlabeled-13",MCDM_Settings!$F$7,MCDM_Settings!$D$7))</f>
        <v>1.6666666666666667</v>
      </c>
      <c r="AG25" s="12">
        <f>IF(IF($D25="Unlabeled-13",MCDM_Settings!$F$7,MCDM_Settings!$D$7)=0,"n.a.",5*(COUNTIF(P25:R25,"Y")+COUNTIF(P25:R25,"U")+COUNTIF(P25:R25,"X"))/IF($D25="Unlabeled-13",MCDM_Settings!$F$7,MCDM_Settings!$D$7))</f>
        <v>5</v>
      </c>
      <c r="AH25" s="13">
        <f>IF(IF($D25="Unlabeled-13",MCDM_Settings!$F$7,MCDM_Settings!$D$7)=0,"n.a.",(COUNTIF(P25:R25,"Y")+COUNTIF(P25:R25,"N"))/IF($D25="Unlabeled-13",MCDM_Settings!$F$7,MCDM_Settings!$D$7))</f>
        <v>0.33333333333333331</v>
      </c>
      <c r="AI25" s="12">
        <f>IF(IF($D25="Unlabeled-13",MCDM_Settings!$F$8,MCDM_Settings!$D$8)=0,"n.a.",5*COUNTIF(S25:U25,"Y")/IF($D25="Unlabeled-13",MCDM_Settings!$F$8,MCDM_Settings!$D$8))</f>
        <v>1.6666666666666667</v>
      </c>
      <c r="AJ25" s="12">
        <f>IF(IF($D25="Unlabeled-13",MCDM_Settings!$F$8,MCDM_Settings!$D$8)=0,"n.a.",5*(COUNTIF(S25:U25,"Y")+COUNTIF(S25:U25,"U")+COUNTIF(S25:U25,"X"))/IF($D25="Unlabeled-13",MCDM_Settings!$F$8,MCDM_Settings!$D$8))</f>
        <v>5</v>
      </c>
      <c r="AK25" s="13">
        <f>IF(IF($D25="Unlabeled-13",MCDM_Settings!$F$8,MCDM_Settings!$D$8)=0,"n.a.",(COUNTIF(S25:U25,"Y")+COUNTIF(S25:U25,"N"))/IF($D25="Unlabeled-13",MCDM_Settings!$F$8,MCDM_Settings!$D$8))</f>
        <v>0.33333333333333331</v>
      </c>
      <c r="AL25" s="12">
        <f>IF(IF($D25="Unlabeled-13",MCDM_Settings!$F$9,MCDM_Settings!$D$9)=0,"n.a.",5*COUNTIF(V25:W25,"Y")/IF($D25="Unlabeled-13",MCDM_Settings!$F$9,MCDM_Settings!$D$9))</f>
        <v>2.5</v>
      </c>
      <c r="AM25" s="12">
        <f>IF(IF($D25="Unlabeled-13",MCDM_Settings!$F$9,MCDM_Settings!$D$9)=0,"n.a.",5*(COUNTIF(V25:W25,"Y")+COUNTIF(V25:W25,"U")+COUNTIF(V25:W25,"X"))/IF($D25="Unlabeled-13",MCDM_Settings!$F$9,MCDM_Settings!$D$9))</f>
        <v>5</v>
      </c>
      <c r="AN25" s="13">
        <f>IF(IF($D25="Unlabeled-13",MCDM_Settings!$F$9,MCDM_Settings!$D$9)=0,"n.a.",(COUNTIF(V25:W25,"Y")+COUNTIF(V25:W25,"N"))/IF($D25="Unlabeled-13",MCDM_Settings!$F$9,MCDM_Settings!$D$9))</f>
        <v>0.5</v>
      </c>
      <c r="AO25" s="12">
        <f>IF(IF($D25="Unlabeled-13",MCDM_Settings!$F$10,MCDM_Settings!$D$10)=0,"n.a.",5*COUNTIF(X25:Y25,"Y")/IF($D25="Unlabeled-13",MCDM_Settings!$F$10,MCDM_Settings!$D$10))</f>
        <v>5</v>
      </c>
      <c r="AP25" s="12">
        <f>IF(IF($D25="Unlabeled-13",MCDM_Settings!$F$10,MCDM_Settings!$D$10)=0,"n.a.",5*(COUNTIF(X25:Y25,"Y")+COUNTIF(X25:Y25,"U")+COUNTIF(X25:Y25,"X"))/IF($D25="Unlabeled-13",MCDM_Settings!$F$10,MCDM_Settings!$D$10))</f>
        <v>5</v>
      </c>
      <c r="AQ25" s="13">
        <f>IF(IF($D25="Unlabeled-13",MCDM_Settings!$F$10,MCDM_Settings!$D$10)=0,"n.a.",(COUNTIF(X25:Y25,"Y")+COUNTIF(X25:Y25,"N"))/IF($D25="Unlabeled-13",MCDM_Settings!$F$10,MCDM_Settings!$D$10))</f>
        <v>1</v>
      </c>
      <c r="AR25" s="12">
        <f>IF(IF($D25="Unlabeled-13",MCDM_Settings!$F$11,MCDM_Settings!$D$11)=0,"n.a.",5*COUNTIF(Z25:AB25,"Y")/IF($D25="Unlabeled-13",MCDM_Settings!$F$11,MCDM_Settings!$D$11))</f>
        <v>1.6666666666666667</v>
      </c>
      <c r="AS25" s="12">
        <f>IF(IF($D25="Unlabeled-13",MCDM_Settings!$F$11,MCDM_Settings!$D$11)=0,"n.a.",5*(COUNTIF(Z25:AB25,"Y")+COUNTIF(Z25:AB25,"U")+COUNTIF(Z25:AB25,"X"))/IF($D25="Unlabeled-13",MCDM_Settings!$F$11,MCDM_Settings!$D$11))</f>
        <v>5</v>
      </c>
      <c r="AT25" s="13">
        <f>IF(IF($D25="Unlabeled-13",MCDM_Settings!$F$11,MCDM_Settings!$D$11)=0,"n.a.",(COUNTIF(Z25:AB25,"Y")+COUNTIF(Z25:AB25,"N"))/IF($D25="Unlabeled-13",MCDM_Settings!$F$11,MCDM_Settings!$D$11))</f>
        <v>0.33333333333333331</v>
      </c>
      <c r="AU25" s="5" t="str">
        <f>IF(AND(INDEX(Manual_Review!$G$6:$G$238,MATCH(A25,Manual_Review!$A$6:$A$238,0))&lt;&gt;"",ISNUMBER(INDEX(Manual_Review!$H$6:$H$238,MATCH(A25,Manual_Review!$A$6:$A$238,0))),INDEX(Manual_Review!$H$6:$H$238,MATCH(A25,Manual_Review!$A$6:$A$238,0))&gt;0,INDEX(Manual_Review!$I$6:$I$238,MATCH(A25,Manual_Review!$A$6:$A$238,0))="Confirmed",INDEX(Manual_Review!$AF$6:$AF$238,MATCH(A25,Manual_Review!$A$6:$A$238,0))&lt;&gt;""),IF(INDEX(Manual_Review!$AA$6:$AA$238,MATCH(A25,Manual_Review!$A$6:$A$238,0))="Pass","Pass",IF(INDEX(Manual_Review!$AA$6:$AA$238,MATCH(A25,Manual_Review!$A$6:$A$238,0))="Fail","Fail","Pending")),"Pending human identity confirmation")</f>
        <v>Pending human identity confirmation</v>
      </c>
      <c r="AV25" s="5" t="str">
        <f>IF(AND(AND(INDEX(Manual_Review!$G$6:$G$238,MATCH(A25,Manual_Review!$A$6:$A$238,0))&lt;&gt;"",ISNUMBER(INDEX(Manual_Review!$H$6:$H$238,MATCH(A25,Manual_Review!$A$6:$A$238,0))),INDEX(Manual_Review!$H$6:$H$238,MATCH(A25,Manual_Review!$A$6:$A$238,0))&gt;0,INDEX(Manual_Review!$I$6:$I$238,MATCH(A25,Manual_Review!$A$6:$A$238,0))="Confirmed",INDEX(Manual_Review!$AF$6:$AF$238,MATCH(A25,Manual_Review!$A$6:$A$238,0))&lt;&gt;""),INDEX(Manual_Review!$AG$6:$AG$238,MATCH(A25,Manual_Review!$A$6:$A$238,0))&lt;&gt;""),IF(INDEX(Manual_Review!$AB$6:$AB$238,MATCH(A25,Manual_Review!$A$6:$A$238,0))="Pass","Pass",IF(INDEX(Manual_Review!$AB$6:$AB$238,MATCH(A25,Manual_Review!$A$6:$A$238,0))="Fail","Fail","Pending")),"Not assessed: define intended task")</f>
        <v>Not assessed: define intended task</v>
      </c>
      <c r="AW25" s="5" t="str">
        <f>IF(AND(AND(INDEX(Manual_Review!$G$6:$G$238,MATCH(A25,Manual_Review!$A$6:$A$238,0))&lt;&gt;"",ISNUMBER(INDEX(Manual_Review!$H$6:$H$238,MATCH(A25,Manual_Review!$A$6:$A$238,0))),INDEX(Manual_Review!$H$6:$H$238,MATCH(A25,Manual_Review!$A$6:$A$238,0))&gt;0,INDEX(Manual_Review!$I$6:$I$238,MATCH(A25,Manual_Review!$A$6:$A$238,0))="Confirmed",INDEX(Manual_Review!$AF$6:$AF$238,MATCH(A25,Manual_Review!$A$6:$A$238,0))&lt;&gt;""),INDEX(Manual_Review!$AG$6:$AG$238,MATCH(A25,Manual_Review!$A$6:$A$238,0))&lt;&gt;""),IF(OR(INDEX(Manual_Review!$AC$6:$AC$238,MATCH(A25,Manual_Review!$A$6:$A$238,0))="Fail",INDEX(Manual_Review!$AD$6:$AD$238,MATCH(A25,Manual_Review!$A$6:$A$238,0))="Fail"),"Fail: rights or retrieval",IF(AND(INDEX(Manual_Review!$AC$6:$AC$238,MATCH(A25,Manual_Review!$A$6:$A$238,0))="Pass",INDEX(Manual_Review!$AD$6:$AD$238,MATCH(A25,Manual_Review!$A$6:$A$238,0))="Pass"),"Pass","Pending rights and retrieval")),"Pending rights and retrieval")</f>
        <v>Pending rights and retrieval</v>
      </c>
      <c r="AX25" s="5" t="str">
        <f>IF(INDEX(Manual_Review!$AG$6:$AG$238,MATCH(A25,Manual_Review!$A$6:$A$238,0))="","N/A: documentation inventory",IF(AND(INDEX(Manual_Review!$G$6:$G$238,MATCH(A25,Manual_Review!$A$6:$A$238,0))&lt;&gt;"",ISNUMBER(INDEX(Manual_Review!$H$6:$H$238,MATCH(A25,Manual_Review!$A$6:$A$238,0))),INDEX(Manual_Review!$H$6:$H$238,MATCH(A25,Manual_Review!$A$6:$A$238,0))&gt;0,INDEX(Manual_Review!$I$6:$I$238,MATCH(A25,Manual_Review!$A$6:$A$238,0))="Confirmed",INDEX(Manual_Review!$AF$6:$AF$238,MATCH(A25,Manual_Review!$A$6:$A$238,0))&lt;&gt;""),IF(INDEX(Manual_Review!$AE$6:$AE$238,MATCH(A25,Manual_Review!$A$6:$A$238,0))="Pass","Pass",IF(INDEX(Manual_Review!$AE$6:$AE$238,MATCH(A25,Manual_Review!$A$6:$A$238,0))="Fail","Fail: benchmark leakage",IF(INDEX(Manual_Review!$AE$6:$AE$238,MATCH(A25,Manual_Review!$A$6:$A$238,0))="N/A","N/A: nonbenchmark task","Pending task-specific leakage check"))),"Pending task-specific leakage check"))</f>
        <v>N/A: documentation inventory</v>
      </c>
      <c r="AY25" s="5" t="str">
        <f>IF(IF(D25="Unlabeled-13",AND(ABS(MCDM_Settings!$D$14-1)&lt;0.0000001,MIN(MCDM_Settings!$E$6:$E$11)&gt;=0,MCDM_Settings!$E$7=0),AND(ABS(MCDM_Settings!$B$14-1)&lt;0.0000001,MIN(MCDM_Settings!$C$6:$C$11)&gt;=0)),"Valid","Check weights")</f>
        <v>Valid</v>
      </c>
      <c r="AZ25" s="5" t="str">
        <f>IF(AND(COUNTIF(MCDM_Checks!$B$6:$B$3733,A25)=16,COUNTIF(Manual_Review!$A$6:$A$238,A25)=1),"16 keys present","Check key count")</f>
        <v>16 keys present</v>
      </c>
    </row>
    <row r="26" spans="1:52">
      <c r="A26" s="5" t="s">
        <v>350</v>
      </c>
      <c r="B26" s="5" t="s">
        <v>351</v>
      </c>
      <c r="C26" s="5"/>
      <c r="D26" s="5" t="s">
        <v>118</v>
      </c>
      <c r="E26" s="12">
        <f>IF(OR(AY26&lt;&gt;"Valid",AZ26&lt;&gt;"16 keys present"),"Review settings",20*(IF(ISNUMBER(AC26),AC26*IF($D26="Unlabeled-13",MCDM_Settings!$E$6,MCDM_Settings!$C$6),0)+IF(ISNUMBER(AF26),AF26*IF($D26="Unlabeled-13",MCDM_Settings!$E$7,MCDM_Settings!$C$7),0)+IF(ISNUMBER(AI26),AI26*IF($D26="Unlabeled-13",MCDM_Settings!$E$8,MCDM_Settings!$C$8),0)+IF(ISNUMBER(AL26),AL26*IF($D26="Unlabeled-13",MCDM_Settings!$E$9,MCDM_Settings!$C$9),0)+IF(ISNUMBER(AO26),AO26*IF($D26="Unlabeled-13",MCDM_Settings!$E$10,MCDM_Settings!$C$10),0)+IF(ISNUMBER(AR26),AR26*IF($D26="Unlabeled-13",MCDM_Settings!$E$11,MCDM_Settings!$C$11),0)))</f>
        <v>47.222222222222221</v>
      </c>
      <c r="F26" s="12">
        <f>IF(OR(AY26&lt;&gt;"Valid",AZ26&lt;&gt;"16 keys present"),"Review settings",20*(IF(ISNUMBER(AD26),AD26*IF($D26="Unlabeled-13",MCDM_Settings!$E$6,MCDM_Settings!$C$6),0)+IF(ISNUMBER(AG26),AG26*IF($D26="Unlabeled-13",MCDM_Settings!$E$7,MCDM_Settings!$C$7),0)+IF(ISNUMBER(AJ26),AJ26*IF($D26="Unlabeled-13",MCDM_Settings!$E$8,MCDM_Settings!$C$8),0)+IF(ISNUMBER(AM26),AM26*IF($D26="Unlabeled-13",MCDM_Settings!$E$9,MCDM_Settings!$C$9),0)+IF(ISNUMBER(AP26),AP26*IF($D26="Unlabeled-13",MCDM_Settings!$E$10,MCDM_Settings!$C$10),0)+IF(ISNUMBER(AS26),AS26*IF($D26="Unlabeled-13",MCDM_Settings!$E$11,MCDM_Settings!$C$11),0)))</f>
        <v>99.999999999999986</v>
      </c>
      <c r="G26" s="13">
        <f>IF(OR(AY26&lt;&gt;"Valid",AZ26&lt;&gt;"16 keys present"),"Review settings",1*(IF(ISNUMBER(AE26),AE26*IF($D26="Unlabeled-13",MCDM_Settings!$E$6,MCDM_Settings!$C$6),0)+IF(ISNUMBER(AH26),AH26*IF($D26="Unlabeled-13",MCDM_Settings!$E$7,MCDM_Settings!$C$7),0)+IF(ISNUMBER(AK26),AK26*IF($D26="Unlabeled-13",MCDM_Settings!$E$8,MCDM_Settings!$C$8),0)+IF(ISNUMBER(AN26),AN26*IF($D26="Unlabeled-13",MCDM_Settings!$E$9,MCDM_Settings!$C$9),0)+IF(ISNUMBER(AQ26),AQ26*IF($D26="Unlabeled-13",MCDM_Settings!$E$10,MCDM_Settings!$C$10),0)+IF(ISNUMBER(AT26),AT26*IF($D26="Unlabeled-13",MCDM_Settings!$E$11,MCDM_Settings!$C$11),0)))</f>
        <v>0.47222222222222215</v>
      </c>
      <c r="H26" s="5" t="str">
        <f>INDEX(Manual_Review!$AH$6:$AH$238,MATCH(A26,Manual_Review!$A$6:$A$238,0))</f>
        <v>Not started</v>
      </c>
      <c r="I26" s="5" t="s">
        <v>128</v>
      </c>
      <c r="J26" s="5" t="s">
        <v>352</v>
      </c>
      <c r="K26" s="5" t="str">
        <f>HYPERLINK("https://github.com/IranRoadDamageDataset/IRRDD","Dataset")</f>
        <v>Dataset</v>
      </c>
      <c r="L26" s="5" t="str">
        <f>HYPERLINK("#'Manual_Review'!A"&amp;(MATCH("DS-021",Manual_Review!$A$6:$A$238,0)+5),"Enter review")</f>
        <v>Enter review</v>
      </c>
      <c r="M26" s="5" t="str">
        <f>INDEX(MCDM_Checks!$K$6:$K$3733,MATCH(A26&amp;"|"&amp;M$5,MCDM_Checks!$A$6:$A$3733,0))</f>
        <v>Y</v>
      </c>
      <c r="N26" s="5" t="str">
        <f>INDEX(MCDM_Checks!$K$6:$K$3733,MATCH(A26&amp;"|"&amp;N$5,MCDM_Checks!$A$6:$A$3733,0))</f>
        <v>Y</v>
      </c>
      <c r="O26" s="5" t="str">
        <f>INDEX(MCDM_Checks!$K$6:$K$3733,MATCH(A26&amp;"|"&amp;O$5,MCDM_Checks!$A$6:$A$3733,0))</f>
        <v>U</v>
      </c>
      <c r="P26" s="5" t="str">
        <f>INDEX(MCDM_Checks!$K$6:$K$3733,MATCH(A26&amp;"|"&amp;P$5,MCDM_Checks!$A$6:$A$3733,0))</f>
        <v>Y</v>
      </c>
      <c r="Q26" s="5" t="str">
        <f>INDEX(MCDM_Checks!$K$6:$K$3733,MATCH(A26&amp;"|"&amp;Q$5,MCDM_Checks!$A$6:$A$3733,0))</f>
        <v>U</v>
      </c>
      <c r="R26" s="5" t="str">
        <f>INDEX(MCDM_Checks!$K$6:$K$3733,MATCH(A26&amp;"|"&amp;R$5,MCDM_Checks!$A$6:$A$3733,0))</f>
        <v>U</v>
      </c>
      <c r="S26" s="5" t="str">
        <f>INDEX(MCDM_Checks!$K$6:$K$3733,MATCH(A26&amp;"|"&amp;S$5,MCDM_Checks!$A$6:$A$3733,0))</f>
        <v>Y</v>
      </c>
      <c r="T26" s="5" t="str">
        <f>INDEX(MCDM_Checks!$K$6:$K$3733,MATCH(A26&amp;"|"&amp;T$5,MCDM_Checks!$A$6:$A$3733,0))</f>
        <v>U</v>
      </c>
      <c r="U26" s="5" t="str">
        <f>INDEX(MCDM_Checks!$K$6:$K$3733,MATCH(A26&amp;"|"&amp;U$5,MCDM_Checks!$A$6:$A$3733,0))</f>
        <v>U</v>
      </c>
      <c r="V26" s="5" t="str">
        <f>INDEX(MCDM_Checks!$K$6:$K$3733,MATCH(A26&amp;"|"&amp;V$5,MCDM_Checks!$A$6:$A$3733,0))</f>
        <v>Y</v>
      </c>
      <c r="W26" s="5" t="str">
        <f>INDEX(MCDM_Checks!$K$6:$K$3733,MATCH(A26&amp;"|"&amp;W$5,MCDM_Checks!$A$6:$A$3733,0))</f>
        <v>Y</v>
      </c>
      <c r="X26" s="5" t="str">
        <f>INDEX(MCDM_Checks!$K$6:$K$3733,MATCH(A26&amp;"|"&amp;X$5,MCDM_Checks!$A$6:$A$3733,0))</f>
        <v>Y</v>
      </c>
      <c r="Y26" s="5" t="str">
        <f>INDEX(MCDM_Checks!$K$6:$K$3733,MATCH(A26&amp;"|"&amp;Y$5,MCDM_Checks!$A$6:$A$3733,0))</f>
        <v>U</v>
      </c>
      <c r="Z26" s="5" t="str">
        <f>INDEX(MCDM_Checks!$K$6:$K$3733,MATCH(A26&amp;"|"&amp;Z$5,MCDM_Checks!$A$6:$A$3733,0))</f>
        <v>U</v>
      </c>
      <c r="AA26" s="5" t="str">
        <f>INDEX(MCDM_Checks!$K$6:$K$3733,MATCH(A26&amp;"|"&amp;AA$5,MCDM_Checks!$A$6:$A$3733,0))</f>
        <v>U</v>
      </c>
      <c r="AB26" s="5" t="str">
        <f>INDEX(MCDM_Checks!$K$6:$K$3733,MATCH(A26&amp;"|"&amp;AB$5,MCDM_Checks!$A$6:$A$3733,0))</f>
        <v>U</v>
      </c>
      <c r="AC26" s="12">
        <f>IF(IF($D26="Unlabeled-13",MCDM_Settings!$F$6,MCDM_Settings!$D$6)=0,"n.a.",5*COUNTIF(M26:O26,"Y")/IF($D26="Unlabeled-13",MCDM_Settings!$F$6,MCDM_Settings!$D$6))</f>
        <v>3.3333333333333335</v>
      </c>
      <c r="AD26" s="12">
        <f>IF(IF($D26="Unlabeled-13",MCDM_Settings!$F$6,MCDM_Settings!$D$6)=0,"n.a.",5*(COUNTIF(M26:O26,"Y")+COUNTIF(M26:O26,"U")+COUNTIF(M26:O26,"X"))/IF($D26="Unlabeled-13",MCDM_Settings!$F$6,MCDM_Settings!$D$6))</f>
        <v>5</v>
      </c>
      <c r="AE26" s="13">
        <f>IF(IF($D26="Unlabeled-13",MCDM_Settings!$F$6,MCDM_Settings!$D$6)=0,"n.a.",(COUNTIF(M26:O26,"Y")+COUNTIF(M26:O26,"N"))/IF($D26="Unlabeled-13",MCDM_Settings!$F$6,MCDM_Settings!$D$6))</f>
        <v>0.66666666666666663</v>
      </c>
      <c r="AF26" s="12">
        <f>IF(IF($D26="Unlabeled-13",MCDM_Settings!$F$7,MCDM_Settings!$D$7)=0,"n.a.",5*COUNTIF(P26:R26,"Y")/IF($D26="Unlabeled-13",MCDM_Settings!$F$7,MCDM_Settings!$D$7))</f>
        <v>1.6666666666666667</v>
      </c>
      <c r="AG26" s="12">
        <f>IF(IF($D26="Unlabeled-13",MCDM_Settings!$F$7,MCDM_Settings!$D$7)=0,"n.a.",5*(COUNTIF(P26:R26,"Y")+COUNTIF(P26:R26,"U")+COUNTIF(P26:R26,"X"))/IF($D26="Unlabeled-13",MCDM_Settings!$F$7,MCDM_Settings!$D$7))</f>
        <v>5</v>
      </c>
      <c r="AH26" s="13">
        <f>IF(IF($D26="Unlabeled-13",MCDM_Settings!$F$7,MCDM_Settings!$D$7)=0,"n.a.",(COUNTIF(P26:R26,"Y")+COUNTIF(P26:R26,"N"))/IF($D26="Unlabeled-13",MCDM_Settings!$F$7,MCDM_Settings!$D$7))</f>
        <v>0.33333333333333331</v>
      </c>
      <c r="AI26" s="12">
        <f>IF(IF($D26="Unlabeled-13",MCDM_Settings!$F$8,MCDM_Settings!$D$8)=0,"n.a.",5*COUNTIF(S26:U26,"Y")/IF($D26="Unlabeled-13",MCDM_Settings!$F$8,MCDM_Settings!$D$8))</f>
        <v>1.6666666666666667</v>
      </c>
      <c r="AJ26" s="12">
        <f>IF(IF($D26="Unlabeled-13",MCDM_Settings!$F$8,MCDM_Settings!$D$8)=0,"n.a.",5*(COUNTIF(S26:U26,"Y")+COUNTIF(S26:U26,"U")+COUNTIF(S26:U26,"X"))/IF($D26="Unlabeled-13",MCDM_Settings!$F$8,MCDM_Settings!$D$8))</f>
        <v>5</v>
      </c>
      <c r="AK26" s="13">
        <f>IF(IF($D26="Unlabeled-13",MCDM_Settings!$F$8,MCDM_Settings!$D$8)=0,"n.a.",(COUNTIF(S26:U26,"Y")+COUNTIF(S26:U26,"N"))/IF($D26="Unlabeled-13",MCDM_Settings!$F$8,MCDM_Settings!$D$8))</f>
        <v>0.33333333333333331</v>
      </c>
      <c r="AL26" s="12">
        <f>IF(IF($D26="Unlabeled-13",MCDM_Settings!$F$9,MCDM_Settings!$D$9)=0,"n.a.",5*COUNTIF(V26:W26,"Y")/IF($D26="Unlabeled-13",MCDM_Settings!$F$9,MCDM_Settings!$D$9))</f>
        <v>5</v>
      </c>
      <c r="AM26" s="12">
        <f>IF(IF($D26="Unlabeled-13",MCDM_Settings!$F$9,MCDM_Settings!$D$9)=0,"n.a.",5*(COUNTIF(V26:W26,"Y")+COUNTIF(V26:W26,"U")+COUNTIF(V26:W26,"X"))/IF($D26="Unlabeled-13",MCDM_Settings!$F$9,MCDM_Settings!$D$9))</f>
        <v>5</v>
      </c>
      <c r="AN26" s="13">
        <f>IF(IF($D26="Unlabeled-13",MCDM_Settings!$F$9,MCDM_Settings!$D$9)=0,"n.a.",(COUNTIF(V26:W26,"Y")+COUNTIF(V26:W26,"N"))/IF($D26="Unlabeled-13",MCDM_Settings!$F$9,MCDM_Settings!$D$9))</f>
        <v>1</v>
      </c>
      <c r="AO26" s="12">
        <f>IF(IF($D26="Unlabeled-13",MCDM_Settings!$F$10,MCDM_Settings!$D$10)=0,"n.a.",5*COUNTIF(X26:Y26,"Y")/IF($D26="Unlabeled-13",MCDM_Settings!$F$10,MCDM_Settings!$D$10))</f>
        <v>2.5</v>
      </c>
      <c r="AP26" s="12">
        <f>IF(IF($D26="Unlabeled-13",MCDM_Settings!$F$10,MCDM_Settings!$D$10)=0,"n.a.",5*(COUNTIF(X26:Y26,"Y")+COUNTIF(X26:Y26,"U")+COUNTIF(X26:Y26,"X"))/IF($D26="Unlabeled-13",MCDM_Settings!$F$10,MCDM_Settings!$D$10))</f>
        <v>5</v>
      </c>
      <c r="AQ26" s="13">
        <f>IF(IF($D26="Unlabeled-13",MCDM_Settings!$F$10,MCDM_Settings!$D$10)=0,"n.a.",(COUNTIF(X26:Y26,"Y")+COUNTIF(X26:Y26,"N"))/IF($D26="Unlabeled-13",MCDM_Settings!$F$10,MCDM_Settings!$D$10))</f>
        <v>0.5</v>
      </c>
      <c r="AR26" s="12">
        <f>IF(IF($D26="Unlabeled-13",MCDM_Settings!$F$11,MCDM_Settings!$D$11)=0,"n.a.",5*COUNTIF(Z26:AB26,"Y")/IF($D26="Unlabeled-13",MCDM_Settings!$F$11,MCDM_Settings!$D$11))</f>
        <v>0</v>
      </c>
      <c r="AS26" s="12">
        <f>IF(IF($D26="Unlabeled-13",MCDM_Settings!$F$11,MCDM_Settings!$D$11)=0,"n.a.",5*(COUNTIF(Z26:AB26,"Y")+COUNTIF(Z26:AB26,"U")+COUNTIF(Z26:AB26,"X"))/IF($D26="Unlabeled-13",MCDM_Settings!$F$11,MCDM_Settings!$D$11))</f>
        <v>5</v>
      </c>
      <c r="AT26" s="13">
        <f>IF(IF($D26="Unlabeled-13",MCDM_Settings!$F$11,MCDM_Settings!$D$11)=0,"n.a.",(COUNTIF(Z26:AB26,"Y")+COUNTIF(Z26:AB26,"N"))/IF($D26="Unlabeled-13",MCDM_Settings!$F$11,MCDM_Settings!$D$11))</f>
        <v>0</v>
      </c>
      <c r="AU26" s="5" t="str">
        <f>IF(AND(INDEX(Manual_Review!$G$6:$G$238,MATCH(A26,Manual_Review!$A$6:$A$238,0))&lt;&gt;"",ISNUMBER(INDEX(Manual_Review!$H$6:$H$238,MATCH(A26,Manual_Review!$A$6:$A$238,0))),INDEX(Manual_Review!$H$6:$H$238,MATCH(A26,Manual_Review!$A$6:$A$238,0))&gt;0,INDEX(Manual_Review!$I$6:$I$238,MATCH(A26,Manual_Review!$A$6:$A$238,0))="Confirmed",INDEX(Manual_Review!$AF$6:$AF$238,MATCH(A26,Manual_Review!$A$6:$A$238,0))&lt;&gt;""),IF(INDEX(Manual_Review!$AA$6:$AA$238,MATCH(A26,Manual_Review!$A$6:$A$238,0))="Pass","Pass",IF(INDEX(Manual_Review!$AA$6:$AA$238,MATCH(A26,Manual_Review!$A$6:$A$238,0))="Fail","Fail","Pending")),"Pending human identity confirmation")</f>
        <v>Pending human identity confirmation</v>
      </c>
      <c r="AV26" s="5" t="str">
        <f>IF(AND(AND(INDEX(Manual_Review!$G$6:$G$238,MATCH(A26,Manual_Review!$A$6:$A$238,0))&lt;&gt;"",ISNUMBER(INDEX(Manual_Review!$H$6:$H$238,MATCH(A26,Manual_Review!$A$6:$A$238,0))),INDEX(Manual_Review!$H$6:$H$238,MATCH(A26,Manual_Review!$A$6:$A$238,0))&gt;0,INDEX(Manual_Review!$I$6:$I$238,MATCH(A26,Manual_Review!$A$6:$A$238,0))="Confirmed",INDEX(Manual_Review!$AF$6:$AF$238,MATCH(A26,Manual_Review!$A$6:$A$238,0))&lt;&gt;""),INDEX(Manual_Review!$AG$6:$AG$238,MATCH(A26,Manual_Review!$A$6:$A$238,0))&lt;&gt;""),IF(INDEX(Manual_Review!$AB$6:$AB$238,MATCH(A26,Manual_Review!$A$6:$A$238,0))="Pass","Pass",IF(INDEX(Manual_Review!$AB$6:$AB$238,MATCH(A26,Manual_Review!$A$6:$A$238,0))="Fail","Fail","Pending")),"Not assessed: define intended task")</f>
        <v>Not assessed: define intended task</v>
      </c>
      <c r="AW26" s="5" t="str">
        <f>IF(AND(AND(INDEX(Manual_Review!$G$6:$G$238,MATCH(A26,Manual_Review!$A$6:$A$238,0))&lt;&gt;"",ISNUMBER(INDEX(Manual_Review!$H$6:$H$238,MATCH(A26,Manual_Review!$A$6:$A$238,0))),INDEX(Manual_Review!$H$6:$H$238,MATCH(A26,Manual_Review!$A$6:$A$238,0))&gt;0,INDEX(Manual_Review!$I$6:$I$238,MATCH(A26,Manual_Review!$A$6:$A$238,0))="Confirmed",INDEX(Manual_Review!$AF$6:$AF$238,MATCH(A26,Manual_Review!$A$6:$A$238,0))&lt;&gt;""),INDEX(Manual_Review!$AG$6:$AG$238,MATCH(A26,Manual_Review!$A$6:$A$238,0))&lt;&gt;""),IF(OR(INDEX(Manual_Review!$AC$6:$AC$238,MATCH(A26,Manual_Review!$A$6:$A$238,0))="Fail",INDEX(Manual_Review!$AD$6:$AD$238,MATCH(A26,Manual_Review!$A$6:$A$238,0))="Fail"),"Fail: rights or retrieval",IF(AND(INDEX(Manual_Review!$AC$6:$AC$238,MATCH(A26,Manual_Review!$A$6:$A$238,0))="Pass",INDEX(Manual_Review!$AD$6:$AD$238,MATCH(A26,Manual_Review!$A$6:$A$238,0))="Pass"),"Pass","Pending rights and retrieval")),"Pending rights and retrieval")</f>
        <v>Pending rights and retrieval</v>
      </c>
      <c r="AX26" s="5" t="str">
        <f>IF(INDEX(Manual_Review!$AG$6:$AG$238,MATCH(A26,Manual_Review!$A$6:$A$238,0))="","N/A: documentation inventory",IF(AND(INDEX(Manual_Review!$G$6:$G$238,MATCH(A26,Manual_Review!$A$6:$A$238,0))&lt;&gt;"",ISNUMBER(INDEX(Manual_Review!$H$6:$H$238,MATCH(A26,Manual_Review!$A$6:$A$238,0))),INDEX(Manual_Review!$H$6:$H$238,MATCH(A26,Manual_Review!$A$6:$A$238,0))&gt;0,INDEX(Manual_Review!$I$6:$I$238,MATCH(A26,Manual_Review!$A$6:$A$238,0))="Confirmed",INDEX(Manual_Review!$AF$6:$AF$238,MATCH(A26,Manual_Review!$A$6:$A$238,0))&lt;&gt;""),IF(INDEX(Manual_Review!$AE$6:$AE$238,MATCH(A26,Manual_Review!$A$6:$A$238,0))="Pass","Pass",IF(INDEX(Manual_Review!$AE$6:$AE$238,MATCH(A26,Manual_Review!$A$6:$A$238,0))="Fail","Fail: benchmark leakage",IF(INDEX(Manual_Review!$AE$6:$AE$238,MATCH(A26,Manual_Review!$A$6:$A$238,0))="N/A","N/A: nonbenchmark task","Pending task-specific leakage check"))),"Pending task-specific leakage check"))</f>
        <v>N/A: documentation inventory</v>
      </c>
      <c r="AY26" s="5" t="str">
        <f>IF(IF(D26="Unlabeled-13",AND(ABS(MCDM_Settings!$D$14-1)&lt;0.0000001,MIN(MCDM_Settings!$E$6:$E$11)&gt;=0,MCDM_Settings!$E$7=0),AND(ABS(MCDM_Settings!$B$14-1)&lt;0.0000001,MIN(MCDM_Settings!$C$6:$C$11)&gt;=0)),"Valid","Check weights")</f>
        <v>Valid</v>
      </c>
      <c r="AZ26" s="5" t="str">
        <f>IF(AND(COUNTIF(MCDM_Checks!$B$6:$B$3733,A26)=16,COUNTIF(Manual_Review!$A$6:$A$238,A26)=1),"16 keys present","Check key count")</f>
        <v>16 keys present</v>
      </c>
    </row>
    <row r="27" spans="1:52" ht="25.5">
      <c r="A27" s="5" t="s">
        <v>360</v>
      </c>
      <c r="B27" s="5" t="s">
        <v>361</v>
      </c>
      <c r="C27" s="5"/>
      <c r="D27" s="5" t="s">
        <v>118</v>
      </c>
      <c r="E27" s="12">
        <f>IF(OR(AY27&lt;&gt;"Valid",AZ27&lt;&gt;"16 keys present"),"Review settings",20*(IF(ISNUMBER(AC27),AC27*IF($D27="Unlabeled-13",MCDM_Settings!$E$6,MCDM_Settings!$C$6),0)+IF(ISNUMBER(AF27),AF27*IF($D27="Unlabeled-13",MCDM_Settings!$E$7,MCDM_Settings!$C$7),0)+IF(ISNUMBER(AI27),AI27*IF($D27="Unlabeled-13",MCDM_Settings!$E$8,MCDM_Settings!$C$8),0)+IF(ISNUMBER(AL27),AL27*IF($D27="Unlabeled-13",MCDM_Settings!$E$9,MCDM_Settings!$C$9),0)+IF(ISNUMBER(AO27),AO27*IF($D27="Unlabeled-13",MCDM_Settings!$E$10,MCDM_Settings!$C$10),0)+IF(ISNUMBER(AR27),AR27*IF($D27="Unlabeled-13",MCDM_Settings!$E$11,MCDM_Settings!$C$11),0)))</f>
        <v>75</v>
      </c>
      <c r="F27" s="12">
        <f>IF(OR(AY27&lt;&gt;"Valid",AZ27&lt;&gt;"16 keys present"),"Review settings",20*(IF(ISNUMBER(AD27),AD27*IF($D27="Unlabeled-13",MCDM_Settings!$E$6,MCDM_Settings!$C$6),0)+IF(ISNUMBER(AG27),AG27*IF($D27="Unlabeled-13",MCDM_Settings!$E$7,MCDM_Settings!$C$7),0)+IF(ISNUMBER(AJ27),AJ27*IF($D27="Unlabeled-13",MCDM_Settings!$E$8,MCDM_Settings!$C$8),0)+IF(ISNUMBER(AM27),AM27*IF($D27="Unlabeled-13",MCDM_Settings!$E$9,MCDM_Settings!$C$9),0)+IF(ISNUMBER(AP27),AP27*IF($D27="Unlabeled-13",MCDM_Settings!$E$10,MCDM_Settings!$C$10),0)+IF(ISNUMBER(AS27),AS27*IF($D27="Unlabeled-13",MCDM_Settings!$E$11,MCDM_Settings!$C$11),0)))</f>
        <v>99.999999999999986</v>
      </c>
      <c r="G27" s="13">
        <f>IF(OR(AY27&lt;&gt;"Valid",AZ27&lt;&gt;"16 keys present"),"Review settings",1*(IF(ISNUMBER(AE27),AE27*IF($D27="Unlabeled-13",MCDM_Settings!$E$6,MCDM_Settings!$C$6),0)+IF(ISNUMBER(AH27),AH27*IF($D27="Unlabeled-13",MCDM_Settings!$E$7,MCDM_Settings!$C$7),0)+IF(ISNUMBER(AK27),AK27*IF($D27="Unlabeled-13",MCDM_Settings!$E$8,MCDM_Settings!$C$8),0)+IF(ISNUMBER(AN27),AN27*IF($D27="Unlabeled-13",MCDM_Settings!$E$9,MCDM_Settings!$C$9),0)+IF(ISNUMBER(AQ27),AQ27*IF($D27="Unlabeled-13",MCDM_Settings!$E$10,MCDM_Settings!$C$10),0)+IF(ISNUMBER(AT27),AT27*IF($D27="Unlabeled-13",MCDM_Settings!$E$11,MCDM_Settings!$C$11),0)))</f>
        <v>0.74999999999999989</v>
      </c>
      <c r="H27" s="5" t="str">
        <f>INDEX(Manual_Review!$AH$6:$AH$238,MATCH(A27,Manual_Review!$A$6:$A$238,0))</f>
        <v>Not started</v>
      </c>
      <c r="I27" s="5" t="s">
        <v>128</v>
      </c>
      <c r="J27" s="5" t="s">
        <v>362</v>
      </c>
      <c r="K27" s="5" t="str">
        <f>HYPERLINK("https://github.com/lfangyu09/IR-Crack-detection","Dataset")</f>
        <v>Dataset</v>
      </c>
      <c r="L27" s="5" t="str">
        <f>HYPERLINK("#'Manual_Review'!A"&amp;(MATCH("DS-022",Manual_Review!$A$6:$A$238,0)+5),"Enter review")</f>
        <v>Enter review</v>
      </c>
      <c r="M27" s="5" t="str">
        <f>INDEX(MCDM_Checks!$K$6:$K$3733,MATCH(A27&amp;"|"&amp;M$5,MCDM_Checks!$A$6:$A$3733,0))</f>
        <v>Y</v>
      </c>
      <c r="N27" s="5" t="str">
        <f>INDEX(MCDM_Checks!$K$6:$K$3733,MATCH(A27&amp;"|"&amp;N$5,MCDM_Checks!$A$6:$A$3733,0))</f>
        <v>Y</v>
      </c>
      <c r="O27" s="5" t="str">
        <f>INDEX(MCDM_Checks!$K$6:$K$3733,MATCH(A27&amp;"|"&amp;O$5,MCDM_Checks!$A$6:$A$3733,0))</f>
        <v>U</v>
      </c>
      <c r="P27" s="5" t="str">
        <f>INDEX(MCDM_Checks!$K$6:$K$3733,MATCH(A27&amp;"|"&amp;P$5,MCDM_Checks!$A$6:$A$3733,0))</f>
        <v>Y</v>
      </c>
      <c r="Q27" s="5" t="str">
        <f>INDEX(MCDM_Checks!$K$6:$K$3733,MATCH(A27&amp;"|"&amp;Q$5,MCDM_Checks!$A$6:$A$3733,0))</f>
        <v>Y</v>
      </c>
      <c r="R27" s="5" t="str">
        <f>INDEX(MCDM_Checks!$K$6:$K$3733,MATCH(A27&amp;"|"&amp;R$5,MCDM_Checks!$A$6:$A$3733,0))</f>
        <v>U</v>
      </c>
      <c r="S27" s="5" t="str">
        <f>INDEX(MCDM_Checks!$K$6:$K$3733,MATCH(A27&amp;"|"&amp;S$5,MCDM_Checks!$A$6:$A$3733,0))</f>
        <v>U</v>
      </c>
      <c r="T27" s="5" t="str">
        <f>INDEX(MCDM_Checks!$K$6:$K$3733,MATCH(A27&amp;"|"&amp;T$5,MCDM_Checks!$A$6:$A$3733,0))</f>
        <v>Y</v>
      </c>
      <c r="U27" s="5" t="str">
        <f>INDEX(MCDM_Checks!$K$6:$K$3733,MATCH(A27&amp;"|"&amp;U$5,MCDM_Checks!$A$6:$A$3733,0))</f>
        <v>Y</v>
      </c>
      <c r="V27" s="5" t="str">
        <f>INDEX(MCDM_Checks!$K$6:$K$3733,MATCH(A27&amp;"|"&amp;V$5,MCDM_Checks!$A$6:$A$3733,0))</f>
        <v>X</v>
      </c>
      <c r="W27" s="5" t="str">
        <f>INDEX(MCDM_Checks!$K$6:$K$3733,MATCH(A27&amp;"|"&amp;W$5,MCDM_Checks!$A$6:$A$3733,0))</f>
        <v>Y</v>
      </c>
      <c r="X27" s="5" t="str">
        <f>INDEX(MCDM_Checks!$K$6:$K$3733,MATCH(A27&amp;"|"&amp;X$5,MCDM_Checks!$A$6:$A$3733,0))</f>
        <v>Y</v>
      </c>
      <c r="Y27" s="5" t="str">
        <f>INDEX(MCDM_Checks!$K$6:$K$3733,MATCH(A27&amp;"|"&amp;Y$5,MCDM_Checks!$A$6:$A$3733,0))</f>
        <v>Y</v>
      </c>
      <c r="Z27" s="5" t="str">
        <f>INDEX(MCDM_Checks!$K$6:$K$3733,MATCH(A27&amp;"|"&amp;Z$5,MCDM_Checks!$A$6:$A$3733,0))</f>
        <v>Y</v>
      </c>
      <c r="AA27" s="5" t="str">
        <f>INDEX(MCDM_Checks!$K$6:$K$3733,MATCH(A27&amp;"|"&amp;AA$5,MCDM_Checks!$A$6:$A$3733,0))</f>
        <v>Y</v>
      </c>
      <c r="AB27" s="5" t="str">
        <f>INDEX(MCDM_Checks!$K$6:$K$3733,MATCH(A27&amp;"|"&amp;AB$5,MCDM_Checks!$A$6:$A$3733,0))</f>
        <v>Y</v>
      </c>
      <c r="AC27" s="12">
        <f>IF(IF($D27="Unlabeled-13",MCDM_Settings!$F$6,MCDM_Settings!$D$6)=0,"n.a.",5*COUNTIF(M27:O27,"Y")/IF($D27="Unlabeled-13",MCDM_Settings!$F$6,MCDM_Settings!$D$6))</f>
        <v>3.3333333333333335</v>
      </c>
      <c r="AD27" s="12">
        <f>IF(IF($D27="Unlabeled-13",MCDM_Settings!$F$6,MCDM_Settings!$D$6)=0,"n.a.",5*(COUNTIF(M27:O27,"Y")+COUNTIF(M27:O27,"U")+COUNTIF(M27:O27,"X"))/IF($D27="Unlabeled-13",MCDM_Settings!$F$6,MCDM_Settings!$D$6))</f>
        <v>5</v>
      </c>
      <c r="AE27" s="13">
        <f>IF(IF($D27="Unlabeled-13",MCDM_Settings!$F$6,MCDM_Settings!$D$6)=0,"n.a.",(COUNTIF(M27:O27,"Y")+COUNTIF(M27:O27,"N"))/IF($D27="Unlabeled-13",MCDM_Settings!$F$6,MCDM_Settings!$D$6))</f>
        <v>0.66666666666666663</v>
      </c>
      <c r="AF27" s="12">
        <f>IF(IF($D27="Unlabeled-13",MCDM_Settings!$F$7,MCDM_Settings!$D$7)=0,"n.a.",5*COUNTIF(P27:R27,"Y")/IF($D27="Unlabeled-13",MCDM_Settings!$F$7,MCDM_Settings!$D$7))</f>
        <v>3.3333333333333335</v>
      </c>
      <c r="AG27" s="12">
        <f>IF(IF($D27="Unlabeled-13",MCDM_Settings!$F$7,MCDM_Settings!$D$7)=0,"n.a.",5*(COUNTIF(P27:R27,"Y")+COUNTIF(P27:R27,"U")+COUNTIF(P27:R27,"X"))/IF($D27="Unlabeled-13",MCDM_Settings!$F$7,MCDM_Settings!$D$7))</f>
        <v>5</v>
      </c>
      <c r="AH27" s="13">
        <f>IF(IF($D27="Unlabeled-13",MCDM_Settings!$F$7,MCDM_Settings!$D$7)=0,"n.a.",(COUNTIF(P27:R27,"Y")+COUNTIF(P27:R27,"N"))/IF($D27="Unlabeled-13",MCDM_Settings!$F$7,MCDM_Settings!$D$7))</f>
        <v>0.66666666666666663</v>
      </c>
      <c r="AI27" s="12">
        <f>IF(IF($D27="Unlabeled-13",MCDM_Settings!$F$8,MCDM_Settings!$D$8)=0,"n.a.",5*COUNTIF(S27:U27,"Y")/IF($D27="Unlabeled-13",MCDM_Settings!$F$8,MCDM_Settings!$D$8))</f>
        <v>3.3333333333333335</v>
      </c>
      <c r="AJ27" s="12">
        <f>IF(IF($D27="Unlabeled-13",MCDM_Settings!$F$8,MCDM_Settings!$D$8)=0,"n.a.",5*(COUNTIF(S27:U27,"Y")+COUNTIF(S27:U27,"U")+COUNTIF(S27:U27,"X"))/IF($D27="Unlabeled-13",MCDM_Settings!$F$8,MCDM_Settings!$D$8))</f>
        <v>5</v>
      </c>
      <c r="AK27" s="13">
        <f>IF(IF($D27="Unlabeled-13",MCDM_Settings!$F$8,MCDM_Settings!$D$8)=0,"n.a.",(COUNTIF(S27:U27,"Y")+COUNTIF(S27:U27,"N"))/IF($D27="Unlabeled-13",MCDM_Settings!$F$8,MCDM_Settings!$D$8))</f>
        <v>0.66666666666666663</v>
      </c>
      <c r="AL27" s="12">
        <f>IF(IF($D27="Unlabeled-13",MCDM_Settings!$F$9,MCDM_Settings!$D$9)=0,"n.a.",5*COUNTIF(V27:W27,"Y")/IF($D27="Unlabeled-13",MCDM_Settings!$F$9,MCDM_Settings!$D$9))</f>
        <v>2.5</v>
      </c>
      <c r="AM27" s="12">
        <f>IF(IF($D27="Unlabeled-13",MCDM_Settings!$F$9,MCDM_Settings!$D$9)=0,"n.a.",5*(COUNTIF(V27:W27,"Y")+COUNTIF(V27:W27,"U")+COUNTIF(V27:W27,"X"))/IF($D27="Unlabeled-13",MCDM_Settings!$F$9,MCDM_Settings!$D$9))</f>
        <v>5</v>
      </c>
      <c r="AN27" s="13">
        <f>IF(IF($D27="Unlabeled-13",MCDM_Settings!$F$9,MCDM_Settings!$D$9)=0,"n.a.",(COUNTIF(V27:W27,"Y")+COUNTIF(V27:W27,"N"))/IF($D27="Unlabeled-13",MCDM_Settings!$F$9,MCDM_Settings!$D$9))</f>
        <v>0.5</v>
      </c>
      <c r="AO27" s="12">
        <f>IF(IF($D27="Unlabeled-13",MCDM_Settings!$F$10,MCDM_Settings!$D$10)=0,"n.a.",5*COUNTIF(X27:Y27,"Y")/IF($D27="Unlabeled-13",MCDM_Settings!$F$10,MCDM_Settings!$D$10))</f>
        <v>5</v>
      </c>
      <c r="AP27" s="12">
        <f>IF(IF($D27="Unlabeled-13",MCDM_Settings!$F$10,MCDM_Settings!$D$10)=0,"n.a.",5*(COUNTIF(X27:Y27,"Y")+COUNTIF(X27:Y27,"U")+COUNTIF(X27:Y27,"X"))/IF($D27="Unlabeled-13",MCDM_Settings!$F$10,MCDM_Settings!$D$10))</f>
        <v>5</v>
      </c>
      <c r="AQ27" s="13">
        <f>IF(IF($D27="Unlabeled-13",MCDM_Settings!$F$10,MCDM_Settings!$D$10)=0,"n.a.",(COUNTIF(X27:Y27,"Y")+COUNTIF(X27:Y27,"N"))/IF($D27="Unlabeled-13",MCDM_Settings!$F$10,MCDM_Settings!$D$10))</f>
        <v>1</v>
      </c>
      <c r="AR27" s="12">
        <f>IF(IF($D27="Unlabeled-13",MCDM_Settings!$F$11,MCDM_Settings!$D$11)=0,"n.a.",5*COUNTIF(Z27:AB27,"Y")/IF($D27="Unlabeled-13",MCDM_Settings!$F$11,MCDM_Settings!$D$11))</f>
        <v>5</v>
      </c>
      <c r="AS27" s="12">
        <f>IF(IF($D27="Unlabeled-13",MCDM_Settings!$F$11,MCDM_Settings!$D$11)=0,"n.a.",5*(COUNTIF(Z27:AB27,"Y")+COUNTIF(Z27:AB27,"U")+COUNTIF(Z27:AB27,"X"))/IF($D27="Unlabeled-13",MCDM_Settings!$F$11,MCDM_Settings!$D$11))</f>
        <v>5</v>
      </c>
      <c r="AT27" s="13">
        <f>IF(IF($D27="Unlabeled-13",MCDM_Settings!$F$11,MCDM_Settings!$D$11)=0,"n.a.",(COUNTIF(Z27:AB27,"Y")+COUNTIF(Z27:AB27,"N"))/IF($D27="Unlabeled-13",MCDM_Settings!$F$11,MCDM_Settings!$D$11))</f>
        <v>1</v>
      </c>
      <c r="AU27" s="5" t="str">
        <f>IF(AND(INDEX(Manual_Review!$G$6:$G$238,MATCH(A27,Manual_Review!$A$6:$A$238,0))&lt;&gt;"",ISNUMBER(INDEX(Manual_Review!$H$6:$H$238,MATCH(A27,Manual_Review!$A$6:$A$238,0))),INDEX(Manual_Review!$H$6:$H$238,MATCH(A27,Manual_Review!$A$6:$A$238,0))&gt;0,INDEX(Manual_Review!$I$6:$I$238,MATCH(A27,Manual_Review!$A$6:$A$238,0))="Confirmed",INDEX(Manual_Review!$AF$6:$AF$238,MATCH(A27,Manual_Review!$A$6:$A$238,0))&lt;&gt;""),IF(INDEX(Manual_Review!$AA$6:$AA$238,MATCH(A27,Manual_Review!$A$6:$A$238,0))="Pass","Pass",IF(INDEX(Manual_Review!$AA$6:$AA$238,MATCH(A27,Manual_Review!$A$6:$A$238,0))="Fail","Fail","Pending")),"Pending human identity confirmation")</f>
        <v>Pending human identity confirmation</v>
      </c>
      <c r="AV27" s="5" t="str">
        <f>IF(AND(AND(INDEX(Manual_Review!$G$6:$G$238,MATCH(A27,Manual_Review!$A$6:$A$238,0))&lt;&gt;"",ISNUMBER(INDEX(Manual_Review!$H$6:$H$238,MATCH(A27,Manual_Review!$A$6:$A$238,0))),INDEX(Manual_Review!$H$6:$H$238,MATCH(A27,Manual_Review!$A$6:$A$238,0))&gt;0,INDEX(Manual_Review!$I$6:$I$238,MATCH(A27,Manual_Review!$A$6:$A$238,0))="Confirmed",INDEX(Manual_Review!$AF$6:$AF$238,MATCH(A27,Manual_Review!$A$6:$A$238,0))&lt;&gt;""),INDEX(Manual_Review!$AG$6:$AG$238,MATCH(A27,Manual_Review!$A$6:$A$238,0))&lt;&gt;""),IF(INDEX(Manual_Review!$AB$6:$AB$238,MATCH(A27,Manual_Review!$A$6:$A$238,0))="Pass","Pass",IF(INDEX(Manual_Review!$AB$6:$AB$238,MATCH(A27,Manual_Review!$A$6:$A$238,0))="Fail","Fail","Pending")),"Not assessed: define intended task")</f>
        <v>Not assessed: define intended task</v>
      </c>
      <c r="AW27" s="5" t="str">
        <f>IF(AND(AND(INDEX(Manual_Review!$G$6:$G$238,MATCH(A27,Manual_Review!$A$6:$A$238,0))&lt;&gt;"",ISNUMBER(INDEX(Manual_Review!$H$6:$H$238,MATCH(A27,Manual_Review!$A$6:$A$238,0))),INDEX(Manual_Review!$H$6:$H$238,MATCH(A27,Manual_Review!$A$6:$A$238,0))&gt;0,INDEX(Manual_Review!$I$6:$I$238,MATCH(A27,Manual_Review!$A$6:$A$238,0))="Confirmed",INDEX(Manual_Review!$AF$6:$AF$238,MATCH(A27,Manual_Review!$A$6:$A$238,0))&lt;&gt;""),INDEX(Manual_Review!$AG$6:$AG$238,MATCH(A27,Manual_Review!$A$6:$A$238,0))&lt;&gt;""),IF(OR(INDEX(Manual_Review!$AC$6:$AC$238,MATCH(A27,Manual_Review!$A$6:$A$238,0))="Fail",INDEX(Manual_Review!$AD$6:$AD$238,MATCH(A27,Manual_Review!$A$6:$A$238,0))="Fail"),"Fail: rights or retrieval",IF(AND(INDEX(Manual_Review!$AC$6:$AC$238,MATCH(A27,Manual_Review!$A$6:$A$238,0))="Pass",INDEX(Manual_Review!$AD$6:$AD$238,MATCH(A27,Manual_Review!$A$6:$A$238,0))="Pass"),"Pass","Pending rights and retrieval")),"Pending rights and retrieval")</f>
        <v>Pending rights and retrieval</v>
      </c>
      <c r="AX27" s="5" t="str">
        <f>IF(INDEX(Manual_Review!$AG$6:$AG$238,MATCH(A27,Manual_Review!$A$6:$A$238,0))="","N/A: documentation inventory",IF(AND(INDEX(Manual_Review!$G$6:$G$238,MATCH(A27,Manual_Review!$A$6:$A$238,0))&lt;&gt;"",ISNUMBER(INDEX(Manual_Review!$H$6:$H$238,MATCH(A27,Manual_Review!$A$6:$A$238,0))),INDEX(Manual_Review!$H$6:$H$238,MATCH(A27,Manual_Review!$A$6:$A$238,0))&gt;0,INDEX(Manual_Review!$I$6:$I$238,MATCH(A27,Manual_Review!$A$6:$A$238,0))="Confirmed",INDEX(Manual_Review!$AF$6:$AF$238,MATCH(A27,Manual_Review!$A$6:$A$238,0))&lt;&gt;""),IF(INDEX(Manual_Review!$AE$6:$AE$238,MATCH(A27,Manual_Review!$A$6:$A$238,0))="Pass","Pass",IF(INDEX(Manual_Review!$AE$6:$AE$238,MATCH(A27,Manual_Review!$A$6:$A$238,0))="Fail","Fail: benchmark leakage",IF(INDEX(Manual_Review!$AE$6:$AE$238,MATCH(A27,Manual_Review!$A$6:$A$238,0))="N/A","N/A: nonbenchmark task","Pending task-specific leakage check"))),"Pending task-specific leakage check"))</f>
        <v>N/A: documentation inventory</v>
      </c>
      <c r="AY27" s="5" t="str">
        <f>IF(IF(D27="Unlabeled-13",AND(ABS(MCDM_Settings!$D$14-1)&lt;0.0000001,MIN(MCDM_Settings!$E$6:$E$11)&gt;=0,MCDM_Settings!$E$7=0),AND(ABS(MCDM_Settings!$B$14-1)&lt;0.0000001,MIN(MCDM_Settings!$C$6:$C$11)&gt;=0)),"Valid","Check weights")</f>
        <v>Valid</v>
      </c>
      <c r="AZ27" s="5" t="str">
        <f>IF(AND(COUNTIF(MCDM_Checks!$B$6:$B$3733,A27)=16,COUNTIF(Manual_Review!$A$6:$A$238,A27)=1),"16 keys present","Check key count")</f>
        <v>16 keys present</v>
      </c>
    </row>
    <row r="28" spans="1:52" ht="25.5">
      <c r="A28" s="5" t="s">
        <v>376</v>
      </c>
      <c r="B28" s="5" t="s">
        <v>377</v>
      </c>
      <c r="C28" s="5"/>
      <c r="D28" s="5" t="s">
        <v>118</v>
      </c>
      <c r="E28" s="12">
        <f>IF(OR(AY28&lt;&gt;"Valid",AZ28&lt;&gt;"16 keys present"),"Review settings",20*(IF(ISNUMBER(AC28),AC28*IF($D28="Unlabeled-13",MCDM_Settings!$E$6,MCDM_Settings!$C$6),0)+IF(ISNUMBER(AF28),AF28*IF($D28="Unlabeled-13",MCDM_Settings!$E$7,MCDM_Settings!$C$7),0)+IF(ISNUMBER(AI28),AI28*IF($D28="Unlabeled-13",MCDM_Settings!$E$8,MCDM_Settings!$C$8),0)+IF(ISNUMBER(AL28),AL28*IF($D28="Unlabeled-13",MCDM_Settings!$E$9,MCDM_Settings!$C$9),0)+IF(ISNUMBER(AO28),AO28*IF($D28="Unlabeled-13",MCDM_Settings!$E$10,MCDM_Settings!$C$10),0)+IF(ISNUMBER(AR28),AR28*IF($D28="Unlabeled-13",MCDM_Settings!$E$11,MCDM_Settings!$C$11),0)))</f>
        <v>36.111111111111114</v>
      </c>
      <c r="F28" s="12">
        <f>IF(OR(AY28&lt;&gt;"Valid",AZ28&lt;&gt;"16 keys present"),"Review settings",20*(IF(ISNUMBER(AD28),AD28*IF($D28="Unlabeled-13",MCDM_Settings!$E$6,MCDM_Settings!$C$6),0)+IF(ISNUMBER(AG28),AG28*IF($D28="Unlabeled-13",MCDM_Settings!$E$7,MCDM_Settings!$C$7),0)+IF(ISNUMBER(AJ28),AJ28*IF($D28="Unlabeled-13",MCDM_Settings!$E$8,MCDM_Settings!$C$8),0)+IF(ISNUMBER(AM28),AM28*IF($D28="Unlabeled-13",MCDM_Settings!$E$9,MCDM_Settings!$C$9),0)+IF(ISNUMBER(AP28),AP28*IF($D28="Unlabeled-13",MCDM_Settings!$E$10,MCDM_Settings!$C$10),0)+IF(ISNUMBER(AS28),AS28*IF($D28="Unlabeled-13",MCDM_Settings!$E$11,MCDM_Settings!$C$11),0)))</f>
        <v>99.999999999999986</v>
      </c>
      <c r="G28" s="13">
        <f>IF(OR(AY28&lt;&gt;"Valid",AZ28&lt;&gt;"16 keys present"),"Review settings",1*(IF(ISNUMBER(AE28),AE28*IF($D28="Unlabeled-13",MCDM_Settings!$E$6,MCDM_Settings!$C$6),0)+IF(ISNUMBER(AH28),AH28*IF($D28="Unlabeled-13",MCDM_Settings!$E$7,MCDM_Settings!$C$7),0)+IF(ISNUMBER(AK28),AK28*IF($D28="Unlabeled-13",MCDM_Settings!$E$8,MCDM_Settings!$C$8),0)+IF(ISNUMBER(AN28),AN28*IF($D28="Unlabeled-13",MCDM_Settings!$E$9,MCDM_Settings!$C$9),0)+IF(ISNUMBER(AQ28),AQ28*IF($D28="Unlabeled-13",MCDM_Settings!$E$10,MCDM_Settings!$C$10),0)+IF(ISNUMBER(AT28),AT28*IF($D28="Unlabeled-13",MCDM_Settings!$E$11,MCDM_Settings!$C$11),0)))</f>
        <v>0.3611111111111111</v>
      </c>
      <c r="H28" s="5" t="str">
        <f>INDEX(Manual_Review!$AH$6:$AH$238,MATCH(A28,Manual_Review!$A$6:$A$238,0))</f>
        <v>Not started</v>
      </c>
      <c r="I28" s="5" t="s">
        <v>128</v>
      </c>
      <c r="J28" s="5" t="s">
        <v>378</v>
      </c>
      <c r="K28" s="5" t="str">
        <f>HYPERLINK("https://github.com/lfangyu09/IR-Crack-detection","Dataset")</f>
        <v>Dataset</v>
      </c>
      <c r="L28" s="5" t="str">
        <f>HYPERLINK("#'Manual_Review'!A"&amp;(MATCH("DS-023",Manual_Review!$A$6:$A$238,0)+5),"Enter review")</f>
        <v>Enter review</v>
      </c>
      <c r="M28" s="5" t="str">
        <f>INDEX(MCDM_Checks!$K$6:$K$3733,MATCH(A28&amp;"|"&amp;M$5,MCDM_Checks!$A$6:$A$3733,0))</f>
        <v>Y</v>
      </c>
      <c r="N28" s="5" t="str">
        <f>INDEX(MCDM_Checks!$K$6:$K$3733,MATCH(A28&amp;"|"&amp;N$5,MCDM_Checks!$A$6:$A$3733,0))</f>
        <v>Y</v>
      </c>
      <c r="O28" s="5" t="str">
        <f>INDEX(MCDM_Checks!$K$6:$K$3733,MATCH(A28&amp;"|"&amp;O$5,MCDM_Checks!$A$6:$A$3733,0))</f>
        <v>U</v>
      </c>
      <c r="P28" s="5" t="str">
        <f>INDEX(MCDM_Checks!$K$6:$K$3733,MATCH(A28&amp;"|"&amp;P$5,MCDM_Checks!$A$6:$A$3733,0))</f>
        <v>U</v>
      </c>
      <c r="Q28" s="5" t="str">
        <f>INDEX(MCDM_Checks!$K$6:$K$3733,MATCH(A28&amp;"|"&amp;Q$5,MCDM_Checks!$A$6:$A$3733,0))</f>
        <v>U</v>
      </c>
      <c r="R28" s="5" t="str">
        <f>INDEX(MCDM_Checks!$K$6:$K$3733,MATCH(A28&amp;"|"&amp;R$5,MCDM_Checks!$A$6:$A$3733,0))</f>
        <v>U</v>
      </c>
      <c r="S28" s="5" t="str">
        <f>INDEX(MCDM_Checks!$K$6:$K$3733,MATCH(A28&amp;"|"&amp;S$5,MCDM_Checks!$A$6:$A$3733,0))</f>
        <v>U</v>
      </c>
      <c r="T28" s="5" t="str">
        <f>INDEX(MCDM_Checks!$K$6:$K$3733,MATCH(A28&amp;"|"&amp;T$5,MCDM_Checks!$A$6:$A$3733,0))</f>
        <v>Y</v>
      </c>
      <c r="U28" s="5" t="str">
        <f>INDEX(MCDM_Checks!$K$6:$K$3733,MATCH(A28&amp;"|"&amp;U$5,MCDM_Checks!$A$6:$A$3733,0))</f>
        <v>U</v>
      </c>
      <c r="V28" s="5" t="str">
        <f>INDEX(MCDM_Checks!$K$6:$K$3733,MATCH(A28&amp;"|"&amp;V$5,MCDM_Checks!$A$6:$A$3733,0))</f>
        <v>U</v>
      </c>
      <c r="W28" s="5" t="str">
        <f>INDEX(MCDM_Checks!$K$6:$K$3733,MATCH(A28&amp;"|"&amp;W$5,MCDM_Checks!$A$6:$A$3733,0))</f>
        <v>U</v>
      </c>
      <c r="X28" s="5" t="str">
        <f>INDEX(MCDM_Checks!$K$6:$K$3733,MATCH(A28&amp;"|"&amp;X$5,MCDM_Checks!$A$6:$A$3733,0))</f>
        <v>Y</v>
      </c>
      <c r="Y28" s="5" t="str">
        <f>INDEX(MCDM_Checks!$K$6:$K$3733,MATCH(A28&amp;"|"&amp;Y$5,MCDM_Checks!$A$6:$A$3733,0))</f>
        <v>U</v>
      </c>
      <c r="Z28" s="5" t="str">
        <f>INDEX(MCDM_Checks!$K$6:$K$3733,MATCH(A28&amp;"|"&amp;Z$5,MCDM_Checks!$A$6:$A$3733,0))</f>
        <v>Y</v>
      </c>
      <c r="AA28" s="5" t="str">
        <f>INDEX(MCDM_Checks!$K$6:$K$3733,MATCH(A28&amp;"|"&amp;AA$5,MCDM_Checks!$A$6:$A$3733,0))</f>
        <v>U</v>
      </c>
      <c r="AB28" s="5" t="str">
        <f>INDEX(MCDM_Checks!$K$6:$K$3733,MATCH(A28&amp;"|"&amp;AB$5,MCDM_Checks!$A$6:$A$3733,0))</f>
        <v>Y</v>
      </c>
      <c r="AC28" s="12">
        <f>IF(IF($D28="Unlabeled-13",MCDM_Settings!$F$6,MCDM_Settings!$D$6)=0,"n.a.",5*COUNTIF(M28:O28,"Y")/IF($D28="Unlabeled-13",MCDM_Settings!$F$6,MCDM_Settings!$D$6))</f>
        <v>3.3333333333333335</v>
      </c>
      <c r="AD28" s="12">
        <f>IF(IF($D28="Unlabeled-13",MCDM_Settings!$F$6,MCDM_Settings!$D$6)=0,"n.a.",5*(COUNTIF(M28:O28,"Y")+COUNTIF(M28:O28,"U")+COUNTIF(M28:O28,"X"))/IF($D28="Unlabeled-13",MCDM_Settings!$F$6,MCDM_Settings!$D$6))</f>
        <v>5</v>
      </c>
      <c r="AE28" s="13">
        <f>IF(IF($D28="Unlabeled-13",MCDM_Settings!$F$6,MCDM_Settings!$D$6)=0,"n.a.",(COUNTIF(M28:O28,"Y")+COUNTIF(M28:O28,"N"))/IF($D28="Unlabeled-13",MCDM_Settings!$F$6,MCDM_Settings!$D$6))</f>
        <v>0.66666666666666663</v>
      </c>
      <c r="AF28" s="12">
        <f>IF(IF($D28="Unlabeled-13",MCDM_Settings!$F$7,MCDM_Settings!$D$7)=0,"n.a.",5*COUNTIF(P28:R28,"Y")/IF($D28="Unlabeled-13",MCDM_Settings!$F$7,MCDM_Settings!$D$7))</f>
        <v>0</v>
      </c>
      <c r="AG28" s="12">
        <f>IF(IF($D28="Unlabeled-13",MCDM_Settings!$F$7,MCDM_Settings!$D$7)=0,"n.a.",5*(COUNTIF(P28:R28,"Y")+COUNTIF(P28:R28,"U")+COUNTIF(P28:R28,"X"))/IF($D28="Unlabeled-13",MCDM_Settings!$F$7,MCDM_Settings!$D$7))</f>
        <v>5</v>
      </c>
      <c r="AH28" s="13">
        <f>IF(IF($D28="Unlabeled-13",MCDM_Settings!$F$7,MCDM_Settings!$D$7)=0,"n.a.",(COUNTIF(P28:R28,"Y")+COUNTIF(P28:R28,"N"))/IF($D28="Unlabeled-13",MCDM_Settings!$F$7,MCDM_Settings!$D$7))</f>
        <v>0</v>
      </c>
      <c r="AI28" s="12">
        <f>IF(IF($D28="Unlabeled-13",MCDM_Settings!$F$8,MCDM_Settings!$D$8)=0,"n.a.",5*COUNTIF(S28:U28,"Y")/IF($D28="Unlabeled-13",MCDM_Settings!$F$8,MCDM_Settings!$D$8))</f>
        <v>1.6666666666666667</v>
      </c>
      <c r="AJ28" s="12">
        <f>IF(IF($D28="Unlabeled-13",MCDM_Settings!$F$8,MCDM_Settings!$D$8)=0,"n.a.",5*(COUNTIF(S28:U28,"Y")+COUNTIF(S28:U28,"U")+COUNTIF(S28:U28,"X"))/IF($D28="Unlabeled-13",MCDM_Settings!$F$8,MCDM_Settings!$D$8))</f>
        <v>5</v>
      </c>
      <c r="AK28" s="13">
        <f>IF(IF($D28="Unlabeled-13",MCDM_Settings!$F$8,MCDM_Settings!$D$8)=0,"n.a.",(COUNTIF(S28:U28,"Y")+COUNTIF(S28:U28,"N"))/IF($D28="Unlabeled-13",MCDM_Settings!$F$8,MCDM_Settings!$D$8))</f>
        <v>0.33333333333333331</v>
      </c>
      <c r="AL28" s="12">
        <f>IF(IF($D28="Unlabeled-13",MCDM_Settings!$F$9,MCDM_Settings!$D$9)=0,"n.a.",5*COUNTIF(V28:W28,"Y")/IF($D28="Unlabeled-13",MCDM_Settings!$F$9,MCDM_Settings!$D$9))</f>
        <v>0</v>
      </c>
      <c r="AM28" s="12">
        <f>IF(IF($D28="Unlabeled-13",MCDM_Settings!$F$9,MCDM_Settings!$D$9)=0,"n.a.",5*(COUNTIF(V28:W28,"Y")+COUNTIF(V28:W28,"U")+COUNTIF(V28:W28,"X"))/IF($D28="Unlabeled-13",MCDM_Settings!$F$9,MCDM_Settings!$D$9))</f>
        <v>5</v>
      </c>
      <c r="AN28" s="13">
        <f>IF(IF($D28="Unlabeled-13",MCDM_Settings!$F$9,MCDM_Settings!$D$9)=0,"n.a.",(COUNTIF(V28:W28,"Y")+COUNTIF(V28:W28,"N"))/IF($D28="Unlabeled-13",MCDM_Settings!$F$9,MCDM_Settings!$D$9))</f>
        <v>0</v>
      </c>
      <c r="AO28" s="12">
        <f>IF(IF($D28="Unlabeled-13",MCDM_Settings!$F$10,MCDM_Settings!$D$10)=0,"n.a.",5*COUNTIF(X28:Y28,"Y")/IF($D28="Unlabeled-13",MCDM_Settings!$F$10,MCDM_Settings!$D$10))</f>
        <v>2.5</v>
      </c>
      <c r="AP28" s="12">
        <f>IF(IF($D28="Unlabeled-13",MCDM_Settings!$F$10,MCDM_Settings!$D$10)=0,"n.a.",5*(COUNTIF(X28:Y28,"Y")+COUNTIF(X28:Y28,"U")+COUNTIF(X28:Y28,"X"))/IF($D28="Unlabeled-13",MCDM_Settings!$F$10,MCDM_Settings!$D$10))</f>
        <v>5</v>
      </c>
      <c r="AQ28" s="13">
        <f>IF(IF($D28="Unlabeled-13",MCDM_Settings!$F$10,MCDM_Settings!$D$10)=0,"n.a.",(COUNTIF(X28:Y28,"Y")+COUNTIF(X28:Y28,"N"))/IF($D28="Unlabeled-13",MCDM_Settings!$F$10,MCDM_Settings!$D$10))</f>
        <v>0.5</v>
      </c>
      <c r="AR28" s="12">
        <f>IF(IF($D28="Unlabeled-13",MCDM_Settings!$F$11,MCDM_Settings!$D$11)=0,"n.a.",5*COUNTIF(Z28:AB28,"Y")/IF($D28="Unlabeled-13",MCDM_Settings!$F$11,MCDM_Settings!$D$11))</f>
        <v>3.3333333333333335</v>
      </c>
      <c r="AS28" s="12">
        <f>IF(IF($D28="Unlabeled-13",MCDM_Settings!$F$11,MCDM_Settings!$D$11)=0,"n.a.",5*(COUNTIF(Z28:AB28,"Y")+COUNTIF(Z28:AB28,"U")+COUNTIF(Z28:AB28,"X"))/IF($D28="Unlabeled-13",MCDM_Settings!$F$11,MCDM_Settings!$D$11))</f>
        <v>5</v>
      </c>
      <c r="AT28" s="13">
        <f>IF(IF($D28="Unlabeled-13",MCDM_Settings!$F$11,MCDM_Settings!$D$11)=0,"n.a.",(COUNTIF(Z28:AB28,"Y")+COUNTIF(Z28:AB28,"N"))/IF($D28="Unlabeled-13",MCDM_Settings!$F$11,MCDM_Settings!$D$11))</f>
        <v>0.66666666666666663</v>
      </c>
      <c r="AU28" s="5" t="str">
        <f>IF(AND(INDEX(Manual_Review!$G$6:$G$238,MATCH(A28,Manual_Review!$A$6:$A$238,0))&lt;&gt;"",ISNUMBER(INDEX(Manual_Review!$H$6:$H$238,MATCH(A28,Manual_Review!$A$6:$A$238,0))),INDEX(Manual_Review!$H$6:$H$238,MATCH(A28,Manual_Review!$A$6:$A$238,0))&gt;0,INDEX(Manual_Review!$I$6:$I$238,MATCH(A28,Manual_Review!$A$6:$A$238,0))="Confirmed",INDEX(Manual_Review!$AF$6:$AF$238,MATCH(A28,Manual_Review!$A$6:$A$238,0))&lt;&gt;""),IF(INDEX(Manual_Review!$AA$6:$AA$238,MATCH(A28,Manual_Review!$A$6:$A$238,0))="Pass","Pass",IF(INDEX(Manual_Review!$AA$6:$AA$238,MATCH(A28,Manual_Review!$A$6:$A$238,0))="Fail","Fail","Pending")),"Pending human identity confirmation")</f>
        <v>Pending human identity confirmation</v>
      </c>
      <c r="AV28" s="5" t="str">
        <f>IF(AND(AND(INDEX(Manual_Review!$G$6:$G$238,MATCH(A28,Manual_Review!$A$6:$A$238,0))&lt;&gt;"",ISNUMBER(INDEX(Manual_Review!$H$6:$H$238,MATCH(A28,Manual_Review!$A$6:$A$238,0))),INDEX(Manual_Review!$H$6:$H$238,MATCH(A28,Manual_Review!$A$6:$A$238,0))&gt;0,INDEX(Manual_Review!$I$6:$I$238,MATCH(A28,Manual_Review!$A$6:$A$238,0))="Confirmed",INDEX(Manual_Review!$AF$6:$AF$238,MATCH(A28,Manual_Review!$A$6:$A$238,0))&lt;&gt;""),INDEX(Manual_Review!$AG$6:$AG$238,MATCH(A28,Manual_Review!$A$6:$A$238,0))&lt;&gt;""),IF(INDEX(Manual_Review!$AB$6:$AB$238,MATCH(A28,Manual_Review!$A$6:$A$238,0))="Pass","Pass",IF(INDEX(Manual_Review!$AB$6:$AB$238,MATCH(A28,Manual_Review!$A$6:$A$238,0))="Fail","Fail","Pending")),"Not assessed: define intended task")</f>
        <v>Not assessed: define intended task</v>
      </c>
      <c r="AW28" s="5" t="str">
        <f>IF(AND(AND(INDEX(Manual_Review!$G$6:$G$238,MATCH(A28,Manual_Review!$A$6:$A$238,0))&lt;&gt;"",ISNUMBER(INDEX(Manual_Review!$H$6:$H$238,MATCH(A28,Manual_Review!$A$6:$A$238,0))),INDEX(Manual_Review!$H$6:$H$238,MATCH(A28,Manual_Review!$A$6:$A$238,0))&gt;0,INDEX(Manual_Review!$I$6:$I$238,MATCH(A28,Manual_Review!$A$6:$A$238,0))="Confirmed",INDEX(Manual_Review!$AF$6:$AF$238,MATCH(A28,Manual_Review!$A$6:$A$238,0))&lt;&gt;""),INDEX(Manual_Review!$AG$6:$AG$238,MATCH(A28,Manual_Review!$A$6:$A$238,0))&lt;&gt;""),IF(OR(INDEX(Manual_Review!$AC$6:$AC$238,MATCH(A28,Manual_Review!$A$6:$A$238,0))="Fail",INDEX(Manual_Review!$AD$6:$AD$238,MATCH(A28,Manual_Review!$A$6:$A$238,0))="Fail"),"Fail: rights or retrieval",IF(AND(INDEX(Manual_Review!$AC$6:$AC$238,MATCH(A28,Manual_Review!$A$6:$A$238,0))="Pass",INDEX(Manual_Review!$AD$6:$AD$238,MATCH(A28,Manual_Review!$A$6:$A$238,0))="Pass"),"Pass","Pending rights and retrieval")),"Pending rights and retrieval")</f>
        <v>Pending rights and retrieval</v>
      </c>
      <c r="AX28" s="5" t="str">
        <f>IF(INDEX(Manual_Review!$AG$6:$AG$238,MATCH(A28,Manual_Review!$A$6:$A$238,0))="","N/A: documentation inventory",IF(AND(INDEX(Manual_Review!$G$6:$G$238,MATCH(A28,Manual_Review!$A$6:$A$238,0))&lt;&gt;"",ISNUMBER(INDEX(Manual_Review!$H$6:$H$238,MATCH(A28,Manual_Review!$A$6:$A$238,0))),INDEX(Manual_Review!$H$6:$H$238,MATCH(A28,Manual_Review!$A$6:$A$238,0))&gt;0,INDEX(Manual_Review!$I$6:$I$238,MATCH(A28,Manual_Review!$A$6:$A$238,0))="Confirmed",INDEX(Manual_Review!$AF$6:$AF$238,MATCH(A28,Manual_Review!$A$6:$A$238,0))&lt;&gt;""),IF(INDEX(Manual_Review!$AE$6:$AE$238,MATCH(A28,Manual_Review!$A$6:$A$238,0))="Pass","Pass",IF(INDEX(Manual_Review!$AE$6:$AE$238,MATCH(A28,Manual_Review!$A$6:$A$238,0))="Fail","Fail: benchmark leakage",IF(INDEX(Manual_Review!$AE$6:$AE$238,MATCH(A28,Manual_Review!$A$6:$A$238,0))="N/A","N/A: nonbenchmark task","Pending task-specific leakage check"))),"Pending task-specific leakage check"))</f>
        <v>N/A: documentation inventory</v>
      </c>
      <c r="AY28" s="5" t="str">
        <f>IF(IF(D28="Unlabeled-13",AND(ABS(MCDM_Settings!$D$14-1)&lt;0.0000001,MIN(MCDM_Settings!$E$6:$E$11)&gt;=0,MCDM_Settings!$E$7=0),AND(ABS(MCDM_Settings!$B$14-1)&lt;0.0000001,MIN(MCDM_Settings!$C$6:$C$11)&gt;=0)),"Valid","Check weights")</f>
        <v>Valid</v>
      </c>
      <c r="AZ28" s="5" t="str">
        <f>IF(AND(COUNTIF(MCDM_Checks!$B$6:$B$3733,A28)=16,COUNTIF(Manual_Review!$A$6:$A$238,A28)=1),"16 keys present","Check key count")</f>
        <v>16 keys present</v>
      </c>
    </row>
    <row r="29" spans="1:52" ht="25.5">
      <c r="A29" s="5" t="s">
        <v>387</v>
      </c>
      <c r="B29" s="5" t="s">
        <v>388</v>
      </c>
      <c r="C29" s="5"/>
      <c r="D29" s="5" t="s">
        <v>118</v>
      </c>
      <c r="E29" s="12">
        <f>IF(OR(AY29&lt;&gt;"Valid",AZ29&lt;&gt;"16 keys present"),"Review settings",20*(IF(ISNUMBER(AC29),AC29*IF($D29="Unlabeled-13",MCDM_Settings!$E$6,MCDM_Settings!$C$6),0)+IF(ISNUMBER(AF29),AF29*IF($D29="Unlabeled-13",MCDM_Settings!$E$7,MCDM_Settings!$C$7),0)+IF(ISNUMBER(AI29),AI29*IF($D29="Unlabeled-13",MCDM_Settings!$E$8,MCDM_Settings!$C$8),0)+IF(ISNUMBER(AL29),AL29*IF($D29="Unlabeled-13",MCDM_Settings!$E$9,MCDM_Settings!$C$9),0)+IF(ISNUMBER(AO29),AO29*IF($D29="Unlabeled-13",MCDM_Settings!$E$10,MCDM_Settings!$C$10),0)+IF(ISNUMBER(AR29),AR29*IF($D29="Unlabeled-13",MCDM_Settings!$E$11,MCDM_Settings!$C$11),0)))</f>
        <v>38.888888888888886</v>
      </c>
      <c r="F29" s="12">
        <f>IF(OR(AY29&lt;&gt;"Valid",AZ29&lt;&gt;"16 keys present"),"Review settings",20*(IF(ISNUMBER(AD29),AD29*IF($D29="Unlabeled-13",MCDM_Settings!$E$6,MCDM_Settings!$C$6),0)+IF(ISNUMBER(AG29),AG29*IF($D29="Unlabeled-13",MCDM_Settings!$E$7,MCDM_Settings!$C$7),0)+IF(ISNUMBER(AJ29),AJ29*IF($D29="Unlabeled-13",MCDM_Settings!$E$8,MCDM_Settings!$C$8),0)+IF(ISNUMBER(AM29),AM29*IF($D29="Unlabeled-13",MCDM_Settings!$E$9,MCDM_Settings!$C$9),0)+IF(ISNUMBER(AP29),AP29*IF($D29="Unlabeled-13",MCDM_Settings!$E$10,MCDM_Settings!$C$10),0)+IF(ISNUMBER(AS29),AS29*IF($D29="Unlabeled-13",MCDM_Settings!$E$11,MCDM_Settings!$C$11),0)))</f>
        <v>99.999999999999986</v>
      </c>
      <c r="G29" s="13">
        <f>IF(OR(AY29&lt;&gt;"Valid",AZ29&lt;&gt;"16 keys present"),"Review settings",1*(IF(ISNUMBER(AE29),AE29*IF($D29="Unlabeled-13",MCDM_Settings!$E$6,MCDM_Settings!$C$6),0)+IF(ISNUMBER(AH29),AH29*IF($D29="Unlabeled-13",MCDM_Settings!$E$7,MCDM_Settings!$C$7),0)+IF(ISNUMBER(AK29),AK29*IF($D29="Unlabeled-13",MCDM_Settings!$E$8,MCDM_Settings!$C$8),0)+IF(ISNUMBER(AN29),AN29*IF($D29="Unlabeled-13",MCDM_Settings!$E$9,MCDM_Settings!$C$9),0)+IF(ISNUMBER(AQ29),AQ29*IF($D29="Unlabeled-13",MCDM_Settings!$E$10,MCDM_Settings!$C$10),0)+IF(ISNUMBER(AT29),AT29*IF($D29="Unlabeled-13",MCDM_Settings!$E$11,MCDM_Settings!$C$11),0)))</f>
        <v>0.38888888888888884</v>
      </c>
      <c r="H29" s="5" t="str">
        <f>INDEX(Manual_Review!$AH$6:$AH$238,MATCH(A29,Manual_Review!$A$6:$A$238,0))</f>
        <v>Not started</v>
      </c>
      <c r="I29" s="5" t="s">
        <v>128</v>
      </c>
      <c r="J29" s="5" t="s">
        <v>119</v>
      </c>
      <c r="K29" s="5" t="str">
        <f>HYPERLINK("https://github.com/neemajakisa/Pavement-Distress-Dataset","Dataset")</f>
        <v>Dataset</v>
      </c>
      <c r="L29" s="5" t="str">
        <f>HYPERLINK("#'Manual_Review'!A"&amp;(MATCH("DS-024",Manual_Review!$A$6:$A$238,0)+5),"Enter review")</f>
        <v>Enter review</v>
      </c>
      <c r="M29" s="5" t="str">
        <f>INDEX(MCDM_Checks!$K$6:$K$3733,MATCH(A29&amp;"|"&amp;M$5,MCDM_Checks!$A$6:$A$3733,0))</f>
        <v>Y</v>
      </c>
      <c r="N29" s="5" t="str">
        <f>INDEX(MCDM_Checks!$K$6:$K$3733,MATCH(A29&amp;"|"&amp;N$5,MCDM_Checks!$A$6:$A$3733,0))</f>
        <v>Y</v>
      </c>
      <c r="O29" s="5" t="str">
        <f>INDEX(MCDM_Checks!$K$6:$K$3733,MATCH(A29&amp;"|"&amp;O$5,MCDM_Checks!$A$6:$A$3733,0))</f>
        <v>U</v>
      </c>
      <c r="P29" s="5" t="str">
        <f>INDEX(MCDM_Checks!$K$6:$K$3733,MATCH(A29&amp;"|"&amp;P$5,MCDM_Checks!$A$6:$A$3733,0))</f>
        <v>U</v>
      </c>
      <c r="Q29" s="5" t="str">
        <f>INDEX(MCDM_Checks!$K$6:$K$3733,MATCH(A29&amp;"|"&amp;Q$5,MCDM_Checks!$A$6:$A$3733,0))</f>
        <v>U</v>
      </c>
      <c r="R29" s="5" t="str">
        <f>INDEX(MCDM_Checks!$K$6:$K$3733,MATCH(A29&amp;"|"&amp;R$5,MCDM_Checks!$A$6:$A$3733,0))</f>
        <v>U</v>
      </c>
      <c r="S29" s="5" t="str">
        <f>INDEX(MCDM_Checks!$K$6:$K$3733,MATCH(A29&amp;"|"&amp;S$5,MCDM_Checks!$A$6:$A$3733,0))</f>
        <v>U</v>
      </c>
      <c r="T29" s="5" t="str">
        <f>INDEX(MCDM_Checks!$K$6:$K$3733,MATCH(A29&amp;"|"&amp;T$5,MCDM_Checks!$A$6:$A$3733,0))</f>
        <v>Y</v>
      </c>
      <c r="U29" s="5" t="str">
        <f>INDEX(MCDM_Checks!$K$6:$K$3733,MATCH(A29&amp;"|"&amp;U$5,MCDM_Checks!$A$6:$A$3733,0))</f>
        <v>U</v>
      </c>
      <c r="V29" s="5" t="str">
        <f>INDEX(MCDM_Checks!$K$6:$K$3733,MATCH(A29&amp;"|"&amp;V$5,MCDM_Checks!$A$6:$A$3733,0))</f>
        <v>U</v>
      </c>
      <c r="W29" s="5" t="str">
        <f>INDEX(MCDM_Checks!$K$6:$K$3733,MATCH(A29&amp;"|"&amp;W$5,MCDM_Checks!$A$6:$A$3733,0))</f>
        <v>U</v>
      </c>
      <c r="X29" s="5" t="str">
        <f>INDEX(MCDM_Checks!$K$6:$K$3733,MATCH(A29&amp;"|"&amp;X$5,MCDM_Checks!$A$6:$A$3733,0))</f>
        <v>Y</v>
      </c>
      <c r="Y29" s="5" t="str">
        <f>INDEX(MCDM_Checks!$K$6:$K$3733,MATCH(A29&amp;"|"&amp;Y$5,MCDM_Checks!$A$6:$A$3733,0))</f>
        <v>Y</v>
      </c>
      <c r="Z29" s="5" t="str">
        <f>INDEX(MCDM_Checks!$K$6:$K$3733,MATCH(A29&amp;"|"&amp;Z$5,MCDM_Checks!$A$6:$A$3733,0))</f>
        <v>Y</v>
      </c>
      <c r="AA29" s="5" t="str">
        <f>INDEX(MCDM_Checks!$K$6:$K$3733,MATCH(A29&amp;"|"&amp;AA$5,MCDM_Checks!$A$6:$A$3733,0))</f>
        <v>U</v>
      </c>
      <c r="AB29" s="5" t="str">
        <f>INDEX(MCDM_Checks!$K$6:$K$3733,MATCH(A29&amp;"|"&amp;AB$5,MCDM_Checks!$A$6:$A$3733,0))</f>
        <v>U</v>
      </c>
      <c r="AC29" s="12">
        <f>IF(IF($D29="Unlabeled-13",MCDM_Settings!$F$6,MCDM_Settings!$D$6)=0,"n.a.",5*COUNTIF(M29:O29,"Y")/IF($D29="Unlabeled-13",MCDM_Settings!$F$6,MCDM_Settings!$D$6))</f>
        <v>3.3333333333333335</v>
      </c>
      <c r="AD29" s="12">
        <f>IF(IF($D29="Unlabeled-13",MCDM_Settings!$F$6,MCDM_Settings!$D$6)=0,"n.a.",5*(COUNTIF(M29:O29,"Y")+COUNTIF(M29:O29,"U")+COUNTIF(M29:O29,"X"))/IF($D29="Unlabeled-13",MCDM_Settings!$F$6,MCDM_Settings!$D$6))</f>
        <v>5</v>
      </c>
      <c r="AE29" s="13">
        <f>IF(IF($D29="Unlabeled-13",MCDM_Settings!$F$6,MCDM_Settings!$D$6)=0,"n.a.",(COUNTIF(M29:O29,"Y")+COUNTIF(M29:O29,"N"))/IF($D29="Unlabeled-13",MCDM_Settings!$F$6,MCDM_Settings!$D$6))</f>
        <v>0.66666666666666663</v>
      </c>
      <c r="AF29" s="12">
        <f>IF(IF($D29="Unlabeled-13",MCDM_Settings!$F$7,MCDM_Settings!$D$7)=0,"n.a.",5*COUNTIF(P29:R29,"Y")/IF($D29="Unlabeled-13",MCDM_Settings!$F$7,MCDM_Settings!$D$7))</f>
        <v>0</v>
      </c>
      <c r="AG29" s="12">
        <f>IF(IF($D29="Unlabeled-13",MCDM_Settings!$F$7,MCDM_Settings!$D$7)=0,"n.a.",5*(COUNTIF(P29:R29,"Y")+COUNTIF(P29:R29,"U")+COUNTIF(P29:R29,"X"))/IF($D29="Unlabeled-13",MCDM_Settings!$F$7,MCDM_Settings!$D$7))</f>
        <v>5</v>
      </c>
      <c r="AH29" s="13">
        <f>IF(IF($D29="Unlabeled-13",MCDM_Settings!$F$7,MCDM_Settings!$D$7)=0,"n.a.",(COUNTIF(P29:R29,"Y")+COUNTIF(P29:R29,"N"))/IF($D29="Unlabeled-13",MCDM_Settings!$F$7,MCDM_Settings!$D$7))</f>
        <v>0</v>
      </c>
      <c r="AI29" s="12">
        <f>IF(IF($D29="Unlabeled-13",MCDM_Settings!$F$8,MCDM_Settings!$D$8)=0,"n.a.",5*COUNTIF(S29:U29,"Y")/IF($D29="Unlabeled-13",MCDM_Settings!$F$8,MCDM_Settings!$D$8))</f>
        <v>1.6666666666666667</v>
      </c>
      <c r="AJ29" s="12">
        <f>IF(IF($D29="Unlabeled-13",MCDM_Settings!$F$8,MCDM_Settings!$D$8)=0,"n.a.",5*(COUNTIF(S29:U29,"Y")+COUNTIF(S29:U29,"U")+COUNTIF(S29:U29,"X"))/IF($D29="Unlabeled-13",MCDM_Settings!$F$8,MCDM_Settings!$D$8))</f>
        <v>5</v>
      </c>
      <c r="AK29" s="13">
        <f>IF(IF($D29="Unlabeled-13",MCDM_Settings!$F$8,MCDM_Settings!$D$8)=0,"n.a.",(COUNTIF(S29:U29,"Y")+COUNTIF(S29:U29,"N"))/IF($D29="Unlabeled-13",MCDM_Settings!$F$8,MCDM_Settings!$D$8))</f>
        <v>0.33333333333333331</v>
      </c>
      <c r="AL29" s="12">
        <f>IF(IF($D29="Unlabeled-13",MCDM_Settings!$F$9,MCDM_Settings!$D$9)=0,"n.a.",5*COUNTIF(V29:W29,"Y")/IF($D29="Unlabeled-13",MCDM_Settings!$F$9,MCDM_Settings!$D$9))</f>
        <v>0</v>
      </c>
      <c r="AM29" s="12">
        <f>IF(IF($D29="Unlabeled-13",MCDM_Settings!$F$9,MCDM_Settings!$D$9)=0,"n.a.",5*(COUNTIF(V29:W29,"Y")+COUNTIF(V29:W29,"U")+COUNTIF(V29:W29,"X"))/IF($D29="Unlabeled-13",MCDM_Settings!$F$9,MCDM_Settings!$D$9))</f>
        <v>5</v>
      </c>
      <c r="AN29" s="13">
        <f>IF(IF($D29="Unlabeled-13",MCDM_Settings!$F$9,MCDM_Settings!$D$9)=0,"n.a.",(COUNTIF(V29:W29,"Y")+COUNTIF(V29:W29,"N"))/IF($D29="Unlabeled-13",MCDM_Settings!$F$9,MCDM_Settings!$D$9))</f>
        <v>0</v>
      </c>
      <c r="AO29" s="12">
        <f>IF(IF($D29="Unlabeled-13",MCDM_Settings!$F$10,MCDM_Settings!$D$10)=0,"n.a.",5*COUNTIF(X29:Y29,"Y")/IF($D29="Unlabeled-13",MCDM_Settings!$F$10,MCDM_Settings!$D$10))</f>
        <v>5</v>
      </c>
      <c r="AP29" s="12">
        <f>IF(IF($D29="Unlabeled-13",MCDM_Settings!$F$10,MCDM_Settings!$D$10)=0,"n.a.",5*(COUNTIF(X29:Y29,"Y")+COUNTIF(X29:Y29,"U")+COUNTIF(X29:Y29,"X"))/IF($D29="Unlabeled-13",MCDM_Settings!$F$10,MCDM_Settings!$D$10))</f>
        <v>5</v>
      </c>
      <c r="AQ29" s="13">
        <f>IF(IF($D29="Unlabeled-13",MCDM_Settings!$F$10,MCDM_Settings!$D$10)=0,"n.a.",(COUNTIF(X29:Y29,"Y")+COUNTIF(X29:Y29,"N"))/IF($D29="Unlabeled-13",MCDM_Settings!$F$10,MCDM_Settings!$D$10))</f>
        <v>1</v>
      </c>
      <c r="AR29" s="12">
        <f>IF(IF($D29="Unlabeled-13",MCDM_Settings!$F$11,MCDM_Settings!$D$11)=0,"n.a.",5*COUNTIF(Z29:AB29,"Y")/IF($D29="Unlabeled-13",MCDM_Settings!$F$11,MCDM_Settings!$D$11))</f>
        <v>1.6666666666666667</v>
      </c>
      <c r="AS29" s="12">
        <f>IF(IF($D29="Unlabeled-13",MCDM_Settings!$F$11,MCDM_Settings!$D$11)=0,"n.a.",5*(COUNTIF(Z29:AB29,"Y")+COUNTIF(Z29:AB29,"U")+COUNTIF(Z29:AB29,"X"))/IF($D29="Unlabeled-13",MCDM_Settings!$F$11,MCDM_Settings!$D$11))</f>
        <v>5</v>
      </c>
      <c r="AT29" s="13">
        <f>IF(IF($D29="Unlabeled-13",MCDM_Settings!$F$11,MCDM_Settings!$D$11)=0,"n.a.",(COUNTIF(Z29:AB29,"Y")+COUNTIF(Z29:AB29,"N"))/IF($D29="Unlabeled-13",MCDM_Settings!$F$11,MCDM_Settings!$D$11))</f>
        <v>0.33333333333333331</v>
      </c>
      <c r="AU29" s="5" t="str">
        <f>IF(AND(INDEX(Manual_Review!$G$6:$G$238,MATCH(A29,Manual_Review!$A$6:$A$238,0))&lt;&gt;"",ISNUMBER(INDEX(Manual_Review!$H$6:$H$238,MATCH(A29,Manual_Review!$A$6:$A$238,0))),INDEX(Manual_Review!$H$6:$H$238,MATCH(A29,Manual_Review!$A$6:$A$238,0))&gt;0,INDEX(Manual_Review!$I$6:$I$238,MATCH(A29,Manual_Review!$A$6:$A$238,0))="Confirmed",INDEX(Manual_Review!$AF$6:$AF$238,MATCH(A29,Manual_Review!$A$6:$A$238,0))&lt;&gt;""),IF(INDEX(Manual_Review!$AA$6:$AA$238,MATCH(A29,Manual_Review!$A$6:$A$238,0))="Pass","Pass",IF(INDEX(Manual_Review!$AA$6:$AA$238,MATCH(A29,Manual_Review!$A$6:$A$238,0))="Fail","Fail","Pending")),"Pending human identity confirmation")</f>
        <v>Pending human identity confirmation</v>
      </c>
      <c r="AV29" s="5" t="str">
        <f>IF(AND(AND(INDEX(Manual_Review!$G$6:$G$238,MATCH(A29,Manual_Review!$A$6:$A$238,0))&lt;&gt;"",ISNUMBER(INDEX(Manual_Review!$H$6:$H$238,MATCH(A29,Manual_Review!$A$6:$A$238,0))),INDEX(Manual_Review!$H$6:$H$238,MATCH(A29,Manual_Review!$A$6:$A$238,0))&gt;0,INDEX(Manual_Review!$I$6:$I$238,MATCH(A29,Manual_Review!$A$6:$A$238,0))="Confirmed",INDEX(Manual_Review!$AF$6:$AF$238,MATCH(A29,Manual_Review!$A$6:$A$238,0))&lt;&gt;""),INDEX(Manual_Review!$AG$6:$AG$238,MATCH(A29,Manual_Review!$A$6:$A$238,0))&lt;&gt;""),IF(INDEX(Manual_Review!$AB$6:$AB$238,MATCH(A29,Manual_Review!$A$6:$A$238,0))="Pass","Pass",IF(INDEX(Manual_Review!$AB$6:$AB$238,MATCH(A29,Manual_Review!$A$6:$A$238,0))="Fail","Fail","Pending")),"Not assessed: define intended task")</f>
        <v>Not assessed: define intended task</v>
      </c>
      <c r="AW29" s="5" t="str">
        <f>IF(AND(AND(INDEX(Manual_Review!$G$6:$G$238,MATCH(A29,Manual_Review!$A$6:$A$238,0))&lt;&gt;"",ISNUMBER(INDEX(Manual_Review!$H$6:$H$238,MATCH(A29,Manual_Review!$A$6:$A$238,0))),INDEX(Manual_Review!$H$6:$H$238,MATCH(A29,Manual_Review!$A$6:$A$238,0))&gt;0,INDEX(Manual_Review!$I$6:$I$238,MATCH(A29,Manual_Review!$A$6:$A$238,0))="Confirmed",INDEX(Manual_Review!$AF$6:$AF$238,MATCH(A29,Manual_Review!$A$6:$A$238,0))&lt;&gt;""),INDEX(Manual_Review!$AG$6:$AG$238,MATCH(A29,Manual_Review!$A$6:$A$238,0))&lt;&gt;""),IF(OR(INDEX(Manual_Review!$AC$6:$AC$238,MATCH(A29,Manual_Review!$A$6:$A$238,0))="Fail",INDEX(Manual_Review!$AD$6:$AD$238,MATCH(A29,Manual_Review!$A$6:$A$238,0))="Fail"),"Fail: rights or retrieval",IF(AND(INDEX(Manual_Review!$AC$6:$AC$238,MATCH(A29,Manual_Review!$A$6:$A$238,0))="Pass",INDEX(Manual_Review!$AD$6:$AD$238,MATCH(A29,Manual_Review!$A$6:$A$238,0))="Pass"),"Pass","Pending rights and retrieval")),"Pending rights and retrieval")</f>
        <v>Pending rights and retrieval</v>
      </c>
      <c r="AX29" s="5" t="str">
        <f>IF(INDEX(Manual_Review!$AG$6:$AG$238,MATCH(A29,Manual_Review!$A$6:$A$238,0))="","N/A: documentation inventory",IF(AND(INDEX(Manual_Review!$G$6:$G$238,MATCH(A29,Manual_Review!$A$6:$A$238,0))&lt;&gt;"",ISNUMBER(INDEX(Manual_Review!$H$6:$H$238,MATCH(A29,Manual_Review!$A$6:$A$238,0))),INDEX(Manual_Review!$H$6:$H$238,MATCH(A29,Manual_Review!$A$6:$A$238,0))&gt;0,INDEX(Manual_Review!$I$6:$I$238,MATCH(A29,Manual_Review!$A$6:$A$238,0))="Confirmed",INDEX(Manual_Review!$AF$6:$AF$238,MATCH(A29,Manual_Review!$A$6:$A$238,0))&lt;&gt;""),IF(INDEX(Manual_Review!$AE$6:$AE$238,MATCH(A29,Manual_Review!$A$6:$A$238,0))="Pass","Pass",IF(INDEX(Manual_Review!$AE$6:$AE$238,MATCH(A29,Manual_Review!$A$6:$A$238,0))="Fail","Fail: benchmark leakage",IF(INDEX(Manual_Review!$AE$6:$AE$238,MATCH(A29,Manual_Review!$A$6:$A$238,0))="N/A","N/A: nonbenchmark task","Pending task-specific leakage check"))),"Pending task-specific leakage check"))</f>
        <v>N/A: documentation inventory</v>
      </c>
      <c r="AY29" s="5" t="str">
        <f>IF(IF(D29="Unlabeled-13",AND(ABS(MCDM_Settings!$D$14-1)&lt;0.0000001,MIN(MCDM_Settings!$E$6:$E$11)&gt;=0,MCDM_Settings!$E$7=0),AND(ABS(MCDM_Settings!$B$14-1)&lt;0.0000001,MIN(MCDM_Settings!$C$6:$C$11)&gt;=0)),"Valid","Check weights")</f>
        <v>Valid</v>
      </c>
      <c r="AZ29" s="5" t="str">
        <f>IF(AND(COUNTIF(MCDM_Checks!$B$6:$B$3733,A29)=16,COUNTIF(Manual_Review!$A$6:$A$238,A29)=1),"16 keys present","Check key count")</f>
        <v>16 keys present</v>
      </c>
    </row>
    <row r="30" spans="1:52">
      <c r="A30" s="5" t="s">
        <v>397</v>
      </c>
      <c r="B30" s="5" t="s">
        <v>398</v>
      </c>
      <c r="C30" s="5"/>
      <c r="D30" s="5" t="s">
        <v>118</v>
      </c>
      <c r="E30" s="12">
        <f>IF(OR(AY30&lt;&gt;"Valid",AZ30&lt;&gt;"16 keys present"),"Review settings",20*(IF(ISNUMBER(AC30),AC30*IF($D30="Unlabeled-13",MCDM_Settings!$E$6,MCDM_Settings!$C$6),0)+IF(ISNUMBER(AF30),AF30*IF($D30="Unlabeled-13",MCDM_Settings!$E$7,MCDM_Settings!$C$7),0)+IF(ISNUMBER(AI30),AI30*IF($D30="Unlabeled-13",MCDM_Settings!$E$8,MCDM_Settings!$C$8),0)+IF(ISNUMBER(AL30),AL30*IF($D30="Unlabeled-13",MCDM_Settings!$E$9,MCDM_Settings!$C$9),0)+IF(ISNUMBER(AO30),AO30*IF($D30="Unlabeled-13",MCDM_Settings!$E$10,MCDM_Settings!$C$10),0)+IF(ISNUMBER(AR30),AR30*IF($D30="Unlabeled-13",MCDM_Settings!$E$11,MCDM_Settings!$C$11),0)))</f>
        <v>11.111111111111111</v>
      </c>
      <c r="F30" s="12">
        <f>IF(OR(AY30&lt;&gt;"Valid",AZ30&lt;&gt;"16 keys present"),"Review settings",20*(IF(ISNUMBER(AD30),AD30*IF($D30="Unlabeled-13",MCDM_Settings!$E$6,MCDM_Settings!$C$6),0)+IF(ISNUMBER(AG30),AG30*IF($D30="Unlabeled-13",MCDM_Settings!$E$7,MCDM_Settings!$C$7),0)+IF(ISNUMBER(AJ30),AJ30*IF($D30="Unlabeled-13",MCDM_Settings!$E$8,MCDM_Settings!$C$8),0)+IF(ISNUMBER(AM30),AM30*IF($D30="Unlabeled-13",MCDM_Settings!$E$9,MCDM_Settings!$C$9),0)+IF(ISNUMBER(AP30),AP30*IF($D30="Unlabeled-13",MCDM_Settings!$E$10,MCDM_Settings!$C$10),0)+IF(ISNUMBER(AS30),AS30*IF($D30="Unlabeled-13",MCDM_Settings!$E$11,MCDM_Settings!$C$11),0)))</f>
        <v>99.999999999999986</v>
      </c>
      <c r="G30" s="13">
        <f>IF(OR(AY30&lt;&gt;"Valid",AZ30&lt;&gt;"16 keys present"),"Review settings",1*(IF(ISNUMBER(AE30),AE30*IF($D30="Unlabeled-13",MCDM_Settings!$E$6,MCDM_Settings!$C$6),0)+IF(ISNUMBER(AH30),AH30*IF($D30="Unlabeled-13",MCDM_Settings!$E$7,MCDM_Settings!$C$7),0)+IF(ISNUMBER(AK30),AK30*IF($D30="Unlabeled-13",MCDM_Settings!$E$8,MCDM_Settings!$C$8),0)+IF(ISNUMBER(AN30),AN30*IF($D30="Unlabeled-13",MCDM_Settings!$E$9,MCDM_Settings!$C$9),0)+IF(ISNUMBER(AQ30),AQ30*IF($D30="Unlabeled-13",MCDM_Settings!$E$10,MCDM_Settings!$C$10),0)+IF(ISNUMBER(AT30),AT30*IF($D30="Unlabeled-13",MCDM_Settings!$E$11,MCDM_Settings!$C$11),0)))</f>
        <v>0.1111111111111111</v>
      </c>
      <c r="H30" s="5" t="str">
        <f>INDEX(Manual_Review!$AH$6:$AH$238,MATCH(A30,Manual_Review!$A$6:$A$238,0))</f>
        <v>Not started</v>
      </c>
      <c r="I30" s="5" t="s">
        <v>128</v>
      </c>
      <c r="J30" s="5" t="s">
        <v>399</v>
      </c>
      <c r="K30" s="5" t="str">
        <f>HYPERLINK("https://github.com/DrEdwardLee/Pavement-Crack-Dataset","Dataset")</f>
        <v>Dataset</v>
      </c>
      <c r="L30" s="5" t="str">
        <f>HYPERLINK("#'Manual_Review'!A"&amp;(MATCH("DS-025",Manual_Review!$A$6:$A$238,0)+5),"Enter review")</f>
        <v>Enter review</v>
      </c>
      <c r="M30" s="5" t="str">
        <f>INDEX(MCDM_Checks!$K$6:$K$3733,MATCH(A30&amp;"|"&amp;M$5,MCDM_Checks!$A$6:$A$3733,0))</f>
        <v>Y</v>
      </c>
      <c r="N30" s="5" t="str">
        <f>INDEX(MCDM_Checks!$K$6:$K$3733,MATCH(A30&amp;"|"&amp;N$5,MCDM_Checks!$A$6:$A$3733,0))</f>
        <v>Y</v>
      </c>
      <c r="O30" s="5" t="str">
        <f>INDEX(MCDM_Checks!$K$6:$K$3733,MATCH(A30&amp;"|"&amp;O$5,MCDM_Checks!$A$6:$A$3733,0))</f>
        <v>U</v>
      </c>
      <c r="P30" s="5" t="str">
        <f>INDEX(MCDM_Checks!$K$6:$K$3733,MATCH(A30&amp;"|"&amp;P$5,MCDM_Checks!$A$6:$A$3733,0))</f>
        <v>U</v>
      </c>
      <c r="Q30" s="5" t="str">
        <f>INDEX(MCDM_Checks!$K$6:$K$3733,MATCH(A30&amp;"|"&amp;Q$5,MCDM_Checks!$A$6:$A$3733,0))</f>
        <v>U</v>
      </c>
      <c r="R30" s="5" t="str">
        <f>INDEX(MCDM_Checks!$K$6:$K$3733,MATCH(A30&amp;"|"&amp;R$5,MCDM_Checks!$A$6:$A$3733,0))</f>
        <v>U</v>
      </c>
      <c r="S30" s="5" t="str">
        <f>INDEX(MCDM_Checks!$K$6:$K$3733,MATCH(A30&amp;"|"&amp;S$5,MCDM_Checks!$A$6:$A$3733,0))</f>
        <v>U</v>
      </c>
      <c r="T30" s="5" t="str">
        <f>INDEX(MCDM_Checks!$K$6:$K$3733,MATCH(A30&amp;"|"&amp;T$5,MCDM_Checks!$A$6:$A$3733,0))</f>
        <v>U</v>
      </c>
      <c r="U30" s="5" t="str">
        <f>INDEX(MCDM_Checks!$K$6:$K$3733,MATCH(A30&amp;"|"&amp;U$5,MCDM_Checks!$A$6:$A$3733,0))</f>
        <v>U</v>
      </c>
      <c r="V30" s="5" t="str">
        <f>INDEX(MCDM_Checks!$K$6:$K$3733,MATCH(A30&amp;"|"&amp;V$5,MCDM_Checks!$A$6:$A$3733,0))</f>
        <v>U</v>
      </c>
      <c r="W30" s="5" t="str">
        <f>INDEX(MCDM_Checks!$K$6:$K$3733,MATCH(A30&amp;"|"&amp;W$5,MCDM_Checks!$A$6:$A$3733,0))</f>
        <v>U</v>
      </c>
      <c r="X30" s="5" t="str">
        <f>INDEX(MCDM_Checks!$K$6:$K$3733,MATCH(A30&amp;"|"&amp;X$5,MCDM_Checks!$A$6:$A$3733,0))</f>
        <v>U</v>
      </c>
      <c r="Y30" s="5" t="str">
        <f>INDEX(MCDM_Checks!$K$6:$K$3733,MATCH(A30&amp;"|"&amp;Y$5,MCDM_Checks!$A$6:$A$3733,0))</f>
        <v>U</v>
      </c>
      <c r="Z30" s="5" t="str">
        <f>INDEX(MCDM_Checks!$K$6:$K$3733,MATCH(A30&amp;"|"&amp;Z$5,MCDM_Checks!$A$6:$A$3733,0))</f>
        <v>U</v>
      </c>
      <c r="AA30" s="5" t="str">
        <f>INDEX(MCDM_Checks!$K$6:$K$3733,MATCH(A30&amp;"|"&amp;AA$5,MCDM_Checks!$A$6:$A$3733,0))</f>
        <v>U</v>
      </c>
      <c r="AB30" s="5" t="str">
        <f>INDEX(MCDM_Checks!$K$6:$K$3733,MATCH(A30&amp;"|"&amp;AB$5,MCDM_Checks!$A$6:$A$3733,0))</f>
        <v>U</v>
      </c>
      <c r="AC30" s="12">
        <f>IF(IF($D30="Unlabeled-13",MCDM_Settings!$F$6,MCDM_Settings!$D$6)=0,"n.a.",5*COUNTIF(M30:O30,"Y")/IF($D30="Unlabeled-13",MCDM_Settings!$F$6,MCDM_Settings!$D$6))</f>
        <v>3.3333333333333335</v>
      </c>
      <c r="AD30" s="12">
        <f>IF(IF($D30="Unlabeled-13",MCDM_Settings!$F$6,MCDM_Settings!$D$6)=0,"n.a.",5*(COUNTIF(M30:O30,"Y")+COUNTIF(M30:O30,"U")+COUNTIF(M30:O30,"X"))/IF($D30="Unlabeled-13",MCDM_Settings!$F$6,MCDM_Settings!$D$6))</f>
        <v>5</v>
      </c>
      <c r="AE30" s="13">
        <f>IF(IF($D30="Unlabeled-13",MCDM_Settings!$F$6,MCDM_Settings!$D$6)=0,"n.a.",(COUNTIF(M30:O30,"Y")+COUNTIF(M30:O30,"N"))/IF($D30="Unlabeled-13",MCDM_Settings!$F$6,MCDM_Settings!$D$6))</f>
        <v>0.66666666666666663</v>
      </c>
      <c r="AF30" s="12">
        <f>IF(IF($D30="Unlabeled-13",MCDM_Settings!$F$7,MCDM_Settings!$D$7)=0,"n.a.",5*COUNTIF(P30:R30,"Y")/IF($D30="Unlabeled-13",MCDM_Settings!$F$7,MCDM_Settings!$D$7))</f>
        <v>0</v>
      </c>
      <c r="AG30" s="12">
        <f>IF(IF($D30="Unlabeled-13",MCDM_Settings!$F$7,MCDM_Settings!$D$7)=0,"n.a.",5*(COUNTIF(P30:R30,"Y")+COUNTIF(P30:R30,"U")+COUNTIF(P30:R30,"X"))/IF($D30="Unlabeled-13",MCDM_Settings!$F$7,MCDM_Settings!$D$7))</f>
        <v>5</v>
      </c>
      <c r="AH30" s="13">
        <f>IF(IF($D30="Unlabeled-13",MCDM_Settings!$F$7,MCDM_Settings!$D$7)=0,"n.a.",(COUNTIF(P30:R30,"Y")+COUNTIF(P30:R30,"N"))/IF($D30="Unlabeled-13",MCDM_Settings!$F$7,MCDM_Settings!$D$7))</f>
        <v>0</v>
      </c>
      <c r="AI30" s="12">
        <f>IF(IF($D30="Unlabeled-13",MCDM_Settings!$F$8,MCDM_Settings!$D$8)=0,"n.a.",5*COUNTIF(S30:U30,"Y")/IF($D30="Unlabeled-13",MCDM_Settings!$F$8,MCDM_Settings!$D$8))</f>
        <v>0</v>
      </c>
      <c r="AJ30" s="12">
        <f>IF(IF($D30="Unlabeled-13",MCDM_Settings!$F$8,MCDM_Settings!$D$8)=0,"n.a.",5*(COUNTIF(S30:U30,"Y")+COUNTIF(S30:U30,"U")+COUNTIF(S30:U30,"X"))/IF($D30="Unlabeled-13",MCDM_Settings!$F$8,MCDM_Settings!$D$8))</f>
        <v>5</v>
      </c>
      <c r="AK30" s="13">
        <f>IF(IF($D30="Unlabeled-13",MCDM_Settings!$F$8,MCDM_Settings!$D$8)=0,"n.a.",(COUNTIF(S30:U30,"Y")+COUNTIF(S30:U30,"N"))/IF($D30="Unlabeled-13",MCDM_Settings!$F$8,MCDM_Settings!$D$8))</f>
        <v>0</v>
      </c>
      <c r="AL30" s="12">
        <f>IF(IF($D30="Unlabeled-13",MCDM_Settings!$F$9,MCDM_Settings!$D$9)=0,"n.a.",5*COUNTIF(V30:W30,"Y")/IF($D30="Unlabeled-13",MCDM_Settings!$F$9,MCDM_Settings!$D$9))</f>
        <v>0</v>
      </c>
      <c r="AM30" s="12">
        <f>IF(IF($D30="Unlabeled-13",MCDM_Settings!$F$9,MCDM_Settings!$D$9)=0,"n.a.",5*(COUNTIF(V30:W30,"Y")+COUNTIF(V30:W30,"U")+COUNTIF(V30:W30,"X"))/IF($D30="Unlabeled-13",MCDM_Settings!$F$9,MCDM_Settings!$D$9))</f>
        <v>5</v>
      </c>
      <c r="AN30" s="13">
        <f>IF(IF($D30="Unlabeled-13",MCDM_Settings!$F$9,MCDM_Settings!$D$9)=0,"n.a.",(COUNTIF(V30:W30,"Y")+COUNTIF(V30:W30,"N"))/IF($D30="Unlabeled-13",MCDM_Settings!$F$9,MCDM_Settings!$D$9))</f>
        <v>0</v>
      </c>
      <c r="AO30" s="12">
        <f>IF(IF($D30="Unlabeled-13",MCDM_Settings!$F$10,MCDM_Settings!$D$10)=0,"n.a.",5*COUNTIF(X30:Y30,"Y")/IF($D30="Unlabeled-13",MCDM_Settings!$F$10,MCDM_Settings!$D$10))</f>
        <v>0</v>
      </c>
      <c r="AP30" s="12">
        <f>IF(IF($D30="Unlabeled-13",MCDM_Settings!$F$10,MCDM_Settings!$D$10)=0,"n.a.",5*(COUNTIF(X30:Y30,"Y")+COUNTIF(X30:Y30,"U")+COUNTIF(X30:Y30,"X"))/IF($D30="Unlabeled-13",MCDM_Settings!$F$10,MCDM_Settings!$D$10))</f>
        <v>5</v>
      </c>
      <c r="AQ30" s="13">
        <f>IF(IF($D30="Unlabeled-13",MCDM_Settings!$F$10,MCDM_Settings!$D$10)=0,"n.a.",(COUNTIF(X30:Y30,"Y")+COUNTIF(X30:Y30,"N"))/IF($D30="Unlabeled-13",MCDM_Settings!$F$10,MCDM_Settings!$D$10))</f>
        <v>0</v>
      </c>
      <c r="AR30" s="12">
        <f>IF(IF($D30="Unlabeled-13",MCDM_Settings!$F$11,MCDM_Settings!$D$11)=0,"n.a.",5*COUNTIF(Z30:AB30,"Y")/IF($D30="Unlabeled-13",MCDM_Settings!$F$11,MCDM_Settings!$D$11))</f>
        <v>0</v>
      </c>
      <c r="AS30" s="12">
        <f>IF(IF($D30="Unlabeled-13",MCDM_Settings!$F$11,MCDM_Settings!$D$11)=0,"n.a.",5*(COUNTIF(Z30:AB30,"Y")+COUNTIF(Z30:AB30,"U")+COUNTIF(Z30:AB30,"X"))/IF($D30="Unlabeled-13",MCDM_Settings!$F$11,MCDM_Settings!$D$11))</f>
        <v>5</v>
      </c>
      <c r="AT30" s="13">
        <f>IF(IF($D30="Unlabeled-13",MCDM_Settings!$F$11,MCDM_Settings!$D$11)=0,"n.a.",(COUNTIF(Z30:AB30,"Y")+COUNTIF(Z30:AB30,"N"))/IF($D30="Unlabeled-13",MCDM_Settings!$F$11,MCDM_Settings!$D$11))</f>
        <v>0</v>
      </c>
      <c r="AU30" s="5" t="str">
        <f>IF(AND(INDEX(Manual_Review!$G$6:$G$238,MATCH(A30,Manual_Review!$A$6:$A$238,0))&lt;&gt;"",ISNUMBER(INDEX(Manual_Review!$H$6:$H$238,MATCH(A30,Manual_Review!$A$6:$A$238,0))),INDEX(Manual_Review!$H$6:$H$238,MATCH(A30,Manual_Review!$A$6:$A$238,0))&gt;0,INDEX(Manual_Review!$I$6:$I$238,MATCH(A30,Manual_Review!$A$6:$A$238,0))="Confirmed",INDEX(Manual_Review!$AF$6:$AF$238,MATCH(A30,Manual_Review!$A$6:$A$238,0))&lt;&gt;""),IF(INDEX(Manual_Review!$AA$6:$AA$238,MATCH(A30,Manual_Review!$A$6:$A$238,0))="Pass","Pass",IF(INDEX(Manual_Review!$AA$6:$AA$238,MATCH(A30,Manual_Review!$A$6:$A$238,0))="Fail","Fail","Pending")),"Pending human identity confirmation")</f>
        <v>Pending human identity confirmation</v>
      </c>
      <c r="AV30" s="5" t="str">
        <f>IF(AND(AND(INDEX(Manual_Review!$G$6:$G$238,MATCH(A30,Manual_Review!$A$6:$A$238,0))&lt;&gt;"",ISNUMBER(INDEX(Manual_Review!$H$6:$H$238,MATCH(A30,Manual_Review!$A$6:$A$238,0))),INDEX(Manual_Review!$H$6:$H$238,MATCH(A30,Manual_Review!$A$6:$A$238,0))&gt;0,INDEX(Manual_Review!$I$6:$I$238,MATCH(A30,Manual_Review!$A$6:$A$238,0))="Confirmed",INDEX(Manual_Review!$AF$6:$AF$238,MATCH(A30,Manual_Review!$A$6:$A$238,0))&lt;&gt;""),INDEX(Manual_Review!$AG$6:$AG$238,MATCH(A30,Manual_Review!$A$6:$A$238,0))&lt;&gt;""),IF(INDEX(Manual_Review!$AB$6:$AB$238,MATCH(A30,Manual_Review!$A$6:$A$238,0))="Pass","Pass",IF(INDEX(Manual_Review!$AB$6:$AB$238,MATCH(A30,Manual_Review!$A$6:$A$238,0))="Fail","Fail","Pending")),"Not assessed: define intended task")</f>
        <v>Not assessed: define intended task</v>
      </c>
      <c r="AW30" s="5" t="str">
        <f>IF(AND(AND(INDEX(Manual_Review!$G$6:$G$238,MATCH(A30,Manual_Review!$A$6:$A$238,0))&lt;&gt;"",ISNUMBER(INDEX(Manual_Review!$H$6:$H$238,MATCH(A30,Manual_Review!$A$6:$A$238,0))),INDEX(Manual_Review!$H$6:$H$238,MATCH(A30,Manual_Review!$A$6:$A$238,0))&gt;0,INDEX(Manual_Review!$I$6:$I$238,MATCH(A30,Manual_Review!$A$6:$A$238,0))="Confirmed",INDEX(Manual_Review!$AF$6:$AF$238,MATCH(A30,Manual_Review!$A$6:$A$238,0))&lt;&gt;""),INDEX(Manual_Review!$AG$6:$AG$238,MATCH(A30,Manual_Review!$A$6:$A$238,0))&lt;&gt;""),IF(OR(INDEX(Manual_Review!$AC$6:$AC$238,MATCH(A30,Manual_Review!$A$6:$A$238,0))="Fail",INDEX(Manual_Review!$AD$6:$AD$238,MATCH(A30,Manual_Review!$A$6:$A$238,0))="Fail"),"Fail: rights or retrieval",IF(AND(INDEX(Manual_Review!$AC$6:$AC$238,MATCH(A30,Manual_Review!$A$6:$A$238,0))="Pass",INDEX(Manual_Review!$AD$6:$AD$238,MATCH(A30,Manual_Review!$A$6:$A$238,0))="Pass"),"Pass","Pending rights and retrieval")),"Pending rights and retrieval")</f>
        <v>Pending rights and retrieval</v>
      </c>
      <c r="AX30" s="5" t="str">
        <f>IF(INDEX(Manual_Review!$AG$6:$AG$238,MATCH(A30,Manual_Review!$A$6:$A$238,0))="","N/A: documentation inventory",IF(AND(INDEX(Manual_Review!$G$6:$G$238,MATCH(A30,Manual_Review!$A$6:$A$238,0))&lt;&gt;"",ISNUMBER(INDEX(Manual_Review!$H$6:$H$238,MATCH(A30,Manual_Review!$A$6:$A$238,0))),INDEX(Manual_Review!$H$6:$H$238,MATCH(A30,Manual_Review!$A$6:$A$238,0))&gt;0,INDEX(Manual_Review!$I$6:$I$238,MATCH(A30,Manual_Review!$A$6:$A$238,0))="Confirmed",INDEX(Manual_Review!$AF$6:$AF$238,MATCH(A30,Manual_Review!$A$6:$A$238,0))&lt;&gt;""),IF(INDEX(Manual_Review!$AE$6:$AE$238,MATCH(A30,Manual_Review!$A$6:$A$238,0))="Pass","Pass",IF(INDEX(Manual_Review!$AE$6:$AE$238,MATCH(A30,Manual_Review!$A$6:$A$238,0))="Fail","Fail: benchmark leakage",IF(INDEX(Manual_Review!$AE$6:$AE$238,MATCH(A30,Manual_Review!$A$6:$A$238,0))="N/A","N/A: nonbenchmark task","Pending task-specific leakage check"))),"Pending task-specific leakage check"))</f>
        <v>N/A: documentation inventory</v>
      </c>
      <c r="AY30" s="5" t="str">
        <f>IF(IF(D30="Unlabeled-13",AND(ABS(MCDM_Settings!$D$14-1)&lt;0.0000001,MIN(MCDM_Settings!$E$6:$E$11)&gt;=0,MCDM_Settings!$E$7=0),AND(ABS(MCDM_Settings!$B$14-1)&lt;0.0000001,MIN(MCDM_Settings!$C$6:$C$11)&gt;=0)),"Valid","Check weights")</f>
        <v>Valid</v>
      </c>
      <c r="AZ30" s="5" t="str">
        <f>IF(AND(COUNTIF(MCDM_Checks!$B$6:$B$3733,A30)=16,COUNTIF(Manual_Review!$A$6:$A$238,A30)=1),"16 keys present","Check key count")</f>
        <v>16 keys present</v>
      </c>
    </row>
    <row r="31" spans="1:52" ht="25.5">
      <c r="A31" s="5" t="s">
        <v>402</v>
      </c>
      <c r="B31" s="5" t="s">
        <v>403</v>
      </c>
      <c r="C31" s="5"/>
      <c r="D31" s="5" t="s">
        <v>118</v>
      </c>
      <c r="E31" s="12">
        <f>IF(OR(AY31&lt;&gt;"Valid",AZ31&lt;&gt;"16 keys present"),"Review settings",20*(IF(ISNUMBER(AC31),AC31*IF($D31="Unlabeled-13",MCDM_Settings!$E$6,MCDM_Settings!$C$6),0)+IF(ISNUMBER(AF31),AF31*IF($D31="Unlabeled-13",MCDM_Settings!$E$7,MCDM_Settings!$C$7),0)+IF(ISNUMBER(AI31),AI31*IF($D31="Unlabeled-13",MCDM_Settings!$E$8,MCDM_Settings!$C$8),0)+IF(ISNUMBER(AL31),AL31*IF($D31="Unlabeled-13",MCDM_Settings!$E$9,MCDM_Settings!$C$9),0)+IF(ISNUMBER(AO31),AO31*IF($D31="Unlabeled-13",MCDM_Settings!$E$10,MCDM_Settings!$C$10),0)+IF(ISNUMBER(AR31),AR31*IF($D31="Unlabeled-13",MCDM_Settings!$E$11,MCDM_Settings!$C$11),0)))</f>
        <v>25</v>
      </c>
      <c r="F31" s="12">
        <f>IF(OR(AY31&lt;&gt;"Valid",AZ31&lt;&gt;"16 keys present"),"Review settings",20*(IF(ISNUMBER(AD31),AD31*IF($D31="Unlabeled-13",MCDM_Settings!$E$6,MCDM_Settings!$C$6),0)+IF(ISNUMBER(AG31),AG31*IF($D31="Unlabeled-13",MCDM_Settings!$E$7,MCDM_Settings!$C$7),0)+IF(ISNUMBER(AJ31),AJ31*IF($D31="Unlabeled-13",MCDM_Settings!$E$8,MCDM_Settings!$C$8),0)+IF(ISNUMBER(AM31),AM31*IF($D31="Unlabeled-13",MCDM_Settings!$E$9,MCDM_Settings!$C$9),0)+IF(ISNUMBER(AP31),AP31*IF($D31="Unlabeled-13",MCDM_Settings!$E$10,MCDM_Settings!$C$10),0)+IF(ISNUMBER(AS31),AS31*IF($D31="Unlabeled-13",MCDM_Settings!$E$11,MCDM_Settings!$C$11),0)))</f>
        <v>94.444444444444429</v>
      </c>
      <c r="G31" s="13">
        <f>IF(OR(AY31&lt;&gt;"Valid",AZ31&lt;&gt;"16 keys present"),"Review settings",1*(IF(ISNUMBER(AE31),AE31*IF($D31="Unlabeled-13",MCDM_Settings!$E$6,MCDM_Settings!$C$6),0)+IF(ISNUMBER(AH31),AH31*IF($D31="Unlabeled-13",MCDM_Settings!$E$7,MCDM_Settings!$C$7),0)+IF(ISNUMBER(AK31),AK31*IF($D31="Unlabeled-13",MCDM_Settings!$E$8,MCDM_Settings!$C$8),0)+IF(ISNUMBER(AN31),AN31*IF($D31="Unlabeled-13",MCDM_Settings!$E$9,MCDM_Settings!$C$9),0)+IF(ISNUMBER(AQ31),AQ31*IF($D31="Unlabeled-13",MCDM_Settings!$E$10,MCDM_Settings!$C$10),0)+IF(ISNUMBER(AT31),AT31*IF($D31="Unlabeled-13",MCDM_Settings!$E$11,MCDM_Settings!$C$11),0)))</f>
        <v>0.30555555555555558</v>
      </c>
      <c r="H31" s="5" t="str">
        <f>INDEX(Manual_Review!$AH$6:$AH$238,MATCH(A31,Manual_Review!$A$6:$A$238,0))</f>
        <v>Not started</v>
      </c>
      <c r="I31" s="5" t="s">
        <v>128</v>
      </c>
      <c r="J31" s="5" t="s">
        <v>404</v>
      </c>
      <c r="K31" s="5" t="str">
        <f>HYPERLINK("https://github.com/FwDeng/MTPDSD","Dataset")</f>
        <v>Dataset</v>
      </c>
      <c r="L31" s="5" t="str">
        <f>HYPERLINK("#'Manual_Review'!A"&amp;(MATCH("DS-026",Manual_Review!$A$6:$A$238,0)+5),"Enter review")</f>
        <v>Enter review</v>
      </c>
      <c r="M31" s="5" t="str">
        <f>INDEX(MCDM_Checks!$K$6:$K$3733,MATCH(A31&amp;"|"&amp;M$5,MCDM_Checks!$A$6:$A$3733,0))</f>
        <v>Y</v>
      </c>
      <c r="N31" s="5" t="str">
        <f>INDEX(MCDM_Checks!$K$6:$K$3733,MATCH(A31&amp;"|"&amp;N$5,MCDM_Checks!$A$6:$A$3733,0))</f>
        <v>N</v>
      </c>
      <c r="O31" s="5" t="str">
        <f>INDEX(MCDM_Checks!$K$6:$K$3733,MATCH(A31&amp;"|"&amp;O$5,MCDM_Checks!$A$6:$A$3733,0))</f>
        <v>U</v>
      </c>
      <c r="P31" s="5" t="str">
        <f>INDEX(MCDM_Checks!$K$6:$K$3733,MATCH(A31&amp;"|"&amp;P$5,MCDM_Checks!$A$6:$A$3733,0))</f>
        <v>Y</v>
      </c>
      <c r="Q31" s="5" t="str">
        <f>INDEX(MCDM_Checks!$K$6:$K$3733,MATCH(A31&amp;"|"&amp;Q$5,MCDM_Checks!$A$6:$A$3733,0))</f>
        <v>U</v>
      </c>
      <c r="R31" s="5" t="str">
        <f>INDEX(MCDM_Checks!$K$6:$K$3733,MATCH(A31&amp;"|"&amp;R$5,MCDM_Checks!$A$6:$A$3733,0))</f>
        <v>U</v>
      </c>
      <c r="S31" s="5" t="str">
        <f>INDEX(MCDM_Checks!$K$6:$K$3733,MATCH(A31&amp;"|"&amp;S$5,MCDM_Checks!$A$6:$A$3733,0))</f>
        <v>U</v>
      </c>
      <c r="T31" s="5" t="str">
        <f>INDEX(MCDM_Checks!$K$6:$K$3733,MATCH(A31&amp;"|"&amp;T$5,MCDM_Checks!$A$6:$A$3733,0))</f>
        <v>U</v>
      </c>
      <c r="U31" s="5" t="str">
        <f>INDEX(MCDM_Checks!$K$6:$K$3733,MATCH(A31&amp;"|"&amp;U$5,MCDM_Checks!$A$6:$A$3733,0))</f>
        <v>U</v>
      </c>
      <c r="V31" s="5" t="str">
        <f>INDEX(MCDM_Checks!$K$6:$K$3733,MATCH(A31&amp;"|"&amp;V$5,MCDM_Checks!$A$6:$A$3733,0))</f>
        <v>U</v>
      </c>
      <c r="W31" s="5" t="str">
        <f>INDEX(MCDM_Checks!$K$6:$K$3733,MATCH(A31&amp;"|"&amp;W$5,MCDM_Checks!$A$6:$A$3733,0))</f>
        <v>U</v>
      </c>
      <c r="X31" s="5" t="str">
        <f>INDEX(MCDM_Checks!$K$6:$K$3733,MATCH(A31&amp;"|"&amp;X$5,MCDM_Checks!$A$6:$A$3733,0))</f>
        <v>U</v>
      </c>
      <c r="Y31" s="5" t="str">
        <f>INDEX(MCDM_Checks!$K$6:$K$3733,MATCH(A31&amp;"|"&amp;Y$5,MCDM_Checks!$A$6:$A$3733,0))</f>
        <v>Y</v>
      </c>
      <c r="Z31" s="5" t="str">
        <f>INDEX(MCDM_Checks!$K$6:$K$3733,MATCH(A31&amp;"|"&amp;Z$5,MCDM_Checks!$A$6:$A$3733,0))</f>
        <v>Y</v>
      </c>
      <c r="AA31" s="5" t="str">
        <f>INDEX(MCDM_Checks!$K$6:$K$3733,MATCH(A31&amp;"|"&amp;AA$5,MCDM_Checks!$A$6:$A$3733,0))</f>
        <v>U</v>
      </c>
      <c r="AB31" s="5" t="str">
        <f>INDEX(MCDM_Checks!$K$6:$K$3733,MATCH(A31&amp;"|"&amp;AB$5,MCDM_Checks!$A$6:$A$3733,0))</f>
        <v>U</v>
      </c>
      <c r="AC31" s="12">
        <f>IF(IF($D31="Unlabeled-13",MCDM_Settings!$F$6,MCDM_Settings!$D$6)=0,"n.a.",5*COUNTIF(M31:O31,"Y")/IF($D31="Unlabeled-13",MCDM_Settings!$F$6,MCDM_Settings!$D$6))</f>
        <v>1.6666666666666667</v>
      </c>
      <c r="AD31" s="12">
        <f>IF(IF($D31="Unlabeled-13",MCDM_Settings!$F$6,MCDM_Settings!$D$6)=0,"n.a.",5*(COUNTIF(M31:O31,"Y")+COUNTIF(M31:O31,"U")+COUNTIF(M31:O31,"X"))/IF($D31="Unlabeled-13",MCDM_Settings!$F$6,MCDM_Settings!$D$6))</f>
        <v>3.3333333333333335</v>
      </c>
      <c r="AE31" s="13">
        <f>IF(IF($D31="Unlabeled-13",MCDM_Settings!$F$6,MCDM_Settings!$D$6)=0,"n.a.",(COUNTIF(M31:O31,"Y")+COUNTIF(M31:O31,"N"))/IF($D31="Unlabeled-13",MCDM_Settings!$F$6,MCDM_Settings!$D$6))</f>
        <v>0.66666666666666663</v>
      </c>
      <c r="AF31" s="12">
        <f>IF(IF($D31="Unlabeled-13",MCDM_Settings!$F$7,MCDM_Settings!$D$7)=0,"n.a.",5*COUNTIF(P31:R31,"Y")/IF($D31="Unlabeled-13",MCDM_Settings!$F$7,MCDM_Settings!$D$7))</f>
        <v>1.6666666666666667</v>
      </c>
      <c r="AG31" s="12">
        <f>IF(IF($D31="Unlabeled-13",MCDM_Settings!$F$7,MCDM_Settings!$D$7)=0,"n.a.",5*(COUNTIF(P31:R31,"Y")+COUNTIF(P31:R31,"U")+COUNTIF(P31:R31,"X"))/IF($D31="Unlabeled-13",MCDM_Settings!$F$7,MCDM_Settings!$D$7))</f>
        <v>5</v>
      </c>
      <c r="AH31" s="13">
        <f>IF(IF($D31="Unlabeled-13",MCDM_Settings!$F$7,MCDM_Settings!$D$7)=0,"n.a.",(COUNTIF(P31:R31,"Y")+COUNTIF(P31:R31,"N"))/IF($D31="Unlabeled-13",MCDM_Settings!$F$7,MCDM_Settings!$D$7))</f>
        <v>0.33333333333333331</v>
      </c>
      <c r="AI31" s="12">
        <f>IF(IF($D31="Unlabeled-13",MCDM_Settings!$F$8,MCDM_Settings!$D$8)=0,"n.a.",5*COUNTIF(S31:U31,"Y")/IF($D31="Unlabeled-13",MCDM_Settings!$F$8,MCDM_Settings!$D$8))</f>
        <v>0</v>
      </c>
      <c r="AJ31" s="12">
        <f>IF(IF($D31="Unlabeled-13",MCDM_Settings!$F$8,MCDM_Settings!$D$8)=0,"n.a.",5*(COUNTIF(S31:U31,"Y")+COUNTIF(S31:U31,"U")+COUNTIF(S31:U31,"X"))/IF($D31="Unlabeled-13",MCDM_Settings!$F$8,MCDM_Settings!$D$8))</f>
        <v>5</v>
      </c>
      <c r="AK31" s="13">
        <f>IF(IF($D31="Unlabeled-13",MCDM_Settings!$F$8,MCDM_Settings!$D$8)=0,"n.a.",(COUNTIF(S31:U31,"Y")+COUNTIF(S31:U31,"N"))/IF($D31="Unlabeled-13",MCDM_Settings!$F$8,MCDM_Settings!$D$8))</f>
        <v>0</v>
      </c>
      <c r="AL31" s="12">
        <f>IF(IF($D31="Unlabeled-13",MCDM_Settings!$F$9,MCDM_Settings!$D$9)=0,"n.a.",5*COUNTIF(V31:W31,"Y")/IF($D31="Unlabeled-13",MCDM_Settings!$F$9,MCDM_Settings!$D$9))</f>
        <v>0</v>
      </c>
      <c r="AM31" s="12">
        <f>IF(IF($D31="Unlabeled-13",MCDM_Settings!$F$9,MCDM_Settings!$D$9)=0,"n.a.",5*(COUNTIF(V31:W31,"Y")+COUNTIF(V31:W31,"U")+COUNTIF(V31:W31,"X"))/IF($D31="Unlabeled-13",MCDM_Settings!$F$9,MCDM_Settings!$D$9))</f>
        <v>5</v>
      </c>
      <c r="AN31" s="13">
        <f>IF(IF($D31="Unlabeled-13",MCDM_Settings!$F$9,MCDM_Settings!$D$9)=0,"n.a.",(COUNTIF(V31:W31,"Y")+COUNTIF(V31:W31,"N"))/IF($D31="Unlabeled-13",MCDM_Settings!$F$9,MCDM_Settings!$D$9))</f>
        <v>0</v>
      </c>
      <c r="AO31" s="12">
        <f>IF(IF($D31="Unlabeled-13",MCDM_Settings!$F$10,MCDM_Settings!$D$10)=0,"n.a.",5*COUNTIF(X31:Y31,"Y")/IF($D31="Unlabeled-13",MCDM_Settings!$F$10,MCDM_Settings!$D$10))</f>
        <v>2.5</v>
      </c>
      <c r="AP31" s="12">
        <f>IF(IF($D31="Unlabeled-13",MCDM_Settings!$F$10,MCDM_Settings!$D$10)=0,"n.a.",5*(COUNTIF(X31:Y31,"Y")+COUNTIF(X31:Y31,"U")+COUNTIF(X31:Y31,"X"))/IF($D31="Unlabeled-13",MCDM_Settings!$F$10,MCDM_Settings!$D$10))</f>
        <v>5</v>
      </c>
      <c r="AQ31" s="13">
        <f>IF(IF($D31="Unlabeled-13",MCDM_Settings!$F$10,MCDM_Settings!$D$10)=0,"n.a.",(COUNTIF(X31:Y31,"Y")+COUNTIF(X31:Y31,"N"))/IF($D31="Unlabeled-13",MCDM_Settings!$F$10,MCDM_Settings!$D$10))</f>
        <v>0.5</v>
      </c>
      <c r="AR31" s="12">
        <f>IF(IF($D31="Unlabeled-13",MCDM_Settings!$F$11,MCDM_Settings!$D$11)=0,"n.a.",5*COUNTIF(Z31:AB31,"Y")/IF($D31="Unlabeled-13",MCDM_Settings!$F$11,MCDM_Settings!$D$11))</f>
        <v>1.6666666666666667</v>
      </c>
      <c r="AS31" s="12">
        <f>IF(IF($D31="Unlabeled-13",MCDM_Settings!$F$11,MCDM_Settings!$D$11)=0,"n.a.",5*(COUNTIF(Z31:AB31,"Y")+COUNTIF(Z31:AB31,"U")+COUNTIF(Z31:AB31,"X"))/IF($D31="Unlabeled-13",MCDM_Settings!$F$11,MCDM_Settings!$D$11))</f>
        <v>5</v>
      </c>
      <c r="AT31" s="13">
        <f>IF(IF($D31="Unlabeled-13",MCDM_Settings!$F$11,MCDM_Settings!$D$11)=0,"n.a.",(COUNTIF(Z31:AB31,"Y")+COUNTIF(Z31:AB31,"N"))/IF($D31="Unlabeled-13",MCDM_Settings!$F$11,MCDM_Settings!$D$11))</f>
        <v>0.33333333333333331</v>
      </c>
      <c r="AU31" s="5" t="str">
        <f>IF(AND(INDEX(Manual_Review!$G$6:$G$238,MATCH(A31,Manual_Review!$A$6:$A$238,0))&lt;&gt;"",ISNUMBER(INDEX(Manual_Review!$H$6:$H$238,MATCH(A31,Manual_Review!$A$6:$A$238,0))),INDEX(Manual_Review!$H$6:$H$238,MATCH(A31,Manual_Review!$A$6:$A$238,0))&gt;0,INDEX(Manual_Review!$I$6:$I$238,MATCH(A31,Manual_Review!$A$6:$A$238,0))="Confirmed",INDEX(Manual_Review!$AF$6:$AF$238,MATCH(A31,Manual_Review!$A$6:$A$238,0))&lt;&gt;""),IF(INDEX(Manual_Review!$AA$6:$AA$238,MATCH(A31,Manual_Review!$A$6:$A$238,0))="Pass","Pass",IF(INDEX(Manual_Review!$AA$6:$AA$238,MATCH(A31,Manual_Review!$A$6:$A$238,0))="Fail","Fail","Pending")),"Pending human identity confirmation")</f>
        <v>Pending human identity confirmation</v>
      </c>
      <c r="AV31" s="5" t="str">
        <f>IF(AND(AND(INDEX(Manual_Review!$G$6:$G$238,MATCH(A31,Manual_Review!$A$6:$A$238,0))&lt;&gt;"",ISNUMBER(INDEX(Manual_Review!$H$6:$H$238,MATCH(A31,Manual_Review!$A$6:$A$238,0))),INDEX(Manual_Review!$H$6:$H$238,MATCH(A31,Manual_Review!$A$6:$A$238,0))&gt;0,INDEX(Manual_Review!$I$6:$I$238,MATCH(A31,Manual_Review!$A$6:$A$238,0))="Confirmed",INDEX(Manual_Review!$AF$6:$AF$238,MATCH(A31,Manual_Review!$A$6:$A$238,0))&lt;&gt;""),INDEX(Manual_Review!$AG$6:$AG$238,MATCH(A31,Manual_Review!$A$6:$A$238,0))&lt;&gt;""),IF(INDEX(Manual_Review!$AB$6:$AB$238,MATCH(A31,Manual_Review!$A$6:$A$238,0))="Pass","Pass",IF(INDEX(Manual_Review!$AB$6:$AB$238,MATCH(A31,Manual_Review!$A$6:$A$238,0))="Fail","Fail","Pending")),"Not assessed: define intended task")</f>
        <v>Not assessed: define intended task</v>
      </c>
      <c r="AW31" s="5" t="str">
        <f>IF(AND(AND(INDEX(Manual_Review!$G$6:$G$238,MATCH(A31,Manual_Review!$A$6:$A$238,0))&lt;&gt;"",ISNUMBER(INDEX(Manual_Review!$H$6:$H$238,MATCH(A31,Manual_Review!$A$6:$A$238,0))),INDEX(Manual_Review!$H$6:$H$238,MATCH(A31,Manual_Review!$A$6:$A$238,0))&gt;0,INDEX(Manual_Review!$I$6:$I$238,MATCH(A31,Manual_Review!$A$6:$A$238,0))="Confirmed",INDEX(Manual_Review!$AF$6:$AF$238,MATCH(A31,Manual_Review!$A$6:$A$238,0))&lt;&gt;""),INDEX(Manual_Review!$AG$6:$AG$238,MATCH(A31,Manual_Review!$A$6:$A$238,0))&lt;&gt;""),IF(OR(INDEX(Manual_Review!$AC$6:$AC$238,MATCH(A31,Manual_Review!$A$6:$A$238,0))="Fail",INDEX(Manual_Review!$AD$6:$AD$238,MATCH(A31,Manual_Review!$A$6:$A$238,0))="Fail"),"Fail: rights or retrieval",IF(AND(INDEX(Manual_Review!$AC$6:$AC$238,MATCH(A31,Manual_Review!$A$6:$A$238,0))="Pass",INDEX(Manual_Review!$AD$6:$AD$238,MATCH(A31,Manual_Review!$A$6:$A$238,0))="Pass"),"Pass","Pending rights and retrieval")),"Pending rights and retrieval")</f>
        <v>Pending rights and retrieval</v>
      </c>
      <c r="AX31" s="5" t="str">
        <f>IF(INDEX(Manual_Review!$AG$6:$AG$238,MATCH(A31,Manual_Review!$A$6:$A$238,0))="","N/A: documentation inventory",IF(AND(INDEX(Manual_Review!$G$6:$G$238,MATCH(A31,Manual_Review!$A$6:$A$238,0))&lt;&gt;"",ISNUMBER(INDEX(Manual_Review!$H$6:$H$238,MATCH(A31,Manual_Review!$A$6:$A$238,0))),INDEX(Manual_Review!$H$6:$H$238,MATCH(A31,Manual_Review!$A$6:$A$238,0))&gt;0,INDEX(Manual_Review!$I$6:$I$238,MATCH(A31,Manual_Review!$A$6:$A$238,0))="Confirmed",INDEX(Manual_Review!$AF$6:$AF$238,MATCH(A31,Manual_Review!$A$6:$A$238,0))&lt;&gt;""),IF(INDEX(Manual_Review!$AE$6:$AE$238,MATCH(A31,Manual_Review!$A$6:$A$238,0))="Pass","Pass",IF(INDEX(Manual_Review!$AE$6:$AE$238,MATCH(A31,Manual_Review!$A$6:$A$238,0))="Fail","Fail: benchmark leakage",IF(INDEX(Manual_Review!$AE$6:$AE$238,MATCH(A31,Manual_Review!$A$6:$A$238,0))="N/A","N/A: nonbenchmark task","Pending task-specific leakage check"))),"Pending task-specific leakage check"))</f>
        <v>N/A: documentation inventory</v>
      </c>
      <c r="AY31" s="5" t="str">
        <f>IF(IF(D31="Unlabeled-13",AND(ABS(MCDM_Settings!$D$14-1)&lt;0.0000001,MIN(MCDM_Settings!$E$6:$E$11)&gt;=0,MCDM_Settings!$E$7=0),AND(ABS(MCDM_Settings!$B$14-1)&lt;0.0000001,MIN(MCDM_Settings!$C$6:$C$11)&gt;=0)),"Valid","Check weights")</f>
        <v>Valid</v>
      </c>
      <c r="AZ31" s="5" t="str">
        <f>IF(AND(COUNTIF(MCDM_Checks!$B$6:$B$3733,A31)=16,COUNTIF(Manual_Review!$A$6:$A$238,A31)=1),"16 keys present","Check key count")</f>
        <v>16 keys present</v>
      </c>
    </row>
    <row r="32" spans="1:52">
      <c r="A32" s="5" t="s">
        <v>413</v>
      </c>
      <c r="B32" s="5" t="s">
        <v>414</v>
      </c>
      <c r="C32" s="5"/>
      <c r="D32" s="5" t="s">
        <v>118</v>
      </c>
      <c r="E32" s="12">
        <f>IF(OR(AY32&lt;&gt;"Valid",AZ32&lt;&gt;"16 keys present"),"Review settings",20*(IF(ISNUMBER(AC32),AC32*IF($D32="Unlabeled-13",MCDM_Settings!$E$6,MCDM_Settings!$C$6),0)+IF(ISNUMBER(AF32),AF32*IF($D32="Unlabeled-13",MCDM_Settings!$E$7,MCDM_Settings!$C$7),0)+IF(ISNUMBER(AI32),AI32*IF($D32="Unlabeled-13",MCDM_Settings!$E$8,MCDM_Settings!$C$8),0)+IF(ISNUMBER(AL32),AL32*IF($D32="Unlabeled-13",MCDM_Settings!$E$9,MCDM_Settings!$C$9),0)+IF(ISNUMBER(AO32),AO32*IF($D32="Unlabeled-13",MCDM_Settings!$E$10,MCDM_Settings!$C$10),0)+IF(ISNUMBER(AR32),AR32*IF($D32="Unlabeled-13",MCDM_Settings!$E$11,MCDM_Settings!$C$11),0)))</f>
        <v>11.111111111111111</v>
      </c>
      <c r="F32" s="12">
        <f>IF(OR(AY32&lt;&gt;"Valid",AZ32&lt;&gt;"16 keys present"),"Review settings",20*(IF(ISNUMBER(AD32),AD32*IF($D32="Unlabeled-13",MCDM_Settings!$E$6,MCDM_Settings!$C$6),0)+IF(ISNUMBER(AG32),AG32*IF($D32="Unlabeled-13",MCDM_Settings!$E$7,MCDM_Settings!$C$7),0)+IF(ISNUMBER(AJ32),AJ32*IF($D32="Unlabeled-13",MCDM_Settings!$E$8,MCDM_Settings!$C$8),0)+IF(ISNUMBER(AM32),AM32*IF($D32="Unlabeled-13",MCDM_Settings!$E$9,MCDM_Settings!$C$9),0)+IF(ISNUMBER(AP32),AP32*IF($D32="Unlabeled-13",MCDM_Settings!$E$10,MCDM_Settings!$C$10),0)+IF(ISNUMBER(AS32),AS32*IF($D32="Unlabeled-13",MCDM_Settings!$E$11,MCDM_Settings!$C$11),0)))</f>
        <v>99.999999999999986</v>
      </c>
      <c r="G32" s="13">
        <f>IF(OR(AY32&lt;&gt;"Valid",AZ32&lt;&gt;"16 keys present"),"Review settings",1*(IF(ISNUMBER(AE32),AE32*IF($D32="Unlabeled-13",MCDM_Settings!$E$6,MCDM_Settings!$C$6),0)+IF(ISNUMBER(AH32),AH32*IF($D32="Unlabeled-13",MCDM_Settings!$E$7,MCDM_Settings!$C$7),0)+IF(ISNUMBER(AK32),AK32*IF($D32="Unlabeled-13",MCDM_Settings!$E$8,MCDM_Settings!$C$8),0)+IF(ISNUMBER(AN32),AN32*IF($D32="Unlabeled-13",MCDM_Settings!$E$9,MCDM_Settings!$C$9),0)+IF(ISNUMBER(AQ32),AQ32*IF($D32="Unlabeled-13",MCDM_Settings!$E$10,MCDM_Settings!$C$10),0)+IF(ISNUMBER(AT32),AT32*IF($D32="Unlabeled-13",MCDM_Settings!$E$11,MCDM_Settings!$C$11),0)))</f>
        <v>0.1111111111111111</v>
      </c>
      <c r="H32" s="5" t="str">
        <f>INDEX(Manual_Review!$AH$6:$AH$238,MATCH(A32,Manual_Review!$A$6:$A$238,0))</f>
        <v>Not started</v>
      </c>
      <c r="I32" s="5" t="s">
        <v>128</v>
      </c>
      <c r="J32" s="5" t="s">
        <v>119</v>
      </c>
      <c r="K32" s="5" t="str">
        <f>HYPERLINK("https://github.com/FXBIOVELSY/NightInspect-dataset","Dataset")</f>
        <v>Dataset</v>
      </c>
      <c r="L32" s="5" t="str">
        <f>HYPERLINK("#'Manual_Review'!A"&amp;(MATCH("DS-027",Manual_Review!$A$6:$A$238,0)+5),"Enter review")</f>
        <v>Enter review</v>
      </c>
      <c r="M32" s="5" t="str">
        <f>INDEX(MCDM_Checks!$K$6:$K$3733,MATCH(A32&amp;"|"&amp;M$5,MCDM_Checks!$A$6:$A$3733,0))</f>
        <v>Y</v>
      </c>
      <c r="N32" s="5" t="str">
        <f>INDEX(MCDM_Checks!$K$6:$K$3733,MATCH(A32&amp;"|"&amp;N$5,MCDM_Checks!$A$6:$A$3733,0))</f>
        <v>Y</v>
      </c>
      <c r="O32" s="5" t="str">
        <f>INDEX(MCDM_Checks!$K$6:$K$3733,MATCH(A32&amp;"|"&amp;O$5,MCDM_Checks!$A$6:$A$3733,0))</f>
        <v>U</v>
      </c>
      <c r="P32" s="5" t="str">
        <f>INDEX(MCDM_Checks!$K$6:$K$3733,MATCH(A32&amp;"|"&amp;P$5,MCDM_Checks!$A$6:$A$3733,0))</f>
        <v>U</v>
      </c>
      <c r="Q32" s="5" t="str">
        <f>INDEX(MCDM_Checks!$K$6:$K$3733,MATCH(A32&amp;"|"&amp;Q$5,MCDM_Checks!$A$6:$A$3733,0))</f>
        <v>U</v>
      </c>
      <c r="R32" s="5" t="str">
        <f>INDEX(MCDM_Checks!$K$6:$K$3733,MATCH(A32&amp;"|"&amp;R$5,MCDM_Checks!$A$6:$A$3733,0))</f>
        <v>U</v>
      </c>
      <c r="S32" s="5" t="str">
        <f>INDEX(MCDM_Checks!$K$6:$K$3733,MATCH(A32&amp;"|"&amp;S$5,MCDM_Checks!$A$6:$A$3733,0))</f>
        <v>U</v>
      </c>
      <c r="T32" s="5" t="str">
        <f>INDEX(MCDM_Checks!$K$6:$K$3733,MATCH(A32&amp;"|"&amp;T$5,MCDM_Checks!$A$6:$A$3733,0))</f>
        <v>U</v>
      </c>
      <c r="U32" s="5" t="str">
        <f>INDEX(MCDM_Checks!$K$6:$K$3733,MATCH(A32&amp;"|"&amp;U$5,MCDM_Checks!$A$6:$A$3733,0))</f>
        <v>U</v>
      </c>
      <c r="V32" s="5" t="str">
        <f>INDEX(MCDM_Checks!$K$6:$K$3733,MATCH(A32&amp;"|"&amp;V$5,MCDM_Checks!$A$6:$A$3733,0))</f>
        <v>U</v>
      </c>
      <c r="W32" s="5" t="str">
        <f>INDEX(MCDM_Checks!$K$6:$K$3733,MATCH(A32&amp;"|"&amp;W$5,MCDM_Checks!$A$6:$A$3733,0))</f>
        <v>U</v>
      </c>
      <c r="X32" s="5" t="str">
        <f>INDEX(MCDM_Checks!$K$6:$K$3733,MATCH(A32&amp;"|"&amp;X$5,MCDM_Checks!$A$6:$A$3733,0))</f>
        <v>U</v>
      </c>
      <c r="Y32" s="5" t="str">
        <f>INDEX(MCDM_Checks!$K$6:$K$3733,MATCH(A32&amp;"|"&amp;Y$5,MCDM_Checks!$A$6:$A$3733,0))</f>
        <v>U</v>
      </c>
      <c r="Z32" s="5" t="str">
        <f>INDEX(MCDM_Checks!$K$6:$K$3733,MATCH(A32&amp;"|"&amp;Z$5,MCDM_Checks!$A$6:$A$3733,0))</f>
        <v>U</v>
      </c>
      <c r="AA32" s="5" t="str">
        <f>INDEX(MCDM_Checks!$K$6:$K$3733,MATCH(A32&amp;"|"&amp;AA$5,MCDM_Checks!$A$6:$A$3733,0))</f>
        <v>U</v>
      </c>
      <c r="AB32" s="5" t="str">
        <f>INDEX(MCDM_Checks!$K$6:$K$3733,MATCH(A32&amp;"|"&amp;AB$5,MCDM_Checks!$A$6:$A$3733,0))</f>
        <v>U</v>
      </c>
      <c r="AC32" s="12">
        <f>IF(IF($D32="Unlabeled-13",MCDM_Settings!$F$6,MCDM_Settings!$D$6)=0,"n.a.",5*COUNTIF(M32:O32,"Y")/IF($D32="Unlabeled-13",MCDM_Settings!$F$6,MCDM_Settings!$D$6))</f>
        <v>3.3333333333333335</v>
      </c>
      <c r="AD32" s="12">
        <f>IF(IF($D32="Unlabeled-13",MCDM_Settings!$F$6,MCDM_Settings!$D$6)=0,"n.a.",5*(COUNTIF(M32:O32,"Y")+COUNTIF(M32:O32,"U")+COUNTIF(M32:O32,"X"))/IF($D32="Unlabeled-13",MCDM_Settings!$F$6,MCDM_Settings!$D$6))</f>
        <v>5</v>
      </c>
      <c r="AE32" s="13">
        <f>IF(IF($D32="Unlabeled-13",MCDM_Settings!$F$6,MCDM_Settings!$D$6)=0,"n.a.",(COUNTIF(M32:O32,"Y")+COUNTIF(M32:O32,"N"))/IF($D32="Unlabeled-13",MCDM_Settings!$F$6,MCDM_Settings!$D$6))</f>
        <v>0.66666666666666663</v>
      </c>
      <c r="AF32" s="12">
        <f>IF(IF($D32="Unlabeled-13",MCDM_Settings!$F$7,MCDM_Settings!$D$7)=0,"n.a.",5*COUNTIF(P32:R32,"Y")/IF($D32="Unlabeled-13",MCDM_Settings!$F$7,MCDM_Settings!$D$7))</f>
        <v>0</v>
      </c>
      <c r="AG32" s="12">
        <f>IF(IF($D32="Unlabeled-13",MCDM_Settings!$F$7,MCDM_Settings!$D$7)=0,"n.a.",5*(COUNTIF(P32:R32,"Y")+COUNTIF(P32:R32,"U")+COUNTIF(P32:R32,"X"))/IF($D32="Unlabeled-13",MCDM_Settings!$F$7,MCDM_Settings!$D$7))</f>
        <v>5</v>
      </c>
      <c r="AH32" s="13">
        <f>IF(IF($D32="Unlabeled-13",MCDM_Settings!$F$7,MCDM_Settings!$D$7)=0,"n.a.",(COUNTIF(P32:R32,"Y")+COUNTIF(P32:R32,"N"))/IF($D32="Unlabeled-13",MCDM_Settings!$F$7,MCDM_Settings!$D$7))</f>
        <v>0</v>
      </c>
      <c r="AI32" s="12">
        <f>IF(IF($D32="Unlabeled-13",MCDM_Settings!$F$8,MCDM_Settings!$D$8)=0,"n.a.",5*COUNTIF(S32:U32,"Y")/IF($D32="Unlabeled-13",MCDM_Settings!$F$8,MCDM_Settings!$D$8))</f>
        <v>0</v>
      </c>
      <c r="AJ32" s="12">
        <f>IF(IF($D32="Unlabeled-13",MCDM_Settings!$F$8,MCDM_Settings!$D$8)=0,"n.a.",5*(COUNTIF(S32:U32,"Y")+COUNTIF(S32:U32,"U")+COUNTIF(S32:U32,"X"))/IF($D32="Unlabeled-13",MCDM_Settings!$F$8,MCDM_Settings!$D$8))</f>
        <v>5</v>
      </c>
      <c r="AK32" s="13">
        <f>IF(IF($D32="Unlabeled-13",MCDM_Settings!$F$8,MCDM_Settings!$D$8)=0,"n.a.",(COUNTIF(S32:U32,"Y")+COUNTIF(S32:U32,"N"))/IF($D32="Unlabeled-13",MCDM_Settings!$F$8,MCDM_Settings!$D$8))</f>
        <v>0</v>
      </c>
      <c r="AL32" s="12">
        <f>IF(IF($D32="Unlabeled-13",MCDM_Settings!$F$9,MCDM_Settings!$D$9)=0,"n.a.",5*COUNTIF(V32:W32,"Y")/IF($D32="Unlabeled-13",MCDM_Settings!$F$9,MCDM_Settings!$D$9))</f>
        <v>0</v>
      </c>
      <c r="AM32" s="12">
        <f>IF(IF($D32="Unlabeled-13",MCDM_Settings!$F$9,MCDM_Settings!$D$9)=0,"n.a.",5*(COUNTIF(V32:W32,"Y")+COUNTIF(V32:W32,"U")+COUNTIF(V32:W32,"X"))/IF($D32="Unlabeled-13",MCDM_Settings!$F$9,MCDM_Settings!$D$9))</f>
        <v>5</v>
      </c>
      <c r="AN32" s="13">
        <f>IF(IF($D32="Unlabeled-13",MCDM_Settings!$F$9,MCDM_Settings!$D$9)=0,"n.a.",(COUNTIF(V32:W32,"Y")+COUNTIF(V32:W32,"N"))/IF($D32="Unlabeled-13",MCDM_Settings!$F$9,MCDM_Settings!$D$9))</f>
        <v>0</v>
      </c>
      <c r="AO32" s="12">
        <f>IF(IF($D32="Unlabeled-13",MCDM_Settings!$F$10,MCDM_Settings!$D$10)=0,"n.a.",5*COUNTIF(X32:Y32,"Y")/IF($D32="Unlabeled-13",MCDM_Settings!$F$10,MCDM_Settings!$D$10))</f>
        <v>0</v>
      </c>
      <c r="AP32" s="12">
        <f>IF(IF($D32="Unlabeled-13",MCDM_Settings!$F$10,MCDM_Settings!$D$10)=0,"n.a.",5*(COUNTIF(X32:Y32,"Y")+COUNTIF(X32:Y32,"U")+COUNTIF(X32:Y32,"X"))/IF($D32="Unlabeled-13",MCDM_Settings!$F$10,MCDM_Settings!$D$10))</f>
        <v>5</v>
      </c>
      <c r="AQ32" s="13">
        <f>IF(IF($D32="Unlabeled-13",MCDM_Settings!$F$10,MCDM_Settings!$D$10)=0,"n.a.",(COUNTIF(X32:Y32,"Y")+COUNTIF(X32:Y32,"N"))/IF($D32="Unlabeled-13",MCDM_Settings!$F$10,MCDM_Settings!$D$10))</f>
        <v>0</v>
      </c>
      <c r="AR32" s="12">
        <f>IF(IF($D32="Unlabeled-13",MCDM_Settings!$F$11,MCDM_Settings!$D$11)=0,"n.a.",5*COUNTIF(Z32:AB32,"Y")/IF($D32="Unlabeled-13",MCDM_Settings!$F$11,MCDM_Settings!$D$11))</f>
        <v>0</v>
      </c>
      <c r="AS32" s="12">
        <f>IF(IF($D32="Unlabeled-13",MCDM_Settings!$F$11,MCDM_Settings!$D$11)=0,"n.a.",5*(COUNTIF(Z32:AB32,"Y")+COUNTIF(Z32:AB32,"U")+COUNTIF(Z32:AB32,"X"))/IF($D32="Unlabeled-13",MCDM_Settings!$F$11,MCDM_Settings!$D$11))</f>
        <v>5</v>
      </c>
      <c r="AT32" s="13">
        <f>IF(IF($D32="Unlabeled-13",MCDM_Settings!$F$11,MCDM_Settings!$D$11)=0,"n.a.",(COUNTIF(Z32:AB32,"Y")+COUNTIF(Z32:AB32,"N"))/IF($D32="Unlabeled-13",MCDM_Settings!$F$11,MCDM_Settings!$D$11))</f>
        <v>0</v>
      </c>
      <c r="AU32" s="5" t="str">
        <f>IF(AND(INDEX(Manual_Review!$G$6:$G$238,MATCH(A32,Manual_Review!$A$6:$A$238,0))&lt;&gt;"",ISNUMBER(INDEX(Manual_Review!$H$6:$H$238,MATCH(A32,Manual_Review!$A$6:$A$238,0))),INDEX(Manual_Review!$H$6:$H$238,MATCH(A32,Manual_Review!$A$6:$A$238,0))&gt;0,INDEX(Manual_Review!$I$6:$I$238,MATCH(A32,Manual_Review!$A$6:$A$238,0))="Confirmed",INDEX(Manual_Review!$AF$6:$AF$238,MATCH(A32,Manual_Review!$A$6:$A$238,0))&lt;&gt;""),IF(INDEX(Manual_Review!$AA$6:$AA$238,MATCH(A32,Manual_Review!$A$6:$A$238,0))="Pass","Pass",IF(INDEX(Manual_Review!$AA$6:$AA$238,MATCH(A32,Manual_Review!$A$6:$A$238,0))="Fail","Fail","Pending")),"Pending human identity confirmation")</f>
        <v>Pending human identity confirmation</v>
      </c>
      <c r="AV32" s="5" t="str">
        <f>IF(AND(AND(INDEX(Manual_Review!$G$6:$G$238,MATCH(A32,Manual_Review!$A$6:$A$238,0))&lt;&gt;"",ISNUMBER(INDEX(Manual_Review!$H$6:$H$238,MATCH(A32,Manual_Review!$A$6:$A$238,0))),INDEX(Manual_Review!$H$6:$H$238,MATCH(A32,Manual_Review!$A$6:$A$238,0))&gt;0,INDEX(Manual_Review!$I$6:$I$238,MATCH(A32,Manual_Review!$A$6:$A$238,0))="Confirmed",INDEX(Manual_Review!$AF$6:$AF$238,MATCH(A32,Manual_Review!$A$6:$A$238,0))&lt;&gt;""),INDEX(Manual_Review!$AG$6:$AG$238,MATCH(A32,Manual_Review!$A$6:$A$238,0))&lt;&gt;""),IF(INDEX(Manual_Review!$AB$6:$AB$238,MATCH(A32,Manual_Review!$A$6:$A$238,0))="Pass","Pass",IF(INDEX(Manual_Review!$AB$6:$AB$238,MATCH(A32,Manual_Review!$A$6:$A$238,0))="Fail","Fail","Pending")),"Not assessed: define intended task")</f>
        <v>Not assessed: define intended task</v>
      </c>
      <c r="AW32" s="5" t="str">
        <f>IF(AND(AND(INDEX(Manual_Review!$G$6:$G$238,MATCH(A32,Manual_Review!$A$6:$A$238,0))&lt;&gt;"",ISNUMBER(INDEX(Manual_Review!$H$6:$H$238,MATCH(A32,Manual_Review!$A$6:$A$238,0))),INDEX(Manual_Review!$H$6:$H$238,MATCH(A32,Manual_Review!$A$6:$A$238,0))&gt;0,INDEX(Manual_Review!$I$6:$I$238,MATCH(A32,Manual_Review!$A$6:$A$238,0))="Confirmed",INDEX(Manual_Review!$AF$6:$AF$238,MATCH(A32,Manual_Review!$A$6:$A$238,0))&lt;&gt;""),INDEX(Manual_Review!$AG$6:$AG$238,MATCH(A32,Manual_Review!$A$6:$A$238,0))&lt;&gt;""),IF(OR(INDEX(Manual_Review!$AC$6:$AC$238,MATCH(A32,Manual_Review!$A$6:$A$238,0))="Fail",INDEX(Manual_Review!$AD$6:$AD$238,MATCH(A32,Manual_Review!$A$6:$A$238,0))="Fail"),"Fail: rights or retrieval",IF(AND(INDEX(Manual_Review!$AC$6:$AC$238,MATCH(A32,Manual_Review!$A$6:$A$238,0))="Pass",INDEX(Manual_Review!$AD$6:$AD$238,MATCH(A32,Manual_Review!$A$6:$A$238,0))="Pass"),"Pass","Pending rights and retrieval")),"Pending rights and retrieval")</f>
        <v>Pending rights and retrieval</v>
      </c>
      <c r="AX32" s="5" t="str">
        <f>IF(INDEX(Manual_Review!$AG$6:$AG$238,MATCH(A32,Manual_Review!$A$6:$A$238,0))="","N/A: documentation inventory",IF(AND(INDEX(Manual_Review!$G$6:$G$238,MATCH(A32,Manual_Review!$A$6:$A$238,0))&lt;&gt;"",ISNUMBER(INDEX(Manual_Review!$H$6:$H$238,MATCH(A32,Manual_Review!$A$6:$A$238,0))),INDEX(Manual_Review!$H$6:$H$238,MATCH(A32,Manual_Review!$A$6:$A$238,0))&gt;0,INDEX(Manual_Review!$I$6:$I$238,MATCH(A32,Manual_Review!$A$6:$A$238,0))="Confirmed",INDEX(Manual_Review!$AF$6:$AF$238,MATCH(A32,Manual_Review!$A$6:$A$238,0))&lt;&gt;""),IF(INDEX(Manual_Review!$AE$6:$AE$238,MATCH(A32,Manual_Review!$A$6:$A$238,0))="Pass","Pass",IF(INDEX(Manual_Review!$AE$6:$AE$238,MATCH(A32,Manual_Review!$A$6:$A$238,0))="Fail","Fail: benchmark leakage",IF(INDEX(Manual_Review!$AE$6:$AE$238,MATCH(A32,Manual_Review!$A$6:$A$238,0))="N/A","N/A: nonbenchmark task","Pending task-specific leakage check"))),"Pending task-specific leakage check"))</f>
        <v>N/A: documentation inventory</v>
      </c>
      <c r="AY32" s="5" t="str">
        <f>IF(IF(D32="Unlabeled-13",AND(ABS(MCDM_Settings!$D$14-1)&lt;0.0000001,MIN(MCDM_Settings!$E$6:$E$11)&gt;=0,MCDM_Settings!$E$7=0),AND(ABS(MCDM_Settings!$B$14-1)&lt;0.0000001,MIN(MCDM_Settings!$C$6:$C$11)&gt;=0)),"Valid","Check weights")</f>
        <v>Valid</v>
      </c>
      <c r="AZ32" s="5" t="str">
        <f>IF(AND(COUNTIF(MCDM_Checks!$B$6:$B$3733,A32)=16,COUNTIF(Manual_Review!$A$6:$A$238,A32)=1),"16 keys present","Check key count")</f>
        <v>16 keys present</v>
      </c>
    </row>
    <row r="33" spans="1:52">
      <c r="A33" s="5" t="s">
        <v>420</v>
      </c>
      <c r="B33" s="5" t="s">
        <v>421</v>
      </c>
      <c r="C33" s="5"/>
      <c r="D33" s="5" t="s">
        <v>118</v>
      </c>
      <c r="E33" s="12">
        <f>IF(OR(AY33&lt;&gt;"Valid",AZ33&lt;&gt;"16 keys present"),"Review settings",20*(IF(ISNUMBER(AC33),AC33*IF($D33="Unlabeled-13",MCDM_Settings!$E$6,MCDM_Settings!$C$6),0)+IF(ISNUMBER(AF33),AF33*IF($D33="Unlabeled-13",MCDM_Settings!$E$7,MCDM_Settings!$C$7),0)+IF(ISNUMBER(AI33),AI33*IF($D33="Unlabeled-13",MCDM_Settings!$E$8,MCDM_Settings!$C$8),0)+IF(ISNUMBER(AL33),AL33*IF($D33="Unlabeled-13",MCDM_Settings!$E$9,MCDM_Settings!$C$9),0)+IF(ISNUMBER(AO33),AO33*IF($D33="Unlabeled-13",MCDM_Settings!$E$10,MCDM_Settings!$C$10),0)+IF(ISNUMBER(AR33),AR33*IF($D33="Unlabeled-13",MCDM_Settings!$E$11,MCDM_Settings!$C$11),0)))</f>
        <v>25</v>
      </c>
      <c r="F33" s="12">
        <f>IF(OR(AY33&lt;&gt;"Valid",AZ33&lt;&gt;"16 keys present"),"Review settings",20*(IF(ISNUMBER(AD33),AD33*IF($D33="Unlabeled-13",MCDM_Settings!$E$6,MCDM_Settings!$C$6),0)+IF(ISNUMBER(AG33),AG33*IF($D33="Unlabeled-13",MCDM_Settings!$E$7,MCDM_Settings!$C$7),0)+IF(ISNUMBER(AJ33),AJ33*IF($D33="Unlabeled-13",MCDM_Settings!$E$8,MCDM_Settings!$C$8),0)+IF(ISNUMBER(AM33),AM33*IF($D33="Unlabeled-13",MCDM_Settings!$E$9,MCDM_Settings!$C$9),0)+IF(ISNUMBER(AP33),AP33*IF($D33="Unlabeled-13",MCDM_Settings!$E$10,MCDM_Settings!$C$10),0)+IF(ISNUMBER(AS33),AS33*IF($D33="Unlabeled-13",MCDM_Settings!$E$11,MCDM_Settings!$C$11),0)))</f>
        <v>99.999999999999986</v>
      </c>
      <c r="G33" s="13">
        <f>IF(OR(AY33&lt;&gt;"Valid",AZ33&lt;&gt;"16 keys present"),"Review settings",1*(IF(ISNUMBER(AE33),AE33*IF($D33="Unlabeled-13",MCDM_Settings!$E$6,MCDM_Settings!$C$6),0)+IF(ISNUMBER(AH33),AH33*IF($D33="Unlabeled-13",MCDM_Settings!$E$7,MCDM_Settings!$C$7),0)+IF(ISNUMBER(AK33),AK33*IF($D33="Unlabeled-13",MCDM_Settings!$E$8,MCDM_Settings!$C$8),0)+IF(ISNUMBER(AN33),AN33*IF($D33="Unlabeled-13",MCDM_Settings!$E$9,MCDM_Settings!$C$9),0)+IF(ISNUMBER(AQ33),AQ33*IF($D33="Unlabeled-13",MCDM_Settings!$E$10,MCDM_Settings!$C$10),0)+IF(ISNUMBER(AT33),AT33*IF($D33="Unlabeled-13",MCDM_Settings!$E$11,MCDM_Settings!$C$11),0)))</f>
        <v>0.25</v>
      </c>
      <c r="H33" s="5" t="str">
        <f>INDEX(Manual_Review!$AH$6:$AH$238,MATCH(A33,Manual_Review!$A$6:$A$238,0))</f>
        <v>Not started</v>
      </c>
      <c r="I33" s="5" t="s">
        <v>128</v>
      </c>
      <c r="J33" s="5" t="s">
        <v>121</v>
      </c>
      <c r="K33" s="5" t="str">
        <f>HYPERLINK("https://github.com/tongzheng1992/Pavementscapes","Dataset")</f>
        <v>Dataset</v>
      </c>
      <c r="L33" s="5" t="str">
        <f>HYPERLINK("#'Manual_Review'!A"&amp;(MATCH("DS-028",Manual_Review!$A$6:$A$238,0)+5),"Enter review")</f>
        <v>Enter review</v>
      </c>
      <c r="M33" s="5" t="str">
        <f>INDEX(MCDM_Checks!$K$6:$K$3733,MATCH(A33&amp;"|"&amp;M$5,MCDM_Checks!$A$6:$A$3733,0))</f>
        <v>Y</v>
      </c>
      <c r="N33" s="5" t="str">
        <f>INDEX(MCDM_Checks!$K$6:$K$3733,MATCH(A33&amp;"|"&amp;N$5,MCDM_Checks!$A$6:$A$3733,0))</f>
        <v>Y</v>
      </c>
      <c r="O33" s="5" t="str">
        <f>INDEX(MCDM_Checks!$K$6:$K$3733,MATCH(A33&amp;"|"&amp;O$5,MCDM_Checks!$A$6:$A$3733,0))</f>
        <v>U</v>
      </c>
      <c r="P33" s="5" t="str">
        <f>INDEX(MCDM_Checks!$K$6:$K$3733,MATCH(A33&amp;"|"&amp;P$5,MCDM_Checks!$A$6:$A$3733,0))</f>
        <v>U</v>
      </c>
      <c r="Q33" s="5" t="str">
        <f>INDEX(MCDM_Checks!$K$6:$K$3733,MATCH(A33&amp;"|"&amp;Q$5,MCDM_Checks!$A$6:$A$3733,0))</f>
        <v>U</v>
      </c>
      <c r="R33" s="5" t="str">
        <f>INDEX(MCDM_Checks!$K$6:$K$3733,MATCH(A33&amp;"|"&amp;R$5,MCDM_Checks!$A$6:$A$3733,0))</f>
        <v>U</v>
      </c>
      <c r="S33" s="5" t="str">
        <f>INDEX(MCDM_Checks!$K$6:$K$3733,MATCH(A33&amp;"|"&amp;S$5,MCDM_Checks!$A$6:$A$3733,0))</f>
        <v>U</v>
      </c>
      <c r="T33" s="5" t="str">
        <f>INDEX(MCDM_Checks!$K$6:$K$3733,MATCH(A33&amp;"|"&amp;T$5,MCDM_Checks!$A$6:$A$3733,0))</f>
        <v>Y</v>
      </c>
      <c r="U33" s="5" t="str">
        <f>INDEX(MCDM_Checks!$K$6:$K$3733,MATCH(A33&amp;"|"&amp;U$5,MCDM_Checks!$A$6:$A$3733,0))</f>
        <v>U</v>
      </c>
      <c r="V33" s="5" t="str">
        <f>INDEX(MCDM_Checks!$K$6:$K$3733,MATCH(A33&amp;"|"&amp;V$5,MCDM_Checks!$A$6:$A$3733,0))</f>
        <v>Y</v>
      </c>
      <c r="W33" s="5" t="str">
        <f>INDEX(MCDM_Checks!$K$6:$K$3733,MATCH(A33&amp;"|"&amp;W$5,MCDM_Checks!$A$6:$A$3733,0))</f>
        <v>U</v>
      </c>
      <c r="X33" s="5" t="str">
        <f>INDEX(MCDM_Checks!$K$6:$K$3733,MATCH(A33&amp;"|"&amp;X$5,MCDM_Checks!$A$6:$A$3733,0))</f>
        <v>U</v>
      </c>
      <c r="Y33" s="5" t="str">
        <f>INDEX(MCDM_Checks!$K$6:$K$3733,MATCH(A33&amp;"|"&amp;Y$5,MCDM_Checks!$A$6:$A$3733,0))</f>
        <v>U</v>
      </c>
      <c r="Z33" s="5" t="str">
        <f>INDEX(MCDM_Checks!$K$6:$K$3733,MATCH(A33&amp;"|"&amp;Z$5,MCDM_Checks!$A$6:$A$3733,0))</f>
        <v>U</v>
      </c>
      <c r="AA33" s="5" t="str">
        <f>INDEX(MCDM_Checks!$K$6:$K$3733,MATCH(A33&amp;"|"&amp;AA$5,MCDM_Checks!$A$6:$A$3733,0))</f>
        <v>U</v>
      </c>
      <c r="AB33" s="5" t="str">
        <f>INDEX(MCDM_Checks!$K$6:$K$3733,MATCH(A33&amp;"|"&amp;AB$5,MCDM_Checks!$A$6:$A$3733,0))</f>
        <v>U</v>
      </c>
      <c r="AC33" s="12">
        <f>IF(IF($D33="Unlabeled-13",MCDM_Settings!$F$6,MCDM_Settings!$D$6)=0,"n.a.",5*COUNTIF(M33:O33,"Y")/IF($D33="Unlabeled-13",MCDM_Settings!$F$6,MCDM_Settings!$D$6))</f>
        <v>3.3333333333333335</v>
      </c>
      <c r="AD33" s="12">
        <f>IF(IF($D33="Unlabeled-13",MCDM_Settings!$F$6,MCDM_Settings!$D$6)=0,"n.a.",5*(COUNTIF(M33:O33,"Y")+COUNTIF(M33:O33,"U")+COUNTIF(M33:O33,"X"))/IF($D33="Unlabeled-13",MCDM_Settings!$F$6,MCDM_Settings!$D$6))</f>
        <v>5</v>
      </c>
      <c r="AE33" s="13">
        <f>IF(IF($D33="Unlabeled-13",MCDM_Settings!$F$6,MCDM_Settings!$D$6)=0,"n.a.",(COUNTIF(M33:O33,"Y")+COUNTIF(M33:O33,"N"))/IF($D33="Unlabeled-13",MCDM_Settings!$F$6,MCDM_Settings!$D$6))</f>
        <v>0.66666666666666663</v>
      </c>
      <c r="AF33" s="12">
        <f>IF(IF($D33="Unlabeled-13",MCDM_Settings!$F$7,MCDM_Settings!$D$7)=0,"n.a.",5*COUNTIF(P33:R33,"Y")/IF($D33="Unlabeled-13",MCDM_Settings!$F$7,MCDM_Settings!$D$7))</f>
        <v>0</v>
      </c>
      <c r="AG33" s="12">
        <f>IF(IF($D33="Unlabeled-13",MCDM_Settings!$F$7,MCDM_Settings!$D$7)=0,"n.a.",5*(COUNTIF(P33:R33,"Y")+COUNTIF(P33:R33,"U")+COUNTIF(P33:R33,"X"))/IF($D33="Unlabeled-13",MCDM_Settings!$F$7,MCDM_Settings!$D$7))</f>
        <v>5</v>
      </c>
      <c r="AH33" s="13">
        <f>IF(IF($D33="Unlabeled-13",MCDM_Settings!$F$7,MCDM_Settings!$D$7)=0,"n.a.",(COUNTIF(P33:R33,"Y")+COUNTIF(P33:R33,"N"))/IF($D33="Unlabeled-13",MCDM_Settings!$F$7,MCDM_Settings!$D$7))</f>
        <v>0</v>
      </c>
      <c r="AI33" s="12">
        <f>IF(IF($D33="Unlabeled-13",MCDM_Settings!$F$8,MCDM_Settings!$D$8)=0,"n.a.",5*COUNTIF(S33:U33,"Y")/IF($D33="Unlabeled-13",MCDM_Settings!$F$8,MCDM_Settings!$D$8))</f>
        <v>1.6666666666666667</v>
      </c>
      <c r="AJ33" s="12">
        <f>IF(IF($D33="Unlabeled-13",MCDM_Settings!$F$8,MCDM_Settings!$D$8)=0,"n.a.",5*(COUNTIF(S33:U33,"Y")+COUNTIF(S33:U33,"U")+COUNTIF(S33:U33,"X"))/IF($D33="Unlabeled-13",MCDM_Settings!$F$8,MCDM_Settings!$D$8))</f>
        <v>5</v>
      </c>
      <c r="AK33" s="13">
        <f>IF(IF($D33="Unlabeled-13",MCDM_Settings!$F$8,MCDM_Settings!$D$8)=0,"n.a.",(COUNTIF(S33:U33,"Y")+COUNTIF(S33:U33,"N"))/IF($D33="Unlabeled-13",MCDM_Settings!$F$8,MCDM_Settings!$D$8))</f>
        <v>0.33333333333333331</v>
      </c>
      <c r="AL33" s="12">
        <f>IF(IF($D33="Unlabeled-13",MCDM_Settings!$F$9,MCDM_Settings!$D$9)=0,"n.a.",5*COUNTIF(V33:W33,"Y")/IF($D33="Unlabeled-13",MCDM_Settings!$F$9,MCDM_Settings!$D$9))</f>
        <v>2.5</v>
      </c>
      <c r="AM33" s="12">
        <f>IF(IF($D33="Unlabeled-13",MCDM_Settings!$F$9,MCDM_Settings!$D$9)=0,"n.a.",5*(COUNTIF(V33:W33,"Y")+COUNTIF(V33:W33,"U")+COUNTIF(V33:W33,"X"))/IF($D33="Unlabeled-13",MCDM_Settings!$F$9,MCDM_Settings!$D$9))</f>
        <v>5</v>
      </c>
      <c r="AN33" s="13">
        <f>IF(IF($D33="Unlabeled-13",MCDM_Settings!$F$9,MCDM_Settings!$D$9)=0,"n.a.",(COUNTIF(V33:W33,"Y")+COUNTIF(V33:W33,"N"))/IF($D33="Unlabeled-13",MCDM_Settings!$F$9,MCDM_Settings!$D$9))</f>
        <v>0.5</v>
      </c>
      <c r="AO33" s="12">
        <f>IF(IF($D33="Unlabeled-13",MCDM_Settings!$F$10,MCDM_Settings!$D$10)=0,"n.a.",5*COUNTIF(X33:Y33,"Y")/IF($D33="Unlabeled-13",MCDM_Settings!$F$10,MCDM_Settings!$D$10))</f>
        <v>0</v>
      </c>
      <c r="AP33" s="12">
        <f>IF(IF($D33="Unlabeled-13",MCDM_Settings!$F$10,MCDM_Settings!$D$10)=0,"n.a.",5*(COUNTIF(X33:Y33,"Y")+COUNTIF(X33:Y33,"U")+COUNTIF(X33:Y33,"X"))/IF($D33="Unlabeled-13",MCDM_Settings!$F$10,MCDM_Settings!$D$10))</f>
        <v>5</v>
      </c>
      <c r="AQ33" s="13">
        <f>IF(IF($D33="Unlabeled-13",MCDM_Settings!$F$10,MCDM_Settings!$D$10)=0,"n.a.",(COUNTIF(X33:Y33,"Y")+COUNTIF(X33:Y33,"N"))/IF($D33="Unlabeled-13",MCDM_Settings!$F$10,MCDM_Settings!$D$10))</f>
        <v>0</v>
      </c>
      <c r="AR33" s="12">
        <f>IF(IF($D33="Unlabeled-13",MCDM_Settings!$F$11,MCDM_Settings!$D$11)=0,"n.a.",5*COUNTIF(Z33:AB33,"Y")/IF($D33="Unlabeled-13",MCDM_Settings!$F$11,MCDM_Settings!$D$11))</f>
        <v>0</v>
      </c>
      <c r="AS33" s="12">
        <f>IF(IF($D33="Unlabeled-13",MCDM_Settings!$F$11,MCDM_Settings!$D$11)=0,"n.a.",5*(COUNTIF(Z33:AB33,"Y")+COUNTIF(Z33:AB33,"U")+COUNTIF(Z33:AB33,"X"))/IF($D33="Unlabeled-13",MCDM_Settings!$F$11,MCDM_Settings!$D$11))</f>
        <v>5</v>
      </c>
      <c r="AT33" s="13">
        <f>IF(IF($D33="Unlabeled-13",MCDM_Settings!$F$11,MCDM_Settings!$D$11)=0,"n.a.",(COUNTIF(Z33:AB33,"Y")+COUNTIF(Z33:AB33,"N"))/IF($D33="Unlabeled-13",MCDM_Settings!$F$11,MCDM_Settings!$D$11))</f>
        <v>0</v>
      </c>
      <c r="AU33" s="5" t="str">
        <f>IF(AND(INDEX(Manual_Review!$G$6:$G$238,MATCH(A33,Manual_Review!$A$6:$A$238,0))&lt;&gt;"",ISNUMBER(INDEX(Manual_Review!$H$6:$H$238,MATCH(A33,Manual_Review!$A$6:$A$238,0))),INDEX(Manual_Review!$H$6:$H$238,MATCH(A33,Manual_Review!$A$6:$A$238,0))&gt;0,INDEX(Manual_Review!$I$6:$I$238,MATCH(A33,Manual_Review!$A$6:$A$238,0))="Confirmed",INDEX(Manual_Review!$AF$6:$AF$238,MATCH(A33,Manual_Review!$A$6:$A$238,0))&lt;&gt;""),IF(INDEX(Manual_Review!$AA$6:$AA$238,MATCH(A33,Manual_Review!$A$6:$A$238,0))="Pass","Pass",IF(INDEX(Manual_Review!$AA$6:$AA$238,MATCH(A33,Manual_Review!$A$6:$A$238,0))="Fail","Fail","Pending")),"Pending human identity confirmation")</f>
        <v>Pending human identity confirmation</v>
      </c>
      <c r="AV33" s="5" t="str">
        <f>IF(AND(AND(INDEX(Manual_Review!$G$6:$G$238,MATCH(A33,Manual_Review!$A$6:$A$238,0))&lt;&gt;"",ISNUMBER(INDEX(Manual_Review!$H$6:$H$238,MATCH(A33,Manual_Review!$A$6:$A$238,0))),INDEX(Manual_Review!$H$6:$H$238,MATCH(A33,Manual_Review!$A$6:$A$238,0))&gt;0,INDEX(Manual_Review!$I$6:$I$238,MATCH(A33,Manual_Review!$A$6:$A$238,0))="Confirmed",INDEX(Manual_Review!$AF$6:$AF$238,MATCH(A33,Manual_Review!$A$6:$A$238,0))&lt;&gt;""),INDEX(Manual_Review!$AG$6:$AG$238,MATCH(A33,Manual_Review!$A$6:$A$238,0))&lt;&gt;""),IF(INDEX(Manual_Review!$AB$6:$AB$238,MATCH(A33,Manual_Review!$A$6:$A$238,0))="Pass","Pass",IF(INDEX(Manual_Review!$AB$6:$AB$238,MATCH(A33,Manual_Review!$A$6:$A$238,0))="Fail","Fail","Pending")),"Not assessed: define intended task")</f>
        <v>Not assessed: define intended task</v>
      </c>
      <c r="AW33" s="5" t="str">
        <f>IF(AND(AND(INDEX(Manual_Review!$G$6:$G$238,MATCH(A33,Manual_Review!$A$6:$A$238,0))&lt;&gt;"",ISNUMBER(INDEX(Manual_Review!$H$6:$H$238,MATCH(A33,Manual_Review!$A$6:$A$238,0))),INDEX(Manual_Review!$H$6:$H$238,MATCH(A33,Manual_Review!$A$6:$A$238,0))&gt;0,INDEX(Manual_Review!$I$6:$I$238,MATCH(A33,Manual_Review!$A$6:$A$238,0))="Confirmed",INDEX(Manual_Review!$AF$6:$AF$238,MATCH(A33,Manual_Review!$A$6:$A$238,0))&lt;&gt;""),INDEX(Manual_Review!$AG$6:$AG$238,MATCH(A33,Manual_Review!$A$6:$A$238,0))&lt;&gt;""),IF(OR(INDEX(Manual_Review!$AC$6:$AC$238,MATCH(A33,Manual_Review!$A$6:$A$238,0))="Fail",INDEX(Manual_Review!$AD$6:$AD$238,MATCH(A33,Manual_Review!$A$6:$A$238,0))="Fail"),"Fail: rights or retrieval",IF(AND(INDEX(Manual_Review!$AC$6:$AC$238,MATCH(A33,Manual_Review!$A$6:$A$238,0))="Pass",INDEX(Manual_Review!$AD$6:$AD$238,MATCH(A33,Manual_Review!$A$6:$A$238,0))="Pass"),"Pass","Pending rights and retrieval")),"Pending rights and retrieval")</f>
        <v>Pending rights and retrieval</v>
      </c>
      <c r="AX33" s="5" t="str">
        <f>IF(INDEX(Manual_Review!$AG$6:$AG$238,MATCH(A33,Manual_Review!$A$6:$A$238,0))="","N/A: documentation inventory",IF(AND(INDEX(Manual_Review!$G$6:$G$238,MATCH(A33,Manual_Review!$A$6:$A$238,0))&lt;&gt;"",ISNUMBER(INDEX(Manual_Review!$H$6:$H$238,MATCH(A33,Manual_Review!$A$6:$A$238,0))),INDEX(Manual_Review!$H$6:$H$238,MATCH(A33,Manual_Review!$A$6:$A$238,0))&gt;0,INDEX(Manual_Review!$I$6:$I$238,MATCH(A33,Manual_Review!$A$6:$A$238,0))="Confirmed",INDEX(Manual_Review!$AF$6:$AF$238,MATCH(A33,Manual_Review!$A$6:$A$238,0))&lt;&gt;""),IF(INDEX(Manual_Review!$AE$6:$AE$238,MATCH(A33,Manual_Review!$A$6:$A$238,0))="Pass","Pass",IF(INDEX(Manual_Review!$AE$6:$AE$238,MATCH(A33,Manual_Review!$A$6:$A$238,0))="Fail","Fail: benchmark leakage",IF(INDEX(Manual_Review!$AE$6:$AE$238,MATCH(A33,Manual_Review!$A$6:$A$238,0))="N/A","N/A: nonbenchmark task","Pending task-specific leakage check"))),"Pending task-specific leakage check"))</f>
        <v>N/A: documentation inventory</v>
      </c>
      <c r="AY33" s="5" t="str">
        <f>IF(IF(D33="Unlabeled-13",AND(ABS(MCDM_Settings!$D$14-1)&lt;0.0000001,MIN(MCDM_Settings!$E$6:$E$11)&gt;=0,MCDM_Settings!$E$7=0),AND(ABS(MCDM_Settings!$B$14-1)&lt;0.0000001,MIN(MCDM_Settings!$C$6:$C$11)&gt;=0)),"Valid","Check weights")</f>
        <v>Valid</v>
      </c>
      <c r="AZ33" s="5" t="str">
        <f>IF(AND(COUNTIF(MCDM_Checks!$B$6:$B$3733,A33)=16,COUNTIF(Manual_Review!$A$6:$A$238,A33)=1),"16 keys present","Check key count")</f>
        <v>16 keys present</v>
      </c>
    </row>
    <row r="34" spans="1:52">
      <c r="A34" s="5" t="s">
        <v>433</v>
      </c>
      <c r="B34" s="5" t="s">
        <v>434</v>
      </c>
      <c r="C34" s="5"/>
      <c r="D34" s="5" t="s">
        <v>118</v>
      </c>
      <c r="E34" s="12">
        <f>IF(OR(AY34&lt;&gt;"Valid",AZ34&lt;&gt;"16 keys present"),"Review settings",20*(IF(ISNUMBER(AC34),AC34*IF($D34="Unlabeled-13",MCDM_Settings!$E$6,MCDM_Settings!$C$6),0)+IF(ISNUMBER(AF34),AF34*IF($D34="Unlabeled-13",MCDM_Settings!$E$7,MCDM_Settings!$C$7),0)+IF(ISNUMBER(AI34),AI34*IF($D34="Unlabeled-13",MCDM_Settings!$E$8,MCDM_Settings!$C$8),0)+IF(ISNUMBER(AL34),AL34*IF($D34="Unlabeled-13",MCDM_Settings!$E$9,MCDM_Settings!$C$9),0)+IF(ISNUMBER(AO34),AO34*IF($D34="Unlabeled-13",MCDM_Settings!$E$10,MCDM_Settings!$C$10),0)+IF(ISNUMBER(AR34),AR34*IF($D34="Unlabeled-13",MCDM_Settings!$E$11,MCDM_Settings!$C$11),0)))</f>
        <v>61.111111111111107</v>
      </c>
      <c r="F34" s="12">
        <f>IF(OR(AY34&lt;&gt;"Valid",AZ34&lt;&gt;"16 keys present"),"Review settings",20*(IF(ISNUMBER(AD34),AD34*IF($D34="Unlabeled-13",MCDM_Settings!$E$6,MCDM_Settings!$C$6),0)+IF(ISNUMBER(AG34),AG34*IF($D34="Unlabeled-13",MCDM_Settings!$E$7,MCDM_Settings!$C$7),0)+IF(ISNUMBER(AJ34),AJ34*IF($D34="Unlabeled-13",MCDM_Settings!$E$8,MCDM_Settings!$C$8),0)+IF(ISNUMBER(AM34),AM34*IF($D34="Unlabeled-13",MCDM_Settings!$E$9,MCDM_Settings!$C$9),0)+IF(ISNUMBER(AP34),AP34*IF($D34="Unlabeled-13",MCDM_Settings!$E$10,MCDM_Settings!$C$10),0)+IF(ISNUMBER(AS34),AS34*IF($D34="Unlabeled-13",MCDM_Settings!$E$11,MCDM_Settings!$C$11),0)))</f>
        <v>94.444444444444429</v>
      </c>
      <c r="G34" s="13">
        <f>IF(OR(AY34&lt;&gt;"Valid",AZ34&lt;&gt;"16 keys present"),"Review settings",1*(IF(ISNUMBER(AE34),AE34*IF($D34="Unlabeled-13",MCDM_Settings!$E$6,MCDM_Settings!$C$6),0)+IF(ISNUMBER(AH34),AH34*IF($D34="Unlabeled-13",MCDM_Settings!$E$7,MCDM_Settings!$C$7),0)+IF(ISNUMBER(AK34),AK34*IF($D34="Unlabeled-13",MCDM_Settings!$E$8,MCDM_Settings!$C$8),0)+IF(ISNUMBER(AN34),AN34*IF($D34="Unlabeled-13",MCDM_Settings!$E$9,MCDM_Settings!$C$9),0)+IF(ISNUMBER(AQ34),AQ34*IF($D34="Unlabeled-13",MCDM_Settings!$E$10,MCDM_Settings!$C$10),0)+IF(ISNUMBER(AT34),AT34*IF($D34="Unlabeled-13",MCDM_Settings!$E$11,MCDM_Settings!$C$11),0)))</f>
        <v>0.66666666666666663</v>
      </c>
      <c r="H34" s="5" t="str">
        <f>INDEX(Manual_Review!$AH$6:$AH$238,MATCH(A34,Manual_Review!$A$6:$A$238,0))</f>
        <v>Not started</v>
      </c>
      <c r="I34" s="5" t="s">
        <v>182</v>
      </c>
      <c r="J34" s="5" t="s">
        <v>435</v>
      </c>
      <c r="K34" s="5" t="str">
        <f>HYPERLINK("https://github.com/FuturePave/PaveSeg-Dataset","Dataset")</f>
        <v>Dataset</v>
      </c>
      <c r="L34" s="5" t="str">
        <f>HYPERLINK("#'Manual_Review'!A"&amp;(MATCH("DS-029",Manual_Review!$A$6:$A$238,0)+5),"Enter review")</f>
        <v>Enter review</v>
      </c>
      <c r="M34" s="5" t="str">
        <f>INDEX(MCDM_Checks!$K$6:$K$3733,MATCH(A34&amp;"|"&amp;M$5,MCDM_Checks!$A$6:$A$3733,0))</f>
        <v>Y</v>
      </c>
      <c r="N34" s="5" t="str">
        <f>INDEX(MCDM_Checks!$K$6:$K$3733,MATCH(A34&amp;"|"&amp;N$5,MCDM_Checks!$A$6:$A$3733,0))</f>
        <v>N</v>
      </c>
      <c r="O34" s="5" t="str">
        <f>INDEX(MCDM_Checks!$K$6:$K$3733,MATCH(A34&amp;"|"&amp;O$5,MCDM_Checks!$A$6:$A$3733,0))</f>
        <v>U</v>
      </c>
      <c r="P34" s="5" t="str">
        <f>INDEX(MCDM_Checks!$K$6:$K$3733,MATCH(A34&amp;"|"&amp;P$5,MCDM_Checks!$A$6:$A$3733,0))</f>
        <v>Y</v>
      </c>
      <c r="Q34" s="5" t="str">
        <f>INDEX(MCDM_Checks!$K$6:$K$3733,MATCH(A34&amp;"|"&amp;Q$5,MCDM_Checks!$A$6:$A$3733,0))</f>
        <v>U</v>
      </c>
      <c r="R34" s="5" t="str">
        <f>INDEX(MCDM_Checks!$K$6:$K$3733,MATCH(A34&amp;"|"&amp;R$5,MCDM_Checks!$A$6:$A$3733,0))</f>
        <v>U</v>
      </c>
      <c r="S34" s="5" t="str">
        <f>INDEX(MCDM_Checks!$K$6:$K$3733,MATCH(A34&amp;"|"&amp;S$5,MCDM_Checks!$A$6:$A$3733,0))</f>
        <v>Y</v>
      </c>
      <c r="T34" s="5" t="str">
        <f>INDEX(MCDM_Checks!$K$6:$K$3733,MATCH(A34&amp;"|"&amp;T$5,MCDM_Checks!$A$6:$A$3733,0))</f>
        <v>Y</v>
      </c>
      <c r="U34" s="5" t="str">
        <f>INDEX(MCDM_Checks!$K$6:$K$3733,MATCH(A34&amp;"|"&amp;U$5,MCDM_Checks!$A$6:$A$3733,0))</f>
        <v>Y</v>
      </c>
      <c r="V34" s="5" t="str">
        <f>INDEX(MCDM_Checks!$K$6:$K$3733,MATCH(A34&amp;"|"&amp;V$5,MCDM_Checks!$A$6:$A$3733,0))</f>
        <v>Y</v>
      </c>
      <c r="W34" s="5" t="str">
        <f>INDEX(MCDM_Checks!$K$6:$K$3733,MATCH(A34&amp;"|"&amp;W$5,MCDM_Checks!$A$6:$A$3733,0))</f>
        <v>Y</v>
      </c>
      <c r="X34" s="5" t="str">
        <f>INDEX(MCDM_Checks!$K$6:$K$3733,MATCH(A34&amp;"|"&amp;X$5,MCDM_Checks!$A$6:$A$3733,0))</f>
        <v>Y</v>
      </c>
      <c r="Y34" s="5" t="str">
        <f>INDEX(MCDM_Checks!$K$6:$K$3733,MATCH(A34&amp;"|"&amp;Y$5,MCDM_Checks!$A$6:$A$3733,0))</f>
        <v>Y</v>
      </c>
      <c r="Z34" s="5" t="str">
        <f>INDEX(MCDM_Checks!$K$6:$K$3733,MATCH(A34&amp;"|"&amp;Z$5,MCDM_Checks!$A$6:$A$3733,0))</f>
        <v>U</v>
      </c>
      <c r="AA34" s="5" t="str">
        <f>INDEX(MCDM_Checks!$K$6:$K$3733,MATCH(A34&amp;"|"&amp;AA$5,MCDM_Checks!$A$6:$A$3733,0))</f>
        <v>U</v>
      </c>
      <c r="AB34" s="5" t="str">
        <f>INDEX(MCDM_Checks!$K$6:$K$3733,MATCH(A34&amp;"|"&amp;AB$5,MCDM_Checks!$A$6:$A$3733,0))</f>
        <v>U</v>
      </c>
      <c r="AC34" s="12">
        <f>IF(IF($D34="Unlabeled-13",MCDM_Settings!$F$6,MCDM_Settings!$D$6)=0,"n.a.",5*COUNTIF(M34:O34,"Y")/IF($D34="Unlabeled-13",MCDM_Settings!$F$6,MCDM_Settings!$D$6))</f>
        <v>1.6666666666666667</v>
      </c>
      <c r="AD34" s="12">
        <f>IF(IF($D34="Unlabeled-13",MCDM_Settings!$F$6,MCDM_Settings!$D$6)=0,"n.a.",5*(COUNTIF(M34:O34,"Y")+COUNTIF(M34:O34,"U")+COUNTIF(M34:O34,"X"))/IF($D34="Unlabeled-13",MCDM_Settings!$F$6,MCDM_Settings!$D$6))</f>
        <v>3.3333333333333335</v>
      </c>
      <c r="AE34" s="13">
        <f>IF(IF($D34="Unlabeled-13",MCDM_Settings!$F$6,MCDM_Settings!$D$6)=0,"n.a.",(COUNTIF(M34:O34,"Y")+COUNTIF(M34:O34,"N"))/IF($D34="Unlabeled-13",MCDM_Settings!$F$6,MCDM_Settings!$D$6))</f>
        <v>0.66666666666666663</v>
      </c>
      <c r="AF34" s="12">
        <f>IF(IF($D34="Unlabeled-13",MCDM_Settings!$F$7,MCDM_Settings!$D$7)=0,"n.a.",5*COUNTIF(P34:R34,"Y")/IF($D34="Unlabeled-13",MCDM_Settings!$F$7,MCDM_Settings!$D$7))</f>
        <v>1.6666666666666667</v>
      </c>
      <c r="AG34" s="12">
        <f>IF(IF($D34="Unlabeled-13",MCDM_Settings!$F$7,MCDM_Settings!$D$7)=0,"n.a.",5*(COUNTIF(P34:R34,"Y")+COUNTIF(P34:R34,"U")+COUNTIF(P34:R34,"X"))/IF($D34="Unlabeled-13",MCDM_Settings!$F$7,MCDM_Settings!$D$7))</f>
        <v>5</v>
      </c>
      <c r="AH34" s="13">
        <f>IF(IF($D34="Unlabeled-13",MCDM_Settings!$F$7,MCDM_Settings!$D$7)=0,"n.a.",(COUNTIF(P34:R34,"Y")+COUNTIF(P34:R34,"N"))/IF($D34="Unlabeled-13",MCDM_Settings!$F$7,MCDM_Settings!$D$7))</f>
        <v>0.33333333333333331</v>
      </c>
      <c r="AI34" s="12">
        <f>IF(IF($D34="Unlabeled-13",MCDM_Settings!$F$8,MCDM_Settings!$D$8)=0,"n.a.",5*COUNTIF(S34:U34,"Y")/IF($D34="Unlabeled-13",MCDM_Settings!$F$8,MCDM_Settings!$D$8))</f>
        <v>5</v>
      </c>
      <c r="AJ34" s="12">
        <f>IF(IF($D34="Unlabeled-13",MCDM_Settings!$F$8,MCDM_Settings!$D$8)=0,"n.a.",5*(COUNTIF(S34:U34,"Y")+COUNTIF(S34:U34,"U")+COUNTIF(S34:U34,"X"))/IF($D34="Unlabeled-13",MCDM_Settings!$F$8,MCDM_Settings!$D$8))</f>
        <v>5</v>
      </c>
      <c r="AK34" s="13">
        <f>IF(IF($D34="Unlabeled-13",MCDM_Settings!$F$8,MCDM_Settings!$D$8)=0,"n.a.",(COUNTIF(S34:U34,"Y")+COUNTIF(S34:U34,"N"))/IF($D34="Unlabeled-13",MCDM_Settings!$F$8,MCDM_Settings!$D$8))</f>
        <v>1</v>
      </c>
      <c r="AL34" s="12">
        <f>IF(IF($D34="Unlabeled-13",MCDM_Settings!$F$9,MCDM_Settings!$D$9)=0,"n.a.",5*COUNTIF(V34:W34,"Y")/IF($D34="Unlabeled-13",MCDM_Settings!$F$9,MCDM_Settings!$D$9))</f>
        <v>5</v>
      </c>
      <c r="AM34" s="12">
        <f>IF(IF($D34="Unlabeled-13",MCDM_Settings!$F$9,MCDM_Settings!$D$9)=0,"n.a.",5*(COUNTIF(V34:W34,"Y")+COUNTIF(V34:W34,"U")+COUNTIF(V34:W34,"X"))/IF($D34="Unlabeled-13",MCDM_Settings!$F$9,MCDM_Settings!$D$9))</f>
        <v>5</v>
      </c>
      <c r="AN34" s="13">
        <f>IF(IF($D34="Unlabeled-13",MCDM_Settings!$F$9,MCDM_Settings!$D$9)=0,"n.a.",(COUNTIF(V34:W34,"Y")+COUNTIF(V34:W34,"N"))/IF($D34="Unlabeled-13",MCDM_Settings!$F$9,MCDM_Settings!$D$9))</f>
        <v>1</v>
      </c>
      <c r="AO34" s="12">
        <f>IF(IF($D34="Unlabeled-13",MCDM_Settings!$F$10,MCDM_Settings!$D$10)=0,"n.a.",5*COUNTIF(X34:Y34,"Y")/IF($D34="Unlabeled-13",MCDM_Settings!$F$10,MCDM_Settings!$D$10))</f>
        <v>5</v>
      </c>
      <c r="AP34" s="12">
        <f>IF(IF($D34="Unlabeled-13",MCDM_Settings!$F$10,MCDM_Settings!$D$10)=0,"n.a.",5*(COUNTIF(X34:Y34,"Y")+COUNTIF(X34:Y34,"U")+COUNTIF(X34:Y34,"X"))/IF($D34="Unlabeled-13",MCDM_Settings!$F$10,MCDM_Settings!$D$10))</f>
        <v>5</v>
      </c>
      <c r="AQ34" s="13">
        <f>IF(IF($D34="Unlabeled-13",MCDM_Settings!$F$10,MCDM_Settings!$D$10)=0,"n.a.",(COUNTIF(X34:Y34,"Y")+COUNTIF(X34:Y34,"N"))/IF($D34="Unlabeled-13",MCDM_Settings!$F$10,MCDM_Settings!$D$10))</f>
        <v>1</v>
      </c>
      <c r="AR34" s="12">
        <f>IF(IF($D34="Unlabeled-13",MCDM_Settings!$F$11,MCDM_Settings!$D$11)=0,"n.a.",5*COUNTIF(Z34:AB34,"Y")/IF($D34="Unlabeled-13",MCDM_Settings!$F$11,MCDM_Settings!$D$11))</f>
        <v>0</v>
      </c>
      <c r="AS34" s="12">
        <f>IF(IF($D34="Unlabeled-13",MCDM_Settings!$F$11,MCDM_Settings!$D$11)=0,"n.a.",5*(COUNTIF(Z34:AB34,"Y")+COUNTIF(Z34:AB34,"U")+COUNTIF(Z34:AB34,"X"))/IF($D34="Unlabeled-13",MCDM_Settings!$F$11,MCDM_Settings!$D$11))</f>
        <v>5</v>
      </c>
      <c r="AT34" s="13">
        <f>IF(IF($D34="Unlabeled-13",MCDM_Settings!$F$11,MCDM_Settings!$D$11)=0,"n.a.",(COUNTIF(Z34:AB34,"Y")+COUNTIF(Z34:AB34,"N"))/IF($D34="Unlabeled-13",MCDM_Settings!$F$11,MCDM_Settings!$D$11))</f>
        <v>0</v>
      </c>
      <c r="AU34" s="5" t="str">
        <f>IF(AND(INDEX(Manual_Review!$G$6:$G$238,MATCH(A34,Manual_Review!$A$6:$A$238,0))&lt;&gt;"",ISNUMBER(INDEX(Manual_Review!$H$6:$H$238,MATCH(A34,Manual_Review!$A$6:$A$238,0))),INDEX(Manual_Review!$H$6:$H$238,MATCH(A34,Manual_Review!$A$6:$A$238,0))&gt;0,INDEX(Manual_Review!$I$6:$I$238,MATCH(A34,Manual_Review!$A$6:$A$238,0))="Confirmed",INDEX(Manual_Review!$AF$6:$AF$238,MATCH(A34,Manual_Review!$A$6:$A$238,0))&lt;&gt;""),IF(INDEX(Manual_Review!$AA$6:$AA$238,MATCH(A34,Manual_Review!$A$6:$A$238,0))="Pass","Pass",IF(INDEX(Manual_Review!$AA$6:$AA$238,MATCH(A34,Manual_Review!$A$6:$A$238,0))="Fail","Fail","Pending")),"Pending human identity confirmation")</f>
        <v>Pending human identity confirmation</v>
      </c>
      <c r="AV34" s="5" t="str">
        <f>IF(AND(AND(INDEX(Manual_Review!$G$6:$G$238,MATCH(A34,Manual_Review!$A$6:$A$238,0))&lt;&gt;"",ISNUMBER(INDEX(Manual_Review!$H$6:$H$238,MATCH(A34,Manual_Review!$A$6:$A$238,0))),INDEX(Manual_Review!$H$6:$H$238,MATCH(A34,Manual_Review!$A$6:$A$238,0))&gt;0,INDEX(Manual_Review!$I$6:$I$238,MATCH(A34,Manual_Review!$A$6:$A$238,0))="Confirmed",INDEX(Manual_Review!$AF$6:$AF$238,MATCH(A34,Manual_Review!$A$6:$A$238,0))&lt;&gt;""),INDEX(Manual_Review!$AG$6:$AG$238,MATCH(A34,Manual_Review!$A$6:$A$238,0))&lt;&gt;""),IF(INDEX(Manual_Review!$AB$6:$AB$238,MATCH(A34,Manual_Review!$A$6:$A$238,0))="Pass","Pass",IF(INDEX(Manual_Review!$AB$6:$AB$238,MATCH(A34,Manual_Review!$A$6:$A$238,0))="Fail","Fail","Pending")),"Not assessed: define intended task")</f>
        <v>Not assessed: define intended task</v>
      </c>
      <c r="AW34" s="5" t="str">
        <f>IF(AND(AND(INDEX(Manual_Review!$G$6:$G$238,MATCH(A34,Manual_Review!$A$6:$A$238,0))&lt;&gt;"",ISNUMBER(INDEX(Manual_Review!$H$6:$H$238,MATCH(A34,Manual_Review!$A$6:$A$238,0))),INDEX(Manual_Review!$H$6:$H$238,MATCH(A34,Manual_Review!$A$6:$A$238,0))&gt;0,INDEX(Manual_Review!$I$6:$I$238,MATCH(A34,Manual_Review!$A$6:$A$238,0))="Confirmed",INDEX(Manual_Review!$AF$6:$AF$238,MATCH(A34,Manual_Review!$A$6:$A$238,0))&lt;&gt;""),INDEX(Manual_Review!$AG$6:$AG$238,MATCH(A34,Manual_Review!$A$6:$A$238,0))&lt;&gt;""),IF(OR(INDEX(Manual_Review!$AC$6:$AC$238,MATCH(A34,Manual_Review!$A$6:$A$238,0))="Fail",INDEX(Manual_Review!$AD$6:$AD$238,MATCH(A34,Manual_Review!$A$6:$A$238,0))="Fail"),"Fail: rights or retrieval",IF(AND(INDEX(Manual_Review!$AC$6:$AC$238,MATCH(A34,Manual_Review!$A$6:$A$238,0))="Pass",INDEX(Manual_Review!$AD$6:$AD$238,MATCH(A34,Manual_Review!$A$6:$A$238,0))="Pass"),"Pass","Pending rights and retrieval")),"Pending rights and retrieval")</f>
        <v>Pending rights and retrieval</v>
      </c>
      <c r="AX34" s="5" t="str">
        <f>IF(INDEX(Manual_Review!$AG$6:$AG$238,MATCH(A34,Manual_Review!$A$6:$A$238,0))="","N/A: documentation inventory",IF(AND(INDEX(Manual_Review!$G$6:$G$238,MATCH(A34,Manual_Review!$A$6:$A$238,0))&lt;&gt;"",ISNUMBER(INDEX(Manual_Review!$H$6:$H$238,MATCH(A34,Manual_Review!$A$6:$A$238,0))),INDEX(Manual_Review!$H$6:$H$238,MATCH(A34,Manual_Review!$A$6:$A$238,0))&gt;0,INDEX(Manual_Review!$I$6:$I$238,MATCH(A34,Manual_Review!$A$6:$A$238,0))="Confirmed",INDEX(Manual_Review!$AF$6:$AF$238,MATCH(A34,Manual_Review!$A$6:$A$238,0))&lt;&gt;""),IF(INDEX(Manual_Review!$AE$6:$AE$238,MATCH(A34,Manual_Review!$A$6:$A$238,0))="Pass","Pass",IF(INDEX(Manual_Review!$AE$6:$AE$238,MATCH(A34,Manual_Review!$A$6:$A$238,0))="Fail","Fail: benchmark leakage",IF(INDEX(Manual_Review!$AE$6:$AE$238,MATCH(A34,Manual_Review!$A$6:$A$238,0))="N/A","N/A: nonbenchmark task","Pending task-specific leakage check"))),"Pending task-specific leakage check"))</f>
        <v>N/A: documentation inventory</v>
      </c>
      <c r="AY34" s="5" t="str">
        <f>IF(IF(D34="Unlabeled-13",AND(ABS(MCDM_Settings!$D$14-1)&lt;0.0000001,MIN(MCDM_Settings!$E$6:$E$11)&gt;=0,MCDM_Settings!$E$7=0),AND(ABS(MCDM_Settings!$B$14-1)&lt;0.0000001,MIN(MCDM_Settings!$C$6:$C$11)&gt;=0)),"Valid","Check weights")</f>
        <v>Valid</v>
      </c>
      <c r="AZ34" s="5" t="str">
        <f>IF(AND(COUNTIF(MCDM_Checks!$B$6:$B$3733,A34)=16,COUNTIF(Manual_Review!$A$6:$A$238,A34)=1),"16 keys present","Check key count")</f>
        <v>16 keys present</v>
      </c>
    </row>
    <row r="35" spans="1:52">
      <c r="A35" s="5" t="s">
        <v>448</v>
      </c>
      <c r="B35" s="5" t="s">
        <v>449</v>
      </c>
      <c r="C35" s="5"/>
      <c r="D35" s="5" t="s">
        <v>118</v>
      </c>
      <c r="E35" s="12">
        <f>IF(OR(AY35&lt;&gt;"Valid",AZ35&lt;&gt;"16 keys present"),"Review settings",20*(IF(ISNUMBER(AC35),AC35*IF($D35="Unlabeled-13",MCDM_Settings!$E$6,MCDM_Settings!$C$6),0)+IF(ISNUMBER(AF35),AF35*IF($D35="Unlabeled-13",MCDM_Settings!$E$7,MCDM_Settings!$C$7),0)+IF(ISNUMBER(AI35),AI35*IF($D35="Unlabeled-13",MCDM_Settings!$E$8,MCDM_Settings!$C$8),0)+IF(ISNUMBER(AL35),AL35*IF($D35="Unlabeled-13",MCDM_Settings!$E$9,MCDM_Settings!$C$9),0)+IF(ISNUMBER(AO35),AO35*IF($D35="Unlabeled-13",MCDM_Settings!$E$10,MCDM_Settings!$C$10),0)+IF(ISNUMBER(AR35),AR35*IF($D35="Unlabeled-13",MCDM_Settings!$E$11,MCDM_Settings!$C$11),0)))</f>
        <v>50</v>
      </c>
      <c r="F35" s="12">
        <f>IF(OR(AY35&lt;&gt;"Valid",AZ35&lt;&gt;"16 keys present"),"Review settings",20*(IF(ISNUMBER(AD35),AD35*IF($D35="Unlabeled-13",MCDM_Settings!$E$6,MCDM_Settings!$C$6),0)+IF(ISNUMBER(AG35),AG35*IF($D35="Unlabeled-13",MCDM_Settings!$E$7,MCDM_Settings!$C$7),0)+IF(ISNUMBER(AJ35),AJ35*IF($D35="Unlabeled-13",MCDM_Settings!$E$8,MCDM_Settings!$C$8),0)+IF(ISNUMBER(AM35),AM35*IF($D35="Unlabeled-13",MCDM_Settings!$E$9,MCDM_Settings!$C$9),0)+IF(ISNUMBER(AP35),AP35*IF($D35="Unlabeled-13",MCDM_Settings!$E$10,MCDM_Settings!$C$10),0)+IF(ISNUMBER(AS35),AS35*IF($D35="Unlabeled-13",MCDM_Settings!$E$11,MCDM_Settings!$C$11),0)))</f>
        <v>99.999999999999986</v>
      </c>
      <c r="G35" s="13">
        <f>IF(OR(AY35&lt;&gt;"Valid",AZ35&lt;&gt;"16 keys present"),"Review settings",1*(IF(ISNUMBER(AE35),AE35*IF($D35="Unlabeled-13",MCDM_Settings!$E$6,MCDM_Settings!$C$6),0)+IF(ISNUMBER(AH35),AH35*IF($D35="Unlabeled-13",MCDM_Settings!$E$7,MCDM_Settings!$C$7),0)+IF(ISNUMBER(AK35),AK35*IF($D35="Unlabeled-13",MCDM_Settings!$E$8,MCDM_Settings!$C$8),0)+IF(ISNUMBER(AN35),AN35*IF($D35="Unlabeled-13",MCDM_Settings!$E$9,MCDM_Settings!$C$9),0)+IF(ISNUMBER(AQ35),AQ35*IF($D35="Unlabeled-13",MCDM_Settings!$E$10,MCDM_Settings!$C$10),0)+IF(ISNUMBER(AT35),AT35*IF($D35="Unlabeled-13",MCDM_Settings!$E$11,MCDM_Settings!$C$11),0)))</f>
        <v>0.5</v>
      </c>
      <c r="H35" s="5" t="str">
        <f>INDEX(Manual_Review!$AH$6:$AH$238,MATCH(A35,Manual_Review!$A$6:$A$238,0))</f>
        <v>Not started</v>
      </c>
      <c r="I35" s="5" t="s">
        <v>128</v>
      </c>
      <c r="J35" s="5" t="s">
        <v>450</v>
      </c>
      <c r="K35" s="5" t="str">
        <f>HYPERLINK("https://github.com/Nan2020/PID-Pavement-Image-Dataset","Dataset")</f>
        <v>Dataset</v>
      </c>
      <c r="L35" s="5" t="str">
        <f>HYPERLINK("#'Manual_Review'!A"&amp;(MATCH("DS-030",Manual_Review!$A$6:$A$238,0)+5),"Enter review")</f>
        <v>Enter review</v>
      </c>
      <c r="M35" s="5" t="str">
        <f>INDEX(MCDM_Checks!$K$6:$K$3733,MATCH(A35&amp;"|"&amp;M$5,MCDM_Checks!$A$6:$A$3733,0))</f>
        <v>Y</v>
      </c>
      <c r="N35" s="5" t="str">
        <f>INDEX(MCDM_Checks!$K$6:$K$3733,MATCH(A35&amp;"|"&amp;N$5,MCDM_Checks!$A$6:$A$3733,0))</f>
        <v>Y</v>
      </c>
      <c r="O35" s="5" t="str">
        <f>INDEX(MCDM_Checks!$K$6:$K$3733,MATCH(A35&amp;"|"&amp;O$5,MCDM_Checks!$A$6:$A$3733,0))</f>
        <v>U</v>
      </c>
      <c r="P35" s="5" t="str">
        <f>INDEX(MCDM_Checks!$K$6:$K$3733,MATCH(A35&amp;"|"&amp;P$5,MCDM_Checks!$A$6:$A$3733,0))</f>
        <v>U</v>
      </c>
      <c r="Q35" s="5" t="str">
        <f>INDEX(MCDM_Checks!$K$6:$K$3733,MATCH(A35&amp;"|"&amp;Q$5,MCDM_Checks!$A$6:$A$3733,0))</f>
        <v>U</v>
      </c>
      <c r="R35" s="5" t="str">
        <f>INDEX(MCDM_Checks!$K$6:$K$3733,MATCH(A35&amp;"|"&amp;R$5,MCDM_Checks!$A$6:$A$3733,0))</f>
        <v>U</v>
      </c>
      <c r="S35" s="5" t="str">
        <f>INDEX(MCDM_Checks!$K$6:$K$3733,MATCH(A35&amp;"|"&amp;S$5,MCDM_Checks!$A$6:$A$3733,0))</f>
        <v>U</v>
      </c>
      <c r="T35" s="5" t="str">
        <f>INDEX(MCDM_Checks!$K$6:$K$3733,MATCH(A35&amp;"|"&amp;T$5,MCDM_Checks!$A$6:$A$3733,0))</f>
        <v>Y</v>
      </c>
      <c r="U35" s="5" t="str">
        <f>INDEX(MCDM_Checks!$K$6:$K$3733,MATCH(A35&amp;"|"&amp;U$5,MCDM_Checks!$A$6:$A$3733,0))</f>
        <v>U</v>
      </c>
      <c r="V35" s="5" t="str">
        <f>INDEX(MCDM_Checks!$K$6:$K$3733,MATCH(A35&amp;"|"&amp;V$5,MCDM_Checks!$A$6:$A$3733,0))</f>
        <v>U</v>
      </c>
      <c r="W35" s="5" t="str">
        <f>INDEX(MCDM_Checks!$K$6:$K$3733,MATCH(A35&amp;"|"&amp;W$5,MCDM_Checks!$A$6:$A$3733,0))</f>
        <v>U</v>
      </c>
      <c r="X35" s="5" t="str">
        <f>INDEX(MCDM_Checks!$K$6:$K$3733,MATCH(A35&amp;"|"&amp;X$5,MCDM_Checks!$A$6:$A$3733,0))</f>
        <v>Y</v>
      </c>
      <c r="Y35" s="5" t="str">
        <f>INDEX(MCDM_Checks!$K$6:$K$3733,MATCH(A35&amp;"|"&amp;Y$5,MCDM_Checks!$A$6:$A$3733,0))</f>
        <v>Y</v>
      </c>
      <c r="Z35" s="5" t="str">
        <f>INDEX(MCDM_Checks!$K$6:$K$3733,MATCH(A35&amp;"|"&amp;Z$5,MCDM_Checks!$A$6:$A$3733,0))</f>
        <v>Y</v>
      </c>
      <c r="AA35" s="5" t="str">
        <f>INDEX(MCDM_Checks!$K$6:$K$3733,MATCH(A35&amp;"|"&amp;AA$5,MCDM_Checks!$A$6:$A$3733,0))</f>
        <v>Y</v>
      </c>
      <c r="AB35" s="5" t="str">
        <f>INDEX(MCDM_Checks!$K$6:$K$3733,MATCH(A35&amp;"|"&amp;AB$5,MCDM_Checks!$A$6:$A$3733,0))</f>
        <v>Y</v>
      </c>
      <c r="AC35" s="12">
        <f>IF(IF($D35="Unlabeled-13",MCDM_Settings!$F$6,MCDM_Settings!$D$6)=0,"n.a.",5*COUNTIF(M35:O35,"Y")/IF($D35="Unlabeled-13",MCDM_Settings!$F$6,MCDM_Settings!$D$6))</f>
        <v>3.3333333333333335</v>
      </c>
      <c r="AD35" s="12">
        <f>IF(IF($D35="Unlabeled-13",MCDM_Settings!$F$6,MCDM_Settings!$D$6)=0,"n.a.",5*(COUNTIF(M35:O35,"Y")+COUNTIF(M35:O35,"U")+COUNTIF(M35:O35,"X"))/IF($D35="Unlabeled-13",MCDM_Settings!$F$6,MCDM_Settings!$D$6))</f>
        <v>5</v>
      </c>
      <c r="AE35" s="13">
        <f>IF(IF($D35="Unlabeled-13",MCDM_Settings!$F$6,MCDM_Settings!$D$6)=0,"n.a.",(COUNTIF(M35:O35,"Y")+COUNTIF(M35:O35,"N"))/IF($D35="Unlabeled-13",MCDM_Settings!$F$6,MCDM_Settings!$D$6))</f>
        <v>0.66666666666666663</v>
      </c>
      <c r="AF35" s="12">
        <f>IF(IF($D35="Unlabeled-13",MCDM_Settings!$F$7,MCDM_Settings!$D$7)=0,"n.a.",5*COUNTIF(P35:R35,"Y")/IF($D35="Unlabeled-13",MCDM_Settings!$F$7,MCDM_Settings!$D$7))</f>
        <v>0</v>
      </c>
      <c r="AG35" s="12">
        <f>IF(IF($D35="Unlabeled-13",MCDM_Settings!$F$7,MCDM_Settings!$D$7)=0,"n.a.",5*(COUNTIF(P35:R35,"Y")+COUNTIF(P35:R35,"U")+COUNTIF(P35:R35,"X"))/IF($D35="Unlabeled-13",MCDM_Settings!$F$7,MCDM_Settings!$D$7))</f>
        <v>5</v>
      </c>
      <c r="AH35" s="13">
        <f>IF(IF($D35="Unlabeled-13",MCDM_Settings!$F$7,MCDM_Settings!$D$7)=0,"n.a.",(COUNTIF(P35:R35,"Y")+COUNTIF(P35:R35,"N"))/IF($D35="Unlabeled-13",MCDM_Settings!$F$7,MCDM_Settings!$D$7))</f>
        <v>0</v>
      </c>
      <c r="AI35" s="12">
        <f>IF(IF($D35="Unlabeled-13",MCDM_Settings!$F$8,MCDM_Settings!$D$8)=0,"n.a.",5*COUNTIF(S35:U35,"Y")/IF($D35="Unlabeled-13",MCDM_Settings!$F$8,MCDM_Settings!$D$8))</f>
        <v>1.6666666666666667</v>
      </c>
      <c r="AJ35" s="12">
        <f>IF(IF($D35="Unlabeled-13",MCDM_Settings!$F$8,MCDM_Settings!$D$8)=0,"n.a.",5*(COUNTIF(S35:U35,"Y")+COUNTIF(S35:U35,"U")+COUNTIF(S35:U35,"X"))/IF($D35="Unlabeled-13",MCDM_Settings!$F$8,MCDM_Settings!$D$8))</f>
        <v>5</v>
      </c>
      <c r="AK35" s="13">
        <f>IF(IF($D35="Unlabeled-13",MCDM_Settings!$F$8,MCDM_Settings!$D$8)=0,"n.a.",(COUNTIF(S35:U35,"Y")+COUNTIF(S35:U35,"N"))/IF($D35="Unlabeled-13",MCDM_Settings!$F$8,MCDM_Settings!$D$8))</f>
        <v>0.33333333333333331</v>
      </c>
      <c r="AL35" s="12">
        <f>IF(IF($D35="Unlabeled-13",MCDM_Settings!$F$9,MCDM_Settings!$D$9)=0,"n.a.",5*COUNTIF(V35:W35,"Y")/IF($D35="Unlabeled-13",MCDM_Settings!$F$9,MCDM_Settings!$D$9))</f>
        <v>0</v>
      </c>
      <c r="AM35" s="12">
        <f>IF(IF($D35="Unlabeled-13",MCDM_Settings!$F$9,MCDM_Settings!$D$9)=0,"n.a.",5*(COUNTIF(V35:W35,"Y")+COUNTIF(V35:W35,"U")+COUNTIF(V35:W35,"X"))/IF($D35="Unlabeled-13",MCDM_Settings!$F$9,MCDM_Settings!$D$9))</f>
        <v>5</v>
      </c>
      <c r="AN35" s="13">
        <f>IF(IF($D35="Unlabeled-13",MCDM_Settings!$F$9,MCDM_Settings!$D$9)=0,"n.a.",(COUNTIF(V35:W35,"Y")+COUNTIF(V35:W35,"N"))/IF($D35="Unlabeled-13",MCDM_Settings!$F$9,MCDM_Settings!$D$9))</f>
        <v>0</v>
      </c>
      <c r="AO35" s="12">
        <f>IF(IF($D35="Unlabeled-13",MCDM_Settings!$F$10,MCDM_Settings!$D$10)=0,"n.a.",5*COUNTIF(X35:Y35,"Y")/IF($D35="Unlabeled-13",MCDM_Settings!$F$10,MCDM_Settings!$D$10))</f>
        <v>5</v>
      </c>
      <c r="AP35" s="12">
        <f>IF(IF($D35="Unlabeled-13",MCDM_Settings!$F$10,MCDM_Settings!$D$10)=0,"n.a.",5*(COUNTIF(X35:Y35,"Y")+COUNTIF(X35:Y35,"U")+COUNTIF(X35:Y35,"X"))/IF($D35="Unlabeled-13",MCDM_Settings!$F$10,MCDM_Settings!$D$10))</f>
        <v>5</v>
      </c>
      <c r="AQ35" s="13">
        <f>IF(IF($D35="Unlabeled-13",MCDM_Settings!$F$10,MCDM_Settings!$D$10)=0,"n.a.",(COUNTIF(X35:Y35,"Y")+COUNTIF(X35:Y35,"N"))/IF($D35="Unlabeled-13",MCDM_Settings!$F$10,MCDM_Settings!$D$10))</f>
        <v>1</v>
      </c>
      <c r="AR35" s="12">
        <f>IF(IF($D35="Unlabeled-13",MCDM_Settings!$F$11,MCDM_Settings!$D$11)=0,"n.a.",5*COUNTIF(Z35:AB35,"Y")/IF($D35="Unlabeled-13",MCDM_Settings!$F$11,MCDM_Settings!$D$11))</f>
        <v>5</v>
      </c>
      <c r="AS35" s="12">
        <f>IF(IF($D35="Unlabeled-13",MCDM_Settings!$F$11,MCDM_Settings!$D$11)=0,"n.a.",5*(COUNTIF(Z35:AB35,"Y")+COUNTIF(Z35:AB35,"U")+COUNTIF(Z35:AB35,"X"))/IF($D35="Unlabeled-13",MCDM_Settings!$F$11,MCDM_Settings!$D$11))</f>
        <v>5</v>
      </c>
      <c r="AT35" s="13">
        <f>IF(IF($D35="Unlabeled-13",MCDM_Settings!$F$11,MCDM_Settings!$D$11)=0,"n.a.",(COUNTIF(Z35:AB35,"Y")+COUNTIF(Z35:AB35,"N"))/IF($D35="Unlabeled-13",MCDM_Settings!$F$11,MCDM_Settings!$D$11))</f>
        <v>1</v>
      </c>
      <c r="AU35" s="5" t="str">
        <f>IF(AND(INDEX(Manual_Review!$G$6:$G$238,MATCH(A35,Manual_Review!$A$6:$A$238,0))&lt;&gt;"",ISNUMBER(INDEX(Manual_Review!$H$6:$H$238,MATCH(A35,Manual_Review!$A$6:$A$238,0))),INDEX(Manual_Review!$H$6:$H$238,MATCH(A35,Manual_Review!$A$6:$A$238,0))&gt;0,INDEX(Manual_Review!$I$6:$I$238,MATCH(A35,Manual_Review!$A$6:$A$238,0))="Confirmed",INDEX(Manual_Review!$AF$6:$AF$238,MATCH(A35,Manual_Review!$A$6:$A$238,0))&lt;&gt;""),IF(INDEX(Manual_Review!$AA$6:$AA$238,MATCH(A35,Manual_Review!$A$6:$A$238,0))="Pass","Pass",IF(INDEX(Manual_Review!$AA$6:$AA$238,MATCH(A35,Manual_Review!$A$6:$A$238,0))="Fail","Fail","Pending")),"Pending human identity confirmation")</f>
        <v>Pending human identity confirmation</v>
      </c>
      <c r="AV35" s="5" t="str">
        <f>IF(AND(AND(INDEX(Manual_Review!$G$6:$G$238,MATCH(A35,Manual_Review!$A$6:$A$238,0))&lt;&gt;"",ISNUMBER(INDEX(Manual_Review!$H$6:$H$238,MATCH(A35,Manual_Review!$A$6:$A$238,0))),INDEX(Manual_Review!$H$6:$H$238,MATCH(A35,Manual_Review!$A$6:$A$238,0))&gt;0,INDEX(Manual_Review!$I$6:$I$238,MATCH(A35,Manual_Review!$A$6:$A$238,0))="Confirmed",INDEX(Manual_Review!$AF$6:$AF$238,MATCH(A35,Manual_Review!$A$6:$A$238,0))&lt;&gt;""),INDEX(Manual_Review!$AG$6:$AG$238,MATCH(A35,Manual_Review!$A$6:$A$238,0))&lt;&gt;""),IF(INDEX(Manual_Review!$AB$6:$AB$238,MATCH(A35,Manual_Review!$A$6:$A$238,0))="Pass","Pass",IF(INDEX(Manual_Review!$AB$6:$AB$238,MATCH(A35,Manual_Review!$A$6:$A$238,0))="Fail","Fail","Pending")),"Not assessed: define intended task")</f>
        <v>Not assessed: define intended task</v>
      </c>
      <c r="AW35" s="5" t="str">
        <f>IF(AND(AND(INDEX(Manual_Review!$G$6:$G$238,MATCH(A35,Manual_Review!$A$6:$A$238,0))&lt;&gt;"",ISNUMBER(INDEX(Manual_Review!$H$6:$H$238,MATCH(A35,Manual_Review!$A$6:$A$238,0))),INDEX(Manual_Review!$H$6:$H$238,MATCH(A35,Manual_Review!$A$6:$A$238,0))&gt;0,INDEX(Manual_Review!$I$6:$I$238,MATCH(A35,Manual_Review!$A$6:$A$238,0))="Confirmed",INDEX(Manual_Review!$AF$6:$AF$238,MATCH(A35,Manual_Review!$A$6:$A$238,0))&lt;&gt;""),INDEX(Manual_Review!$AG$6:$AG$238,MATCH(A35,Manual_Review!$A$6:$A$238,0))&lt;&gt;""),IF(OR(INDEX(Manual_Review!$AC$6:$AC$238,MATCH(A35,Manual_Review!$A$6:$A$238,0))="Fail",INDEX(Manual_Review!$AD$6:$AD$238,MATCH(A35,Manual_Review!$A$6:$A$238,0))="Fail"),"Fail: rights or retrieval",IF(AND(INDEX(Manual_Review!$AC$6:$AC$238,MATCH(A35,Manual_Review!$A$6:$A$238,0))="Pass",INDEX(Manual_Review!$AD$6:$AD$238,MATCH(A35,Manual_Review!$A$6:$A$238,0))="Pass"),"Pass","Pending rights and retrieval")),"Pending rights and retrieval")</f>
        <v>Pending rights and retrieval</v>
      </c>
      <c r="AX35" s="5" t="str">
        <f>IF(INDEX(Manual_Review!$AG$6:$AG$238,MATCH(A35,Manual_Review!$A$6:$A$238,0))="","N/A: documentation inventory",IF(AND(INDEX(Manual_Review!$G$6:$G$238,MATCH(A35,Manual_Review!$A$6:$A$238,0))&lt;&gt;"",ISNUMBER(INDEX(Manual_Review!$H$6:$H$238,MATCH(A35,Manual_Review!$A$6:$A$238,0))),INDEX(Manual_Review!$H$6:$H$238,MATCH(A35,Manual_Review!$A$6:$A$238,0))&gt;0,INDEX(Manual_Review!$I$6:$I$238,MATCH(A35,Manual_Review!$A$6:$A$238,0))="Confirmed",INDEX(Manual_Review!$AF$6:$AF$238,MATCH(A35,Manual_Review!$A$6:$A$238,0))&lt;&gt;""),IF(INDEX(Manual_Review!$AE$6:$AE$238,MATCH(A35,Manual_Review!$A$6:$A$238,0))="Pass","Pass",IF(INDEX(Manual_Review!$AE$6:$AE$238,MATCH(A35,Manual_Review!$A$6:$A$238,0))="Fail","Fail: benchmark leakage",IF(INDEX(Manual_Review!$AE$6:$AE$238,MATCH(A35,Manual_Review!$A$6:$A$238,0))="N/A","N/A: nonbenchmark task","Pending task-specific leakage check"))),"Pending task-specific leakage check"))</f>
        <v>N/A: documentation inventory</v>
      </c>
      <c r="AY35" s="5" t="str">
        <f>IF(IF(D35="Unlabeled-13",AND(ABS(MCDM_Settings!$D$14-1)&lt;0.0000001,MIN(MCDM_Settings!$E$6:$E$11)&gt;=0,MCDM_Settings!$E$7=0),AND(ABS(MCDM_Settings!$B$14-1)&lt;0.0000001,MIN(MCDM_Settings!$C$6:$C$11)&gt;=0)),"Valid","Check weights")</f>
        <v>Valid</v>
      </c>
      <c r="AZ35" s="5" t="str">
        <f>IF(AND(COUNTIF(MCDM_Checks!$B$6:$B$3733,A35)=16,COUNTIF(Manual_Review!$A$6:$A$238,A35)=1),"16 keys present","Check key count")</f>
        <v>16 keys present</v>
      </c>
    </row>
    <row r="36" spans="1:52">
      <c r="A36" s="5" t="s">
        <v>461</v>
      </c>
      <c r="B36" s="5" t="s">
        <v>462</v>
      </c>
      <c r="C36" s="5"/>
      <c r="D36" s="5" t="s">
        <v>118</v>
      </c>
      <c r="E36" s="12">
        <f>IF(OR(AY36&lt;&gt;"Valid",AZ36&lt;&gt;"16 keys present"),"Review settings",20*(IF(ISNUMBER(AC36),AC36*IF($D36="Unlabeled-13",MCDM_Settings!$E$6,MCDM_Settings!$C$6),0)+IF(ISNUMBER(AF36),AF36*IF($D36="Unlabeled-13",MCDM_Settings!$E$7,MCDM_Settings!$C$7),0)+IF(ISNUMBER(AI36),AI36*IF($D36="Unlabeled-13",MCDM_Settings!$E$8,MCDM_Settings!$C$8),0)+IF(ISNUMBER(AL36),AL36*IF($D36="Unlabeled-13",MCDM_Settings!$E$9,MCDM_Settings!$C$9),0)+IF(ISNUMBER(AO36),AO36*IF($D36="Unlabeled-13",MCDM_Settings!$E$10,MCDM_Settings!$C$10),0)+IF(ISNUMBER(AR36),AR36*IF($D36="Unlabeled-13",MCDM_Settings!$E$11,MCDM_Settings!$C$11),0)))</f>
        <v>41.666666666666657</v>
      </c>
      <c r="F36" s="12">
        <f>IF(OR(AY36&lt;&gt;"Valid",AZ36&lt;&gt;"16 keys present"),"Review settings",20*(IF(ISNUMBER(AD36),AD36*IF($D36="Unlabeled-13",MCDM_Settings!$E$6,MCDM_Settings!$C$6),0)+IF(ISNUMBER(AG36),AG36*IF($D36="Unlabeled-13",MCDM_Settings!$E$7,MCDM_Settings!$C$7),0)+IF(ISNUMBER(AJ36),AJ36*IF($D36="Unlabeled-13",MCDM_Settings!$E$8,MCDM_Settings!$C$8),0)+IF(ISNUMBER(AM36),AM36*IF($D36="Unlabeled-13",MCDM_Settings!$E$9,MCDM_Settings!$C$9),0)+IF(ISNUMBER(AP36),AP36*IF($D36="Unlabeled-13",MCDM_Settings!$E$10,MCDM_Settings!$C$10),0)+IF(ISNUMBER(AS36),AS36*IF($D36="Unlabeled-13",MCDM_Settings!$E$11,MCDM_Settings!$C$11),0)))</f>
        <v>99.999999999999986</v>
      </c>
      <c r="G36" s="13">
        <f>IF(OR(AY36&lt;&gt;"Valid",AZ36&lt;&gt;"16 keys present"),"Review settings",1*(IF(ISNUMBER(AE36),AE36*IF($D36="Unlabeled-13",MCDM_Settings!$E$6,MCDM_Settings!$C$6),0)+IF(ISNUMBER(AH36),AH36*IF($D36="Unlabeled-13",MCDM_Settings!$E$7,MCDM_Settings!$C$7),0)+IF(ISNUMBER(AK36),AK36*IF($D36="Unlabeled-13",MCDM_Settings!$E$8,MCDM_Settings!$C$8),0)+IF(ISNUMBER(AN36),AN36*IF($D36="Unlabeled-13",MCDM_Settings!$E$9,MCDM_Settings!$C$9),0)+IF(ISNUMBER(AQ36),AQ36*IF($D36="Unlabeled-13",MCDM_Settings!$E$10,MCDM_Settings!$C$10),0)+IF(ISNUMBER(AT36),AT36*IF($D36="Unlabeled-13",MCDM_Settings!$E$11,MCDM_Settings!$C$11),0)))</f>
        <v>0.41666666666666663</v>
      </c>
      <c r="H36" s="5" t="str">
        <f>INDEX(Manual_Review!$AH$6:$AH$238,MATCH(A36,Manual_Review!$A$6:$A$238,0))</f>
        <v>Not started</v>
      </c>
      <c r="I36" s="5" t="s">
        <v>128</v>
      </c>
      <c r="J36" s="5" t="s">
        <v>121</v>
      </c>
      <c r="K36" s="5" t="str">
        <f>HYPERLINK("https://github.com/jaygala24/pothole-detection","Dataset")</f>
        <v>Dataset</v>
      </c>
      <c r="L36" s="5" t="str">
        <f>HYPERLINK("#'Manual_Review'!A"&amp;(MATCH("DS-031",Manual_Review!$A$6:$A$238,0)+5),"Enter review")</f>
        <v>Enter review</v>
      </c>
      <c r="M36" s="5" t="str">
        <f>INDEX(MCDM_Checks!$K$6:$K$3733,MATCH(A36&amp;"|"&amp;M$5,MCDM_Checks!$A$6:$A$3733,0))</f>
        <v>Y</v>
      </c>
      <c r="N36" s="5" t="str">
        <f>INDEX(MCDM_Checks!$K$6:$K$3733,MATCH(A36&amp;"|"&amp;N$5,MCDM_Checks!$A$6:$A$3733,0))</f>
        <v>Y</v>
      </c>
      <c r="O36" s="5" t="str">
        <f>INDEX(MCDM_Checks!$K$6:$K$3733,MATCH(A36&amp;"|"&amp;O$5,MCDM_Checks!$A$6:$A$3733,0))</f>
        <v>U</v>
      </c>
      <c r="P36" s="5" t="str">
        <f>INDEX(MCDM_Checks!$K$6:$K$3733,MATCH(A36&amp;"|"&amp;P$5,MCDM_Checks!$A$6:$A$3733,0))</f>
        <v>Y</v>
      </c>
      <c r="Q36" s="5" t="str">
        <f>INDEX(MCDM_Checks!$K$6:$K$3733,MATCH(A36&amp;"|"&amp;Q$5,MCDM_Checks!$A$6:$A$3733,0))</f>
        <v>Y</v>
      </c>
      <c r="R36" s="5" t="str">
        <f>INDEX(MCDM_Checks!$K$6:$K$3733,MATCH(A36&amp;"|"&amp;R$5,MCDM_Checks!$A$6:$A$3733,0))</f>
        <v>U</v>
      </c>
      <c r="S36" s="5" t="str">
        <f>INDEX(MCDM_Checks!$K$6:$K$3733,MATCH(A36&amp;"|"&amp;S$5,MCDM_Checks!$A$6:$A$3733,0))</f>
        <v>U</v>
      </c>
      <c r="T36" s="5" t="str">
        <f>INDEX(MCDM_Checks!$K$6:$K$3733,MATCH(A36&amp;"|"&amp;T$5,MCDM_Checks!$A$6:$A$3733,0))</f>
        <v>Y</v>
      </c>
      <c r="U36" s="5" t="str">
        <f>INDEX(MCDM_Checks!$K$6:$K$3733,MATCH(A36&amp;"|"&amp;U$5,MCDM_Checks!$A$6:$A$3733,0))</f>
        <v>U</v>
      </c>
      <c r="V36" s="5" t="str">
        <f>INDEX(MCDM_Checks!$K$6:$K$3733,MATCH(A36&amp;"|"&amp;V$5,MCDM_Checks!$A$6:$A$3733,0))</f>
        <v>Y</v>
      </c>
      <c r="W36" s="5" t="str">
        <f>INDEX(MCDM_Checks!$K$6:$K$3733,MATCH(A36&amp;"|"&amp;W$5,MCDM_Checks!$A$6:$A$3733,0))</f>
        <v>U</v>
      </c>
      <c r="X36" s="5" t="str">
        <f>INDEX(MCDM_Checks!$K$6:$K$3733,MATCH(A36&amp;"|"&amp;X$5,MCDM_Checks!$A$6:$A$3733,0))</f>
        <v>U</v>
      </c>
      <c r="Y36" s="5" t="str">
        <f>INDEX(MCDM_Checks!$K$6:$K$3733,MATCH(A36&amp;"|"&amp;Y$5,MCDM_Checks!$A$6:$A$3733,0))</f>
        <v>U</v>
      </c>
      <c r="Z36" s="5" t="str">
        <f>INDEX(MCDM_Checks!$K$6:$K$3733,MATCH(A36&amp;"|"&amp;Z$5,MCDM_Checks!$A$6:$A$3733,0))</f>
        <v>Y</v>
      </c>
      <c r="AA36" s="5" t="str">
        <f>INDEX(MCDM_Checks!$K$6:$K$3733,MATCH(A36&amp;"|"&amp;AA$5,MCDM_Checks!$A$6:$A$3733,0))</f>
        <v>U</v>
      </c>
      <c r="AB36" s="5" t="str">
        <f>INDEX(MCDM_Checks!$K$6:$K$3733,MATCH(A36&amp;"|"&amp;AB$5,MCDM_Checks!$A$6:$A$3733,0))</f>
        <v>U</v>
      </c>
      <c r="AC36" s="12">
        <f>IF(IF($D36="Unlabeled-13",MCDM_Settings!$F$6,MCDM_Settings!$D$6)=0,"n.a.",5*COUNTIF(M36:O36,"Y")/IF($D36="Unlabeled-13",MCDM_Settings!$F$6,MCDM_Settings!$D$6))</f>
        <v>3.3333333333333335</v>
      </c>
      <c r="AD36" s="12">
        <f>IF(IF($D36="Unlabeled-13",MCDM_Settings!$F$6,MCDM_Settings!$D$6)=0,"n.a.",5*(COUNTIF(M36:O36,"Y")+COUNTIF(M36:O36,"U")+COUNTIF(M36:O36,"X"))/IF($D36="Unlabeled-13",MCDM_Settings!$F$6,MCDM_Settings!$D$6))</f>
        <v>5</v>
      </c>
      <c r="AE36" s="13">
        <f>IF(IF($D36="Unlabeled-13",MCDM_Settings!$F$6,MCDM_Settings!$D$6)=0,"n.a.",(COUNTIF(M36:O36,"Y")+COUNTIF(M36:O36,"N"))/IF($D36="Unlabeled-13",MCDM_Settings!$F$6,MCDM_Settings!$D$6))</f>
        <v>0.66666666666666663</v>
      </c>
      <c r="AF36" s="12">
        <f>IF(IF($D36="Unlabeled-13",MCDM_Settings!$F$7,MCDM_Settings!$D$7)=0,"n.a.",5*COUNTIF(P36:R36,"Y")/IF($D36="Unlabeled-13",MCDM_Settings!$F$7,MCDM_Settings!$D$7))</f>
        <v>3.3333333333333335</v>
      </c>
      <c r="AG36" s="12">
        <f>IF(IF($D36="Unlabeled-13",MCDM_Settings!$F$7,MCDM_Settings!$D$7)=0,"n.a.",5*(COUNTIF(P36:R36,"Y")+COUNTIF(P36:R36,"U")+COUNTIF(P36:R36,"X"))/IF($D36="Unlabeled-13",MCDM_Settings!$F$7,MCDM_Settings!$D$7))</f>
        <v>5</v>
      </c>
      <c r="AH36" s="13">
        <f>IF(IF($D36="Unlabeled-13",MCDM_Settings!$F$7,MCDM_Settings!$D$7)=0,"n.a.",(COUNTIF(P36:R36,"Y")+COUNTIF(P36:R36,"N"))/IF($D36="Unlabeled-13",MCDM_Settings!$F$7,MCDM_Settings!$D$7))</f>
        <v>0.66666666666666663</v>
      </c>
      <c r="AI36" s="12">
        <f>IF(IF($D36="Unlabeled-13",MCDM_Settings!$F$8,MCDM_Settings!$D$8)=0,"n.a.",5*COUNTIF(S36:U36,"Y")/IF($D36="Unlabeled-13",MCDM_Settings!$F$8,MCDM_Settings!$D$8))</f>
        <v>1.6666666666666667</v>
      </c>
      <c r="AJ36" s="12">
        <f>IF(IF($D36="Unlabeled-13",MCDM_Settings!$F$8,MCDM_Settings!$D$8)=0,"n.a.",5*(COUNTIF(S36:U36,"Y")+COUNTIF(S36:U36,"U")+COUNTIF(S36:U36,"X"))/IF($D36="Unlabeled-13",MCDM_Settings!$F$8,MCDM_Settings!$D$8))</f>
        <v>5</v>
      </c>
      <c r="AK36" s="13">
        <f>IF(IF($D36="Unlabeled-13",MCDM_Settings!$F$8,MCDM_Settings!$D$8)=0,"n.a.",(COUNTIF(S36:U36,"Y")+COUNTIF(S36:U36,"N"))/IF($D36="Unlabeled-13",MCDM_Settings!$F$8,MCDM_Settings!$D$8))</f>
        <v>0.33333333333333331</v>
      </c>
      <c r="AL36" s="12">
        <f>IF(IF($D36="Unlabeled-13",MCDM_Settings!$F$9,MCDM_Settings!$D$9)=0,"n.a.",5*COUNTIF(V36:W36,"Y")/IF($D36="Unlabeled-13",MCDM_Settings!$F$9,MCDM_Settings!$D$9))</f>
        <v>2.5</v>
      </c>
      <c r="AM36" s="12">
        <f>IF(IF($D36="Unlabeled-13",MCDM_Settings!$F$9,MCDM_Settings!$D$9)=0,"n.a.",5*(COUNTIF(V36:W36,"Y")+COUNTIF(V36:W36,"U")+COUNTIF(V36:W36,"X"))/IF($D36="Unlabeled-13",MCDM_Settings!$F$9,MCDM_Settings!$D$9))</f>
        <v>5</v>
      </c>
      <c r="AN36" s="13">
        <f>IF(IF($D36="Unlabeled-13",MCDM_Settings!$F$9,MCDM_Settings!$D$9)=0,"n.a.",(COUNTIF(V36:W36,"Y")+COUNTIF(V36:W36,"N"))/IF($D36="Unlabeled-13",MCDM_Settings!$F$9,MCDM_Settings!$D$9))</f>
        <v>0.5</v>
      </c>
      <c r="AO36" s="12">
        <f>IF(IF($D36="Unlabeled-13",MCDM_Settings!$F$10,MCDM_Settings!$D$10)=0,"n.a.",5*COUNTIF(X36:Y36,"Y")/IF($D36="Unlabeled-13",MCDM_Settings!$F$10,MCDM_Settings!$D$10))</f>
        <v>0</v>
      </c>
      <c r="AP36" s="12">
        <f>IF(IF($D36="Unlabeled-13",MCDM_Settings!$F$10,MCDM_Settings!$D$10)=0,"n.a.",5*(COUNTIF(X36:Y36,"Y")+COUNTIF(X36:Y36,"U")+COUNTIF(X36:Y36,"X"))/IF($D36="Unlabeled-13",MCDM_Settings!$F$10,MCDM_Settings!$D$10))</f>
        <v>5</v>
      </c>
      <c r="AQ36" s="13">
        <f>IF(IF($D36="Unlabeled-13",MCDM_Settings!$F$10,MCDM_Settings!$D$10)=0,"n.a.",(COUNTIF(X36:Y36,"Y")+COUNTIF(X36:Y36,"N"))/IF($D36="Unlabeled-13",MCDM_Settings!$F$10,MCDM_Settings!$D$10))</f>
        <v>0</v>
      </c>
      <c r="AR36" s="12">
        <f>IF(IF($D36="Unlabeled-13",MCDM_Settings!$F$11,MCDM_Settings!$D$11)=0,"n.a.",5*COUNTIF(Z36:AB36,"Y")/IF($D36="Unlabeled-13",MCDM_Settings!$F$11,MCDM_Settings!$D$11))</f>
        <v>1.6666666666666667</v>
      </c>
      <c r="AS36" s="12">
        <f>IF(IF($D36="Unlabeled-13",MCDM_Settings!$F$11,MCDM_Settings!$D$11)=0,"n.a.",5*(COUNTIF(Z36:AB36,"Y")+COUNTIF(Z36:AB36,"U")+COUNTIF(Z36:AB36,"X"))/IF($D36="Unlabeled-13",MCDM_Settings!$F$11,MCDM_Settings!$D$11))</f>
        <v>5</v>
      </c>
      <c r="AT36" s="13">
        <f>IF(IF($D36="Unlabeled-13",MCDM_Settings!$F$11,MCDM_Settings!$D$11)=0,"n.a.",(COUNTIF(Z36:AB36,"Y")+COUNTIF(Z36:AB36,"N"))/IF($D36="Unlabeled-13",MCDM_Settings!$F$11,MCDM_Settings!$D$11))</f>
        <v>0.33333333333333331</v>
      </c>
      <c r="AU36" s="5" t="str">
        <f>IF(AND(INDEX(Manual_Review!$G$6:$G$238,MATCH(A36,Manual_Review!$A$6:$A$238,0))&lt;&gt;"",ISNUMBER(INDEX(Manual_Review!$H$6:$H$238,MATCH(A36,Manual_Review!$A$6:$A$238,0))),INDEX(Manual_Review!$H$6:$H$238,MATCH(A36,Manual_Review!$A$6:$A$238,0))&gt;0,INDEX(Manual_Review!$I$6:$I$238,MATCH(A36,Manual_Review!$A$6:$A$238,0))="Confirmed",INDEX(Manual_Review!$AF$6:$AF$238,MATCH(A36,Manual_Review!$A$6:$A$238,0))&lt;&gt;""),IF(INDEX(Manual_Review!$AA$6:$AA$238,MATCH(A36,Manual_Review!$A$6:$A$238,0))="Pass","Pass",IF(INDEX(Manual_Review!$AA$6:$AA$238,MATCH(A36,Manual_Review!$A$6:$A$238,0))="Fail","Fail","Pending")),"Pending human identity confirmation")</f>
        <v>Pending human identity confirmation</v>
      </c>
      <c r="AV36" s="5" t="str">
        <f>IF(AND(AND(INDEX(Manual_Review!$G$6:$G$238,MATCH(A36,Manual_Review!$A$6:$A$238,0))&lt;&gt;"",ISNUMBER(INDEX(Manual_Review!$H$6:$H$238,MATCH(A36,Manual_Review!$A$6:$A$238,0))),INDEX(Manual_Review!$H$6:$H$238,MATCH(A36,Manual_Review!$A$6:$A$238,0))&gt;0,INDEX(Manual_Review!$I$6:$I$238,MATCH(A36,Manual_Review!$A$6:$A$238,0))="Confirmed",INDEX(Manual_Review!$AF$6:$AF$238,MATCH(A36,Manual_Review!$A$6:$A$238,0))&lt;&gt;""),INDEX(Manual_Review!$AG$6:$AG$238,MATCH(A36,Manual_Review!$A$6:$A$238,0))&lt;&gt;""),IF(INDEX(Manual_Review!$AB$6:$AB$238,MATCH(A36,Manual_Review!$A$6:$A$238,0))="Pass","Pass",IF(INDEX(Manual_Review!$AB$6:$AB$238,MATCH(A36,Manual_Review!$A$6:$A$238,0))="Fail","Fail","Pending")),"Not assessed: define intended task")</f>
        <v>Not assessed: define intended task</v>
      </c>
      <c r="AW36" s="5" t="str">
        <f>IF(AND(AND(INDEX(Manual_Review!$G$6:$G$238,MATCH(A36,Manual_Review!$A$6:$A$238,0))&lt;&gt;"",ISNUMBER(INDEX(Manual_Review!$H$6:$H$238,MATCH(A36,Manual_Review!$A$6:$A$238,0))),INDEX(Manual_Review!$H$6:$H$238,MATCH(A36,Manual_Review!$A$6:$A$238,0))&gt;0,INDEX(Manual_Review!$I$6:$I$238,MATCH(A36,Manual_Review!$A$6:$A$238,0))="Confirmed",INDEX(Manual_Review!$AF$6:$AF$238,MATCH(A36,Manual_Review!$A$6:$A$238,0))&lt;&gt;""),INDEX(Manual_Review!$AG$6:$AG$238,MATCH(A36,Manual_Review!$A$6:$A$238,0))&lt;&gt;""),IF(OR(INDEX(Manual_Review!$AC$6:$AC$238,MATCH(A36,Manual_Review!$A$6:$A$238,0))="Fail",INDEX(Manual_Review!$AD$6:$AD$238,MATCH(A36,Manual_Review!$A$6:$A$238,0))="Fail"),"Fail: rights or retrieval",IF(AND(INDEX(Manual_Review!$AC$6:$AC$238,MATCH(A36,Manual_Review!$A$6:$A$238,0))="Pass",INDEX(Manual_Review!$AD$6:$AD$238,MATCH(A36,Manual_Review!$A$6:$A$238,0))="Pass"),"Pass","Pending rights and retrieval")),"Pending rights and retrieval")</f>
        <v>Pending rights and retrieval</v>
      </c>
      <c r="AX36" s="5" t="str">
        <f>IF(INDEX(Manual_Review!$AG$6:$AG$238,MATCH(A36,Manual_Review!$A$6:$A$238,0))="","N/A: documentation inventory",IF(AND(INDEX(Manual_Review!$G$6:$G$238,MATCH(A36,Manual_Review!$A$6:$A$238,0))&lt;&gt;"",ISNUMBER(INDEX(Manual_Review!$H$6:$H$238,MATCH(A36,Manual_Review!$A$6:$A$238,0))),INDEX(Manual_Review!$H$6:$H$238,MATCH(A36,Manual_Review!$A$6:$A$238,0))&gt;0,INDEX(Manual_Review!$I$6:$I$238,MATCH(A36,Manual_Review!$A$6:$A$238,0))="Confirmed",INDEX(Manual_Review!$AF$6:$AF$238,MATCH(A36,Manual_Review!$A$6:$A$238,0))&lt;&gt;""),IF(INDEX(Manual_Review!$AE$6:$AE$238,MATCH(A36,Manual_Review!$A$6:$A$238,0))="Pass","Pass",IF(INDEX(Manual_Review!$AE$6:$AE$238,MATCH(A36,Manual_Review!$A$6:$A$238,0))="Fail","Fail: benchmark leakage",IF(INDEX(Manual_Review!$AE$6:$AE$238,MATCH(A36,Manual_Review!$A$6:$A$238,0))="N/A","N/A: nonbenchmark task","Pending task-specific leakage check"))),"Pending task-specific leakage check"))</f>
        <v>N/A: documentation inventory</v>
      </c>
      <c r="AY36" s="5" t="str">
        <f>IF(IF(D36="Unlabeled-13",AND(ABS(MCDM_Settings!$D$14-1)&lt;0.0000001,MIN(MCDM_Settings!$E$6:$E$11)&gt;=0,MCDM_Settings!$E$7=0),AND(ABS(MCDM_Settings!$B$14-1)&lt;0.0000001,MIN(MCDM_Settings!$C$6:$C$11)&gt;=0)),"Valid","Check weights")</f>
        <v>Valid</v>
      </c>
      <c r="AZ36" s="5" t="str">
        <f>IF(AND(COUNTIF(MCDM_Checks!$B$6:$B$3733,A36)=16,COUNTIF(Manual_Review!$A$6:$A$238,A36)=1),"16 keys present","Check key count")</f>
        <v>16 keys present</v>
      </c>
    </row>
    <row r="37" spans="1:52" ht="25.5">
      <c r="A37" s="5" t="s">
        <v>470</v>
      </c>
      <c r="B37" s="5" t="s">
        <v>471</v>
      </c>
      <c r="C37" s="5"/>
      <c r="D37" s="5" t="s">
        <v>118</v>
      </c>
      <c r="E37" s="12">
        <f>IF(OR(AY37&lt;&gt;"Valid",AZ37&lt;&gt;"16 keys present"),"Review settings",20*(IF(ISNUMBER(AC37),AC37*IF($D37="Unlabeled-13",MCDM_Settings!$E$6,MCDM_Settings!$C$6),0)+IF(ISNUMBER(AF37),AF37*IF($D37="Unlabeled-13",MCDM_Settings!$E$7,MCDM_Settings!$C$7),0)+IF(ISNUMBER(AI37),AI37*IF($D37="Unlabeled-13",MCDM_Settings!$E$8,MCDM_Settings!$C$8),0)+IF(ISNUMBER(AL37),AL37*IF($D37="Unlabeled-13",MCDM_Settings!$E$9,MCDM_Settings!$C$9),0)+IF(ISNUMBER(AO37),AO37*IF($D37="Unlabeled-13",MCDM_Settings!$E$10,MCDM_Settings!$C$10),0)+IF(ISNUMBER(AR37),AR37*IF($D37="Unlabeled-13",MCDM_Settings!$E$11,MCDM_Settings!$C$11),0)))</f>
        <v>58.333333333333343</v>
      </c>
      <c r="F37" s="12">
        <f>IF(OR(AY37&lt;&gt;"Valid",AZ37&lt;&gt;"16 keys present"),"Review settings",20*(IF(ISNUMBER(AD37),AD37*IF($D37="Unlabeled-13",MCDM_Settings!$E$6,MCDM_Settings!$C$6),0)+IF(ISNUMBER(AG37),AG37*IF($D37="Unlabeled-13",MCDM_Settings!$E$7,MCDM_Settings!$C$7),0)+IF(ISNUMBER(AJ37),AJ37*IF($D37="Unlabeled-13",MCDM_Settings!$E$8,MCDM_Settings!$C$8),0)+IF(ISNUMBER(AM37),AM37*IF($D37="Unlabeled-13",MCDM_Settings!$E$9,MCDM_Settings!$C$9),0)+IF(ISNUMBER(AP37),AP37*IF($D37="Unlabeled-13",MCDM_Settings!$E$10,MCDM_Settings!$C$10),0)+IF(ISNUMBER(AS37),AS37*IF($D37="Unlabeled-13",MCDM_Settings!$E$11,MCDM_Settings!$C$11),0)))</f>
        <v>99.999999999999986</v>
      </c>
      <c r="G37" s="13">
        <f>IF(OR(AY37&lt;&gt;"Valid",AZ37&lt;&gt;"16 keys present"),"Review settings",1*(IF(ISNUMBER(AE37),AE37*IF($D37="Unlabeled-13",MCDM_Settings!$E$6,MCDM_Settings!$C$6),0)+IF(ISNUMBER(AH37),AH37*IF($D37="Unlabeled-13",MCDM_Settings!$E$7,MCDM_Settings!$C$7),0)+IF(ISNUMBER(AK37),AK37*IF($D37="Unlabeled-13",MCDM_Settings!$E$8,MCDM_Settings!$C$8),0)+IF(ISNUMBER(AN37),AN37*IF($D37="Unlabeled-13",MCDM_Settings!$E$9,MCDM_Settings!$C$9),0)+IF(ISNUMBER(AQ37),AQ37*IF($D37="Unlabeled-13",MCDM_Settings!$E$10,MCDM_Settings!$C$10),0)+IF(ISNUMBER(AT37),AT37*IF($D37="Unlabeled-13",MCDM_Settings!$E$11,MCDM_Settings!$C$11),0)))</f>
        <v>0.58333333333333326</v>
      </c>
      <c r="H37" s="5" t="str">
        <f>INDEX(Manual_Review!$AH$6:$AH$238,MATCH(A37,Manual_Review!$A$6:$A$238,0))</f>
        <v>Not started</v>
      </c>
      <c r="I37" s="5" t="s">
        <v>182</v>
      </c>
      <c r="J37" s="5" t="s">
        <v>472</v>
      </c>
      <c r="K37" s="5" t="str">
        <f>HYPERLINK("https://github.com/moatifbutt/r2s100k","Dataset")</f>
        <v>Dataset</v>
      </c>
      <c r="L37" s="5" t="str">
        <f>HYPERLINK("#'Manual_Review'!A"&amp;(MATCH("DS-032",Manual_Review!$A$6:$A$238,0)+5),"Enter review")</f>
        <v>Enter review</v>
      </c>
      <c r="M37" s="5" t="str">
        <f>INDEX(MCDM_Checks!$K$6:$K$3733,MATCH(A37&amp;"|"&amp;M$5,MCDM_Checks!$A$6:$A$3733,0))</f>
        <v>Y</v>
      </c>
      <c r="N37" s="5" t="str">
        <f>INDEX(MCDM_Checks!$K$6:$K$3733,MATCH(A37&amp;"|"&amp;N$5,MCDM_Checks!$A$6:$A$3733,0))</f>
        <v>U</v>
      </c>
      <c r="O37" s="5" t="str">
        <f>INDEX(MCDM_Checks!$K$6:$K$3733,MATCH(A37&amp;"|"&amp;O$5,MCDM_Checks!$A$6:$A$3733,0))</f>
        <v>U</v>
      </c>
      <c r="P37" s="5" t="str">
        <f>INDEX(MCDM_Checks!$K$6:$K$3733,MATCH(A37&amp;"|"&amp;P$5,MCDM_Checks!$A$6:$A$3733,0))</f>
        <v>Y</v>
      </c>
      <c r="Q37" s="5" t="str">
        <f>INDEX(MCDM_Checks!$K$6:$K$3733,MATCH(A37&amp;"|"&amp;Q$5,MCDM_Checks!$A$6:$A$3733,0))</f>
        <v>U</v>
      </c>
      <c r="R37" s="5" t="str">
        <f>INDEX(MCDM_Checks!$K$6:$K$3733,MATCH(A37&amp;"|"&amp;R$5,MCDM_Checks!$A$6:$A$3733,0))</f>
        <v>U</v>
      </c>
      <c r="S37" s="5" t="str">
        <f>INDEX(MCDM_Checks!$K$6:$K$3733,MATCH(A37&amp;"|"&amp;S$5,MCDM_Checks!$A$6:$A$3733,0))</f>
        <v>U</v>
      </c>
      <c r="T37" s="5" t="str">
        <f>INDEX(MCDM_Checks!$K$6:$K$3733,MATCH(A37&amp;"|"&amp;T$5,MCDM_Checks!$A$6:$A$3733,0))</f>
        <v>Y</v>
      </c>
      <c r="U37" s="5" t="str">
        <f>INDEX(MCDM_Checks!$K$6:$K$3733,MATCH(A37&amp;"|"&amp;U$5,MCDM_Checks!$A$6:$A$3733,0))</f>
        <v>Y</v>
      </c>
      <c r="V37" s="5" t="str">
        <f>INDEX(MCDM_Checks!$K$6:$K$3733,MATCH(A37&amp;"|"&amp;V$5,MCDM_Checks!$A$6:$A$3733,0))</f>
        <v>Y</v>
      </c>
      <c r="W37" s="5" t="str">
        <f>INDEX(MCDM_Checks!$K$6:$K$3733,MATCH(A37&amp;"|"&amp;W$5,MCDM_Checks!$A$6:$A$3733,0))</f>
        <v>Y</v>
      </c>
      <c r="X37" s="5" t="str">
        <f>INDEX(MCDM_Checks!$K$6:$K$3733,MATCH(A37&amp;"|"&amp;X$5,MCDM_Checks!$A$6:$A$3733,0))</f>
        <v>U</v>
      </c>
      <c r="Y37" s="5" t="str">
        <f>INDEX(MCDM_Checks!$K$6:$K$3733,MATCH(A37&amp;"|"&amp;Y$5,MCDM_Checks!$A$6:$A$3733,0))</f>
        <v>Y</v>
      </c>
      <c r="Z37" s="5" t="str">
        <f>INDEX(MCDM_Checks!$K$6:$K$3733,MATCH(A37&amp;"|"&amp;Z$5,MCDM_Checks!$A$6:$A$3733,0))</f>
        <v>Y</v>
      </c>
      <c r="AA37" s="5" t="str">
        <f>INDEX(MCDM_Checks!$K$6:$K$3733,MATCH(A37&amp;"|"&amp;AA$5,MCDM_Checks!$A$6:$A$3733,0))</f>
        <v>U</v>
      </c>
      <c r="AB37" s="5" t="str">
        <f>INDEX(MCDM_Checks!$K$6:$K$3733,MATCH(A37&amp;"|"&amp;AB$5,MCDM_Checks!$A$6:$A$3733,0))</f>
        <v>Y</v>
      </c>
      <c r="AC37" s="12">
        <f>IF(IF($D37="Unlabeled-13",MCDM_Settings!$F$6,MCDM_Settings!$D$6)=0,"n.a.",5*COUNTIF(M37:O37,"Y")/IF($D37="Unlabeled-13",MCDM_Settings!$F$6,MCDM_Settings!$D$6))</f>
        <v>1.6666666666666667</v>
      </c>
      <c r="AD37" s="12">
        <f>IF(IF($D37="Unlabeled-13",MCDM_Settings!$F$6,MCDM_Settings!$D$6)=0,"n.a.",5*(COUNTIF(M37:O37,"Y")+COUNTIF(M37:O37,"U")+COUNTIF(M37:O37,"X"))/IF($D37="Unlabeled-13",MCDM_Settings!$F$6,MCDM_Settings!$D$6))</f>
        <v>5</v>
      </c>
      <c r="AE37" s="13">
        <f>IF(IF($D37="Unlabeled-13",MCDM_Settings!$F$6,MCDM_Settings!$D$6)=0,"n.a.",(COUNTIF(M37:O37,"Y")+COUNTIF(M37:O37,"N"))/IF($D37="Unlabeled-13",MCDM_Settings!$F$6,MCDM_Settings!$D$6))</f>
        <v>0.33333333333333331</v>
      </c>
      <c r="AF37" s="12">
        <f>IF(IF($D37="Unlabeled-13",MCDM_Settings!$F$7,MCDM_Settings!$D$7)=0,"n.a.",5*COUNTIF(P37:R37,"Y")/IF($D37="Unlabeled-13",MCDM_Settings!$F$7,MCDM_Settings!$D$7))</f>
        <v>1.6666666666666667</v>
      </c>
      <c r="AG37" s="12">
        <f>IF(IF($D37="Unlabeled-13",MCDM_Settings!$F$7,MCDM_Settings!$D$7)=0,"n.a.",5*(COUNTIF(P37:R37,"Y")+COUNTIF(P37:R37,"U")+COUNTIF(P37:R37,"X"))/IF($D37="Unlabeled-13",MCDM_Settings!$F$7,MCDM_Settings!$D$7))</f>
        <v>5</v>
      </c>
      <c r="AH37" s="13">
        <f>IF(IF($D37="Unlabeled-13",MCDM_Settings!$F$7,MCDM_Settings!$D$7)=0,"n.a.",(COUNTIF(P37:R37,"Y")+COUNTIF(P37:R37,"N"))/IF($D37="Unlabeled-13",MCDM_Settings!$F$7,MCDM_Settings!$D$7))</f>
        <v>0.33333333333333331</v>
      </c>
      <c r="AI37" s="12">
        <f>IF(IF($D37="Unlabeled-13",MCDM_Settings!$F$8,MCDM_Settings!$D$8)=0,"n.a.",5*COUNTIF(S37:U37,"Y")/IF($D37="Unlabeled-13",MCDM_Settings!$F$8,MCDM_Settings!$D$8))</f>
        <v>3.3333333333333335</v>
      </c>
      <c r="AJ37" s="12">
        <f>IF(IF($D37="Unlabeled-13",MCDM_Settings!$F$8,MCDM_Settings!$D$8)=0,"n.a.",5*(COUNTIF(S37:U37,"Y")+COUNTIF(S37:U37,"U")+COUNTIF(S37:U37,"X"))/IF($D37="Unlabeled-13",MCDM_Settings!$F$8,MCDM_Settings!$D$8))</f>
        <v>5</v>
      </c>
      <c r="AK37" s="13">
        <f>IF(IF($D37="Unlabeled-13",MCDM_Settings!$F$8,MCDM_Settings!$D$8)=0,"n.a.",(COUNTIF(S37:U37,"Y")+COUNTIF(S37:U37,"N"))/IF($D37="Unlabeled-13",MCDM_Settings!$F$8,MCDM_Settings!$D$8))</f>
        <v>0.66666666666666663</v>
      </c>
      <c r="AL37" s="12">
        <f>IF(IF($D37="Unlabeled-13",MCDM_Settings!$F$9,MCDM_Settings!$D$9)=0,"n.a.",5*COUNTIF(V37:W37,"Y")/IF($D37="Unlabeled-13",MCDM_Settings!$F$9,MCDM_Settings!$D$9))</f>
        <v>5</v>
      </c>
      <c r="AM37" s="12">
        <f>IF(IF($D37="Unlabeled-13",MCDM_Settings!$F$9,MCDM_Settings!$D$9)=0,"n.a.",5*(COUNTIF(V37:W37,"Y")+COUNTIF(V37:W37,"U")+COUNTIF(V37:W37,"X"))/IF($D37="Unlabeled-13",MCDM_Settings!$F$9,MCDM_Settings!$D$9))</f>
        <v>5</v>
      </c>
      <c r="AN37" s="13">
        <f>IF(IF($D37="Unlabeled-13",MCDM_Settings!$F$9,MCDM_Settings!$D$9)=0,"n.a.",(COUNTIF(V37:W37,"Y")+COUNTIF(V37:W37,"N"))/IF($D37="Unlabeled-13",MCDM_Settings!$F$9,MCDM_Settings!$D$9))</f>
        <v>1</v>
      </c>
      <c r="AO37" s="12">
        <f>IF(IF($D37="Unlabeled-13",MCDM_Settings!$F$10,MCDM_Settings!$D$10)=0,"n.a.",5*COUNTIF(X37:Y37,"Y")/IF($D37="Unlabeled-13",MCDM_Settings!$F$10,MCDM_Settings!$D$10))</f>
        <v>2.5</v>
      </c>
      <c r="AP37" s="12">
        <f>IF(IF($D37="Unlabeled-13",MCDM_Settings!$F$10,MCDM_Settings!$D$10)=0,"n.a.",5*(COUNTIF(X37:Y37,"Y")+COUNTIF(X37:Y37,"U")+COUNTIF(X37:Y37,"X"))/IF($D37="Unlabeled-13",MCDM_Settings!$F$10,MCDM_Settings!$D$10))</f>
        <v>5</v>
      </c>
      <c r="AQ37" s="13">
        <f>IF(IF($D37="Unlabeled-13",MCDM_Settings!$F$10,MCDM_Settings!$D$10)=0,"n.a.",(COUNTIF(X37:Y37,"Y")+COUNTIF(X37:Y37,"N"))/IF($D37="Unlabeled-13",MCDM_Settings!$F$10,MCDM_Settings!$D$10))</f>
        <v>0.5</v>
      </c>
      <c r="AR37" s="12">
        <f>IF(IF($D37="Unlabeled-13",MCDM_Settings!$F$11,MCDM_Settings!$D$11)=0,"n.a.",5*COUNTIF(Z37:AB37,"Y")/IF($D37="Unlabeled-13",MCDM_Settings!$F$11,MCDM_Settings!$D$11))</f>
        <v>3.3333333333333335</v>
      </c>
      <c r="AS37" s="12">
        <f>IF(IF($D37="Unlabeled-13",MCDM_Settings!$F$11,MCDM_Settings!$D$11)=0,"n.a.",5*(COUNTIF(Z37:AB37,"Y")+COUNTIF(Z37:AB37,"U")+COUNTIF(Z37:AB37,"X"))/IF($D37="Unlabeled-13",MCDM_Settings!$F$11,MCDM_Settings!$D$11))</f>
        <v>5</v>
      </c>
      <c r="AT37" s="13">
        <f>IF(IF($D37="Unlabeled-13",MCDM_Settings!$F$11,MCDM_Settings!$D$11)=0,"n.a.",(COUNTIF(Z37:AB37,"Y")+COUNTIF(Z37:AB37,"N"))/IF($D37="Unlabeled-13",MCDM_Settings!$F$11,MCDM_Settings!$D$11))</f>
        <v>0.66666666666666663</v>
      </c>
      <c r="AU37" s="5" t="str">
        <f>IF(AND(INDEX(Manual_Review!$G$6:$G$238,MATCH(A37,Manual_Review!$A$6:$A$238,0))&lt;&gt;"",ISNUMBER(INDEX(Manual_Review!$H$6:$H$238,MATCH(A37,Manual_Review!$A$6:$A$238,0))),INDEX(Manual_Review!$H$6:$H$238,MATCH(A37,Manual_Review!$A$6:$A$238,0))&gt;0,INDEX(Manual_Review!$I$6:$I$238,MATCH(A37,Manual_Review!$A$6:$A$238,0))="Confirmed",INDEX(Manual_Review!$AF$6:$AF$238,MATCH(A37,Manual_Review!$A$6:$A$238,0))&lt;&gt;""),IF(INDEX(Manual_Review!$AA$6:$AA$238,MATCH(A37,Manual_Review!$A$6:$A$238,0))="Pass","Pass",IF(INDEX(Manual_Review!$AA$6:$AA$238,MATCH(A37,Manual_Review!$A$6:$A$238,0))="Fail","Fail","Pending")),"Pending human identity confirmation")</f>
        <v>Pending human identity confirmation</v>
      </c>
      <c r="AV37" s="5" t="str">
        <f>IF(AND(AND(INDEX(Manual_Review!$G$6:$G$238,MATCH(A37,Manual_Review!$A$6:$A$238,0))&lt;&gt;"",ISNUMBER(INDEX(Manual_Review!$H$6:$H$238,MATCH(A37,Manual_Review!$A$6:$A$238,0))),INDEX(Manual_Review!$H$6:$H$238,MATCH(A37,Manual_Review!$A$6:$A$238,0))&gt;0,INDEX(Manual_Review!$I$6:$I$238,MATCH(A37,Manual_Review!$A$6:$A$238,0))="Confirmed",INDEX(Manual_Review!$AF$6:$AF$238,MATCH(A37,Manual_Review!$A$6:$A$238,0))&lt;&gt;""),INDEX(Manual_Review!$AG$6:$AG$238,MATCH(A37,Manual_Review!$A$6:$A$238,0))&lt;&gt;""),IF(INDEX(Manual_Review!$AB$6:$AB$238,MATCH(A37,Manual_Review!$A$6:$A$238,0))="Pass","Pass",IF(INDEX(Manual_Review!$AB$6:$AB$238,MATCH(A37,Manual_Review!$A$6:$A$238,0))="Fail","Fail","Pending")),"Not assessed: define intended task")</f>
        <v>Not assessed: define intended task</v>
      </c>
      <c r="AW37" s="5" t="str">
        <f>IF(AND(AND(INDEX(Manual_Review!$G$6:$G$238,MATCH(A37,Manual_Review!$A$6:$A$238,0))&lt;&gt;"",ISNUMBER(INDEX(Manual_Review!$H$6:$H$238,MATCH(A37,Manual_Review!$A$6:$A$238,0))),INDEX(Manual_Review!$H$6:$H$238,MATCH(A37,Manual_Review!$A$6:$A$238,0))&gt;0,INDEX(Manual_Review!$I$6:$I$238,MATCH(A37,Manual_Review!$A$6:$A$238,0))="Confirmed",INDEX(Manual_Review!$AF$6:$AF$238,MATCH(A37,Manual_Review!$A$6:$A$238,0))&lt;&gt;""),INDEX(Manual_Review!$AG$6:$AG$238,MATCH(A37,Manual_Review!$A$6:$A$238,0))&lt;&gt;""),IF(OR(INDEX(Manual_Review!$AC$6:$AC$238,MATCH(A37,Manual_Review!$A$6:$A$238,0))="Fail",INDEX(Manual_Review!$AD$6:$AD$238,MATCH(A37,Manual_Review!$A$6:$A$238,0))="Fail"),"Fail: rights or retrieval",IF(AND(INDEX(Manual_Review!$AC$6:$AC$238,MATCH(A37,Manual_Review!$A$6:$A$238,0))="Pass",INDEX(Manual_Review!$AD$6:$AD$238,MATCH(A37,Manual_Review!$A$6:$A$238,0))="Pass"),"Pass","Pending rights and retrieval")),"Pending rights and retrieval")</f>
        <v>Pending rights and retrieval</v>
      </c>
      <c r="AX37" s="5" t="str">
        <f>IF(INDEX(Manual_Review!$AG$6:$AG$238,MATCH(A37,Manual_Review!$A$6:$A$238,0))="","N/A: documentation inventory",IF(AND(INDEX(Manual_Review!$G$6:$G$238,MATCH(A37,Manual_Review!$A$6:$A$238,0))&lt;&gt;"",ISNUMBER(INDEX(Manual_Review!$H$6:$H$238,MATCH(A37,Manual_Review!$A$6:$A$238,0))),INDEX(Manual_Review!$H$6:$H$238,MATCH(A37,Manual_Review!$A$6:$A$238,0))&gt;0,INDEX(Manual_Review!$I$6:$I$238,MATCH(A37,Manual_Review!$A$6:$A$238,0))="Confirmed",INDEX(Manual_Review!$AF$6:$AF$238,MATCH(A37,Manual_Review!$A$6:$A$238,0))&lt;&gt;""),IF(INDEX(Manual_Review!$AE$6:$AE$238,MATCH(A37,Manual_Review!$A$6:$A$238,0))="Pass","Pass",IF(INDEX(Manual_Review!$AE$6:$AE$238,MATCH(A37,Manual_Review!$A$6:$A$238,0))="Fail","Fail: benchmark leakage",IF(INDEX(Manual_Review!$AE$6:$AE$238,MATCH(A37,Manual_Review!$A$6:$A$238,0))="N/A","N/A: nonbenchmark task","Pending task-specific leakage check"))),"Pending task-specific leakage check"))</f>
        <v>N/A: documentation inventory</v>
      </c>
      <c r="AY37" s="5" t="str">
        <f>IF(IF(D37="Unlabeled-13",AND(ABS(MCDM_Settings!$D$14-1)&lt;0.0000001,MIN(MCDM_Settings!$E$6:$E$11)&gt;=0,MCDM_Settings!$E$7=0),AND(ABS(MCDM_Settings!$B$14-1)&lt;0.0000001,MIN(MCDM_Settings!$C$6:$C$11)&gt;=0)),"Valid","Check weights")</f>
        <v>Valid</v>
      </c>
      <c r="AZ37" s="5" t="str">
        <f>IF(AND(COUNTIF(MCDM_Checks!$B$6:$B$3733,A37)=16,COUNTIF(Manual_Review!$A$6:$A$238,A37)=1),"16 keys present","Check key count")</f>
        <v>16 keys present</v>
      </c>
    </row>
    <row r="38" spans="1:52">
      <c r="A38" s="5" t="s">
        <v>484</v>
      </c>
      <c r="B38" s="5" t="s">
        <v>485</v>
      </c>
      <c r="C38" s="5"/>
      <c r="D38" s="5" t="s">
        <v>118</v>
      </c>
      <c r="E38" s="12">
        <f>IF(OR(AY38&lt;&gt;"Valid",AZ38&lt;&gt;"16 keys present"),"Review settings",20*(IF(ISNUMBER(AC38),AC38*IF($D38="Unlabeled-13",MCDM_Settings!$E$6,MCDM_Settings!$C$6),0)+IF(ISNUMBER(AF38),AF38*IF($D38="Unlabeled-13",MCDM_Settings!$E$7,MCDM_Settings!$C$7),0)+IF(ISNUMBER(AI38),AI38*IF($D38="Unlabeled-13",MCDM_Settings!$E$8,MCDM_Settings!$C$8),0)+IF(ISNUMBER(AL38),AL38*IF($D38="Unlabeled-13",MCDM_Settings!$E$9,MCDM_Settings!$C$9),0)+IF(ISNUMBER(AO38),AO38*IF($D38="Unlabeled-13",MCDM_Settings!$E$10,MCDM_Settings!$C$10),0)+IF(ISNUMBER(AR38),AR38*IF($D38="Unlabeled-13",MCDM_Settings!$E$11,MCDM_Settings!$C$11),0)))</f>
        <v>55.555555555555557</v>
      </c>
      <c r="F38" s="12">
        <f>IF(OR(AY38&lt;&gt;"Valid",AZ38&lt;&gt;"16 keys present"),"Review settings",20*(IF(ISNUMBER(AD38),AD38*IF($D38="Unlabeled-13",MCDM_Settings!$E$6,MCDM_Settings!$C$6),0)+IF(ISNUMBER(AG38),AG38*IF($D38="Unlabeled-13",MCDM_Settings!$E$7,MCDM_Settings!$C$7),0)+IF(ISNUMBER(AJ38),AJ38*IF($D38="Unlabeled-13",MCDM_Settings!$E$8,MCDM_Settings!$C$8),0)+IF(ISNUMBER(AM38),AM38*IF($D38="Unlabeled-13",MCDM_Settings!$E$9,MCDM_Settings!$C$9),0)+IF(ISNUMBER(AP38),AP38*IF($D38="Unlabeled-13",MCDM_Settings!$E$10,MCDM_Settings!$C$10),0)+IF(ISNUMBER(AS38),AS38*IF($D38="Unlabeled-13",MCDM_Settings!$E$11,MCDM_Settings!$C$11),0)))</f>
        <v>99.999999999999986</v>
      </c>
      <c r="G38" s="13">
        <f>IF(OR(AY38&lt;&gt;"Valid",AZ38&lt;&gt;"16 keys present"),"Review settings",1*(IF(ISNUMBER(AE38),AE38*IF($D38="Unlabeled-13",MCDM_Settings!$E$6,MCDM_Settings!$C$6),0)+IF(ISNUMBER(AH38),AH38*IF($D38="Unlabeled-13",MCDM_Settings!$E$7,MCDM_Settings!$C$7),0)+IF(ISNUMBER(AK38),AK38*IF($D38="Unlabeled-13",MCDM_Settings!$E$8,MCDM_Settings!$C$8),0)+IF(ISNUMBER(AN38),AN38*IF($D38="Unlabeled-13",MCDM_Settings!$E$9,MCDM_Settings!$C$9),0)+IF(ISNUMBER(AQ38),AQ38*IF($D38="Unlabeled-13",MCDM_Settings!$E$10,MCDM_Settings!$C$10),0)+IF(ISNUMBER(AT38),AT38*IF($D38="Unlabeled-13",MCDM_Settings!$E$11,MCDM_Settings!$C$11),0)))</f>
        <v>0.55555555555555558</v>
      </c>
      <c r="H38" s="5" t="str">
        <f>INDEX(Manual_Review!$AH$6:$AH$238,MATCH(A38,Manual_Review!$A$6:$A$238,0))</f>
        <v>Not started</v>
      </c>
      <c r="I38" s="5" t="s">
        <v>128</v>
      </c>
      <c r="J38" s="5" t="s">
        <v>121</v>
      </c>
      <c r="K38" s="5" t="str">
        <f>HYPERLINK("https://github.com/ArselanAshraf/RCD-IIUM-Road-Crack-Detection-Dataset-","Dataset")</f>
        <v>Dataset</v>
      </c>
      <c r="L38" s="5" t="str">
        <f>HYPERLINK("#'Manual_Review'!A"&amp;(MATCH("DS-033",Manual_Review!$A$6:$A$238,0)+5),"Enter review")</f>
        <v>Enter review</v>
      </c>
      <c r="M38" s="5" t="str">
        <f>INDEX(MCDM_Checks!$K$6:$K$3733,MATCH(A38&amp;"|"&amp;M$5,MCDM_Checks!$A$6:$A$3733,0))</f>
        <v>Y</v>
      </c>
      <c r="N38" s="5" t="str">
        <f>INDEX(MCDM_Checks!$K$6:$K$3733,MATCH(A38&amp;"|"&amp;N$5,MCDM_Checks!$A$6:$A$3733,0))</f>
        <v>Y</v>
      </c>
      <c r="O38" s="5" t="str">
        <f>INDEX(MCDM_Checks!$K$6:$K$3733,MATCH(A38&amp;"|"&amp;O$5,MCDM_Checks!$A$6:$A$3733,0))</f>
        <v>U</v>
      </c>
      <c r="P38" s="5" t="str">
        <f>INDEX(MCDM_Checks!$K$6:$K$3733,MATCH(A38&amp;"|"&amp;P$5,MCDM_Checks!$A$6:$A$3733,0))</f>
        <v>Y</v>
      </c>
      <c r="Q38" s="5" t="str">
        <f>INDEX(MCDM_Checks!$K$6:$K$3733,MATCH(A38&amp;"|"&amp;Q$5,MCDM_Checks!$A$6:$A$3733,0))</f>
        <v>Y</v>
      </c>
      <c r="R38" s="5" t="str">
        <f>INDEX(MCDM_Checks!$K$6:$K$3733,MATCH(A38&amp;"|"&amp;R$5,MCDM_Checks!$A$6:$A$3733,0))</f>
        <v>U</v>
      </c>
      <c r="S38" s="5" t="str">
        <f>INDEX(MCDM_Checks!$K$6:$K$3733,MATCH(A38&amp;"|"&amp;S$5,MCDM_Checks!$A$6:$A$3733,0))</f>
        <v>Y</v>
      </c>
      <c r="T38" s="5" t="str">
        <f>INDEX(MCDM_Checks!$K$6:$K$3733,MATCH(A38&amp;"|"&amp;T$5,MCDM_Checks!$A$6:$A$3733,0))</f>
        <v>Y</v>
      </c>
      <c r="U38" s="5" t="str">
        <f>INDEX(MCDM_Checks!$K$6:$K$3733,MATCH(A38&amp;"|"&amp;U$5,MCDM_Checks!$A$6:$A$3733,0))</f>
        <v>U</v>
      </c>
      <c r="V38" s="5" t="str">
        <f>INDEX(MCDM_Checks!$K$6:$K$3733,MATCH(A38&amp;"|"&amp;V$5,MCDM_Checks!$A$6:$A$3733,0))</f>
        <v>U</v>
      </c>
      <c r="W38" s="5" t="str">
        <f>INDEX(MCDM_Checks!$K$6:$K$3733,MATCH(A38&amp;"|"&amp;W$5,MCDM_Checks!$A$6:$A$3733,0))</f>
        <v>U</v>
      </c>
      <c r="X38" s="5" t="str">
        <f>INDEX(MCDM_Checks!$K$6:$K$3733,MATCH(A38&amp;"|"&amp;X$5,MCDM_Checks!$A$6:$A$3733,0))</f>
        <v>Y</v>
      </c>
      <c r="Y38" s="5" t="str">
        <f>INDEX(MCDM_Checks!$K$6:$K$3733,MATCH(A38&amp;"|"&amp;Y$5,MCDM_Checks!$A$6:$A$3733,0))</f>
        <v>Y</v>
      </c>
      <c r="Z38" s="5" t="str">
        <f>INDEX(MCDM_Checks!$K$6:$K$3733,MATCH(A38&amp;"|"&amp;Z$5,MCDM_Checks!$A$6:$A$3733,0))</f>
        <v>Y</v>
      </c>
      <c r="AA38" s="5" t="str">
        <f>INDEX(MCDM_Checks!$K$6:$K$3733,MATCH(A38&amp;"|"&amp;AA$5,MCDM_Checks!$A$6:$A$3733,0))</f>
        <v>U</v>
      </c>
      <c r="AB38" s="5" t="str">
        <f>INDEX(MCDM_Checks!$K$6:$K$3733,MATCH(A38&amp;"|"&amp;AB$5,MCDM_Checks!$A$6:$A$3733,0))</f>
        <v>U</v>
      </c>
      <c r="AC38" s="12">
        <f>IF(IF($D38="Unlabeled-13",MCDM_Settings!$F$6,MCDM_Settings!$D$6)=0,"n.a.",5*COUNTIF(M38:O38,"Y")/IF($D38="Unlabeled-13",MCDM_Settings!$F$6,MCDM_Settings!$D$6))</f>
        <v>3.3333333333333335</v>
      </c>
      <c r="AD38" s="12">
        <f>IF(IF($D38="Unlabeled-13",MCDM_Settings!$F$6,MCDM_Settings!$D$6)=0,"n.a.",5*(COUNTIF(M38:O38,"Y")+COUNTIF(M38:O38,"U")+COUNTIF(M38:O38,"X"))/IF($D38="Unlabeled-13",MCDM_Settings!$F$6,MCDM_Settings!$D$6))</f>
        <v>5</v>
      </c>
      <c r="AE38" s="13">
        <f>IF(IF($D38="Unlabeled-13",MCDM_Settings!$F$6,MCDM_Settings!$D$6)=0,"n.a.",(COUNTIF(M38:O38,"Y")+COUNTIF(M38:O38,"N"))/IF($D38="Unlabeled-13",MCDM_Settings!$F$6,MCDM_Settings!$D$6))</f>
        <v>0.66666666666666663</v>
      </c>
      <c r="AF38" s="12">
        <f>IF(IF($D38="Unlabeled-13",MCDM_Settings!$F$7,MCDM_Settings!$D$7)=0,"n.a.",5*COUNTIF(P38:R38,"Y")/IF($D38="Unlabeled-13",MCDM_Settings!$F$7,MCDM_Settings!$D$7))</f>
        <v>3.3333333333333335</v>
      </c>
      <c r="AG38" s="12">
        <f>IF(IF($D38="Unlabeled-13",MCDM_Settings!$F$7,MCDM_Settings!$D$7)=0,"n.a.",5*(COUNTIF(P38:R38,"Y")+COUNTIF(P38:R38,"U")+COUNTIF(P38:R38,"X"))/IF($D38="Unlabeled-13",MCDM_Settings!$F$7,MCDM_Settings!$D$7))</f>
        <v>5</v>
      </c>
      <c r="AH38" s="13">
        <f>IF(IF($D38="Unlabeled-13",MCDM_Settings!$F$7,MCDM_Settings!$D$7)=0,"n.a.",(COUNTIF(P38:R38,"Y")+COUNTIF(P38:R38,"N"))/IF($D38="Unlabeled-13",MCDM_Settings!$F$7,MCDM_Settings!$D$7))</f>
        <v>0.66666666666666663</v>
      </c>
      <c r="AI38" s="12">
        <f>IF(IF($D38="Unlabeled-13",MCDM_Settings!$F$8,MCDM_Settings!$D$8)=0,"n.a.",5*COUNTIF(S38:U38,"Y")/IF($D38="Unlabeled-13",MCDM_Settings!$F$8,MCDM_Settings!$D$8))</f>
        <v>3.3333333333333335</v>
      </c>
      <c r="AJ38" s="12">
        <f>IF(IF($D38="Unlabeled-13",MCDM_Settings!$F$8,MCDM_Settings!$D$8)=0,"n.a.",5*(COUNTIF(S38:U38,"Y")+COUNTIF(S38:U38,"U")+COUNTIF(S38:U38,"X"))/IF($D38="Unlabeled-13",MCDM_Settings!$F$8,MCDM_Settings!$D$8))</f>
        <v>5</v>
      </c>
      <c r="AK38" s="13">
        <f>IF(IF($D38="Unlabeled-13",MCDM_Settings!$F$8,MCDM_Settings!$D$8)=0,"n.a.",(COUNTIF(S38:U38,"Y")+COUNTIF(S38:U38,"N"))/IF($D38="Unlabeled-13",MCDM_Settings!$F$8,MCDM_Settings!$D$8))</f>
        <v>0.66666666666666663</v>
      </c>
      <c r="AL38" s="12">
        <f>IF(IF($D38="Unlabeled-13",MCDM_Settings!$F$9,MCDM_Settings!$D$9)=0,"n.a.",5*COUNTIF(V38:W38,"Y")/IF($D38="Unlabeled-13",MCDM_Settings!$F$9,MCDM_Settings!$D$9))</f>
        <v>0</v>
      </c>
      <c r="AM38" s="12">
        <f>IF(IF($D38="Unlabeled-13",MCDM_Settings!$F$9,MCDM_Settings!$D$9)=0,"n.a.",5*(COUNTIF(V38:W38,"Y")+COUNTIF(V38:W38,"U")+COUNTIF(V38:W38,"X"))/IF($D38="Unlabeled-13",MCDM_Settings!$F$9,MCDM_Settings!$D$9))</f>
        <v>5</v>
      </c>
      <c r="AN38" s="13">
        <f>IF(IF($D38="Unlabeled-13",MCDM_Settings!$F$9,MCDM_Settings!$D$9)=0,"n.a.",(COUNTIF(V38:W38,"Y")+COUNTIF(V38:W38,"N"))/IF($D38="Unlabeled-13",MCDM_Settings!$F$9,MCDM_Settings!$D$9))</f>
        <v>0</v>
      </c>
      <c r="AO38" s="12">
        <f>IF(IF($D38="Unlabeled-13",MCDM_Settings!$F$10,MCDM_Settings!$D$10)=0,"n.a.",5*COUNTIF(X38:Y38,"Y")/IF($D38="Unlabeled-13",MCDM_Settings!$F$10,MCDM_Settings!$D$10))</f>
        <v>5</v>
      </c>
      <c r="AP38" s="12">
        <f>IF(IF($D38="Unlabeled-13",MCDM_Settings!$F$10,MCDM_Settings!$D$10)=0,"n.a.",5*(COUNTIF(X38:Y38,"Y")+COUNTIF(X38:Y38,"U")+COUNTIF(X38:Y38,"X"))/IF($D38="Unlabeled-13",MCDM_Settings!$F$10,MCDM_Settings!$D$10))</f>
        <v>5</v>
      </c>
      <c r="AQ38" s="13">
        <f>IF(IF($D38="Unlabeled-13",MCDM_Settings!$F$10,MCDM_Settings!$D$10)=0,"n.a.",(COUNTIF(X38:Y38,"Y")+COUNTIF(X38:Y38,"N"))/IF($D38="Unlabeled-13",MCDM_Settings!$F$10,MCDM_Settings!$D$10))</f>
        <v>1</v>
      </c>
      <c r="AR38" s="12">
        <f>IF(IF($D38="Unlabeled-13",MCDM_Settings!$F$11,MCDM_Settings!$D$11)=0,"n.a.",5*COUNTIF(Z38:AB38,"Y")/IF($D38="Unlabeled-13",MCDM_Settings!$F$11,MCDM_Settings!$D$11))</f>
        <v>1.6666666666666667</v>
      </c>
      <c r="AS38" s="12">
        <f>IF(IF($D38="Unlabeled-13",MCDM_Settings!$F$11,MCDM_Settings!$D$11)=0,"n.a.",5*(COUNTIF(Z38:AB38,"Y")+COUNTIF(Z38:AB38,"U")+COUNTIF(Z38:AB38,"X"))/IF($D38="Unlabeled-13",MCDM_Settings!$F$11,MCDM_Settings!$D$11))</f>
        <v>5</v>
      </c>
      <c r="AT38" s="13">
        <f>IF(IF($D38="Unlabeled-13",MCDM_Settings!$F$11,MCDM_Settings!$D$11)=0,"n.a.",(COUNTIF(Z38:AB38,"Y")+COUNTIF(Z38:AB38,"N"))/IF($D38="Unlabeled-13",MCDM_Settings!$F$11,MCDM_Settings!$D$11))</f>
        <v>0.33333333333333331</v>
      </c>
      <c r="AU38" s="5" t="str">
        <f>IF(AND(INDEX(Manual_Review!$G$6:$G$238,MATCH(A38,Manual_Review!$A$6:$A$238,0))&lt;&gt;"",ISNUMBER(INDEX(Manual_Review!$H$6:$H$238,MATCH(A38,Manual_Review!$A$6:$A$238,0))),INDEX(Manual_Review!$H$6:$H$238,MATCH(A38,Manual_Review!$A$6:$A$238,0))&gt;0,INDEX(Manual_Review!$I$6:$I$238,MATCH(A38,Manual_Review!$A$6:$A$238,0))="Confirmed",INDEX(Manual_Review!$AF$6:$AF$238,MATCH(A38,Manual_Review!$A$6:$A$238,0))&lt;&gt;""),IF(INDEX(Manual_Review!$AA$6:$AA$238,MATCH(A38,Manual_Review!$A$6:$A$238,0))="Pass","Pass",IF(INDEX(Manual_Review!$AA$6:$AA$238,MATCH(A38,Manual_Review!$A$6:$A$238,0))="Fail","Fail","Pending")),"Pending human identity confirmation")</f>
        <v>Pending human identity confirmation</v>
      </c>
      <c r="AV38" s="5" t="str">
        <f>IF(AND(AND(INDEX(Manual_Review!$G$6:$G$238,MATCH(A38,Manual_Review!$A$6:$A$238,0))&lt;&gt;"",ISNUMBER(INDEX(Manual_Review!$H$6:$H$238,MATCH(A38,Manual_Review!$A$6:$A$238,0))),INDEX(Manual_Review!$H$6:$H$238,MATCH(A38,Manual_Review!$A$6:$A$238,0))&gt;0,INDEX(Manual_Review!$I$6:$I$238,MATCH(A38,Manual_Review!$A$6:$A$238,0))="Confirmed",INDEX(Manual_Review!$AF$6:$AF$238,MATCH(A38,Manual_Review!$A$6:$A$238,0))&lt;&gt;""),INDEX(Manual_Review!$AG$6:$AG$238,MATCH(A38,Manual_Review!$A$6:$A$238,0))&lt;&gt;""),IF(INDEX(Manual_Review!$AB$6:$AB$238,MATCH(A38,Manual_Review!$A$6:$A$238,0))="Pass","Pass",IF(INDEX(Manual_Review!$AB$6:$AB$238,MATCH(A38,Manual_Review!$A$6:$A$238,0))="Fail","Fail","Pending")),"Not assessed: define intended task")</f>
        <v>Not assessed: define intended task</v>
      </c>
      <c r="AW38" s="5" t="str">
        <f>IF(AND(AND(INDEX(Manual_Review!$G$6:$G$238,MATCH(A38,Manual_Review!$A$6:$A$238,0))&lt;&gt;"",ISNUMBER(INDEX(Manual_Review!$H$6:$H$238,MATCH(A38,Manual_Review!$A$6:$A$238,0))),INDEX(Manual_Review!$H$6:$H$238,MATCH(A38,Manual_Review!$A$6:$A$238,0))&gt;0,INDEX(Manual_Review!$I$6:$I$238,MATCH(A38,Manual_Review!$A$6:$A$238,0))="Confirmed",INDEX(Manual_Review!$AF$6:$AF$238,MATCH(A38,Manual_Review!$A$6:$A$238,0))&lt;&gt;""),INDEX(Manual_Review!$AG$6:$AG$238,MATCH(A38,Manual_Review!$A$6:$A$238,0))&lt;&gt;""),IF(OR(INDEX(Manual_Review!$AC$6:$AC$238,MATCH(A38,Manual_Review!$A$6:$A$238,0))="Fail",INDEX(Manual_Review!$AD$6:$AD$238,MATCH(A38,Manual_Review!$A$6:$A$238,0))="Fail"),"Fail: rights or retrieval",IF(AND(INDEX(Manual_Review!$AC$6:$AC$238,MATCH(A38,Manual_Review!$A$6:$A$238,0))="Pass",INDEX(Manual_Review!$AD$6:$AD$238,MATCH(A38,Manual_Review!$A$6:$A$238,0))="Pass"),"Pass","Pending rights and retrieval")),"Pending rights and retrieval")</f>
        <v>Pending rights and retrieval</v>
      </c>
      <c r="AX38" s="5" t="str">
        <f>IF(INDEX(Manual_Review!$AG$6:$AG$238,MATCH(A38,Manual_Review!$A$6:$A$238,0))="","N/A: documentation inventory",IF(AND(INDEX(Manual_Review!$G$6:$G$238,MATCH(A38,Manual_Review!$A$6:$A$238,0))&lt;&gt;"",ISNUMBER(INDEX(Manual_Review!$H$6:$H$238,MATCH(A38,Manual_Review!$A$6:$A$238,0))),INDEX(Manual_Review!$H$6:$H$238,MATCH(A38,Manual_Review!$A$6:$A$238,0))&gt;0,INDEX(Manual_Review!$I$6:$I$238,MATCH(A38,Manual_Review!$A$6:$A$238,0))="Confirmed",INDEX(Manual_Review!$AF$6:$AF$238,MATCH(A38,Manual_Review!$A$6:$A$238,0))&lt;&gt;""),IF(INDEX(Manual_Review!$AE$6:$AE$238,MATCH(A38,Manual_Review!$A$6:$A$238,0))="Pass","Pass",IF(INDEX(Manual_Review!$AE$6:$AE$238,MATCH(A38,Manual_Review!$A$6:$A$238,0))="Fail","Fail: benchmark leakage",IF(INDEX(Manual_Review!$AE$6:$AE$238,MATCH(A38,Manual_Review!$A$6:$A$238,0))="N/A","N/A: nonbenchmark task","Pending task-specific leakage check"))),"Pending task-specific leakage check"))</f>
        <v>N/A: documentation inventory</v>
      </c>
      <c r="AY38" s="5" t="str">
        <f>IF(IF(D38="Unlabeled-13",AND(ABS(MCDM_Settings!$D$14-1)&lt;0.0000001,MIN(MCDM_Settings!$E$6:$E$11)&gt;=0,MCDM_Settings!$E$7=0),AND(ABS(MCDM_Settings!$B$14-1)&lt;0.0000001,MIN(MCDM_Settings!$C$6:$C$11)&gt;=0)),"Valid","Check weights")</f>
        <v>Valid</v>
      </c>
      <c r="AZ38" s="5" t="str">
        <f>IF(AND(COUNTIF(MCDM_Checks!$B$6:$B$3733,A38)=16,COUNTIF(Manual_Review!$A$6:$A$238,A38)=1),"16 keys present","Check key count")</f>
        <v>16 keys present</v>
      </c>
    </row>
    <row r="39" spans="1:52" ht="25.5">
      <c r="A39" s="5" t="s">
        <v>494</v>
      </c>
      <c r="B39" s="5" t="s">
        <v>495</v>
      </c>
      <c r="C39" s="5"/>
      <c r="D39" s="5" t="s">
        <v>118</v>
      </c>
      <c r="E39" s="12">
        <f>IF(OR(AY39&lt;&gt;"Valid",AZ39&lt;&gt;"16 keys present"),"Review settings",20*(IF(ISNUMBER(AC39),AC39*IF($D39="Unlabeled-13",MCDM_Settings!$E$6,MCDM_Settings!$C$6),0)+IF(ISNUMBER(AF39),AF39*IF($D39="Unlabeled-13",MCDM_Settings!$E$7,MCDM_Settings!$C$7),0)+IF(ISNUMBER(AI39),AI39*IF($D39="Unlabeled-13",MCDM_Settings!$E$8,MCDM_Settings!$C$8),0)+IF(ISNUMBER(AL39),AL39*IF($D39="Unlabeled-13",MCDM_Settings!$E$9,MCDM_Settings!$C$9),0)+IF(ISNUMBER(AO39),AO39*IF($D39="Unlabeled-13",MCDM_Settings!$E$10,MCDM_Settings!$C$10),0)+IF(ISNUMBER(AR39),AR39*IF($D39="Unlabeled-13",MCDM_Settings!$E$11,MCDM_Settings!$C$11),0)))</f>
        <v>69.444444444444429</v>
      </c>
      <c r="F39" s="12">
        <f>IF(OR(AY39&lt;&gt;"Valid",AZ39&lt;&gt;"16 keys present"),"Review settings",20*(IF(ISNUMBER(AD39),AD39*IF($D39="Unlabeled-13",MCDM_Settings!$E$6,MCDM_Settings!$C$6),0)+IF(ISNUMBER(AG39),AG39*IF($D39="Unlabeled-13",MCDM_Settings!$E$7,MCDM_Settings!$C$7),0)+IF(ISNUMBER(AJ39),AJ39*IF($D39="Unlabeled-13",MCDM_Settings!$E$8,MCDM_Settings!$C$8),0)+IF(ISNUMBER(AM39),AM39*IF($D39="Unlabeled-13",MCDM_Settings!$E$9,MCDM_Settings!$C$9),0)+IF(ISNUMBER(AP39),AP39*IF($D39="Unlabeled-13",MCDM_Settings!$E$10,MCDM_Settings!$C$10),0)+IF(ISNUMBER(AS39),AS39*IF($D39="Unlabeled-13",MCDM_Settings!$E$11,MCDM_Settings!$C$11),0)))</f>
        <v>99.999999999999986</v>
      </c>
      <c r="G39" s="13">
        <f>IF(OR(AY39&lt;&gt;"Valid",AZ39&lt;&gt;"16 keys present"),"Review settings",1*(IF(ISNUMBER(AE39),AE39*IF($D39="Unlabeled-13",MCDM_Settings!$E$6,MCDM_Settings!$C$6),0)+IF(ISNUMBER(AH39),AH39*IF($D39="Unlabeled-13",MCDM_Settings!$E$7,MCDM_Settings!$C$7),0)+IF(ISNUMBER(AK39),AK39*IF($D39="Unlabeled-13",MCDM_Settings!$E$8,MCDM_Settings!$C$8),0)+IF(ISNUMBER(AN39),AN39*IF($D39="Unlabeled-13",MCDM_Settings!$E$9,MCDM_Settings!$C$9),0)+IF(ISNUMBER(AQ39),AQ39*IF($D39="Unlabeled-13",MCDM_Settings!$E$10,MCDM_Settings!$C$10),0)+IF(ISNUMBER(AT39),AT39*IF($D39="Unlabeled-13",MCDM_Settings!$E$11,MCDM_Settings!$C$11),0)))</f>
        <v>0.69444444444444442</v>
      </c>
      <c r="H39" s="5" t="str">
        <f>INDEX(Manual_Review!$AH$6:$AH$238,MATCH(A39,Manual_Review!$A$6:$A$238,0))</f>
        <v>Not started</v>
      </c>
      <c r="I39" s="5" t="s">
        <v>128</v>
      </c>
      <c r="J39" s="5" t="s">
        <v>496</v>
      </c>
      <c r="K39" s="5" t="str">
        <f>HYPERLINK("https://data.mendeley.com/datasets/5ty2wb6gvg/1","Dataset")</f>
        <v>Dataset</v>
      </c>
      <c r="L39" s="5" t="str">
        <f>HYPERLINK("#'Manual_Review'!A"&amp;(MATCH("DS-034",Manual_Review!$A$6:$A$238,0)+5),"Enter review")</f>
        <v>Enter review</v>
      </c>
      <c r="M39" s="5" t="str">
        <f>INDEX(MCDM_Checks!$K$6:$K$3733,MATCH(A39&amp;"|"&amp;M$5,MCDM_Checks!$A$6:$A$3733,0))</f>
        <v>Y</v>
      </c>
      <c r="N39" s="5" t="str">
        <f>INDEX(MCDM_Checks!$K$6:$K$3733,MATCH(A39&amp;"|"&amp;N$5,MCDM_Checks!$A$6:$A$3733,0))</f>
        <v>Y</v>
      </c>
      <c r="O39" s="5" t="str">
        <f>INDEX(MCDM_Checks!$K$6:$K$3733,MATCH(A39&amp;"|"&amp;O$5,MCDM_Checks!$A$6:$A$3733,0))</f>
        <v>Y</v>
      </c>
      <c r="P39" s="5" t="str">
        <f>INDEX(MCDM_Checks!$K$6:$K$3733,MATCH(A39&amp;"|"&amp;P$5,MCDM_Checks!$A$6:$A$3733,0))</f>
        <v>Y</v>
      </c>
      <c r="Q39" s="5" t="str">
        <f>INDEX(MCDM_Checks!$K$6:$K$3733,MATCH(A39&amp;"|"&amp;Q$5,MCDM_Checks!$A$6:$A$3733,0))</f>
        <v>Y</v>
      </c>
      <c r="R39" s="5" t="str">
        <f>INDEX(MCDM_Checks!$K$6:$K$3733,MATCH(A39&amp;"|"&amp;R$5,MCDM_Checks!$A$6:$A$3733,0))</f>
        <v>U</v>
      </c>
      <c r="S39" s="5" t="str">
        <f>INDEX(MCDM_Checks!$K$6:$K$3733,MATCH(A39&amp;"|"&amp;S$5,MCDM_Checks!$A$6:$A$3733,0))</f>
        <v>U</v>
      </c>
      <c r="T39" s="5" t="str">
        <f>INDEX(MCDM_Checks!$K$6:$K$3733,MATCH(A39&amp;"|"&amp;T$5,MCDM_Checks!$A$6:$A$3733,0))</f>
        <v>Y</v>
      </c>
      <c r="U39" s="5" t="str">
        <f>INDEX(MCDM_Checks!$K$6:$K$3733,MATCH(A39&amp;"|"&amp;U$5,MCDM_Checks!$A$6:$A$3733,0))</f>
        <v>U</v>
      </c>
      <c r="V39" s="5" t="str">
        <f>INDEX(MCDM_Checks!$K$6:$K$3733,MATCH(A39&amp;"|"&amp;V$5,MCDM_Checks!$A$6:$A$3733,0))</f>
        <v>Y</v>
      </c>
      <c r="W39" s="5" t="str">
        <f>INDEX(MCDM_Checks!$K$6:$K$3733,MATCH(A39&amp;"|"&amp;W$5,MCDM_Checks!$A$6:$A$3733,0))</f>
        <v>U</v>
      </c>
      <c r="X39" s="5" t="str">
        <f>INDEX(MCDM_Checks!$K$6:$K$3733,MATCH(A39&amp;"|"&amp;X$5,MCDM_Checks!$A$6:$A$3733,0))</f>
        <v>Y</v>
      </c>
      <c r="Y39" s="5" t="str">
        <f>INDEX(MCDM_Checks!$K$6:$K$3733,MATCH(A39&amp;"|"&amp;Y$5,MCDM_Checks!$A$6:$A$3733,0))</f>
        <v>Y</v>
      </c>
      <c r="Z39" s="5" t="str">
        <f>INDEX(MCDM_Checks!$K$6:$K$3733,MATCH(A39&amp;"|"&amp;Z$5,MCDM_Checks!$A$6:$A$3733,0))</f>
        <v>Y</v>
      </c>
      <c r="AA39" s="5" t="str">
        <f>INDEX(MCDM_Checks!$K$6:$K$3733,MATCH(A39&amp;"|"&amp;AA$5,MCDM_Checks!$A$6:$A$3733,0))</f>
        <v>U</v>
      </c>
      <c r="AB39" s="5" t="str">
        <f>INDEX(MCDM_Checks!$K$6:$K$3733,MATCH(A39&amp;"|"&amp;AB$5,MCDM_Checks!$A$6:$A$3733,0))</f>
        <v>Y</v>
      </c>
      <c r="AC39" s="12">
        <f>IF(IF($D39="Unlabeled-13",MCDM_Settings!$F$6,MCDM_Settings!$D$6)=0,"n.a.",5*COUNTIF(M39:O39,"Y")/IF($D39="Unlabeled-13",MCDM_Settings!$F$6,MCDM_Settings!$D$6))</f>
        <v>5</v>
      </c>
      <c r="AD39" s="12">
        <f>IF(IF($D39="Unlabeled-13",MCDM_Settings!$F$6,MCDM_Settings!$D$6)=0,"n.a.",5*(COUNTIF(M39:O39,"Y")+COUNTIF(M39:O39,"U")+COUNTIF(M39:O39,"X"))/IF($D39="Unlabeled-13",MCDM_Settings!$F$6,MCDM_Settings!$D$6))</f>
        <v>5</v>
      </c>
      <c r="AE39" s="13">
        <f>IF(IF($D39="Unlabeled-13",MCDM_Settings!$F$6,MCDM_Settings!$D$6)=0,"n.a.",(COUNTIF(M39:O39,"Y")+COUNTIF(M39:O39,"N"))/IF($D39="Unlabeled-13",MCDM_Settings!$F$6,MCDM_Settings!$D$6))</f>
        <v>1</v>
      </c>
      <c r="AF39" s="12">
        <f>IF(IF($D39="Unlabeled-13",MCDM_Settings!$F$7,MCDM_Settings!$D$7)=0,"n.a.",5*COUNTIF(P39:R39,"Y")/IF($D39="Unlabeled-13",MCDM_Settings!$F$7,MCDM_Settings!$D$7))</f>
        <v>3.3333333333333335</v>
      </c>
      <c r="AG39" s="12">
        <f>IF(IF($D39="Unlabeled-13",MCDM_Settings!$F$7,MCDM_Settings!$D$7)=0,"n.a.",5*(COUNTIF(P39:R39,"Y")+COUNTIF(P39:R39,"U")+COUNTIF(P39:R39,"X"))/IF($D39="Unlabeled-13",MCDM_Settings!$F$7,MCDM_Settings!$D$7))</f>
        <v>5</v>
      </c>
      <c r="AH39" s="13">
        <f>IF(IF($D39="Unlabeled-13",MCDM_Settings!$F$7,MCDM_Settings!$D$7)=0,"n.a.",(COUNTIF(P39:R39,"Y")+COUNTIF(P39:R39,"N"))/IF($D39="Unlabeled-13",MCDM_Settings!$F$7,MCDM_Settings!$D$7))</f>
        <v>0.66666666666666663</v>
      </c>
      <c r="AI39" s="12">
        <f>IF(IF($D39="Unlabeled-13",MCDM_Settings!$F$8,MCDM_Settings!$D$8)=0,"n.a.",5*COUNTIF(S39:U39,"Y")/IF($D39="Unlabeled-13",MCDM_Settings!$F$8,MCDM_Settings!$D$8))</f>
        <v>1.6666666666666667</v>
      </c>
      <c r="AJ39" s="12">
        <f>IF(IF($D39="Unlabeled-13",MCDM_Settings!$F$8,MCDM_Settings!$D$8)=0,"n.a.",5*(COUNTIF(S39:U39,"Y")+COUNTIF(S39:U39,"U")+COUNTIF(S39:U39,"X"))/IF($D39="Unlabeled-13",MCDM_Settings!$F$8,MCDM_Settings!$D$8))</f>
        <v>5</v>
      </c>
      <c r="AK39" s="13">
        <f>IF(IF($D39="Unlabeled-13",MCDM_Settings!$F$8,MCDM_Settings!$D$8)=0,"n.a.",(COUNTIF(S39:U39,"Y")+COUNTIF(S39:U39,"N"))/IF($D39="Unlabeled-13",MCDM_Settings!$F$8,MCDM_Settings!$D$8))</f>
        <v>0.33333333333333331</v>
      </c>
      <c r="AL39" s="12">
        <f>IF(IF($D39="Unlabeled-13",MCDM_Settings!$F$9,MCDM_Settings!$D$9)=0,"n.a.",5*COUNTIF(V39:W39,"Y")/IF($D39="Unlabeled-13",MCDM_Settings!$F$9,MCDM_Settings!$D$9))</f>
        <v>2.5</v>
      </c>
      <c r="AM39" s="12">
        <f>IF(IF($D39="Unlabeled-13",MCDM_Settings!$F$9,MCDM_Settings!$D$9)=0,"n.a.",5*(COUNTIF(V39:W39,"Y")+COUNTIF(V39:W39,"U")+COUNTIF(V39:W39,"X"))/IF($D39="Unlabeled-13",MCDM_Settings!$F$9,MCDM_Settings!$D$9))</f>
        <v>5</v>
      </c>
      <c r="AN39" s="13">
        <f>IF(IF($D39="Unlabeled-13",MCDM_Settings!$F$9,MCDM_Settings!$D$9)=0,"n.a.",(COUNTIF(V39:W39,"Y")+COUNTIF(V39:W39,"N"))/IF($D39="Unlabeled-13",MCDM_Settings!$F$9,MCDM_Settings!$D$9))</f>
        <v>0.5</v>
      </c>
      <c r="AO39" s="12">
        <f>IF(IF($D39="Unlabeled-13",MCDM_Settings!$F$10,MCDM_Settings!$D$10)=0,"n.a.",5*COUNTIF(X39:Y39,"Y")/IF($D39="Unlabeled-13",MCDM_Settings!$F$10,MCDM_Settings!$D$10))</f>
        <v>5</v>
      </c>
      <c r="AP39" s="12">
        <f>IF(IF($D39="Unlabeled-13",MCDM_Settings!$F$10,MCDM_Settings!$D$10)=0,"n.a.",5*(COUNTIF(X39:Y39,"Y")+COUNTIF(X39:Y39,"U")+COUNTIF(X39:Y39,"X"))/IF($D39="Unlabeled-13",MCDM_Settings!$F$10,MCDM_Settings!$D$10))</f>
        <v>5</v>
      </c>
      <c r="AQ39" s="13">
        <f>IF(IF($D39="Unlabeled-13",MCDM_Settings!$F$10,MCDM_Settings!$D$10)=0,"n.a.",(COUNTIF(X39:Y39,"Y")+COUNTIF(X39:Y39,"N"))/IF($D39="Unlabeled-13",MCDM_Settings!$F$10,MCDM_Settings!$D$10))</f>
        <v>1</v>
      </c>
      <c r="AR39" s="12">
        <f>IF(IF($D39="Unlabeled-13",MCDM_Settings!$F$11,MCDM_Settings!$D$11)=0,"n.a.",5*COUNTIF(Z39:AB39,"Y")/IF($D39="Unlabeled-13",MCDM_Settings!$F$11,MCDM_Settings!$D$11))</f>
        <v>3.3333333333333335</v>
      </c>
      <c r="AS39" s="12">
        <f>IF(IF($D39="Unlabeled-13",MCDM_Settings!$F$11,MCDM_Settings!$D$11)=0,"n.a.",5*(COUNTIF(Z39:AB39,"Y")+COUNTIF(Z39:AB39,"U")+COUNTIF(Z39:AB39,"X"))/IF($D39="Unlabeled-13",MCDM_Settings!$F$11,MCDM_Settings!$D$11))</f>
        <v>5</v>
      </c>
      <c r="AT39" s="13">
        <f>IF(IF($D39="Unlabeled-13",MCDM_Settings!$F$11,MCDM_Settings!$D$11)=0,"n.a.",(COUNTIF(Z39:AB39,"Y")+COUNTIF(Z39:AB39,"N"))/IF($D39="Unlabeled-13",MCDM_Settings!$F$11,MCDM_Settings!$D$11))</f>
        <v>0.66666666666666663</v>
      </c>
      <c r="AU39" s="5" t="str">
        <f>IF(AND(INDEX(Manual_Review!$G$6:$G$238,MATCH(A39,Manual_Review!$A$6:$A$238,0))&lt;&gt;"",ISNUMBER(INDEX(Manual_Review!$H$6:$H$238,MATCH(A39,Manual_Review!$A$6:$A$238,0))),INDEX(Manual_Review!$H$6:$H$238,MATCH(A39,Manual_Review!$A$6:$A$238,0))&gt;0,INDEX(Manual_Review!$I$6:$I$238,MATCH(A39,Manual_Review!$A$6:$A$238,0))="Confirmed",INDEX(Manual_Review!$AF$6:$AF$238,MATCH(A39,Manual_Review!$A$6:$A$238,0))&lt;&gt;""),IF(INDEX(Manual_Review!$AA$6:$AA$238,MATCH(A39,Manual_Review!$A$6:$A$238,0))="Pass","Pass",IF(INDEX(Manual_Review!$AA$6:$AA$238,MATCH(A39,Manual_Review!$A$6:$A$238,0))="Fail","Fail","Pending")),"Pending human identity confirmation")</f>
        <v>Pending human identity confirmation</v>
      </c>
      <c r="AV39" s="5" t="str">
        <f>IF(AND(AND(INDEX(Manual_Review!$G$6:$G$238,MATCH(A39,Manual_Review!$A$6:$A$238,0))&lt;&gt;"",ISNUMBER(INDEX(Manual_Review!$H$6:$H$238,MATCH(A39,Manual_Review!$A$6:$A$238,0))),INDEX(Manual_Review!$H$6:$H$238,MATCH(A39,Manual_Review!$A$6:$A$238,0))&gt;0,INDEX(Manual_Review!$I$6:$I$238,MATCH(A39,Manual_Review!$A$6:$A$238,0))="Confirmed",INDEX(Manual_Review!$AF$6:$AF$238,MATCH(A39,Manual_Review!$A$6:$A$238,0))&lt;&gt;""),INDEX(Manual_Review!$AG$6:$AG$238,MATCH(A39,Manual_Review!$A$6:$A$238,0))&lt;&gt;""),IF(INDEX(Manual_Review!$AB$6:$AB$238,MATCH(A39,Manual_Review!$A$6:$A$238,0))="Pass","Pass",IF(INDEX(Manual_Review!$AB$6:$AB$238,MATCH(A39,Manual_Review!$A$6:$A$238,0))="Fail","Fail","Pending")),"Not assessed: define intended task")</f>
        <v>Not assessed: define intended task</v>
      </c>
      <c r="AW39" s="5" t="str">
        <f>IF(AND(AND(INDEX(Manual_Review!$G$6:$G$238,MATCH(A39,Manual_Review!$A$6:$A$238,0))&lt;&gt;"",ISNUMBER(INDEX(Manual_Review!$H$6:$H$238,MATCH(A39,Manual_Review!$A$6:$A$238,0))),INDEX(Manual_Review!$H$6:$H$238,MATCH(A39,Manual_Review!$A$6:$A$238,0))&gt;0,INDEX(Manual_Review!$I$6:$I$238,MATCH(A39,Manual_Review!$A$6:$A$238,0))="Confirmed",INDEX(Manual_Review!$AF$6:$AF$238,MATCH(A39,Manual_Review!$A$6:$A$238,0))&lt;&gt;""),INDEX(Manual_Review!$AG$6:$AG$238,MATCH(A39,Manual_Review!$A$6:$A$238,0))&lt;&gt;""),IF(OR(INDEX(Manual_Review!$AC$6:$AC$238,MATCH(A39,Manual_Review!$A$6:$A$238,0))="Fail",INDEX(Manual_Review!$AD$6:$AD$238,MATCH(A39,Manual_Review!$A$6:$A$238,0))="Fail"),"Fail: rights or retrieval",IF(AND(INDEX(Manual_Review!$AC$6:$AC$238,MATCH(A39,Manual_Review!$A$6:$A$238,0))="Pass",INDEX(Manual_Review!$AD$6:$AD$238,MATCH(A39,Manual_Review!$A$6:$A$238,0))="Pass"),"Pass","Pending rights and retrieval")),"Pending rights and retrieval")</f>
        <v>Pending rights and retrieval</v>
      </c>
      <c r="AX39" s="5" t="str">
        <f>IF(INDEX(Manual_Review!$AG$6:$AG$238,MATCH(A39,Manual_Review!$A$6:$A$238,0))="","N/A: documentation inventory",IF(AND(INDEX(Manual_Review!$G$6:$G$238,MATCH(A39,Manual_Review!$A$6:$A$238,0))&lt;&gt;"",ISNUMBER(INDEX(Manual_Review!$H$6:$H$238,MATCH(A39,Manual_Review!$A$6:$A$238,0))),INDEX(Manual_Review!$H$6:$H$238,MATCH(A39,Manual_Review!$A$6:$A$238,0))&gt;0,INDEX(Manual_Review!$I$6:$I$238,MATCH(A39,Manual_Review!$A$6:$A$238,0))="Confirmed",INDEX(Manual_Review!$AF$6:$AF$238,MATCH(A39,Manual_Review!$A$6:$A$238,0))&lt;&gt;""),IF(INDEX(Manual_Review!$AE$6:$AE$238,MATCH(A39,Manual_Review!$A$6:$A$238,0))="Pass","Pass",IF(INDEX(Manual_Review!$AE$6:$AE$238,MATCH(A39,Manual_Review!$A$6:$A$238,0))="Fail","Fail: benchmark leakage",IF(INDEX(Manual_Review!$AE$6:$AE$238,MATCH(A39,Manual_Review!$A$6:$A$238,0))="N/A","N/A: nonbenchmark task","Pending task-specific leakage check"))),"Pending task-specific leakage check"))</f>
        <v>N/A: documentation inventory</v>
      </c>
      <c r="AY39" s="5" t="str">
        <f>IF(IF(D39="Unlabeled-13",AND(ABS(MCDM_Settings!$D$14-1)&lt;0.0000001,MIN(MCDM_Settings!$E$6:$E$11)&gt;=0,MCDM_Settings!$E$7=0),AND(ABS(MCDM_Settings!$B$14-1)&lt;0.0000001,MIN(MCDM_Settings!$C$6:$C$11)&gt;=0)),"Valid","Check weights")</f>
        <v>Valid</v>
      </c>
      <c r="AZ39" s="5" t="str">
        <f>IF(AND(COUNTIF(MCDM_Checks!$B$6:$B$3733,A39)=16,COUNTIF(Manual_Review!$A$6:$A$238,A39)=1),"16 keys present","Check key count")</f>
        <v>16 keys present</v>
      </c>
    </row>
    <row r="40" spans="1:52" ht="25.5">
      <c r="A40" s="5" t="s">
        <v>32</v>
      </c>
      <c r="B40" s="5" t="s">
        <v>508</v>
      </c>
      <c r="C40" s="5">
        <v>3</v>
      </c>
      <c r="D40" s="5" t="s">
        <v>118</v>
      </c>
      <c r="E40" s="12">
        <f>IF(OR(AY40&lt;&gt;"Valid",AZ40&lt;&gt;"16 keys present"),"Review settings",20*(IF(ISNUMBER(AC40),AC40*IF($D40="Unlabeled-13",MCDM_Settings!$E$6,MCDM_Settings!$C$6),0)+IF(ISNUMBER(AF40),AF40*IF($D40="Unlabeled-13",MCDM_Settings!$E$7,MCDM_Settings!$C$7),0)+IF(ISNUMBER(AI40),AI40*IF($D40="Unlabeled-13",MCDM_Settings!$E$8,MCDM_Settings!$C$8),0)+IF(ISNUMBER(AL40),AL40*IF($D40="Unlabeled-13",MCDM_Settings!$E$9,MCDM_Settings!$C$9),0)+IF(ISNUMBER(AO40),AO40*IF($D40="Unlabeled-13",MCDM_Settings!$E$10,MCDM_Settings!$C$10),0)+IF(ISNUMBER(AR40),AR40*IF($D40="Unlabeled-13",MCDM_Settings!$E$11,MCDM_Settings!$C$11),0)))</f>
        <v>94.444444444444429</v>
      </c>
      <c r="F40" s="12">
        <f>IF(OR(AY40&lt;&gt;"Valid",AZ40&lt;&gt;"16 keys present"),"Review settings",20*(IF(ISNUMBER(AD40),AD40*IF($D40="Unlabeled-13",MCDM_Settings!$E$6,MCDM_Settings!$C$6),0)+IF(ISNUMBER(AG40),AG40*IF($D40="Unlabeled-13",MCDM_Settings!$E$7,MCDM_Settings!$C$7),0)+IF(ISNUMBER(AJ40),AJ40*IF($D40="Unlabeled-13",MCDM_Settings!$E$8,MCDM_Settings!$C$8),0)+IF(ISNUMBER(AM40),AM40*IF($D40="Unlabeled-13",MCDM_Settings!$E$9,MCDM_Settings!$C$9),0)+IF(ISNUMBER(AP40),AP40*IF($D40="Unlabeled-13",MCDM_Settings!$E$10,MCDM_Settings!$C$10),0)+IF(ISNUMBER(AS40),AS40*IF($D40="Unlabeled-13",MCDM_Settings!$E$11,MCDM_Settings!$C$11),0)))</f>
        <v>99.999999999999986</v>
      </c>
      <c r="G40" s="13">
        <f>IF(OR(AY40&lt;&gt;"Valid",AZ40&lt;&gt;"16 keys present"),"Review settings",1*(IF(ISNUMBER(AE40),AE40*IF($D40="Unlabeled-13",MCDM_Settings!$E$6,MCDM_Settings!$C$6),0)+IF(ISNUMBER(AH40),AH40*IF($D40="Unlabeled-13",MCDM_Settings!$E$7,MCDM_Settings!$C$7),0)+IF(ISNUMBER(AK40),AK40*IF($D40="Unlabeled-13",MCDM_Settings!$E$8,MCDM_Settings!$C$8),0)+IF(ISNUMBER(AN40),AN40*IF($D40="Unlabeled-13",MCDM_Settings!$E$9,MCDM_Settings!$C$9),0)+IF(ISNUMBER(AQ40),AQ40*IF($D40="Unlabeled-13",MCDM_Settings!$E$10,MCDM_Settings!$C$10),0)+IF(ISNUMBER(AT40),AT40*IF($D40="Unlabeled-13",MCDM_Settings!$E$11,MCDM_Settings!$C$11),0)))</f>
        <v>0.94444444444444431</v>
      </c>
      <c r="H40" s="5" t="str">
        <f>INDEX(Manual_Review!$AH$6:$AH$238,MATCH(A40,Manual_Review!$A$6:$A$238,0))</f>
        <v>Not started</v>
      </c>
      <c r="I40" s="5" t="s">
        <v>206</v>
      </c>
      <c r="J40" s="5" t="s">
        <v>37</v>
      </c>
      <c r="K40" s="5" t="str">
        <f>HYPERLINK("https://figshare.com/articles/dataset/RDD2022_-_The_multi-national_Road_Damage_Dataset_released_through_CRDDC_2022/21431547/1","Dataset")</f>
        <v>Dataset</v>
      </c>
      <c r="L40" s="5" t="str">
        <f>HYPERLINK("#'Manual_Review'!A"&amp;(MATCH("DS-035",Manual_Review!$A$6:$A$238,0)+5),"Enter review")</f>
        <v>Enter review</v>
      </c>
      <c r="M40" s="5" t="str">
        <f>INDEX(MCDM_Checks!$K$6:$K$3733,MATCH(A40&amp;"|"&amp;M$5,MCDM_Checks!$A$6:$A$3733,0))</f>
        <v>Y</v>
      </c>
      <c r="N40" s="5" t="str">
        <f>INDEX(MCDM_Checks!$K$6:$K$3733,MATCH(A40&amp;"|"&amp;N$5,MCDM_Checks!$A$6:$A$3733,0))</f>
        <v>Y</v>
      </c>
      <c r="O40" s="5" t="str">
        <f>INDEX(MCDM_Checks!$K$6:$K$3733,MATCH(A40&amp;"|"&amp;O$5,MCDM_Checks!$A$6:$A$3733,0))</f>
        <v>Y</v>
      </c>
      <c r="P40" s="5" t="str">
        <f>INDEX(MCDM_Checks!$K$6:$K$3733,MATCH(A40&amp;"|"&amp;P$5,MCDM_Checks!$A$6:$A$3733,0))</f>
        <v>Y</v>
      </c>
      <c r="Q40" s="5" t="str">
        <f>INDEX(MCDM_Checks!$K$6:$K$3733,MATCH(A40&amp;"|"&amp;Q$5,MCDM_Checks!$A$6:$A$3733,0))</f>
        <v>Y</v>
      </c>
      <c r="R40" s="5" t="str">
        <f>INDEX(MCDM_Checks!$K$6:$K$3733,MATCH(A40&amp;"|"&amp;R$5,MCDM_Checks!$A$6:$A$3733,0))</f>
        <v>U</v>
      </c>
      <c r="S40" s="5" t="str">
        <f>INDEX(MCDM_Checks!$K$6:$K$3733,MATCH(A40&amp;"|"&amp;S$5,MCDM_Checks!$A$6:$A$3733,0))</f>
        <v>Y</v>
      </c>
      <c r="T40" s="5" t="str">
        <f>INDEX(MCDM_Checks!$K$6:$K$3733,MATCH(A40&amp;"|"&amp;T$5,MCDM_Checks!$A$6:$A$3733,0))</f>
        <v>Y</v>
      </c>
      <c r="U40" s="5" t="str">
        <f>INDEX(MCDM_Checks!$K$6:$K$3733,MATCH(A40&amp;"|"&amp;U$5,MCDM_Checks!$A$6:$A$3733,0))</f>
        <v>Y</v>
      </c>
      <c r="V40" s="5" t="str">
        <f>INDEX(MCDM_Checks!$K$6:$K$3733,MATCH(A40&amp;"|"&amp;V$5,MCDM_Checks!$A$6:$A$3733,0))</f>
        <v>Y</v>
      </c>
      <c r="W40" s="5" t="str">
        <f>INDEX(MCDM_Checks!$K$6:$K$3733,MATCH(A40&amp;"|"&amp;W$5,MCDM_Checks!$A$6:$A$3733,0))</f>
        <v>Y</v>
      </c>
      <c r="X40" s="5" t="str">
        <f>INDEX(MCDM_Checks!$K$6:$K$3733,MATCH(A40&amp;"|"&amp;X$5,MCDM_Checks!$A$6:$A$3733,0))</f>
        <v>Y</v>
      </c>
      <c r="Y40" s="5" t="str">
        <f>INDEX(MCDM_Checks!$K$6:$K$3733,MATCH(A40&amp;"|"&amp;Y$5,MCDM_Checks!$A$6:$A$3733,0))</f>
        <v>Y</v>
      </c>
      <c r="Z40" s="5" t="str">
        <f>INDEX(MCDM_Checks!$K$6:$K$3733,MATCH(A40&amp;"|"&amp;Z$5,MCDM_Checks!$A$6:$A$3733,0))</f>
        <v>Y</v>
      </c>
      <c r="AA40" s="5" t="str">
        <f>INDEX(MCDM_Checks!$K$6:$K$3733,MATCH(A40&amp;"|"&amp;AA$5,MCDM_Checks!$A$6:$A$3733,0))</f>
        <v>Y</v>
      </c>
      <c r="AB40" s="5" t="str">
        <f>INDEX(MCDM_Checks!$K$6:$K$3733,MATCH(A40&amp;"|"&amp;AB$5,MCDM_Checks!$A$6:$A$3733,0))</f>
        <v>Y</v>
      </c>
      <c r="AC40" s="12">
        <f>IF(IF($D40="Unlabeled-13",MCDM_Settings!$F$6,MCDM_Settings!$D$6)=0,"n.a.",5*COUNTIF(M40:O40,"Y")/IF($D40="Unlabeled-13",MCDM_Settings!$F$6,MCDM_Settings!$D$6))</f>
        <v>5</v>
      </c>
      <c r="AD40" s="12">
        <f>IF(IF($D40="Unlabeled-13",MCDM_Settings!$F$6,MCDM_Settings!$D$6)=0,"n.a.",5*(COUNTIF(M40:O40,"Y")+COUNTIF(M40:O40,"U")+COUNTIF(M40:O40,"X"))/IF($D40="Unlabeled-13",MCDM_Settings!$F$6,MCDM_Settings!$D$6))</f>
        <v>5</v>
      </c>
      <c r="AE40" s="13">
        <f>IF(IF($D40="Unlabeled-13",MCDM_Settings!$F$6,MCDM_Settings!$D$6)=0,"n.a.",(COUNTIF(M40:O40,"Y")+COUNTIF(M40:O40,"N"))/IF($D40="Unlabeled-13",MCDM_Settings!$F$6,MCDM_Settings!$D$6))</f>
        <v>1</v>
      </c>
      <c r="AF40" s="12">
        <f>IF(IF($D40="Unlabeled-13",MCDM_Settings!$F$7,MCDM_Settings!$D$7)=0,"n.a.",5*COUNTIF(P40:R40,"Y")/IF($D40="Unlabeled-13",MCDM_Settings!$F$7,MCDM_Settings!$D$7))</f>
        <v>3.3333333333333335</v>
      </c>
      <c r="AG40" s="12">
        <f>IF(IF($D40="Unlabeled-13",MCDM_Settings!$F$7,MCDM_Settings!$D$7)=0,"n.a.",5*(COUNTIF(P40:R40,"Y")+COUNTIF(P40:R40,"U")+COUNTIF(P40:R40,"X"))/IF($D40="Unlabeled-13",MCDM_Settings!$F$7,MCDM_Settings!$D$7))</f>
        <v>5</v>
      </c>
      <c r="AH40" s="13">
        <f>IF(IF($D40="Unlabeled-13",MCDM_Settings!$F$7,MCDM_Settings!$D$7)=0,"n.a.",(COUNTIF(P40:R40,"Y")+COUNTIF(P40:R40,"N"))/IF($D40="Unlabeled-13",MCDM_Settings!$F$7,MCDM_Settings!$D$7))</f>
        <v>0.66666666666666663</v>
      </c>
      <c r="AI40" s="12">
        <f>IF(IF($D40="Unlabeled-13",MCDM_Settings!$F$8,MCDM_Settings!$D$8)=0,"n.a.",5*COUNTIF(S40:U40,"Y")/IF($D40="Unlabeled-13",MCDM_Settings!$F$8,MCDM_Settings!$D$8))</f>
        <v>5</v>
      </c>
      <c r="AJ40" s="12">
        <f>IF(IF($D40="Unlabeled-13",MCDM_Settings!$F$8,MCDM_Settings!$D$8)=0,"n.a.",5*(COUNTIF(S40:U40,"Y")+COUNTIF(S40:U40,"U")+COUNTIF(S40:U40,"X"))/IF($D40="Unlabeled-13",MCDM_Settings!$F$8,MCDM_Settings!$D$8))</f>
        <v>5</v>
      </c>
      <c r="AK40" s="13">
        <f>IF(IF($D40="Unlabeled-13",MCDM_Settings!$F$8,MCDM_Settings!$D$8)=0,"n.a.",(COUNTIF(S40:U40,"Y")+COUNTIF(S40:U40,"N"))/IF($D40="Unlabeled-13",MCDM_Settings!$F$8,MCDM_Settings!$D$8))</f>
        <v>1</v>
      </c>
      <c r="AL40" s="12">
        <f>IF(IF($D40="Unlabeled-13",MCDM_Settings!$F$9,MCDM_Settings!$D$9)=0,"n.a.",5*COUNTIF(V40:W40,"Y")/IF($D40="Unlabeled-13",MCDM_Settings!$F$9,MCDM_Settings!$D$9))</f>
        <v>5</v>
      </c>
      <c r="AM40" s="12">
        <f>IF(IF($D40="Unlabeled-13",MCDM_Settings!$F$9,MCDM_Settings!$D$9)=0,"n.a.",5*(COUNTIF(V40:W40,"Y")+COUNTIF(V40:W40,"U")+COUNTIF(V40:W40,"X"))/IF($D40="Unlabeled-13",MCDM_Settings!$F$9,MCDM_Settings!$D$9))</f>
        <v>5</v>
      </c>
      <c r="AN40" s="13">
        <f>IF(IF($D40="Unlabeled-13",MCDM_Settings!$F$9,MCDM_Settings!$D$9)=0,"n.a.",(COUNTIF(V40:W40,"Y")+COUNTIF(V40:W40,"N"))/IF($D40="Unlabeled-13",MCDM_Settings!$F$9,MCDM_Settings!$D$9))</f>
        <v>1</v>
      </c>
      <c r="AO40" s="12">
        <f>IF(IF($D40="Unlabeled-13",MCDM_Settings!$F$10,MCDM_Settings!$D$10)=0,"n.a.",5*COUNTIF(X40:Y40,"Y")/IF($D40="Unlabeled-13",MCDM_Settings!$F$10,MCDM_Settings!$D$10))</f>
        <v>5</v>
      </c>
      <c r="AP40" s="12">
        <f>IF(IF($D40="Unlabeled-13",MCDM_Settings!$F$10,MCDM_Settings!$D$10)=0,"n.a.",5*(COUNTIF(X40:Y40,"Y")+COUNTIF(X40:Y40,"U")+COUNTIF(X40:Y40,"X"))/IF($D40="Unlabeled-13",MCDM_Settings!$F$10,MCDM_Settings!$D$10))</f>
        <v>5</v>
      </c>
      <c r="AQ40" s="13">
        <f>IF(IF($D40="Unlabeled-13",MCDM_Settings!$F$10,MCDM_Settings!$D$10)=0,"n.a.",(COUNTIF(X40:Y40,"Y")+COUNTIF(X40:Y40,"N"))/IF($D40="Unlabeled-13",MCDM_Settings!$F$10,MCDM_Settings!$D$10))</f>
        <v>1</v>
      </c>
      <c r="AR40" s="12">
        <f>IF(IF($D40="Unlabeled-13",MCDM_Settings!$F$11,MCDM_Settings!$D$11)=0,"n.a.",5*COUNTIF(Z40:AB40,"Y")/IF($D40="Unlabeled-13",MCDM_Settings!$F$11,MCDM_Settings!$D$11))</f>
        <v>5</v>
      </c>
      <c r="AS40" s="12">
        <f>IF(IF($D40="Unlabeled-13",MCDM_Settings!$F$11,MCDM_Settings!$D$11)=0,"n.a.",5*(COUNTIF(Z40:AB40,"Y")+COUNTIF(Z40:AB40,"U")+COUNTIF(Z40:AB40,"X"))/IF($D40="Unlabeled-13",MCDM_Settings!$F$11,MCDM_Settings!$D$11))</f>
        <v>5</v>
      </c>
      <c r="AT40" s="13">
        <f>IF(IF($D40="Unlabeled-13",MCDM_Settings!$F$11,MCDM_Settings!$D$11)=0,"n.a.",(COUNTIF(Z40:AB40,"Y")+COUNTIF(Z40:AB40,"N"))/IF($D40="Unlabeled-13",MCDM_Settings!$F$11,MCDM_Settings!$D$11))</f>
        <v>1</v>
      </c>
      <c r="AU40" s="5" t="str">
        <f>IF(AND(INDEX(Manual_Review!$G$6:$G$238,MATCH(A40,Manual_Review!$A$6:$A$238,0))&lt;&gt;"",ISNUMBER(INDEX(Manual_Review!$H$6:$H$238,MATCH(A40,Manual_Review!$A$6:$A$238,0))),INDEX(Manual_Review!$H$6:$H$238,MATCH(A40,Manual_Review!$A$6:$A$238,0))&gt;0,INDEX(Manual_Review!$I$6:$I$238,MATCH(A40,Manual_Review!$A$6:$A$238,0))="Confirmed",INDEX(Manual_Review!$AF$6:$AF$238,MATCH(A40,Manual_Review!$A$6:$A$238,0))&lt;&gt;""),IF(INDEX(Manual_Review!$AA$6:$AA$238,MATCH(A40,Manual_Review!$A$6:$A$238,0))="Pass","Pass",IF(INDEX(Manual_Review!$AA$6:$AA$238,MATCH(A40,Manual_Review!$A$6:$A$238,0))="Fail","Fail","Pending")),"Pending human identity confirmation")</f>
        <v>Pending human identity confirmation</v>
      </c>
      <c r="AV40" s="5" t="str">
        <f>IF(AND(AND(INDEX(Manual_Review!$G$6:$G$238,MATCH(A40,Manual_Review!$A$6:$A$238,0))&lt;&gt;"",ISNUMBER(INDEX(Manual_Review!$H$6:$H$238,MATCH(A40,Manual_Review!$A$6:$A$238,0))),INDEX(Manual_Review!$H$6:$H$238,MATCH(A40,Manual_Review!$A$6:$A$238,0))&gt;0,INDEX(Manual_Review!$I$6:$I$238,MATCH(A40,Manual_Review!$A$6:$A$238,0))="Confirmed",INDEX(Manual_Review!$AF$6:$AF$238,MATCH(A40,Manual_Review!$A$6:$A$238,0))&lt;&gt;""),INDEX(Manual_Review!$AG$6:$AG$238,MATCH(A40,Manual_Review!$A$6:$A$238,0))&lt;&gt;""),IF(INDEX(Manual_Review!$AB$6:$AB$238,MATCH(A40,Manual_Review!$A$6:$A$238,0))="Pass","Pass",IF(INDEX(Manual_Review!$AB$6:$AB$238,MATCH(A40,Manual_Review!$A$6:$A$238,0))="Fail","Fail","Pending")),"Not assessed: define intended task")</f>
        <v>Not assessed: define intended task</v>
      </c>
      <c r="AW40" s="5" t="str">
        <f>IF(AND(AND(INDEX(Manual_Review!$G$6:$G$238,MATCH(A40,Manual_Review!$A$6:$A$238,0))&lt;&gt;"",ISNUMBER(INDEX(Manual_Review!$H$6:$H$238,MATCH(A40,Manual_Review!$A$6:$A$238,0))),INDEX(Manual_Review!$H$6:$H$238,MATCH(A40,Manual_Review!$A$6:$A$238,0))&gt;0,INDEX(Manual_Review!$I$6:$I$238,MATCH(A40,Manual_Review!$A$6:$A$238,0))="Confirmed",INDEX(Manual_Review!$AF$6:$AF$238,MATCH(A40,Manual_Review!$A$6:$A$238,0))&lt;&gt;""),INDEX(Manual_Review!$AG$6:$AG$238,MATCH(A40,Manual_Review!$A$6:$A$238,0))&lt;&gt;""),IF(OR(INDEX(Manual_Review!$AC$6:$AC$238,MATCH(A40,Manual_Review!$A$6:$A$238,0))="Fail",INDEX(Manual_Review!$AD$6:$AD$238,MATCH(A40,Manual_Review!$A$6:$A$238,0))="Fail"),"Fail: rights or retrieval",IF(AND(INDEX(Manual_Review!$AC$6:$AC$238,MATCH(A40,Manual_Review!$A$6:$A$238,0))="Pass",INDEX(Manual_Review!$AD$6:$AD$238,MATCH(A40,Manual_Review!$A$6:$A$238,0))="Pass"),"Pass","Pending rights and retrieval")),"Pending rights and retrieval")</f>
        <v>Pending rights and retrieval</v>
      </c>
      <c r="AX40" s="5" t="str">
        <f>IF(INDEX(Manual_Review!$AG$6:$AG$238,MATCH(A40,Manual_Review!$A$6:$A$238,0))="","N/A: documentation inventory",IF(AND(INDEX(Manual_Review!$G$6:$G$238,MATCH(A40,Manual_Review!$A$6:$A$238,0))&lt;&gt;"",ISNUMBER(INDEX(Manual_Review!$H$6:$H$238,MATCH(A40,Manual_Review!$A$6:$A$238,0))),INDEX(Manual_Review!$H$6:$H$238,MATCH(A40,Manual_Review!$A$6:$A$238,0))&gt;0,INDEX(Manual_Review!$I$6:$I$238,MATCH(A40,Manual_Review!$A$6:$A$238,0))="Confirmed",INDEX(Manual_Review!$AF$6:$AF$238,MATCH(A40,Manual_Review!$A$6:$A$238,0))&lt;&gt;""),IF(INDEX(Manual_Review!$AE$6:$AE$238,MATCH(A40,Manual_Review!$A$6:$A$238,0))="Pass","Pass",IF(INDEX(Manual_Review!$AE$6:$AE$238,MATCH(A40,Manual_Review!$A$6:$A$238,0))="Fail","Fail: benchmark leakage",IF(INDEX(Manual_Review!$AE$6:$AE$238,MATCH(A40,Manual_Review!$A$6:$A$238,0))="N/A","N/A: nonbenchmark task","Pending task-specific leakage check"))),"Pending task-specific leakage check"))</f>
        <v>N/A: documentation inventory</v>
      </c>
      <c r="AY40" s="5" t="str">
        <f>IF(IF(D40="Unlabeled-13",AND(ABS(MCDM_Settings!$D$14-1)&lt;0.0000001,MIN(MCDM_Settings!$E$6:$E$11)&gt;=0,MCDM_Settings!$E$7=0),AND(ABS(MCDM_Settings!$B$14-1)&lt;0.0000001,MIN(MCDM_Settings!$C$6:$C$11)&gt;=0)),"Valid","Check weights")</f>
        <v>Valid</v>
      </c>
      <c r="AZ40" s="5" t="str">
        <f>IF(AND(COUNTIF(MCDM_Checks!$B$6:$B$3733,A40)=16,COUNTIF(Manual_Review!$A$6:$A$238,A40)=1),"16 keys present","Check key count")</f>
        <v>16 keys present</v>
      </c>
    </row>
    <row r="41" spans="1:52" ht="25.5">
      <c r="A41" s="5" t="s">
        <v>522</v>
      </c>
      <c r="B41" s="5" t="s">
        <v>523</v>
      </c>
      <c r="C41" s="5"/>
      <c r="D41" s="5" t="s">
        <v>118</v>
      </c>
      <c r="E41" s="12">
        <f>IF(OR(AY41&lt;&gt;"Valid",AZ41&lt;&gt;"16 keys present"),"Review settings",20*(IF(ISNUMBER(AC41),AC41*IF($D41="Unlabeled-13",MCDM_Settings!$E$6,MCDM_Settings!$C$6),0)+IF(ISNUMBER(AF41),AF41*IF($D41="Unlabeled-13",MCDM_Settings!$E$7,MCDM_Settings!$C$7),0)+IF(ISNUMBER(AI41),AI41*IF($D41="Unlabeled-13",MCDM_Settings!$E$8,MCDM_Settings!$C$8),0)+IF(ISNUMBER(AL41),AL41*IF($D41="Unlabeled-13",MCDM_Settings!$E$9,MCDM_Settings!$C$9),0)+IF(ISNUMBER(AO41),AO41*IF($D41="Unlabeled-13",MCDM_Settings!$E$10,MCDM_Settings!$C$10),0)+IF(ISNUMBER(AR41),AR41*IF($D41="Unlabeled-13",MCDM_Settings!$E$11,MCDM_Settings!$C$11),0)))</f>
        <v>50</v>
      </c>
      <c r="F41" s="12">
        <f>IF(OR(AY41&lt;&gt;"Valid",AZ41&lt;&gt;"16 keys present"),"Review settings",20*(IF(ISNUMBER(AD41),AD41*IF($D41="Unlabeled-13",MCDM_Settings!$E$6,MCDM_Settings!$C$6),0)+IF(ISNUMBER(AG41),AG41*IF($D41="Unlabeled-13",MCDM_Settings!$E$7,MCDM_Settings!$C$7),0)+IF(ISNUMBER(AJ41),AJ41*IF($D41="Unlabeled-13",MCDM_Settings!$E$8,MCDM_Settings!$C$8),0)+IF(ISNUMBER(AM41),AM41*IF($D41="Unlabeled-13",MCDM_Settings!$E$9,MCDM_Settings!$C$9),0)+IF(ISNUMBER(AP41),AP41*IF($D41="Unlabeled-13",MCDM_Settings!$E$10,MCDM_Settings!$C$10),0)+IF(ISNUMBER(AS41),AS41*IF($D41="Unlabeled-13",MCDM_Settings!$E$11,MCDM_Settings!$C$11),0)))</f>
        <v>99.999999999999986</v>
      </c>
      <c r="G41" s="13">
        <f>IF(OR(AY41&lt;&gt;"Valid",AZ41&lt;&gt;"16 keys present"),"Review settings",1*(IF(ISNUMBER(AE41),AE41*IF($D41="Unlabeled-13",MCDM_Settings!$E$6,MCDM_Settings!$C$6),0)+IF(ISNUMBER(AH41),AH41*IF($D41="Unlabeled-13",MCDM_Settings!$E$7,MCDM_Settings!$C$7),0)+IF(ISNUMBER(AK41),AK41*IF($D41="Unlabeled-13",MCDM_Settings!$E$8,MCDM_Settings!$C$8),0)+IF(ISNUMBER(AN41),AN41*IF($D41="Unlabeled-13",MCDM_Settings!$E$9,MCDM_Settings!$C$9),0)+IF(ISNUMBER(AQ41),AQ41*IF($D41="Unlabeled-13",MCDM_Settings!$E$10,MCDM_Settings!$C$10),0)+IF(ISNUMBER(AT41),AT41*IF($D41="Unlabeled-13",MCDM_Settings!$E$11,MCDM_Settings!$C$11),0)))</f>
        <v>0.49999999999999994</v>
      </c>
      <c r="H41" s="5" t="str">
        <f>INDEX(Manual_Review!$AH$6:$AH$238,MATCH(A41,Manual_Review!$A$6:$A$238,0))</f>
        <v>Not started</v>
      </c>
      <c r="I41" s="5" t="s">
        <v>128</v>
      </c>
      <c r="J41" s="5" t="s">
        <v>524</v>
      </c>
      <c r="K41" s="5" t="str">
        <f>HYPERLINK("https://github.com/endurancechallengeindonesia/RDDC2024-ID","Dataset")</f>
        <v>Dataset</v>
      </c>
      <c r="L41" s="5" t="str">
        <f>HYPERLINK("#'Manual_Review'!A"&amp;(MATCH("DS-036",Manual_Review!$A$6:$A$238,0)+5),"Enter review")</f>
        <v>Enter review</v>
      </c>
      <c r="M41" s="5" t="str">
        <f>INDEX(MCDM_Checks!$K$6:$K$3733,MATCH(A41&amp;"|"&amp;M$5,MCDM_Checks!$A$6:$A$3733,0))</f>
        <v>Y</v>
      </c>
      <c r="N41" s="5" t="str">
        <f>INDEX(MCDM_Checks!$K$6:$K$3733,MATCH(A41&amp;"|"&amp;N$5,MCDM_Checks!$A$6:$A$3733,0))</f>
        <v>Y</v>
      </c>
      <c r="O41" s="5" t="str">
        <f>INDEX(MCDM_Checks!$K$6:$K$3733,MATCH(A41&amp;"|"&amp;O$5,MCDM_Checks!$A$6:$A$3733,0))</f>
        <v>U</v>
      </c>
      <c r="P41" s="5" t="str">
        <f>INDEX(MCDM_Checks!$K$6:$K$3733,MATCH(A41&amp;"|"&amp;P$5,MCDM_Checks!$A$6:$A$3733,0))</f>
        <v>Y</v>
      </c>
      <c r="Q41" s="5" t="str">
        <f>INDEX(MCDM_Checks!$K$6:$K$3733,MATCH(A41&amp;"|"&amp;Q$5,MCDM_Checks!$A$6:$A$3733,0))</f>
        <v>Y</v>
      </c>
      <c r="R41" s="5" t="str">
        <f>INDEX(MCDM_Checks!$K$6:$K$3733,MATCH(A41&amp;"|"&amp;R$5,MCDM_Checks!$A$6:$A$3733,0))</f>
        <v>U</v>
      </c>
      <c r="S41" s="5" t="str">
        <f>INDEX(MCDM_Checks!$K$6:$K$3733,MATCH(A41&amp;"|"&amp;S$5,MCDM_Checks!$A$6:$A$3733,0))</f>
        <v>Y</v>
      </c>
      <c r="T41" s="5" t="str">
        <f>INDEX(MCDM_Checks!$K$6:$K$3733,MATCH(A41&amp;"|"&amp;T$5,MCDM_Checks!$A$6:$A$3733,0))</f>
        <v>Y</v>
      </c>
      <c r="U41" s="5" t="str">
        <f>INDEX(MCDM_Checks!$K$6:$K$3733,MATCH(A41&amp;"|"&amp;U$5,MCDM_Checks!$A$6:$A$3733,0))</f>
        <v>U</v>
      </c>
      <c r="V41" s="5" t="str">
        <f>INDEX(MCDM_Checks!$K$6:$K$3733,MATCH(A41&amp;"|"&amp;V$5,MCDM_Checks!$A$6:$A$3733,0))</f>
        <v>Y</v>
      </c>
      <c r="W41" s="5" t="str">
        <f>INDEX(MCDM_Checks!$K$6:$K$3733,MATCH(A41&amp;"|"&amp;W$5,MCDM_Checks!$A$6:$A$3733,0))</f>
        <v>U</v>
      </c>
      <c r="X41" s="5" t="str">
        <f>INDEX(MCDM_Checks!$K$6:$K$3733,MATCH(A41&amp;"|"&amp;X$5,MCDM_Checks!$A$6:$A$3733,0))</f>
        <v>U</v>
      </c>
      <c r="Y41" s="5" t="str">
        <f>INDEX(MCDM_Checks!$K$6:$K$3733,MATCH(A41&amp;"|"&amp;Y$5,MCDM_Checks!$A$6:$A$3733,0))</f>
        <v>Y</v>
      </c>
      <c r="Z41" s="5" t="str">
        <f>INDEX(MCDM_Checks!$K$6:$K$3733,MATCH(A41&amp;"|"&amp;Z$5,MCDM_Checks!$A$6:$A$3733,0))</f>
        <v>U</v>
      </c>
      <c r="AA41" s="5" t="str">
        <f>INDEX(MCDM_Checks!$K$6:$K$3733,MATCH(A41&amp;"|"&amp;AA$5,MCDM_Checks!$A$6:$A$3733,0))</f>
        <v>U</v>
      </c>
      <c r="AB41" s="5" t="str">
        <f>INDEX(MCDM_Checks!$K$6:$K$3733,MATCH(A41&amp;"|"&amp;AB$5,MCDM_Checks!$A$6:$A$3733,0))</f>
        <v>U</v>
      </c>
      <c r="AC41" s="12">
        <f>IF(IF($D41="Unlabeled-13",MCDM_Settings!$F$6,MCDM_Settings!$D$6)=0,"n.a.",5*COUNTIF(M41:O41,"Y")/IF($D41="Unlabeled-13",MCDM_Settings!$F$6,MCDM_Settings!$D$6))</f>
        <v>3.3333333333333335</v>
      </c>
      <c r="AD41" s="12">
        <f>IF(IF($D41="Unlabeled-13",MCDM_Settings!$F$6,MCDM_Settings!$D$6)=0,"n.a.",5*(COUNTIF(M41:O41,"Y")+COUNTIF(M41:O41,"U")+COUNTIF(M41:O41,"X"))/IF($D41="Unlabeled-13",MCDM_Settings!$F$6,MCDM_Settings!$D$6))</f>
        <v>5</v>
      </c>
      <c r="AE41" s="13">
        <f>IF(IF($D41="Unlabeled-13",MCDM_Settings!$F$6,MCDM_Settings!$D$6)=0,"n.a.",(COUNTIF(M41:O41,"Y")+COUNTIF(M41:O41,"N"))/IF($D41="Unlabeled-13",MCDM_Settings!$F$6,MCDM_Settings!$D$6))</f>
        <v>0.66666666666666663</v>
      </c>
      <c r="AF41" s="12">
        <f>IF(IF($D41="Unlabeled-13",MCDM_Settings!$F$7,MCDM_Settings!$D$7)=0,"n.a.",5*COUNTIF(P41:R41,"Y")/IF($D41="Unlabeled-13",MCDM_Settings!$F$7,MCDM_Settings!$D$7))</f>
        <v>3.3333333333333335</v>
      </c>
      <c r="AG41" s="12">
        <f>IF(IF($D41="Unlabeled-13",MCDM_Settings!$F$7,MCDM_Settings!$D$7)=0,"n.a.",5*(COUNTIF(P41:R41,"Y")+COUNTIF(P41:R41,"U")+COUNTIF(P41:R41,"X"))/IF($D41="Unlabeled-13",MCDM_Settings!$F$7,MCDM_Settings!$D$7))</f>
        <v>5</v>
      </c>
      <c r="AH41" s="13">
        <f>IF(IF($D41="Unlabeled-13",MCDM_Settings!$F$7,MCDM_Settings!$D$7)=0,"n.a.",(COUNTIF(P41:R41,"Y")+COUNTIF(P41:R41,"N"))/IF($D41="Unlabeled-13",MCDM_Settings!$F$7,MCDM_Settings!$D$7))</f>
        <v>0.66666666666666663</v>
      </c>
      <c r="AI41" s="12">
        <f>IF(IF($D41="Unlabeled-13",MCDM_Settings!$F$8,MCDM_Settings!$D$8)=0,"n.a.",5*COUNTIF(S41:U41,"Y")/IF($D41="Unlabeled-13",MCDM_Settings!$F$8,MCDM_Settings!$D$8))</f>
        <v>3.3333333333333335</v>
      </c>
      <c r="AJ41" s="12">
        <f>IF(IF($D41="Unlabeled-13",MCDM_Settings!$F$8,MCDM_Settings!$D$8)=0,"n.a.",5*(COUNTIF(S41:U41,"Y")+COUNTIF(S41:U41,"U")+COUNTIF(S41:U41,"X"))/IF($D41="Unlabeled-13",MCDM_Settings!$F$8,MCDM_Settings!$D$8))</f>
        <v>5</v>
      </c>
      <c r="AK41" s="13">
        <f>IF(IF($D41="Unlabeled-13",MCDM_Settings!$F$8,MCDM_Settings!$D$8)=0,"n.a.",(COUNTIF(S41:U41,"Y")+COUNTIF(S41:U41,"N"))/IF($D41="Unlabeled-13",MCDM_Settings!$F$8,MCDM_Settings!$D$8))</f>
        <v>0.66666666666666663</v>
      </c>
      <c r="AL41" s="12">
        <f>IF(IF($D41="Unlabeled-13",MCDM_Settings!$F$9,MCDM_Settings!$D$9)=0,"n.a.",5*COUNTIF(V41:W41,"Y")/IF($D41="Unlabeled-13",MCDM_Settings!$F$9,MCDM_Settings!$D$9))</f>
        <v>2.5</v>
      </c>
      <c r="AM41" s="12">
        <f>IF(IF($D41="Unlabeled-13",MCDM_Settings!$F$9,MCDM_Settings!$D$9)=0,"n.a.",5*(COUNTIF(V41:W41,"Y")+COUNTIF(V41:W41,"U")+COUNTIF(V41:W41,"X"))/IF($D41="Unlabeled-13",MCDM_Settings!$F$9,MCDM_Settings!$D$9))</f>
        <v>5</v>
      </c>
      <c r="AN41" s="13">
        <f>IF(IF($D41="Unlabeled-13",MCDM_Settings!$F$9,MCDM_Settings!$D$9)=0,"n.a.",(COUNTIF(V41:W41,"Y")+COUNTIF(V41:W41,"N"))/IF($D41="Unlabeled-13",MCDM_Settings!$F$9,MCDM_Settings!$D$9))</f>
        <v>0.5</v>
      </c>
      <c r="AO41" s="12">
        <f>IF(IF($D41="Unlabeled-13",MCDM_Settings!$F$10,MCDM_Settings!$D$10)=0,"n.a.",5*COUNTIF(X41:Y41,"Y")/IF($D41="Unlabeled-13",MCDM_Settings!$F$10,MCDM_Settings!$D$10))</f>
        <v>2.5</v>
      </c>
      <c r="AP41" s="12">
        <f>IF(IF($D41="Unlabeled-13",MCDM_Settings!$F$10,MCDM_Settings!$D$10)=0,"n.a.",5*(COUNTIF(X41:Y41,"Y")+COUNTIF(X41:Y41,"U")+COUNTIF(X41:Y41,"X"))/IF($D41="Unlabeled-13",MCDM_Settings!$F$10,MCDM_Settings!$D$10))</f>
        <v>5</v>
      </c>
      <c r="AQ41" s="13">
        <f>IF(IF($D41="Unlabeled-13",MCDM_Settings!$F$10,MCDM_Settings!$D$10)=0,"n.a.",(COUNTIF(X41:Y41,"Y")+COUNTIF(X41:Y41,"N"))/IF($D41="Unlabeled-13",MCDM_Settings!$F$10,MCDM_Settings!$D$10))</f>
        <v>0.5</v>
      </c>
      <c r="AR41" s="12">
        <f>IF(IF($D41="Unlabeled-13",MCDM_Settings!$F$11,MCDM_Settings!$D$11)=0,"n.a.",5*COUNTIF(Z41:AB41,"Y")/IF($D41="Unlabeled-13",MCDM_Settings!$F$11,MCDM_Settings!$D$11))</f>
        <v>0</v>
      </c>
      <c r="AS41" s="12">
        <f>IF(IF($D41="Unlabeled-13",MCDM_Settings!$F$11,MCDM_Settings!$D$11)=0,"n.a.",5*(COUNTIF(Z41:AB41,"Y")+COUNTIF(Z41:AB41,"U")+COUNTIF(Z41:AB41,"X"))/IF($D41="Unlabeled-13",MCDM_Settings!$F$11,MCDM_Settings!$D$11))</f>
        <v>5</v>
      </c>
      <c r="AT41" s="13">
        <f>IF(IF($D41="Unlabeled-13",MCDM_Settings!$F$11,MCDM_Settings!$D$11)=0,"n.a.",(COUNTIF(Z41:AB41,"Y")+COUNTIF(Z41:AB41,"N"))/IF($D41="Unlabeled-13",MCDM_Settings!$F$11,MCDM_Settings!$D$11))</f>
        <v>0</v>
      </c>
      <c r="AU41" s="5" t="str">
        <f>IF(AND(INDEX(Manual_Review!$G$6:$G$238,MATCH(A41,Manual_Review!$A$6:$A$238,0))&lt;&gt;"",ISNUMBER(INDEX(Manual_Review!$H$6:$H$238,MATCH(A41,Manual_Review!$A$6:$A$238,0))),INDEX(Manual_Review!$H$6:$H$238,MATCH(A41,Manual_Review!$A$6:$A$238,0))&gt;0,INDEX(Manual_Review!$I$6:$I$238,MATCH(A41,Manual_Review!$A$6:$A$238,0))="Confirmed",INDEX(Manual_Review!$AF$6:$AF$238,MATCH(A41,Manual_Review!$A$6:$A$238,0))&lt;&gt;""),IF(INDEX(Manual_Review!$AA$6:$AA$238,MATCH(A41,Manual_Review!$A$6:$A$238,0))="Pass","Pass",IF(INDEX(Manual_Review!$AA$6:$AA$238,MATCH(A41,Manual_Review!$A$6:$A$238,0))="Fail","Fail","Pending")),"Pending human identity confirmation")</f>
        <v>Pending human identity confirmation</v>
      </c>
      <c r="AV41" s="5" t="str">
        <f>IF(AND(AND(INDEX(Manual_Review!$G$6:$G$238,MATCH(A41,Manual_Review!$A$6:$A$238,0))&lt;&gt;"",ISNUMBER(INDEX(Manual_Review!$H$6:$H$238,MATCH(A41,Manual_Review!$A$6:$A$238,0))),INDEX(Manual_Review!$H$6:$H$238,MATCH(A41,Manual_Review!$A$6:$A$238,0))&gt;0,INDEX(Manual_Review!$I$6:$I$238,MATCH(A41,Manual_Review!$A$6:$A$238,0))="Confirmed",INDEX(Manual_Review!$AF$6:$AF$238,MATCH(A41,Manual_Review!$A$6:$A$238,0))&lt;&gt;""),INDEX(Manual_Review!$AG$6:$AG$238,MATCH(A41,Manual_Review!$A$6:$A$238,0))&lt;&gt;""),IF(INDEX(Manual_Review!$AB$6:$AB$238,MATCH(A41,Manual_Review!$A$6:$A$238,0))="Pass","Pass",IF(INDEX(Manual_Review!$AB$6:$AB$238,MATCH(A41,Manual_Review!$A$6:$A$238,0))="Fail","Fail","Pending")),"Not assessed: define intended task")</f>
        <v>Not assessed: define intended task</v>
      </c>
      <c r="AW41" s="5" t="str">
        <f>IF(AND(AND(INDEX(Manual_Review!$G$6:$G$238,MATCH(A41,Manual_Review!$A$6:$A$238,0))&lt;&gt;"",ISNUMBER(INDEX(Manual_Review!$H$6:$H$238,MATCH(A41,Manual_Review!$A$6:$A$238,0))),INDEX(Manual_Review!$H$6:$H$238,MATCH(A41,Manual_Review!$A$6:$A$238,0))&gt;0,INDEX(Manual_Review!$I$6:$I$238,MATCH(A41,Manual_Review!$A$6:$A$238,0))="Confirmed",INDEX(Manual_Review!$AF$6:$AF$238,MATCH(A41,Manual_Review!$A$6:$A$238,0))&lt;&gt;""),INDEX(Manual_Review!$AG$6:$AG$238,MATCH(A41,Manual_Review!$A$6:$A$238,0))&lt;&gt;""),IF(OR(INDEX(Manual_Review!$AC$6:$AC$238,MATCH(A41,Manual_Review!$A$6:$A$238,0))="Fail",INDEX(Manual_Review!$AD$6:$AD$238,MATCH(A41,Manual_Review!$A$6:$A$238,0))="Fail"),"Fail: rights or retrieval",IF(AND(INDEX(Manual_Review!$AC$6:$AC$238,MATCH(A41,Manual_Review!$A$6:$A$238,0))="Pass",INDEX(Manual_Review!$AD$6:$AD$238,MATCH(A41,Manual_Review!$A$6:$A$238,0))="Pass"),"Pass","Pending rights and retrieval")),"Pending rights and retrieval")</f>
        <v>Pending rights and retrieval</v>
      </c>
      <c r="AX41" s="5" t="str">
        <f>IF(INDEX(Manual_Review!$AG$6:$AG$238,MATCH(A41,Manual_Review!$A$6:$A$238,0))="","N/A: documentation inventory",IF(AND(INDEX(Manual_Review!$G$6:$G$238,MATCH(A41,Manual_Review!$A$6:$A$238,0))&lt;&gt;"",ISNUMBER(INDEX(Manual_Review!$H$6:$H$238,MATCH(A41,Manual_Review!$A$6:$A$238,0))),INDEX(Manual_Review!$H$6:$H$238,MATCH(A41,Manual_Review!$A$6:$A$238,0))&gt;0,INDEX(Manual_Review!$I$6:$I$238,MATCH(A41,Manual_Review!$A$6:$A$238,0))="Confirmed",INDEX(Manual_Review!$AF$6:$AF$238,MATCH(A41,Manual_Review!$A$6:$A$238,0))&lt;&gt;""),IF(INDEX(Manual_Review!$AE$6:$AE$238,MATCH(A41,Manual_Review!$A$6:$A$238,0))="Pass","Pass",IF(INDEX(Manual_Review!$AE$6:$AE$238,MATCH(A41,Manual_Review!$A$6:$A$238,0))="Fail","Fail: benchmark leakage",IF(INDEX(Manual_Review!$AE$6:$AE$238,MATCH(A41,Manual_Review!$A$6:$A$238,0))="N/A","N/A: nonbenchmark task","Pending task-specific leakage check"))),"Pending task-specific leakage check"))</f>
        <v>N/A: documentation inventory</v>
      </c>
      <c r="AY41" s="5" t="str">
        <f>IF(IF(D41="Unlabeled-13",AND(ABS(MCDM_Settings!$D$14-1)&lt;0.0000001,MIN(MCDM_Settings!$E$6:$E$11)&gt;=0,MCDM_Settings!$E$7=0),AND(ABS(MCDM_Settings!$B$14-1)&lt;0.0000001,MIN(MCDM_Settings!$C$6:$C$11)&gt;=0)),"Valid","Check weights")</f>
        <v>Valid</v>
      </c>
      <c r="AZ41" s="5" t="str">
        <f>IF(AND(COUNTIF(MCDM_Checks!$B$6:$B$3733,A41)=16,COUNTIF(Manual_Review!$A$6:$A$238,A41)=1),"16 keys present","Check key count")</f>
        <v>16 keys present</v>
      </c>
    </row>
    <row r="42" spans="1:52">
      <c r="A42" s="5" t="s">
        <v>532</v>
      </c>
      <c r="B42" s="5" t="s">
        <v>533</v>
      </c>
      <c r="C42" s="5"/>
      <c r="D42" s="5" t="s">
        <v>118</v>
      </c>
      <c r="E42" s="12">
        <f>IF(OR(AY42&lt;&gt;"Valid",AZ42&lt;&gt;"16 keys present"),"Review settings",20*(IF(ISNUMBER(AC42),AC42*IF($D42="Unlabeled-13",MCDM_Settings!$E$6,MCDM_Settings!$C$6),0)+IF(ISNUMBER(AF42),AF42*IF($D42="Unlabeled-13",MCDM_Settings!$E$7,MCDM_Settings!$C$7),0)+IF(ISNUMBER(AI42),AI42*IF($D42="Unlabeled-13",MCDM_Settings!$E$8,MCDM_Settings!$C$8),0)+IF(ISNUMBER(AL42),AL42*IF($D42="Unlabeled-13",MCDM_Settings!$E$9,MCDM_Settings!$C$9),0)+IF(ISNUMBER(AO42),AO42*IF($D42="Unlabeled-13",MCDM_Settings!$E$10,MCDM_Settings!$C$10),0)+IF(ISNUMBER(AR42),AR42*IF($D42="Unlabeled-13",MCDM_Settings!$E$11,MCDM_Settings!$C$11),0)))</f>
        <v>74.999999999999986</v>
      </c>
      <c r="F42" s="12">
        <f>IF(OR(AY42&lt;&gt;"Valid",AZ42&lt;&gt;"16 keys present"),"Review settings",20*(IF(ISNUMBER(AD42),AD42*IF($D42="Unlabeled-13",MCDM_Settings!$E$6,MCDM_Settings!$C$6),0)+IF(ISNUMBER(AG42),AG42*IF($D42="Unlabeled-13",MCDM_Settings!$E$7,MCDM_Settings!$C$7),0)+IF(ISNUMBER(AJ42),AJ42*IF($D42="Unlabeled-13",MCDM_Settings!$E$8,MCDM_Settings!$C$8),0)+IF(ISNUMBER(AM42),AM42*IF($D42="Unlabeled-13",MCDM_Settings!$E$9,MCDM_Settings!$C$9),0)+IF(ISNUMBER(AP42),AP42*IF($D42="Unlabeled-13",MCDM_Settings!$E$10,MCDM_Settings!$C$10),0)+IF(ISNUMBER(AS42),AS42*IF($D42="Unlabeled-13",MCDM_Settings!$E$11,MCDM_Settings!$C$11),0)))</f>
        <v>99.999999999999986</v>
      </c>
      <c r="G42" s="13">
        <f>IF(OR(AY42&lt;&gt;"Valid",AZ42&lt;&gt;"16 keys present"),"Review settings",1*(IF(ISNUMBER(AE42),AE42*IF($D42="Unlabeled-13",MCDM_Settings!$E$6,MCDM_Settings!$C$6),0)+IF(ISNUMBER(AH42),AH42*IF($D42="Unlabeled-13",MCDM_Settings!$E$7,MCDM_Settings!$C$7),0)+IF(ISNUMBER(AK42),AK42*IF($D42="Unlabeled-13",MCDM_Settings!$E$8,MCDM_Settings!$C$8),0)+IF(ISNUMBER(AN42),AN42*IF($D42="Unlabeled-13",MCDM_Settings!$E$9,MCDM_Settings!$C$9),0)+IF(ISNUMBER(AQ42),AQ42*IF($D42="Unlabeled-13",MCDM_Settings!$E$10,MCDM_Settings!$C$10),0)+IF(ISNUMBER(AT42),AT42*IF($D42="Unlabeled-13",MCDM_Settings!$E$11,MCDM_Settings!$C$11),0)))</f>
        <v>0.75</v>
      </c>
      <c r="H42" s="5" t="str">
        <f>INDEX(Manual_Review!$AH$6:$AH$238,MATCH(A42,Manual_Review!$A$6:$A$238,0))</f>
        <v>Not started</v>
      </c>
      <c r="I42" s="5" t="s">
        <v>128</v>
      </c>
      <c r="J42" s="5" t="s">
        <v>534</v>
      </c>
      <c r="K42" s="5" t="str">
        <f>HYPERLINK("https://github.com/sekilab/RoadDamageDetector","Dataset")</f>
        <v>Dataset</v>
      </c>
      <c r="L42" s="5" t="str">
        <f>HYPERLINK("#'Manual_Review'!A"&amp;(MATCH("DS-037",Manual_Review!$A$6:$A$238,0)+5),"Enter review")</f>
        <v>Enter review</v>
      </c>
      <c r="M42" s="5" t="str">
        <f>INDEX(MCDM_Checks!$K$6:$K$3733,MATCH(A42&amp;"|"&amp;M$5,MCDM_Checks!$A$6:$A$3733,0))</f>
        <v>Y</v>
      </c>
      <c r="N42" s="5" t="str">
        <f>INDEX(MCDM_Checks!$K$6:$K$3733,MATCH(A42&amp;"|"&amp;N$5,MCDM_Checks!$A$6:$A$3733,0))</f>
        <v>Y</v>
      </c>
      <c r="O42" s="5" t="str">
        <f>INDEX(MCDM_Checks!$K$6:$K$3733,MATCH(A42&amp;"|"&amp;O$5,MCDM_Checks!$A$6:$A$3733,0))</f>
        <v>Y</v>
      </c>
      <c r="P42" s="5" t="str">
        <f>INDEX(MCDM_Checks!$K$6:$K$3733,MATCH(A42&amp;"|"&amp;P$5,MCDM_Checks!$A$6:$A$3733,0))</f>
        <v>Y</v>
      </c>
      <c r="Q42" s="5" t="str">
        <f>INDEX(MCDM_Checks!$K$6:$K$3733,MATCH(A42&amp;"|"&amp;Q$5,MCDM_Checks!$A$6:$A$3733,0))</f>
        <v>Y</v>
      </c>
      <c r="R42" s="5" t="str">
        <f>INDEX(MCDM_Checks!$K$6:$K$3733,MATCH(A42&amp;"|"&amp;R$5,MCDM_Checks!$A$6:$A$3733,0))</f>
        <v>U</v>
      </c>
      <c r="S42" s="5" t="str">
        <f>INDEX(MCDM_Checks!$K$6:$K$3733,MATCH(A42&amp;"|"&amp;S$5,MCDM_Checks!$A$6:$A$3733,0))</f>
        <v>U</v>
      </c>
      <c r="T42" s="5" t="str">
        <f>INDEX(MCDM_Checks!$K$6:$K$3733,MATCH(A42&amp;"|"&amp;T$5,MCDM_Checks!$A$6:$A$3733,0))</f>
        <v>Y</v>
      </c>
      <c r="U42" s="5" t="str">
        <f>INDEX(MCDM_Checks!$K$6:$K$3733,MATCH(A42&amp;"|"&amp;U$5,MCDM_Checks!$A$6:$A$3733,0))</f>
        <v>U</v>
      </c>
      <c r="V42" s="5" t="str">
        <f>INDEX(MCDM_Checks!$K$6:$K$3733,MATCH(A42&amp;"|"&amp;V$5,MCDM_Checks!$A$6:$A$3733,0))</f>
        <v>Y</v>
      </c>
      <c r="W42" s="5" t="str">
        <f>INDEX(MCDM_Checks!$K$6:$K$3733,MATCH(A42&amp;"|"&amp;W$5,MCDM_Checks!$A$6:$A$3733,0))</f>
        <v>U</v>
      </c>
      <c r="X42" s="5" t="str">
        <f>INDEX(MCDM_Checks!$K$6:$K$3733,MATCH(A42&amp;"|"&amp;X$5,MCDM_Checks!$A$6:$A$3733,0))</f>
        <v>Y</v>
      </c>
      <c r="Y42" s="5" t="str">
        <f>INDEX(MCDM_Checks!$K$6:$K$3733,MATCH(A42&amp;"|"&amp;Y$5,MCDM_Checks!$A$6:$A$3733,0))</f>
        <v>Y</v>
      </c>
      <c r="Z42" s="5" t="str">
        <f>INDEX(MCDM_Checks!$K$6:$K$3733,MATCH(A42&amp;"|"&amp;Z$5,MCDM_Checks!$A$6:$A$3733,0))</f>
        <v>Y</v>
      </c>
      <c r="AA42" s="5" t="str">
        <f>INDEX(MCDM_Checks!$K$6:$K$3733,MATCH(A42&amp;"|"&amp;AA$5,MCDM_Checks!$A$6:$A$3733,0))</f>
        <v>Y</v>
      </c>
      <c r="AB42" s="5" t="str">
        <f>INDEX(MCDM_Checks!$K$6:$K$3733,MATCH(A42&amp;"|"&amp;AB$5,MCDM_Checks!$A$6:$A$3733,0))</f>
        <v>Y</v>
      </c>
      <c r="AC42" s="12">
        <f>IF(IF($D42="Unlabeled-13",MCDM_Settings!$F$6,MCDM_Settings!$D$6)=0,"n.a.",5*COUNTIF(M42:O42,"Y")/IF($D42="Unlabeled-13",MCDM_Settings!$F$6,MCDM_Settings!$D$6))</f>
        <v>5</v>
      </c>
      <c r="AD42" s="12">
        <f>IF(IF($D42="Unlabeled-13",MCDM_Settings!$F$6,MCDM_Settings!$D$6)=0,"n.a.",5*(COUNTIF(M42:O42,"Y")+COUNTIF(M42:O42,"U")+COUNTIF(M42:O42,"X"))/IF($D42="Unlabeled-13",MCDM_Settings!$F$6,MCDM_Settings!$D$6))</f>
        <v>5</v>
      </c>
      <c r="AE42" s="13">
        <f>IF(IF($D42="Unlabeled-13",MCDM_Settings!$F$6,MCDM_Settings!$D$6)=0,"n.a.",(COUNTIF(M42:O42,"Y")+COUNTIF(M42:O42,"N"))/IF($D42="Unlabeled-13",MCDM_Settings!$F$6,MCDM_Settings!$D$6))</f>
        <v>1</v>
      </c>
      <c r="AF42" s="12">
        <f>IF(IF($D42="Unlabeled-13",MCDM_Settings!$F$7,MCDM_Settings!$D$7)=0,"n.a.",5*COUNTIF(P42:R42,"Y")/IF($D42="Unlabeled-13",MCDM_Settings!$F$7,MCDM_Settings!$D$7))</f>
        <v>3.3333333333333335</v>
      </c>
      <c r="AG42" s="12">
        <f>IF(IF($D42="Unlabeled-13",MCDM_Settings!$F$7,MCDM_Settings!$D$7)=0,"n.a.",5*(COUNTIF(P42:R42,"Y")+COUNTIF(P42:R42,"U")+COUNTIF(P42:R42,"X"))/IF($D42="Unlabeled-13",MCDM_Settings!$F$7,MCDM_Settings!$D$7))</f>
        <v>5</v>
      </c>
      <c r="AH42" s="13">
        <f>IF(IF($D42="Unlabeled-13",MCDM_Settings!$F$7,MCDM_Settings!$D$7)=0,"n.a.",(COUNTIF(P42:R42,"Y")+COUNTIF(P42:R42,"N"))/IF($D42="Unlabeled-13",MCDM_Settings!$F$7,MCDM_Settings!$D$7))</f>
        <v>0.66666666666666663</v>
      </c>
      <c r="AI42" s="12">
        <f>IF(IF($D42="Unlabeled-13",MCDM_Settings!$F$8,MCDM_Settings!$D$8)=0,"n.a.",5*COUNTIF(S42:U42,"Y")/IF($D42="Unlabeled-13",MCDM_Settings!$F$8,MCDM_Settings!$D$8))</f>
        <v>1.6666666666666667</v>
      </c>
      <c r="AJ42" s="12">
        <f>IF(IF($D42="Unlabeled-13",MCDM_Settings!$F$8,MCDM_Settings!$D$8)=0,"n.a.",5*(COUNTIF(S42:U42,"Y")+COUNTIF(S42:U42,"U")+COUNTIF(S42:U42,"X"))/IF($D42="Unlabeled-13",MCDM_Settings!$F$8,MCDM_Settings!$D$8))</f>
        <v>5</v>
      </c>
      <c r="AK42" s="13">
        <f>IF(IF($D42="Unlabeled-13",MCDM_Settings!$F$8,MCDM_Settings!$D$8)=0,"n.a.",(COUNTIF(S42:U42,"Y")+COUNTIF(S42:U42,"N"))/IF($D42="Unlabeled-13",MCDM_Settings!$F$8,MCDM_Settings!$D$8))</f>
        <v>0.33333333333333331</v>
      </c>
      <c r="AL42" s="12">
        <f>IF(IF($D42="Unlabeled-13",MCDM_Settings!$F$9,MCDM_Settings!$D$9)=0,"n.a.",5*COUNTIF(V42:W42,"Y")/IF($D42="Unlabeled-13",MCDM_Settings!$F$9,MCDM_Settings!$D$9))</f>
        <v>2.5</v>
      </c>
      <c r="AM42" s="12">
        <f>IF(IF($D42="Unlabeled-13",MCDM_Settings!$F$9,MCDM_Settings!$D$9)=0,"n.a.",5*(COUNTIF(V42:W42,"Y")+COUNTIF(V42:W42,"U")+COUNTIF(V42:W42,"X"))/IF($D42="Unlabeled-13",MCDM_Settings!$F$9,MCDM_Settings!$D$9))</f>
        <v>5</v>
      </c>
      <c r="AN42" s="13">
        <f>IF(IF($D42="Unlabeled-13",MCDM_Settings!$F$9,MCDM_Settings!$D$9)=0,"n.a.",(COUNTIF(V42:W42,"Y")+COUNTIF(V42:W42,"N"))/IF($D42="Unlabeled-13",MCDM_Settings!$F$9,MCDM_Settings!$D$9))</f>
        <v>0.5</v>
      </c>
      <c r="AO42" s="12">
        <f>IF(IF($D42="Unlabeled-13",MCDM_Settings!$F$10,MCDM_Settings!$D$10)=0,"n.a.",5*COUNTIF(X42:Y42,"Y")/IF($D42="Unlabeled-13",MCDM_Settings!$F$10,MCDM_Settings!$D$10))</f>
        <v>5</v>
      </c>
      <c r="AP42" s="12">
        <f>IF(IF($D42="Unlabeled-13",MCDM_Settings!$F$10,MCDM_Settings!$D$10)=0,"n.a.",5*(COUNTIF(X42:Y42,"Y")+COUNTIF(X42:Y42,"U")+COUNTIF(X42:Y42,"X"))/IF($D42="Unlabeled-13",MCDM_Settings!$F$10,MCDM_Settings!$D$10))</f>
        <v>5</v>
      </c>
      <c r="AQ42" s="13">
        <f>IF(IF($D42="Unlabeled-13",MCDM_Settings!$F$10,MCDM_Settings!$D$10)=0,"n.a.",(COUNTIF(X42:Y42,"Y")+COUNTIF(X42:Y42,"N"))/IF($D42="Unlabeled-13",MCDM_Settings!$F$10,MCDM_Settings!$D$10))</f>
        <v>1</v>
      </c>
      <c r="AR42" s="12">
        <f>IF(IF($D42="Unlabeled-13",MCDM_Settings!$F$11,MCDM_Settings!$D$11)=0,"n.a.",5*COUNTIF(Z42:AB42,"Y")/IF($D42="Unlabeled-13",MCDM_Settings!$F$11,MCDM_Settings!$D$11))</f>
        <v>5</v>
      </c>
      <c r="AS42" s="12">
        <f>IF(IF($D42="Unlabeled-13",MCDM_Settings!$F$11,MCDM_Settings!$D$11)=0,"n.a.",5*(COUNTIF(Z42:AB42,"Y")+COUNTIF(Z42:AB42,"U")+COUNTIF(Z42:AB42,"X"))/IF($D42="Unlabeled-13",MCDM_Settings!$F$11,MCDM_Settings!$D$11))</f>
        <v>5</v>
      </c>
      <c r="AT42" s="13">
        <f>IF(IF($D42="Unlabeled-13",MCDM_Settings!$F$11,MCDM_Settings!$D$11)=0,"n.a.",(COUNTIF(Z42:AB42,"Y")+COUNTIF(Z42:AB42,"N"))/IF($D42="Unlabeled-13",MCDM_Settings!$F$11,MCDM_Settings!$D$11))</f>
        <v>1</v>
      </c>
      <c r="AU42" s="5" t="str">
        <f>IF(AND(INDEX(Manual_Review!$G$6:$G$238,MATCH(A42,Manual_Review!$A$6:$A$238,0))&lt;&gt;"",ISNUMBER(INDEX(Manual_Review!$H$6:$H$238,MATCH(A42,Manual_Review!$A$6:$A$238,0))),INDEX(Manual_Review!$H$6:$H$238,MATCH(A42,Manual_Review!$A$6:$A$238,0))&gt;0,INDEX(Manual_Review!$I$6:$I$238,MATCH(A42,Manual_Review!$A$6:$A$238,0))="Confirmed",INDEX(Manual_Review!$AF$6:$AF$238,MATCH(A42,Manual_Review!$A$6:$A$238,0))&lt;&gt;""),IF(INDEX(Manual_Review!$AA$6:$AA$238,MATCH(A42,Manual_Review!$A$6:$A$238,0))="Pass","Pass",IF(INDEX(Manual_Review!$AA$6:$AA$238,MATCH(A42,Manual_Review!$A$6:$A$238,0))="Fail","Fail","Pending")),"Pending human identity confirmation")</f>
        <v>Pending human identity confirmation</v>
      </c>
      <c r="AV42" s="5" t="str">
        <f>IF(AND(AND(INDEX(Manual_Review!$G$6:$G$238,MATCH(A42,Manual_Review!$A$6:$A$238,0))&lt;&gt;"",ISNUMBER(INDEX(Manual_Review!$H$6:$H$238,MATCH(A42,Manual_Review!$A$6:$A$238,0))),INDEX(Manual_Review!$H$6:$H$238,MATCH(A42,Manual_Review!$A$6:$A$238,0))&gt;0,INDEX(Manual_Review!$I$6:$I$238,MATCH(A42,Manual_Review!$A$6:$A$238,0))="Confirmed",INDEX(Manual_Review!$AF$6:$AF$238,MATCH(A42,Manual_Review!$A$6:$A$238,0))&lt;&gt;""),INDEX(Manual_Review!$AG$6:$AG$238,MATCH(A42,Manual_Review!$A$6:$A$238,0))&lt;&gt;""),IF(INDEX(Manual_Review!$AB$6:$AB$238,MATCH(A42,Manual_Review!$A$6:$A$238,0))="Pass","Pass",IF(INDEX(Manual_Review!$AB$6:$AB$238,MATCH(A42,Manual_Review!$A$6:$A$238,0))="Fail","Fail","Pending")),"Not assessed: define intended task")</f>
        <v>Not assessed: define intended task</v>
      </c>
      <c r="AW42" s="5" t="str">
        <f>IF(AND(AND(INDEX(Manual_Review!$G$6:$G$238,MATCH(A42,Manual_Review!$A$6:$A$238,0))&lt;&gt;"",ISNUMBER(INDEX(Manual_Review!$H$6:$H$238,MATCH(A42,Manual_Review!$A$6:$A$238,0))),INDEX(Manual_Review!$H$6:$H$238,MATCH(A42,Manual_Review!$A$6:$A$238,0))&gt;0,INDEX(Manual_Review!$I$6:$I$238,MATCH(A42,Manual_Review!$A$6:$A$238,0))="Confirmed",INDEX(Manual_Review!$AF$6:$AF$238,MATCH(A42,Manual_Review!$A$6:$A$238,0))&lt;&gt;""),INDEX(Manual_Review!$AG$6:$AG$238,MATCH(A42,Manual_Review!$A$6:$A$238,0))&lt;&gt;""),IF(OR(INDEX(Manual_Review!$AC$6:$AC$238,MATCH(A42,Manual_Review!$A$6:$A$238,0))="Fail",INDEX(Manual_Review!$AD$6:$AD$238,MATCH(A42,Manual_Review!$A$6:$A$238,0))="Fail"),"Fail: rights or retrieval",IF(AND(INDEX(Manual_Review!$AC$6:$AC$238,MATCH(A42,Manual_Review!$A$6:$A$238,0))="Pass",INDEX(Manual_Review!$AD$6:$AD$238,MATCH(A42,Manual_Review!$A$6:$A$238,0))="Pass"),"Pass","Pending rights and retrieval")),"Pending rights and retrieval")</f>
        <v>Pending rights and retrieval</v>
      </c>
      <c r="AX42" s="5" t="str">
        <f>IF(INDEX(Manual_Review!$AG$6:$AG$238,MATCH(A42,Manual_Review!$A$6:$A$238,0))="","N/A: documentation inventory",IF(AND(INDEX(Manual_Review!$G$6:$G$238,MATCH(A42,Manual_Review!$A$6:$A$238,0))&lt;&gt;"",ISNUMBER(INDEX(Manual_Review!$H$6:$H$238,MATCH(A42,Manual_Review!$A$6:$A$238,0))),INDEX(Manual_Review!$H$6:$H$238,MATCH(A42,Manual_Review!$A$6:$A$238,0))&gt;0,INDEX(Manual_Review!$I$6:$I$238,MATCH(A42,Manual_Review!$A$6:$A$238,0))="Confirmed",INDEX(Manual_Review!$AF$6:$AF$238,MATCH(A42,Manual_Review!$A$6:$A$238,0))&lt;&gt;""),IF(INDEX(Manual_Review!$AE$6:$AE$238,MATCH(A42,Manual_Review!$A$6:$A$238,0))="Pass","Pass",IF(INDEX(Manual_Review!$AE$6:$AE$238,MATCH(A42,Manual_Review!$A$6:$A$238,0))="Fail","Fail: benchmark leakage",IF(INDEX(Manual_Review!$AE$6:$AE$238,MATCH(A42,Manual_Review!$A$6:$A$238,0))="N/A","N/A: nonbenchmark task","Pending task-specific leakage check"))),"Pending task-specific leakage check"))</f>
        <v>N/A: documentation inventory</v>
      </c>
      <c r="AY42" s="5" t="str">
        <f>IF(IF(D42="Unlabeled-13",AND(ABS(MCDM_Settings!$D$14-1)&lt;0.0000001,MIN(MCDM_Settings!$E$6:$E$11)&gt;=0,MCDM_Settings!$E$7=0),AND(ABS(MCDM_Settings!$B$14-1)&lt;0.0000001,MIN(MCDM_Settings!$C$6:$C$11)&gt;=0)),"Valid","Check weights")</f>
        <v>Valid</v>
      </c>
      <c r="AZ42" s="5" t="str">
        <f>IF(AND(COUNTIF(MCDM_Checks!$B$6:$B$3733,A42)=16,COUNTIF(Manual_Review!$A$6:$A$238,A42)=1),"16 keys present","Check key count")</f>
        <v>16 keys present</v>
      </c>
    </row>
    <row r="43" spans="1:52">
      <c r="A43" s="5" t="s">
        <v>545</v>
      </c>
      <c r="B43" s="5" t="s">
        <v>546</v>
      </c>
      <c r="C43" s="5"/>
      <c r="D43" s="5" t="s">
        <v>118</v>
      </c>
      <c r="E43" s="12">
        <f>IF(OR(AY43&lt;&gt;"Valid",AZ43&lt;&gt;"16 keys present"),"Review settings",20*(IF(ISNUMBER(AC43),AC43*IF($D43="Unlabeled-13",MCDM_Settings!$E$6,MCDM_Settings!$C$6),0)+IF(ISNUMBER(AF43),AF43*IF($D43="Unlabeled-13",MCDM_Settings!$E$7,MCDM_Settings!$C$7),0)+IF(ISNUMBER(AI43),AI43*IF($D43="Unlabeled-13",MCDM_Settings!$E$8,MCDM_Settings!$C$8),0)+IF(ISNUMBER(AL43),AL43*IF($D43="Unlabeled-13",MCDM_Settings!$E$9,MCDM_Settings!$C$9),0)+IF(ISNUMBER(AO43),AO43*IF($D43="Unlabeled-13",MCDM_Settings!$E$10,MCDM_Settings!$C$10),0)+IF(ISNUMBER(AR43),AR43*IF($D43="Unlabeled-13",MCDM_Settings!$E$11,MCDM_Settings!$C$11),0)))</f>
        <v>44.444444444444443</v>
      </c>
      <c r="F43" s="12">
        <f>IF(OR(AY43&lt;&gt;"Valid",AZ43&lt;&gt;"16 keys present"),"Review settings",20*(IF(ISNUMBER(AD43),AD43*IF($D43="Unlabeled-13",MCDM_Settings!$E$6,MCDM_Settings!$C$6),0)+IF(ISNUMBER(AG43),AG43*IF($D43="Unlabeled-13",MCDM_Settings!$E$7,MCDM_Settings!$C$7),0)+IF(ISNUMBER(AJ43),AJ43*IF($D43="Unlabeled-13",MCDM_Settings!$E$8,MCDM_Settings!$C$8),0)+IF(ISNUMBER(AM43),AM43*IF($D43="Unlabeled-13",MCDM_Settings!$E$9,MCDM_Settings!$C$9),0)+IF(ISNUMBER(AP43),AP43*IF($D43="Unlabeled-13",MCDM_Settings!$E$10,MCDM_Settings!$C$10),0)+IF(ISNUMBER(AS43),AS43*IF($D43="Unlabeled-13",MCDM_Settings!$E$11,MCDM_Settings!$C$11),0)))</f>
        <v>99.999999999999986</v>
      </c>
      <c r="G43" s="13">
        <f>IF(OR(AY43&lt;&gt;"Valid",AZ43&lt;&gt;"16 keys present"),"Review settings",1*(IF(ISNUMBER(AE43),AE43*IF($D43="Unlabeled-13",MCDM_Settings!$E$6,MCDM_Settings!$C$6),0)+IF(ISNUMBER(AH43),AH43*IF($D43="Unlabeled-13",MCDM_Settings!$E$7,MCDM_Settings!$C$7),0)+IF(ISNUMBER(AK43),AK43*IF($D43="Unlabeled-13",MCDM_Settings!$E$8,MCDM_Settings!$C$8),0)+IF(ISNUMBER(AN43),AN43*IF($D43="Unlabeled-13",MCDM_Settings!$E$9,MCDM_Settings!$C$9),0)+IF(ISNUMBER(AQ43),AQ43*IF($D43="Unlabeled-13",MCDM_Settings!$E$10,MCDM_Settings!$C$10),0)+IF(ISNUMBER(AT43),AT43*IF($D43="Unlabeled-13",MCDM_Settings!$E$11,MCDM_Settings!$C$11),0)))</f>
        <v>0.44444444444444442</v>
      </c>
      <c r="H43" s="5" t="str">
        <f>INDEX(Manual_Review!$AH$6:$AH$238,MATCH(A43,Manual_Review!$A$6:$A$238,0))</f>
        <v>Not started</v>
      </c>
      <c r="I43" s="5" t="s">
        <v>128</v>
      </c>
      <c r="J43" s="5" t="s">
        <v>547</v>
      </c>
      <c r="K43" s="5" t="str">
        <f>HYPERLINK("https://github.com/sekilab/RoadDamageDetector","Dataset")</f>
        <v>Dataset</v>
      </c>
      <c r="L43" s="5" t="str">
        <f>HYPERLINK("#'Manual_Review'!A"&amp;(MATCH("DS-038",Manual_Review!$A$6:$A$238,0)+5),"Enter review")</f>
        <v>Enter review</v>
      </c>
      <c r="M43" s="5" t="str">
        <f>INDEX(MCDM_Checks!$K$6:$K$3733,MATCH(A43&amp;"|"&amp;M$5,MCDM_Checks!$A$6:$A$3733,0))</f>
        <v>Y</v>
      </c>
      <c r="N43" s="5" t="str">
        <f>INDEX(MCDM_Checks!$K$6:$K$3733,MATCH(A43&amp;"|"&amp;N$5,MCDM_Checks!$A$6:$A$3733,0))</f>
        <v>Y</v>
      </c>
      <c r="O43" s="5" t="str">
        <f>INDEX(MCDM_Checks!$K$6:$K$3733,MATCH(A43&amp;"|"&amp;O$5,MCDM_Checks!$A$6:$A$3733,0))</f>
        <v>U</v>
      </c>
      <c r="P43" s="5" t="str">
        <f>INDEX(MCDM_Checks!$K$6:$K$3733,MATCH(A43&amp;"|"&amp;P$5,MCDM_Checks!$A$6:$A$3733,0))</f>
        <v>U</v>
      </c>
      <c r="Q43" s="5" t="str">
        <f>INDEX(MCDM_Checks!$K$6:$K$3733,MATCH(A43&amp;"|"&amp;Q$5,MCDM_Checks!$A$6:$A$3733,0))</f>
        <v>U</v>
      </c>
      <c r="R43" s="5" t="str">
        <f>INDEX(MCDM_Checks!$K$6:$K$3733,MATCH(A43&amp;"|"&amp;R$5,MCDM_Checks!$A$6:$A$3733,0))</f>
        <v>U</v>
      </c>
      <c r="S43" s="5" t="str">
        <f>INDEX(MCDM_Checks!$K$6:$K$3733,MATCH(A43&amp;"|"&amp;S$5,MCDM_Checks!$A$6:$A$3733,0))</f>
        <v>U</v>
      </c>
      <c r="T43" s="5" t="str">
        <f>INDEX(MCDM_Checks!$K$6:$K$3733,MATCH(A43&amp;"|"&amp;T$5,MCDM_Checks!$A$6:$A$3733,0))</f>
        <v>Y</v>
      </c>
      <c r="U43" s="5" t="str">
        <f>INDEX(MCDM_Checks!$K$6:$K$3733,MATCH(A43&amp;"|"&amp;U$5,MCDM_Checks!$A$6:$A$3733,0))</f>
        <v>U</v>
      </c>
      <c r="V43" s="5" t="str">
        <f>INDEX(MCDM_Checks!$K$6:$K$3733,MATCH(A43&amp;"|"&amp;V$5,MCDM_Checks!$A$6:$A$3733,0))</f>
        <v>U</v>
      </c>
      <c r="W43" s="5" t="str">
        <f>INDEX(MCDM_Checks!$K$6:$K$3733,MATCH(A43&amp;"|"&amp;W$5,MCDM_Checks!$A$6:$A$3733,0))</f>
        <v>U</v>
      </c>
      <c r="X43" s="5" t="str">
        <f>INDEX(MCDM_Checks!$K$6:$K$3733,MATCH(A43&amp;"|"&amp;X$5,MCDM_Checks!$A$6:$A$3733,0))</f>
        <v>Y</v>
      </c>
      <c r="Y43" s="5" t="str">
        <f>INDEX(MCDM_Checks!$K$6:$K$3733,MATCH(A43&amp;"|"&amp;Y$5,MCDM_Checks!$A$6:$A$3733,0))</f>
        <v>Y</v>
      </c>
      <c r="Z43" s="5" t="str">
        <f>INDEX(MCDM_Checks!$K$6:$K$3733,MATCH(A43&amp;"|"&amp;Z$5,MCDM_Checks!$A$6:$A$3733,0))</f>
        <v>Y</v>
      </c>
      <c r="AA43" s="5" t="str">
        <f>INDEX(MCDM_Checks!$K$6:$K$3733,MATCH(A43&amp;"|"&amp;AA$5,MCDM_Checks!$A$6:$A$3733,0))</f>
        <v>U</v>
      </c>
      <c r="AB43" s="5" t="str">
        <f>INDEX(MCDM_Checks!$K$6:$K$3733,MATCH(A43&amp;"|"&amp;AB$5,MCDM_Checks!$A$6:$A$3733,0))</f>
        <v>Y</v>
      </c>
      <c r="AC43" s="12">
        <f>IF(IF($D43="Unlabeled-13",MCDM_Settings!$F$6,MCDM_Settings!$D$6)=0,"n.a.",5*COUNTIF(M43:O43,"Y")/IF($D43="Unlabeled-13",MCDM_Settings!$F$6,MCDM_Settings!$D$6))</f>
        <v>3.3333333333333335</v>
      </c>
      <c r="AD43" s="12">
        <f>IF(IF($D43="Unlabeled-13",MCDM_Settings!$F$6,MCDM_Settings!$D$6)=0,"n.a.",5*(COUNTIF(M43:O43,"Y")+COUNTIF(M43:O43,"U")+COUNTIF(M43:O43,"X"))/IF($D43="Unlabeled-13",MCDM_Settings!$F$6,MCDM_Settings!$D$6))</f>
        <v>5</v>
      </c>
      <c r="AE43" s="13">
        <f>IF(IF($D43="Unlabeled-13",MCDM_Settings!$F$6,MCDM_Settings!$D$6)=0,"n.a.",(COUNTIF(M43:O43,"Y")+COUNTIF(M43:O43,"N"))/IF($D43="Unlabeled-13",MCDM_Settings!$F$6,MCDM_Settings!$D$6))</f>
        <v>0.66666666666666663</v>
      </c>
      <c r="AF43" s="12">
        <f>IF(IF($D43="Unlabeled-13",MCDM_Settings!$F$7,MCDM_Settings!$D$7)=0,"n.a.",5*COUNTIF(P43:R43,"Y")/IF($D43="Unlabeled-13",MCDM_Settings!$F$7,MCDM_Settings!$D$7))</f>
        <v>0</v>
      </c>
      <c r="AG43" s="12">
        <f>IF(IF($D43="Unlabeled-13",MCDM_Settings!$F$7,MCDM_Settings!$D$7)=0,"n.a.",5*(COUNTIF(P43:R43,"Y")+COUNTIF(P43:R43,"U")+COUNTIF(P43:R43,"X"))/IF($D43="Unlabeled-13",MCDM_Settings!$F$7,MCDM_Settings!$D$7))</f>
        <v>5</v>
      </c>
      <c r="AH43" s="13">
        <f>IF(IF($D43="Unlabeled-13",MCDM_Settings!$F$7,MCDM_Settings!$D$7)=0,"n.a.",(COUNTIF(P43:R43,"Y")+COUNTIF(P43:R43,"N"))/IF($D43="Unlabeled-13",MCDM_Settings!$F$7,MCDM_Settings!$D$7))</f>
        <v>0</v>
      </c>
      <c r="AI43" s="12">
        <f>IF(IF($D43="Unlabeled-13",MCDM_Settings!$F$8,MCDM_Settings!$D$8)=0,"n.a.",5*COUNTIF(S43:U43,"Y")/IF($D43="Unlabeled-13",MCDM_Settings!$F$8,MCDM_Settings!$D$8))</f>
        <v>1.6666666666666667</v>
      </c>
      <c r="AJ43" s="12">
        <f>IF(IF($D43="Unlabeled-13",MCDM_Settings!$F$8,MCDM_Settings!$D$8)=0,"n.a.",5*(COUNTIF(S43:U43,"Y")+COUNTIF(S43:U43,"U")+COUNTIF(S43:U43,"X"))/IF($D43="Unlabeled-13",MCDM_Settings!$F$8,MCDM_Settings!$D$8))</f>
        <v>5</v>
      </c>
      <c r="AK43" s="13">
        <f>IF(IF($D43="Unlabeled-13",MCDM_Settings!$F$8,MCDM_Settings!$D$8)=0,"n.a.",(COUNTIF(S43:U43,"Y")+COUNTIF(S43:U43,"N"))/IF($D43="Unlabeled-13",MCDM_Settings!$F$8,MCDM_Settings!$D$8))</f>
        <v>0.33333333333333331</v>
      </c>
      <c r="AL43" s="12">
        <f>IF(IF($D43="Unlabeled-13",MCDM_Settings!$F$9,MCDM_Settings!$D$9)=0,"n.a.",5*COUNTIF(V43:W43,"Y")/IF($D43="Unlabeled-13",MCDM_Settings!$F$9,MCDM_Settings!$D$9))</f>
        <v>0</v>
      </c>
      <c r="AM43" s="12">
        <f>IF(IF($D43="Unlabeled-13",MCDM_Settings!$F$9,MCDM_Settings!$D$9)=0,"n.a.",5*(COUNTIF(V43:W43,"Y")+COUNTIF(V43:W43,"U")+COUNTIF(V43:W43,"X"))/IF($D43="Unlabeled-13",MCDM_Settings!$F$9,MCDM_Settings!$D$9))</f>
        <v>5</v>
      </c>
      <c r="AN43" s="13">
        <f>IF(IF($D43="Unlabeled-13",MCDM_Settings!$F$9,MCDM_Settings!$D$9)=0,"n.a.",(COUNTIF(V43:W43,"Y")+COUNTIF(V43:W43,"N"))/IF($D43="Unlabeled-13",MCDM_Settings!$F$9,MCDM_Settings!$D$9))</f>
        <v>0</v>
      </c>
      <c r="AO43" s="12">
        <f>IF(IF($D43="Unlabeled-13",MCDM_Settings!$F$10,MCDM_Settings!$D$10)=0,"n.a.",5*COUNTIF(X43:Y43,"Y")/IF($D43="Unlabeled-13",MCDM_Settings!$F$10,MCDM_Settings!$D$10))</f>
        <v>5</v>
      </c>
      <c r="AP43" s="12">
        <f>IF(IF($D43="Unlabeled-13",MCDM_Settings!$F$10,MCDM_Settings!$D$10)=0,"n.a.",5*(COUNTIF(X43:Y43,"Y")+COUNTIF(X43:Y43,"U")+COUNTIF(X43:Y43,"X"))/IF($D43="Unlabeled-13",MCDM_Settings!$F$10,MCDM_Settings!$D$10))</f>
        <v>5</v>
      </c>
      <c r="AQ43" s="13">
        <f>IF(IF($D43="Unlabeled-13",MCDM_Settings!$F$10,MCDM_Settings!$D$10)=0,"n.a.",(COUNTIF(X43:Y43,"Y")+COUNTIF(X43:Y43,"N"))/IF($D43="Unlabeled-13",MCDM_Settings!$F$10,MCDM_Settings!$D$10))</f>
        <v>1</v>
      </c>
      <c r="AR43" s="12">
        <f>IF(IF($D43="Unlabeled-13",MCDM_Settings!$F$11,MCDM_Settings!$D$11)=0,"n.a.",5*COUNTIF(Z43:AB43,"Y")/IF($D43="Unlabeled-13",MCDM_Settings!$F$11,MCDM_Settings!$D$11))</f>
        <v>3.3333333333333335</v>
      </c>
      <c r="AS43" s="12">
        <f>IF(IF($D43="Unlabeled-13",MCDM_Settings!$F$11,MCDM_Settings!$D$11)=0,"n.a.",5*(COUNTIF(Z43:AB43,"Y")+COUNTIF(Z43:AB43,"U")+COUNTIF(Z43:AB43,"X"))/IF($D43="Unlabeled-13",MCDM_Settings!$F$11,MCDM_Settings!$D$11))</f>
        <v>5</v>
      </c>
      <c r="AT43" s="13">
        <f>IF(IF($D43="Unlabeled-13",MCDM_Settings!$F$11,MCDM_Settings!$D$11)=0,"n.a.",(COUNTIF(Z43:AB43,"Y")+COUNTIF(Z43:AB43,"N"))/IF($D43="Unlabeled-13",MCDM_Settings!$F$11,MCDM_Settings!$D$11))</f>
        <v>0.66666666666666663</v>
      </c>
      <c r="AU43" s="5" t="str">
        <f>IF(AND(INDEX(Manual_Review!$G$6:$G$238,MATCH(A43,Manual_Review!$A$6:$A$238,0))&lt;&gt;"",ISNUMBER(INDEX(Manual_Review!$H$6:$H$238,MATCH(A43,Manual_Review!$A$6:$A$238,0))),INDEX(Manual_Review!$H$6:$H$238,MATCH(A43,Manual_Review!$A$6:$A$238,0))&gt;0,INDEX(Manual_Review!$I$6:$I$238,MATCH(A43,Manual_Review!$A$6:$A$238,0))="Confirmed",INDEX(Manual_Review!$AF$6:$AF$238,MATCH(A43,Manual_Review!$A$6:$A$238,0))&lt;&gt;""),IF(INDEX(Manual_Review!$AA$6:$AA$238,MATCH(A43,Manual_Review!$A$6:$A$238,0))="Pass","Pass",IF(INDEX(Manual_Review!$AA$6:$AA$238,MATCH(A43,Manual_Review!$A$6:$A$238,0))="Fail","Fail","Pending")),"Pending human identity confirmation")</f>
        <v>Pending human identity confirmation</v>
      </c>
      <c r="AV43" s="5" t="str">
        <f>IF(AND(AND(INDEX(Manual_Review!$G$6:$G$238,MATCH(A43,Manual_Review!$A$6:$A$238,0))&lt;&gt;"",ISNUMBER(INDEX(Manual_Review!$H$6:$H$238,MATCH(A43,Manual_Review!$A$6:$A$238,0))),INDEX(Manual_Review!$H$6:$H$238,MATCH(A43,Manual_Review!$A$6:$A$238,0))&gt;0,INDEX(Manual_Review!$I$6:$I$238,MATCH(A43,Manual_Review!$A$6:$A$238,0))="Confirmed",INDEX(Manual_Review!$AF$6:$AF$238,MATCH(A43,Manual_Review!$A$6:$A$238,0))&lt;&gt;""),INDEX(Manual_Review!$AG$6:$AG$238,MATCH(A43,Manual_Review!$A$6:$A$238,0))&lt;&gt;""),IF(INDEX(Manual_Review!$AB$6:$AB$238,MATCH(A43,Manual_Review!$A$6:$A$238,0))="Pass","Pass",IF(INDEX(Manual_Review!$AB$6:$AB$238,MATCH(A43,Manual_Review!$A$6:$A$238,0))="Fail","Fail","Pending")),"Not assessed: define intended task")</f>
        <v>Not assessed: define intended task</v>
      </c>
      <c r="AW43" s="5" t="str">
        <f>IF(AND(AND(INDEX(Manual_Review!$G$6:$G$238,MATCH(A43,Manual_Review!$A$6:$A$238,0))&lt;&gt;"",ISNUMBER(INDEX(Manual_Review!$H$6:$H$238,MATCH(A43,Manual_Review!$A$6:$A$238,0))),INDEX(Manual_Review!$H$6:$H$238,MATCH(A43,Manual_Review!$A$6:$A$238,0))&gt;0,INDEX(Manual_Review!$I$6:$I$238,MATCH(A43,Manual_Review!$A$6:$A$238,0))="Confirmed",INDEX(Manual_Review!$AF$6:$AF$238,MATCH(A43,Manual_Review!$A$6:$A$238,0))&lt;&gt;""),INDEX(Manual_Review!$AG$6:$AG$238,MATCH(A43,Manual_Review!$A$6:$A$238,0))&lt;&gt;""),IF(OR(INDEX(Manual_Review!$AC$6:$AC$238,MATCH(A43,Manual_Review!$A$6:$A$238,0))="Fail",INDEX(Manual_Review!$AD$6:$AD$238,MATCH(A43,Manual_Review!$A$6:$A$238,0))="Fail"),"Fail: rights or retrieval",IF(AND(INDEX(Manual_Review!$AC$6:$AC$238,MATCH(A43,Manual_Review!$A$6:$A$238,0))="Pass",INDEX(Manual_Review!$AD$6:$AD$238,MATCH(A43,Manual_Review!$A$6:$A$238,0))="Pass"),"Pass","Pending rights and retrieval")),"Pending rights and retrieval")</f>
        <v>Pending rights and retrieval</v>
      </c>
      <c r="AX43" s="5" t="str">
        <f>IF(INDEX(Manual_Review!$AG$6:$AG$238,MATCH(A43,Manual_Review!$A$6:$A$238,0))="","N/A: documentation inventory",IF(AND(INDEX(Manual_Review!$G$6:$G$238,MATCH(A43,Manual_Review!$A$6:$A$238,0))&lt;&gt;"",ISNUMBER(INDEX(Manual_Review!$H$6:$H$238,MATCH(A43,Manual_Review!$A$6:$A$238,0))),INDEX(Manual_Review!$H$6:$H$238,MATCH(A43,Manual_Review!$A$6:$A$238,0))&gt;0,INDEX(Manual_Review!$I$6:$I$238,MATCH(A43,Manual_Review!$A$6:$A$238,0))="Confirmed",INDEX(Manual_Review!$AF$6:$AF$238,MATCH(A43,Manual_Review!$A$6:$A$238,0))&lt;&gt;""),IF(INDEX(Manual_Review!$AE$6:$AE$238,MATCH(A43,Manual_Review!$A$6:$A$238,0))="Pass","Pass",IF(INDEX(Manual_Review!$AE$6:$AE$238,MATCH(A43,Manual_Review!$A$6:$A$238,0))="Fail","Fail: benchmark leakage",IF(INDEX(Manual_Review!$AE$6:$AE$238,MATCH(A43,Manual_Review!$A$6:$A$238,0))="N/A","N/A: nonbenchmark task","Pending task-specific leakage check"))),"Pending task-specific leakage check"))</f>
        <v>N/A: documentation inventory</v>
      </c>
      <c r="AY43" s="5" t="str">
        <f>IF(IF(D43="Unlabeled-13",AND(ABS(MCDM_Settings!$D$14-1)&lt;0.0000001,MIN(MCDM_Settings!$E$6:$E$11)&gt;=0,MCDM_Settings!$E$7=0),AND(ABS(MCDM_Settings!$B$14-1)&lt;0.0000001,MIN(MCDM_Settings!$C$6:$C$11)&gt;=0)),"Valid","Check weights")</f>
        <v>Valid</v>
      </c>
      <c r="AZ43" s="5" t="str">
        <f>IF(AND(COUNTIF(MCDM_Checks!$B$6:$B$3733,A43)=16,COUNTIF(Manual_Review!$A$6:$A$238,A43)=1),"16 keys present","Check key count")</f>
        <v>16 keys present</v>
      </c>
    </row>
    <row r="44" spans="1:52">
      <c r="A44" s="5" t="s">
        <v>554</v>
      </c>
      <c r="B44" s="5" t="s">
        <v>555</v>
      </c>
      <c r="C44" s="5"/>
      <c r="D44" s="5" t="s">
        <v>118</v>
      </c>
      <c r="E44" s="12">
        <f>IF(OR(AY44&lt;&gt;"Valid",AZ44&lt;&gt;"16 keys present"),"Review settings",20*(IF(ISNUMBER(AC44),AC44*IF($D44="Unlabeled-13",MCDM_Settings!$E$6,MCDM_Settings!$C$6),0)+IF(ISNUMBER(AF44),AF44*IF($D44="Unlabeled-13",MCDM_Settings!$E$7,MCDM_Settings!$C$7),0)+IF(ISNUMBER(AI44),AI44*IF($D44="Unlabeled-13",MCDM_Settings!$E$8,MCDM_Settings!$C$8),0)+IF(ISNUMBER(AL44),AL44*IF($D44="Unlabeled-13",MCDM_Settings!$E$9,MCDM_Settings!$C$9),0)+IF(ISNUMBER(AO44),AO44*IF($D44="Unlabeled-13",MCDM_Settings!$E$10,MCDM_Settings!$C$10),0)+IF(ISNUMBER(AR44),AR44*IF($D44="Unlabeled-13",MCDM_Settings!$E$11,MCDM_Settings!$C$11),0)))</f>
        <v>36.111111111111107</v>
      </c>
      <c r="F44" s="12">
        <f>IF(OR(AY44&lt;&gt;"Valid",AZ44&lt;&gt;"16 keys present"),"Review settings",20*(IF(ISNUMBER(AD44),AD44*IF($D44="Unlabeled-13",MCDM_Settings!$E$6,MCDM_Settings!$C$6),0)+IF(ISNUMBER(AG44),AG44*IF($D44="Unlabeled-13",MCDM_Settings!$E$7,MCDM_Settings!$C$7),0)+IF(ISNUMBER(AJ44),AJ44*IF($D44="Unlabeled-13",MCDM_Settings!$E$8,MCDM_Settings!$C$8),0)+IF(ISNUMBER(AM44),AM44*IF($D44="Unlabeled-13",MCDM_Settings!$E$9,MCDM_Settings!$C$9),0)+IF(ISNUMBER(AP44),AP44*IF($D44="Unlabeled-13",MCDM_Settings!$E$10,MCDM_Settings!$C$10),0)+IF(ISNUMBER(AS44),AS44*IF($D44="Unlabeled-13",MCDM_Settings!$E$11,MCDM_Settings!$C$11),0)))</f>
        <v>99.999999999999986</v>
      </c>
      <c r="G44" s="13">
        <f>IF(OR(AY44&lt;&gt;"Valid",AZ44&lt;&gt;"16 keys present"),"Review settings",1*(IF(ISNUMBER(AE44),AE44*IF($D44="Unlabeled-13",MCDM_Settings!$E$6,MCDM_Settings!$C$6),0)+IF(ISNUMBER(AH44),AH44*IF($D44="Unlabeled-13",MCDM_Settings!$E$7,MCDM_Settings!$C$7),0)+IF(ISNUMBER(AK44),AK44*IF($D44="Unlabeled-13",MCDM_Settings!$E$8,MCDM_Settings!$C$8),0)+IF(ISNUMBER(AN44),AN44*IF($D44="Unlabeled-13",MCDM_Settings!$E$9,MCDM_Settings!$C$9),0)+IF(ISNUMBER(AQ44),AQ44*IF($D44="Unlabeled-13",MCDM_Settings!$E$10,MCDM_Settings!$C$10),0)+IF(ISNUMBER(AT44),AT44*IF($D44="Unlabeled-13",MCDM_Settings!$E$11,MCDM_Settings!$C$11),0)))</f>
        <v>0.3611111111111111</v>
      </c>
      <c r="H44" s="5" t="str">
        <f>INDEX(Manual_Review!$AH$6:$AH$238,MATCH(A44,Manual_Review!$A$6:$A$238,0))</f>
        <v>Not started</v>
      </c>
      <c r="I44" s="5" t="s">
        <v>128</v>
      </c>
      <c r="J44" s="5" t="s">
        <v>556</v>
      </c>
      <c r="K44" s="5" t="str">
        <f>HYPERLINK("https://data.mendeley.com/datasets/v8mbnvx8pv/1","Dataset")</f>
        <v>Dataset</v>
      </c>
      <c r="L44" s="5" t="str">
        <f>HYPERLINK("#'Manual_Review'!A"&amp;(MATCH("DS-039",Manual_Review!$A$6:$A$238,0)+5),"Enter review")</f>
        <v>Enter review</v>
      </c>
      <c r="M44" s="5" t="str">
        <f>INDEX(MCDM_Checks!$K$6:$K$3733,MATCH(A44&amp;"|"&amp;M$5,MCDM_Checks!$A$6:$A$3733,0))</f>
        <v>Y</v>
      </c>
      <c r="N44" s="5" t="str">
        <f>INDEX(MCDM_Checks!$K$6:$K$3733,MATCH(A44&amp;"|"&amp;N$5,MCDM_Checks!$A$6:$A$3733,0))</f>
        <v>Y</v>
      </c>
      <c r="O44" s="5" t="str">
        <f>INDEX(MCDM_Checks!$K$6:$K$3733,MATCH(A44&amp;"|"&amp;O$5,MCDM_Checks!$A$6:$A$3733,0))</f>
        <v>Y</v>
      </c>
      <c r="P44" s="5" t="str">
        <f>INDEX(MCDM_Checks!$K$6:$K$3733,MATCH(A44&amp;"|"&amp;P$5,MCDM_Checks!$A$6:$A$3733,0))</f>
        <v>Y</v>
      </c>
      <c r="Q44" s="5" t="str">
        <f>INDEX(MCDM_Checks!$K$6:$K$3733,MATCH(A44&amp;"|"&amp;Q$5,MCDM_Checks!$A$6:$A$3733,0))</f>
        <v>Y</v>
      </c>
      <c r="R44" s="5" t="str">
        <f>INDEX(MCDM_Checks!$K$6:$K$3733,MATCH(A44&amp;"|"&amp;R$5,MCDM_Checks!$A$6:$A$3733,0))</f>
        <v>U</v>
      </c>
      <c r="S44" s="5" t="str">
        <f>INDEX(MCDM_Checks!$K$6:$K$3733,MATCH(A44&amp;"|"&amp;S$5,MCDM_Checks!$A$6:$A$3733,0))</f>
        <v>U</v>
      </c>
      <c r="T44" s="5" t="str">
        <f>INDEX(MCDM_Checks!$K$6:$K$3733,MATCH(A44&amp;"|"&amp;T$5,MCDM_Checks!$A$6:$A$3733,0))</f>
        <v>U</v>
      </c>
      <c r="U44" s="5" t="str">
        <f>INDEX(MCDM_Checks!$K$6:$K$3733,MATCH(A44&amp;"|"&amp;U$5,MCDM_Checks!$A$6:$A$3733,0))</f>
        <v>U</v>
      </c>
      <c r="V44" s="5" t="str">
        <f>INDEX(MCDM_Checks!$K$6:$K$3733,MATCH(A44&amp;"|"&amp;V$5,MCDM_Checks!$A$6:$A$3733,0))</f>
        <v>Y</v>
      </c>
      <c r="W44" s="5" t="str">
        <f>INDEX(MCDM_Checks!$K$6:$K$3733,MATCH(A44&amp;"|"&amp;W$5,MCDM_Checks!$A$6:$A$3733,0))</f>
        <v>U</v>
      </c>
      <c r="X44" s="5" t="str">
        <f>INDEX(MCDM_Checks!$K$6:$K$3733,MATCH(A44&amp;"|"&amp;X$5,MCDM_Checks!$A$6:$A$3733,0))</f>
        <v>U</v>
      </c>
      <c r="Y44" s="5" t="str">
        <f>INDEX(MCDM_Checks!$K$6:$K$3733,MATCH(A44&amp;"|"&amp;Y$5,MCDM_Checks!$A$6:$A$3733,0))</f>
        <v>U</v>
      </c>
      <c r="Z44" s="5" t="str">
        <f>INDEX(MCDM_Checks!$K$6:$K$3733,MATCH(A44&amp;"|"&amp;Z$5,MCDM_Checks!$A$6:$A$3733,0))</f>
        <v>U</v>
      </c>
      <c r="AA44" s="5" t="str">
        <f>INDEX(MCDM_Checks!$K$6:$K$3733,MATCH(A44&amp;"|"&amp;AA$5,MCDM_Checks!$A$6:$A$3733,0))</f>
        <v>U</v>
      </c>
      <c r="AB44" s="5" t="str">
        <f>INDEX(MCDM_Checks!$K$6:$K$3733,MATCH(A44&amp;"|"&amp;AB$5,MCDM_Checks!$A$6:$A$3733,0))</f>
        <v>U</v>
      </c>
      <c r="AC44" s="12">
        <f>IF(IF($D44="Unlabeled-13",MCDM_Settings!$F$6,MCDM_Settings!$D$6)=0,"n.a.",5*COUNTIF(M44:O44,"Y")/IF($D44="Unlabeled-13",MCDM_Settings!$F$6,MCDM_Settings!$D$6))</f>
        <v>5</v>
      </c>
      <c r="AD44" s="12">
        <f>IF(IF($D44="Unlabeled-13",MCDM_Settings!$F$6,MCDM_Settings!$D$6)=0,"n.a.",5*(COUNTIF(M44:O44,"Y")+COUNTIF(M44:O44,"U")+COUNTIF(M44:O44,"X"))/IF($D44="Unlabeled-13",MCDM_Settings!$F$6,MCDM_Settings!$D$6))</f>
        <v>5</v>
      </c>
      <c r="AE44" s="13">
        <f>IF(IF($D44="Unlabeled-13",MCDM_Settings!$F$6,MCDM_Settings!$D$6)=0,"n.a.",(COUNTIF(M44:O44,"Y")+COUNTIF(M44:O44,"N"))/IF($D44="Unlabeled-13",MCDM_Settings!$F$6,MCDM_Settings!$D$6))</f>
        <v>1</v>
      </c>
      <c r="AF44" s="12">
        <f>IF(IF($D44="Unlabeled-13",MCDM_Settings!$F$7,MCDM_Settings!$D$7)=0,"n.a.",5*COUNTIF(P44:R44,"Y")/IF($D44="Unlabeled-13",MCDM_Settings!$F$7,MCDM_Settings!$D$7))</f>
        <v>3.3333333333333335</v>
      </c>
      <c r="AG44" s="12">
        <f>IF(IF($D44="Unlabeled-13",MCDM_Settings!$F$7,MCDM_Settings!$D$7)=0,"n.a.",5*(COUNTIF(P44:R44,"Y")+COUNTIF(P44:R44,"U")+COUNTIF(P44:R44,"X"))/IF($D44="Unlabeled-13",MCDM_Settings!$F$7,MCDM_Settings!$D$7))</f>
        <v>5</v>
      </c>
      <c r="AH44" s="13">
        <f>IF(IF($D44="Unlabeled-13",MCDM_Settings!$F$7,MCDM_Settings!$D$7)=0,"n.a.",(COUNTIF(P44:R44,"Y")+COUNTIF(P44:R44,"N"))/IF($D44="Unlabeled-13",MCDM_Settings!$F$7,MCDM_Settings!$D$7))</f>
        <v>0.66666666666666663</v>
      </c>
      <c r="AI44" s="12">
        <f>IF(IF($D44="Unlabeled-13",MCDM_Settings!$F$8,MCDM_Settings!$D$8)=0,"n.a.",5*COUNTIF(S44:U44,"Y")/IF($D44="Unlabeled-13",MCDM_Settings!$F$8,MCDM_Settings!$D$8))</f>
        <v>0</v>
      </c>
      <c r="AJ44" s="12">
        <f>IF(IF($D44="Unlabeled-13",MCDM_Settings!$F$8,MCDM_Settings!$D$8)=0,"n.a.",5*(COUNTIF(S44:U44,"Y")+COUNTIF(S44:U44,"U")+COUNTIF(S44:U44,"X"))/IF($D44="Unlabeled-13",MCDM_Settings!$F$8,MCDM_Settings!$D$8))</f>
        <v>5</v>
      </c>
      <c r="AK44" s="13">
        <f>IF(IF($D44="Unlabeled-13",MCDM_Settings!$F$8,MCDM_Settings!$D$8)=0,"n.a.",(COUNTIF(S44:U44,"Y")+COUNTIF(S44:U44,"N"))/IF($D44="Unlabeled-13",MCDM_Settings!$F$8,MCDM_Settings!$D$8))</f>
        <v>0</v>
      </c>
      <c r="AL44" s="12">
        <f>IF(IF($D44="Unlabeled-13",MCDM_Settings!$F$9,MCDM_Settings!$D$9)=0,"n.a.",5*COUNTIF(V44:W44,"Y")/IF($D44="Unlabeled-13",MCDM_Settings!$F$9,MCDM_Settings!$D$9))</f>
        <v>2.5</v>
      </c>
      <c r="AM44" s="12">
        <f>IF(IF($D44="Unlabeled-13",MCDM_Settings!$F$9,MCDM_Settings!$D$9)=0,"n.a.",5*(COUNTIF(V44:W44,"Y")+COUNTIF(V44:W44,"U")+COUNTIF(V44:W44,"X"))/IF($D44="Unlabeled-13",MCDM_Settings!$F$9,MCDM_Settings!$D$9))</f>
        <v>5</v>
      </c>
      <c r="AN44" s="13">
        <f>IF(IF($D44="Unlabeled-13",MCDM_Settings!$F$9,MCDM_Settings!$D$9)=0,"n.a.",(COUNTIF(V44:W44,"Y")+COUNTIF(V44:W44,"N"))/IF($D44="Unlabeled-13",MCDM_Settings!$F$9,MCDM_Settings!$D$9))</f>
        <v>0.5</v>
      </c>
      <c r="AO44" s="12">
        <f>IF(IF($D44="Unlabeled-13",MCDM_Settings!$F$10,MCDM_Settings!$D$10)=0,"n.a.",5*COUNTIF(X44:Y44,"Y")/IF($D44="Unlabeled-13",MCDM_Settings!$F$10,MCDM_Settings!$D$10))</f>
        <v>0</v>
      </c>
      <c r="AP44" s="12">
        <f>IF(IF($D44="Unlabeled-13",MCDM_Settings!$F$10,MCDM_Settings!$D$10)=0,"n.a.",5*(COUNTIF(X44:Y44,"Y")+COUNTIF(X44:Y44,"U")+COUNTIF(X44:Y44,"X"))/IF($D44="Unlabeled-13",MCDM_Settings!$F$10,MCDM_Settings!$D$10))</f>
        <v>5</v>
      </c>
      <c r="AQ44" s="13">
        <f>IF(IF($D44="Unlabeled-13",MCDM_Settings!$F$10,MCDM_Settings!$D$10)=0,"n.a.",(COUNTIF(X44:Y44,"Y")+COUNTIF(X44:Y44,"N"))/IF($D44="Unlabeled-13",MCDM_Settings!$F$10,MCDM_Settings!$D$10))</f>
        <v>0</v>
      </c>
      <c r="AR44" s="12">
        <f>IF(IF($D44="Unlabeled-13",MCDM_Settings!$F$11,MCDM_Settings!$D$11)=0,"n.a.",5*COUNTIF(Z44:AB44,"Y")/IF($D44="Unlabeled-13",MCDM_Settings!$F$11,MCDM_Settings!$D$11))</f>
        <v>0</v>
      </c>
      <c r="AS44" s="12">
        <f>IF(IF($D44="Unlabeled-13",MCDM_Settings!$F$11,MCDM_Settings!$D$11)=0,"n.a.",5*(COUNTIF(Z44:AB44,"Y")+COUNTIF(Z44:AB44,"U")+COUNTIF(Z44:AB44,"X"))/IF($D44="Unlabeled-13",MCDM_Settings!$F$11,MCDM_Settings!$D$11))</f>
        <v>5</v>
      </c>
      <c r="AT44" s="13">
        <f>IF(IF($D44="Unlabeled-13",MCDM_Settings!$F$11,MCDM_Settings!$D$11)=0,"n.a.",(COUNTIF(Z44:AB44,"Y")+COUNTIF(Z44:AB44,"N"))/IF($D44="Unlabeled-13",MCDM_Settings!$F$11,MCDM_Settings!$D$11))</f>
        <v>0</v>
      </c>
      <c r="AU44" s="5" t="str">
        <f>IF(AND(INDEX(Manual_Review!$G$6:$G$238,MATCH(A44,Manual_Review!$A$6:$A$238,0))&lt;&gt;"",ISNUMBER(INDEX(Manual_Review!$H$6:$H$238,MATCH(A44,Manual_Review!$A$6:$A$238,0))),INDEX(Manual_Review!$H$6:$H$238,MATCH(A44,Manual_Review!$A$6:$A$238,0))&gt;0,INDEX(Manual_Review!$I$6:$I$238,MATCH(A44,Manual_Review!$A$6:$A$238,0))="Confirmed",INDEX(Manual_Review!$AF$6:$AF$238,MATCH(A44,Manual_Review!$A$6:$A$238,0))&lt;&gt;""),IF(INDEX(Manual_Review!$AA$6:$AA$238,MATCH(A44,Manual_Review!$A$6:$A$238,0))="Pass","Pass",IF(INDEX(Manual_Review!$AA$6:$AA$238,MATCH(A44,Manual_Review!$A$6:$A$238,0))="Fail","Fail","Pending")),"Pending human identity confirmation")</f>
        <v>Pending human identity confirmation</v>
      </c>
      <c r="AV44" s="5" t="str">
        <f>IF(AND(AND(INDEX(Manual_Review!$G$6:$G$238,MATCH(A44,Manual_Review!$A$6:$A$238,0))&lt;&gt;"",ISNUMBER(INDEX(Manual_Review!$H$6:$H$238,MATCH(A44,Manual_Review!$A$6:$A$238,0))),INDEX(Manual_Review!$H$6:$H$238,MATCH(A44,Manual_Review!$A$6:$A$238,0))&gt;0,INDEX(Manual_Review!$I$6:$I$238,MATCH(A44,Manual_Review!$A$6:$A$238,0))="Confirmed",INDEX(Manual_Review!$AF$6:$AF$238,MATCH(A44,Manual_Review!$A$6:$A$238,0))&lt;&gt;""),INDEX(Manual_Review!$AG$6:$AG$238,MATCH(A44,Manual_Review!$A$6:$A$238,0))&lt;&gt;""),IF(INDEX(Manual_Review!$AB$6:$AB$238,MATCH(A44,Manual_Review!$A$6:$A$238,0))="Pass","Pass",IF(INDEX(Manual_Review!$AB$6:$AB$238,MATCH(A44,Manual_Review!$A$6:$A$238,0))="Fail","Fail","Pending")),"Not assessed: define intended task")</f>
        <v>Not assessed: define intended task</v>
      </c>
      <c r="AW44" s="5" t="str">
        <f>IF(AND(AND(INDEX(Manual_Review!$G$6:$G$238,MATCH(A44,Manual_Review!$A$6:$A$238,0))&lt;&gt;"",ISNUMBER(INDEX(Manual_Review!$H$6:$H$238,MATCH(A44,Manual_Review!$A$6:$A$238,0))),INDEX(Manual_Review!$H$6:$H$238,MATCH(A44,Manual_Review!$A$6:$A$238,0))&gt;0,INDEX(Manual_Review!$I$6:$I$238,MATCH(A44,Manual_Review!$A$6:$A$238,0))="Confirmed",INDEX(Manual_Review!$AF$6:$AF$238,MATCH(A44,Manual_Review!$A$6:$A$238,0))&lt;&gt;""),INDEX(Manual_Review!$AG$6:$AG$238,MATCH(A44,Manual_Review!$A$6:$A$238,0))&lt;&gt;""),IF(OR(INDEX(Manual_Review!$AC$6:$AC$238,MATCH(A44,Manual_Review!$A$6:$A$238,0))="Fail",INDEX(Manual_Review!$AD$6:$AD$238,MATCH(A44,Manual_Review!$A$6:$A$238,0))="Fail"),"Fail: rights or retrieval",IF(AND(INDEX(Manual_Review!$AC$6:$AC$238,MATCH(A44,Manual_Review!$A$6:$A$238,0))="Pass",INDEX(Manual_Review!$AD$6:$AD$238,MATCH(A44,Manual_Review!$A$6:$A$238,0))="Pass"),"Pass","Pending rights and retrieval")),"Pending rights and retrieval")</f>
        <v>Pending rights and retrieval</v>
      </c>
      <c r="AX44" s="5" t="str">
        <f>IF(INDEX(Manual_Review!$AG$6:$AG$238,MATCH(A44,Manual_Review!$A$6:$A$238,0))="","N/A: documentation inventory",IF(AND(INDEX(Manual_Review!$G$6:$G$238,MATCH(A44,Manual_Review!$A$6:$A$238,0))&lt;&gt;"",ISNUMBER(INDEX(Manual_Review!$H$6:$H$238,MATCH(A44,Manual_Review!$A$6:$A$238,0))),INDEX(Manual_Review!$H$6:$H$238,MATCH(A44,Manual_Review!$A$6:$A$238,0))&gt;0,INDEX(Manual_Review!$I$6:$I$238,MATCH(A44,Manual_Review!$A$6:$A$238,0))="Confirmed",INDEX(Manual_Review!$AF$6:$AF$238,MATCH(A44,Manual_Review!$A$6:$A$238,0))&lt;&gt;""),IF(INDEX(Manual_Review!$AE$6:$AE$238,MATCH(A44,Manual_Review!$A$6:$A$238,0))="Pass","Pass",IF(INDEX(Manual_Review!$AE$6:$AE$238,MATCH(A44,Manual_Review!$A$6:$A$238,0))="Fail","Fail: benchmark leakage",IF(INDEX(Manual_Review!$AE$6:$AE$238,MATCH(A44,Manual_Review!$A$6:$A$238,0))="N/A","N/A: nonbenchmark task","Pending task-specific leakage check"))),"Pending task-specific leakage check"))</f>
        <v>N/A: documentation inventory</v>
      </c>
      <c r="AY44" s="5" t="str">
        <f>IF(IF(D44="Unlabeled-13",AND(ABS(MCDM_Settings!$D$14-1)&lt;0.0000001,MIN(MCDM_Settings!$E$6:$E$11)&gt;=0,MCDM_Settings!$E$7=0),AND(ABS(MCDM_Settings!$B$14-1)&lt;0.0000001,MIN(MCDM_Settings!$C$6:$C$11)&gt;=0)),"Valid","Check weights")</f>
        <v>Valid</v>
      </c>
      <c r="AZ44" s="5" t="str">
        <f>IF(AND(COUNTIF(MCDM_Checks!$B$6:$B$3733,A44)=16,COUNTIF(Manual_Review!$A$6:$A$238,A44)=1),"16 keys present","Check key count")</f>
        <v>16 keys present</v>
      </c>
    </row>
    <row r="45" spans="1:52" ht="25.5">
      <c r="A45" s="5" t="s">
        <v>565</v>
      </c>
      <c r="B45" s="5" t="s">
        <v>566</v>
      </c>
      <c r="C45" s="5"/>
      <c r="D45" s="5" t="s">
        <v>118</v>
      </c>
      <c r="E45" s="12">
        <f>IF(OR(AY45&lt;&gt;"Valid",AZ45&lt;&gt;"16 keys present"),"Review settings",20*(IF(ISNUMBER(AC45),AC45*IF($D45="Unlabeled-13",MCDM_Settings!$E$6,MCDM_Settings!$C$6),0)+IF(ISNUMBER(AF45),AF45*IF($D45="Unlabeled-13",MCDM_Settings!$E$7,MCDM_Settings!$C$7),0)+IF(ISNUMBER(AI45),AI45*IF($D45="Unlabeled-13",MCDM_Settings!$E$8,MCDM_Settings!$C$8),0)+IF(ISNUMBER(AL45),AL45*IF($D45="Unlabeled-13",MCDM_Settings!$E$9,MCDM_Settings!$C$9),0)+IF(ISNUMBER(AO45),AO45*IF($D45="Unlabeled-13",MCDM_Settings!$E$10,MCDM_Settings!$C$10),0)+IF(ISNUMBER(AR45),AR45*IF($D45="Unlabeled-13",MCDM_Settings!$E$11,MCDM_Settings!$C$11),0)))</f>
        <v>77.777777777777771</v>
      </c>
      <c r="F45" s="12">
        <f>IF(OR(AY45&lt;&gt;"Valid",AZ45&lt;&gt;"16 keys present"),"Review settings",20*(IF(ISNUMBER(AD45),AD45*IF($D45="Unlabeled-13",MCDM_Settings!$E$6,MCDM_Settings!$C$6),0)+IF(ISNUMBER(AG45),AG45*IF($D45="Unlabeled-13",MCDM_Settings!$E$7,MCDM_Settings!$C$7),0)+IF(ISNUMBER(AJ45),AJ45*IF($D45="Unlabeled-13",MCDM_Settings!$E$8,MCDM_Settings!$C$8),0)+IF(ISNUMBER(AM45),AM45*IF($D45="Unlabeled-13",MCDM_Settings!$E$9,MCDM_Settings!$C$9),0)+IF(ISNUMBER(AP45),AP45*IF($D45="Unlabeled-13",MCDM_Settings!$E$10,MCDM_Settings!$C$10),0)+IF(ISNUMBER(AS45),AS45*IF($D45="Unlabeled-13",MCDM_Settings!$E$11,MCDM_Settings!$C$11),0)))</f>
        <v>99.999999999999986</v>
      </c>
      <c r="G45" s="13">
        <f>IF(OR(AY45&lt;&gt;"Valid",AZ45&lt;&gt;"16 keys present"),"Review settings",1*(IF(ISNUMBER(AE45),AE45*IF($D45="Unlabeled-13",MCDM_Settings!$E$6,MCDM_Settings!$C$6),0)+IF(ISNUMBER(AH45),AH45*IF($D45="Unlabeled-13",MCDM_Settings!$E$7,MCDM_Settings!$C$7),0)+IF(ISNUMBER(AK45),AK45*IF($D45="Unlabeled-13",MCDM_Settings!$E$8,MCDM_Settings!$C$8),0)+IF(ISNUMBER(AN45),AN45*IF($D45="Unlabeled-13",MCDM_Settings!$E$9,MCDM_Settings!$C$9),0)+IF(ISNUMBER(AQ45),AQ45*IF($D45="Unlabeled-13",MCDM_Settings!$E$10,MCDM_Settings!$C$10),0)+IF(ISNUMBER(AT45),AT45*IF($D45="Unlabeled-13",MCDM_Settings!$E$11,MCDM_Settings!$C$11),0)))</f>
        <v>0.77777777777777768</v>
      </c>
      <c r="H45" s="5" t="str">
        <f>INDEX(Manual_Review!$AH$6:$AH$238,MATCH(A45,Manual_Review!$A$6:$A$238,0))</f>
        <v>Not started</v>
      </c>
      <c r="I45" s="5" t="s">
        <v>182</v>
      </c>
      <c r="J45" s="5" t="s">
        <v>567</v>
      </c>
      <c r="K45" s="5" t="str">
        <f>HYPERLINK("https://data.mendeley.com/datasets/hssswvmjwf/1","Dataset")</f>
        <v>Dataset</v>
      </c>
      <c r="L45" s="5" t="str">
        <f>HYPERLINK("#'Manual_Review'!A"&amp;(MATCH("DS-040",Manual_Review!$A$6:$A$238,0)+5),"Enter review")</f>
        <v>Enter review</v>
      </c>
      <c r="M45" s="5" t="str">
        <f>INDEX(MCDM_Checks!$K$6:$K$3733,MATCH(A45&amp;"|"&amp;M$5,MCDM_Checks!$A$6:$A$3733,0))</f>
        <v>Y</v>
      </c>
      <c r="N45" s="5" t="str">
        <f>INDEX(MCDM_Checks!$K$6:$K$3733,MATCH(A45&amp;"|"&amp;N$5,MCDM_Checks!$A$6:$A$3733,0))</f>
        <v>Y</v>
      </c>
      <c r="O45" s="5" t="str">
        <f>INDEX(MCDM_Checks!$K$6:$K$3733,MATCH(A45&amp;"|"&amp;O$5,MCDM_Checks!$A$6:$A$3733,0))</f>
        <v>Y</v>
      </c>
      <c r="P45" s="5" t="str">
        <f>INDEX(MCDM_Checks!$K$6:$K$3733,MATCH(A45&amp;"|"&amp;P$5,MCDM_Checks!$A$6:$A$3733,0))</f>
        <v>Y</v>
      </c>
      <c r="Q45" s="5" t="str">
        <f>INDEX(MCDM_Checks!$K$6:$K$3733,MATCH(A45&amp;"|"&amp;Q$5,MCDM_Checks!$A$6:$A$3733,0))</f>
        <v>U</v>
      </c>
      <c r="R45" s="5" t="str">
        <f>INDEX(MCDM_Checks!$K$6:$K$3733,MATCH(A45&amp;"|"&amp;R$5,MCDM_Checks!$A$6:$A$3733,0))</f>
        <v>U</v>
      </c>
      <c r="S45" s="5" t="str">
        <f>INDEX(MCDM_Checks!$K$6:$K$3733,MATCH(A45&amp;"|"&amp;S$5,MCDM_Checks!$A$6:$A$3733,0))</f>
        <v>U</v>
      </c>
      <c r="T45" s="5" t="str">
        <f>INDEX(MCDM_Checks!$K$6:$K$3733,MATCH(A45&amp;"|"&amp;T$5,MCDM_Checks!$A$6:$A$3733,0))</f>
        <v>Y</v>
      </c>
      <c r="U45" s="5" t="str">
        <f>INDEX(MCDM_Checks!$K$6:$K$3733,MATCH(A45&amp;"|"&amp;U$5,MCDM_Checks!$A$6:$A$3733,0))</f>
        <v>Y</v>
      </c>
      <c r="V45" s="5" t="str">
        <f>INDEX(MCDM_Checks!$K$6:$K$3733,MATCH(A45&amp;"|"&amp;V$5,MCDM_Checks!$A$6:$A$3733,0))</f>
        <v>Y</v>
      </c>
      <c r="W45" s="5" t="str">
        <f>INDEX(MCDM_Checks!$K$6:$K$3733,MATCH(A45&amp;"|"&amp;W$5,MCDM_Checks!$A$6:$A$3733,0))</f>
        <v>Y</v>
      </c>
      <c r="X45" s="5" t="str">
        <f>INDEX(MCDM_Checks!$K$6:$K$3733,MATCH(A45&amp;"|"&amp;X$5,MCDM_Checks!$A$6:$A$3733,0))</f>
        <v>Y</v>
      </c>
      <c r="Y45" s="5" t="str">
        <f>INDEX(MCDM_Checks!$K$6:$K$3733,MATCH(A45&amp;"|"&amp;Y$5,MCDM_Checks!$A$6:$A$3733,0))</f>
        <v>Y</v>
      </c>
      <c r="Z45" s="5" t="str">
        <f>INDEX(MCDM_Checks!$K$6:$K$3733,MATCH(A45&amp;"|"&amp;Z$5,MCDM_Checks!$A$6:$A$3733,0))</f>
        <v>Y</v>
      </c>
      <c r="AA45" s="5" t="str">
        <f>INDEX(MCDM_Checks!$K$6:$K$3733,MATCH(A45&amp;"|"&amp;AA$5,MCDM_Checks!$A$6:$A$3733,0))</f>
        <v>Y</v>
      </c>
      <c r="AB45" s="5" t="str">
        <f>INDEX(MCDM_Checks!$K$6:$K$3733,MATCH(A45&amp;"|"&amp;AB$5,MCDM_Checks!$A$6:$A$3733,0))</f>
        <v>U</v>
      </c>
      <c r="AC45" s="12">
        <f>IF(IF($D45="Unlabeled-13",MCDM_Settings!$F$6,MCDM_Settings!$D$6)=0,"n.a.",5*COUNTIF(M45:O45,"Y")/IF($D45="Unlabeled-13",MCDM_Settings!$F$6,MCDM_Settings!$D$6))</f>
        <v>5</v>
      </c>
      <c r="AD45" s="12">
        <f>IF(IF($D45="Unlabeled-13",MCDM_Settings!$F$6,MCDM_Settings!$D$6)=0,"n.a.",5*(COUNTIF(M45:O45,"Y")+COUNTIF(M45:O45,"U")+COUNTIF(M45:O45,"X"))/IF($D45="Unlabeled-13",MCDM_Settings!$F$6,MCDM_Settings!$D$6))</f>
        <v>5</v>
      </c>
      <c r="AE45" s="13">
        <f>IF(IF($D45="Unlabeled-13",MCDM_Settings!$F$6,MCDM_Settings!$D$6)=0,"n.a.",(COUNTIF(M45:O45,"Y")+COUNTIF(M45:O45,"N"))/IF($D45="Unlabeled-13",MCDM_Settings!$F$6,MCDM_Settings!$D$6))</f>
        <v>1</v>
      </c>
      <c r="AF45" s="12">
        <f>IF(IF($D45="Unlabeled-13",MCDM_Settings!$F$7,MCDM_Settings!$D$7)=0,"n.a.",5*COUNTIF(P45:R45,"Y")/IF($D45="Unlabeled-13",MCDM_Settings!$F$7,MCDM_Settings!$D$7))</f>
        <v>1.6666666666666667</v>
      </c>
      <c r="AG45" s="12">
        <f>IF(IF($D45="Unlabeled-13",MCDM_Settings!$F$7,MCDM_Settings!$D$7)=0,"n.a.",5*(COUNTIF(P45:R45,"Y")+COUNTIF(P45:R45,"U")+COUNTIF(P45:R45,"X"))/IF($D45="Unlabeled-13",MCDM_Settings!$F$7,MCDM_Settings!$D$7))</f>
        <v>5</v>
      </c>
      <c r="AH45" s="13">
        <f>IF(IF($D45="Unlabeled-13",MCDM_Settings!$F$7,MCDM_Settings!$D$7)=0,"n.a.",(COUNTIF(P45:R45,"Y")+COUNTIF(P45:R45,"N"))/IF($D45="Unlabeled-13",MCDM_Settings!$F$7,MCDM_Settings!$D$7))</f>
        <v>0.33333333333333331</v>
      </c>
      <c r="AI45" s="12">
        <f>IF(IF($D45="Unlabeled-13",MCDM_Settings!$F$8,MCDM_Settings!$D$8)=0,"n.a.",5*COUNTIF(S45:U45,"Y")/IF($D45="Unlabeled-13",MCDM_Settings!$F$8,MCDM_Settings!$D$8))</f>
        <v>3.3333333333333335</v>
      </c>
      <c r="AJ45" s="12">
        <f>IF(IF($D45="Unlabeled-13",MCDM_Settings!$F$8,MCDM_Settings!$D$8)=0,"n.a.",5*(COUNTIF(S45:U45,"Y")+COUNTIF(S45:U45,"U")+COUNTIF(S45:U45,"X"))/IF($D45="Unlabeled-13",MCDM_Settings!$F$8,MCDM_Settings!$D$8))</f>
        <v>5</v>
      </c>
      <c r="AK45" s="13">
        <f>IF(IF($D45="Unlabeled-13",MCDM_Settings!$F$8,MCDM_Settings!$D$8)=0,"n.a.",(COUNTIF(S45:U45,"Y")+COUNTIF(S45:U45,"N"))/IF($D45="Unlabeled-13",MCDM_Settings!$F$8,MCDM_Settings!$D$8))</f>
        <v>0.66666666666666663</v>
      </c>
      <c r="AL45" s="12">
        <f>IF(IF($D45="Unlabeled-13",MCDM_Settings!$F$9,MCDM_Settings!$D$9)=0,"n.a.",5*COUNTIF(V45:W45,"Y")/IF($D45="Unlabeled-13",MCDM_Settings!$F$9,MCDM_Settings!$D$9))</f>
        <v>5</v>
      </c>
      <c r="AM45" s="12">
        <f>IF(IF($D45="Unlabeled-13",MCDM_Settings!$F$9,MCDM_Settings!$D$9)=0,"n.a.",5*(COUNTIF(V45:W45,"Y")+COUNTIF(V45:W45,"U")+COUNTIF(V45:W45,"X"))/IF($D45="Unlabeled-13",MCDM_Settings!$F$9,MCDM_Settings!$D$9))</f>
        <v>5</v>
      </c>
      <c r="AN45" s="13">
        <f>IF(IF($D45="Unlabeled-13",MCDM_Settings!$F$9,MCDM_Settings!$D$9)=0,"n.a.",(COUNTIF(V45:W45,"Y")+COUNTIF(V45:W45,"N"))/IF($D45="Unlabeled-13",MCDM_Settings!$F$9,MCDM_Settings!$D$9))</f>
        <v>1</v>
      </c>
      <c r="AO45" s="12">
        <f>IF(IF($D45="Unlabeled-13",MCDM_Settings!$F$10,MCDM_Settings!$D$10)=0,"n.a.",5*COUNTIF(X45:Y45,"Y")/IF($D45="Unlabeled-13",MCDM_Settings!$F$10,MCDM_Settings!$D$10))</f>
        <v>5</v>
      </c>
      <c r="AP45" s="12">
        <f>IF(IF($D45="Unlabeled-13",MCDM_Settings!$F$10,MCDM_Settings!$D$10)=0,"n.a.",5*(COUNTIF(X45:Y45,"Y")+COUNTIF(X45:Y45,"U")+COUNTIF(X45:Y45,"X"))/IF($D45="Unlabeled-13",MCDM_Settings!$F$10,MCDM_Settings!$D$10))</f>
        <v>5</v>
      </c>
      <c r="AQ45" s="13">
        <f>IF(IF($D45="Unlabeled-13",MCDM_Settings!$F$10,MCDM_Settings!$D$10)=0,"n.a.",(COUNTIF(X45:Y45,"Y")+COUNTIF(X45:Y45,"N"))/IF($D45="Unlabeled-13",MCDM_Settings!$F$10,MCDM_Settings!$D$10))</f>
        <v>1</v>
      </c>
      <c r="AR45" s="12">
        <f>IF(IF($D45="Unlabeled-13",MCDM_Settings!$F$11,MCDM_Settings!$D$11)=0,"n.a.",5*COUNTIF(Z45:AB45,"Y")/IF($D45="Unlabeled-13",MCDM_Settings!$F$11,MCDM_Settings!$D$11))</f>
        <v>3.3333333333333335</v>
      </c>
      <c r="AS45" s="12">
        <f>IF(IF($D45="Unlabeled-13",MCDM_Settings!$F$11,MCDM_Settings!$D$11)=0,"n.a.",5*(COUNTIF(Z45:AB45,"Y")+COUNTIF(Z45:AB45,"U")+COUNTIF(Z45:AB45,"X"))/IF($D45="Unlabeled-13",MCDM_Settings!$F$11,MCDM_Settings!$D$11))</f>
        <v>5</v>
      </c>
      <c r="AT45" s="13">
        <f>IF(IF($D45="Unlabeled-13",MCDM_Settings!$F$11,MCDM_Settings!$D$11)=0,"n.a.",(COUNTIF(Z45:AB45,"Y")+COUNTIF(Z45:AB45,"N"))/IF($D45="Unlabeled-13",MCDM_Settings!$F$11,MCDM_Settings!$D$11))</f>
        <v>0.66666666666666663</v>
      </c>
      <c r="AU45" s="5" t="str">
        <f>IF(AND(INDEX(Manual_Review!$G$6:$G$238,MATCH(A45,Manual_Review!$A$6:$A$238,0))&lt;&gt;"",ISNUMBER(INDEX(Manual_Review!$H$6:$H$238,MATCH(A45,Manual_Review!$A$6:$A$238,0))),INDEX(Manual_Review!$H$6:$H$238,MATCH(A45,Manual_Review!$A$6:$A$238,0))&gt;0,INDEX(Manual_Review!$I$6:$I$238,MATCH(A45,Manual_Review!$A$6:$A$238,0))="Confirmed",INDEX(Manual_Review!$AF$6:$AF$238,MATCH(A45,Manual_Review!$A$6:$A$238,0))&lt;&gt;""),IF(INDEX(Manual_Review!$AA$6:$AA$238,MATCH(A45,Manual_Review!$A$6:$A$238,0))="Pass","Pass",IF(INDEX(Manual_Review!$AA$6:$AA$238,MATCH(A45,Manual_Review!$A$6:$A$238,0))="Fail","Fail","Pending")),"Pending human identity confirmation")</f>
        <v>Pending human identity confirmation</v>
      </c>
      <c r="AV45" s="5" t="str">
        <f>IF(AND(AND(INDEX(Manual_Review!$G$6:$G$238,MATCH(A45,Manual_Review!$A$6:$A$238,0))&lt;&gt;"",ISNUMBER(INDEX(Manual_Review!$H$6:$H$238,MATCH(A45,Manual_Review!$A$6:$A$238,0))),INDEX(Manual_Review!$H$6:$H$238,MATCH(A45,Manual_Review!$A$6:$A$238,0))&gt;0,INDEX(Manual_Review!$I$6:$I$238,MATCH(A45,Manual_Review!$A$6:$A$238,0))="Confirmed",INDEX(Manual_Review!$AF$6:$AF$238,MATCH(A45,Manual_Review!$A$6:$A$238,0))&lt;&gt;""),INDEX(Manual_Review!$AG$6:$AG$238,MATCH(A45,Manual_Review!$A$6:$A$238,0))&lt;&gt;""),IF(INDEX(Manual_Review!$AB$6:$AB$238,MATCH(A45,Manual_Review!$A$6:$A$238,0))="Pass","Pass",IF(INDEX(Manual_Review!$AB$6:$AB$238,MATCH(A45,Manual_Review!$A$6:$A$238,0))="Fail","Fail","Pending")),"Not assessed: define intended task")</f>
        <v>Not assessed: define intended task</v>
      </c>
      <c r="AW45" s="5" t="str">
        <f>IF(AND(AND(INDEX(Manual_Review!$G$6:$G$238,MATCH(A45,Manual_Review!$A$6:$A$238,0))&lt;&gt;"",ISNUMBER(INDEX(Manual_Review!$H$6:$H$238,MATCH(A45,Manual_Review!$A$6:$A$238,0))),INDEX(Manual_Review!$H$6:$H$238,MATCH(A45,Manual_Review!$A$6:$A$238,0))&gt;0,INDEX(Manual_Review!$I$6:$I$238,MATCH(A45,Manual_Review!$A$6:$A$238,0))="Confirmed",INDEX(Manual_Review!$AF$6:$AF$238,MATCH(A45,Manual_Review!$A$6:$A$238,0))&lt;&gt;""),INDEX(Manual_Review!$AG$6:$AG$238,MATCH(A45,Manual_Review!$A$6:$A$238,0))&lt;&gt;""),IF(OR(INDEX(Manual_Review!$AC$6:$AC$238,MATCH(A45,Manual_Review!$A$6:$A$238,0))="Fail",INDEX(Manual_Review!$AD$6:$AD$238,MATCH(A45,Manual_Review!$A$6:$A$238,0))="Fail"),"Fail: rights or retrieval",IF(AND(INDEX(Manual_Review!$AC$6:$AC$238,MATCH(A45,Manual_Review!$A$6:$A$238,0))="Pass",INDEX(Manual_Review!$AD$6:$AD$238,MATCH(A45,Manual_Review!$A$6:$A$238,0))="Pass"),"Pass","Pending rights and retrieval")),"Pending rights and retrieval")</f>
        <v>Pending rights and retrieval</v>
      </c>
      <c r="AX45" s="5" t="str">
        <f>IF(INDEX(Manual_Review!$AG$6:$AG$238,MATCH(A45,Manual_Review!$A$6:$A$238,0))="","N/A: documentation inventory",IF(AND(INDEX(Manual_Review!$G$6:$G$238,MATCH(A45,Manual_Review!$A$6:$A$238,0))&lt;&gt;"",ISNUMBER(INDEX(Manual_Review!$H$6:$H$238,MATCH(A45,Manual_Review!$A$6:$A$238,0))),INDEX(Manual_Review!$H$6:$H$238,MATCH(A45,Manual_Review!$A$6:$A$238,0))&gt;0,INDEX(Manual_Review!$I$6:$I$238,MATCH(A45,Manual_Review!$A$6:$A$238,0))="Confirmed",INDEX(Manual_Review!$AF$6:$AF$238,MATCH(A45,Manual_Review!$A$6:$A$238,0))&lt;&gt;""),IF(INDEX(Manual_Review!$AE$6:$AE$238,MATCH(A45,Manual_Review!$A$6:$A$238,0))="Pass","Pass",IF(INDEX(Manual_Review!$AE$6:$AE$238,MATCH(A45,Manual_Review!$A$6:$A$238,0))="Fail","Fail: benchmark leakage",IF(INDEX(Manual_Review!$AE$6:$AE$238,MATCH(A45,Manual_Review!$A$6:$A$238,0))="N/A","N/A: nonbenchmark task","Pending task-specific leakage check"))),"Pending task-specific leakage check"))</f>
        <v>N/A: documentation inventory</v>
      </c>
      <c r="AY45" s="5" t="str">
        <f>IF(IF(D45="Unlabeled-13",AND(ABS(MCDM_Settings!$D$14-1)&lt;0.0000001,MIN(MCDM_Settings!$E$6:$E$11)&gt;=0,MCDM_Settings!$E$7=0),AND(ABS(MCDM_Settings!$B$14-1)&lt;0.0000001,MIN(MCDM_Settings!$C$6:$C$11)&gt;=0)),"Valid","Check weights")</f>
        <v>Valid</v>
      </c>
      <c r="AZ45" s="5" t="str">
        <f>IF(AND(COUNTIF(MCDM_Checks!$B$6:$B$3733,A45)=16,COUNTIF(Manual_Review!$A$6:$A$238,A45)=1),"16 keys present","Check key count")</f>
        <v>16 keys present</v>
      </c>
    </row>
    <row r="46" spans="1:52" ht="25.5">
      <c r="A46" s="5" t="s">
        <v>581</v>
      </c>
      <c r="B46" s="5" t="s">
        <v>582</v>
      </c>
      <c r="C46" s="5"/>
      <c r="D46" s="5" t="s">
        <v>118</v>
      </c>
      <c r="E46" s="12">
        <f>IF(OR(AY46&lt;&gt;"Valid",AZ46&lt;&gt;"16 keys present"),"Review settings",20*(IF(ISNUMBER(AC46),AC46*IF($D46="Unlabeled-13",MCDM_Settings!$E$6,MCDM_Settings!$C$6),0)+IF(ISNUMBER(AF46),AF46*IF($D46="Unlabeled-13",MCDM_Settings!$E$7,MCDM_Settings!$C$7),0)+IF(ISNUMBER(AI46),AI46*IF($D46="Unlabeled-13",MCDM_Settings!$E$8,MCDM_Settings!$C$8),0)+IF(ISNUMBER(AL46),AL46*IF($D46="Unlabeled-13",MCDM_Settings!$E$9,MCDM_Settings!$C$9),0)+IF(ISNUMBER(AO46),AO46*IF($D46="Unlabeled-13",MCDM_Settings!$E$10,MCDM_Settings!$C$10),0)+IF(ISNUMBER(AR46),AR46*IF($D46="Unlabeled-13",MCDM_Settings!$E$11,MCDM_Settings!$C$11),0)))</f>
        <v>11.111111111111111</v>
      </c>
      <c r="F46" s="12">
        <f>IF(OR(AY46&lt;&gt;"Valid",AZ46&lt;&gt;"16 keys present"),"Review settings",20*(IF(ISNUMBER(AD46),AD46*IF($D46="Unlabeled-13",MCDM_Settings!$E$6,MCDM_Settings!$C$6),0)+IF(ISNUMBER(AG46),AG46*IF($D46="Unlabeled-13",MCDM_Settings!$E$7,MCDM_Settings!$C$7),0)+IF(ISNUMBER(AJ46),AJ46*IF($D46="Unlabeled-13",MCDM_Settings!$E$8,MCDM_Settings!$C$8),0)+IF(ISNUMBER(AM46),AM46*IF($D46="Unlabeled-13",MCDM_Settings!$E$9,MCDM_Settings!$C$9),0)+IF(ISNUMBER(AP46),AP46*IF($D46="Unlabeled-13",MCDM_Settings!$E$10,MCDM_Settings!$C$10),0)+IF(ISNUMBER(AS46),AS46*IF($D46="Unlabeled-13",MCDM_Settings!$E$11,MCDM_Settings!$C$11),0)))</f>
        <v>94.444444444444429</v>
      </c>
      <c r="G46" s="13">
        <f>IF(OR(AY46&lt;&gt;"Valid",AZ46&lt;&gt;"16 keys present"),"Review settings",1*(IF(ISNUMBER(AE46),AE46*IF($D46="Unlabeled-13",MCDM_Settings!$E$6,MCDM_Settings!$C$6),0)+IF(ISNUMBER(AH46),AH46*IF($D46="Unlabeled-13",MCDM_Settings!$E$7,MCDM_Settings!$C$7),0)+IF(ISNUMBER(AK46),AK46*IF($D46="Unlabeled-13",MCDM_Settings!$E$8,MCDM_Settings!$C$8),0)+IF(ISNUMBER(AN46),AN46*IF($D46="Unlabeled-13",MCDM_Settings!$E$9,MCDM_Settings!$C$9),0)+IF(ISNUMBER(AQ46),AQ46*IF($D46="Unlabeled-13",MCDM_Settings!$E$10,MCDM_Settings!$C$10),0)+IF(ISNUMBER(AT46),AT46*IF($D46="Unlabeled-13",MCDM_Settings!$E$11,MCDM_Settings!$C$11),0)))</f>
        <v>0.16666666666666666</v>
      </c>
      <c r="H46" s="5" t="str">
        <f>INDEX(Manual_Review!$AH$6:$AH$238,MATCH(A46,Manual_Review!$A$6:$A$238,0))</f>
        <v>Not started</v>
      </c>
      <c r="I46" s="5" t="s">
        <v>128</v>
      </c>
      <c r="J46" s="5" t="s">
        <v>404</v>
      </c>
      <c r="K46" s="5" t="str">
        <f>HYPERLINK("https://github.com/SEUxia/Asphalt-pavement-crack-dataset","Dataset")</f>
        <v>Dataset</v>
      </c>
      <c r="L46" s="5" t="str">
        <f>HYPERLINK("#'Manual_Review'!A"&amp;(MATCH("DS-041",Manual_Review!$A$6:$A$238,0)+5),"Enter review")</f>
        <v>Enter review</v>
      </c>
      <c r="M46" s="5" t="str">
        <f>INDEX(MCDM_Checks!$K$6:$K$3733,MATCH(A46&amp;"|"&amp;M$5,MCDM_Checks!$A$6:$A$3733,0))</f>
        <v>Y</v>
      </c>
      <c r="N46" s="5" t="str">
        <f>INDEX(MCDM_Checks!$K$6:$K$3733,MATCH(A46&amp;"|"&amp;N$5,MCDM_Checks!$A$6:$A$3733,0))</f>
        <v>N</v>
      </c>
      <c r="O46" s="5" t="str">
        <f>INDEX(MCDM_Checks!$K$6:$K$3733,MATCH(A46&amp;"|"&amp;O$5,MCDM_Checks!$A$6:$A$3733,0))</f>
        <v>U</v>
      </c>
      <c r="P46" s="5" t="str">
        <f>INDEX(MCDM_Checks!$K$6:$K$3733,MATCH(A46&amp;"|"&amp;P$5,MCDM_Checks!$A$6:$A$3733,0))</f>
        <v>Y</v>
      </c>
      <c r="Q46" s="5" t="str">
        <f>INDEX(MCDM_Checks!$K$6:$K$3733,MATCH(A46&amp;"|"&amp;Q$5,MCDM_Checks!$A$6:$A$3733,0))</f>
        <v>U</v>
      </c>
      <c r="R46" s="5" t="str">
        <f>INDEX(MCDM_Checks!$K$6:$K$3733,MATCH(A46&amp;"|"&amp;R$5,MCDM_Checks!$A$6:$A$3733,0))</f>
        <v>U</v>
      </c>
      <c r="S46" s="5" t="str">
        <f>INDEX(MCDM_Checks!$K$6:$K$3733,MATCH(A46&amp;"|"&amp;S$5,MCDM_Checks!$A$6:$A$3733,0))</f>
        <v>U</v>
      </c>
      <c r="T46" s="5" t="str">
        <f>INDEX(MCDM_Checks!$K$6:$K$3733,MATCH(A46&amp;"|"&amp;T$5,MCDM_Checks!$A$6:$A$3733,0))</f>
        <v>U</v>
      </c>
      <c r="U46" s="5" t="str">
        <f>INDEX(MCDM_Checks!$K$6:$K$3733,MATCH(A46&amp;"|"&amp;U$5,MCDM_Checks!$A$6:$A$3733,0))</f>
        <v>U</v>
      </c>
      <c r="V46" s="5" t="str">
        <f>INDEX(MCDM_Checks!$K$6:$K$3733,MATCH(A46&amp;"|"&amp;V$5,MCDM_Checks!$A$6:$A$3733,0))</f>
        <v>U</v>
      </c>
      <c r="W46" s="5" t="str">
        <f>INDEX(MCDM_Checks!$K$6:$K$3733,MATCH(A46&amp;"|"&amp;W$5,MCDM_Checks!$A$6:$A$3733,0))</f>
        <v>U</v>
      </c>
      <c r="X46" s="5" t="str">
        <f>INDEX(MCDM_Checks!$K$6:$K$3733,MATCH(A46&amp;"|"&amp;X$5,MCDM_Checks!$A$6:$A$3733,0))</f>
        <v>U</v>
      </c>
      <c r="Y46" s="5" t="str">
        <f>INDEX(MCDM_Checks!$K$6:$K$3733,MATCH(A46&amp;"|"&amp;Y$5,MCDM_Checks!$A$6:$A$3733,0))</f>
        <v>U</v>
      </c>
      <c r="Z46" s="5" t="str">
        <f>INDEX(MCDM_Checks!$K$6:$K$3733,MATCH(A46&amp;"|"&amp;Z$5,MCDM_Checks!$A$6:$A$3733,0))</f>
        <v>U</v>
      </c>
      <c r="AA46" s="5" t="str">
        <f>INDEX(MCDM_Checks!$K$6:$K$3733,MATCH(A46&amp;"|"&amp;AA$5,MCDM_Checks!$A$6:$A$3733,0))</f>
        <v>U</v>
      </c>
      <c r="AB46" s="5" t="str">
        <f>INDEX(MCDM_Checks!$K$6:$K$3733,MATCH(A46&amp;"|"&amp;AB$5,MCDM_Checks!$A$6:$A$3733,0))</f>
        <v>U</v>
      </c>
      <c r="AC46" s="12">
        <f>IF(IF($D46="Unlabeled-13",MCDM_Settings!$F$6,MCDM_Settings!$D$6)=0,"n.a.",5*COUNTIF(M46:O46,"Y")/IF($D46="Unlabeled-13",MCDM_Settings!$F$6,MCDM_Settings!$D$6))</f>
        <v>1.6666666666666667</v>
      </c>
      <c r="AD46" s="12">
        <f>IF(IF($D46="Unlabeled-13",MCDM_Settings!$F$6,MCDM_Settings!$D$6)=0,"n.a.",5*(COUNTIF(M46:O46,"Y")+COUNTIF(M46:O46,"U")+COUNTIF(M46:O46,"X"))/IF($D46="Unlabeled-13",MCDM_Settings!$F$6,MCDM_Settings!$D$6))</f>
        <v>3.3333333333333335</v>
      </c>
      <c r="AE46" s="13">
        <f>IF(IF($D46="Unlabeled-13",MCDM_Settings!$F$6,MCDM_Settings!$D$6)=0,"n.a.",(COUNTIF(M46:O46,"Y")+COUNTIF(M46:O46,"N"))/IF($D46="Unlabeled-13",MCDM_Settings!$F$6,MCDM_Settings!$D$6))</f>
        <v>0.66666666666666663</v>
      </c>
      <c r="AF46" s="12">
        <f>IF(IF($D46="Unlabeled-13",MCDM_Settings!$F$7,MCDM_Settings!$D$7)=0,"n.a.",5*COUNTIF(P46:R46,"Y")/IF($D46="Unlabeled-13",MCDM_Settings!$F$7,MCDM_Settings!$D$7))</f>
        <v>1.6666666666666667</v>
      </c>
      <c r="AG46" s="12">
        <f>IF(IF($D46="Unlabeled-13",MCDM_Settings!$F$7,MCDM_Settings!$D$7)=0,"n.a.",5*(COUNTIF(P46:R46,"Y")+COUNTIF(P46:R46,"U")+COUNTIF(P46:R46,"X"))/IF($D46="Unlabeled-13",MCDM_Settings!$F$7,MCDM_Settings!$D$7))</f>
        <v>5</v>
      </c>
      <c r="AH46" s="13">
        <f>IF(IF($D46="Unlabeled-13",MCDM_Settings!$F$7,MCDM_Settings!$D$7)=0,"n.a.",(COUNTIF(P46:R46,"Y")+COUNTIF(P46:R46,"N"))/IF($D46="Unlabeled-13",MCDM_Settings!$F$7,MCDM_Settings!$D$7))</f>
        <v>0.33333333333333331</v>
      </c>
      <c r="AI46" s="12">
        <f>IF(IF($D46="Unlabeled-13",MCDM_Settings!$F$8,MCDM_Settings!$D$8)=0,"n.a.",5*COUNTIF(S46:U46,"Y")/IF($D46="Unlabeled-13",MCDM_Settings!$F$8,MCDM_Settings!$D$8))</f>
        <v>0</v>
      </c>
      <c r="AJ46" s="12">
        <f>IF(IF($D46="Unlabeled-13",MCDM_Settings!$F$8,MCDM_Settings!$D$8)=0,"n.a.",5*(COUNTIF(S46:U46,"Y")+COUNTIF(S46:U46,"U")+COUNTIF(S46:U46,"X"))/IF($D46="Unlabeled-13",MCDM_Settings!$F$8,MCDM_Settings!$D$8))</f>
        <v>5</v>
      </c>
      <c r="AK46" s="13">
        <f>IF(IF($D46="Unlabeled-13",MCDM_Settings!$F$8,MCDM_Settings!$D$8)=0,"n.a.",(COUNTIF(S46:U46,"Y")+COUNTIF(S46:U46,"N"))/IF($D46="Unlabeled-13",MCDM_Settings!$F$8,MCDM_Settings!$D$8))</f>
        <v>0</v>
      </c>
      <c r="AL46" s="12">
        <f>IF(IF($D46="Unlabeled-13",MCDM_Settings!$F$9,MCDM_Settings!$D$9)=0,"n.a.",5*COUNTIF(V46:W46,"Y")/IF($D46="Unlabeled-13",MCDM_Settings!$F$9,MCDM_Settings!$D$9))</f>
        <v>0</v>
      </c>
      <c r="AM46" s="12">
        <f>IF(IF($D46="Unlabeled-13",MCDM_Settings!$F$9,MCDM_Settings!$D$9)=0,"n.a.",5*(COUNTIF(V46:W46,"Y")+COUNTIF(V46:W46,"U")+COUNTIF(V46:W46,"X"))/IF($D46="Unlabeled-13",MCDM_Settings!$F$9,MCDM_Settings!$D$9))</f>
        <v>5</v>
      </c>
      <c r="AN46" s="13">
        <f>IF(IF($D46="Unlabeled-13",MCDM_Settings!$F$9,MCDM_Settings!$D$9)=0,"n.a.",(COUNTIF(V46:W46,"Y")+COUNTIF(V46:W46,"N"))/IF($D46="Unlabeled-13",MCDM_Settings!$F$9,MCDM_Settings!$D$9))</f>
        <v>0</v>
      </c>
      <c r="AO46" s="12">
        <f>IF(IF($D46="Unlabeled-13",MCDM_Settings!$F$10,MCDM_Settings!$D$10)=0,"n.a.",5*COUNTIF(X46:Y46,"Y")/IF($D46="Unlabeled-13",MCDM_Settings!$F$10,MCDM_Settings!$D$10))</f>
        <v>0</v>
      </c>
      <c r="AP46" s="12">
        <f>IF(IF($D46="Unlabeled-13",MCDM_Settings!$F$10,MCDM_Settings!$D$10)=0,"n.a.",5*(COUNTIF(X46:Y46,"Y")+COUNTIF(X46:Y46,"U")+COUNTIF(X46:Y46,"X"))/IF($D46="Unlabeled-13",MCDM_Settings!$F$10,MCDM_Settings!$D$10))</f>
        <v>5</v>
      </c>
      <c r="AQ46" s="13">
        <f>IF(IF($D46="Unlabeled-13",MCDM_Settings!$F$10,MCDM_Settings!$D$10)=0,"n.a.",(COUNTIF(X46:Y46,"Y")+COUNTIF(X46:Y46,"N"))/IF($D46="Unlabeled-13",MCDM_Settings!$F$10,MCDM_Settings!$D$10))</f>
        <v>0</v>
      </c>
      <c r="AR46" s="12">
        <f>IF(IF($D46="Unlabeled-13",MCDM_Settings!$F$11,MCDM_Settings!$D$11)=0,"n.a.",5*COUNTIF(Z46:AB46,"Y")/IF($D46="Unlabeled-13",MCDM_Settings!$F$11,MCDM_Settings!$D$11))</f>
        <v>0</v>
      </c>
      <c r="AS46" s="12">
        <f>IF(IF($D46="Unlabeled-13",MCDM_Settings!$F$11,MCDM_Settings!$D$11)=0,"n.a.",5*(COUNTIF(Z46:AB46,"Y")+COUNTIF(Z46:AB46,"U")+COUNTIF(Z46:AB46,"X"))/IF($D46="Unlabeled-13",MCDM_Settings!$F$11,MCDM_Settings!$D$11))</f>
        <v>5</v>
      </c>
      <c r="AT46" s="13">
        <f>IF(IF($D46="Unlabeled-13",MCDM_Settings!$F$11,MCDM_Settings!$D$11)=0,"n.a.",(COUNTIF(Z46:AB46,"Y")+COUNTIF(Z46:AB46,"N"))/IF($D46="Unlabeled-13",MCDM_Settings!$F$11,MCDM_Settings!$D$11))</f>
        <v>0</v>
      </c>
      <c r="AU46" s="5" t="str">
        <f>IF(AND(INDEX(Manual_Review!$G$6:$G$238,MATCH(A46,Manual_Review!$A$6:$A$238,0))&lt;&gt;"",ISNUMBER(INDEX(Manual_Review!$H$6:$H$238,MATCH(A46,Manual_Review!$A$6:$A$238,0))),INDEX(Manual_Review!$H$6:$H$238,MATCH(A46,Manual_Review!$A$6:$A$238,0))&gt;0,INDEX(Manual_Review!$I$6:$I$238,MATCH(A46,Manual_Review!$A$6:$A$238,0))="Confirmed",INDEX(Manual_Review!$AF$6:$AF$238,MATCH(A46,Manual_Review!$A$6:$A$238,0))&lt;&gt;""),IF(INDEX(Manual_Review!$AA$6:$AA$238,MATCH(A46,Manual_Review!$A$6:$A$238,0))="Pass","Pass",IF(INDEX(Manual_Review!$AA$6:$AA$238,MATCH(A46,Manual_Review!$A$6:$A$238,0))="Fail","Fail","Pending")),"Pending human identity confirmation")</f>
        <v>Pending human identity confirmation</v>
      </c>
      <c r="AV46" s="5" t="str">
        <f>IF(AND(AND(INDEX(Manual_Review!$G$6:$G$238,MATCH(A46,Manual_Review!$A$6:$A$238,0))&lt;&gt;"",ISNUMBER(INDEX(Manual_Review!$H$6:$H$238,MATCH(A46,Manual_Review!$A$6:$A$238,0))),INDEX(Manual_Review!$H$6:$H$238,MATCH(A46,Manual_Review!$A$6:$A$238,0))&gt;0,INDEX(Manual_Review!$I$6:$I$238,MATCH(A46,Manual_Review!$A$6:$A$238,0))="Confirmed",INDEX(Manual_Review!$AF$6:$AF$238,MATCH(A46,Manual_Review!$A$6:$A$238,0))&lt;&gt;""),INDEX(Manual_Review!$AG$6:$AG$238,MATCH(A46,Manual_Review!$A$6:$A$238,0))&lt;&gt;""),IF(INDEX(Manual_Review!$AB$6:$AB$238,MATCH(A46,Manual_Review!$A$6:$A$238,0))="Pass","Pass",IF(INDEX(Manual_Review!$AB$6:$AB$238,MATCH(A46,Manual_Review!$A$6:$A$238,0))="Fail","Fail","Pending")),"Not assessed: define intended task")</f>
        <v>Not assessed: define intended task</v>
      </c>
      <c r="AW46" s="5" t="str">
        <f>IF(AND(AND(INDEX(Manual_Review!$G$6:$G$238,MATCH(A46,Manual_Review!$A$6:$A$238,0))&lt;&gt;"",ISNUMBER(INDEX(Manual_Review!$H$6:$H$238,MATCH(A46,Manual_Review!$A$6:$A$238,0))),INDEX(Manual_Review!$H$6:$H$238,MATCH(A46,Manual_Review!$A$6:$A$238,0))&gt;0,INDEX(Manual_Review!$I$6:$I$238,MATCH(A46,Manual_Review!$A$6:$A$238,0))="Confirmed",INDEX(Manual_Review!$AF$6:$AF$238,MATCH(A46,Manual_Review!$A$6:$A$238,0))&lt;&gt;""),INDEX(Manual_Review!$AG$6:$AG$238,MATCH(A46,Manual_Review!$A$6:$A$238,0))&lt;&gt;""),IF(OR(INDEX(Manual_Review!$AC$6:$AC$238,MATCH(A46,Manual_Review!$A$6:$A$238,0))="Fail",INDEX(Manual_Review!$AD$6:$AD$238,MATCH(A46,Manual_Review!$A$6:$A$238,0))="Fail"),"Fail: rights or retrieval",IF(AND(INDEX(Manual_Review!$AC$6:$AC$238,MATCH(A46,Manual_Review!$A$6:$A$238,0))="Pass",INDEX(Manual_Review!$AD$6:$AD$238,MATCH(A46,Manual_Review!$A$6:$A$238,0))="Pass"),"Pass","Pending rights and retrieval")),"Pending rights and retrieval")</f>
        <v>Pending rights and retrieval</v>
      </c>
      <c r="AX46" s="5" t="str">
        <f>IF(INDEX(Manual_Review!$AG$6:$AG$238,MATCH(A46,Manual_Review!$A$6:$A$238,0))="","N/A: documentation inventory",IF(AND(INDEX(Manual_Review!$G$6:$G$238,MATCH(A46,Manual_Review!$A$6:$A$238,0))&lt;&gt;"",ISNUMBER(INDEX(Manual_Review!$H$6:$H$238,MATCH(A46,Manual_Review!$A$6:$A$238,0))),INDEX(Manual_Review!$H$6:$H$238,MATCH(A46,Manual_Review!$A$6:$A$238,0))&gt;0,INDEX(Manual_Review!$I$6:$I$238,MATCH(A46,Manual_Review!$A$6:$A$238,0))="Confirmed",INDEX(Manual_Review!$AF$6:$AF$238,MATCH(A46,Manual_Review!$A$6:$A$238,0))&lt;&gt;""),IF(INDEX(Manual_Review!$AE$6:$AE$238,MATCH(A46,Manual_Review!$A$6:$A$238,0))="Pass","Pass",IF(INDEX(Manual_Review!$AE$6:$AE$238,MATCH(A46,Manual_Review!$A$6:$A$238,0))="Fail","Fail: benchmark leakage",IF(INDEX(Manual_Review!$AE$6:$AE$238,MATCH(A46,Manual_Review!$A$6:$A$238,0))="N/A","N/A: nonbenchmark task","Pending task-specific leakage check"))),"Pending task-specific leakage check"))</f>
        <v>N/A: documentation inventory</v>
      </c>
      <c r="AY46" s="5" t="str">
        <f>IF(IF(D46="Unlabeled-13",AND(ABS(MCDM_Settings!$D$14-1)&lt;0.0000001,MIN(MCDM_Settings!$E$6:$E$11)&gt;=0,MCDM_Settings!$E$7=0),AND(ABS(MCDM_Settings!$B$14-1)&lt;0.0000001,MIN(MCDM_Settings!$C$6:$C$11)&gt;=0)),"Valid","Check weights")</f>
        <v>Valid</v>
      </c>
      <c r="AZ46" s="5" t="str">
        <f>IF(AND(COUNTIF(MCDM_Checks!$B$6:$B$3733,A46)=16,COUNTIF(Manual_Review!$A$6:$A$238,A46)=1),"16 keys present","Check key count")</f>
        <v>16 keys present</v>
      </c>
    </row>
    <row r="47" spans="1:52">
      <c r="A47" s="5" t="s">
        <v>586</v>
      </c>
      <c r="B47" s="5" t="s">
        <v>587</v>
      </c>
      <c r="C47" s="5"/>
      <c r="D47" s="5" t="s">
        <v>118</v>
      </c>
      <c r="E47" s="12">
        <f>IF(OR(AY47&lt;&gt;"Valid",AZ47&lt;&gt;"16 keys present"),"Review settings",20*(IF(ISNUMBER(AC47),AC47*IF($D47="Unlabeled-13",MCDM_Settings!$E$6,MCDM_Settings!$C$6),0)+IF(ISNUMBER(AF47),AF47*IF($D47="Unlabeled-13",MCDM_Settings!$E$7,MCDM_Settings!$C$7),0)+IF(ISNUMBER(AI47),AI47*IF($D47="Unlabeled-13",MCDM_Settings!$E$8,MCDM_Settings!$C$8),0)+IF(ISNUMBER(AL47),AL47*IF($D47="Unlabeled-13",MCDM_Settings!$E$9,MCDM_Settings!$C$9),0)+IF(ISNUMBER(AO47),AO47*IF($D47="Unlabeled-13",MCDM_Settings!$E$10,MCDM_Settings!$C$10),0)+IF(ISNUMBER(AR47),AR47*IF($D47="Unlabeled-13",MCDM_Settings!$E$11,MCDM_Settings!$C$11),0)))</f>
        <v>58.333333333333343</v>
      </c>
      <c r="F47" s="12">
        <f>IF(OR(AY47&lt;&gt;"Valid",AZ47&lt;&gt;"16 keys present"),"Review settings",20*(IF(ISNUMBER(AD47),AD47*IF($D47="Unlabeled-13",MCDM_Settings!$E$6,MCDM_Settings!$C$6),0)+IF(ISNUMBER(AG47),AG47*IF($D47="Unlabeled-13",MCDM_Settings!$E$7,MCDM_Settings!$C$7),0)+IF(ISNUMBER(AJ47),AJ47*IF($D47="Unlabeled-13",MCDM_Settings!$E$8,MCDM_Settings!$C$8),0)+IF(ISNUMBER(AM47),AM47*IF($D47="Unlabeled-13",MCDM_Settings!$E$9,MCDM_Settings!$C$9),0)+IF(ISNUMBER(AP47),AP47*IF($D47="Unlabeled-13",MCDM_Settings!$E$10,MCDM_Settings!$C$10),0)+IF(ISNUMBER(AS47),AS47*IF($D47="Unlabeled-13",MCDM_Settings!$E$11,MCDM_Settings!$C$11),0)))</f>
        <v>99.999999999999986</v>
      </c>
      <c r="G47" s="13">
        <f>IF(OR(AY47&lt;&gt;"Valid",AZ47&lt;&gt;"16 keys present"),"Review settings",1*(IF(ISNUMBER(AE47),AE47*IF($D47="Unlabeled-13",MCDM_Settings!$E$6,MCDM_Settings!$C$6),0)+IF(ISNUMBER(AH47),AH47*IF($D47="Unlabeled-13",MCDM_Settings!$E$7,MCDM_Settings!$C$7),0)+IF(ISNUMBER(AK47),AK47*IF($D47="Unlabeled-13",MCDM_Settings!$E$8,MCDM_Settings!$C$8),0)+IF(ISNUMBER(AN47),AN47*IF($D47="Unlabeled-13",MCDM_Settings!$E$9,MCDM_Settings!$C$9),0)+IF(ISNUMBER(AQ47),AQ47*IF($D47="Unlabeled-13",MCDM_Settings!$E$10,MCDM_Settings!$C$10),0)+IF(ISNUMBER(AT47),AT47*IF($D47="Unlabeled-13",MCDM_Settings!$E$11,MCDM_Settings!$C$11),0)))</f>
        <v>0.58333333333333326</v>
      </c>
      <c r="H47" s="5" t="str">
        <f>INDEX(Manual_Review!$AH$6:$AH$238,MATCH(A47,Manual_Review!$A$6:$A$238,0))</f>
        <v>Not started</v>
      </c>
      <c r="I47" s="5" t="s">
        <v>128</v>
      </c>
      <c r="J47" s="5" t="s">
        <v>121</v>
      </c>
      <c r="K47" s="5" t="str">
        <f>HYPERLINK("https://github.com/achireistefan/Pothole-Detection","Dataset")</f>
        <v>Dataset</v>
      </c>
      <c r="L47" s="5" t="str">
        <f>HYPERLINK("#'Manual_Review'!A"&amp;(MATCH("DS-042",Manual_Review!$A$6:$A$238,0)+5),"Enter review")</f>
        <v>Enter review</v>
      </c>
      <c r="M47" s="5" t="str">
        <f>INDEX(MCDM_Checks!$K$6:$K$3733,MATCH(A47&amp;"|"&amp;M$5,MCDM_Checks!$A$6:$A$3733,0))</f>
        <v>Y</v>
      </c>
      <c r="N47" s="5" t="str">
        <f>INDEX(MCDM_Checks!$K$6:$K$3733,MATCH(A47&amp;"|"&amp;N$5,MCDM_Checks!$A$6:$A$3733,0))</f>
        <v>U</v>
      </c>
      <c r="O47" s="5" t="str">
        <f>INDEX(MCDM_Checks!$K$6:$K$3733,MATCH(A47&amp;"|"&amp;O$5,MCDM_Checks!$A$6:$A$3733,0))</f>
        <v>U</v>
      </c>
      <c r="P47" s="5" t="str">
        <f>INDEX(MCDM_Checks!$K$6:$K$3733,MATCH(A47&amp;"|"&amp;P$5,MCDM_Checks!$A$6:$A$3733,0))</f>
        <v>Y</v>
      </c>
      <c r="Q47" s="5" t="str">
        <f>INDEX(MCDM_Checks!$K$6:$K$3733,MATCH(A47&amp;"|"&amp;Q$5,MCDM_Checks!$A$6:$A$3733,0))</f>
        <v>Y</v>
      </c>
      <c r="R47" s="5" t="str">
        <f>INDEX(MCDM_Checks!$K$6:$K$3733,MATCH(A47&amp;"|"&amp;R$5,MCDM_Checks!$A$6:$A$3733,0))</f>
        <v>U</v>
      </c>
      <c r="S47" s="5" t="str">
        <f>INDEX(MCDM_Checks!$K$6:$K$3733,MATCH(A47&amp;"|"&amp;S$5,MCDM_Checks!$A$6:$A$3733,0))</f>
        <v>U</v>
      </c>
      <c r="T47" s="5" t="str">
        <f>INDEX(MCDM_Checks!$K$6:$K$3733,MATCH(A47&amp;"|"&amp;T$5,MCDM_Checks!$A$6:$A$3733,0))</f>
        <v>Y</v>
      </c>
      <c r="U47" s="5" t="str">
        <f>INDEX(MCDM_Checks!$K$6:$K$3733,MATCH(A47&amp;"|"&amp;U$5,MCDM_Checks!$A$6:$A$3733,0))</f>
        <v>U</v>
      </c>
      <c r="V47" s="5" t="str">
        <f>INDEX(MCDM_Checks!$K$6:$K$3733,MATCH(A47&amp;"|"&amp;V$5,MCDM_Checks!$A$6:$A$3733,0))</f>
        <v>Y</v>
      </c>
      <c r="W47" s="5" t="str">
        <f>INDEX(MCDM_Checks!$K$6:$K$3733,MATCH(A47&amp;"|"&amp;W$5,MCDM_Checks!$A$6:$A$3733,0))</f>
        <v>Y</v>
      </c>
      <c r="X47" s="5" t="str">
        <f>INDEX(MCDM_Checks!$K$6:$K$3733,MATCH(A47&amp;"|"&amp;X$5,MCDM_Checks!$A$6:$A$3733,0))</f>
        <v>U</v>
      </c>
      <c r="Y47" s="5" t="str">
        <f>INDEX(MCDM_Checks!$K$6:$K$3733,MATCH(A47&amp;"|"&amp;Y$5,MCDM_Checks!$A$6:$A$3733,0))</f>
        <v>Y</v>
      </c>
      <c r="Z47" s="5" t="str">
        <f>INDEX(MCDM_Checks!$K$6:$K$3733,MATCH(A47&amp;"|"&amp;Z$5,MCDM_Checks!$A$6:$A$3733,0))</f>
        <v>Y</v>
      </c>
      <c r="AA47" s="5" t="str">
        <f>INDEX(MCDM_Checks!$K$6:$K$3733,MATCH(A47&amp;"|"&amp;AA$5,MCDM_Checks!$A$6:$A$3733,0))</f>
        <v>U</v>
      </c>
      <c r="AB47" s="5" t="str">
        <f>INDEX(MCDM_Checks!$K$6:$K$3733,MATCH(A47&amp;"|"&amp;AB$5,MCDM_Checks!$A$6:$A$3733,0))</f>
        <v>Y</v>
      </c>
      <c r="AC47" s="12">
        <f>IF(IF($D47="Unlabeled-13",MCDM_Settings!$F$6,MCDM_Settings!$D$6)=0,"n.a.",5*COUNTIF(M47:O47,"Y")/IF($D47="Unlabeled-13",MCDM_Settings!$F$6,MCDM_Settings!$D$6))</f>
        <v>1.6666666666666667</v>
      </c>
      <c r="AD47" s="12">
        <f>IF(IF($D47="Unlabeled-13",MCDM_Settings!$F$6,MCDM_Settings!$D$6)=0,"n.a.",5*(COUNTIF(M47:O47,"Y")+COUNTIF(M47:O47,"U")+COUNTIF(M47:O47,"X"))/IF($D47="Unlabeled-13",MCDM_Settings!$F$6,MCDM_Settings!$D$6))</f>
        <v>5</v>
      </c>
      <c r="AE47" s="13">
        <f>IF(IF($D47="Unlabeled-13",MCDM_Settings!$F$6,MCDM_Settings!$D$6)=0,"n.a.",(COUNTIF(M47:O47,"Y")+COUNTIF(M47:O47,"N"))/IF($D47="Unlabeled-13",MCDM_Settings!$F$6,MCDM_Settings!$D$6))</f>
        <v>0.33333333333333331</v>
      </c>
      <c r="AF47" s="12">
        <f>IF(IF($D47="Unlabeled-13",MCDM_Settings!$F$7,MCDM_Settings!$D$7)=0,"n.a.",5*COUNTIF(P47:R47,"Y")/IF($D47="Unlabeled-13",MCDM_Settings!$F$7,MCDM_Settings!$D$7))</f>
        <v>3.3333333333333335</v>
      </c>
      <c r="AG47" s="12">
        <f>IF(IF($D47="Unlabeled-13",MCDM_Settings!$F$7,MCDM_Settings!$D$7)=0,"n.a.",5*(COUNTIF(P47:R47,"Y")+COUNTIF(P47:R47,"U")+COUNTIF(P47:R47,"X"))/IF($D47="Unlabeled-13",MCDM_Settings!$F$7,MCDM_Settings!$D$7))</f>
        <v>5</v>
      </c>
      <c r="AH47" s="13">
        <f>IF(IF($D47="Unlabeled-13",MCDM_Settings!$F$7,MCDM_Settings!$D$7)=0,"n.a.",(COUNTIF(P47:R47,"Y")+COUNTIF(P47:R47,"N"))/IF($D47="Unlabeled-13",MCDM_Settings!$F$7,MCDM_Settings!$D$7))</f>
        <v>0.66666666666666663</v>
      </c>
      <c r="AI47" s="12">
        <f>IF(IF($D47="Unlabeled-13",MCDM_Settings!$F$8,MCDM_Settings!$D$8)=0,"n.a.",5*COUNTIF(S47:U47,"Y")/IF($D47="Unlabeled-13",MCDM_Settings!$F$8,MCDM_Settings!$D$8))</f>
        <v>1.6666666666666667</v>
      </c>
      <c r="AJ47" s="12">
        <f>IF(IF($D47="Unlabeled-13",MCDM_Settings!$F$8,MCDM_Settings!$D$8)=0,"n.a.",5*(COUNTIF(S47:U47,"Y")+COUNTIF(S47:U47,"U")+COUNTIF(S47:U47,"X"))/IF($D47="Unlabeled-13",MCDM_Settings!$F$8,MCDM_Settings!$D$8))</f>
        <v>5</v>
      </c>
      <c r="AK47" s="13">
        <f>IF(IF($D47="Unlabeled-13",MCDM_Settings!$F$8,MCDM_Settings!$D$8)=0,"n.a.",(COUNTIF(S47:U47,"Y")+COUNTIF(S47:U47,"N"))/IF($D47="Unlabeled-13",MCDM_Settings!$F$8,MCDM_Settings!$D$8))</f>
        <v>0.33333333333333331</v>
      </c>
      <c r="AL47" s="12">
        <f>IF(IF($D47="Unlabeled-13",MCDM_Settings!$F$9,MCDM_Settings!$D$9)=0,"n.a.",5*COUNTIF(V47:W47,"Y")/IF($D47="Unlabeled-13",MCDM_Settings!$F$9,MCDM_Settings!$D$9))</f>
        <v>5</v>
      </c>
      <c r="AM47" s="12">
        <f>IF(IF($D47="Unlabeled-13",MCDM_Settings!$F$9,MCDM_Settings!$D$9)=0,"n.a.",5*(COUNTIF(V47:W47,"Y")+COUNTIF(V47:W47,"U")+COUNTIF(V47:W47,"X"))/IF($D47="Unlabeled-13",MCDM_Settings!$F$9,MCDM_Settings!$D$9))</f>
        <v>5</v>
      </c>
      <c r="AN47" s="13">
        <f>IF(IF($D47="Unlabeled-13",MCDM_Settings!$F$9,MCDM_Settings!$D$9)=0,"n.a.",(COUNTIF(V47:W47,"Y")+COUNTIF(V47:W47,"N"))/IF($D47="Unlabeled-13",MCDM_Settings!$F$9,MCDM_Settings!$D$9))</f>
        <v>1</v>
      </c>
      <c r="AO47" s="12">
        <f>IF(IF($D47="Unlabeled-13",MCDM_Settings!$F$10,MCDM_Settings!$D$10)=0,"n.a.",5*COUNTIF(X47:Y47,"Y")/IF($D47="Unlabeled-13",MCDM_Settings!$F$10,MCDM_Settings!$D$10))</f>
        <v>2.5</v>
      </c>
      <c r="AP47" s="12">
        <f>IF(IF($D47="Unlabeled-13",MCDM_Settings!$F$10,MCDM_Settings!$D$10)=0,"n.a.",5*(COUNTIF(X47:Y47,"Y")+COUNTIF(X47:Y47,"U")+COUNTIF(X47:Y47,"X"))/IF($D47="Unlabeled-13",MCDM_Settings!$F$10,MCDM_Settings!$D$10))</f>
        <v>5</v>
      </c>
      <c r="AQ47" s="13">
        <f>IF(IF($D47="Unlabeled-13",MCDM_Settings!$F$10,MCDM_Settings!$D$10)=0,"n.a.",(COUNTIF(X47:Y47,"Y")+COUNTIF(X47:Y47,"N"))/IF($D47="Unlabeled-13",MCDM_Settings!$F$10,MCDM_Settings!$D$10))</f>
        <v>0.5</v>
      </c>
      <c r="AR47" s="12">
        <f>IF(IF($D47="Unlabeled-13",MCDM_Settings!$F$11,MCDM_Settings!$D$11)=0,"n.a.",5*COUNTIF(Z47:AB47,"Y")/IF($D47="Unlabeled-13",MCDM_Settings!$F$11,MCDM_Settings!$D$11))</f>
        <v>3.3333333333333335</v>
      </c>
      <c r="AS47" s="12">
        <f>IF(IF($D47="Unlabeled-13",MCDM_Settings!$F$11,MCDM_Settings!$D$11)=0,"n.a.",5*(COUNTIF(Z47:AB47,"Y")+COUNTIF(Z47:AB47,"U")+COUNTIF(Z47:AB47,"X"))/IF($D47="Unlabeled-13",MCDM_Settings!$F$11,MCDM_Settings!$D$11))</f>
        <v>5</v>
      </c>
      <c r="AT47" s="13">
        <f>IF(IF($D47="Unlabeled-13",MCDM_Settings!$F$11,MCDM_Settings!$D$11)=0,"n.a.",(COUNTIF(Z47:AB47,"Y")+COUNTIF(Z47:AB47,"N"))/IF($D47="Unlabeled-13",MCDM_Settings!$F$11,MCDM_Settings!$D$11))</f>
        <v>0.66666666666666663</v>
      </c>
      <c r="AU47" s="5" t="str">
        <f>IF(AND(INDEX(Manual_Review!$G$6:$G$238,MATCH(A47,Manual_Review!$A$6:$A$238,0))&lt;&gt;"",ISNUMBER(INDEX(Manual_Review!$H$6:$H$238,MATCH(A47,Manual_Review!$A$6:$A$238,0))),INDEX(Manual_Review!$H$6:$H$238,MATCH(A47,Manual_Review!$A$6:$A$238,0))&gt;0,INDEX(Manual_Review!$I$6:$I$238,MATCH(A47,Manual_Review!$A$6:$A$238,0))="Confirmed",INDEX(Manual_Review!$AF$6:$AF$238,MATCH(A47,Manual_Review!$A$6:$A$238,0))&lt;&gt;""),IF(INDEX(Manual_Review!$AA$6:$AA$238,MATCH(A47,Manual_Review!$A$6:$A$238,0))="Pass","Pass",IF(INDEX(Manual_Review!$AA$6:$AA$238,MATCH(A47,Manual_Review!$A$6:$A$238,0))="Fail","Fail","Pending")),"Pending human identity confirmation")</f>
        <v>Pending human identity confirmation</v>
      </c>
      <c r="AV47" s="5" t="str">
        <f>IF(AND(AND(INDEX(Manual_Review!$G$6:$G$238,MATCH(A47,Manual_Review!$A$6:$A$238,0))&lt;&gt;"",ISNUMBER(INDEX(Manual_Review!$H$6:$H$238,MATCH(A47,Manual_Review!$A$6:$A$238,0))),INDEX(Manual_Review!$H$6:$H$238,MATCH(A47,Manual_Review!$A$6:$A$238,0))&gt;0,INDEX(Manual_Review!$I$6:$I$238,MATCH(A47,Manual_Review!$A$6:$A$238,0))="Confirmed",INDEX(Manual_Review!$AF$6:$AF$238,MATCH(A47,Manual_Review!$A$6:$A$238,0))&lt;&gt;""),INDEX(Manual_Review!$AG$6:$AG$238,MATCH(A47,Manual_Review!$A$6:$A$238,0))&lt;&gt;""),IF(INDEX(Manual_Review!$AB$6:$AB$238,MATCH(A47,Manual_Review!$A$6:$A$238,0))="Pass","Pass",IF(INDEX(Manual_Review!$AB$6:$AB$238,MATCH(A47,Manual_Review!$A$6:$A$238,0))="Fail","Fail","Pending")),"Not assessed: define intended task")</f>
        <v>Not assessed: define intended task</v>
      </c>
      <c r="AW47" s="5" t="str">
        <f>IF(AND(AND(INDEX(Manual_Review!$G$6:$G$238,MATCH(A47,Manual_Review!$A$6:$A$238,0))&lt;&gt;"",ISNUMBER(INDEX(Manual_Review!$H$6:$H$238,MATCH(A47,Manual_Review!$A$6:$A$238,0))),INDEX(Manual_Review!$H$6:$H$238,MATCH(A47,Manual_Review!$A$6:$A$238,0))&gt;0,INDEX(Manual_Review!$I$6:$I$238,MATCH(A47,Manual_Review!$A$6:$A$238,0))="Confirmed",INDEX(Manual_Review!$AF$6:$AF$238,MATCH(A47,Manual_Review!$A$6:$A$238,0))&lt;&gt;""),INDEX(Manual_Review!$AG$6:$AG$238,MATCH(A47,Manual_Review!$A$6:$A$238,0))&lt;&gt;""),IF(OR(INDEX(Manual_Review!$AC$6:$AC$238,MATCH(A47,Manual_Review!$A$6:$A$238,0))="Fail",INDEX(Manual_Review!$AD$6:$AD$238,MATCH(A47,Manual_Review!$A$6:$A$238,0))="Fail"),"Fail: rights or retrieval",IF(AND(INDEX(Manual_Review!$AC$6:$AC$238,MATCH(A47,Manual_Review!$A$6:$A$238,0))="Pass",INDEX(Manual_Review!$AD$6:$AD$238,MATCH(A47,Manual_Review!$A$6:$A$238,0))="Pass"),"Pass","Pending rights and retrieval")),"Pending rights and retrieval")</f>
        <v>Pending rights and retrieval</v>
      </c>
      <c r="AX47" s="5" t="str">
        <f>IF(INDEX(Manual_Review!$AG$6:$AG$238,MATCH(A47,Manual_Review!$A$6:$A$238,0))="","N/A: documentation inventory",IF(AND(INDEX(Manual_Review!$G$6:$G$238,MATCH(A47,Manual_Review!$A$6:$A$238,0))&lt;&gt;"",ISNUMBER(INDEX(Manual_Review!$H$6:$H$238,MATCH(A47,Manual_Review!$A$6:$A$238,0))),INDEX(Manual_Review!$H$6:$H$238,MATCH(A47,Manual_Review!$A$6:$A$238,0))&gt;0,INDEX(Manual_Review!$I$6:$I$238,MATCH(A47,Manual_Review!$A$6:$A$238,0))="Confirmed",INDEX(Manual_Review!$AF$6:$AF$238,MATCH(A47,Manual_Review!$A$6:$A$238,0))&lt;&gt;""),IF(INDEX(Manual_Review!$AE$6:$AE$238,MATCH(A47,Manual_Review!$A$6:$A$238,0))="Pass","Pass",IF(INDEX(Manual_Review!$AE$6:$AE$238,MATCH(A47,Manual_Review!$A$6:$A$238,0))="Fail","Fail: benchmark leakage",IF(INDEX(Manual_Review!$AE$6:$AE$238,MATCH(A47,Manual_Review!$A$6:$A$238,0))="N/A","N/A: nonbenchmark task","Pending task-specific leakage check"))),"Pending task-specific leakage check"))</f>
        <v>N/A: documentation inventory</v>
      </c>
      <c r="AY47" s="5" t="str">
        <f>IF(IF(D47="Unlabeled-13",AND(ABS(MCDM_Settings!$D$14-1)&lt;0.0000001,MIN(MCDM_Settings!$E$6:$E$11)&gt;=0,MCDM_Settings!$E$7=0),AND(ABS(MCDM_Settings!$B$14-1)&lt;0.0000001,MIN(MCDM_Settings!$C$6:$C$11)&gt;=0)),"Valid","Check weights")</f>
        <v>Valid</v>
      </c>
      <c r="AZ47" s="5" t="str">
        <f>IF(AND(COUNTIF(MCDM_Checks!$B$6:$B$3733,A47)=16,COUNTIF(Manual_Review!$A$6:$A$238,A47)=1),"16 keys present","Check key count")</f>
        <v>16 keys present</v>
      </c>
    </row>
    <row r="48" spans="1:52">
      <c r="A48" s="5" t="s">
        <v>596</v>
      </c>
      <c r="B48" s="5" t="s">
        <v>597</v>
      </c>
      <c r="C48" s="5"/>
      <c r="D48" s="5" t="s">
        <v>118</v>
      </c>
      <c r="E48" s="12">
        <f>IF(OR(AY48&lt;&gt;"Valid",AZ48&lt;&gt;"16 keys present"),"Review settings",20*(IF(ISNUMBER(AC48),AC48*IF($D48="Unlabeled-13",MCDM_Settings!$E$6,MCDM_Settings!$C$6),0)+IF(ISNUMBER(AF48),AF48*IF($D48="Unlabeled-13",MCDM_Settings!$E$7,MCDM_Settings!$C$7),0)+IF(ISNUMBER(AI48),AI48*IF($D48="Unlabeled-13",MCDM_Settings!$E$8,MCDM_Settings!$C$8),0)+IF(ISNUMBER(AL48),AL48*IF($D48="Unlabeled-13",MCDM_Settings!$E$9,MCDM_Settings!$C$9),0)+IF(ISNUMBER(AO48),AO48*IF($D48="Unlabeled-13",MCDM_Settings!$E$10,MCDM_Settings!$C$10),0)+IF(ISNUMBER(AR48),AR48*IF($D48="Unlabeled-13",MCDM_Settings!$E$11,MCDM_Settings!$C$11),0)))</f>
        <v>58.333333333333343</v>
      </c>
      <c r="F48" s="12">
        <f>IF(OR(AY48&lt;&gt;"Valid",AZ48&lt;&gt;"16 keys present"),"Review settings",20*(IF(ISNUMBER(AD48),AD48*IF($D48="Unlabeled-13",MCDM_Settings!$E$6,MCDM_Settings!$C$6),0)+IF(ISNUMBER(AG48),AG48*IF($D48="Unlabeled-13",MCDM_Settings!$E$7,MCDM_Settings!$C$7),0)+IF(ISNUMBER(AJ48),AJ48*IF($D48="Unlabeled-13",MCDM_Settings!$E$8,MCDM_Settings!$C$8),0)+IF(ISNUMBER(AM48),AM48*IF($D48="Unlabeled-13",MCDM_Settings!$E$9,MCDM_Settings!$C$9),0)+IF(ISNUMBER(AP48),AP48*IF($D48="Unlabeled-13",MCDM_Settings!$E$10,MCDM_Settings!$C$10),0)+IF(ISNUMBER(AS48),AS48*IF($D48="Unlabeled-13",MCDM_Settings!$E$11,MCDM_Settings!$C$11),0)))</f>
        <v>99.999999999999986</v>
      </c>
      <c r="G48" s="13">
        <f>IF(OR(AY48&lt;&gt;"Valid",AZ48&lt;&gt;"16 keys present"),"Review settings",1*(IF(ISNUMBER(AE48),AE48*IF($D48="Unlabeled-13",MCDM_Settings!$E$6,MCDM_Settings!$C$6),0)+IF(ISNUMBER(AH48),AH48*IF($D48="Unlabeled-13",MCDM_Settings!$E$7,MCDM_Settings!$C$7),0)+IF(ISNUMBER(AK48),AK48*IF($D48="Unlabeled-13",MCDM_Settings!$E$8,MCDM_Settings!$C$8),0)+IF(ISNUMBER(AN48),AN48*IF($D48="Unlabeled-13",MCDM_Settings!$E$9,MCDM_Settings!$C$9),0)+IF(ISNUMBER(AQ48),AQ48*IF($D48="Unlabeled-13",MCDM_Settings!$E$10,MCDM_Settings!$C$10),0)+IF(ISNUMBER(AT48),AT48*IF($D48="Unlabeled-13",MCDM_Settings!$E$11,MCDM_Settings!$C$11),0)))</f>
        <v>0.58333333333333326</v>
      </c>
      <c r="H48" s="5" t="str">
        <f>INDEX(Manual_Review!$AH$6:$AH$238,MATCH(A48,Manual_Review!$A$6:$A$238,0))</f>
        <v>Not started</v>
      </c>
      <c r="I48" s="5" t="s">
        <v>128</v>
      </c>
      <c r="J48" s="5" t="s">
        <v>121</v>
      </c>
      <c r="K48" s="5" t="str">
        <f>HYPERLINK("https://github.com/ruirangerfan/stereo_pothole_datasets","Dataset")</f>
        <v>Dataset</v>
      </c>
      <c r="L48" s="5" t="str">
        <f>HYPERLINK("#'Manual_Review'!A"&amp;(MATCH("DS-043",Manual_Review!$A$6:$A$238,0)+5),"Enter review")</f>
        <v>Enter review</v>
      </c>
      <c r="M48" s="5" t="str">
        <f>INDEX(MCDM_Checks!$K$6:$K$3733,MATCH(A48&amp;"|"&amp;M$5,MCDM_Checks!$A$6:$A$3733,0))</f>
        <v>Y</v>
      </c>
      <c r="N48" s="5" t="str">
        <f>INDEX(MCDM_Checks!$K$6:$K$3733,MATCH(A48&amp;"|"&amp;N$5,MCDM_Checks!$A$6:$A$3733,0))</f>
        <v>Y</v>
      </c>
      <c r="O48" s="5" t="str">
        <f>INDEX(MCDM_Checks!$K$6:$K$3733,MATCH(A48&amp;"|"&amp;O$5,MCDM_Checks!$A$6:$A$3733,0))</f>
        <v>U</v>
      </c>
      <c r="P48" s="5" t="str">
        <f>INDEX(MCDM_Checks!$K$6:$K$3733,MATCH(A48&amp;"|"&amp;P$5,MCDM_Checks!$A$6:$A$3733,0))</f>
        <v>Y</v>
      </c>
      <c r="Q48" s="5" t="str">
        <f>INDEX(MCDM_Checks!$K$6:$K$3733,MATCH(A48&amp;"|"&amp;Q$5,MCDM_Checks!$A$6:$A$3733,0))</f>
        <v>Y</v>
      </c>
      <c r="R48" s="5" t="str">
        <f>INDEX(MCDM_Checks!$K$6:$K$3733,MATCH(A48&amp;"|"&amp;R$5,MCDM_Checks!$A$6:$A$3733,0))</f>
        <v>U</v>
      </c>
      <c r="S48" s="5" t="str">
        <f>INDEX(MCDM_Checks!$K$6:$K$3733,MATCH(A48&amp;"|"&amp;S$5,MCDM_Checks!$A$6:$A$3733,0))</f>
        <v>Y</v>
      </c>
      <c r="T48" s="5" t="str">
        <f>INDEX(MCDM_Checks!$K$6:$K$3733,MATCH(A48&amp;"|"&amp;T$5,MCDM_Checks!$A$6:$A$3733,0))</f>
        <v>Y</v>
      </c>
      <c r="U48" s="5" t="str">
        <f>INDEX(MCDM_Checks!$K$6:$K$3733,MATCH(A48&amp;"|"&amp;U$5,MCDM_Checks!$A$6:$A$3733,0))</f>
        <v>Y</v>
      </c>
      <c r="V48" s="5" t="str">
        <f>INDEX(MCDM_Checks!$K$6:$K$3733,MATCH(A48&amp;"|"&amp;V$5,MCDM_Checks!$A$6:$A$3733,0))</f>
        <v>U</v>
      </c>
      <c r="W48" s="5" t="str">
        <f>INDEX(MCDM_Checks!$K$6:$K$3733,MATCH(A48&amp;"|"&amp;W$5,MCDM_Checks!$A$6:$A$3733,0))</f>
        <v>U</v>
      </c>
      <c r="X48" s="5" t="str">
        <f>INDEX(MCDM_Checks!$K$6:$K$3733,MATCH(A48&amp;"|"&amp;X$5,MCDM_Checks!$A$6:$A$3733,0))</f>
        <v>U</v>
      </c>
      <c r="Y48" s="5" t="str">
        <f>INDEX(MCDM_Checks!$K$6:$K$3733,MATCH(A48&amp;"|"&amp;Y$5,MCDM_Checks!$A$6:$A$3733,0))</f>
        <v>Y</v>
      </c>
      <c r="Z48" s="5" t="str">
        <f>INDEX(MCDM_Checks!$K$6:$K$3733,MATCH(A48&amp;"|"&amp;Z$5,MCDM_Checks!$A$6:$A$3733,0))</f>
        <v>Y</v>
      </c>
      <c r="AA48" s="5" t="str">
        <f>INDEX(MCDM_Checks!$K$6:$K$3733,MATCH(A48&amp;"|"&amp;AA$5,MCDM_Checks!$A$6:$A$3733,0))</f>
        <v>U</v>
      </c>
      <c r="AB48" s="5" t="str">
        <f>INDEX(MCDM_Checks!$K$6:$K$3733,MATCH(A48&amp;"|"&amp;AB$5,MCDM_Checks!$A$6:$A$3733,0))</f>
        <v>Y</v>
      </c>
      <c r="AC48" s="12">
        <f>IF(IF($D48="Unlabeled-13",MCDM_Settings!$F$6,MCDM_Settings!$D$6)=0,"n.a.",5*COUNTIF(M48:O48,"Y")/IF($D48="Unlabeled-13",MCDM_Settings!$F$6,MCDM_Settings!$D$6))</f>
        <v>3.3333333333333335</v>
      </c>
      <c r="AD48" s="12">
        <f>IF(IF($D48="Unlabeled-13",MCDM_Settings!$F$6,MCDM_Settings!$D$6)=0,"n.a.",5*(COUNTIF(M48:O48,"Y")+COUNTIF(M48:O48,"U")+COUNTIF(M48:O48,"X"))/IF($D48="Unlabeled-13",MCDM_Settings!$F$6,MCDM_Settings!$D$6))</f>
        <v>5</v>
      </c>
      <c r="AE48" s="13">
        <f>IF(IF($D48="Unlabeled-13",MCDM_Settings!$F$6,MCDM_Settings!$D$6)=0,"n.a.",(COUNTIF(M48:O48,"Y")+COUNTIF(M48:O48,"N"))/IF($D48="Unlabeled-13",MCDM_Settings!$F$6,MCDM_Settings!$D$6))</f>
        <v>0.66666666666666663</v>
      </c>
      <c r="AF48" s="12">
        <f>IF(IF($D48="Unlabeled-13",MCDM_Settings!$F$7,MCDM_Settings!$D$7)=0,"n.a.",5*COUNTIF(P48:R48,"Y")/IF($D48="Unlabeled-13",MCDM_Settings!$F$7,MCDM_Settings!$D$7))</f>
        <v>3.3333333333333335</v>
      </c>
      <c r="AG48" s="12">
        <f>IF(IF($D48="Unlabeled-13",MCDM_Settings!$F$7,MCDM_Settings!$D$7)=0,"n.a.",5*(COUNTIF(P48:R48,"Y")+COUNTIF(P48:R48,"U")+COUNTIF(P48:R48,"X"))/IF($D48="Unlabeled-13",MCDM_Settings!$F$7,MCDM_Settings!$D$7))</f>
        <v>5</v>
      </c>
      <c r="AH48" s="13">
        <f>IF(IF($D48="Unlabeled-13",MCDM_Settings!$F$7,MCDM_Settings!$D$7)=0,"n.a.",(COUNTIF(P48:R48,"Y")+COUNTIF(P48:R48,"N"))/IF($D48="Unlabeled-13",MCDM_Settings!$F$7,MCDM_Settings!$D$7))</f>
        <v>0.66666666666666663</v>
      </c>
      <c r="AI48" s="12">
        <f>IF(IF($D48="Unlabeled-13",MCDM_Settings!$F$8,MCDM_Settings!$D$8)=0,"n.a.",5*COUNTIF(S48:U48,"Y")/IF($D48="Unlabeled-13",MCDM_Settings!$F$8,MCDM_Settings!$D$8))</f>
        <v>5</v>
      </c>
      <c r="AJ48" s="12">
        <f>IF(IF($D48="Unlabeled-13",MCDM_Settings!$F$8,MCDM_Settings!$D$8)=0,"n.a.",5*(COUNTIF(S48:U48,"Y")+COUNTIF(S48:U48,"U")+COUNTIF(S48:U48,"X"))/IF($D48="Unlabeled-13",MCDM_Settings!$F$8,MCDM_Settings!$D$8))</f>
        <v>5</v>
      </c>
      <c r="AK48" s="13">
        <f>IF(IF($D48="Unlabeled-13",MCDM_Settings!$F$8,MCDM_Settings!$D$8)=0,"n.a.",(COUNTIF(S48:U48,"Y")+COUNTIF(S48:U48,"N"))/IF($D48="Unlabeled-13",MCDM_Settings!$F$8,MCDM_Settings!$D$8))</f>
        <v>1</v>
      </c>
      <c r="AL48" s="12">
        <f>IF(IF($D48="Unlabeled-13",MCDM_Settings!$F$9,MCDM_Settings!$D$9)=0,"n.a.",5*COUNTIF(V48:W48,"Y")/IF($D48="Unlabeled-13",MCDM_Settings!$F$9,MCDM_Settings!$D$9))</f>
        <v>0</v>
      </c>
      <c r="AM48" s="12">
        <f>IF(IF($D48="Unlabeled-13",MCDM_Settings!$F$9,MCDM_Settings!$D$9)=0,"n.a.",5*(COUNTIF(V48:W48,"Y")+COUNTIF(V48:W48,"U")+COUNTIF(V48:W48,"X"))/IF($D48="Unlabeled-13",MCDM_Settings!$F$9,MCDM_Settings!$D$9))</f>
        <v>5</v>
      </c>
      <c r="AN48" s="13">
        <f>IF(IF($D48="Unlabeled-13",MCDM_Settings!$F$9,MCDM_Settings!$D$9)=0,"n.a.",(COUNTIF(V48:W48,"Y")+COUNTIF(V48:W48,"N"))/IF($D48="Unlabeled-13",MCDM_Settings!$F$9,MCDM_Settings!$D$9))</f>
        <v>0</v>
      </c>
      <c r="AO48" s="12">
        <f>IF(IF($D48="Unlabeled-13",MCDM_Settings!$F$10,MCDM_Settings!$D$10)=0,"n.a.",5*COUNTIF(X48:Y48,"Y")/IF($D48="Unlabeled-13",MCDM_Settings!$F$10,MCDM_Settings!$D$10))</f>
        <v>2.5</v>
      </c>
      <c r="AP48" s="12">
        <f>IF(IF($D48="Unlabeled-13",MCDM_Settings!$F$10,MCDM_Settings!$D$10)=0,"n.a.",5*(COUNTIF(X48:Y48,"Y")+COUNTIF(X48:Y48,"U")+COUNTIF(X48:Y48,"X"))/IF($D48="Unlabeled-13",MCDM_Settings!$F$10,MCDM_Settings!$D$10))</f>
        <v>5</v>
      </c>
      <c r="AQ48" s="13">
        <f>IF(IF($D48="Unlabeled-13",MCDM_Settings!$F$10,MCDM_Settings!$D$10)=0,"n.a.",(COUNTIF(X48:Y48,"Y")+COUNTIF(X48:Y48,"N"))/IF($D48="Unlabeled-13",MCDM_Settings!$F$10,MCDM_Settings!$D$10))</f>
        <v>0.5</v>
      </c>
      <c r="AR48" s="12">
        <f>IF(IF($D48="Unlabeled-13",MCDM_Settings!$F$11,MCDM_Settings!$D$11)=0,"n.a.",5*COUNTIF(Z48:AB48,"Y")/IF($D48="Unlabeled-13",MCDM_Settings!$F$11,MCDM_Settings!$D$11))</f>
        <v>3.3333333333333335</v>
      </c>
      <c r="AS48" s="12">
        <f>IF(IF($D48="Unlabeled-13",MCDM_Settings!$F$11,MCDM_Settings!$D$11)=0,"n.a.",5*(COUNTIF(Z48:AB48,"Y")+COUNTIF(Z48:AB48,"U")+COUNTIF(Z48:AB48,"X"))/IF($D48="Unlabeled-13",MCDM_Settings!$F$11,MCDM_Settings!$D$11))</f>
        <v>5</v>
      </c>
      <c r="AT48" s="13">
        <f>IF(IF($D48="Unlabeled-13",MCDM_Settings!$F$11,MCDM_Settings!$D$11)=0,"n.a.",(COUNTIF(Z48:AB48,"Y")+COUNTIF(Z48:AB48,"N"))/IF($D48="Unlabeled-13",MCDM_Settings!$F$11,MCDM_Settings!$D$11))</f>
        <v>0.66666666666666663</v>
      </c>
      <c r="AU48" s="5" t="str">
        <f>IF(AND(INDEX(Manual_Review!$G$6:$G$238,MATCH(A48,Manual_Review!$A$6:$A$238,0))&lt;&gt;"",ISNUMBER(INDEX(Manual_Review!$H$6:$H$238,MATCH(A48,Manual_Review!$A$6:$A$238,0))),INDEX(Manual_Review!$H$6:$H$238,MATCH(A48,Manual_Review!$A$6:$A$238,0))&gt;0,INDEX(Manual_Review!$I$6:$I$238,MATCH(A48,Manual_Review!$A$6:$A$238,0))="Confirmed",INDEX(Manual_Review!$AF$6:$AF$238,MATCH(A48,Manual_Review!$A$6:$A$238,0))&lt;&gt;""),IF(INDEX(Manual_Review!$AA$6:$AA$238,MATCH(A48,Manual_Review!$A$6:$A$238,0))="Pass","Pass",IF(INDEX(Manual_Review!$AA$6:$AA$238,MATCH(A48,Manual_Review!$A$6:$A$238,0))="Fail","Fail","Pending")),"Pending human identity confirmation")</f>
        <v>Pending human identity confirmation</v>
      </c>
      <c r="AV48" s="5" t="str">
        <f>IF(AND(AND(INDEX(Manual_Review!$G$6:$G$238,MATCH(A48,Manual_Review!$A$6:$A$238,0))&lt;&gt;"",ISNUMBER(INDEX(Manual_Review!$H$6:$H$238,MATCH(A48,Manual_Review!$A$6:$A$238,0))),INDEX(Manual_Review!$H$6:$H$238,MATCH(A48,Manual_Review!$A$6:$A$238,0))&gt;0,INDEX(Manual_Review!$I$6:$I$238,MATCH(A48,Manual_Review!$A$6:$A$238,0))="Confirmed",INDEX(Manual_Review!$AF$6:$AF$238,MATCH(A48,Manual_Review!$A$6:$A$238,0))&lt;&gt;""),INDEX(Manual_Review!$AG$6:$AG$238,MATCH(A48,Manual_Review!$A$6:$A$238,0))&lt;&gt;""),IF(INDEX(Manual_Review!$AB$6:$AB$238,MATCH(A48,Manual_Review!$A$6:$A$238,0))="Pass","Pass",IF(INDEX(Manual_Review!$AB$6:$AB$238,MATCH(A48,Manual_Review!$A$6:$A$238,0))="Fail","Fail","Pending")),"Not assessed: define intended task")</f>
        <v>Not assessed: define intended task</v>
      </c>
      <c r="AW48" s="5" t="str">
        <f>IF(AND(AND(INDEX(Manual_Review!$G$6:$G$238,MATCH(A48,Manual_Review!$A$6:$A$238,0))&lt;&gt;"",ISNUMBER(INDEX(Manual_Review!$H$6:$H$238,MATCH(A48,Manual_Review!$A$6:$A$238,0))),INDEX(Manual_Review!$H$6:$H$238,MATCH(A48,Manual_Review!$A$6:$A$238,0))&gt;0,INDEX(Manual_Review!$I$6:$I$238,MATCH(A48,Manual_Review!$A$6:$A$238,0))="Confirmed",INDEX(Manual_Review!$AF$6:$AF$238,MATCH(A48,Manual_Review!$A$6:$A$238,0))&lt;&gt;""),INDEX(Manual_Review!$AG$6:$AG$238,MATCH(A48,Manual_Review!$A$6:$A$238,0))&lt;&gt;""),IF(OR(INDEX(Manual_Review!$AC$6:$AC$238,MATCH(A48,Manual_Review!$A$6:$A$238,0))="Fail",INDEX(Manual_Review!$AD$6:$AD$238,MATCH(A48,Manual_Review!$A$6:$A$238,0))="Fail"),"Fail: rights or retrieval",IF(AND(INDEX(Manual_Review!$AC$6:$AC$238,MATCH(A48,Manual_Review!$A$6:$A$238,0))="Pass",INDEX(Manual_Review!$AD$6:$AD$238,MATCH(A48,Manual_Review!$A$6:$A$238,0))="Pass"),"Pass","Pending rights and retrieval")),"Pending rights and retrieval")</f>
        <v>Pending rights and retrieval</v>
      </c>
      <c r="AX48" s="5" t="str">
        <f>IF(INDEX(Manual_Review!$AG$6:$AG$238,MATCH(A48,Manual_Review!$A$6:$A$238,0))="","N/A: documentation inventory",IF(AND(INDEX(Manual_Review!$G$6:$G$238,MATCH(A48,Manual_Review!$A$6:$A$238,0))&lt;&gt;"",ISNUMBER(INDEX(Manual_Review!$H$6:$H$238,MATCH(A48,Manual_Review!$A$6:$A$238,0))),INDEX(Manual_Review!$H$6:$H$238,MATCH(A48,Manual_Review!$A$6:$A$238,0))&gt;0,INDEX(Manual_Review!$I$6:$I$238,MATCH(A48,Manual_Review!$A$6:$A$238,0))="Confirmed",INDEX(Manual_Review!$AF$6:$AF$238,MATCH(A48,Manual_Review!$A$6:$A$238,0))&lt;&gt;""),IF(INDEX(Manual_Review!$AE$6:$AE$238,MATCH(A48,Manual_Review!$A$6:$A$238,0))="Pass","Pass",IF(INDEX(Manual_Review!$AE$6:$AE$238,MATCH(A48,Manual_Review!$A$6:$A$238,0))="Fail","Fail: benchmark leakage",IF(INDEX(Manual_Review!$AE$6:$AE$238,MATCH(A48,Manual_Review!$A$6:$A$238,0))="N/A","N/A: nonbenchmark task","Pending task-specific leakage check"))),"Pending task-specific leakage check"))</f>
        <v>N/A: documentation inventory</v>
      </c>
      <c r="AY48" s="5" t="str">
        <f>IF(IF(D48="Unlabeled-13",AND(ABS(MCDM_Settings!$D$14-1)&lt;0.0000001,MIN(MCDM_Settings!$E$6:$E$11)&gt;=0,MCDM_Settings!$E$7=0),AND(ABS(MCDM_Settings!$B$14-1)&lt;0.0000001,MIN(MCDM_Settings!$C$6:$C$11)&gt;=0)),"Valid","Check weights")</f>
        <v>Valid</v>
      </c>
      <c r="AZ48" s="5" t="str">
        <f>IF(AND(COUNTIF(MCDM_Checks!$B$6:$B$3733,A48)=16,COUNTIF(Manual_Review!$A$6:$A$238,A48)=1),"16 keys present","Check key count")</f>
        <v>16 keys present</v>
      </c>
    </row>
    <row r="49" spans="1:52" ht="25.5">
      <c r="A49" s="5" t="s">
        <v>606</v>
      </c>
      <c r="B49" s="5" t="s">
        <v>607</v>
      </c>
      <c r="C49" s="5"/>
      <c r="D49" s="5" t="s">
        <v>118</v>
      </c>
      <c r="E49" s="12">
        <f>IF(OR(AY49&lt;&gt;"Valid",AZ49&lt;&gt;"16 keys present"),"Review settings",20*(IF(ISNUMBER(AC49),AC49*IF($D49="Unlabeled-13",MCDM_Settings!$E$6,MCDM_Settings!$C$6),0)+IF(ISNUMBER(AF49),AF49*IF($D49="Unlabeled-13",MCDM_Settings!$E$7,MCDM_Settings!$C$7),0)+IF(ISNUMBER(AI49),AI49*IF($D49="Unlabeled-13",MCDM_Settings!$E$8,MCDM_Settings!$C$8),0)+IF(ISNUMBER(AL49),AL49*IF($D49="Unlabeled-13",MCDM_Settings!$E$9,MCDM_Settings!$C$9),0)+IF(ISNUMBER(AO49),AO49*IF($D49="Unlabeled-13",MCDM_Settings!$E$10,MCDM_Settings!$C$10),0)+IF(ISNUMBER(AR49),AR49*IF($D49="Unlabeled-13",MCDM_Settings!$E$11,MCDM_Settings!$C$11),0)))</f>
        <v>44.444444444444436</v>
      </c>
      <c r="F49" s="12">
        <f>IF(OR(AY49&lt;&gt;"Valid",AZ49&lt;&gt;"16 keys present"),"Review settings",20*(IF(ISNUMBER(AD49),AD49*IF($D49="Unlabeled-13",MCDM_Settings!$E$6,MCDM_Settings!$C$6),0)+IF(ISNUMBER(AG49),AG49*IF($D49="Unlabeled-13",MCDM_Settings!$E$7,MCDM_Settings!$C$7),0)+IF(ISNUMBER(AJ49),AJ49*IF($D49="Unlabeled-13",MCDM_Settings!$E$8,MCDM_Settings!$C$8),0)+IF(ISNUMBER(AM49),AM49*IF($D49="Unlabeled-13",MCDM_Settings!$E$9,MCDM_Settings!$C$9),0)+IF(ISNUMBER(AP49),AP49*IF($D49="Unlabeled-13",MCDM_Settings!$E$10,MCDM_Settings!$C$10),0)+IF(ISNUMBER(AS49),AS49*IF($D49="Unlabeled-13",MCDM_Settings!$E$11,MCDM_Settings!$C$11),0)))</f>
        <v>99.999999999999986</v>
      </c>
      <c r="G49" s="13">
        <f>IF(OR(AY49&lt;&gt;"Valid",AZ49&lt;&gt;"16 keys present"),"Review settings",1*(IF(ISNUMBER(AE49),AE49*IF($D49="Unlabeled-13",MCDM_Settings!$E$6,MCDM_Settings!$C$6),0)+IF(ISNUMBER(AH49),AH49*IF($D49="Unlabeled-13",MCDM_Settings!$E$7,MCDM_Settings!$C$7),0)+IF(ISNUMBER(AK49),AK49*IF($D49="Unlabeled-13",MCDM_Settings!$E$8,MCDM_Settings!$C$8),0)+IF(ISNUMBER(AN49),AN49*IF($D49="Unlabeled-13",MCDM_Settings!$E$9,MCDM_Settings!$C$9),0)+IF(ISNUMBER(AQ49),AQ49*IF($D49="Unlabeled-13",MCDM_Settings!$E$10,MCDM_Settings!$C$10),0)+IF(ISNUMBER(AT49),AT49*IF($D49="Unlabeled-13",MCDM_Settings!$E$11,MCDM_Settings!$C$11),0)))</f>
        <v>0.44444444444444442</v>
      </c>
      <c r="H49" s="5" t="str">
        <f>INDEX(Manual_Review!$AH$6:$AH$238,MATCH(A49,Manual_Review!$A$6:$A$238,0))</f>
        <v>Not started</v>
      </c>
      <c r="I49" s="5" t="s">
        <v>128</v>
      </c>
      <c r="J49" s="5" t="s">
        <v>608</v>
      </c>
      <c r="K49" s="5" t="str">
        <f>HYPERLINK("https://data.mendeley.com/datasets/gsbmknrhkv/6","Dataset")</f>
        <v>Dataset</v>
      </c>
      <c r="L49" s="5" t="str">
        <f>HYPERLINK("#'Manual_Review'!A"&amp;(MATCH("DS-044",Manual_Review!$A$6:$A$238,0)+5),"Enter review")</f>
        <v>Enter review</v>
      </c>
      <c r="M49" s="5" t="str">
        <f>INDEX(MCDM_Checks!$K$6:$K$3733,MATCH(A49&amp;"|"&amp;M$5,MCDM_Checks!$A$6:$A$3733,0))</f>
        <v>Y</v>
      </c>
      <c r="N49" s="5" t="str">
        <f>INDEX(MCDM_Checks!$K$6:$K$3733,MATCH(A49&amp;"|"&amp;N$5,MCDM_Checks!$A$6:$A$3733,0))</f>
        <v>Y</v>
      </c>
      <c r="O49" s="5" t="str">
        <f>INDEX(MCDM_Checks!$K$6:$K$3733,MATCH(A49&amp;"|"&amp;O$5,MCDM_Checks!$A$6:$A$3733,0))</f>
        <v>U</v>
      </c>
      <c r="P49" s="5" t="str">
        <f>INDEX(MCDM_Checks!$K$6:$K$3733,MATCH(A49&amp;"|"&amp;P$5,MCDM_Checks!$A$6:$A$3733,0))</f>
        <v>Y</v>
      </c>
      <c r="Q49" s="5" t="str">
        <f>INDEX(MCDM_Checks!$K$6:$K$3733,MATCH(A49&amp;"|"&amp;Q$5,MCDM_Checks!$A$6:$A$3733,0))</f>
        <v>U</v>
      </c>
      <c r="R49" s="5" t="str">
        <f>INDEX(MCDM_Checks!$K$6:$K$3733,MATCH(A49&amp;"|"&amp;R$5,MCDM_Checks!$A$6:$A$3733,0))</f>
        <v>U</v>
      </c>
      <c r="S49" s="5" t="str">
        <f>INDEX(MCDM_Checks!$K$6:$K$3733,MATCH(A49&amp;"|"&amp;S$5,MCDM_Checks!$A$6:$A$3733,0))</f>
        <v>U</v>
      </c>
      <c r="T49" s="5" t="str">
        <f>INDEX(MCDM_Checks!$K$6:$K$3733,MATCH(A49&amp;"|"&amp;T$5,MCDM_Checks!$A$6:$A$3733,0))</f>
        <v>Y</v>
      </c>
      <c r="U49" s="5" t="str">
        <f>INDEX(MCDM_Checks!$K$6:$K$3733,MATCH(A49&amp;"|"&amp;U$5,MCDM_Checks!$A$6:$A$3733,0))</f>
        <v>U</v>
      </c>
      <c r="V49" s="5" t="str">
        <f>INDEX(MCDM_Checks!$K$6:$K$3733,MATCH(A49&amp;"|"&amp;V$5,MCDM_Checks!$A$6:$A$3733,0))</f>
        <v>Y</v>
      </c>
      <c r="W49" s="5" t="str">
        <f>INDEX(MCDM_Checks!$K$6:$K$3733,MATCH(A49&amp;"|"&amp;W$5,MCDM_Checks!$A$6:$A$3733,0))</f>
        <v>U</v>
      </c>
      <c r="X49" s="5" t="str">
        <f>INDEX(MCDM_Checks!$K$6:$K$3733,MATCH(A49&amp;"|"&amp;X$5,MCDM_Checks!$A$6:$A$3733,0))</f>
        <v>U</v>
      </c>
      <c r="Y49" s="5" t="str">
        <f>INDEX(MCDM_Checks!$K$6:$K$3733,MATCH(A49&amp;"|"&amp;Y$5,MCDM_Checks!$A$6:$A$3733,0))</f>
        <v>Y</v>
      </c>
      <c r="Z49" s="5" t="str">
        <f>INDEX(MCDM_Checks!$K$6:$K$3733,MATCH(A49&amp;"|"&amp;Z$5,MCDM_Checks!$A$6:$A$3733,0))</f>
        <v>Y</v>
      </c>
      <c r="AA49" s="5" t="str">
        <f>INDEX(MCDM_Checks!$K$6:$K$3733,MATCH(A49&amp;"|"&amp;AA$5,MCDM_Checks!$A$6:$A$3733,0))</f>
        <v>U</v>
      </c>
      <c r="AB49" s="5" t="str">
        <f>INDEX(MCDM_Checks!$K$6:$K$3733,MATCH(A49&amp;"|"&amp;AB$5,MCDM_Checks!$A$6:$A$3733,0))</f>
        <v>U</v>
      </c>
      <c r="AC49" s="12">
        <f>IF(IF($D49="Unlabeled-13",MCDM_Settings!$F$6,MCDM_Settings!$D$6)=0,"n.a.",5*COUNTIF(M49:O49,"Y")/IF($D49="Unlabeled-13",MCDM_Settings!$F$6,MCDM_Settings!$D$6))</f>
        <v>3.3333333333333335</v>
      </c>
      <c r="AD49" s="12">
        <f>IF(IF($D49="Unlabeled-13",MCDM_Settings!$F$6,MCDM_Settings!$D$6)=0,"n.a.",5*(COUNTIF(M49:O49,"Y")+COUNTIF(M49:O49,"U")+COUNTIF(M49:O49,"X"))/IF($D49="Unlabeled-13",MCDM_Settings!$F$6,MCDM_Settings!$D$6))</f>
        <v>5</v>
      </c>
      <c r="AE49" s="13">
        <f>IF(IF($D49="Unlabeled-13",MCDM_Settings!$F$6,MCDM_Settings!$D$6)=0,"n.a.",(COUNTIF(M49:O49,"Y")+COUNTIF(M49:O49,"N"))/IF($D49="Unlabeled-13",MCDM_Settings!$F$6,MCDM_Settings!$D$6))</f>
        <v>0.66666666666666663</v>
      </c>
      <c r="AF49" s="12">
        <f>IF(IF($D49="Unlabeled-13",MCDM_Settings!$F$7,MCDM_Settings!$D$7)=0,"n.a.",5*COUNTIF(P49:R49,"Y")/IF($D49="Unlabeled-13",MCDM_Settings!$F$7,MCDM_Settings!$D$7))</f>
        <v>1.6666666666666667</v>
      </c>
      <c r="AG49" s="12">
        <f>IF(IF($D49="Unlabeled-13",MCDM_Settings!$F$7,MCDM_Settings!$D$7)=0,"n.a.",5*(COUNTIF(P49:R49,"Y")+COUNTIF(P49:R49,"U")+COUNTIF(P49:R49,"X"))/IF($D49="Unlabeled-13",MCDM_Settings!$F$7,MCDM_Settings!$D$7))</f>
        <v>5</v>
      </c>
      <c r="AH49" s="13">
        <f>IF(IF($D49="Unlabeled-13",MCDM_Settings!$F$7,MCDM_Settings!$D$7)=0,"n.a.",(COUNTIF(P49:R49,"Y")+COUNTIF(P49:R49,"N"))/IF($D49="Unlabeled-13",MCDM_Settings!$F$7,MCDM_Settings!$D$7))</f>
        <v>0.33333333333333331</v>
      </c>
      <c r="AI49" s="12">
        <f>IF(IF($D49="Unlabeled-13",MCDM_Settings!$F$8,MCDM_Settings!$D$8)=0,"n.a.",5*COUNTIF(S49:U49,"Y")/IF($D49="Unlabeled-13",MCDM_Settings!$F$8,MCDM_Settings!$D$8))</f>
        <v>1.6666666666666667</v>
      </c>
      <c r="AJ49" s="12">
        <f>IF(IF($D49="Unlabeled-13",MCDM_Settings!$F$8,MCDM_Settings!$D$8)=0,"n.a.",5*(COUNTIF(S49:U49,"Y")+COUNTIF(S49:U49,"U")+COUNTIF(S49:U49,"X"))/IF($D49="Unlabeled-13",MCDM_Settings!$F$8,MCDM_Settings!$D$8))</f>
        <v>5</v>
      </c>
      <c r="AK49" s="13">
        <f>IF(IF($D49="Unlabeled-13",MCDM_Settings!$F$8,MCDM_Settings!$D$8)=0,"n.a.",(COUNTIF(S49:U49,"Y")+COUNTIF(S49:U49,"N"))/IF($D49="Unlabeled-13",MCDM_Settings!$F$8,MCDM_Settings!$D$8))</f>
        <v>0.33333333333333331</v>
      </c>
      <c r="AL49" s="12">
        <f>IF(IF($D49="Unlabeled-13",MCDM_Settings!$F$9,MCDM_Settings!$D$9)=0,"n.a.",5*COUNTIF(V49:W49,"Y")/IF($D49="Unlabeled-13",MCDM_Settings!$F$9,MCDM_Settings!$D$9))</f>
        <v>2.5</v>
      </c>
      <c r="AM49" s="12">
        <f>IF(IF($D49="Unlabeled-13",MCDM_Settings!$F$9,MCDM_Settings!$D$9)=0,"n.a.",5*(COUNTIF(V49:W49,"Y")+COUNTIF(V49:W49,"U")+COUNTIF(V49:W49,"X"))/IF($D49="Unlabeled-13",MCDM_Settings!$F$9,MCDM_Settings!$D$9))</f>
        <v>5</v>
      </c>
      <c r="AN49" s="13">
        <f>IF(IF($D49="Unlabeled-13",MCDM_Settings!$F$9,MCDM_Settings!$D$9)=0,"n.a.",(COUNTIF(V49:W49,"Y")+COUNTIF(V49:W49,"N"))/IF($D49="Unlabeled-13",MCDM_Settings!$F$9,MCDM_Settings!$D$9))</f>
        <v>0.5</v>
      </c>
      <c r="AO49" s="12">
        <f>IF(IF($D49="Unlabeled-13",MCDM_Settings!$F$10,MCDM_Settings!$D$10)=0,"n.a.",5*COUNTIF(X49:Y49,"Y")/IF($D49="Unlabeled-13",MCDM_Settings!$F$10,MCDM_Settings!$D$10))</f>
        <v>2.5</v>
      </c>
      <c r="AP49" s="12">
        <f>IF(IF($D49="Unlabeled-13",MCDM_Settings!$F$10,MCDM_Settings!$D$10)=0,"n.a.",5*(COUNTIF(X49:Y49,"Y")+COUNTIF(X49:Y49,"U")+COUNTIF(X49:Y49,"X"))/IF($D49="Unlabeled-13",MCDM_Settings!$F$10,MCDM_Settings!$D$10))</f>
        <v>5</v>
      </c>
      <c r="AQ49" s="13">
        <f>IF(IF($D49="Unlabeled-13",MCDM_Settings!$F$10,MCDM_Settings!$D$10)=0,"n.a.",(COUNTIF(X49:Y49,"Y")+COUNTIF(X49:Y49,"N"))/IF($D49="Unlabeled-13",MCDM_Settings!$F$10,MCDM_Settings!$D$10))</f>
        <v>0.5</v>
      </c>
      <c r="AR49" s="12">
        <f>IF(IF($D49="Unlabeled-13",MCDM_Settings!$F$11,MCDM_Settings!$D$11)=0,"n.a.",5*COUNTIF(Z49:AB49,"Y")/IF($D49="Unlabeled-13",MCDM_Settings!$F$11,MCDM_Settings!$D$11))</f>
        <v>1.6666666666666667</v>
      </c>
      <c r="AS49" s="12">
        <f>IF(IF($D49="Unlabeled-13",MCDM_Settings!$F$11,MCDM_Settings!$D$11)=0,"n.a.",5*(COUNTIF(Z49:AB49,"Y")+COUNTIF(Z49:AB49,"U")+COUNTIF(Z49:AB49,"X"))/IF($D49="Unlabeled-13",MCDM_Settings!$F$11,MCDM_Settings!$D$11))</f>
        <v>5</v>
      </c>
      <c r="AT49" s="13">
        <f>IF(IF($D49="Unlabeled-13",MCDM_Settings!$F$11,MCDM_Settings!$D$11)=0,"n.a.",(COUNTIF(Z49:AB49,"Y")+COUNTIF(Z49:AB49,"N"))/IF($D49="Unlabeled-13",MCDM_Settings!$F$11,MCDM_Settings!$D$11))</f>
        <v>0.33333333333333331</v>
      </c>
      <c r="AU49" s="5" t="str">
        <f>IF(AND(INDEX(Manual_Review!$G$6:$G$238,MATCH(A49,Manual_Review!$A$6:$A$238,0))&lt;&gt;"",ISNUMBER(INDEX(Manual_Review!$H$6:$H$238,MATCH(A49,Manual_Review!$A$6:$A$238,0))),INDEX(Manual_Review!$H$6:$H$238,MATCH(A49,Manual_Review!$A$6:$A$238,0))&gt;0,INDEX(Manual_Review!$I$6:$I$238,MATCH(A49,Manual_Review!$A$6:$A$238,0))="Confirmed",INDEX(Manual_Review!$AF$6:$AF$238,MATCH(A49,Manual_Review!$A$6:$A$238,0))&lt;&gt;""),IF(INDEX(Manual_Review!$AA$6:$AA$238,MATCH(A49,Manual_Review!$A$6:$A$238,0))="Pass","Pass",IF(INDEX(Manual_Review!$AA$6:$AA$238,MATCH(A49,Manual_Review!$A$6:$A$238,0))="Fail","Fail","Pending")),"Pending human identity confirmation")</f>
        <v>Pending human identity confirmation</v>
      </c>
      <c r="AV49" s="5" t="str">
        <f>IF(AND(AND(INDEX(Manual_Review!$G$6:$G$238,MATCH(A49,Manual_Review!$A$6:$A$238,0))&lt;&gt;"",ISNUMBER(INDEX(Manual_Review!$H$6:$H$238,MATCH(A49,Manual_Review!$A$6:$A$238,0))),INDEX(Manual_Review!$H$6:$H$238,MATCH(A49,Manual_Review!$A$6:$A$238,0))&gt;0,INDEX(Manual_Review!$I$6:$I$238,MATCH(A49,Manual_Review!$A$6:$A$238,0))="Confirmed",INDEX(Manual_Review!$AF$6:$AF$238,MATCH(A49,Manual_Review!$A$6:$A$238,0))&lt;&gt;""),INDEX(Manual_Review!$AG$6:$AG$238,MATCH(A49,Manual_Review!$A$6:$A$238,0))&lt;&gt;""),IF(INDEX(Manual_Review!$AB$6:$AB$238,MATCH(A49,Manual_Review!$A$6:$A$238,0))="Pass","Pass",IF(INDEX(Manual_Review!$AB$6:$AB$238,MATCH(A49,Manual_Review!$A$6:$A$238,0))="Fail","Fail","Pending")),"Not assessed: define intended task")</f>
        <v>Not assessed: define intended task</v>
      </c>
      <c r="AW49" s="5" t="str">
        <f>IF(AND(AND(INDEX(Manual_Review!$G$6:$G$238,MATCH(A49,Manual_Review!$A$6:$A$238,0))&lt;&gt;"",ISNUMBER(INDEX(Manual_Review!$H$6:$H$238,MATCH(A49,Manual_Review!$A$6:$A$238,0))),INDEX(Manual_Review!$H$6:$H$238,MATCH(A49,Manual_Review!$A$6:$A$238,0))&gt;0,INDEX(Manual_Review!$I$6:$I$238,MATCH(A49,Manual_Review!$A$6:$A$238,0))="Confirmed",INDEX(Manual_Review!$AF$6:$AF$238,MATCH(A49,Manual_Review!$A$6:$A$238,0))&lt;&gt;""),INDEX(Manual_Review!$AG$6:$AG$238,MATCH(A49,Manual_Review!$A$6:$A$238,0))&lt;&gt;""),IF(OR(INDEX(Manual_Review!$AC$6:$AC$238,MATCH(A49,Manual_Review!$A$6:$A$238,0))="Fail",INDEX(Manual_Review!$AD$6:$AD$238,MATCH(A49,Manual_Review!$A$6:$A$238,0))="Fail"),"Fail: rights or retrieval",IF(AND(INDEX(Manual_Review!$AC$6:$AC$238,MATCH(A49,Manual_Review!$A$6:$A$238,0))="Pass",INDEX(Manual_Review!$AD$6:$AD$238,MATCH(A49,Manual_Review!$A$6:$A$238,0))="Pass"),"Pass","Pending rights and retrieval")),"Pending rights and retrieval")</f>
        <v>Pending rights and retrieval</v>
      </c>
      <c r="AX49" s="5" t="str">
        <f>IF(INDEX(Manual_Review!$AG$6:$AG$238,MATCH(A49,Manual_Review!$A$6:$A$238,0))="","N/A: documentation inventory",IF(AND(INDEX(Manual_Review!$G$6:$G$238,MATCH(A49,Manual_Review!$A$6:$A$238,0))&lt;&gt;"",ISNUMBER(INDEX(Manual_Review!$H$6:$H$238,MATCH(A49,Manual_Review!$A$6:$A$238,0))),INDEX(Manual_Review!$H$6:$H$238,MATCH(A49,Manual_Review!$A$6:$A$238,0))&gt;0,INDEX(Manual_Review!$I$6:$I$238,MATCH(A49,Manual_Review!$A$6:$A$238,0))="Confirmed",INDEX(Manual_Review!$AF$6:$AF$238,MATCH(A49,Manual_Review!$A$6:$A$238,0))&lt;&gt;""),IF(INDEX(Manual_Review!$AE$6:$AE$238,MATCH(A49,Manual_Review!$A$6:$A$238,0))="Pass","Pass",IF(INDEX(Manual_Review!$AE$6:$AE$238,MATCH(A49,Manual_Review!$A$6:$A$238,0))="Fail","Fail: benchmark leakage",IF(INDEX(Manual_Review!$AE$6:$AE$238,MATCH(A49,Manual_Review!$A$6:$A$238,0))="N/A","N/A: nonbenchmark task","Pending task-specific leakage check"))),"Pending task-specific leakage check"))</f>
        <v>N/A: documentation inventory</v>
      </c>
      <c r="AY49" s="5" t="str">
        <f>IF(IF(D49="Unlabeled-13",AND(ABS(MCDM_Settings!$D$14-1)&lt;0.0000001,MIN(MCDM_Settings!$E$6:$E$11)&gt;=0,MCDM_Settings!$E$7=0),AND(ABS(MCDM_Settings!$B$14-1)&lt;0.0000001,MIN(MCDM_Settings!$C$6:$C$11)&gt;=0)),"Valid","Check weights")</f>
        <v>Valid</v>
      </c>
      <c r="AZ49" s="5" t="str">
        <f>IF(AND(COUNTIF(MCDM_Checks!$B$6:$B$3733,A49)=16,COUNTIF(Manual_Review!$A$6:$A$238,A49)=1),"16 keys present","Check key count")</f>
        <v>16 keys present</v>
      </c>
    </row>
    <row r="50" spans="1:52">
      <c r="A50" s="5" t="s">
        <v>619</v>
      </c>
      <c r="B50" s="5" t="s">
        <v>620</v>
      </c>
      <c r="C50" s="5"/>
      <c r="D50" s="5" t="s">
        <v>118</v>
      </c>
      <c r="E50" s="12">
        <f>IF(OR(AY50&lt;&gt;"Valid",AZ50&lt;&gt;"16 keys present"),"Review settings",20*(IF(ISNUMBER(AC50),AC50*IF($D50="Unlabeled-13",MCDM_Settings!$E$6,MCDM_Settings!$C$6),0)+IF(ISNUMBER(AF50),AF50*IF($D50="Unlabeled-13",MCDM_Settings!$E$7,MCDM_Settings!$C$7),0)+IF(ISNUMBER(AI50),AI50*IF($D50="Unlabeled-13",MCDM_Settings!$E$8,MCDM_Settings!$C$8),0)+IF(ISNUMBER(AL50),AL50*IF($D50="Unlabeled-13",MCDM_Settings!$E$9,MCDM_Settings!$C$9),0)+IF(ISNUMBER(AO50),AO50*IF($D50="Unlabeled-13",MCDM_Settings!$E$10,MCDM_Settings!$C$10),0)+IF(ISNUMBER(AR50),AR50*IF($D50="Unlabeled-13",MCDM_Settings!$E$11,MCDM_Settings!$C$11),0)))</f>
        <v>52.777777777777771</v>
      </c>
      <c r="F50" s="12">
        <f>IF(OR(AY50&lt;&gt;"Valid",AZ50&lt;&gt;"16 keys present"),"Review settings",20*(IF(ISNUMBER(AD50),AD50*IF($D50="Unlabeled-13",MCDM_Settings!$E$6,MCDM_Settings!$C$6),0)+IF(ISNUMBER(AG50),AG50*IF($D50="Unlabeled-13",MCDM_Settings!$E$7,MCDM_Settings!$C$7),0)+IF(ISNUMBER(AJ50),AJ50*IF($D50="Unlabeled-13",MCDM_Settings!$E$8,MCDM_Settings!$C$8),0)+IF(ISNUMBER(AM50),AM50*IF($D50="Unlabeled-13",MCDM_Settings!$E$9,MCDM_Settings!$C$9),0)+IF(ISNUMBER(AP50),AP50*IF($D50="Unlabeled-13",MCDM_Settings!$E$10,MCDM_Settings!$C$10),0)+IF(ISNUMBER(AS50),AS50*IF($D50="Unlabeled-13",MCDM_Settings!$E$11,MCDM_Settings!$C$11),0)))</f>
        <v>99.999999999999986</v>
      </c>
      <c r="G50" s="13">
        <f>IF(OR(AY50&lt;&gt;"Valid",AZ50&lt;&gt;"16 keys present"),"Review settings",1*(IF(ISNUMBER(AE50),AE50*IF($D50="Unlabeled-13",MCDM_Settings!$E$6,MCDM_Settings!$C$6),0)+IF(ISNUMBER(AH50),AH50*IF($D50="Unlabeled-13",MCDM_Settings!$E$7,MCDM_Settings!$C$7),0)+IF(ISNUMBER(AK50),AK50*IF($D50="Unlabeled-13",MCDM_Settings!$E$8,MCDM_Settings!$C$8),0)+IF(ISNUMBER(AN50),AN50*IF($D50="Unlabeled-13",MCDM_Settings!$E$9,MCDM_Settings!$C$9),0)+IF(ISNUMBER(AQ50),AQ50*IF($D50="Unlabeled-13",MCDM_Settings!$E$10,MCDM_Settings!$C$10),0)+IF(ISNUMBER(AT50),AT50*IF($D50="Unlabeled-13",MCDM_Settings!$E$11,MCDM_Settings!$C$11),0)))</f>
        <v>0.52777777777777779</v>
      </c>
      <c r="H50" s="5" t="str">
        <f>INDEX(Manual_Review!$AH$6:$AH$238,MATCH(A50,Manual_Review!$A$6:$A$238,0))</f>
        <v>Not started</v>
      </c>
      <c r="I50" s="5" t="s">
        <v>128</v>
      </c>
      <c r="J50" s="5" t="s">
        <v>621</v>
      </c>
      <c r="K50" s="5" t="str">
        <f>HYPERLINK("https://github.com/tantantetetao/UAPD-Pavement-Distress-Dataset","Dataset")</f>
        <v>Dataset</v>
      </c>
      <c r="L50" s="5" t="str">
        <f>HYPERLINK("#'Manual_Review'!A"&amp;(MATCH("DS-045",Manual_Review!$A$6:$A$238,0)+5),"Enter review")</f>
        <v>Enter review</v>
      </c>
      <c r="M50" s="5" t="str">
        <f>INDEX(MCDM_Checks!$K$6:$K$3733,MATCH(A50&amp;"|"&amp;M$5,MCDM_Checks!$A$6:$A$3733,0))</f>
        <v>Y</v>
      </c>
      <c r="N50" s="5" t="str">
        <f>INDEX(MCDM_Checks!$K$6:$K$3733,MATCH(A50&amp;"|"&amp;N$5,MCDM_Checks!$A$6:$A$3733,0))</f>
        <v>Y</v>
      </c>
      <c r="O50" s="5" t="str">
        <f>INDEX(MCDM_Checks!$K$6:$K$3733,MATCH(A50&amp;"|"&amp;O$5,MCDM_Checks!$A$6:$A$3733,0))</f>
        <v>U</v>
      </c>
      <c r="P50" s="5" t="str">
        <f>INDEX(MCDM_Checks!$K$6:$K$3733,MATCH(A50&amp;"|"&amp;P$5,MCDM_Checks!$A$6:$A$3733,0))</f>
        <v>Y</v>
      </c>
      <c r="Q50" s="5" t="str">
        <f>INDEX(MCDM_Checks!$K$6:$K$3733,MATCH(A50&amp;"|"&amp;Q$5,MCDM_Checks!$A$6:$A$3733,0))</f>
        <v>U</v>
      </c>
      <c r="R50" s="5" t="str">
        <f>INDEX(MCDM_Checks!$K$6:$K$3733,MATCH(A50&amp;"|"&amp;R$5,MCDM_Checks!$A$6:$A$3733,0))</f>
        <v>U</v>
      </c>
      <c r="S50" s="5" t="str">
        <f>INDEX(MCDM_Checks!$K$6:$K$3733,MATCH(A50&amp;"|"&amp;S$5,MCDM_Checks!$A$6:$A$3733,0))</f>
        <v>U</v>
      </c>
      <c r="T50" s="5" t="str">
        <f>INDEX(MCDM_Checks!$K$6:$K$3733,MATCH(A50&amp;"|"&amp;T$5,MCDM_Checks!$A$6:$A$3733,0))</f>
        <v>Y</v>
      </c>
      <c r="U50" s="5" t="str">
        <f>INDEX(MCDM_Checks!$K$6:$K$3733,MATCH(A50&amp;"|"&amp;U$5,MCDM_Checks!$A$6:$A$3733,0))</f>
        <v>U</v>
      </c>
      <c r="V50" s="5" t="str">
        <f>INDEX(MCDM_Checks!$K$6:$K$3733,MATCH(A50&amp;"|"&amp;V$5,MCDM_Checks!$A$6:$A$3733,0))</f>
        <v>Y</v>
      </c>
      <c r="W50" s="5" t="str">
        <f>INDEX(MCDM_Checks!$K$6:$K$3733,MATCH(A50&amp;"|"&amp;W$5,MCDM_Checks!$A$6:$A$3733,0))</f>
        <v>U</v>
      </c>
      <c r="X50" s="5" t="str">
        <f>INDEX(MCDM_Checks!$K$6:$K$3733,MATCH(A50&amp;"|"&amp;X$5,MCDM_Checks!$A$6:$A$3733,0))</f>
        <v>Y</v>
      </c>
      <c r="Y50" s="5" t="str">
        <f>INDEX(MCDM_Checks!$K$6:$K$3733,MATCH(A50&amp;"|"&amp;Y$5,MCDM_Checks!$A$6:$A$3733,0))</f>
        <v>Y</v>
      </c>
      <c r="Z50" s="5" t="str">
        <f>INDEX(MCDM_Checks!$K$6:$K$3733,MATCH(A50&amp;"|"&amp;Z$5,MCDM_Checks!$A$6:$A$3733,0))</f>
        <v>Y</v>
      </c>
      <c r="AA50" s="5" t="str">
        <f>INDEX(MCDM_Checks!$K$6:$K$3733,MATCH(A50&amp;"|"&amp;AA$5,MCDM_Checks!$A$6:$A$3733,0))</f>
        <v>U</v>
      </c>
      <c r="AB50" s="5" t="str">
        <f>INDEX(MCDM_Checks!$K$6:$K$3733,MATCH(A50&amp;"|"&amp;AB$5,MCDM_Checks!$A$6:$A$3733,0))</f>
        <v>U</v>
      </c>
      <c r="AC50" s="12">
        <f>IF(IF($D50="Unlabeled-13",MCDM_Settings!$F$6,MCDM_Settings!$D$6)=0,"n.a.",5*COUNTIF(M50:O50,"Y")/IF($D50="Unlabeled-13",MCDM_Settings!$F$6,MCDM_Settings!$D$6))</f>
        <v>3.3333333333333335</v>
      </c>
      <c r="AD50" s="12">
        <f>IF(IF($D50="Unlabeled-13",MCDM_Settings!$F$6,MCDM_Settings!$D$6)=0,"n.a.",5*(COUNTIF(M50:O50,"Y")+COUNTIF(M50:O50,"U")+COUNTIF(M50:O50,"X"))/IF($D50="Unlabeled-13",MCDM_Settings!$F$6,MCDM_Settings!$D$6))</f>
        <v>5</v>
      </c>
      <c r="AE50" s="13">
        <f>IF(IF($D50="Unlabeled-13",MCDM_Settings!$F$6,MCDM_Settings!$D$6)=0,"n.a.",(COUNTIF(M50:O50,"Y")+COUNTIF(M50:O50,"N"))/IF($D50="Unlabeled-13",MCDM_Settings!$F$6,MCDM_Settings!$D$6))</f>
        <v>0.66666666666666663</v>
      </c>
      <c r="AF50" s="12">
        <f>IF(IF($D50="Unlabeled-13",MCDM_Settings!$F$7,MCDM_Settings!$D$7)=0,"n.a.",5*COUNTIF(P50:R50,"Y")/IF($D50="Unlabeled-13",MCDM_Settings!$F$7,MCDM_Settings!$D$7))</f>
        <v>1.6666666666666667</v>
      </c>
      <c r="AG50" s="12">
        <f>IF(IF($D50="Unlabeled-13",MCDM_Settings!$F$7,MCDM_Settings!$D$7)=0,"n.a.",5*(COUNTIF(P50:R50,"Y")+COUNTIF(P50:R50,"U")+COUNTIF(P50:R50,"X"))/IF($D50="Unlabeled-13",MCDM_Settings!$F$7,MCDM_Settings!$D$7))</f>
        <v>5</v>
      </c>
      <c r="AH50" s="13">
        <f>IF(IF($D50="Unlabeled-13",MCDM_Settings!$F$7,MCDM_Settings!$D$7)=0,"n.a.",(COUNTIF(P50:R50,"Y")+COUNTIF(P50:R50,"N"))/IF($D50="Unlabeled-13",MCDM_Settings!$F$7,MCDM_Settings!$D$7))</f>
        <v>0.33333333333333331</v>
      </c>
      <c r="AI50" s="12">
        <f>IF(IF($D50="Unlabeled-13",MCDM_Settings!$F$8,MCDM_Settings!$D$8)=0,"n.a.",5*COUNTIF(S50:U50,"Y")/IF($D50="Unlabeled-13",MCDM_Settings!$F$8,MCDM_Settings!$D$8))</f>
        <v>1.6666666666666667</v>
      </c>
      <c r="AJ50" s="12">
        <f>IF(IF($D50="Unlabeled-13",MCDM_Settings!$F$8,MCDM_Settings!$D$8)=0,"n.a.",5*(COUNTIF(S50:U50,"Y")+COUNTIF(S50:U50,"U")+COUNTIF(S50:U50,"X"))/IF($D50="Unlabeled-13",MCDM_Settings!$F$8,MCDM_Settings!$D$8))</f>
        <v>5</v>
      </c>
      <c r="AK50" s="13">
        <f>IF(IF($D50="Unlabeled-13",MCDM_Settings!$F$8,MCDM_Settings!$D$8)=0,"n.a.",(COUNTIF(S50:U50,"Y")+COUNTIF(S50:U50,"N"))/IF($D50="Unlabeled-13",MCDM_Settings!$F$8,MCDM_Settings!$D$8))</f>
        <v>0.33333333333333331</v>
      </c>
      <c r="AL50" s="12">
        <f>IF(IF($D50="Unlabeled-13",MCDM_Settings!$F$9,MCDM_Settings!$D$9)=0,"n.a.",5*COUNTIF(V50:W50,"Y")/IF($D50="Unlabeled-13",MCDM_Settings!$F$9,MCDM_Settings!$D$9))</f>
        <v>2.5</v>
      </c>
      <c r="AM50" s="12">
        <f>IF(IF($D50="Unlabeled-13",MCDM_Settings!$F$9,MCDM_Settings!$D$9)=0,"n.a.",5*(COUNTIF(V50:W50,"Y")+COUNTIF(V50:W50,"U")+COUNTIF(V50:W50,"X"))/IF($D50="Unlabeled-13",MCDM_Settings!$F$9,MCDM_Settings!$D$9))</f>
        <v>5</v>
      </c>
      <c r="AN50" s="13">
        <f>IF(IF($D50="Unlabeled-13",MCDM_Settings!$F$9,MCDM_Settings!$D$9)=0,"n.a.",(COUNTIF(V50:W50,"Y")+COUNTIF(V50:W50,"N"))/IF($D50="Unlabeled-13",MCDM_Settings!$F$9,MCDM_Settings!$D$9))</f>
        <v>0.5</v>
      </c>
      <c r="AO50" s="12">
        <f>IF(IF($D50="Unlabeled-13",MCDM_Settings!$F$10,MCDM_Settings!$D$10)=0,"n.a.",5*COUNTIF(X50:Y50,"Y")/IF($D50="Unlabeled-13",MCDM_Settings!$F$10,MCDM_Settings!$D$10))</f>
        <v>5</v>
      </c>
      <c r="AP50" s="12">
        <f>IF(IF($D50="Unlabeled-13",MCDM_Settings!$F$10,MCDM_Settings!$D$10)=0,"n.a.",5*(COUNTIF(X50:Y50,"Y")+COUNTIF(X50:Y50,"U")+COUNTIF(X50:Y50,"X"))/IF($D50="Unlabeled-13",MCDM_Settings!$F$10,MCDM_Settings!$D$10))</f>
        <v>5</v>
      </c>
      <c r="AQ50" s="13">
        <f>IF(IF($D50="Unlabeled-13",MCDM_Settings!$F$10,MCDM_Settings!$D$10)=0,"n.a.",(COUNTIF(X50:Y50,"Y")+COUNTIF(X50:Y50,"N"))/IF($D50="Unlabeled-13",MCDM_Settings!$F$10,MCDM_Settings!$D$10))</f>
        <v>1</v>
      </c>
      <c r="AR50" s="12">
        <f>IF(IF($D50="Unlabeled-13",MCDM_Settings!$F$11,MCDM_Settings!$D$11)=0,"n.a.",5*COUNTIF(Z50:AB50,"Y")/IF($D50="Unlabeled-13",MCDM_Settings!$F$11,MCDM_Settings!$D$11))</f>
        <v>1.6666666666666667</v>
      </c>
      <c r="AS50" s="12">
        <f>IF(IF($D50="Unlabeled-13",MCDM_Settings!$F$11,MCDM_Settings!$D$11)=0,"n.a.",5*(COUNTIF(Z50:AB50,"Y")+COUNTIF(Z50:AB50,"U")+COUNTIF(Z50:AB50,"X"))/IF($D50="Unlabeled-13",MCDM_Settings!$F$11,MCDM_Settings!$D$11))</f>
        <v>5</v>
      </c>
      <c r="AT50" s="13">
        <f>IF(IF($D50="Unlabeled-13",MCDM_Settings!$F$11,MCDM_Settings!$D$11)=0,"n.a.",(COUNTIF(Z50:AB50,"Y")+COUNTIF(Z50:AB50,"N"))/IF($D50="Unlabeled-13",MCDM_Settings!$F$11,MCDM_Settings!$D$11))</f>
        <v>0.33333333333333331</v>
      </c>
      <c r="AU50" s="5" t="str">
        <f>IF(AND(INDEX(Manual_Review!$G$6:$G$238,MATCH(A50,Manual_Review!$A$6:$A$238,0))&lt;&gt;"",ISNUMBER(INDEX(Manual_Review!$H$6:$H$238,MATCH(A50,Manual_Review!$A$6:$A$238,0))),INDEX(Manual_Review!$H$6:$H$238,MATCH(A50,Manual_Review!$A$6:$A$238,0))&gt;0,INDEX(Manual_Review!$I$6:$I$238,MATCH(A50,Manual_Review!$A$6:$A$238,0))="Confirmed",INDEX(Manual_Review!$AF$6:$AF$238,MATCH(A50,Manual_Review!$A$6:$A$238,0))&lt;&gt;""),IF(INDEX(Manual_Review!$AA$6:$AA$238,MATCH(A50,Manual_Review!$A$6:$A$238,0))="Pass","Pass",IF(INDEX(Manual_Review!$AA$6:$AA$238,MATCH(A50,Manual_Review!$A$6:$A$238,0))="Fail","Fail","Pending")),"Pending human identity confirmation")</f>
        <v>Pending human identity confirmation</v>
      </c>
      <c r="AV50" s="5" t="str">
        <f>IF(AND(AND(INDEX(Manual_Review!$G$6:$G$238,MATCH(A50,Manual_Review!$A$6:$A$238,0))&lt;&gt;"",ISNUMBER(INDEX(Manual_Review!$H$6:$H$238,MATCH(A50,Manual_Review!$A$6:$A$238,0))),INDEX(Manual_Review!$H$6:$H$238,MATCH(A50,Manual_Review!$A$6:$A$238,0))&gt;0,INDEX(Manual_Review!$I$6:$I$238,MATCH(A50,Manual_Review!$A$6:$A$238,0))="Confirmed",INDEX(Manual_Review!$AF$6:$AF$238,MATCH(A50,Manual_Review!$A$6:$A$238,0))&lt;&gt;""),INDEX(Manual_Review!$AG$6:$AG$238,MATCH(A50,Manual_Review!$A$6:$A$238,0))&lt;&gt;""),IF(INDEX(Manual_Review!$AB$6:$AB$238,MATCH(A50,Manual_Review!$A$6:$A$238,0))="Pass","Pass",IF(INDEX(Manual_Review!$AB$6:$AB$238,MATCH(A50,Manual_Review!$A$6:$A$238,0))="Fail","Fail","Pending")),"Not assessed: define intended task")</f>
        <v>Not assessed: define intended task</v>
      </c>
      <c r="AW50" s="5" t="str">
        <f>IF(AND(AND(INDEX(Manual_Review!$G$6:$G$238,MATCH(A50,Manual_Review!$A$6:$A$238,0))&lt;&gt;"",ISNUMBER(INDEX(Manual_Review!$H$6:$H$238,MATCH(A50,Manual_Review!$A$6:$A$238,0))),INDEX(Manual_Review!$H$6:$H$238,MATCH(A50,Manual_Review!$A$6:$A$238,0))&gt;0,INDEX(Manual_Review!$I$6:$I$238,MATCH(A50,Manual_Review!$A$6:$A$238,0))="Confirmed",INDEX(Manual_Review!$AF$6:$AF$238,MATCH(A50,Manual_Review!$A$6:$A$238,0))&lt;&gt;""),INDEX(Manual_Review!$AG$6:$AG$238,MATCH(A50,Manual_Review!$A$6:$A$238,0))&lt;&gt;""),IF(OR(INDEX(Manual_Review!$AC$6:$AC$238,MATCH(A50,Manual_Review!$A$6:$A$238,0))="Fail",INDEX(Manual_Review!$AD$6:$AD$238,MATCH(A50,Manual_Review!$A$6:$A$238,0))="Fail"),"Fail: rights or retrieval",IF(AND(INDEX(Manual_Review!$AC$6:$AC$238,MATCH(A50,Manual_Review!$A$6:$A$238,0))="Pass",INDEX(Manual_Review!$AD$6:$AD$238,MATCH(A50,Manual_Review!$A$6:$A$238,0))="Pass"),"Pass","Pending rights and retrieval")),"Pending rights and retrieval")</f>
        <v>Pending rights and retrieval</v>
      </c>
      <c r="AX50" s="5" t="str">
        <f>IF(INDEX(Manual_Review!$AG$6:$AG$238,MATCH(A50,Manual_Review!$A$6:$A$238,0))="","N/A: documentation inventory",IF(AND(INDEX(Manual_Review!$G$6:$G$238,MATCH(A50,Manual_Review!$A$6:$A$238,0))&lt;&gt;"",ISNUMBER(INDEX(Manual_Review!$H$6:$H$238,MATCH(A50,Manual_Review!$A$6:$A$238,0))),INDEX(Manual_Review!$H$6:$H$238,MATCH(A50,Manual_Review!$A$6:$A$238,0))&gt;0,INDEX(Manual_Review!$I$6:$I$238,MATCH(A50,Manual_Review!$A$6:$A$238,0))="Confirmed",INDEX(Manual_Review!$AF$6:$AF$238,MATCH(A50,Manual_Review!$A$6:$A$238,0))&lt;&gt;""),IF(INDEX(Manual_Review!$AE$6:$AE$238,MATCH(A50,Manual_Review!$A$6:$A$238,0))="Pass","Pass",IF(INDEX(Manual_Review!$AE$6:$AE$238,MATCH(A50,Manual_Review!$A$6:$A$238,0))="Fail","Fail: benchmark leakage",IF(INDEX(Manual_Review!$AE$6:$AE$238,MATCH(A50,Manual_Review!$A$6:$A$238,0))="N/A","N/A: nonbenchmark task","Pending task-specific leakage check"))),"Pending task-specific leakage check"))</f>
        <v>N/A: documentation inventory</v>
      </c>
      <c r="AY50" s="5" t="str">
        <f>IF(IF(D50="Unlabeled-13",AND(ABS(MCDM_Settings!$D$14-1)&lt;0.0000001,MIN(MCDM_Settings!$E$6:$E$11)&gt;=0,MCDM_Settings!$E$7=0),AND(ABS(MCDM_Settings!$B$14-1)&lt;0.0000001,MIN(MCDM_Settings!$C$6:$C$11)&gt;=0)),"Valid","Check weights")</f>
        <v>Valid</v>
      </c>
      <c r="AZ50" s="5" t="str">
        <f>IF(AND(COUNTIF(MCDM_Checks!$B$6:$B$3733,A50)=16,COUNTIF(Manual_Review!$A$6:$A$238,A50)=1),"16 keys present","Check key count")</f>
        <v>16 keys present</v>
      </c>
    </row>
    <row r="51" spans="1:52" ht="25.5">
      <c r="A51" s="5" t="s">
        <v>630</v>
      </c>
      <c r="B51" s="5" t="s">
        <v>631</v>
      </c>
      <c r="C51" s="5"/>
      <c r="D51" s="5" t="s">
        <v>118</v>
      </c>
      <c r="E51" s="12">
        <f>IF(OR(AY51&lt;&gt;"Valid",AZ51&lt;&gt;"16 keys present"),"Review settings",20*(IF(ISNUMBER(AC51),AC51*IF($D51="Unlabeled-13",MCDM_Settings!$E$6,MCDM_Settings!$C$6),0)+IF(ISNUMBER(AF51),AF51*IF($D51="Unlabeled-13",MCDM_Settings!$E$7,MCDM_Settings!$C$7),0)+IF(ISNUMBER(AI51),AI51*IF($D51="Unlabeled-13",MCDM_Settings!$E$8,MCDM_Settings!$C$8),0)+IF(ISNUMBER(AL51),AL51*IF($D51="Unlabeled-13",MCDM_Settings!$E$9,MCDM_Settings!$C$9),0)+IF(ISNUMBER(AO51),AO51*IF($D51="Unlabeled-13",MCDM_Settings!$E$10,MCDM_Settings!$C$10),0)+IF(ISNUMBER(AR51),AR51*IF($D51="Unlabeled-13",MCDM_Settings!$E$11,MCDM_Settings!$C$11),0)))</f>
        <v>52.777777777777779</v>
      </c>
      <c r="F51" s="12">
        <f>IF(OR(AY51&lt;&gt;"Valid",AZ51&lt;&gt;"16 keys present"),"Review settings",20*(IF(ISNUMBER(AD51),AD51*IF($D51="Unlabeled-13",MCDM_Settings!$E$6,MCDM_Settings!$C$6),0)+IF(ISNUMBER(AG51),AG51*IF($D51="Unlabeled-13",MCDM_Settings!$E$7,MCDM_Settings!$C$7),0)+IF(ISNUMBER(AJ51),AJ51*IF($D51="Unlabeled-13",MCDM_Settings!$E$8,MCDM_Settings!$C$8),0)+IF(ISNUMBER(AM51),AM51*IF($D51="Unlabeled-13",MCDM_Settings!$E$9,MCDM_Settings!$C$9),0)+IF(ISNUMBER(AP51),AP51*IF($D51="Unlabeled-13",MCDM_Settings!$E$10,MCDM_Settings!$C$10),0)+IF(ISNUMBER(AS51),AS51*IF($D51="Unlabeled-13",MCDM_Settings!$E$11,MCDM_Settings!$C$11),0)))</f>
        <v>99.999999999999986</v>
      </c>
      <c r="G51" s="13">
        <f>IF(OR(AY51&lt;&gt;"Valid",AZ51&lt;&gt;"16 keys present"),"Review settings",1*(IF(ISNUMBER(AE51),AE51*IF($D51="Unlabeled-13",MCDM_Settings!$E$6,MCDM_Settings!$C$6),0)+IF(ISNUMBER(AH51),AH51*IF($D51="Unlabeled-13",MCDM_Settings!$E$7,MCDM_Settings!$C$7),0)+IF(ISNUMBER(AK51),AK51*IF($D51="Unlabeled-13",MCDM_Settings!$E$8,MCDM_Settings!$C$8),0)+IF(ISNUMBER(AN51),AN51*IF($D51="Unlabeled-13",MCDM_Settings!$E$9,MCDM_Settings!$C$9),0)+IF(ISNUMBER(AQ51),AQ51*IF($D51="Unlabeled-13",MCDM_Settings!$E$10,MCDM_Settings!$C$10),0)+IF(ISNUMBER(AT51),AT51*IF($D51="Unlabeled-13",MCDM_Settings!$E$11,MCDM_Settings!$C$11),0)))</f>
        <v>0.52777777777777768</v>
      </c>
      <c r="H51" s="5" t="str">
        <f>INDEX(Manual_Review!$AH$6:$AH$238,MATCH(A51,Manual_Review!$A$6:$A$238,0))</f>
        <v>Not started</v>
      </c>
      <c r="I51" s="5" t="s">
        <v>128</v>
      </c>
      <c r="J51" s="5" t="s">
        <v>632</v>
      </c>
      <c r="K51" s="5" t="str">
        <f>HYPERLINK("https://github.com/SHAN-JH/UAV-CrackX-Datasets","Dataset")</f>
        <v>Dataset</v>
      </c>
      <c r="L51" s="5" t="str">
        <f>HYPERLINK("#'Manual_Review'!A"&amp;(MATCH("DS-046",Manual_Review!$A$6:$A$238,0)+5),"Enter review")</f>
        <v>Enter review</v>
      </c>
      <c r="M51" s="5" t="str">
        <f>INDEX(MCDM_Checks!$K$6:$K$3733,MATCH(A51&amp;"|"&amp;M$5,MCDM_Checks!$A$6:$A$3733,0))</f>
        <v>Y</v>
      </c>
      <c r="N51" s="5" t="str">
        <f>INDEX(MCDM_Checks!$K$6:$K$3733,MATCH(A51&amp;"|"&amp;N$5,MCDM_Checks!$A$6:$A$3733,0))</f>
        <v>U</v>
      </c>
      <c r="O51" s="5" t="str">
        <f>INDEX(MCDM_Checks!$K$6:$K$3733,MATCH(A51&amp;"|"&amp;O$5,MCDM_Checks!$A$6:$A$3733,0))</f>
        <v>U</v>
      </c>
      <c r="P51" s="5" t="str">
        <f>INDEX(MCDM_Checks!$K$6:$K$3733,MATCH(A51&amp;"|"&amp;P$5,MCDM_Checks!$A$6:$A$3733,0))</f>
        <v>Y</v>
      </c>
      <c r="Q51" s="5" t="str">
        <f>INDEX(MCDM_Checks!$K$6:$K$3733,MATCH(A51&amp;"|"&amp;Q$5,MCDM_Checks!$A$6:$A$3733,0))</f>
        <v>U</v>
      </c>
      <c r="R51" s="5" t="str">
        <f>INDEX(MCDM_Checks!$K$6:$K$3733,MATCH(A51&amp;"|"&amp;R$5,MCDM_Checks!$A$6:$A$3733,0))</f>
        <v>U</v>
      </c>
      <c r="S51" s="5" t="str">
        <f>INDEX(MCDM_Checks!$K$6:$K$3733,MATCH(A51&amp;"|"&amp;S$5,MCDM_Checks!$A$6:$A$3733,0))</f>
        <v>U</v>
      </c>
      <c r="T51" s="5" t="str">
        <f>INDEX(MCDM_Checks!$K$6:$K$3733,MATCH(A51&amp;"|"&amp;T$5,MCDM_Checks!$A$6:$A$3733,0))</f>
        <v>Y</v>
      </c>
      <c r="U51" s="5" t="str">
        <f>INDEX(MCDM_Checks!$K$6:$K$3733,MATCH(A51&amp;"|"&amp;U$5,MCDM_Checks!$A$6:$A$3733,0))</f>
        <v>Y</v>
      </c>
      <c r="V51" s="5" t="str">
        <f>INDEX(MCDM_Checks!$K$6:$K$3733,MATCH(A51&amp;"|"&amp;V$5,MCDM_Checks!$A$6:$A$3733,0))</f>
        <v>Y</v>
      </c>
      <c r="W51" s="5" t="str">
        <f>INDEX(MCDM_Checks!$K$6:$K$3733,MATCH(A51&amp;"|"&amp;W$5,MCDM_Checks!$A$6:$A$3733,0))</f>
        <v>Y</v>
      </c>
      <c r="X51" s="5" t="str">
        <f>INDEX(MCDM_Checks!$K$6:$K$3733,MATCH(A51&amp;"|"&amp;X$5,MCDM_Checks!$A$6:$A$3733,0))</f>
        <v>U</v>
      </c>
      <c r="Y51" s="5" t="str">
        <f>INDEX(MCDM_Checks!$K$6:$K$3733,MATCH(A51&amp;"|"&amp;Y$5,MCDM_Checks!$A$6:$A$3733,0))</f>
        <v>Y</v>
      </c>
      <c r="Z51" s="5" t="str">
        <f>INDEX(MCDM_Checks!$K$6:$K$3733,MATCH(A51&amp;"|"&amp;Z$5,MCDM_Checks!$A$6:$A$3733,0))</f>
        <v>Y</v>
      </c>
      <c r="AA51" s="5" t="str">
        <f>INDEX(MCDM_Checks!$K$6:$K$3733,MATCH(A51&amp;"|"&amp;AA$5,MCDM_Checks!$A$6:$A$3733,0))</f>
        <v>U</v>
      </c>
      <c r="AB51" s="5" t="str">
        <f>INDEX(MCDM_Checks!$K$6:$K$3733,MATCH(A51&amp;"|"&amp;AB$5,MCDM_Checks!$A$6:$A$3733,0))</f>
        <v>U</v>
      </c>
      <c r="AC51" s="12">
        <f>IF(IF($D51="Unlabeled-13",MCDM_Settings!$F$6,MCDM_Settings!$D$6)=0,"n.a.",5*COUNTIF(M51:O51,"Y")/IF($D51="Unlabeled-13",MCDM_Settings!$F$6,MCDM_Settings!$D$6))</f>
        <v>1.6666666666666667</v>
      </c>
      <c r="AD51" s="12">
        <f>IF(IF($D51="Unlabeled-13",MCDM_Settings!$F$6,MCDM_Settings!$D$6)=0,"n.a.",5*(COUNTIF(M51:O51,"Y")+COUNTIF(M51:O51,"U")+COUNTIF(M51:O51,"X"))/IF($D51="Unlabeled-13",MCDM_Settings!$F$6,MCDM_Settings!$D$6))</f>
        <v>5</v>
      </c>
      <c r="AE51" s="13">
        <f>IF(IF($D51="Unlabeled-13",MCDM_Settings!$F$6,MCDM_Settings!$D$6)=0,"n.a.",(COUNTIF(M51:O51,"Y")+COUNTIF(M51:O51,"N"))/IF($D51="Unlabeled-13",MCDM_Settings!$F$6,MCDM_Settings!$D$6))</f>
        <v>0.33333333333333331</v>
      </c>
      <c r="AF51" s="12">
        <f>IF(IF($D51="Unlabeled-13",MCDM_Settings!$F$7,MCDM_Settings!$D$7)=0,"n.a.",5*COUNTIF(P51:R51,"Y")/IF($D51="Unlabeled-13",MCDM_Settings!$F$7,MCDM_Settings!$D$7))</f>
        <v>1.6666666666666667</v>
      </c>
      <c r="AG51" s="12">
        <f>IF(IF($D51="Unlabeled-13",MCDM_Settings!$F$7,MCDM_Settings!$D$7)=0,"n.a.",5*(COUNTIF(P51:R51,"Y")+COUNTIF(P51:R51,"U")+COUNTIF(P51:R51,"X"))/IF($D51="Unlabeled-13",MCDM_Settings!$F$7,MCDM_Settings!$D$7))</f>
        <v>5</v>
      </c>
      <c r="AH51" s="13">
        <f>IF(IF($D51="Unlabeled-13",MCDM_Settings!$F$7,MCDM_Settings!$D$7)=0,"n.a.",(COUNTIF(P51:R51,"Y")+COUNTIF(P51:R51,"N"))/IF($D51="Unlabeled-13",MCDM_Settings!$F$7,MCDM_Settings!$D$7))</f>
        <v>0.33333333333333331</v>
      </c>
      <c r="AI51" s="12">
        <f>IF(IF($D51="Unlabeled-13",MCDM_Settings!$F$8,MCDM_Settings!$D$8)=0,"n.a.",5*COUNTIF(S51:U51,"Y")/IF($D51="Unlabeled-13",MCDM_Settings!$F$8,MCDM_Settings!$D$8))</f>
        <v>3.3333333333333335</v>
      </c>
      <c r="AJ51" s="12">
        <f>IF(IF($D51="Unlabeled-13",MCDM_Settings!$F$8,MCDM_Settings!$D$8)=0,"n.a.",5*(COUNTIF(S51:U51,"Y")+COUNTIF(S51:U51,"U")+COUNTIF(S51:U51,"X"))/IF($D51="Unlabeled-13",MCDM_Settings!$F$8,MCDM_Settings!$D$8))</f>
        <v>5</v>
      </c>
      <c r="AK51" s="13">
        <f>IF(IF($D51="Unlabeled-13",MCDM_Settings!$F$8,MCDM_Settings!$D$8)=0,"n.a.",(COUNTIF(S51:U51,"Y")+COUNTIF(S51:U51,"N"))/IF($D51="Unlabeled-13",MCDM_Settings!$F$8,MCDM_Settings!$D$8))</f>
        <v>0.66666666666666663</v>
      </c>
      <c r="AL51" s="12">
        <f>IF(IF($D51="Unlabeled-13",MCDM_Settings!$F$9,MCDM_Settings!$D$9)=0,"n.a.",5*COUNTIF(V51:W51,"Y")/IF($D51="Unlabeled-13",MCDM_Settings!$F$9,MCDM_Settings!$D$9))</f>
        <v>5</v>
      </c>
      <c r="AM51" s="12">
        <f>IF(IF($D51="Unlabeled-13",MCDM_Settings!$F$9,MCDM_Settings!$D$9)=0,"n.a.",5*(COUNTIF(V51:W51,"Y")+COUNTIF(V51:W51,"U")+COUNTIF(V51:W51,"X"))/IF($D51="Unlabeled-13",MCDM_Settings!$F$9,MCDM_Settings!$D$9))</f>
        <v>5</v>
      </c>
      <c r="AN51" s="13">
        <f>IF(IF($D51="Unlabeled-13",MCDM_Settings!$F$9,MCDM_Settings!$D$9)=0,"n.a.",(COUNTIF(V51:W51,"Y")+COUNTIF(V51:W51,"N"))/IF($D51="Unlabeled-13",MCDM_Settings!$F$9,MCDM_Settings!$D$9))</f>
        <v>1</v>
      </c>
      <c r="AO51" s="12">
        <f>IF(IF($D51="Unlabeled-13",MCDM_Settings!$F$10,MCDM_Settings!$D$10)=0,"n.a.",5*COUNTIF(X51:Y51,"Y")/IF($D51="Unlabeled-13",MCDM_Settings!$F$10,MCDM_Settings!$D$10))</f>
        <v>2.5</v>
      </c>
      <c r="AP51" s="12">
        <f>IF(IF($D51="Unlabeled-13",MCDM_Settings!$F$10,MCDM_Settings!$D$10)=0,"n.a.",5*(COUNTIF(X51:Y51,"Y")+COUNTIF(X51:Y51,"U")+COUNTIF(X51:Y51,"X"))/IF($D51="Unlabeled-13",MCDM_Settings!$F$10,MCDM_Settings!$D$10))</f>
        <v>5</v>
      </c>
      <c r="AQ51" s="13">
        <f>IF(IF($D51="Unlabeled-13",MCDM_Settings!$F$10,MCDM_Settings!$D$10)=0,"n.a.",(COUNTIF(X51:Y51,"Y")+COUNTIF(X51:Y51,"N"))/IF($D51="Unlabeled-13",MCDM_Settings!$F$10,MCDM_Settings!$D$10))</f>
        <v>0.5</v>
      </c>
      <c r="AR51" s="12">
        <f>IF(IF($D51="Unlabeled-13",MCDM_Settings!$F$11,MCDM_Settings!$D$11)=0,"n.a.",5*COUNTIF(Z51:AB51,"Y")/IF($D51="Unlabeled-13",MCDM_Settings!$F$11,MCDM_Settings!$D$11))</f>
        <v>1.6666666666666667</v>
      </c>
      <c r="AS51" s="12">
        <f>IF(IF($D51="Unlabeled-13",MCDM_Settings!$F$11,MCDM_Settings!$D$11)=0,"n.a.",5*(COUNTIF(Z51:AB51,"Y")+COUNTIF(Z51:AB51,"U")+COUNTIF(Z51:AB51,"X"))/IF($D51="Unlabeled-13",MCDM_Settings!$F$11,MCDM_Settings!$D$11))</f>
        <v>5</v>
      </c>
      <c r="AT51" s="13">
        <f>IF(IF($D51="Unlabeled-13",MCDM_Settings!$F$11,MCDM_Settings!$D$11)=0,"n.a.",(COUNTIF(Z51:AB51,"Y")+COUNTIF(Z51:AB51,"N"))/IF($D51="Unlabeled-13",MCDM_Settings!$F$11,MCDM_Settings!$D$11))</f>
        <v>0.33333333333333331</v>
      </c>
      <c r="AU51" s="5" t="str">
        <f>IF(AND(INDEX(Manual_Review!$G$6:$G$238,MATCH(A51,Manual_Review!$A$6:$A$238,0))&lt;&gt;"",ISNUMBER(INDEX(Manual_Review!$H$6:$H$238,MATCH(A51,Manual_Review!$A$6:$A$238,0))),INDEX(Manual_Review!$H$6:$H$238,MATCH(A51,Manual_Review!$A$6:$A$238,0))&gt;0,INDEX(Manual_Review!$I$6:$I$238,MATCH(A51,Manual_Review!$A$6:$A$238,0))="Confirmed",INDEX(Manual_Review!$AF$6:$AF$238,MATCH(A51,Manual_Review!$A$6:$A$238,0))&lt;&gt;""),IF(INDEX(Manual_Review!$AA$6:$AA$238,MATCH(A51,Manual_Review!$A$6:$A$238,0))="Pass","Pass",IF(INDEX(Manual_Review!$AA$6:$AA$238,MATCH(A51,Manual_Review!$A$6:$A$238,0))="Fail","Fail","Pending")),"Pending human identity confirmation")</f>
        <v>Pending human identity confirmation</v>
      </c>
      <c r="AV51" s="5" t="str">
        <f>IF(AND(AND(INDEX(Manual_Review!$G$6:$G$238,MATCH(A51,Manual_Review!$A$6:$A$238,0))&lt;&gt;"",ISNUMBER(INDEX(Manual_Review!$H$6:$H$238,MATCH(A51,Manual_Review!$A$6:$A$238,0))),INDEX(Manual_Review!$H$6:$H$238,MATCH(A51,Manual_Review!$A$6:$A$238,0))&gt;0,INDEX(Manual_Review!$I$6:$I$238,MATCH(A51,Manual_Review!$A$6:$A$238,0))="Confirmed",INDEX(Manual_Review!$AF$6:$AF$238,MATCH(A51,Manual_Review!$A$6:$A$238,0))&lt;&gt;""),INDEX(Manual_Review!$AG$6:$AG$238,MATCH(A51,Manual_Review!$A$6:$A$238,0))&lt;&gt;""),IF(INDEX(Manual_Review!$AB$6:$AB$238,MATCH(A51,Manual_Review!$A$6:$A$238,0))="Pass","Pass",IF(INDEX(Manual_Review!$AB$6:$AB$238,MATCH(A51,Manual_Review!$A$6:$A$238,0))="Fail","Fail","Pending")),"Not assessed: define intended task")</f>
        <v>Not assessed: define intended task</v>
      </c>
      <c r="AW51" s="5" t="str">
        <f>IF(AND(AND(INDEX(Manual_Review!$G$6:$G$238,MATCH(A51,Manual_Review!$A$6:$A$238,0))&lt;&gt;"",ISNUMBER(INDEX(Manual_Review!$H$6:$H$238,MATCH(A51,Manual_Review!$A$6:$A$238,0))),INDEX(Manual_Review!$H$6:$H$238,MATCH(A51,Manual_Review!$A$6:$A$238,0))&gt;0,INDEX(Manual_Review!$I$6:$I$238,MATCH(A51,Manual_Review!$A$6:$A$238,0))="Confirmed",INDEX(Manual_Review!$AF$6:$AF$238,MATCH(A51,Manual_Review!$A$6:$A$238,0))&lt;&gt;""),INDEX(Manual_Review!$AG$6:$AG$238,MATCH(A51,Manual_Review!$A$6:$A$238,0))&lt;&gt;""),IF(OR(INDEX(Manual_Review!$AC$6:$AC$238,MATCH(A51,Manual_Review!$A$6:$A$238,0))="Fail",INDEX(Manual_Review!$AD$6:$AD$238,MATCH(A51,Manual_Review!$A$6:$A$238,0))="Fail"),"Fail: rights or retrieval",IF(AND(INDEX(Manual_Review!$AC$6:$AC$238,MATCH(A51,Manual_Review!$A$6:$A$238,0))="Pass",INDEX(Manual_Review!$AD$6:$AD$238,MATCH(A51,Manual_Review!$A$6:$A$238,0))="Pass"),"Pass","Pending rights and retrieval")),"Pending rights and retrieval")</f>
        <v>Pending rights and retrieval</v>
      </c>
      <c r="AX51" s="5" t="str">
        <f>IF(INDEX(Manual_Review!$AG$6:$AG$238,MATCH(A51,Manual_Review!$A$6:$A$238,0))="","N/A: documentation inventory",IF(AND(INDEX(Manual_Review!$G$6:$G$238,MATCH(A51,Manual_Review!$A$6:$A$238,0))&lt;&gt;"",ISNUMBER(INDEX(Manual_Review!$H$6:$H$238,MATCH(A51,Manual_Review!$A$6:$A$238,0))),INDEX(Manual_Review!$H$6:$H$238,MATCH(A51,Manual_Review!$A$6:$A$238,0))&gt;0,INDEX(Manual_Review!$I$6:$I$238,MATCH(A51,Manual_Review!$A$6:$A$238,0))="Confirmed",INDEX(Manual_Review!$AF$6:$AF$238,MATCH(A51,Manual_Review!$A$6:$A$238,0))&lt;&gt;""),IF(INDEX(Manual_Review!$AE$6:$AE$238,MATCH(A51,Manual_Review!$A$6:$A$238,0))="Pass","Pass",IF(INDEX(Manual_Review!$AE$6:$AE$238,MATCH(A51,Manual_Review!$A$6:$A$238,0))="Fail","Fail: benchmark leakage",IF(INDEX(Manual_Review!$AE$6:$AE$238,MATCH(A51,Manual_Review!$A$6:$A$238,0))="N/A","N/A: nonbenchmark task","Pending task-specific leakage check"))),"Pending task-specific leakage check"))</f>
        <v>N/A: documentation inventory</v>
      </c>
      <c r="AY51" s="5" t="str">
        <f>IF(IF(D51="Unlabeled-13",AND(ABS(MCDM_Settings!$D$14-1)&lt;0.0000001,MIN(MCDM_Settings!$E$6:$E$11)&gt;=0,MCDM_Settings!$E$7=0),AND(ABS(MCDM_Settings!$B$14-1)&lt;0.0000001,MIN(MCDM_Settings!$C$6:$C$11)&gt;=0)),"Valid","Check weights")</f>
        <v>Valid</v>
      </c>
      <c r="AZ51" s="5" t="str">
        <f>IF(AND(COUNTIF(MCDM_Checks!$B$6:$B$3733,A51)=16,COUNTIF(Manual_Review!$A$6:$A$238,A51)=1),"16 keys present","Check key count")</f>
        <v>16 keys present</v>
      </c>
    </row>
    <row r="52" spans="1:52" ht="25.5">
      <c r="A52" s="5" t="s">
        <v>74</v>
      </c>
      <c r="B52" s="5" t="s">
        <v>642</v>
      </c>
      <c r="C52" s="5">
        <v>9</v>
      </c>
      <c r="D52" s="5" t="s">
        <v>118</v>
      </c>
      <c r="E52" s="12">
        <f>IF(OR(AY52&lt;&gt;"Valid",AZ52&lt;&gt;"16 keys present"),"Review settings",20*(IF(ISNUMBER(AC52),AC52*IF($D52="Unlabeled-13",MCDM_Settings!$E$6,MCDM_Settings!$C$6),0)+IF(ISNUMBER(AF52),AF52*IF($D52="Unlabeled-13",MCDM_Settings!$E$7,MCDM_Settings!$C$7),0)+IF(ISNUMBER(AI52),AI52*IF($D52="Unlabeled-13",MCDM_Settings!$E$8,MCDM_Settings!$C$8),0)+IF(ISNUMBER(AL52),AL52*IF($D52="Unlabeled-13",MCDM_Settings!$E$9,MCDM_Settings!$C$9),0)+IF(ISNUMBER(AO52),AO52*IF($D52="Unlabeled-13",MCDM_Settings!$E$10,MCDM_Settings!$C$10),0)+IF(ISNUMBER(AR52),AR52*IF($D52="Unlabeled-13",MCDM_Settings!$E$11,MCDM_Settings!$C$11),0)))</f>
        <v>83.333333333333314</v>
      </c>
      <c r="F52" s="12">
        <f>IF(OR(AY52&lt;&gt;"Valid",AZ52&lt;&gt;"16 keys present"),"Review settings",20*(IF(ISNUMBER(AD52),AD52*IF($D52="Unlabeled-13",MCDM_Settings!$E$6,MCDM_Settings!$C$6),0)+IF(ISNUMBER(AG52),AG52*IF($D52="Unlabeled-13",MCDM_Settings!$E$7,MCDM_Settings!$C$7),0)+IF(ISNUMBER(AJ52),AJ52*IF($D52="Unlabeled-13",MCDM_Settings!$E$8,MCDM_Settings!$C$8),0)+IF(ISNUMBER(AM52),AM52*IF($D52="Unlabeled-13",MCDM_Settings!$E$9,MCDM_Settings!$C$9),0)+IF(ISNUMBER(AP52),AP52*IF($D52="Unlabeled-13",MCDM_Settings!$E$10,MCDM_Settings!$C$10),0)+IF(ISNUMBER(AS52),AS52*IF($D52="Unlabeled-13",MCDM_Settings!$E$11,MCDM_Settings!$C$11),0)))</f>
        <v>99.999999999999986</v>
      </c>
      <c r="G52" s="13">
        <f>IF(OR(AY52&lt;&gt;"Valid",AZ52&lt;&gt;"16 keys present"),"Review settings",1*(IF(ISNUMBER(AE52),AE52*IF($D52="Unlabeled-13",MCDM_Settings!$E$6,MCDM_Settings!$C$6),0)+IF(ISNUMBER(AH52),AH52*IF($D52="Unlabeled-13",MCDM_Settings!$E$7,MCDM_Settings!$C$7),0)+IF(ISNUMBER(AK52),AK52*IF($D52="Unlabeled-13",MCDM_Settings!$E$8,MCDM_Settings!$C$8),0)+IF(ISNUMBER(AN52),AN52*IF($D52="Unlabeled-13",MCDM_Settings!$E$9,MCDM_Settings!$C$9),0)+IF(ISNUMBER(AQ52),AQ52*IF($D52="Unlabeled-13",MCDM_Settings!$E$10,MCDM_Settings!$C$10),0)+IF(ISNUMBER(AT52),AT52*IF($D52="Unlabeled-13",MCDM_Settings!$E$11,MCDM_Settings!$C$11),0)))</f>
        <v>0.83333333333333326</v>
      </c>
      <c r="H52" s="5" t="str">
        <f>INDEX(Manual_Review!$AH$6:$AH$238,MATCH(A52,Manual_Review!$A$6:$A$238,0))</f>
        <v>Not started</v>
      </c>
      <c r="I52" s="5" t="s">
        <v>206</v>
      </c>
      <c r="J52" s="5" t="s">
        <v>79</v>
      </c>
      <c r="K52" s="5" t="str">
        <f>HYPERLINK("https://infopave.fhwa.dot.gov/Data/StandardDataRelease","Dataset")</f>
        <v>Dataset</v>
      </c>
      <c r="L52" s="5" t="str">
        <f>HYPERLINK("#'Manual_Review'!A"&amp;(MATCH("DS-047",Manual_Review!$A$6:$A$238,0)+5),"Enter review")</f>
        <v>Enter review</v>
      </c>
      <c r="M52" s="5" t="str">
        <f>INDEX(MCDM_Checks!$K$6:$K$3733,MATCH(A52&amp;"|"&amp;M$5,MCDM_Checks!$A$6:$A$3733,0))</f>
        <v>Y</v>
      </c>
      <c r="N52" s="5" t="str">
        <f>INDEX(MCDM_Checks!$K$6:$K$3733,MATCH(A52&amp;"|"&amp;N$5,MCDM_Checks!$A$6:$A$3733,0))</f>
        <v>Y</v>
      </c>
      <c r="O52" s="5" t="str">
        <f>INDEX(MCDM_Checks!$K$6:$K$3733,MATCH(A52&amp;"|"&amp;O$5,MCDM_Checks!$A$6:$A$3733,0))</f>
        <v>Y</v>
      </c>
      <c r="P52" s="5" t="str">
        <f>INDEX(MCDM_Checks!$K$6:$K$3733,MATCH(A52&amp;"|"&amp;P$5,MCDM_Checks!$A$6:$A$3733,0))</f>
        <v>Y</v>
      </c>
      <c r="Q52" s="5" t="str">
        <f>INDEX(MCDM_Checks!$K$6:$K$3733,MATCH(A52&amp;"|"&amp;Q$5,MCDM_Checks!$A$6:$A$3733,0))</f>
        <v>Y</v>
      </c>
      <c r="R52" s="5" t="str">
        <f>INDEX(MCDM_Checks!$K$6:$K$3733,MATCH(A52&amp;"|"&amp;R$5,MCDM_Checks!$A$6:$A$3733,0))</f>
        <v>Y</v>
      </c>
      <c r="S52" s="5" t="str">
        <f>INDEX(MCDM_Checks!$K$6:$K$3733,MATCH(A52&amp;"|"&amp;S$5,MCDM_Checks!$A$6:$A$3733,0))</f>
        <v>Y</v>
      </c>
      <c r="T52" s="5" t="str">
        <f>INDEX(MCDM_Checks!$K$6:$K$3733,MATCH(A52&amp;"|"&amp;T$5,MCDM_Checks!$A$6:$A$3733,0))</f>
        <v>Y</v>
      </c>
      <c r="U52" s="5" t="str">
        <f>INDEX(MCDM_Checks!$K$6:$K$3733,MATCH(A52&amp;"|"&amp;U$5,MCDM_Checks!$A$6:$A$3733,0))</f>
        <v>Y</v>
      </c>
      <c r="V52" s="5" t="str">
        <f>INDEX(MCDM_Checks!$K$6:$K$3733,MATCH(A52&amp;"|"&amp;V$5,MCDM_Checks!$A$6:$A$3733,0))</f>
        <v>U</v>
      </c>
      <c r="W52" s="5" t="str">
        <f>INDEX(MCDM_Checks!$K$6:$K$3733,MATCH(A52&amp;"|"&amp;W$5,MCDM_Checks!$A$6:$A$3733,0))</f>
        <v>U</v>
      </c>
      <c r="X52" s="5" t="str">
        <f>INDEX(MCDM_Checks!$K$6:$K$3733,MATCH(A52&amp;"|"&amp;X$5,MCDM_Checks!$A$6:$A$3733,0))</f>
        <v>Y</v>
      </c>
      <c r="Y52" s="5" t="str">
        <f>INDEX(MCDM_Checks!$K$6:$K$3733,MATCH(A52&amp;"|"&amp;Y$5,MCDM_Checks!$A$6:$A$3733,0))</f>
        <v>Y</v>
      </c>
      <c r="Z52" s="5" t="str">
        <f>INDEX(MCDM_Checks!$K$6:$K$3733,MATCH(A52&amp;"|"&amp;Z$5,MCDM_Checks!$A$6:$A$3733,0))</f>
        <v>Y</v>
      </c>
      <c r="AA52" s="5" t="str">
        <f>INDEX(MCDM_Checks!$K$6:$K$3733,MATCH(A52&amp;"|"&amp;AA$5,MCDM_Checks!$A$6:$A$3733,0))</f>
        <v>Y</v>
      </c>
      <c r="AB52" s="5" t="str">
        <f>INDEX(MCDM_Checks!$K$6:$K$3733,MATCH(A52&amp;"|"&amp;AB$5,MCDM_Checks!$A$6:$A$3733,0))</f>
        <v>Y</v>
      </c>
      <c r="AC52" s="12">
        <f>IF(IF($D52="Unlabeled-13",MCDM_Settings!$F$6,MCDM_Settings!$D$6)=0,"n.a.",5*COUNTIF(M52:O52,"Y")/IF($D52="Unlabeled-13",MCDM_Settings!$F$6,MCDM_Settings!$D$6))</f>
        <v>5</v>
      </c>
      <c r="AD52" s="12">
        <f>IF(IF($D52="Unlabeled-13",MCDM_Settings!$F$6,MCDM_Settings!$D$6)=0,"n.a.",5*(COUNTIF(M52:O52,"Y")+COUNTIF(M52:O52,"U")+COUNTIF(M52:O52,"X"))/IF($D52="Unlabeled-13",MCDM_Settings!$F$6,MCDM_Settings!$D$6))</f>
        <v>5</v>
      </c>
      <c r="AE52" s="13">
        <f>IF(IF($D52="Unlabeled-13",MCDM_Settings!$F$6,MCDM_Settings!$D$6)=0,"n.a.",(COUNTIF(M52:O52,"Y")+COUNTIF(M52:O52,"N"))/IF($D52="Unlabeled-13",MCDM_Settings!$F$6,MCDM_Settings!$D$6))</f>
        <v>1</v>
      </c>
      <c r="AF52" s="12">
        <f>IF(IF($D52="Unlabeled-13",MCDM_Settings!$F$7,MCDM_Settings!$D$7)=0,"n.a.",5*COUNTIF(P52:R52,"Y")/IF($D52="Unlabeled-13",MCDM_Settings!$F$7,MCDM_Settings!$D$7))</f>
        <v>5</v>
      </c>
      <c r="AG52" s="12">
        <f>IF(IF($D52="Unlabeled-13",MCDM_Settings!$F$7,MCDM_Settings!$D$7)=0,"n.a.",5*(COUNTIF(P52:R52,"Y")+COUNTIF(P52:R52,"U")+COUNTIF(P52:R52,"X"))/IF($D52="Unlabeled-13",MCDM_Settings!$F$7,MCDM_Settings!$D$7))</f>
        <v>5</v>
      </c>
      <c r="AH52" s="13">
        <f>IF(IF($D52="Unlabeled-13",MCDM_Settings!$F$7,MCDM_Settings!$D$7)=0,"n.a.",(COUNTIF(P52:R52,"Y")+COUNTIF(P52:R52,"N"))/IF($D52="Unlabeled-13",MCDM_Settings!$F$7,MCDM_Settings!$D$7))</f>
        <v>1</v>
      </c>
      <c r="AI52" s="12">
        <f>IF(IF($D52="Unlabeled-13",MCDM_Settings!$F$8,MCDM_Settings!$D$8)=0,"n.a.",5*COUNTIF(S52:U52,"Y")/IF($D52="Unlabeled-13",MCDM_Settings!$F$8,MCDM_Settings!$D$8))</f>
        <v>5</v>
      </c>
      <c r="AJ52" s="12">
        <f>IF(IF($D52="Unlabeled-13",MCDM_Settings!$F$8,MCDM_Settings!$D$8)=0,"n.a.",5*(COUNTIF(S52:U52,"Y")+COUNTIF(S52:U52,"U")+COUNTIF(S52:U52,"X"))/IF($D52="Unlabeled-13",MCDM_Settings!$F$8,MCDM_Settings!$D$8))</f>
        <v>5</v>
      </c>
      <c r="AK52" s="13">
        <f>IF(IF($D52="Unlabeled-13",MCDM_Settings!$F$8,MCDM_Settings!$D$8)=0,"n.a.",(COUNTIF(S52:U52,"Y")+COUNTIF(S52:U52,"N"))/IF($D52="Unlabeled-13",MCDM_Settings!$F$8,MCDM_Settings!$D$8))</f>
        <v>1</v>
      </c>
      <c r="AL52" s="12">
        <f>IF(IF($D52="Unlabeled-13",MCDM_Settings!$F$9,MCDM_Settings!$D$9)=0,"n.a.",5*COUNTIF(V52:W52,"Y")/IF($D52="Unlabeled-13",MCDM_Settings!$F$9,MCDM_Settings!$D$9))</f>
        <v>0</v>
      </c>
      <c r="AM52" s="12">
        <f>IF(IF($D52="Unlabeled-13",MCDM_Settings!$F$9,MCDM_Settings!$D$9)=0,"n.a.",5*(COUNTIF(V52:W52,"Y")+COUNTIF(V52:W52,"U")+COUNTIF(V52:W52,"X"))/IF($D52="Unlabeled-13",MCDM_Settings!$F$9,MCDM_Settings!$D$9))</f>
        <v>5</v>
      </c>
      <c r="AN52" s="13">
        <f>IF(IF($D52="Unlabeled-13",MCDM_Settings!$F$9,MCDM_Settings!$D$9)=0,"n.a.",(COUNTIF(V52:W52,"Y")+COUNTIF(V52:W52,"N"))/IF($D52="Unlabeled-13",MCDM_Settings!$F$9,MCDM_Settings!$D$9))</f>
        <v>0</v>
      </c>
      <c r="AO52" s="12">
        <f>IF(IF($D52="Unlabeled-13",MCDM_Settings!$F$10,MCDM_Settings!$D$10)=0,"n.a.",5*COUNTIF(X52:Y52,"Y")/IF($D52="Unlabeled-13",MCDM_Settings!$F$10,MCDM_Settings!$D$10))</f>
        <v>5</v>
      </c>
      <c r="AP52" s="12">
        <f>IF(IF($D52="Unlabeled-13",MCDM_Settings!$F$10,MCDM_Settings!$D$10)=0,"n.a.",5*(COUNTIF(X52:Y52,"Y")+COUNTIF(X52:Y52,"U")+COUNTIF(X52:Y52,"X"))/IF($D52="Unlabeled-13",MCDM_Settings!$F$10,MCDM_Settings!$D$10))</f>
        <v>5</v>
      </c>
      <c r="AQ52" s="13">
        <f>IF(IF($D52="Unlabeled-13",MCDM_Settings!$F$10,MCDM_Settings!$D$10)=0,"n.a.",(COUNTIF(X52:Y52,"Y")+COUNTIF(X52:Y52,"N"))/IF($D52="Unlabeled-13",MCDM_Settings!$F$10,MCDM_Settings!$D$10))</f>
        <v>1</v>
      </c>
      <c r="AR52" s="12">
        <f>IF(IF($D52="Unlabeled-13",MCDM_Settings!$F$11,MCDM_Settings!$D$11)=0,"n.a.",5*COUNTIF(Z52:AB52,"Y")/IF($D52="Unlabeled-13",MCDM_Settings!$F$11,MCDM_Settings!$D$11))</f>
        <v>5</v>
      </c>
      <c r="AS52" s="12">
        <f>IF(IF($D52="Unlabeled-13",MCDM_Settings!$F$11,MCDM_Settings!$D$11)=0,"n.a.",5*(COUNTIF(Z52:AB52,"Y")+COUNTIF(Z52:AB52,"U")+COUNTIF(Z52:AB52,"X"))/IF($D52="Unlabeled-13",MCDM_Settings!$F$11,MCDM_Settings!$D$11))</f>
        <v>5</v>
      </c>
      <c r="AT52" s="13">
        <f>IF(IF($D52="Unlabeled-13",MCDM_Settings!$F$11,MCDM_Settings!$D$11)=0,"n.a.",(COUNTIF(Z52:AB52,"Y")+COUNTIF(Z52:AB52,"N"))/IF($D52="Unlabeled-13",MCDM_Settings!$F$11,MCDM_Settings!$D$11))</f>
        <v>1</v>
      </c>
      <c r="AU52" s="5" t="str">
        <f>IF(AND(INDEX(Manual_Review!$G$6:$G$238,MATCH(A52,Manual_Review!$A$6:$A$238,0))&lt;&gt;"",ISNUMBER(INDEX(Manual_Review!$H$6:$H$238,MATCH(A52,Manual_Review!$A$6:$A$238,0))),INDEX(Manual_Review!$H$6:$H$238,MATCH(A52,Manual_Review!$A$6:$A$238,0))&gt;0,INDEX(Manual_Review!$I$6:$I$238,MATCH(A52,Manual_Review!$A$6:$A$238,0))="Confirmed",INDEX(Manual_Review!$AF$6:$AF$238,MATCH(A52,Manual_Review!$A$6:$A$238,0))&lt;&gt;""),IF(INDEX(Manual_Review!$AA$6:$AA$238,MATCH(A52,Manual_Review!$A$6:$A$238,0))="Pass","Pass",IF(INDEX(Manual_Review!$AA$6:$AA$238,MATCH(A52,Manual_Review!$A$6:$A$238,0))="Fail","Fail","Pending")),"Pending human identity confirmation")</f>
        <v>Pending human identity confirmation</v>
      </c>
      <c r="AV52" s="5" t="str">
        <f>IF(AND(AND(INDEX(Manual_Review!$G$6:$G$238,MATCH(A52,Manual_Review!$A$6:$A$238,0))&lt;&gt;"",ISNUMBER(INDEX(Manual_Review!$H$6:$H$238,MATCH(A52,Manual_Review!$A$6:$A$238,0))),INDEX(Manual_Review!$H$6:$H$238,MATCH(A52,Manual_Review!$A$6:$A$238,0))&gt;0,INDEX(Manual_Review!$I$6:$I$238,MATCH(A52,Manual_Review!$A$6:$A$238,0))="Confirmed",INDEX(Manual_Review!$AF$6:$AF$238,MATCH(A52,Manual_Review!$A$6:$A$238,0))&lt;&gt;""),INDEX(Manual_Review!$AG$6:$AG$238,MATCH(A52,Manual_Review!$A$6:$A$238,0))&lt;&gt;""),IF(INDEX(Manual_Review!$AB$6:$AB$238,MATCH(A52,Manual_Review!$A$6:$A$238,0))="Pass","Pass",IF(INDEX(Manual_Review!$AB$6:$AB$238,MATCH(A52,Manual_Review!$A$6:$A$238,0))="Fail","Fail","Pending")),"Not assessed: define intended task")</f>
        <v>Not assessed: define intended task</v>
      </c>
      <c r="AW52" s="5" t="str">
        <f>IF(AND(AND(INDEX(Manual_Review!$G$6:$G$238,MATCH(A52,Manual_Review!$A$6:$A$238,0))&lt;&gt;"",ISNUMBER(INDEX(Manual_Review!$H$6:$H$238,MATCH(A52,Manual_Review!$A$6:$A$238,0))),INDEX(Manual_Review!$H$6:$H$238,MATCH(A52,Manual_Review!$A$6:$A$238,0))&gt;0,INDEX(Manual_Review!$I$6:$I$238,MATCH(A52,Manual_Review!$A$6:$A$238,0))="Confirmed",INDEX(Manual_Review!$AF$6:$AF$238,MATCH(A52,Manual_Review!$A$6:$A$238,0))&lt;&gt;""),INDEX(Manual_Review!$AG$6:$AG$238,MATCH(A52,Manual_Review!$A$6:$A$238,0))&lt;&gt;""),IF(OR(INDEX(Manual_Review!$AC$6:$AC$238,MATCH(A52,Manual_Review!$A$6:$A$238,0))="Fail",INDEX(Manual_Review!$AD$6:$AD$238,MATCH(A52,Manual_Review!$A$6:$A$238,0))="Fail"),"Fail: rights or retrieval",IF(AND(INDEX(Manual_Review!$AC$6:$AC$238,MATCH(A52,Manual_Review!$A$6:$A$238,0))="Pass",INDEX(Manual_Review!$AD$6:$AD$238,MATCH(A52,Manual_Review!$A$6:$A$238,0))="Pass"),"Pass","Pending rights and retrieval")),"Pending rights and retrieval")</f>
        <v>Pending rights and retrieval</v>
      </c>
      <c r="AX52" s="5" t="str">
        <f>IF(INDEX(Manual_Review!$AG$6:$AG$238,MATCH(A52,Manual_Review!$A$6:$A$238,0))="","N/A: documentation inventory",IF(AND(INDEX(Manual_Review!$G$6:$G$238,MATCH(A52,Manual_Review!$A$6:$A$238,0))&lt;&gt;"",ISNUMBER(INDEX(Manual_Review!$H$6:$H$238,MATCH(A52,Manual_Review!$A$6:$A$238,0))),INDEX(Manual_Review!$H$6:$H$238,MATCH(A52,Manual_Review!$A$6:$A$238,0))&gt;0,INDEX(Manual_Review!$I$6:$I$238,MATCH(A52,Manual_Review!$A$6:$A$238,0))="Confirmed",INDEX(Manual_Review!$AF$6:$AF$238,MATCH(A52,Manual_Review!$A$6:$A$238,0))&lt;&gt;""),IF(INDEX(Manual_Review!$AE$6:$AE$238,MATCH(A52,Manual_Review!$A$6:$A$238,0))="Pass","Pass",IF(INDEX(Manual_Review!$AE$6:$AE$238,MATCH(A52,Manual_Review!$A$6:$A$238,0))="Fail","Fail: benchmark leakage",IF(INDEX(Manual_Review!$AE$6:$AE$238,MATCH(A52,Manual_Review!$A$6:$A$238,0))="N/A","N/A: nonbenchmark task","Pending task-specific leakage check"))),"Pending task-specific leakage check"))</f>
        <v>N/A: documentation inventory</v>
      </c>
      <c r="AY52" s="5" t="str">
        <f>IF(IF(D52="Unlabeled-13",AND(ABS(MCDM_Settings!$D$14-1)&lt;0.0000001,MIN(MCDM_Settings!$E$6:$E$11)&gt;=0,MCDM_Settings!$E$7=0),AND(ABS(MCDM_Settings!$B$14-1)&lt;0.0000001,MIN(MCDM_Settings!$C$6:$C$11)&gt;=0)),"Valid","Check weights")</f>
        <v>Valid</v>
      </c>
      <c r="AZ52" s="5" t="str">
        <f>IF(AND(COUNTIF(MCDM_Checks!$B$6:$B$3733,A52)=16,COUNTIF(Manual_Review!$A$6:$A$238,A52)=1),"16 keys present","Check key count")</f>
        <v>16 keys present</v>
      </c>
    </row>
    <row r="53" spans="1:52" ht="25.5">
      <c r="A53" s="5" t="s">
        <v>653</v>
      </c>
      <c r="B53" s="5" t="s">
        <v>654</v>
      </c>
      <c r="C53" s="5"/>
      <c r="D53" s="5" t="s">
        <v>118</v>
      </c>
      <c r="E53" s="12">
        <f>IF(OR(AY53&lt;&gt;"Valid",AZ53&lt;&gt;"16 keys present"),"Review settings",20*(IF(ISNUMBER(AC53),AC53*IF($D53="Unlabeled-13",MCDM_Settings!$E$6,MCDM_Settings!$C$6),0)+IF(ISNUMBER(AF53),AF53*IF($D53="Unlabeled-13",MCDM_Settings!$E$7,MCDM_Settings!$C$7),0)+IF(ISNUMBER(AI53),AI53*IF($D53="Unlabeled-13",MCDM_Settings!$E$8,MCDM_Settings!$C$8),0)+IF(ISNUMBER(AL53),AL53*IF($D53="Unlabeled-13",MCDM_Settings!$E$9,MCDM_Settings!$C$9),0)+IF(ISNUMBER(AO53),AO53*IF($D53="Unlabeled-13",MCDM_Settings!$E$10,MCDM_Settings!$C$10),0)+IF(ISNUMBER(AR53),AR53*IF($D53="Unlabeled-13",MCDM_Settings!$E$11,MCDM_Settings!$C$11),0)))</f>
        <v>0</v>
      </c>
      <c r="F53" s="12">
        <f>IF(OR(AY53&lt;&gt;"Valid",AZ53&lt;&gt;"16 keys present"),"Review settings",20*(IF(ISNUMBER(AD53),AD53*IF($D53="Unlabeled-13",MCDM_Settings!$E$6,MCDM_Settings!$C$6),0)+IF(ISNUMBER(AG53),AG53*IF($D53="Unlabeled-13",MCDM_Settings!$E$7,MCDM_Settings!$C$7),0)+IF(ISNUMBER(AJ53),AJ53*IF($D53="Unlabeled-13",MCDM_Settings!$E$8,MCDM_Settings!$C$8),0)+IF(ISNUMBER(AM53),AM53*IF($D53="Unlabeled-13",MCDM_Settings!$E$9,MCDM_Settings!$C$9),0)+IF(ISNUMBER(AP53),AP53*IF($D53="Unlabeled-13",MCDM_Settings!$E$10,MCDM_Settings!$C$10),0)+IF(ISNUMBER(AS53),AS53*IF($D53="Unlabeled-13",MCDM_Settings!$E$11,MCDM_Settings!$C$11),0)))</f>
        <v>99.999999999999986</v>
      </c>
      <c r="G53" s="13">
        <f>IF(OR(AY53&lt;&gt;"Valid",AZ53&lt;&gt;"16 keys present"),"Review settings",1*(IF(ISNUMBER(AE53),AE53*IF($D53="Unlabeled-13",MCDM_Settings!$E$6,MCDM_Settings!$C$6),0)+IF(ISNUMBER(AH53),AH53*IF($D53="Unlabeled-13",MCDM_Settings!$E$7,MCDM_Settings!$C$7),0)+IF(ISNUMBER(AK53),AK53*IF($D53="Unlabeled-13",MCDM_Settings!$E$8,MCDM_Settings!$C$8),0)+IF(ISNUMBER(AN53),AN53*IF($D53="Unlabeled-13",MCDM_Settings!$E$9,MCDM_Settings!$C$9),0)+IF(ISNUMBER(AQ53),AQ53*IF($D53="Unlabeled-13",MCDM_Settings!$E$10,MCDM_Settings!$C$10),0)+IF(ISNUMBER(AT53),AT53*IF($D53="Unlabeled-13",MCDM_Settings!$E$11,MCDM_Settings!$C$11),0)))</f>
        <v>0</v>
      </c>
      <c r="H53" s="5" t="str">
        <f>INDEX(Manual_Review!$AH$6:$AH$238,MATCH(A53,Manual_Review!$A$6:$A$238,0))</f>
        <v>Not started</v>
      </c>
      <c r="I53" s="5" t="s">
        <v>128</v>
      </c>
      <c r="J53" s="5" t="s">
        <v>655</v>
      </c>
      <c r="K53" s="5" t="str">
        <f>HYPERLINK("https://infopave.fhwa.dot.gov/?Goto=NON-LTPP","Dataset")</f>
        <v>Dataset</v>
      </c>
      <c r="L53" s="5" t="str">
        <f>HYPERLINK("#'Manual_Review'!A"&amp;(MATCH("DS-048",Manual_Review!$A$6:$A$238,0)+5),"Enter review")</f>
        <v>Enter review</v>
      </c>
      <c r="M53" s="5" t="str">
        <f>INDEX(MCDM_Checks!$K$6:$K$3733,MATCH(A53&amp;"|"&amp;M$5,MCDM_Checks!$A$6:$A$3733,0))</f>
        <v>U</v>
      </c>
      <c r="N53" s="5" t="str">
        <f>INDEX(MCDM_Checks!$K$6:$K$3733,MATCH(A53&amp;"|"&amp;N$5,MCDM_Checks!$A$6:$A$3733,0))</f>
        <v>U</v>
      </c>
      <c r="O53" s="5" t="str">
        <f>INDEX(MCDM_Checks!$K$6:$K$3733,MATCH(A53&amp;"|"&amp;O$5,MCDM_Checks!$A$6:$A$3733,0))</f>
        <v>U</v>
      </c>
      <c r="P53" s="5" t="str">
        <f>INDEX(MCDM_Checks!$K$6:$K$3733,MATCH(A53&amp;"|"&amp;P$5,MCDM_Checks!$A$6:$A$3733,0))</f>
        <v>U</v>
      </c>
      <c r="Q53" s="5" t="str">
        <f>INDEX(MCDM_Checks!$K$6:$K$3733,MATCH(A53&amp;"|"&amp;Q$5,MCDM_Checks!$A$6:$A$3733,0))</f>
        <v>U</v>
      </c>
      <c r="R53" s="5" t="str">
        <f>INDEX(MCDM_Checks!$K$6:$K$3733,MATCH(A53&amp;"|"&amp;R$5,MCDM_Checks!$A$6:$A$3733,0))</f>
        <v>U</v>
      </c>
      <c r="S53" s="5" t="str">
        <f>INDEX(MCDM_Checks!$K$6:$K$3733,MATCH(A53&amp;"|"&amp;S$5,MCDM_Checks!$A$6:$A$3733,0))</f>
        <v>U</v>
      </c>
      <c r="T53" s="5" t="str">
        <f>INDEX(MCDM_Checks!$K$6:$K$3733,MATCH(A53&amp;"|"&amp;T$5,MCDM_Checks!$A$6:$A$3733,0))</f>
        <v>U</v>
      </c>
      <c r="U53" s="5" t="str">
        <f>INDEX(MCDM_Checks!$K$6:$K$3733,MATCH(A53&amp;"|"&amp;U$5,MCDM_Checks!$A$6:$A$3733,0))</f>
        <v>U</v>
      </c>
      <c r="V53" s="5" t="str">
        <f>INDEX(MCDM_Checks!$K$6:$K$3733,MATCH(A53&amp;"|"&amp;V$5,MCDM_Checks!$A$6:$A$3733,0))</f>
        <v>U</v>
      </c>
      <c r="W53" s="5" t="str">
        <f>INDEX(MCDM_Checks!$K$6:$K$3733,MATCH(A53&amp;"|"&amp;W$5,MCDM_Checks!$A$6:$A$3733,0))</f>
        <v>U</v>
      </c>
      <c r="X53" s="5" t="str">
        <f>INDEX(MCDM_Checks!$K$6:$K$3733,MATCH(A53&amp;"|"&amp;X$5,MCDM_Checks!$A$6:$A$3733,0))</f>
        <v>U</v>
      </c>
      <c r="Y53" s="5" t="str">
        <f>INDEX(MCDM_Checks!$K$6:$K$3733,MATCH(A53&amp;"|"&amp;Y$5,MCDM_Checks!$A$6:$A$3733,0))</f>
        <v>U</v>
      </c>
      <c r="Z53" s="5" t="str">
        <f>INDEX(MCDM_Checks!$K$6:$K$3733,MATCH(A53&amp;"|"&amp;Z$5,MCDM_Checks!$A$6:$A$3733,0))</f>
        <v>U</v>
      </c>
      <c r="AA53" s="5" t="str">
        <f>INDEX(MCDM_Checks!$K$6:$K$3733,MATCH(A53&amp;"|"&amp;AA$5,MCDM_Checks!$A$6:$A$3733,0))</f>
        <v>U</v>
      </c>
      <c r="AB53" s="5" t="str">
        <f>INDEX(MCDM_Checks!$K$6:$K$3733,MATCH(A53&amp;"|"&amp;AB$5,MCDM_Checks!$A$6:$A$3733,0))</f>
        <v>U</v>
      </c>
      <c r="AC53" s="12">
        <f>IF(IF($D53="Unlabeled-13",MCDM_Settings!$F$6,MCDM_Settings!$D$6)=0,"n.a.",5*COUNTIF(M53:O53,"Y")/IF($D53="Unlabeled-13",MCDM_Settings!$F$6,MCDM_Settings!$D$6))</f>
        <v>0</v>
      </c>
      <c r="AD53" s="12">
        <f>IF(IF($D53="Unlabeled-13",MCDM_Settings!$F$6,MCDM_Settings!$D$6)=0,"n.a.",5*(COUNTIF(M53:O53,"Y")+COUNTIF(M53:O53,"U")+COUNTIF(M53:O53,"X"))/IF($D53="Unlabeled-13",MCDM_Settings!$F$6,MCDM_Settings!$D$6))</f>
        <v>5</v>
      </c>
      <c r="AE53" s="13">
        <f>IF(IF($D53="Unlabeled-13",MCDM_Settings!$F$6,MCDM_Settings!$D$6)=0,"n.a.",(COUNTIF(M53:O53,"Y")+COUNTIF(M53:O53,"N"))/IF($D53="Unlabeled-13",MCDM_Settings!$F$6,MCDM_Settings!$D$6))</f>
        <v>0</v>
      </c>
      <c r="AF53" s="12">
        <f>IF(IF($D53="Unlabeled-13",MCDM_Settings!$F$7,MCDM_Settings!$D$7)=0,"n.a.",5*COUNTIF(P53:R53,"Y")/IF($D53="Unlabeled-13",MCDM_Settings!$F$7,MCDM_Settings!$D$7))</f>
        <v>0</v>
      </c>
      <c r="AG53" s="12">
        <f>IF(IF($D53="Unlabeled-13",MCDM_Settings!$F$7,MCDM_Settings!$D$7)=0,"n.a.",5*(COUNTIF(P53:R53,"Y")+COUNTIF(P53:R53,"U")+COUNTIF(P53:R53,"X"))/IF($D53="Unlabeled-13",MCDM_Settings!$F$7,MCDM_Settings!$D$7))</f>
        <v>5</v>
      </c>
      <c r="AH53" s="13">
        <f>IF(IF($D53="Unlabeled-13",MCDM_Settings!$F$7,MCDM_Settings!$D$7)=0,"n.a.",(COUNTIF(P53:R53,"Y")+COUNTIF(P53:R53,"N"))/IF($D53="Unlabeled-13",MCDM_Settings!$F$7,MCDM_Settings!$D$7))</f>
        <v>0</v>
      </c>
      <c r="AI53" s="12">
        <f>IF(IF($D53="Unlabeled-13",MCDM_Settings!$F$8,MCDM_Settings!$D$8)=0,"n.a.",5*COUNTIF(S53:U53,"Y")/IF($D53="Unlabeled-13",MCDM_Settings!$F$8,MCDM_Settings!$D$8))</f>
        <v>0</v>
      </c>
      <c r="AJ53" s="12">
        <f>IF(IF($D53="Unlabeled-13",MCDM_Settings!$F$8,MCDM_Settings!$D$8)=0,"n.a.",5*(COUNTIF(S53:U53,"Y")+COUNTIF(S53:U53,"U")+COUNTIF(S53:U53,"X"))/IF($D53="Unlabeled-13",MCDM_Settings!$F$8,MCDM_Settings!$D$8))</f>
        <v>5</v>
      </c>
      <c r="AK53" s="13">
        <f>IF(IF($D53="Unlabeled-13",MCDM_Settings!$F$8,MCDM_Settings!$D$8)=0,"n.a.",(COUNTIF(S53:U53,"Y")+COUNTIF(S53:U53,"N"))/IF($D53="Unlabeled-13",MCDM_Settings!$F$8,MCDM_Settings!$D$8))</f>
        <v>0</v>
      </c>
      <c r="AL53" s="12">
        <f>IF(IF($D53="Unlabeled-13",MCDM_Settings!$F$9,MCDM_Settings!$D$9)=0,"n.a.",5*COUNTIF(V53:W53,"Y")/IF($D53="Unlabeled-13",MCDM_Settings!$F$9,MCDM_Settings!$D$9))</f>
        <v>0</v>
      </c>
      <c r="AM53" s="12">
        <f>IF(IF($D53="Unlabeled-13",MCDM_Settings!$F$9,MCDM_Settings!$D$9)=0,"n.a.",5*(COUNTIF(V53:W53,"Y")+COUNTIF(V53:W53,"U")+COUNTIF(V53:W53,"X"))/IF($D53="Unlabeled-13",MCDM_Settings!$F$9,MCDM_Settings!$D$9))</f>
        <v>5</v>
      </c>
      <c r="AN53" s="13">
        <f>IF(IF($D53="Unlabeled-13",MCDM_Settings!$F$9,MCDM_Settings!$D$9)=0,"n.a.",(COUNTIF(V53:W53,"Y")+COUNTIF(V53:W53,"N"))/IF($D53="Unlabeled-13",MCDM_Settings!$F$9,MCDM_Settings!$D$9))</f>
        <v>0</v>
      </c>
      <c r="AO53" s="12">
        <f>IF(IF($D53="Unlabeled-13",MCDM_Settings!$F$10,MCDM_Settings!$D$10)=0,"n.a.",5*COUNTIF(X53:Y53,"Y")/IF($D53="Unlabeled-13",MCDM_Settings!$F$10,MCDM_Settings!$D$10))</f>
        <v>0</v>
      </c>
      <c r="AP53" s="12">
        <f>IF(IF($D53="Unlabeled-13",MCDM_Settings!$F$10,MCDM_Settings!$D$10)=0,"n.a.",5*(COUNTIF(X53:Y53,"Y")+COUNTIF(X53:Y53,"U")+COUNTIF(X53:Y53,"X"))/IF($D53="Unlabeled-13",MCDM_Settings!$F$10,MCDM_Settings!$D$10))</f>
        <v>5</v>
      </c>
      <c r="AQ53" s="13">
        <f>IF(IF($D53="Unlabeled-13",MCDM_Settings!$F$10,MCDM_Settings!$D$10)=0,"n.a.",(COUNTIF(X53:Y53,"Y")+COUNTIF(X53:Y53,"N"))/IF($D53="Unlabeled-13",MCDM_Settings!$F$10,MCDM_Settings!$D$10))</f>
        <v>0</v>
      </c>
      <c r="AR53" s="12">
        <f>IF(IF($D53="Unlabeled-13",MCDM_Settings!$F$11,MCDM_Settings!$D$11)=0,"n.a.",5*COUNTIF(Z53:AB53,"Y")/IF($D53="Unlabeled-13",MCDM_Settings!$F$11,MCDM_Settings!$D$11))</f>
        <v>0</v>
      </c>
      <c r="AS53" s="12">
        <f>IF(IF($D53="Unlabeled-13",MCDM_Settings!$F$11,MCDM_Settings!$D$11)=0,"n.a.",5*(COUNTIF(Z53:AB53,"Y")+COUNTIF(Z53:AB53,"U")+COUNTIF(Z53:AB53,"X"))/IF($D53="Unlabeled-13",MCDM_Settings!$F$11,MCDM_Settings!$D$11))</f>
        <v>5</v>
      </c>
      <c r="AT53" s="13">
        <f>IF(IF($D53="Unlabeled-13",MCDM_Settings!$F$11,MCDM_Settings!$D$11)=0,"n.a.",(COUNTIF(Z53:AB53,"Y")+COUNTIF(Z53:AB53,"N"))/IF($D53="Unlabeled-13",MCDM_Settings!$F$11,MCDM_Settings!$D$11))</f>
        <v>0</v>
      </c>
      <c r="AU53" s="5" t="str">
        <f>IF(AND(INDEX(Manual_Review!$G$6:$G$238,MATCH(A53,Manual_Review!$A$6:$A$238,0))&lt;&gt;"",ISNUMBER(INDEX(Manual_Review!$H$6:$H$238,MATCH(A53,Manual_Review!$A$6:$A$238,0))),INDEX(Manual_Review!$H$6:$H$238,MATCH(A53,Manual_Review!$A$6:$A$238,0))&gt;0,INDEX(Manual_Review!$I$6:$I$238,MATCH(A53,Manual_Review!$A$6:$A$238,0))="Confirmed",INDEX(Manual_Review!$AF$6:$AF$238,MATCH(A53,Manual_Review!$A$6:$A$238,0))&lt;&gt;""),IF(INDEX(Manual_Review!$AA$6:$AA$238,MATCH(A53,Manual_Review!$A$6:$A$238,0))="Pass","Pass",IF(INDEX(Manual_Review!$AA$6:$AA$238,MATCH(A53,Manual_Review!$A$6:$A$238,0))="Fail","Fail","Pending")),"Pending human identity confirmation")</f>
        <v>Pending human identity confirmation</v>
      </c>
      <c r="AV53" s="5" t="str">
        <f>IF(AND(AND(INDEX(Manual_Review!$G$6:$G$238,MATCH(A53,Manual_Review!$A$6:$A$238,0))&lt;&gt;"",ISNUMBER(INDEX(Manual_Review!$H$6:$H$238,MATCH(A53,Manual_Review!$A$6:$A$238,0))),INDEX(Manual_Review!$H$6:$H$238,MATCH(A53,Manual_Review!$A$6:$A$238,0))&gt;0,INDEX(Manual_Review!$I$6:$I$238,MATCH(A53,Manual_Review!$A$6:$A$238,0))="Confirmed",INDEX(Manual_Review!$AF$6:$AF$238,MATCH(A53,Manual_Review!$A$6:$A$238,0))&lt;&gt;""),INDEX(Manual_Review!$AG$6:$AG$238,MATCH(A53,Manual_Review!$A$6:$A$238,0))&lt;&gt;""),IF(INDEX(Manual_Review!$AB$6:$AB$238,MATCH(A53,Manual_Review!$A$6:$A$238,0))="Pass","Pass",IF(INDEX(Manual_Review!$AB$6:$AB$238,MATCH(A53,Manual_Review!$A$6:$A$238,0))="Fail","Fail","Pending")),"Not assessed: define intended task")</f>
        <v>Not assessed: define intended task</v>
      </c>
      <c r="AW53" s="5" t="str">
        <f>IF(AND(AND(INDEX(Manual_Review!$G$6:$G$238,MATCH(A53,Manual_Review!$A$6:$A$238,0))&lt;&gt;"",ISNUMBER(INDEX(Manual_Review!$H$6:$H$238,MATCH(A53,Manual_Review!$A$6:$A$238,0))),INDEX(Manual_Review!$H$6:$H$238,MATCH(A53,Manual_Review!$A$6:$A$238,0))&gt;0,INDEX(Manual_Review!$I$6:$I$238,MATCH(A53,Manual_Review!$A$6:$A$238,0))="Confirmed",INDEX(Manual_Review!$AF$6:$AF$238,MATCH(A53,Manual_Review!$A$6:$A$238,0))&lt;&gt;""),INDEX(Manual_Review!$AG$6:$AG$238,MATCH(A53,Manual_Review!$A$6:$A$238,0))&lt;&gt;""),IF(OR(INDEX(Manual_Review!$AC$6:$AC$238,MATCH(A53,Manual_Review!$A$6:$A$238,0))="Fail",INDEX(Manual_Review!$AD$6:$AD$238,MATCH(A53,Manual_Review!$A$6:$A$238,0))="Fail"),"Fail: rights or retrieval",IF(AND(INDEX(Manual_Review!$AC$6:$AC$238,MATCH(A53,Manual_Review!$A$6:$A$238,0))="Pass",INDEX(Manual_Review!$AD$6:$AD$238,MATCH(A53,Manual_Review!$A$6:$A$238,0))="Pass"),"Pass","Pending rights and retrieval")),"Pending rights and retrieval")</f>
        <v>Pending rights and retrieval</v>
      </c>
      <c r="AX53" s="5" t="str">
        <f>IF(INDEX(Manual_Review!$AG$6:$AG$238,MATCH(A53,Manual_Review!$A$6:$A$238,0))="","N/A: documentation inventory",IF(AND(INDEX(Manual_Review!$G$6:$G$238,MATCH(A53,Manual_Review!$A$6:$A$238,0))&lt;&gt;"",ISNUMBER(INDEX(Manual_Review!$H$6:$H$238,MATCH(A53,Manual_Review!$A$6:$A$238,0))),INDEX(Manual_Review!$H$6:$H$238,MATCH(A53,Manual_Review!$A$6:$A$238,0))&gt;0,INDEX(Manual_Review!$I$6:$I$238,MATCH(A53,Manual_Review!$A$6:$A$238,0))="Confirmed",INDEX(Manual_Review!$AF$6:$AF$238,MATCH(A53,Manual_Review!$A$6:$A$238,0))&lt;&gt;""),IF(INDEX(Manual_Review!$AE$6:$AE$238,MATCH(A53,Manual_Review!$A$6:$A$238,0))="Pass","Pass",IF(INDEX(Manual_Review!$AE$6:$AE$238,MATCH(A53,Manual_Review!$A$6:$A$238,0))="Fail","Fail: benchmark leakage",IF(INDEX(Manual_Review!$AE$6:$AE$238,MATCH(A53,Manual_Review!$A$6:$A$238,0))="N/A","N/A: nonbenchmark task","Pending task-specific leakage check"))),"Pending task-specific leakage check"))</f>
        <v>N/A: documentation inventory</v>
      </c>
      <c r="AY53" s="5" t="str">
        <f>IF(IF(D53="Unlabeled-13",AND(ABS(MCDM_Settings!$D$14-1)&lt;0.0000001,MIN(MCDM_Settings!$E$6:$E$11)&gt;=0,MCDM_Settings!$E$7=0),AND(ABS(MCDM_Settings!$B$14-1)&lt;0.0000001,MIN(MCDM_Settings!$C$6:$C$11)&gt;=0)),"Valid","Check weights")</f>
        <v>Valid</v>
      </c>
      <c r="AZ53" s="5" t="str">
        <f>IF(AND(COUNTIF(MCDM_Checks!$B$6:$B$3733,A53)=16,COUNTIF(Manual_Review!$A$6:$A$238,A53)=1),"16 keys present","Check key count")</f>
        <v>16 keys present</v>
      </c>
    </row>
    <row r="54" spans="1:52" ht="25.5">
      <c r="A54" s="5" t="s">
        <v>662</v>
      </c>
      <c r="B54" s="5" t="s">
        <v>663</v>
      </c>
      <c r="C54" s="5"/>
      <c r="D54" s="5" t="s">
        <v>118</v>
      </c>
      <c r="E54" s="12">
        <f>IF(OR(AY54&lt;&gt;"Valid",AZ54&lt;&gt;"16 keys present"),"Review settings",20*(IF(ISNUMBER(AC54),AC54*IF($D54="Unlabeled-13",MCDM_Settings!$E$6,MCDM_Settings!$C$6),0)+IF(ISNUMBER(AF54),AF54*IF($D54="Unlabeled-13",MCDM_Settings!$E$7,MCDM_Settings!$C$7),0)+IF(ISNUMBER(AI54),AI54*IF($D54="Unlabeled-13",MCDM_Settings!$E$8,MCDM_Settings!$C$8),0)+IF(ISNUMBER(AL54),AL54*IF($D54="Unlabeled-13",MCDM_Settings!$E$9,MCDM_Settings!$C$9),0)+IF(ISNUMBER(AO54),AO54*IF($D54="Unlabeled-13",MCDM_Settings!$E$10,MCDM_Settings!$C$10),0)+IF(ISNUMBER(AR54),AR54*IF($D54="Unlabeled-13",MCDM_Settings!$E$11,MCDM_Settings!$C$11),0)))</f>
        <v>55.555555555555557</v>
      </c>
      <c r="F54" s="12">
        <f>IF(OR(AY54&lt;&gt;"Valid",AZ54&lt;&gt;"16 keys present"),"Review settings",20*(IF(ISNUMBER(AD54),AD54*IF($D54="Unlabeled-13",MCDM_Settings!$E$6,MCDM_Settings!$C$6),0)+IF(ISNUMBER(AG54),AG54*IF($D54="Unlabeled-13",MCDM_Settings!$E$7,MCDM_Settings!$C$7),0)+IF(ISNUMBER(AJ54),AJ54*IF($D54="Unlabeled-13",MCDM_Settings!$E$8,MCDM_Settings!$C$8),0)+IF(ISNUMBER(AM54),AM54*IF($D54="Unlabeled-13",MCDM_Settings!$E$9,MCDM_Settings!$C$9),0)+IF(ISNUMBER(AP54),AP54*IF($D54="Unlabeled-13",MCDM_Settings!$E$10,MCDM_Settings!$C$10),0)+IF(ISNUMBER(AS54),AS54*IF($D54="Unlabeled-13",MCDM_Settings!$E$11,MCDM_Settings!$C$11),0)))</f>
        <v>99.999999999999986</v>
      </c>
      <c r="G54" s="13">
        <f>IF(OR(AY54&lt;&gt;"Valid",AZ54&lt;&gt;"16 keys present"),"Review settings",1*(IF(ISNUMBER(AE54),AE54*IF($D54="Unlabeled-13",MCDM_Settings!$E$6,MCDM_Settings!$C$6),0)+IF(ISNUMBER(AH54),AH54*IF($D54="Unlabeled-13",MCDM_Settings!$E$7,MCDM_Settings!$C$7),0)+IF(ISNUMBER(AK54),AK54*IF($D54="Unlabeled-13",MCDM_Settings!$E$8,MCDM_Settings!$C$8),0)+IF(ISNUMBER(AN54),AN54*IF($D54="Unlabeled-13",MCDM_Settings!$E$9,MCDM_Settings!$C$9),0)+IF(ISNUMBER(AQ54),AQ54*IF($D54="Unlabeled-13",MCDM_Settings!$E$10,MCDM_Settings!$C$10),0)+IF(ISNUMBER(AT54),AT54*IF($D54="Unlabeled-13",MCDM_Settings!$E$11,MCDM_Settings!$C$11),0)))</f>
        <v>0.55555555555555558</v>
      </c>
      <c r="H54" s="5" t="str">
        <f>INDEX(Manual_Review!$AH$6:$AH$238,MATCH(A54,Manual_Review!$A$6:$A$238,0))</f>
        <v>Not started</v>
      </c>
      <c r="I54" s="5" t="s">
        <v>128</v>
      </c>
      <c r="J54" s="5" t="s">
        <v>664</v>
      </c>
      <c r="K54" s="5" t="str">
        <f>HYPERLINK("https://data.mendeley.com/datasets/s3k75x9zf4/2","Dataset")</f>
        <v>Dataset</v>
      </c>
      <c r="L54" s="5" t="str">
        <f>HYPERLINK("#'Manual_Review'!A"&amp;(MATCH("DS-049",Manual_Review!$A$6:$A$238,0)+5),"Enter review")</f>
        <v>Enter review</v>
      </c>
      <c r="M54" s="5" t="str">
        <f>INDEX(MCDM_Checks!$K$6:$K$3733,MATCH(A54&amp;"|"&amp;M$5,MCDM_Checks!$A$6:$A$3733,0))</f>
        <v>Y</v>
      </c>
      <c r="N54" s="5" t="str">
        <f>INDEX(MCDM_Checks!$K$6:$K$3733,MATCH(A54&amp;"|"&amp;N$5,MCDM_Checks!$A$6:$A$3733,0))</f>
        <v>Y</v>
      </c>
      <c r="O54" s="5" t="str">
        <f>INDEX(MCDM_Checks!$K$6:$K$3733,MATCH(A54&amp;"|"&amp;O$5,MCDM_Checks!$A$6:$A$3733,0))</f>
        <v>Y</v>
      </c>
      <c r="P54" s="5" t="str">
        <f>INDEX(MCDM_Checks!$K$6:$K$3733,MATCH(A54&amp;"|"&amp;P$5,MCDM_Checks!$A$6:$A$3733,0))</f>
        <v>Y</v>
      </c>
      <c r="Q54" s="5" t="str">
        <f>INDEX(MCDM_Checks!$K$6:$K$3733,MATCH(A54&amp;"|"&amp;Q$5,MCDM_Checks!$A$6:$A$3733,0))</f>
        <v>U</v>
      </c>
      <c r="R54" s="5" t="str">
        <f>INDEX(MCDM_Checks!$K$6:$K$3733,MATCH(A54&amp;"|"&amp;R$5,MCDM_Checks!$A$6:$A$3733,0))</f>
        <v>U</v>
      </c>
      <c r="S54" s="5" t="str">
        <f>INDEX(MCDM_Checks!$K$6:$K$3733,MATCH(A54&amp;"|"&amp;S$5,MCDM_Checks!$A$6:$A$3733,0))</f>
        <v>Y</v>
      </c>
      <c r="T54" s="5" t="str">
        <f>INDEX(MCDM_Checks!$K$6:$K$3733,MATCH(A54&amp;"|"&amp;T$5,MCDM_Checks!$A$6:$A$3733,0))</f>
        <v>U</v>
      </c>
      <c r="U54" s="5" t="str">
        <f>INDEX(MCDM_Checks!$K$6:$K$3733,MATCH(A54&amp;"|"&amp;U$5,MCDM_Checks!$A$6:$A$3733,0))</f>
        <v>U</v>
      </c>
      <c r="V54" s="5" t="str">
        <f>INDEX(MCDM_Checks!$K$6:$K$3733,MATCH(A54&amp;"|"&amp;V$5,MCDM_Checks!$A$6:$A$3733,0))</f>
        <v>Y</v>
      </c>
      <c r="W54" s="5" t="str">
        <f>INDEX(MCDM_Checks!$K$6:$K$3733,MATCH(A54&amp;"|"&amp;W$5,MCDM_Checks!$A$6:$A$3733,0))</f>
        <v>Y</v>
      </c>
      <c r="X54" s="5" t="str">
        <f>INDEX(MCDM_Checks!$K$6:$K$3733,MATCH(A54&amp;"|"&amp;X$5,MCDM_Checks!$A$6:$A$3733,0))</f>
        <v>U</v>
      </c>
      <c r="Y54" s="5" t="str">
        <f>INDEX(MCDM_Checks!$K$6:$K$3733,MATCH(A54&amp;"|"&amp;Y$5,MCDM_Checks!$A$6:$A$3733,0))</f>
        <v>U</v>
      </c>
      <c r="Z54" s="5" t="str">
        <f>INDEX(MCDM_Checks!$K$6:$K$3733,MATCH(A54&amp;"|"&amp;Z$5,MCDM_Checks!$A$6:$A$3733,0))</f>
        <v>U</v>
      </c>
      <c r="AA54" s="5" t="str">
        <f>INDEX(MCDM_Checks!$K$6:$K$3733,MATCH(A54&amp;"|"&amp;AA$5,MCDM_Checks!$A$6:$A$3733,0))</f>
        <v>Y</v>
      </c>
      <c r="AB54" s="5" t="str">
        <f>INDEX(MCDM_Checks!$K$6:$K$3733,MATCH(A54&amp;"|"&amp;AB$5,MCDM_Checks!$A$6:$A$3733,0))</f>
        <v>Y</v>
      </c>
      <c r="AC54" s="12">
        <f>IF(IF($D54="Unlabeled-13",MCDM_Settings!$F$6,MCDM_Settings!$D$6)=0,"n.a.",5*COUNTIF(M54:O54,"Y")/IF($D54="Unlabeled-13",MCDM_Settings!$F$6,MCDM_Settings!$D$6))</f>
        <v>5</v>
      </c>
      <c r="AD54" s="12">
        <f>IF(IF($D54="Unlabeled-13",MCDM_Settings!$F$6,MCDM_Settings!$D$6)=0,"n.a.",5*(COUNTIF(M54:O54,"Y")+COUNTIF(M54:O54,"U")+COUNTIF(M54:O54,"X"))/IF($D54="Unlabeled-13",MCDM_Settings!$F$6,MCDM_Settings!$D$6))</f>
        <v>5</v>
      </c>
      <c r="AE54" s="13">
        <f>IF(IF($D54="Unlabeled-13",MCDM_Settings!$F$6,MCDM_Settings!$D$6)=0,"n.a.",(COUNTIF(M54:O54,"Y")+COUNTIF(M54:O54,"N"))/IF($D54="Unlabeled-13",MCDM_Settings!$F$6,MCDM_Settings!$D$6))</f>
        <v>1</v>
      </c>
      <c r="AF54" s="12">
        <f>IF(IF($D54="Unlabeled-13",MCDM_Settings!$F$7,MCDM_Settings!$D$7)=0,"n.a.",5*COUNTIF(P54:R54,"Y")/IF($D54="Unlabeled-13",MCDM_Settings!$F$7,MCDM_Settings!$D$7))</f>
        <v>1.6666666666666667</v>
      </c>
      <c r="AG54" s="12">
        <f>IF(IF($D54="Unlabeled-13",MCDM_Settings!$F$7,MCDM_Settings!$D$7)=0,"n.a.",5*(COUNTIF(P54:R54,"Y")+COUNTIF(P54:R54,"U")+COUNTIF(P54:R54,"X"))/IF($D54="Unlabeled-13",MCDM_Settings!$F$7,MCDM_Settings!$D$7))</f>
        <v>5</v>
      </c>
      <c r="AH54" s="13">
        <f>IF(IF($D54="Unlabeled-13",MCDM_Settings!$F$7,MCDM_Settings!$D$7)=0,"n.a.",(COUNTIF(P54:R54,"Y")+COUNTIF(P54:R54,"N"))/IF($D54="Unlabeled-13",MCDM_Settings!$F$7,MCDM_Settings!$D$7))</f>
        <v>0.33333333333333331</v>
      </c>
      <c r="AI54" s="12">
        <f>IF(IF($D54="Unlabeled-13",MCDM_Settings!$F$8,MCDM_Settings!$D$8)=0,"n.a.",5*COUNTIF(S54:U54,"Y")/IF($D54="Unlabeled-13",MCDM_Settings!$F$8,MCDM_Settings!$D$8))</f>
        <v>1.6666666666666667</v>
      </c>
      <c r="AJ54" s="12">
        <f>IF(IF($D54="Unlabeled-13",MCDM_Settings!$F$8,MCDM_Settings!$D$8)=0,"n.a.",5*(COUNTIF(S54:U54,"Y")+COUNTIF(S54:U54,"U")+COUNTIF(S54:U54,"X"))/IF($D54="Unlabeled-13",MCDM_Settings!$F$8,MCDM_Settings!$D$8))</f>
        <v>5</v>
      </c>
      <c r="AK54" s="13">
        <f>IF(IF($D54="Unlabeled-13",MCDM_Settings!$F$8,MCDM_Settings!$D$8)=0,"n.a.",(COUNTIF(S54:U54,"Y")+COUNTIF(S54:U54,"N"))/IF($D54="Unlabeled-13",MCDM_Settings!$F$8,MCDM_Settings!$D$8))</f>
        <v>0.33333333333333331</v>
      </c>
      <c r="AL54" s="12">
        <f>IF(IF($D54="Unlabeled-13",MCDM_Settings!$F$9,MCDM_Settings!$D$9)=0,"n.a.",5*COUNTIF(V54:W54,"Y")/IF($D54="Unlabeled-13",MCDM_Settings!$F$9,MCDM_Settings!$D$9))</f>
        <v>5</v>
      </c>
      <c r="AM54" s="12">
        <f>IF(IF($D54="Unlabeled-13",MCDM_Settings!$F$9,MCDM_Settings!$D$9)=0,"n.a.",5*(COUNTIF(V54:W54,"Y")+COUNTIF(V54:W54,"U")+COUNTIF(V54:W54,"X"))/IF($D54="Unlabeled-13",MCDM_Settings!$F$9,MCDM_Settings!$D$9))</f>
        <v>5</v>
      </c>
      <c r="AN54" s="13">
        <f>IF(IF($D54="Unlabeled-13",MCDM_Settings!$F$9,MCDM_Settings!$D$9)=0,"n.a.",(COUNTIF(V54:W54,"Y")+COUNTIF(V54:W54,"N"))/IF($D54="Unlabeled-13",MCDM_Settings!$F$9,MCDM_Settings!$D$9))</f>
        <v>1</v>
      </c>
      <c r="AO54" s="12">
        <f>IF(IF($D54="Unlabeled-13",MCDM_Settings!$F$10,MCDM_Settings!$D$10)=0,"n.a.",5*COUNTIF(X54:Y54,"Y")/IF($D54="Unlabeled-13",MCDM_Settings!$F$10,MCDM_Settings!$D$10))</f>
        <v>0</v>
      </c>
      <c r="AP54" s="12">
        <f>IF(IF($D54="Unlabeled-13",MCDM_Settings!$F$10,MCDM_Settings!$D$10)=0,"n.a.",5*(COUNTIF(X54:Y54,"Y")+COUNTIF(X54:Y54,"U")+COUNTIF(X54:Y54,"X"))/IF($D54="Unlabeled-13",MCDM_Settings!$F$10,MCDM_Settings!$D$10))</f>
        <v>5</v>
      </c>
      <c r="AQ54" s="13">
        <f>IF(IF($D54="Unlabeled-13",MCDM_Settings!$F$10,MCDM_Settings!$D$10)=0,"n.a.",(COUNTIF(X54:Y54,"Y")+COUNTIF(X54:Y54,"N"))/IF($D54="Unlabeled-13",MCDM_Settings!$F$10,MCDM_Settings!$D$10))</f>
        <v>0</v>
      </c>
      <c r="AR54" s="12">
        <f>IF(IF($D54="Unlabeled-13",MCDM_Settings!$F$11,MCDM_Settings!$D$11)=0,"n.a.",5*COUNTIF(Z54:AB54,"Y")/IF($D54="Unlabeled-13",MCDM_Settings!$F$11,MCDM_Settings!$D$11))</f>
        <v>3.3333333333333335</v>
      </c>
      <c r="AS54" s="12">
        <f>IF(IF($D54="Unlabeled-13",MCDM_Settings!$F$11,MCDM_Settings!$D$11)=0,"n.a.",5*(COUNTIF(Z54:AB54,"Y")+COUNTIF(Z54:AB54,"U")+COUNTIF(Z54:AB54,"X"))/IF($D54="Unlabeled-13",MCDM_Settings!$F$11,MCDM_Settings!$D$11))</f>
        <v>5</v>
      </c>
      <c r="AT54" s="13">
        <f>IF(IF($D54="Unlabeled-13",MCDM_Settings!$F$11,MCDM_Settings!$D$11)=0,"n.a.",(COUNTIF(Z54:AB54,"Y")+COUNTIF(Z54:AB54,"N"))/IF($D54="Unlabeled-13",MCDM_Settings!$F$11,MCDM_Settings!$D$11))</f>
        <v>0.66666666666666663</v>
      </c>
      <c r="AU54" s="5" t="str">
        <f>IF(AND(INDEX(Manual_Review!$G$6:$G$238,MATCH(A54,Manual_Review!$A$6:$A$238,0))&lt;&gt;"",ISNUMBER(INDEX(Manual_Review!$H$6:$H$238,MATCH(A54,Manual_Review!$A$6:$A$238,0))),INDEX(Manual_Review!$H$6:$H$238,MATCH(A54,Manual_Review!$A$6:$A$238,0))&gt;0,INDEX(Manual_Review!$I$6:$I$238,MATCH(A54,Manual_Review!$A$6:$A$238,0))="Confirmed",INDEX(Manual_Review!$AF$6:$AF$238,MATCH(A54,Manual_Review!$A$6:$A$238,0))&lt;&gt;""),IF(INDEX(Manual_Review!$AA$6:$AA$238,MATCH(A54,Manual_Review!$A$6:$A$238,0))="Pass","Pass",IF(INDEX(Manual_Review!$AA$6:$AA$238,MATCH(A54,Manual_Review!$A$6:$A$238,0))="Fail","Fail","Pending")),"Pending human identity confirmation")</f>
        <v>Pending human identity confirmation</v>
      </c>
      <c r="AV54" s="5" t="str">
        <f>IF(AND(AND(INDEX(Manual_Review!$G$6:$G$238,MATCH(A54,Manual_Review!$A$6:$A$238,0))&lt;&gt;"",ISNUMBER(INDEX(Manual_Review!$H$6:$H$238,MATCH(A54,Manual_Review!$A$6:$A$238,0))),INDEX(Manual_Review!$H$6:$H$238,MATCH(A54,Manual_Review!$A$6:$A$238,0))&gt;0,INDEX(Manual_Review!$I$6:$I$238,MATCH(A54,Manual_Review!$A$6:$A$238,0))="Confirmed",INDEX(Manual_Review!$AF$6:$AF$238,MATCH(A54,Manual_Review!$A$6:$A$238,0))&lt;&gt;""),INDEX(Manual_Review!$AG$6:$AG$238,MATCH(A54,Manual_Review!$A$6:$A$238,0))&lt;&gt;""),IF(INDEX(Manual_Review!$AB$6:$AB$238,MATCH(A54,Manual_Review!$A$6:$A$238,0))="Pass","Pass",IF(INDEX(Manual_Review!$AB$6:$AB$238,MATCH(A54,Manual_Review!$A$6:$A$238,0))="Fail","Fail","Pending")),"Not assessed: define intended task")</f>
        <v>Not assessed: define intended task</v>
      </c>
      <c r="AW54" s="5" t="str">
        <f>IF(AND(AND(INDEX(Manual_Review!$G$6:$G$238,MATCH(A54,Manual_Review!$A$6:$A$238,0))&lt;&gt;"",ISNUMBER(INDEX(Manual_Review!$H$6:$H$238,MATCH(A54,Manual_Review!$A$6:$A$238,0))),INDEX(Manual_Review!$H$6:$H$238,MATCH(A54,Manual_Review!$A$6:$A$238,0))&gt;0,INDEX(Manual_Review!$I$6:$I$238,MATCH(A54,Manual_Review!$A$6:$A$238,0))="Confirmed",INDEX(Manual_Review!$AF$6:$AF$238,MATCH(A54,Manual_Review!$A$6:$A$238,0))&lt;&gt;""),INDEX(Manual_Review!$AG$6:$AG$238,MATCH(A54,Manual_Review!$A$6:$A$238,0))&lt;&gt;""),IF(OR(INDEX(Manual_Review!$AC$6:$AC$238,MATCH(A54,Manual_Review!$A$6:$A$238,0))="Fail",INDEX(Manual_Review!$AD$6:$AD$238,MATCH(A54,Manual_Review!$A$6:$A$238,0))="Fail"),"Fail: rights or retrieval",IF(AND(INDEX(Manual_Review!$AC$6:$AC$238,MATCH(A54,Manual_Review!$A$6:$A$238,0))="Pass",INDEX(Manual_Review!$AD$6:$AD$238,MATCH(A54,Manual_Review!$A$6:$A$238,0))="Pass"),"Pass","Pending rights and retrieval")),"Pending rights and retrieval")</f>
        <v>Pending rights and retrieval</v>
      </c>
      <c r="AX54" s="5" t="str">
        <f>IF(INDEX(Manual_Review!$AG$6:$AG$238,MATCH(A54,Manual_Review!$A$6:$A$238,0))="","N/A: documentation inventory",IF(AND(INDEX(Manual_Review!$G$6:$G$238,MATCH(A54,Manual_Review!$A$6:$A$238,0))&lt;&gt;"",ISNUMBER(INDEX(Manual_Review!$H$6:$H$238,MATCH(A54,Manual_Review!$A$6:$A$238,0))),INDEX(Manual_Review!$H$6:$H$238,MATCH(A54,Manual_Review!$A$6:$A$238,0))&gt;0,INDEX(Manual_Review!$I$6:$I$238,MATCH(A54,Manual_Review!$A$6:$A$238,0))="Confirmed",INDEX(Manual_Review!$AF$6:$AF$238,MATCH(A54,Manual_Review!$A$6:$A$238,0))&lt;&gt;""),IF(INDEX(Manual_Review!$AE$6:$AE$238,MATCH(A54,Manual_Review!$A$6:$A$238,0))="Pass","Pass",IF(INDEX(Manual_Review!$AE$6:$AE$238,MATCH(A54,Manual_Review!$A$6:$A$238,0))="Fail","Fail: benchmark leakage",IF(INDEX(Manual_Review!$AE$6:$AE$238,MATCH(A54,Manual_Review!$A$6:$A$238,0))="N/A","N/A: nonbenchmark task","Pending task-specific leakage check"))),"Pending task-specific leakage check"))</f>
        <v>N/A: documentation inventory</v>
      </c>
      <c r="AY54" s="5" t="str">
        <f>IF(IF(D54="Unlabeled-13",AND(ABS(MCDM_Settings!$D$14-1)&lt;0.0000001,MIN(MCDM_Settings!$E$6:$E$11)&gt;=0,MCDM_Settings!$E$7=0),AND(ABS(MCDM_Settings!$B$14-1)&lt;0.0000001,MIN(MCDM_Settings!$C$6:$C$11)&gt;=0)),"Valid","Check weights")</f>
        <v>Valid</v>
      </c>
      <c r="AZ54" s="5" t="str">
        <f>IF(AND(COUNTIF(MCDM_Checks!$B$6:$B$3733,A54)=16,COUNTIF(Manual_Review!$A$6:$A$238,A54)=1),"16 keys present","Check key count")</f>
        <v>16 keys present</v>
      </c>
    </row>
    <row r="55" spans="1:52" ht="25.5">
      <c r="A55" s="5" t="s">
        <v>672</v>
      </c>
      <c r="B55" s="5" t="s">
        <v>673</v>
      </c>
      <c r="C55" s="5"/>
      <c r="D55" s="5" t="s">
        <v>118</v>
      </c>
      <c r="E55" s="12">
        <f>IF(OR(AY55&lt;&gt;"Valid",AZ55&lt;&gt;"16 keys present"),"Review settings",20*(IF(ISNUMBER(AC55),AC55*IF($D55="Unlabeled-13",MCDM_Settings!$E$6,MCDM_Settings!$C$6),0)+IF(ISNUMBER(AF55),AF55*IF($D55="Unlabeled-13",MCDM_Settings!$E$7,MCDM_Settings!$C$7),0)+IF(ISNUMBER(AI55),AI55*IF($D55="Unlabeled-13",MCDM_Settings!$E$8,MCDM_Settings!$C$8),0)+IF(ISNUMBER(AL55),AL55*IF($D55="Unlabeled-13",MCDM_Settings!$E$9,MCDM_Settings!$C$9),0)+IF(ISNUMBER(AO55),AO55*IF($D55="Unlabeled-13",MCDM_Settings!$E$10,MCDM_Settings!$C$10),0)+IF(ISNUMBER(AR55),AR55*IF($D55="Unlabeled-13",MCDM_Settings!$E$11,MCDM_Settings!$C$11),0)))</f>
        <v>44.444444444444443</v>
      </c>
      <c r="F55" s="12">
        <f>IF(OR(AY55&lt;&gt;"Valid",AZ55&lt;&gt;"16 keys present"),"Review settings",20*(IF(ISNUMBER(AD55),AD55*IF($D55="Unlabeled-13",MCDM_Settings!$E$6,MCDM_Settings!$C$6),0)+IF(ISNUMBER(AG55),AG55*IF($D55="Unlabeled-13",MCDM_Settings!$E$7,MCDM_Settings!$C$7),0)+IF(ISNUMBER(AJ55),AJ55*IF($D55="Unlabeled-13",MCDM_Settings!$E$8,MCDM_Settings!$C$8),0)+IF(ISNUMBER(AM55),AM55*IF($D55="Unlabeled-13",MCDM_Settings!$E$9,MCDM_Settings!$C$9),0)+IF(ISNUMBER(AP55),AP55*IF($D55="Unlabeled-13",MCDM_Settings!$E$10,MCDM_Settings!$C$10),0)+IF(ISNUMBER(AS55),AS55*IF($D55="Unlabeled-13",MCDM_Settings!$E$11,MCDM_Settings!$C$11),0)))</f>
        <v>99.999999999999986</v>
      </c>
      <c r="G55" s="13">
        <f>IF(OR(AY55&lt;&gt;"Valid",AZ55&lt;&gt;"16 keys present"),"Review settings",1*(IF(ISNUMBER(AE55),AE55*IF($D55="Unlabeled-13",MCDM_Settings!$E$6,MCDM_Settings!$C$6),0)+IF(ISNUMBER(AH55),AH55*IF($D55="Unlabeled-13",MCDM_Settings!$E$7,MCDM_Settings!$C$7),0)+IF(ISNUMBER(AK55),AK55*IF($D55="Unlabeled-13",MCDM_Settings!$E$8,MCDM_Settings!$C$8),0)+IF(ISNUMBER(AN55),AN55*IF($D55="Unlabeled-13",MCDM_Settings!$E$9,MCDM_Settings!$C$9),0)+IF(ISNUMBER(AQ55),AQ55*IF($D55="Unlabeled-13",MCDM_Settings!$E$10,MCDM_Settings!$C$10),0)+IF(ISNUMBER(AT55),AT55*IF($D55="Unlabeled-13",MCDM_Settings!$E$11,MCDM_Settings!$C$11),0)))</f>
        <v>0.44444444444444442</v>
      </c>
      <c r="H55" s="5" t="str">
        <f>INDEX(Manual_Review!$AH$6:$AH$238,MATCH(A55,Manual_Review!$A$6:$A$238,0))</f>
        <v>Not started</v>
      </c>
      <c r="I55" s="5" t="s">
        <v>128</v>
      </c>
      <c r="J55" s="5" t="s">
        <v>556</v>
      </c>
      <c r="K55" s="5" t="str">
        <f>HYPERLINK("https://data.mendeley.com/datasets/7zzcmv2wz7/1","Dataset")</f>
        <v>Dataset</v>
      </c>
      <c r="L55" s="5" t="str">
        <f>HYPERLINK("#'Manual_Review'!A"&amp;(MATCH("DS-050",Manual_Review!$A$6:$A$238,0)+5),"Enter review")</f>
        <v>Enter review</v>
      </c>
      <c r="M55" s="5" t="str">
        <f>INDEX(MCDM_Checks!$K$6:$K$3733,MATCH(A55&amp;"|"&amp;M$5,MCDM_Checks!$A$6:$A$3733,0))</f>
        <v>Y</v>
      </c>
      <c r="N55" s="5" t="str">
        <f>INDEX(MCDM_Checks!$K$6:$K$3733,MATCH(A55&amp;"|"&amp;N$5,MCDM_Checks!$A$6:$A$3733,0))</f>
        <v>Y</v>
      </c>
      <c r="O55" s="5" t="str">
        <f>INDEX(MCDM_Checks!$K$6:$K$3733,MATCH(A55&amp;"|"&amp;O$5,MCDM_Checks!$A$6:$A$3733,0))</f>
        <v>Y</v>
      </c>
      <c r="P55" s="5" t="str">
        <f>INDEX(MCDM_Checks!$K$6:$K$3733,MATCH(A55&amp;"|"&amp;P$5,MCDM_Checks!$A$6:$A$3733,0))</f>
        <v>Y</v>
      </c>
      <c r="Q55" s="5" t="str">
        <f>INDEX(MCDM_Checks!$K$6:$K$3733,MATCH(A55&amp;"|"&amp;Q$5,MCDM_Checks!$A$6:$A$3733,0))</f>
        <v>U</v>
      </c>
      <c r="R55" s="5" t="str">
        <f>INDEX(MCDM_Checks!$K$6:$K$3733,MATCH(A55&amp;"|"&amp;R$5,MCDM_Checks!$A$6:$A$3733,0))</f>
        <v>U</v>
      </c>
      <c r="S55" s="5" t="str">
        <f>INDEX(MCDM_Checks!$K$6:$K$3733,MATCH(A55&amp;"|"&amp;S$5,MCDM_Checks!$A$6:$A$3733,0))</f>
        <v>U</v>
      </c>
      <c r="T55" s="5" t="str">
        <f>INDEX(MCDM_Checks!$K$6:$K$3733,MATCH(A55&amp;"|"&amp;T$5,MCDM_Checks!$A$6:$A$3733,0))</f>
        <v>U</v>
      </c>
      <c r="U55" s="5" t="str">
        <f>INDEX(MCDM_Checks!$K$6:$K$3733,MATCH(A55&amp;"|"&amp;U$5,MCDM_Checks!$A$6:$A$3733,0))</f>
        <v>Y</v>
      </c>
      <c r="V55" s="5" t="str">
        <f>INDEX(MCDM_Checks!$K$6:$K$3733,MATCH(A55&amp;"|"&amp;V$5,MCDM_Checks!$A$6:$A$3733,0))</f>
        <v>U</v>
      </c>
      <c r="W55" s="5" t="str">
        <f>INDEX(MCDM_Checks!$K$6:$K$3733,MATCH(A55&amp;"|"&amp;W$5,MCDM_Checks!$A$6:$A$3733,0))</f>
        <v>U</v>
      </c>
      <c r="X55" s="5" t="str">
        <f>INDEX(MCDM_Checks!$K$6:$K$3733,MATCH(A55&amp;"|"&amp;X$5,MCDM_Checks!$A$6:$A$3733,0))</f>
        <v>Y</v>
      </c>
      <c r="Y55" s="5" t="str">
        <f>INDEX(MCDM_Checks!$K$6:$K$3733,MATCH(A55&amp;"|"&amp;Y$5,MCDM_Checks!$A$6:$A$3733,0))</f>
        <v>Y</v>
      </c>
      <c r="Z55" s="5" t="str">
        <f>INDEX(MCDM_Checks!$K$6:$K$3733,MATCH(A55&amp;"|"&amp;Z$5,MCDM_Checks!$A$6:$A$3733,0))</f>
        <v>U</v>
      </c>
      <c r="AA55" s="5" t="str">
        <f>INDEX(MCDM_Checks!$K$6:$K$3733,MATCH(A55&amp;"|"&amp;AA$5,MCDM_Checks!$A$6:$A$3733,0))</f>
        <v>U</v>
      </c>
      <c r="AB55" s="5" t="str">
        <f>INDEX(MCDM_Checks!$K$6:$K$3733,MATCH(A55&amp;"|"&amp;AB$5,MCDM_Checks!$A$6:$A$3733,0))</f>
        <v>U</v>
      </c>
      <c r="AC55" s="12">
        <f>IF(IF($D55="Unlabeled-13",MCDM_Settings!$F$6,MCDM_Settings!$D$6)=0,"n.a.",5*COUNTIF(M55:O55,"Y")/IF($D55="Unlabeled-13",MCDM_Settings!$F$6,MCDM_Settings!$D$6))</f>
        <v>5</v>
      </c>
      <c r="AD55" s="12">
        <f>IF(IF($D55="Unlabeled-13",MCDM_Settings!$F$6,MCDM_Settings!$D$6)=0,"n.a.",5*(COUNTIF(M55:O55,"Y")+COUNTIF(M55:O55,"U")+COUNTIF(M55:O55,"X"))/IF($D55="Unlabeled-13",MCDM_Settings!$F$6,MCDM_Settings!$D$6))</f>
        <v>5</v>
      </c>
      <c r="AE55" s="13">
        <f>IF(IF($D55="Unlabeled-13",MCDM_Settings!$F$6,MCDM_Settings!$D$6)=0,"n.a.",(COUNTIF(M55:O55,"Y")+COUNTIF(M55:O55,"N"))/IF($D55="Unlabeled-13",MCDM_Settings!$F$6,MCDM_Settings!$D$6))</f>
        <v>1</v>
      </c>
      <c r="AF55" s="12">
        <f>IF(IF($D55="Unlabeled-13",MCDM_Settings!$F$7,MCDM_Settings!$D$7)=0,"n.a.",5*COUNTIF(P55:R55,"Y")/IF($D55="Unlabeled-13",MCDM_Settings!$F$7,MCDM_Settings!$D$7))</f>
        <v>1.6666666666666667</v>
      </c>
      <c r="AG55" s="12">
        <f>IF(IF($D55="Unlabeled-13",MCDM_Settings!$F$7,MCDM_Settings!$D$7)=0,"n.a.",5*(COUNTIF(P55:R55,"Y")+COUNTIF(P55:R55,"U")+COUNTIF(P55:R55,"X"))/IF($D55="Unlabeled-13",MCDM_Settings!$F$7,MCDM_Settings!$D$7))</f>
        <v>5</v>
      </c>
      <c r="AH55" s="13">
        <f>IF(IF($D55="Unlabeled-13",MCDM_Settings!$F$7,MCDM_Settings!$D$7)=0,"n.a.",(COUNTIF(P55:R55,"Y")+COUNTIF(P55:R55,"N"))/IF($D55="Unlabeled-13",MCDM_Settings!$F$7,MCDM_Settings!$D$7))</f>
        <v>0.33333333333333331</v>
      </c>
      <c r="AI55" s="12">
        <f>IF(IF($D55="Unlabeled-13",MCDM_Settings!$F$8,MCDM_Settings!$D$8)=0,"n.a.",5*COUNTIF(S55:U55,"Y")/IF($D55="Unlabeled-13",MCDM_Settings!$F$8,MCDM_Settings!$D$8))</f>
        <v>1.6666666666666667</v>
      </c>
      <c r="AJ55" s="12">
        <f>IF(IF($D55="Unlabeled-13",MCDM_Settings!$F$8,MCDM_Settings!$D$8)=0,"n.a.",5*(COUNTIF(S55:U55,"Y")+COUNTIF(S55:U55,"U")+COUNTIF(S55:U55,"X"))/IF($D55="Unlabeled-13",MCDM_Settings!$F$8,MCDM_Settings!$D$8))</f>
        <v>5</v>
      </c>
      <c r="AK55" s="13">
        <f>IF(IF($D55="Unlabeled-13",MCDM_Settings!$F$8,MCDM_Settings!$D$8)=0,"n.a.",(COUNTIF(S55:U55,"Y")+COUNTIF(S55:U55,"N"))/IF($D55="Unlabeled-13",MCDM_Settings!$F$8,MCDM_Settings!$D$8))</f>
        <v>0.33333333333333331</v>
      </c>
      <c r="AL55" s="12">
        <f>IF(IF($D55="Unlabeled-13",MCDM_Settings!$F$9,MCDM_Settings!$D$9)=0,"n.a.",5*COUNTIF(V55:W55,"Y")/IF($D55="Unlabeled-13",MCDM_Settings!$F$9,MCDM_Settings!$D$9))</f>
        <v>0</v>
      </c>
      <c r="AM55" s="12">
        <f>IF(IF($D55="Unlabeled-13",MCDM_Settings!$F$9,MCDM_Settings!$D$9)=0,"n.a.",5*(COUNTIF(V55:W55,"Y")+COUNTIF(V55:W55,"U")+COUNTIF(V55:W55,"X"))/IF($D55="Unlabeled-13",MCDM_Settings!$F$9,MCDM_Settings!$D$9))</f>
        <v>5</v>
      </c>
      <c r="AN55" s="13">
        <f>IF(IF($D55="Unlabeled-13",MCDM_Settings!$F$9,MCDM_Settings!$D$9)=0,"n.a.",(COUNTIF(V55:W55,"Y")+COUNTIF(V55:W55,"N"))/IF($D55="Unlabeled-13",MCDM_Settings!$F$9,MCDM_Settings!$D$9))</f>
        <v>0</v>
      </c>
      <c r="AO55" s="12">
        <f>IF(IF($D55="Unlabeled-13",MCDM_Settings!$F$10,MCDM_Settings!$D$10)=0,"n.a.",5*COUNTIF(X55:Y55,"Y")/IF($D55="Unlabeled-13",MCDM_Settings!$F$10,MCDM_Settings!$D$10))</f>
        <v>5</v>
      </c>
      <c r="AP55" s="12">
        <f>IF(IF($D55="Unlabeled-13",MCDM_Settings!$F$10,MCDM_Settings!$D$10)=0,"n.a.",5*(COUNTIF(X55:Y55,"Y")+COUNTIF(X55:Y55,"U")+COUNTIF(X55:Y55,"X"))/IF($D55="Unlabeled-13",MCDM_Settings!$F$10,MCDM_Settings!$D$10))</f>
        <v>5</v>
      </c>
      <c r="AQ55" s="13">
        <f>IF(IF($D55="Unlabeled-13",MCDM_Settings!$F$10,MCDM_Settings!$D$10)=0,"n.a.",(COUNTIF(X55:Y55,"Y")+COUNTIF(X55:Y55,"N"))/IF($D55="Unlabeled-13",MCDM_Settings!$F$10,MCDM_Settings!$D$10))</f>
        <v>1</v>
      </c>
      <c r="AR55" s="12">
        <f>IF(IF($D55="Unlabeled-13",MCDM_Settings!$F$11,MCDM_Settings!$D$11)=0,"n.a.",5*COUNTIF(Z55:AB55,"Y")/IF($D55="Unlabeled-13",MCDM_Settings!$F$11,MCDM_Settings!$D$11))</f>
        <v>0</v>
      </c>
      <c r="AS55" s="12">
        <f>IF(IF($D55="Unlabeled-13",MCDM_Settings!$F$11,MCDM_Settings!$D$11)=0,"n.a.",5*(COUNTIF(Z55:AB55,"Y")+COUNTIF(Z55:AB55,"U")+COUNTIF(Z55:AB55,"X"))/IF($D55="Unlabeled-13",MCDM_Settings!$F$11,MCDM_Settings!$D$11))</f>
        <v>5</v>
      </c>
      <c r="AT55" s="13">
        <f>IF(IF($D55="Unlabeled-13",MCDM_Settings!$F$11,MCDM_Settings!$D$11)=0,"n.a.",(COUNTIF(Z55:AB55,"Y")+COUNTIF(Z55:AB55,"N"))/IF($D55="Unlabeled-13",MCDM_Settings!$F$11,MCDM_Settings!$D$11))</f>
        <v>0</v>
      </c>
      <c r="AU55" s="5" t="str">
        <f>IF(AND(INDEX(Manual_Review!$G$6:$G$238,MATCH(A55,Manual_Review!$A$6:$A$238,0))&lt;&gt;"",ISNUMBER(INDEX(Manual_Review!$H$6:$H$238,MATCH(A55,Manual_Review!$A$6:$A$238,0))),INDEX(Manual_Review!$H$6:$H$238,MATCH(A55,Manual_Review!$A$6:$A$238,0))&gt;0,INDEX(Manual_Review!$I$6:$I$238,MATCH(A55,Manual_Review!$A$6:$A$238,0))="Confirmed",INDEX(Manual_Review!$AF$6:$AF$238,MATCH(A55,Manual_Review!$A$6:$A$238,0))&lt;&gt;""),IF(INDEX(Manual_Review!$AA$6:$AA$238,MATCH(A55,Manual_Review!$A$6:$A$238,0))="Pass","Pass",IF(INDEX(Manual_Review!$AA$6:$AA$238,MATCH(A55,Manual_Review!$A$6:$A$238,0))="Fail","Fail","Pending")),"Pending human identity confirmation")</f>
        <v>Pending human identity confirmation</v>
      </c>
      <c r="AV55" s="5" t="str">
        <f>IF(AND(AND(INDEX(Manual_Review!$G$6:$G$238,MATCH(A55,Manual_Review!$A$6:$A$238,0))&lt;&gt;"",ISNUMBER(INDEX(Manual_Review!$H$6:$H$238,MATCH(A55,Manual_Review!$A$6:$A$238,0))),INDEX(Manual_Review!$H$6:$H$238,MATCH(A55,Manual_Review!$A$6:$A$238,0))&gt;0,INDEX(Manual_Review!$I$6:$I$238,MATCH(A55,Manual_Review!$A$6:$A$238,0))="Confirmed",INDEX(Manual_Review!$AF$6:$AF$238,MATCH(A55,Manual_Review!$A$6:$A$238,0))&lt;&gt;""),INDEX(Manual_Review!$AG$6:$AG$238,MATCH(A55,Manual_Review!$A$6:$A$238,0))&lt;&gt;""),IF(INDEX(Manual_Review!$AB$6:$AB$238,MATCH(A55,Manual_Review!$A$6:$A$238,0))="Pass","Pass",IF(INDEX(Manual_Review!$AB$6:$AB$238,MATCH(A55,Manual_Review!$A$6:$A$238,0))="Fail","Fail","Pending")),"Not assessed: define intended task")</f>
        <v>Not assessed: define intended task</v>
      </c>
      <c r="AW55" s="5" t="str">
        <f>IF(AND(AND(INDEX(Manual_Review!$G$6:$G$238,MATCH(A55,Manual_Review!$A$6:$A$238,0))&lt;&gt;"",ISNUMBER(INDEX(Manual_Review!$H$6:$H$238,MATCH(A55,Manual_Review!$A$6:$A$238,0))),INDEX(Manual_Review!$H$6:$H$238,MATCH(A55,Manual_Review!$A$6:$A$238,0))&gt;0,INDEX(Manual_Review!$I$6:$I$238,MATCH(A55,Manual_Review!$A$6:$A$238,0))="Confirmed",INDEX(Manual_Review!$AF$6:$AF$238,MATCH(A55,Manual_Review!$A$6:$A$238,0))&lt;&gt;""),INDEX(Manual_Review!$AG$6:$AG$238,MATCH(A55,Manual_Review!$A$6:$A$238,0))&lt;&gt;""),IF(OR(INDEX(Manual_Review!$AC$6:$AC$238,MATCH(A55,Manual_Review!$A$6:$A$238,0))="Fail",INDEX(Manual_Review!$AD$6:$AD$238,MATCH(A55,Manual_Review!$A$6:$A$238,0))="Fail"),"Fail: rights or retrieval",IF(AND(INDEX(Manual_Review!$AC$6:$AC$238,MATCH(A55,Manual_Review!$A$6:$A$238,0))="Pass",INDEX(Manual_Review!$AD$6:$AD$238,MATCH(A55,Manual_Review!$A$6:$A$238,0))="Pass"),"Pass","Pending rights and retrieval")),"Pending rights and retrieval")</f>
        <v>Pending rights and retrieval</v>
      </c>
      <c r="AX55" s="5" t="str">
        <f>IF(INDEX(Manual_Review!$AG$6:$AG$238,MATCH(A55,Manual_Review!$A$6:$A$238,0))="","N/A: documentation inventory",IF(AND(INDEX(Manual_Review!$G$6:$G$238,MATCH(A55,Manual_Review!$A$6:$A$238,0))&lt;&gt;"",ISNUMBER(INDEX(Manual_Review!$H$6:$H$238,MATCH(A55,Manual_Review!$A$6:$A$238,0))),INDEX(Manual_Review!$H$6:$H$238,MATCH(A55,Manual_Review!$A$6:$A$238,0))&gt;0,INDEX(Manual_Review!$I$6:$I$238,MATCH(A55,Manual_Review!$A$6:$A$238,0))="Confirmed",INDEX(Manual_Review!$AF$6:$AF$238,MATCH(A55,Manual_Review!$A$6:$A$238,0))&lt;&gt;""),IF(INDEX(Manual_Review!$AE$6:$AE$238,MATCH(A55,Manual_Review!$A$6:$A$238,0))="Pass","Pass",IF(INDEX(Manual_Review!$AE$6:$AE$238,MATCH(A55,Manual_Review!$A$6:$A$238,0))="Fail","Fail: benchmark leakage",IF(INDEX(Manual_Review!$AE$6:$AE$238,MATCH(A55,Manual_Review!$A$6:$A$238,0))="N/A","N/A: nonbenchmark task","Pending task-specific leakage check"))),"Pending task-specific leakage check"))</f>
        <v>N/A: documentation inventory</v>
      </c>
      <c r="AY55" s="5" t="str">
        <f>IF(IF(D55="Unlabeled-13",AND(ABS(MCDM_Settings!$D$14-1)&lt;0.0000001,MIN(MCDM_Settings!$E$6:$E$11)&gt;=0,MCDM_Settings!$E$7=0),AND(ABS(MCDM_Settings!$B$14-1)&lt;0.0000001,MIN(MCDM_Settings!$C$6:$C$11)&gt;=0)),"Valid","Check weights")</f>
        <v>Valid</v>
      </c>
      <c r="AZ55" s="5" t="str">
        <f>IF(AND(COUNTIF(MCDM_Checks!$B$6:$B$3733,A55)=16,COUNTIF(Manual_Review!$A$6:$A$238,A55)=1),"16 keys present","Check key count")</f>
        <v>16 keys present</v>
      </c>
    </row>
    <row r="56" spans="1:52" ht="25.5">
      <c r="A56" s="5" t="s">
        <v>681</v>
      </c>
      <c r="B56" s="5" t="s">
        <v>682</v>
      </c>
      <c r="C56" s="5"/>
      <c r="D56" s="5" t="s">
        <v>118</v>
      </c>
      <c r="E56" s="12">
        <f>IF(OR(AY56&lt;&gt;"Valid",AZ56&lt;&gt;"16 keys present"),"Review settings",20*(IF(ISNUMBER(AC56),AC56*IF($D56="Unlabeled-13",MCDM_Settings!$E$6,MCDM_Settings!$C$6),0)+IF(ISNUMBER(AF56),AF56*IF($D56="Unlabeled-13",MCDM_Settings!$E$7,MCDM_Settings!$C$7),0)+IF(ISNUMBER(AI56),AI56*IF($D56="Unlabeled-13",MCDM_Settings!$E$8,MCDM_Settings!$C$8),0)+IF(ISNUMBER(AL56),AL56*IF($D56="Unlabeled-13",MCDM_Settings!$E$9,MCDM_Settings!$C$9),0)+IF(ISNUMBER(AO56),AO56*IF($D56="Unlabeled-13",MCDM_Settings!$E$10,MCDM_Settings!$C$10),0)+IF(ISNUMBER(AR56),AR56*IF($D56="Unlabeled-13",MCDM_Settings!$E$11,MCDM_Settings!$C$11),0)))</f>
        <v>30.555555555555554</v>
      </c>
      <c r="F56" s="12">
        <f>IF(OR(AY56&lt;&gt;"Valid",AZ56&lt;&gt;"16 keys present"),"Review settings",20*(IF(ISNUMBER(AD56),AD56*IF($D56="Unlabeled-13",MCDM_Settings!$E$6,MCDM_Settings!$C$6),0)+IF(ISNUMBER(AG56),AG56*IF($D56="Unlabeled-13",MCDM_Settings!$E$7,MCDM_Settings!$C$7),0)+IF(ISNUMBER(AJ56),AJ56*IF($D56="Unlabeled-13",MCDM_Settings!$E$8,MCDM_Settings!$C$8),0)+IF(ISNUMBER(AM56),AM56*IF($D56="Unlabeled-13",MCDM_Settings!$E$9,MCDM_Settings!$C$9),0)+IF(ISNUMBER(AP56),AP56*IF($D56="Unlabeled-13",MCDM_Settings!$E$10,MCDM_Settings!$C$10),0)+IF(ISNUMBER(AS56),AS56*IF($D56="Unlabeled-13",MCDM_Settings!$E$11,MCDM_Settings!$C$11),0)))</f>
        <v>99.999999999999986</v>
      </c>
      <c r="G56" s="13">
        <f>IF(OR(AY56&lt;&gt;"Valid",AZ56&lt;&gt;"16 keys present"),"Review settings",1*(IF(ISNUMBER(AE56),AE56*IF($D56="Unlabeled-13",MCDM_Settings!$E$6,MCDM_Settings!$C$6),0)+IF(ISNUMBER(AH56),AH56*IF($D56="Unlabeled-13",MCDM_Settings!$E$7,MCDM_Settings!$C$7),0)+IF(ISNUMBER(AK56),AK56*IF($D56="Unlabeled-13",MCDM_Settings!$E$8,MCDM_Settings!$C$8),0)+IF(ISNUMBER(AN56),AN56*IF($D56="Unlabeled-13",MCDM_Settings!$E$9,MCDM_Settings!$C$9),0)+IF(ISNUMBER(AQ56),AQ56*IF($D56="Unlabeled-13",MCDM_Settings!$E$10,MCDM_Settings!$C$10),0)+IF(ISNUMBER(AT56),AT56*IF($D56="Unlabeled-13",MCDM_Settings!$E$11,MCDM_Settings!$C$11),0)))</f>
        <v>0.30555555555555552</v>
      </c>
      <c r="H56" s="5" t="str">
        <f>INDEX(Manual_Review!$AH$6:$AH$238,MATCH(A56,Manual_Review!$A$6:$A$238,0))</f>
        <v>Not started</v>
      </c>
      <c r="I56" s="5" t="s">
        <v>128</v>
      </c>
      <c r="J56" s="5" t="s">
        <v>556</v>
      </c>
      <c r="K56" s="5" t="str">
        <f>HYPERLINK("https://data.mendeley.com/datasets/tp95cdvgm8/1","Dataset")</f>
        <v>Dataset</v>
      </c>
      <c r="L56" s="5" t="str">
        <f>HYPERLINK("#'Manual_Review'!A"&amp;(MATCH("DS-051",Manual_Review!$A$6:$A$238,0)+5),"Enter review")</f>
        <v>Enter review</v>
      </c>
      <c r="M56" s="5" t="str">
        <f>INDEX(MCDM_Checks!$K$6:$K$3733,MATCH(A56&amp;"|"&amp;M$5,MCDM_Checks!$A$6:$A$3733,0))</f>
        <v>Y</v>
      </c>
      <c r="N56" s="5" t="str">
        <f>INDEX(MCDM_Checks!$K$6:$K$3733,MATCH(A56&amp;"|"&amp;N$5,MCDM_Checks!$A$6:$A$3733,0))</f>
        <v>Y</v>
      </c>
      <c r="O56" s="5" t="str">
        <f>INDEX(MCDM_Checks!$K$6:$K$3733,MATCH(A56&amp;"|"&amp;O$5,MCDM_Checks!$A$6:$A$3733,0))</f>
        <v>Y</v>
      </c>
      <c r="P56" s="5" t="str">
        <f>INDEX(MCDM_Checks!$K$6:$K$3733,MATCH(A56&amp;"|"&amp;P$5,MCDM_Checks!$A$6:$A$3733,0))</f>
        <v>Y</v>
      </c>
      <c r="Q56" s="5" t="str">
        <f>INDEX(MCDM_Checks!$K$6:$K$3733,MATCH(A56&amp;"|"&amp;Q$5,MCDM_Checks!$A$6:$A$3733,0))</f>
        <v>U</v>
      </c>
      <c r="R56" s="5" t="str">
        <f>INDEX(MCDM_Checks!$K$6:$K$3733,MATCH(A56&amp;"|"&amp;R$5,MCDM_Checks!$A$6:$A$3733,0))</f>
        <v>U</v>
      </c>
      <c r="S56" s="5" t="str">
        <f>INDEX(MCDM_Checks!$K$6:$K$3733,MATCH(A56&amp;"|"&amp;S$5,MCDM_Checks!$A$6:$A$3733,0))</f>
        <v>U</v>
      </c>
      <c r="T56" s="5" t="str">
        <f>INDEX(MCDM_Checks!$K$6:$K$3733,MATCH(A56&amp;"|"&amp;T$5,MCDM_Checks!$A$6:$A$3733,0))</f>
        <v>U</v>
      </c>
      <c r="U56" s="5" t="str">
        <f>INDEX(MCDM_Checks!$K$6:$K$3733,MATCH(A56&amp;"|"&amp;U$5,MCDM_Checks!$A$6:$A$3733,0))</f>
        <v>U</v>
      </c>
      <c r="V56" s="5" t="str">
        <f>INDEX(MCDM_Checks!$K$6:$K$3733,MATCH(A56&amp;"|"&amp;V$5,MCDM_Checks!$A$6:$A$3733,0))</f>
        <v>U</v>
      </c>
      <c r="W56" s="5" t="str">
        <f>INDEX(MCDM_Checks!$K$6:$K$3733,MATCH(A56&amp;"|"&amp;W$5,MCDM_Checks!$A$6:$A$3733,0))</f>
        <v>U</v>
      </c>
      <c r="X56" s="5" t="str">
        <f>INDEX(MCDM_Checks!$K$6:$K$3733,MATCH(A56&amp;"|"&amp;X$5,MCDM_Checks!$A$6:$A$3733,0))</f>
        <v>U</v>
      </c>
      <c r="Y56" s="5" t="str">
        <f>INDEX(MCDM_Checks!$K$6:$K$3733,MATCH(A56&amp;"|"&amp;Y$5,MCDM_Checks!$A$6:$A$3733,0))</f>
        <v>Y</v>
      </c>
      <c r="Z56" s="5" t="str">
        <f>INDEX(MCDM_Checks!$K$6:$K$3733,MATCH(A56&amp;"|"&amp;Z$5,MCDM_Checks!$A$6:$A$3733,0))</f>
        <v>U</v>
      </c>
      <c r="AA56" s="5" t="str">
        <f>INDEX(MCDM_Checks!$K$6:$K$3733,MATCH(A56&amp;"|"&amp;AA$5,MCDM_Checks!$A$6:$A$3733,0))</f>
        <v>U</v>
      </c>
      <c r="AB56" s="5" t="str">
        <f>INDEX(MCDM_Checks!$K$6:$K$3733,MATCH(A56&amp;"|"&amp;AB$5,MCDM_Checks!$A$6:$A$3733,0))</f>
        <v>U</v>
      </c>
      <c r="AC56" s="12">
        <f>IF(IF($D56="Unlabeled-13",MCDM_Settings!$F$6,MCDM_Settings!$D$6)=0,"n.a.",5*COUNTIF(M56:O56,"Y")/IF($D56="Unlabeled-13",MCDM_Settings!$F$6,MCDM_Settings!$D$6))</f>
        <v>5</v>
      </c>
      <c r="AD56" s="12">
        <f>IF(IF($D56="Unlabeled-13",MCDM_Settings!$F$6,MCDM_Settings!$D$6)=0,"n.a.",5*(COUNTIF(M56:O56,"Y")+COUNTIF(M56:O56,"U")+COUNTIF(M56:O56,"X"))/IF($D56="Unlabeled-13",MCDM_Settings!$F$6,MCDM_Settings!$D$6))</f>
        <v>5</v>
      </c>
      <c r="AE56" s="13">
        <f>IF(IF($D56="Unlabeled-13",MCDM_Settings!$F$6,MCDM_Settings!$D$6)=0,"n.a.",(COUNTIF(M56:O56,"Y")+COUNTIF(M56:O56,"N"))/IF($D56="Unlabeled-13",MCDM_Settings!$F$6,MCDM_Settings!$D$6))</f>
        <v>1</v>
      </c>
      <c r="AF56" s="12">
        <f>IF(IF($D56="Unlabeled-13",MCDM_Settings!$F$7,MCDM_Settings!$D$7)=0,"n.a.",5*COUNTIF(P56:R56,"Y")/IF($D56="Unlabeled-13",MCDM_Settings!$F$7,MCDM_Settings!$D$7))</f>
        <v>1.6666666666666667</v>
      </c>
      <c r="AG56" s="12">
        <f>IF(IF($D56="Unlabeled-13",MCDM_Settings!$F$7,MCDM_Settings!$D$7)=0,"n.a.",5*(COUNTIF(P56:R56,"Y")+COUNTIF(P56:R56,"U")+COUNTIF(P56:R56,"X"))/IF($D56="Unlabeled-13",MCDM_Settings!$F$7,MCDM_Settings!$D$7))</f>
        <v>5</v>
      </c>
      <c r="AH56" s="13">
        <f>IF(IF($D56="Unlabeled-13",MCDM_Settings!$F$7,MCDM_Settings!$D$7)=0,"n.a.",(COUNTIF(P56:R56,"Y")+COUNTIF(P56:R56,"N"))/IF($D56="Unlabeled-13",MCDM_Settings!$F$7,MCDM_Settings!$D$7))</f>
        <v>0.33333333333333331</v>
      </c>
      <c r="AI56" s="12">
        <f>IF(IF($D56="Unlabeled-13",MCDM_Settings!$F$8,MCDM_Settings!$D$8)=0,"n.a.",5*COUNTIF(S56:U56,"Y")/IF($D56="Unlabeled-13",MCDM_Settings!$F$8,MCDM_Settings!$D$8))</f>
        <v>0</v>
      </c>
      <c r="AJ56" s="12">
        <f>IF(IF($D56="Unlabeled-13",MCDM_Settings!$F$8,MCDM_Settings!$D$8)=0,"n.a.",5*(COUNTIF(S56:U56,"Y")+COUNTIF(S56:U56,"U")+COUNTIF(S56:U56,"X"))/IF($D56="Unlabeled-13",MCDM_Settings!$F$8,MCDM_Settings!$D$8))</f>
        <v>5</v>
      </c>
      <c r="AK56" s="13">
        <f>IF(IF($D56="Unlabeled-13",MCDM_Settings!$F$8,MCDM_Settings!$D$8)=0,"n.a.",(COUNTIF(S56:U56,"Y")+COUNTIF(S56:U56,"N"))/IF($D56="Unlabeled-13",MCDM_Settings!$F$8,MCDM_Settings!$D$8))</f>
        <v>0</v>
      </c>
      <c r="AL56" s="12">
        <f>IF(IF($D56="Unlabeled-13",MCDM_Settings!$F$9,MCDM_Settings!$D$9)=0,"n.a.",5*COUNTIF(V56:W56,"Y")/IF($D56="Unlabeled-13",MCDM_Settings!$F$9,MCDM_Settings!$D$9))</f>
        <v>0</v>
      </c>
      <c r="AM56" s="12">
        <f>IF(IF($D56="Unlabeled-13",MCDM_Settings!$F$9,MCDM_Settings!$D$9)=0,"n.a.",5*(COUNTIF(V56:W56,"Y")+COUNTIF(V56:W56,"U")+COUNTIF(V56:W56,"X"))/IF($D56="Unlabeled-13",MCDM_Settings!$F$9,MCDM_Settings!$D$9))</f>
        <v>5</v>
      </c>
      <c r="AN56" s="13">
        <f>IF(IF($D56="Unlabeled-13",MCDM_Settings!$F$9,MCDM_Settings!$D$9)=0,"n.a.",(COUNTIF(V56:W56,"Y")+COUNTIF(V56:W56,"N"))/IF($D56="Unlabeled-13",MCDM_Settings!$F$9,MCDM_Settings!$D$9))</f>
        <v>0</v>
      </c>
      <c r="AO56" s="12">
        <f>IF(IF($D56="Unlabeled-13",MCDM_Settings!$F$10,MCDM_Settings!$D$10)=0,"n.a.",5*COUNTIF(X56:Y56,"Y")/IF($D56="Unlabeled-13",MCDM_Settings!$F$10,MCDM_Settings!$D$10))</f>
        <v>2.5</v>
      </c>
      <c r="AP56" s="12">
        <f>IF(IF($D56="Unlabeled-13",MCDM_Settings!$F$10,MCDM_Settings!$D$10)=0,"n.a.",5*(COUNTIF(X56:Y56,"Y")+COUNTIF(X56:Y56,"U")+COUNTIF(X56:Y56,"X"))/IF($D56="Unlabeled-13",MCDM_Settings!$F$10,MCDM_Settings!$D$10))</f>
        <v>5</v>
      </c>
      <c r="AQ56" s="13">
        <f>IF(IF($D56="Unlabeled-13",MCDM_Settings!$F$10,MCDM_Settings!$D$10)=0,"n.a.",(COUNTIF(X56:Y56,"Y")+COUNTIF(X56:Y56,"N"))/IF($D56="Unlabeled-13",MCDM_Settings!$F$10,MCDM_Settings!$D$10))</f>
        <v>0.5</v>
      </c>
      <c r="AR56" s="12">
        <f>IF(IF($D56="Unlabeled-13",MCDM_Settings!$F$11,MCDM_Settings!$D$11)=0,"n.a.",5*COUNTIF(Z56:AB56,"Y")/IF($D56="Unlabeled-13",MCDM_Settings!$F$11,MCDM_Settings!$D$11))</f>
        <v>0</v>
      </c>
      <c r="AS56" s="12">
        <f>IF(IF($D56="Unlabeled-13",MCDM_Settings!$F$11,MCDM_Settings!$D$11)=0,"n.a.",5*(COUNTIF(Z56:AB56,"Y")+COUNTIF(Z56:AB56,"U")+COUNTIF(Z56:AB56,"X"))/IF($D56="Unlabeled-13",MCDM_Settings!$F$11,MCDM_Settings!$D$11))</f>
        <v>5</v>
      </c>
      <c r="AT56" s="13">
        <f>IF(IF($D56="Unlabeled-13",MCDM_Settings!$F$11,MCDM_Settings!$D$11)=0,"n.a.",(COUNTIF(Z56:AB56,"Y")+COUNTIF(Z56:AB56,"N"))/IF($D56="Unlabeled-13",MCDM_Settings!$F$11,MCDM_Settings!$D$11))</f>
        <v>0</v>
      </c>
      <c r="AU56" s="5" t="str">
        <f>IF(AND(INDEX(Manual_Review!$G$6:$G$238,MATCH(A56,Manual_Review!$A$6:$A$238,0))&lt;&gt;"",ISNUMBER(INDEX(Manual_Review!$H$6:$H$238,MATCH(A56,Manual_Review!$A$6:$A$238,0))),INDEX(Manual_Review!$H$6:$H$238,MATCH(A56,Manual_Review!$A$6:$A$238,0))&gt;0,INDEX(Manual_Review!$I$6:$I$238,MATCH(A56,Manual_Review!$A$6:$A$238,0))="Confirmed",INDEX(Manual_Review!$AF$6:$AF$238,MATCH(A56,Manual_Review!$A$6:$A$238,0))&lt;&gt;""),IF(INDEX(Manual_Review!$AA$6:$AA$238,MATCH(A56,Manual_Review!$A$6:$A$238,0))="Pass","Pass",IF(INDEX(Manual_Review!$AA$6:$AA$238,MATCH(A56,Manual_Review!$A$6:$A$238,0))="Fail","Fail","Pending")),"Pending human identity confirmation")</f>
        <v>Pending human identity confirmation</v>
      </c>
      <c r="AV56" s="5" t="str">
        <f>IF(AND(AND(INDEX(Manual_Review!$G$6:$G$238,MATCH(A56,Manual_Review!$A$6:$A$238,0))&lt;&gt;"",ISNUMBER(INDEX(Manual_Review!$H$6:$H$238,MATCH(A56,Manual_Review!$A$6:$A$238,0))),INDEX(Manual_Review!$H$6:$H$238,MATCH(A56,Manual_Review!$A$6:$A$238,0))&gt;0,INDEX(Manual_Review!$I$6:$I$238,MATCH(A56,Manual_Review!$A$6:$A$238,0))="Confirmed",INDEX(Manual_Review!$AF$6:$AF$238,MATCH(A56,Manual_Review!$A$6:$A$238,0))&lt;&gt;""),INDEX(Manual_Review!$AG$6:$AG$238,MATCH(A56,Manual_Review!$A$6:$A$238,0))&lt;&gt;""),IF(INDEX(Manual_Review!$AB$6:$AB$238,MATCH(A56,Manual_Review!$A$6:$A$238,0))="Pass","Pass",IF(INDEX(Manual_Review!$AB$6:$AB$238,MATCH(A56,Manual_Review!$A$6:$A$238,0))="Fail","Fail","Pending")),"Not assessed: define intended task")</f>
        <v>Not assessed: define intended task</v>
      </c>
      <c r="AW56" s="5" t="str">
        <f>IF(AND(AND(INDEX(Manual_Review!$G$6:$G$238,MATCH(A56,Manual_Review!$A$6:$A$238,0))&lt;&gt;"",ISNUMBER(INDEX(Manual_Review!$H$6:$H$238,MATCH(A56,Manual_Review!$A$6:$A$238,0))),INDEX(Manual_Review!$H$6:$H$238,MATCH(A56,Manual_Review!$A$6:$A$238,0))&gt;0,INDEX(Manual_Review!$I$6:$I$238,MATCH(A56,Manual_Review!$A$6:$A$238,0))="Confirmed",INDEX(Manual_Review!$AF$6:$AF$238,MATCH(A56,Manual_Review!$A$6:$A$238,0))&lt;&gt;""),INDEX(Manual_Review!$AG$6:$AG$238,MATCH(A56,Manual_Review!$A$6:$A$238,0))&lt;&gt;""),IF(OR(INDEX(Manual_Review!$AC$6:$AC$238,MATCH(A56,Manual_Review!$A$6:$A$238,0))="Fail",INDEX(Manual_Review!$AD$6:$AD$238,MATCH(A56,Manual_Review!$A$6:$A$238,0))="Fail"),"Fail: rights or retrieval",IF(AND(INDEX(Manual_Review!$AC$6:$AC$238,MATCH(A56,Manual_Review!$A$6:$A$238,0))="Pass",INDEX(Manual_Review!$AD$6:$AD$238,MATCH(A56,Manual_Review!$A$6:$A$238,0))="Pass"),"Pass","Pending rights and retrieval")),"Pending rights and retrieval")</f>
        <v>Pending rights and retrieval</v>
      </c>
      <c r="AX56" s="5" t="str">
        <f>IF(INDEX(Manual_Review!$AG$6:$AG$238,MATCH(A56,Manual_Review!$A$6:$A$238,0))="","N/A: documentation inventory",IF(AND(INDEX(Manual_Review!$G$6:$G$238,MATCH(A56,Manual_Review!$A$6:$A$238,0))&lt;&gt;"",ISNUMBER(INDEX(Manual_Review!$H$6:$H$238,MATCH(A56,Manual_Review!$A$6:$A$238,0))),INDEX(Manual_Review!$H$6:$H$238,MATCH(A56,Manual_Review!$A$6:$A$238,0))&gt;0,INDEX(Manual_Review!$I$6:$I$238,MATCH(A56,Manual_Review!$A$6:$A$238,0))="Confirmed",INDEX(Manual_Review!$AF$6:$AF$238,MATCH(A56,Manual_Review!$A$6:$A$238,0))&lt;&gt;""),IF(INDEX(Manual_Review!$AE$6:$AE$238,MATCH(A56,Manual_Review!$A$6:$A$238,0))="Pass","Pass",IF(INDEX(Manual_Review!$AE$6:$AE$238,MATCH(A56,Manual_Review!$A$6:$A$238,0))="Fail","Fail: benchmark leakage",IF(INDEX(Manual_Review!$AE$6:$AE$238,MATCH(A56,Manual_Review!$A$6:$A$238,0))="N/A","N/A: nonbenchmark task","Pending task-specific leakage check"))),"Pending task-specific leakage check"))</f>
        <v>N/A: documentation inventory</v>
      </c>
      <c r="AY56" s="5" t="str">
        <f>IF(IF(D56="Unlabeled-13",AND(ABS(MCDM_Settings!$D$14-1)&lt;0.0000001,MIN(MCDM_Settings!$E$6:$E$11)&gt;=0,MCDM_Settings!$E$7=0),AND(ABS(MCDM_Settings!$B$14-1)&lt;0.0000001,MIN(MCDM_Settings!$C$6:$C$11)&gt;=0)),"Valid","Check weights")</f>
        <v>Valid</v>
      </c>
      <c r="AZ56" s="5" t="str">
        <f>IF(AND(COUNTIF(MCDM_Checks!$B$6:$B$3733,A56)=16,COUNTIF(Manual_Review!$A$6:$A$238,A56)=1),"16 keys present","Check key count")</f>
        <v>16 keys present</v>
      </c>
    </row>
    <row r="57" spans="1:52">
      <c r="A57" s="5" t="s">
        <v>691</v>
      </c>
      <c r="B57" s="5" t="s">
        <v>692</v>
      </c>
      <c r="C57" s="5"/>
      <c r="D57" s="5" t="s">
        <v>118</v>
      </c>
      <c r="E57" s="12">
        <f>IF(OR(AY57&lt;&gt;"Valid",AZ57&lt;&gt;"16 keys present"),"Review settings",20*(IF(ISNUMBER(AC57),AC57*IF($D57="Unlabeled-13",MCDM_Settings!$E$6,MCDM_Settings!$C$6),0)+IF(ISNUMBER(AF57),AF57*IF($D57="Unlabeled-13",MCDM_Settings!$E$7,MCDM_Settings!$C$7),0)+IF(ISNUMBER(AI57),AI57*IF($D57="Unlabeled-13",MCDM_Settings!$E$8,MCDM_Settings!$C$8),0)+IF(ISNUMBER(AL57),AL57*IF($D57="Unlabeled-13",MCDM_Settings!$E$9,MCDM_Settings!$C$9),0)+IF(ISNUMBER(AO57),AO57*IF($D57="Unlabeled-13",MCDM_Settings!$E$10,MCDM_Settings!$C$10),0)+IF(ISNUMBER(AR57),AR57*IF($D57="Unlabeled-13",MCDM_Settings!$E$11,MCDM_Settings!$C$11),0)))</f>
        <v>36.111111111111107</v>
      </c>
      <c r="F57" s="12">
        <f>IF(OR(AY57&lt;&gt;"Valid",AZ57&lt;&gt;"16 keys present"),"Review settings",20*(IF(ISNUMBER(AD57),AD57*IF($D57="Unlabeled-13",MCDM_Settings!$E$6,MCDM_Settings!$C$6),0)+IF(ISNUMBER(AG57),AG57*IF($D57="Unlabeled-13",MCDM_Settings!$E$7,MCDM_Settings!$C$7),0)+IF(ISNUMBER(AJ57),AJ57*IF($D57="Unlabeled-13",MCDM_Settings!$E$8,MCDM_Settings!$C$8),0)+IF(ISNUMBER(AM57),AM57*IF($D57="Unlabeled-13",MCDM_Settings!$E$9,MCDM_Settings!$C$9),0)+IF(ISNUMBER(AP57),AP57*IF($D57="Unlabeled-13",MCDM_Settings!$E$10,MCDM_Settings!$C$10),0)+IF(ISNUMBER(AS57),AS57*IF($D57="Unlabeled-13",MCDM_Settings!$E$11,MCDM_Settings!$C$11),0)))</f>
        <v>99.999999999999986</v>
      </c>
      <c r="G57" s="13">
        <f>IF(OR(AY57&lt;&gt;"Valid",AZ57&lt;&gt;"16 keys present"),"Review settings",1*(IF(ISNUMBER(AE57),AE57*IF($D57="Unlabeled-13",MCDM_Settings!$E$6,MCDM_Settings!$C$6),0)+IF(ISNUMBER(AH57),AH57*IF($D57="Unlabeled-13",MCDM_Settings!$E$7,MCDM_Settings!$C$7),0)+IF(ISNUMBER(AK57),AK57*IF($D57="Unlabeled-13",MCDM_Settings!$E$8,MCDM_Settings!$C$8),0)+IF(ISNUMBER(AN57),AN57*IF($D57="Unlabeled-13",MCDM_Settings!$E$9,MCDM_Settings!$C$9),0)+IF(ISNUMBER(AQ57),AQ57*IF($D57="Unlabeled-13",MCDM_Settings!$E$10,MCDM_Settings!$C$10),0)+IF(ISNUMBER(AT57),AT57*IF($D57="Unlabeled-13",MCDM_Settings!$E$11,MCDM_Settings!$C$11),0)))</f>
        <v>0.36111111111111105</v>
      </c>
      <c r="H57" s="5" t="str">
        <f>INDEX(Manual_Review!$AH$6:$AH$238,MATCH(A57,Manual_Review!$A$6:$A$238,0))</f>
        <v>Not started</v>
      </c>
      <c r="I57" s="5" t="s">
        <v>128</v>
      </c>
      <c r="J57" s="5" t="s">
        <v>664</v>
      </c>
      <c r="K57" s="5" t="str">
        <f>HYPERLINK("https://data.mendeley.com/datasets/xnzhj3x8v4/2","Dataset")</f>
        <v>Dataset</v>
      </c>
      <c r="L57" s="5" t="str">
        <f>HYPERLINK("#'Manual_Review'!A"&amp;(MATCH("DS-052",Manual_Review!$A$6:$A$238,0)+5),"Enter review")</f>
        <v>Enter review</v>
      </c>
      <c r="M57" s="5" t="str">
        <f>INDEX(MCDM_Checks!$K$6:$K$3733,MATCH(A57&amp;"|"&amp;M$5,MCDM_Checks!$A$6:$A$3733,0))</f>
        <v>Y</v>
      </c>
      <c r="N57" s="5" t="str">
        <f>INDEX(MCDM_Checks!$K$6:$K$3733,MATCH(A57&amp;"|"&amp;N$5,MCDM_Checks!$A$6:$A$3733,0))</f>
        <v>Y</v>
      </c>
      <c r="O57" s="5" t="str">
        <f>INDEX(MCDM_Checks!$K$6:$K$3733,MATCH(A57&amp;"|"&amp;O$5,MCDM_Checks!$A$6:$A$3733,0))</f>
        <v>Y</v>
      </c>
      <c r="P57" s="5" t="str">
        <f>INDEX(MCDM_Checks!$K$6:$K$3733,MATCH(A57&amp;"|"&amp;P$5,MCDM_Checks!$A$6:$A$3733,0))</f>
        <v>Y</v>
      </c>
      <c r="Q57" s="5" t="str">
        <f>INDEX(MCDM_Checks!$K$6:$K$3733,MATCH(A57&amp;"|"&amp;Q$5,MCDM_Checks!$A$6:$A$3733,0))</f>
        <v>U</v>
      </c>
      <c r="R57" s="5" t="str">
        <f>INDEX(MCDM_Checks!$K$6:$K$3733,MATCH(A57&amp;"|"&amp;R$5,MCDM_Checks!$A$6:$A$3733,0))</f>
        <v>U</v>
      </c>
      <c r="S57" s="5" t="str">
        <f>INDEX(MCDM_Checks!$K$6:$K$3733,MATCH(A57&amp;"|"&amp;S$5,MCDM_Checks!$A$6:$A$3733,0))</f>
        <v>U</v>
      </c>
      <c r="T57" s="5" t="str">
        <f>INDEX(MCDM_Checks!$K$6:$K$3733,MATCH(A57&amp;"|"&amp;T$5,MCDM_Checks!$A$6:$A$3733,0))</f>
        <v>U</v>
      </c>
      <c r="U57" s="5" t="str">
        <f>INDEX(MCDM_Checks!$K$6:$K$3733,MATCH(A57&amp;"|"&amp;U$5,MCDM_Checks!$A$6:$A$3733,0))</f>
        <v>U</v>
      </c>
      <c r="V57" s="5" t="str">
        <f>INDEX(MCDM_Checks!$K$6:$K$3733,MATCH(A57&amp;"|"&amp;V$5,MCDM_Checks!$A$6:$A$3733,0))</f>
        <v>Y</v>
      </c>
      <c r="W57" s="5" t="str">
        <f>INDEX(MCDM_Checks!$K$6:$K$3733,MATCH(A57&amp;"|"&amp;W$5,MCDM_Checks!$A$6:$A$3733,0))</f>
        <v>U</v>
      </c>
      <c r="X57" s="5" t="str">
        <f>INDEX(MCDM_Checks!$K$6:$K$3733,MATCH(A57&amp;"|"&amp;X$5,MCDM_Checks!$A$6:$A$3733,0))</f>
        <v>U</v>
      </c>
      <c r="Y57" s="5" t="str">
        <f>INDEX(MCDM_Checks!$K$6:$K$3733,MATCH(A57&amp;"|"&amp;Y$5,MCDM_Checks!$A$6:$A$3733,0))</f>
        <v>U</v>
      </c>
      <c r="Z57" s="5" t="str">
        <f>INDEX(MCDM_Checks!$K$6:$K$3733,MATCH(A57&amp;"|"&amp;Z$5,MCDM_Checks!$A$6:$A$3733,0))</f>
        <v>Y</v>
      </c>
      <c r="AA57" s="5" t="str">
        <f>INDEX(MCDM_Checks!$K$6:$K$3733,MATCH(A57&amp;"|"&amp;AA$5,MCDM_Checks!$A$6:$A$3733,0))</f>
        <v>U</v>
      </c>
      <c r="AB57" s="5" t="str">
        <f>INDEX(MCDM_Checks!$K$6:$K$3733,MATCH(A57&amp;"|"&amp;AB$5,MCDM_Checks!$A$6:$A$3733,0))</f>
        <v>U</v>
      </c>
      <c r="AC57" s="12">
        <f>IF(IF($D57="Unlabeled-13",MCDM_Settings!$F$6,MCDM_Settings!$D$6)=0,"n.a.",5*COUNTIF(M57:O57,"Y")/IF($D57="Unlabeled-13",MCDM_Settings!$F$6,MCDM_Settings!$D$6))</f>
        <v>5</v>
      </c>
      <c r="AD57" s="12">
        <f>IF(IF($D57="Unlabeled-13",MCDM_Settings!$F$6,MCDM_Settings!$D$6)=0,"n.a.",5*(COUNTIF(M57:O57,"Y")+COUNTIF(M57:O57,"U")+COUNTIF(M57:O57,"X"))/IF($D57="Unlabeled-13",MCDM_Settings!$F$6,MCDM_Settings!$D$6))</f>
        <v>5</v>
      </c>
      <c r="AE57" s="13">
        <f>IF(IF($D57="Unlabeled-13",MCDM_Settings!$F$6,MCDM_Settings!$D$6)=0,"n.a.",(COUNTIF(M57:O57,"Y")+COUNTIF(M57:O57,"N"))/IF($D57="Unlabeled-13",MCDM_Settings!$F$6,MCDM_Settings!$D$6))</f>
        <v>1</v>
      </c>
      <c r="AF57" s="12">
        <f>IF(IF($D57="Unlabeled-13",MCDM_Settings!$F$7,MCDM_Settings!$D$7)=0,"n.a.",5*COUNTIF(P57:R57,"Y")/IF($D57="Unlabeled-13",MCDM_Settings!$F$7,MCDM_Settings!$D$7))</f>
        <v>1.6666666666666667</v>
      </c>
      <c r="AG57" s="12">
        <f>IF(IF($D57="Unlabeled-13",MCDM_Settings!$F$7,MCDM_Settings!$D$7)=0,"n.a.",5*(COUNTIF(P57:R57,"Y")+COUNTIF(P57:R57,"U")+COUNTIF(P57:R57,"X"))/IF($D57="Unlabeled-13",MCDM_Settings!$F$7,MCDM_Settings!$D$7))</f>
        <v>5</v>
      </c>
      <c r="AH57" s="13">
        <f>IF(IF($D57="Unlabeled-13",MCDM_Settings!$F$7,MCDM_Settings!$D$7)=0,"n.a.",(COUNTIF(P57:R57,"Y")+COUNTIF(P57:R57,"N"))/IF($D57="Unlabeled-13",MCDM_Settings!$F$7,MCDM_Settings!$D$7))</f>
        <v>0.33333333333333331</v>
      </c>
      <c r="AI57" s="12">
        <f>IF(IF($D57="Unlabeled-13",MCDM_Settings!$F$8,MCDM_Settings!$D$8)=0,"n.a.",5*COUNTIF(S57:U57,"Y")/IF($D57="Unlabeled-13",MCDM_Settings!$F$8,MCDM_Settings!$D$8))</f>
        <v>0</v>
      </c>
      <c r="AJ57" s="12">
        <f>IF(IF($D57="Unlabeled-13",MCDM_Settings!$F$8,MCDM_Settings!$D$8)=0,"n.a.",5*(COUNTIF(S57:U57,"Y")+COUNTIF(S57:U57,"U")+COUNTIF(S57:U57,"X"))/IF($D57="Unlabeled-13",MCDM_Settings!$F$8,MCDM_Settings!$D$8))</f>
        <v>5</v>
      </c>
      <c r="AK57" s="13">
        <f>IF(IF($D57="Unlabeled-13",MCDM_Settings!$F$8,MCDM_Settings!$D$8)=0,"n.a.",(COUNTIF(S57:U57,"Y")+COUNTIF(S57:U57,"N"))/IF($D57="Unlabeled-13",MCDM_Settings!$F$8,MCDM_Settings!$D$8))</f>
        <v>0</v>
      </c>
      <c r="AL57" s="12">
        <f>IF(IF($D57="Unlabeled-13",MCDM_Settings!$F$9,MCDM_Settings!$D$9)=0,"n.a.",5*COUNTIF(V57:W57,"Y")/IF($D57="Unlabeled-13",MCDM_Settings!$F$9,MCDM_Settings!$D$9))</f>
        <v>2.5</v>
      </c>
      <c r="AM57" s="12">
        <f>IF(IF($D57="Unlabeled-13",MCDM_Settings!$F$9,MCDM_Settings!$D$9)=0,"n.a.",5*(COUNTIF(V57:W57,"Y")+COUNTIF(V57:W57,"U")+COUNTIF(V57:W57,"X"))/IF($D57="Unlabeled-13",MCDM_Settings!$F$9,MCDM_Settings!$D$9))</f>
        <v>5</v>
      </c>
      <c r="AN57" s="13">
        <f>IF(IF($D57="Unlabeled-13",MCDM_Settings!$F$9,MCDM_Settings!$D$9)=0,"n.a.",(COUNTIF(V57:W57,"Y")+COUNTIF(V57:W57,"N"))/IF($D57="Unlabeled-13",MCDM_Settings!$F$9,MCDM_Settings!$D$9))</f>
        <v>0.5</v>
      </c>
      <c r="AO57" s="12">
        <f>IF(IF($D57="Unlabeled-13",MCDM_Settings!$F$10,MCDM_Settings!$D$10)=0,"n.a.",5*COUNTIF(X57:Y57,"Y")/IF($D57="Unlabeled-13",MCDM_Settings!$F$10,MCDM_Settings!$D$10))</f>
        <v>0</v>
      </c>
      <c r="AP57" s="12">
        <f>IF(IF($D57="Unlabeled-13",MCDM_Settings!$F$10,MCDM_Settings!$D$10)=0,"n.a.",5*(COUNTIF(X57:Y57,"Y")+COUNTIF(X57:Y57,"U")+COUNTIF(X57:Y57,"X"))/IF($D57="Unlabeled-13",MCDM_Settings!$F$10,MCDM_Settings!$D$10))</f>
        <v>5</v>
      </c>
      <c r="AQ57" s="13">
        <f>IF(IF($D57="Unlabeled-13",MCDM_Settings!$F$10,MCDM_Settings!$D$10)=0,"n.a.",(COUNTIF(X57:Y57,"Y")+COUNTIF(X57:Y57,"N"))/IF($D57="Unlabeled-13",MCDM_Settings!$F$10,MCDM_Settings!$D$10))</f>
        <v>0</v>
      </c>
      <c r="AR57" s="12">
        <f>IF(IF($D57="Unlabeled-13",MCDM_Settings!$F$11,MCDM_Settings!$D$11)=0,"n.a.",5*COUNTIF(Z57:AB57,"Y")/IF($D57="Unlabeled-13",MCDM_Settings!$F$11,MCDM_Settings!$D$11))</f>
        <v>1.6666666666666667</v>
      </c>
      <c r="AS57" s="12">
        <f>IF(IF($D57="Unlabeled-13",MCDM_Settings!$F$11,MCDM_Settings!$D$11)=0,"n.a.",5*(COUNTIF(Z57:AB57,"Y")+COUNTIF(Z57:AB57,"U")+COUNTIF(Z57:AB57,"X"))/IF($D57="Unlabeled-13",MCDM_Settings!$F$11,MCDM_Settings!$D$11))</f>
        <v>5</v>
      </c>
      <c r="AT57" s="13">
        <f>IF(IF($D57="Unlabeled-13",MCDM_Settings!$F$11,MCDM_Settings!$D$11)=0,"n.a.",(COUNTIF(Z57:AB57,"Y")+COUNTIF(Z57:AB57,"N"))/IF($D57="Unlabeled-13",MCDM_Settings!$F$11,MCDM_Settings!$D$11))</f>
        <v>0.33333333333333331</v>
      </c>
      <c r="AU57" s="5" t="str">
        <f>IF(AND(INDEX(Manual_Review!$G$6:$G$238,MATCH(A57,Manual_Review!$A$6:$A$238,0))&lt;&gt;"",ISNUMBER(INDEX(Manual_Review!$H$6:$H$238,MATCH(A57,Manual_Review!$A$6:$A$238,0))),INDEX(Manual_Review!$H$6:$H$238,MATCH(A57,Manual_Review!$A$6:$A$238,0))&gt;0,INDEX(Manual_Review!$I$6:$I$238,MATCH(A57,Manual_Review!$A$6:$A$238,0))="Confirmed",INDEX(Manual_Review!$AF$6:$AF$238,MATCH(A57,Manual_Review!$A$6:$A$238,0))&lt;&gt;""),IF(INDEX(Manual_Review!$AA$6:$AA$238,MATCH(A57,Manual_Review!$A$6:$A$238,0))="Pass","Pass",IF(INDEX(Manual_Review!$AA$6:$AA$238,MATCH(A57,Manual_Review!$A$6:$A$238,0))="Fail","Fail","Pending")),"Pending human identity confirmation")</f>
        <v>Pending human identity confirmation</v>
      </c>
      <c r="AV57" s="5" t="str">
        <f>IF(AND(AND(INDEX(Manual_Review!$G$6:$G$238,MATCH(A57,Manual_Review!$A$6:$A$238,0))&lt;&gt;"",ISNUMBER(INDEX(Manual_Review!$H$6:$H$238,MATCH(A57,Manual_Review!$A$6:$A$238,0))),INDEX(Manual_Review!$H$6:$H$238,MATCH(A57,Manual_Review!$A$6:$A$238,0))&gt;0,INDEX(Manual_Review!$I$6:$I$238,MATCH(A57,Manual_Review!$A$6:$A$238,0))="Confirmed",INDEX(Manual_Review!$AF$6:$AF$238,MATCH(A57,Manual_Review!$A$6:$A$238,0))&lt;&gt;""),INDEX(Manual_Review!$AG$6:$AG$238,MATCH(A57,Manual_Review!$A$6:$A$238,0))&lt;&gt;""),IF(INDEX(Manual_Review!$AB$6:$AB$238,MATCH(A57,Manual_Review!$A$6:$A$238,0))="Pass","Pass",IF(INDEX(Manual_Review!$AB$6:$AB$238,MATCH(A57,Manual_Review!$A$6:$A$238,0))="Fail","Fail","Pending")),"Not assessed: define intended task")</f>
        <v>Not assessed: define intended task</v>
      </c>
      <c r="AW57" s="5" t="str">
        <f>IF(AND(AND(INDEX(Manual_Review!$G$6:$G$238,MATCH(A57,Manual_Review!$A$6:$A$238,0))&lt;&gt;"",ISNUMBER(INDEX(Manual_Review!$H$6:$H$238,MATCH(A57,Manual_Review!$A$6:$A$238,0))),INDEX(Manual_Review!$H$6:$H$238,MATCH(A57,Manual_Review!$A$6:$A$238,0))&gt;0,INDEX(Manual_Review!$I$6:$I$238,MATCH(A57,Manual_Review!$A$6:$A$238,0))="Confirmed",INDEX(Manual_Review!$AF$6:$AF$238,MATCH(A57,Manual_Review!$A$6:$A$238,0))&lt;&gt;""),INDEX(Manual_Review!$AG$6:$AG$238,MATCH(A57,Manual_Review!$A$6:$A$238,0))&lt;&gt;""),IF(OR(INDEX(Manual_Review!$AC$6:$AC$238,MATCH(A57,Manual_Review!$A$6:$A$238,0))="Fail",INDEX(Manual_Review!$AD$6:$AD$238,MATCH(A57,Manual_Review!$A$6:$A$238,0))="Fail"),"Fail: rights or retrieval",IF(AND(INDEX(Manual_Review!$AC$6:$AC$238,MATCH(A57,Manual_Review!$A$6:$A$238,0))="Pass",INDEX(Manual_Review!$AD$6:$AD$238,MATCH(A57,Manual_Review!$A$6:$A$238,0))="Pass"),"Pass","Pending rights and retrieval")),"Pending rights and retrieval")</f>
        <v>Pending rights and retrieval</v>
      </c>
      <c r="AX57" s="5" t="str">
        <f>IF(INDEX(Manual_Review!$AG$6:$AG$238,MATCH(A57,Manual_Review!$A$6:$A$238,0))="","N/A: documentation inventory",IF(AND(INDEX(Manual_Review!$G$6:$G$238,MATCH(A57,Manual_Review!$A$6:$A$238,0))&lt;&gt;"",ISNUMBER(INDEX(Manual_Review!$H$6:$H$238,MATCH(A57,Manual_Review!$A$6:$A$238,0))),INDEX(Manual_Review!$H$6:$H$238,MATCH(A57,Manual_Review!$A$6:$A$238,0))&gt;0,INDEX(Manual_Review!$I$6:$I$238,MATCH(A57,Manual_Review!$A$6:$A$238,0))="Confirmed",INDEX(Manual_Review!$AF$6:$AF$238,MATCH(A57,Manual_Review!$A$6:$A$238,0))&lt;&gt;""),IF(INDEX(Manual_Review!$AE$6:$AE$238,MATCH(A57,Manual_Review!$A$6:$A$238,0))="Pass","Pass",IF(INDEX(Manual_Review!$AE$6:$AE$238,MATCH(A57,Manual_Review!$A$6:$A$238,0))="Fail","Fail: benchmark leakage",IF(INDEX(Manual_Review!$AE$6:$AE$238,MATCH(A57,Manual_Review!$A$6:$A$238,0))="N/A","N/A: nonbenchmark task","Pending task-specific leakage check"))),"Pending task-specific leakage check"))</f>
        <v>N/A: documentation inventory</v>
      </c>
      <c r="AY57" s="5" t="str">
        <f>IF(IF(D57="Unlabeled-13",AND(ABS(MCDM_Settings!$D$14-1)&lt;0.0000001,MIN(MCDM_Settings!$E$6:$E$11)&gt;=0,MCDM_Settings!$E$7=0),AND(ABS(MCDM_Settings!$B$14-1)&lt;0.0000001,MIN(MCDM_Settings!$C$6:$C$11)&gt;=0)),"Valid","Check weights")</f>
        <v>Valid</v>
      </c>
      <c r="AZ57" s="5" t="str">
        <f>IF(AND(COUNTIF(MCDM_Checks!$B$6:$B$3733,A57)=16,COUNTIF(Manual_Review!$A$6:$A$238,A57)=1),"16 keys present","Check key count")</f>
        <v>16 keys present</v>
      </c>
    </row>
    <row r="58" spans="1:52">
      <c r="A58" s="5" t="s">
        <v>699</v>
      </c>
      <c r="B58" s="5" t="s">
        <v>700</v>
      </c>
      <c r="C58" s="5"/>
      <c r="D58" s="5" t="s">
        <v>118</v>
      </c>
      <c r="E58" s="12">
        <f>IF(OR(AY58&lt;&gt;"Valid",AZ58&lt;&gt;"16 keys present"),"Review settings",20*(IF(ISNUMBER(AC58),AC58*IF($D58="Unlabeled-13",MCDM_Settings!$E$6,MCDM_Settings!$C$6),0)+IF(ISNUMBER(AF58),AF58*IF($D58="Unlabeled-13",MCDM_Settings!$E$7,MCDM_Settings!$C$7),0)+IF(ISNUMBER(AI58),AI58*IF($D58="Unlabeled-13",MCDM_Settings!$E$8,MCDM_Settings!$C$8),0)+IF(ISNUMBER(AL58),AL58*IF($D58="Unlabeled-13",MCDM_Settings!$E$9,MCDM_Settings!$C$9),0)+IF(ISNUMBER(AO58),AO58*IF($D58="Unlabeled-13",MCDM_Settings!$E$10,MCDM_Settings!$C$10),0)+IF(ISNUMBER(AR58),AR58*IF($D58="Unlabeled-13",MCDM_Settings!$E$11,MCDM_Settings!$C$11),0)))</f>
        <v>80.555555555555557</v>
      </c>
      <c r="F58" s="12">
        <f>IF(OR(AY58&lt;&gt;"Valid",AZ58&lt;&gt;"16 keys present"),"Review settings",20*(IF(ISNUMBER(AD58),AD58*IF($D58="Unlabeled-13",MCDM_Settings!$E$6,MCDM_Settings!$C$6),0)+IF(ISNUMBER(AG58),AG58*IF($D58="Unlabeled-13",MCDM_Settings!$E$7,MCDM_Settings!$C$7),0)+IF(ISNUMBER(AJ58),AJ58*IF($D58="Unlabeled-13",MCDM_Settings!$E$8,MCDM_Settings!$C$8),0)+IF(ISNUMBER(AM58),AM58*IF($D58="Unlabeled-13",MCDM_Settings!$E$9,MCDM_Settings!$C$9),0)+IF(ISNUMBER(AP58),AP58*IF($D58="Unlabeled-13",MCDM_Settings!$E$10,MCDM_Settings!$C$10),0)+IF(ISNUMBER(AS58),AS58*IF($D58="Unlabeled-13",MCDM_Settings!$E$11,MCDM_Settings!$C$11),0)))</f>
        <v>99.999999999999986</v>
      </c>
      <c r="G58" s="13">
        <f>IF(OR(AY58&lt;&gt;"Valid",AZ58&lt;&gt;"16 keys present"),"Review settings",1*(IF(ISNUMBER(AE58),AE58*IF($D58="Unlabeled-13",MCDM_Settings!$E$6,MCDM_Settings!$C$6),0)+IF(ISNUMBER(AH58),AH58*IF($D58="Unlabeled-13",MCDM_Settings!$E$7,MCDM_Settings!$C$7),0)+IF(ISNUMBER(AK58),AK58*IF($D58="Unlabeled-13",MCDM_Settings!$E$8,MCDM_Settings!$C$8),0)+IF(ISNUMBER(AN58),AN58*IF($D58="Unlabeled-13",MCDM_Settings!$E$9,MCDM_Settings!$C$9),0)+IF(ISNUMBER(AQ58),AQ58*IF($D58="Unlabeled-13",MCDM_Settings!$E$10,MCDM_Settings!$C$10),0)+IF(ISNUMBER(AT58),AT58*IF($D58="Unlabeled-13",MCDM_Settings!$E$11,MCDM_Settings!$C$11),0)))</f>
        <v>0.80555555555555558</v>
      </c>
      <c r="H58" s="5" t="str">
        <f>INDEX(Manual_Review!$AH$6:$AH$238,MATCH(A58,Manual_Review!$A$6:$A$238,0))</f>
        <v>Not started</v>
      </c>
      <c r="I58" s="5" t="s">
        <v>128</v>
      </c>
      <c r="J58" s="5" t="s">
        <v>556</v>
      </c>
      <c r="K58" s="5" t="str">
        <f>HYPERLINK("https://data.mendeley.com/datasets/88kdyyc73h/1","Dataset")</f>
        <v>Dataset</v>
      </c>
      <c r="L58" s="5" t="str">
        <f>HYPERLINK("#'Manual_Review'!A"&amp;(MATCH("DS-053",Manual_Review!$A$6:$A$238,0)+5),"Enter review")</f>
        <v>Enter review</v>
      </c>
      <c r="M58" s="5" t="str">
        <f>INDEX(MCDM_Checks!$K$6:$K$3733,MATCH(A58&amp;"|"&amp;M$5,MCDM_Checks!$A$6:$A$3733,0))</f>
        <v>Y</v>
      </c>
      <c r="N58" s="5" t="str">
        <f>INDEX(MCDM_Checks!$K$6:$K$3733,MATCH(A58&amp;"|"&amp;N$5,MCDM_Checks!$A$6:$A$3733,0))</f>
        <v>Y</v>
      </c>
      <c r="O58" s="5" t="str">
        <f>INDEX(MCDM_Checks!$K$6:$K$3733,MATCH(A58&amp;"|"&amp;O$5,MCDM_Checks!$A$6:$A$3733,0))</f>
        <v>Y</v>
      </c>
      <c r="P58" s="5" t="str">
        <f>INDEX(MCDM_Checks!$K$6:$K$3733,MATCH(A58&amp;"|"&amp;P$5,MCDM_Checks!$A$6:$A$3733,0))</f>
        <v>Y</v>
      </c>
      <c r="Q58" s="5" t="str">
        <f>INDEX(MCDM_Checks!$K$6:$K$3733,MATCH(A58&amp;"|"&amp;Q$5,MCDM_Checks!$A$6:$A$3733,0))</f>
        <v>Y</v>
      </c>
      <c r="R58" s="5" t="str">
        <f>INDEX(MCDM_Checks!$K$6:$K$3733,MATCH(A58&amp;"|"&amp;R$5,MCDM_Checks!$A$6:$A$3733,0))</f>
        <v>U</v>
      </c>
      <c r="S58" s="5" t="str">
        <f>INDEX(MCDM_Checks!$K$6:$K$3733,MATCH(A58&amp;"|"&amp;S$5,MCDM_Checks!$A$6:$A$3733,0))</f>
        <v>Y</v>
      </c>
      <c r="T58" s="5" t="str">
        <f>INDEX(MCDM_Checks!$K$6:$K$3733,MATCH(A58&amp;"|"&amp;T$5,MCDM_Checks!$A$6:$A$3733,0))</f>
        <v>Y</v>
      </c>
      <c r="U58" s="5" t="str">
        <f>INDEX(MCDM_Checks!$K$6:$K$3733,MATCH(A58&amp;"|"&amp;U$5,MCDM_Checks!$A$6:$A$3733,0))</f>
        <v>U</v>
      </c>
      <c r="V58" s="5" t="str">
        <f>INDEX(MCDM_Checks!$K$6:$K$3733,MATCH(A58&amp;"|"&amp;V$5,MCDM_Checks!$A$6:$A$3733,0))</f>
        <v>Y</v>
      </c>
      <c r="W58" s="5" t="str">
        <f>INDEX(MCDM_Checks!$K$6:$K$3733,MATCH(A58&amp;"|"&amp;W$5,MCDM_Checks!$A$6:$A$3733,0))</f>
        <v>Y</v>
      </c>
      <c r="X58" s="5" t="str">
        <f>INDEX(MCDM_Checks!$K$6:$K$3733,MATCH(A58&amp;"|"&amp;X$5,MCDM_Checks!$A$6:$A$3733,0))</f>
        <v>U</v>
      </c>
      <c r="Y58" s="5" t="str">
        <f>INDEX(MCDM_Checks!$K$6:$K$3733,MATCH(A58&amp;"|"&amp;Y$5,MCDM_Checks!$A$6:$A$3733,0))</f>
        <v>Y</v>
      </c>
      <c r="Z58" s="5" t="str">
        <f>INDEX(MCDM_Checks!$K$6:$K$3733,MATCH(A58&amp;"|"&amp;Z$5,MCDM_Checks!$A$6:$A$3733,0))</f>
        <v>Y</v>
      </c>
      <c r="AA58" s="5" t="str">
        <f>INDEX(MCDM_Checks!$K$6:$K$3733,MATCH(A58&amp;"|"&amp;AA$5,MCDM_Checks!$A$6:$A$3733,0))</f>
        <v>Y</v>
      </c>
      <c r="AB58" s="5" t="str">
        <f>INDEX(MCDM_Checks!$K$6:$K$3733,MATCH(A58&amp;"|"&amp;AB$5,MCDM_Checks!$A$6:$A$3733,0))</f>
        <v>Y</v>
      </c>
      <c r="AC58" s="12">
        <f>IF(IF($D58="Unlabeled-13",MCDM_Settings!$F$6,MCDM_Settings!$D$6)=0,"n.a.",5*COUNTIF(M58:O58,"Y")/IF($D58="Unlabeled-13",MCDM_Settings!$F$6,MCDM_Settings!$D$6))</f>
        <v>5</v>
      </c>
      <c r="AD58" s="12">
        <f>IF(IF($D58="Unlabeled-13",MCDM_Settings!$F$6,MCDM_Settings!$D$6)=0,"n.a.",5*(COUNTIF(M58:O58,"Y")+COUNTIF(M58:O58,"U")+COUNTIF(M58:O58,"X"))/IF($D58="Unlabeled-13",MCDM_Settings!$F$6,MCDM_Settings!$D$6))</f>
        <v>5</v>
      </c>
      <c r="AE58" s="13">
        <f>IF(IF($D58="Unlabeled-13",MCDM_Settings!$F$6,MCDM_Settings!$D$6)=0,"n.a.",(COUNTIF(M58:O58,"Y")+COUNTIF(M58:O58,"N"))/IF($D58="Unlabeled-13",MCDM_Settings!$F$6,MCDM_Settings!$D$6))</f>
        <v>1</v>
      </c>
      <c r="AF58" s="12">
        <f>IF(IF($D58="Unlabeled-13",MCDM_Settings!$F$7,MCDM_Settings!$D$7)=0,"n.a.",5*COUNTIF(P58:R58,"Y")/IF($D58="Unlabeled-13",MCDM_Settings!$F$7,MCDM_Settings!$D$7))</f>
        <v>3.3333333333333335</v>
      </c>
      <c r="AG58" s="12">
        <f>IF(IF($D58="Unlabeled-13",MCDM_Settings!$F$7,MCDM_Settings!$D$7)=0,"n.a.",5*(COUNTIF(P58:R58,"Y")+COUNTIF(P58:R58,"U")+COUNTIF(P58:R58,"X"))/IF($D58="Unlabeled-13",MCDM_Settings!$F$7,MCDM_Settings!$D$7))</f>
        <v>5</v>
      </c>
      <c r="AH58" s="13">
        <f>IF(IF($D58="Unlabeled-13",MCDM_Settings!$F$7,MCDM_Settings!$D$7)=0,"n.a.",(COUNTIF(P58:R58,"Y")+COUNTIF(P58:R58,"N"))/IF($D58="Unlabeled-13",MCDM_Settings!$F$7,MCDM_Settings!$D$7))</f>
        <v>0.66666666666666663</v>
      </c>
      <c r="AI58" s="12">
        <f>IF(IF($D58="Unlabeled-13",MCDM_Settings!$F$8,MCDM_Settings!$D$8)=0,"n.a.",5*COUNTIF(S58:U58,"Y")/IF($D58="Unlabeled-13",MCDM_Settings!$F$8,MCDM_Settings!$D$8))</f>
        <v>3.3333333333333335</v>
      </c>
      <c r="AJ58" s="12">
        <f>IF(IF($D58="Unlabeled-13",MCDM_Settings!$F$8,MCDM_Settings!$D$8)=0,"n.a.",5*(COUNTIF(S58:U58,"Y")+COUNTIF(S58:U58,"U")+COUNTIF(S58:U58,"X"))/IF($D58="Unlabeled-13",MCDM_Settings!$F$8,MCDM_Settings!$D$8))</f>
        <v>5</v>
      </c>
      <c r="AK58" s="13">
        <f>IF(IF($D58="Unlabeled-13",MCDM_Settings!$F$8,MCDM_Settings!$D$8)=0,"n.a.",(COUNTIF(S58:U58,"Y")+COUNTIF(S58:U58,"N"))/IF($D58="Unlabeled-13",MCDM_Settings!$F$8,MCDM_Settings!$D$8))</f>
        <v>0.66666666666666663</v>
      </c>
      <c r="AL58" s="12">
        <f>IF(IF($D58="Unlabeled-13",MCDM_Settings!$F$9,MCDM_Settings!$D$9)=0,"n.a.",5*COUNTIF(V58:W58,"Y")/IF($D58="Unlabeled-13",MCDM_Settings!$F$9,MCDM_Settings!$D$9))</f>
        <v>5</v>
      </c>
      <c r="AM58" s="12">
        <f>IF(IF($D58="Unlabeled-13",MCDM_Settings!$F$9,MCDM_Settings!$D$9)=0,"n.a.",5*(COUNTIF(V58:W58,"Y")+COUNTIF(V58:W58,"U")+COUNTIF(V58:W58,"X"))/IF($D58="Unlabeled-13",MCDM_Settings!$F$9,MCDM_Settings!$D$9))</f>
        <v>5</v>
      </c>
      <c r="AN58" s="13">
        <f>IF(IF($D58="Unlabeled-13",MCDM_Settings!$F$9,MCDM_Settings!$D$9)=0,"n.a.",(COUNTIF(V58:W58,"Y")+COUNTIF(V58:W58,"N"))/IF($D58="Unlabeled-13",MCDM_Settings!$F$9,MCDM_Settings!$D$9))</f>
        <v>1</v>
      </c>
      <c r="AO58" s="12">
        <f>IF(IF($D58="Unlabeled-13",MCDM_Settings!$F$10,MCDM_Settings!$D$10)=0,"n.a.",5*COUNTIF(X58:Y58,"Y")/IF($D58="Unlabeled-13",MCDM_Settings!$F$10,MCDM_Settings!$D$10))</f>
        <v>2.5</v>
      </c>
      <c r="AP58" s="12">
        <f>IF(IF($D58="Unlabeled-13",MCDM_Settings!$F$10,MCDM_Settings!$D$10)=0,"n.a.",5*(COUNTIF(X58:Y58,"Y")+COUNTIF(X58:Y58,"U")+COUNTIF(X58:Y58,"X"))/IF($D58="Unlabeled-13",MCDM_Settings!$F$10,MCDM_Settings!$D$10))</f>
        <v>5</v>
      </c>
      <c r="AQ58" s="13">
        <f>IF(IF($D58="Unlabeled-13",MCDM_Settings!$F$10,MCDM_Settings!$D$10)=0,"n.a.",(COUNTIF(X58:Y58,"Y")+COUNTIF(X58:Y58,"N"))/IF($D58="Unlabeled-13",MCDM_Settings!$F$10,MCDM_Settings!$D$10))</f>
        <v>0.5</v>
      </c>
      <c r="AR58" s="12">
        <f>IF(IF($D58="Unlabeled-13",MCDM_Settings!$F$11,MCDM_Settings!$D$11)=0,"n.a.",5*COUNTIF(Z58:AB58,"Y")/IF($D58="Unlabeled-13",MCDM_Settings!$F$11,MCDM_Settings!$D$11))</f>
        <v>5</v>
      </c>
      <c r="AS58" s="12">
        <f>IF(IF($D58="Unlabeled-13",MCDM_Settings!$F$11,MCDM_Settings!$D$11)=0,"n.a.",5*(COUNTIF(Z58:AB58,"Y")+COUNTIF(Z58:AB58,"U")+COUNTIF(Z58:AB58,"X"))/IF($D58="Unlabeled-13",MCDM_Settings!$F$11,MCDM_Settings!$D$11))</f>
        <v>5</v>
      </c>
      <c r="AT58" s="13">
        <f>IF(IF($D58="Unlabeled-13",MCDM_Settings!$F$11,MCDM_Settings!$D$11)=0,"n.a.",(COUNTIF(Z58:AB58,"Y")+COUNTIF(Z58:AB58,"N"))/IF($D58="Unlabeled-13",MCDM_Settings!$F$11,MCDM_Settings!$D$11))</f>
        <v>1</v>
      </c>
      <c r="AU58" s="5" t="str">
        <f>IF(AND(INDEX(Manual_Review!$G$6:$G$238,MATCH(A58,Manual_Review!$A$6:$A$238,0))&lt;&gt;"",ISNUMBER(INDEX(Manual_Review!$H$6:$H$238,MATCH(A58,Manual_Review!$A$6:$A$238,0))),INDEX(Manual_Review!$H$6:$H$238,MATCH(A58,Manual_Review!$A$6:$A$238,0))&gt;0,INDEX(Manual_Review!$I$6:$I$238,MATCH(A58,Manual_Review!$A$6:$A$238,0))="Confirmed",INDEX(Manual_Review!$AF$6:$AF$238,MATCH(A58,Manual_Review!$A$6:$A$238,0))&lt;&gt;""),IF(INDEX(Manual_Review!$AA$6:$AA$238,MATCH(A58,Manual_Review!$A$6:$A$238,0))="Pass","Pass",IF(INDEX(Manual_Review!$AA$6:$AA$238,MATCH(A58,Manual_Review!$A$6:$A$238,0))="Fail","Fail","Pending")),"Pending human identity confirmation")</f>
        <v>Pending human identity confirmation</v>
      </c>
      <c r="AV58" s="5" t="str">
        <f>IF(AND(AND(INDEX(Manual_Review!$G$6:$G$238,MATCH(A58,Manual_Review!$A$6:$A$238,0))&lt;&gt;"",ISNUMBER(INDEX(Manual_Review!$H$6:$H$238,MATCH(A58,Manual_Review!$A$6:$A$238,0))),INDEX(Manual_Review!$H$6:$H$238,MATCH(A58,Manual_Review!$A$6:$A$238,0))&gt;0,INDEX(Manual_Review!$I$6:$I$238,MATCH(A58,Manual_Review!$A$6:$A$238,0))="Confirmed",INDEX(Manual_Review!$AF$6:$AF$238,MATCH(A58,Manual_Review!$A$6:$A$238,0))&lt;&gt;""),INDEX(Manual_Review!$AG$6:$AG$238,MATCH(A58,Manual_Review!$A$6:$A$238,0))&lt;&gt;""),IF(INDEX(Manual_Review!$AB$6:$AB$238,MATCH(A58,Manual_Review!$A$6:$A$238,0))="Pass","Pass",IF(INDEX(Manual_Review!$AB$6:$AB$238,MATCH(A58,Manual_Review!$A$6:$A$238,0))="Fail","Fail","Pending")),"Not assessed: define intended task")</f>
        <v>Not assessed: define intended task</v>
      </c>
      <c r="AW58" s="5" t="str">
        <f>IF(AND(AND(INDEX(Manual_Review!$G$6:$G$238,MATCH(A58,Manual_Review!$A$6:$A$238,0))&lt;&gt;"",ISNUMBER(INDEX(Manual_Review!$H$6:$H$238,MATCH(A58,Manual_Review!$A$6:$A$238,0))),INDEX(Manual_Review!$H$6:$H$238,MATCH(A58,Manual_Review!$A$6:$A$238,0))&gt;0,INDEX(Manual_Review!$I$6:$I$238,MATCH(A58,Manual_Review!$A$6:$A$238,0))="Confirmed",INDEX(Manual_Review!$AF$6:$AF$238,MATCH(A58,Manual_Review!$A$6:$A$238,0))&lt;&gt;""),INDEX(Manual_Review!$AG$6:$AG$238,MATCH(A58,Manual_Review!$A$6:$A$238,0))&lt;&gt;""),IF(OR(INDEX(Manual_Review!$AC$6:$AC$238,MATCH(A58,Manual_Review!$A$6:$A$238,0))="Fail",INDEX(Manual_Review!$AD$6:$AD$238,MATCH(A58,Manual_Review!$A$6:$A$238,0))="Fail"),"Fail: rights or retrieval",IF(AND(INDEX(Manual_Review!$AC$6:$AC$238,MATCH(A58,Manual_Review!$A$6:$A$238,0))="Pass",INDEX(Manual_Review!$AD$6:$AD$238,MATCH(A58,Manual_Review!$A$6:$A$238,0))="Pass"),"Pass","Pending rights and retrieval")),"Pending rights and retrieval")</f>
        <v>Pending rights and retrieval</v>
      </c>
      <c r="AX58" s="5" t="str">
        <f>IF(INDEX(Manual_Review!$AG$6:$AG$238,MATCH(A58,Manual_Review!$A$6:$A$238,0))="","N/A: documentation inventory",IF(AND(INDEX(Manual_Review!$G$6:$G$238,MATCH(A58,Manual_Review!$A$6:$A$238,0))&lt;&gt;"",ISNUMBER(INDEX(Manual_Review!$H$6:$H$238,MATCH(A58,Manual_Review!$A$6:$A$238,0))),INDEX(Manual_Review!$H$6:$H$238,MATCH(A58,Manual_Review!$A$6:$A$238,0))&gt;0,INDEX(Manual_Review!$I$6:$I$238,MATCH(A58,Manual_Review!$A$6:$A$238,0))="Confirmed",INDEX(Manual_Review!$AF$6:$AF$238,MATCH(A58,Manual_Review!$A$6:$A$238,0))&lt;&gt;""),IF(INDEX(Manual_Review!$AE$6:$AE$238,MATCH(A58,Manual_Review!$A$6:$A$238,0))="Pass","Pass",IF(INDEX(Manual_Review!$AE$6:$AE$238,MATCH(A58,Manual_Review!$A$6:$A$238,0))="Fail","Fail: benchmark leakage",IF(INDEX(Manual_Review!$AE$6:$AE$238,MATCH(A58,Manual_Review!$A$6:$A$238,0))="N/A","N/A: nonbenchmark task","Pending task-specific leakage check"))),"Pending task-specific leakage check"))</f>
        <v>N/A: documentation inventory</v>
      </c>
      <c r="AY58" s="5" t="str">
        <f>IF(IF(D58="Unlabeled-13",AND(ABS(MCDM_Settings!$D$14-1)&lt;0.0000001,MIN(MCDM_Settings!$E$6:$E$11)&gt;=0,MCDM_Settings!$E$7=0),AND(ABS(MCDM_Settings!$B$14-1)&lt;0.0000001,MIN(MCDM_Settings!$C$6:$C$11)&gt;=0)),"Valid","Check weights")</f>
        <v>Valid</v>
      </c>
      <c r="AZ58" s="5" t="str">
        <f>IF(AND(COUNTIF(MCDM_Checks!$B$6:$B$3733,A58)=16,COUNTIF(Manual_Review!$A$6:$A$238,A58)=1),"16 keys present","Check key count")</f>
        <v>16 keys present</v>
      </c>
    </row>
    <row r="59" spans="1:52" ht="25.5">
      <c r="A59" s="5" t="s">
        <v>708</v>
      </c>
      <c r="B59" s="5" t="s">
        <v>709</v>
      </c>
      <c r="C59" s="5"/>
      <c r="D59" s="5" t="s">
        <v>118</v>
      </c>
      <c r="E59" s="12">
        <f>IF(OR(AY59&lt;&gt;"Valid",AZ59&lt;&gt;"16 keys present"),"Review settings",20*(IF(ISNUMBER(AC59),AC59*IF($D59="Unlabeled-13",MCDM_Settings!$E$6,MCDM_Settings!$C$6),0)+IF(ISNUMBER(AF59),AF59*IF($D59="Unlabeled-13",MCDM_Settings!$E$7,MCDM_Settings!$C$7),0)+IF(ISNUMBER(AI59),AI59*IF($D59="Unlabeled-13",MCDM_Settings!$E$8,MCDM_Settings!$C$8),0)+IF(ISNUMBER(AL59),AL59*IF($D59="Unlabeled-13",MCDM_Settings!$E$9,MCDM_Settings!$C$9),0)+IF(ISNUMBER(AO59),AO59*IF($D59="Unlabeled-13",MCDM_Settings!$E$10,MCDM_Settings!$C$10),0)+IF(ISNUMBER(AR59),AR59*IF($D59="Unlabeled-13",MCDM_Settings!$E$11,MCDM_Settings!$C$11),0)))</f>
        <v>63.888888888888872</v>
      </c>
      <c r="F59" s="12">
        <f>IF(OR(AY59&lt;&gt;"Valid",AZ59&lt;&gt;"16 keys present"),"Review settings",20*(IF(ISNUMBER(AD59),AD59*IF($D59="Unlabeled-13",MCDM_Settings!$E$6,MCDM_Settings!$C$6),0)+IF(ISNUMBER(AG59),AG59*IF($D59="Unlabeled-13",MCDM_Settings!$E$7,MCDM_Settings!$C$7),0)+IF(ISNUMBER(AJ59),AJ59*IF($D59="Unlabeled-13",MCDM_Settings!$E$8,MCDM_Settings!$C$8),0)+IF(ISNUMBER(AM59),AM59*IF($D59="Unlabeled-13",MCDM_Settings!$E$9,MCDM_Settings!$C$9),0)+IF(ISNUMBER(AP59),AP59*IF($D59="Unlabeled-13",MCDM_Settings!$E$10,MCDM_Settings!$C$10),0)+IF(ISNUMBER(AS59),AS59*IF($D59="Unlabeled-13",MCDM_Settings!$E$11,MCDM_Settings!$C$11),0)))</f>
        <v>99.999999999999986</v>
      </c>
      <c r="G59" s="13">
        <f>IF(OR(AY59&lt;&gt;"Valid",AZ59&lt;&gt;"16 keys present"),"Review settings",1*(IF(ISNUMBER(AE59),AE59*IF($D59="Unlabeled-13",MCDM_Settings!$E$6,MCDM_Settings!$C$6),0)+IF(ISNUMBER(AH59),AH59*IF($D59="Unlabeled-13",MCDM_Settings!$E$7,MCDM_Settings!$C$7),0)+IF(ISNUMBER(AK59),AK59*IF($D59="Unlabeled-13",MCDM_Settings!$E$8,MCDM_Settings!$C$8),0)+IF(ISNUMBER(AN59),AN59*IF($D59="Unlabeled-13",MCDM_Settings!$E$9,MCDM_Settings!$C$9),0)+IF(ISNUMBER(AQ59),AQ59*IF($D59="Unlabeled-13",MCDM_Settings!$E$10,MCDM_Settings!$C$10),0)+IF(ISNUMBER(AT59),AT59*IF($D59="Unlabeled-13",MCDM_Settings!$E$11,MCDM_Settings!$C$11),0)))</f>
        <v>0.63888888888888884</v>
      </c>
      <c r="H59" s="5" t="str">
        <f>INDEX(Manual_Review!$AH$6:$AH$238,MATCH(A59,Manual_Review!$A$6:$A$238,0))</f>
        <v>Not started</v>
      </c>
      <c r="I59" s="5" t="s">
        <v>128</v>
      </c>
      <c r="J59" s="5" t="s">
        <v>556</v>
      </c>
      <c r="K59" s="5" t="str">
        <f>HYPERLINK("https://data.mendeley.com/datasets/nykrzdm74f/1","Dataset")</f>
        <v>Dataset</v>
      </c>
      <c r="L59" s="5" t="str">
        <f>HYPERLINK("#'Manual_Review'!A"&amp;(MATCH("DS-054",Manual_Review!$A$6:$A$238,0)+5),"Enter review")</f>
        <v>Enter review</v>
      </c>
      <c r="M59" s="5" t="str">
        <f>INDEX(MCDM_Checks!$K$6:$K$3733,MATCH(A59&amp;"|"&amp;M$5,MCDM_Checks!$A$6:$A$3733,0))</f>
        <v>Y</v>
      </c>
      <c r="N59" s="5" t="str">
        <f>INDEX(MCDM_Checks!$K$6:$K$3733,MATCH(A59&amp;"|"&amp;N$5,MCDM_Checks!$A$6:$A$3733,0))</f>
        <v>Y</v>
      </c>
      <c r="O59" s="5" t="str">
        <f>INDEX(MCDM_Checks!$K$6:$K$3733,MATCH(A59&amp;"|"&amp;O$5,MCDM_Checks!$A$6:$A$3733,0))</f>
        <v>Y</v>
      </c>
      <c r="P59" s="5" t="str">
        <f>INDEX(MCDM_Checks!$K$6:$K$3733,MATCH(A59&amp;"|"&amp;P$5,MCDM_Checks!$A$6:$A$3733,0))</f>
        <v>Y</v>
      </c>
      <c r="Q59" s="5" t="str">
        <f>INDEX(MCDM_Checks!$K$6:$K$3733,MATCH(A59&amp;"|"&amp;Q$5,MCDM_Checks!$A$6:$A$3733,0))</f>
        <v>U</v>
      </c>
      <c r="R59" s="5" t="str">
        <f>INDEX(MCDM_Checks!$K$6:$K$3733,MATCH(A59&amp;"|"&amp;R$5,MCDM_Checks!$A$6:$A$3733,0))</f>
        <v>U</v>
      </c>
      <c r="S59" s="5" t="str">
        <f>INDEX(MCDM_Checks!$K$6:$K$3733,MATCH(A59&amp;"|"&amp;S$5,MCDM_Checks!$A$6:$A$3733,0))</f>
        <v>U</v>
      </c>
      <c r="T59" s="5" t="str">
        <f>INDEX(MCDM_Checks!$K$6:$K$3733,MATCH(A59&amp;"|"&amp;T$5,MCDM_Checks!$A$6:$A$3733,0))</f>
        <v>Y</v>
      </c>
      <c r="U59" s="5" t="str">
        <f>INDEX(MCDM_Checks!$K$6:$K$3733,MATCH(A59&amp;"|"&amp;U$5,MCDM_Checks!$A$6:$A$3733,0))</f>
        <v>U</v>
      </c>
      <c r="V59" s="5" t="str">
        <f>INDEX(MCDM_Checks!$K$6:$K$3733,MATCH(A59&amp;"|"&amp;V$5,MCDM_Checks!$A$6:$A$3733,0))</f>
        <v>Y</v>
      </c>
      <c r="W59" s="5" t="str">
        <f>INDEX(MCDM_Checks!$K$6:$K$3733,MATCH(A59&amp;"|"&amp;W$5,MCDM_Checks!$A$6:$A$3733,0))</f>
        <v>U</v>
      </c>
      <c r="X59" s="5" t="str">
        <f>INDEX(MCDM_Checks!$K$6:$K$3733,MATCH(A59&amp;"|"&amp;X$5,MCDM_Checks!$A$6:$A$3733,0))</f>
        <v>Y</v>
      </c>
      <c r="Y59" s="5" t="str">
        <f>INDEX(MCDM_Checks!$K$6:$K$3733,MATCH(A59&amp;"|"&amp;Y$5,MCDM_Checks!$A$6:$A$3733,0))</f>
        <v>Y</v>
      </c>
      <c r="Z59" s="5" t="str">
        <f>INDEX(MCDM_Checks!$K$6:$K$3733,MATCH(A59&amp;"|"&amp;Z$5,MCDM_Checks!$A$6:$A$3733,0))</f>
        <v>Y</v>
      </c>
      <c r="AA59" s="5" t="str">
        <f>INDEX(MCDM_Checks!$K$6:$K$3733,MATCH(A59&amp;"|"&amp;AA$5,MCDM_Checks!$A$6:$A$3733,0))</f>
        <v>Y</v>
      </c>
      <c r="AB59" s="5" t="str">
        <f>INDEX(MCDM_Checks!$K$6:$K$3733,MATCH(A59&amp;"|"&amp;AB$5,MCDM_Checks!$A$6:$A$3733,0))</f>
        <v>U</v>
      </c>
      <c r="AC59" s="12">
        <f>IF(IF($D59="Unlabeled-13",MCDM_Settings!$F$6,MCDM_Settings!$D$6)=0,"n.a.",5*COUNTIF(M59:O59,"Y")/IF($D59="Unlabeled-13",MCDM_Settings!$F$6,MCDM_Settings!$D$6))</f>
        <v>5</v>
      </c>
      <c r="AD59" s="12">
        <f>IF(IF($D59="Unlabeled-13",MCDM_Settings!$F$6,MCDM_Settings!$D$6)=0,"n.a.",5*(COUNTIF(M59:O59,"Y")+COUNTIF(M59:O59,"U")+COUNTIF(M59:O59,"X"))/IF($D59="Unlabeled-13",MCDM_Settings!$F$6,MCDM_Settings!$D$6))</f>
        <v>5</v>
      </c>
      <c r="AE59" s="13">
        <f>IF(IF($D59="Unlabeled-13",MCDM_Settings!$F$6,MCDM_Settings!$D$6)=0,"n.a.",(COUNTIF(M59:O59,"Y")+COUNTIF(M59:O59,"N"))/IF($D59="Unlabeled-13",MCDM_Settings!$F$6,MCDM_Settings!$D$6))</f>
        <v>1</v>
      </c>
      <c r="AF59" s="12">
        <f>IF(IF($D59="Unlabeled-13",MCDM_Settings!$F$7,MCDM_Settings!$D$7)=0,"n.a.",5*COUNTIF(P59:R59,"Y")/IF($D59="Unlabeled-13",MCDM_Settings!$F$7,MCDM_Settings!$D$7))</f>
        <v>1.6666666666666667</v>
      </c>
      <c r="AG59" s="12">
        <f>IF(IF($D59="Unlabeled-13",MCDM_Settings!$F$7,MCDM_Settings!$D$7)=0,"n.a.",5*(COUNTIF(P59:R59,"Y")+COUNTIF(P59:R59,"U")+COUNTIF(P59:R59,"X"))/IF($D59="Unlabeled-13",MCDM_Settings!$F$7,MCDM_Settings!$D$7))</f>
        <v>5</v>
      </c>
      <c r="AH59" s="13">
        <f>IF(IF($D59="Unlabeled-13",MCDM_Settings!$F$7,MCDM_Settings!$D$7)=0,"n.a.",(COUNTIF(P59:R59,"Y")+COUNTIF(P59:R59,"N"))/IF($D59="Unlabeled-13",MCDM_Settings!$F$7,MCDM_Settings!$D$7))</f>
        <v>0.33333333333333331</v>
      </c>
      <c r="AI59" s="12">
        <f>IF(IF($D59="Unlabeled-13",MCDM_Settings!$F$8,MCDM_Settings!$D$8)=0,"n.a.",5*COUNTIF(S59:U59,"Y")/IF($D59="Unlabeled-13",MCDM_Settings!$F$8,MCDM_Settings!$D$8))</f>
        <v>1.6666666666666667</v>
      </c>
      <c r="AJ59" s="12">
        <f>IF(IF($D59="Unlabeled-13",MCDM_Settings!$F$8,MCDM_Settings!$D$8)=0,"n.a.",5*(COUNTIF(S59:U59,"Y")+COUNTIF(S59:U59,"U")+COUNTIF(S59:U59,"X"))/IF($D59="Unlabeled-13",MCDM_Settings!$F$8,MCDM_Settings!$D$8))</f>
        <v>5</v>
      </c>
      <c r="AK59" s="13">
        <f>IF(IF($D59="Unlabeled-13",MCDM_Settings!$F$8,MCDM_Settings!$D$8)=0,"n.a.",(COUNTIF(S59:U59,"Y")+COUNTIF(S59:U59,"N"))/IF($D59="Unlabeled-13",MCDM_Settings!$F$8,MCDM_Settings!$D$8))</f>
        <v>0.33333333333333331</v>
      </c>
      <c r="AL59" s="12">
        <f>IF(IF($D59="Unlabeled-13",MCDM_Settings!$F$9,MCDM_Settings!$D$9)=0,"n.a.",5*COUNTIF(V59:W59,"Y")/IF($D59="Unlabeled-13",MCDM_Settings!$F$9,MCDM_Settings!$D$9))</f>
        <v>2.5</v>
      </c>
      <c r="AM59" s="12">
        <f>IF(IF($D59="Unlabeled-13",MCDM_Settings!$F$9,MCDM_Settings!$D$9)=0,"n.a.",5*(COUNTIF(V59:W59,"Y")+COUNTIF(V59:W59,"U")+COUNTIF(V59:W59,"X"))/IF($D59="Unlabeled-13",MCDM_Settings!$F$9,MCDM_Settings!$D$9))</f>
        <v>5</v>
      </c>
      <c r="AN59" s="13">
        <f>IF(IF($D59="Unlabeled-13",MCDM_Settings!$F$9,MCDM_Settings!$D$9)=0,"n.a.",(COUNTIF(V59:W59,"Y")+COUNTIF(V59:W59,"N"))/IF($D59="Unlabeled-13",MCDM_Settings!$F$9,MCDM_Settings!$D$9))</f>
        <v>0.5</v>
      </c>
      <c r="AO59" s="12">
        <f>IF(IF($D59="Unlabeled-13",MCDM_Settings!$F$10,MCDM_Settings!$D$10)=0,"n.a.",5*COUNTIF(X59:Y59,"Y")/IF($D59="Unlabeled-13",MCDM_Settings!$F$10,MCDM_Settings!$D$10))</f>
        <v>5</v>
      </c>
      <c r="AP59" s="12">
        <f>IF(IF($D59="Unlabeled-13",MCDM_Settings!$F$10,MCDM_Settings!$D$10)=0,"n.a.",5*(COUNTIF(X59:Y59,"Y")+COUNTIF(X59:Y59,"U")+COUNTIF(X59:Y59,"X"))/IF($D59="Unlabeled-13",MCDM_Settings!$F$10,MCDM_Settings!$D$10))</f>
        <v>5</v>
      </c>
      <c r="AQ59" s="13">
        <f>IF(IF($D59="Unlabeled-13",MCDM_Settings!$F$10,MCDM_Settings!$D$10)=0,"n.a.",(COUNTIF(X59:Y59,"Y")+COUNTIF(X59:Y59,"N"))/IF($D59="Unlabeled-13",MCDM_Settings!$F$10,MCDM_Settings!$D$10))</f>
        <v>1</v>
      </c>
      <c r="AR59" s="12">
        <f>IF(IF($D59="Unlabeled-13",MCDM_Settings!$F$11,MCDM_Settings!$D$11)=0,"n.a.",5*COUNTIF(Z59:AB59,"Y")/IF($D59="Unlabeled-13",MCDM_Settings!$F$11,MCDM_Settings!$D$11))</f>
        <v>3.3333333333333335</v>
      </c>
      <c r="AS59" s="12">
        <f>IF(IF($D59="Unlabeled-13",MCDM_Settings!$F$11,MCDM_Settings!$D$11)=0,"n.a.",5*(COUNTIF(Z59:AB59,"Y")+COUNTIF(Z59:AB59,"U")+COUNTIF(Z59:AB59,"X"))/IF($D59="Unlabeled-13",MCDM_Settings!$F$11,MCDM_Settings!$D$11))</f>
        <v>5</v>
      </c>
      <c r="AT59" s="13">
        <f>IF(IF($D59="Unlabeled-13",MCDM_Settings!$F$11,MCDM_Settings!$D$11)=0,"n.a.",(COUNTIF(Z59:AB59,"Y")+COUNTIF(Z59:AB59,"N"))/IF($D59="Unlabeled-13",MCDM_Settings!$F$11,MCDM_Settings!$D$11))</f>
        <v>0.66666666666666663</v>
      </c>
      <c r="AU59" s="5" t="str">
        <f>IF(AND(INDEX(Manual_Review!$G$6:$G$238,MATCH(A59,Manual_Review!$A$6:$A$238,0))&lt;&gt;"",ISNUMBER(INDEX(Manual_Review!$H$6:$H$238,MATCH(A59,Manual_Review!$A$6:$A$238,0))),INDEX(Manual_Review!$H$6:$H$238,MATCH(A59,Manual_Review!$A$6:$A$238,0))&gt;0,INDEX(Manual_Review!$I$6:$I$238,MATCH(A59,Manual_Review!$A$6:$A$238,0))="Confirmed",INDEX(Manual_Review!$AF$6:$AF$238,MATCH(A59,Manual_Review!$A$6:$A$238,0))&lt;&gt;""),IF(INDEX(Manual_Review!$AA$6:$AA$238,MATCH(A59,Manual_Review!$A$6:$A$238,0))="Pass","Pass",IF(INDEX(Manual_Review!$AA$6:$AA$238,MATCH(A59,Manual_Review!$A$6:$A$238,0))="Fail","Fail","Pending")),"Pending human identity confirmation")</f>
        <v>Pending human identity confirmation</v>
      </c>
      <c r="AV59" s="5" t="str">
        <f>IF(AND(AND(INDEX(Manual_Review!$G$6:$G$238,MATCH(A59,Manual_Review!$A$6:$A$238,0))&lt;&gt;"",ISNUMBER(INDEX(Manual_Review!$H$6:$H$238,MATCH(A59,Manual_Review!$A$6:$A$238,0))),INDEX(Manual_Review!$H$6:$H$238,MATCH(A59,Manual_Review!$A$6:$A$238,0))&gt;0,INDEX(Manual_Review!$I$6:$I$238,MATCH(A59,Manual_Review!$A$6:$A$238,0))="Confirmed",INDEX(Manual_Review!$AF$6:$AF$238,MATCH(A59,Manual_Review!$A$6:$A$238,0))&lt;&gt;""),INDEX(Manual_Review!$AG$6:$AG$238,MATCH(A59,Manual_Review!$A$6:$A$238,0))&lt;&gt;""),IF(INDEX(Manual_Review!$AB$6:$AB$238,MATCH(A59,Manual_Review!$A$6:$A$238,0))="Pass","Pass",IF(INDEX(Manual_Review!$AB$6:$AB$238,MATCH(A59,Manual_Review!$A$6:$A$238,0))="Fail","Fail","Pending")),"Not assessed: define intended task")</f>
        <v>Not assessed: define intended task</v>
      </c>
      <c r="AW59" s="5" t="str">
        <f>IF(AND(AND(INDEX(Manual_Review!$G$6:$G$238,MATCH(A59,Manual_Review!$A$6:$A$238,0))&lt;&gt;"",ISNUMBER(INDEX(Manual_Review!$H$6:$H$238,MATCH(A59,Manual_Review!$A$6:$A$238,0))),INDEX(Manual_Review!$H$6:$H$238,MATCH(A59,Manual_Review!$A$6:$A$238,0))&gt;0,INDEX(Manual_Review!$I$6:$I$238,MATCH(A59,Manual_Review!$A$6:$A$238,0))="Confirmed",INDEX(Manual_Review!$AF$6:$AF$238,MATCH(A59,Manual_Review!$A$6:$A$238,0))&lt;&gt;""),INDEX(Manual_Review!$AG$6:$AG$238,MATCH(A59,Manual_Review!$A$6:$A$238,0))&lt;&gt;""),IF(OR(INDEX(Manual_Review!$AC$6:$AC$238,MATCH(A59,Manual_Review!$A$6:$A$238,0))="Fail",INDEX(Manual_Review!$AD$6:$AD$238,MATCH(A59,Manual_Review!$A$6:$A$238,0))="Fail"),"Fail: rights or retrieval",IF(AND(INDEX(Manual_Review!$AC$6:$AC$238,MATCH(A59,Manual_Review!$A$6:$A$238,0))="Pass",INDEX(Manual_Review!$AD$6:$AD$238,MATCH(A59,Manual_Review!$A$6:$A$238,0))="Pass"),"Pass","Pending rights and retrieval")),"Pending rights and retrieval")</f>
        <v>Pending rights and retrieval</v>
      </c>
      <c r="AX59" s="5" t="str">
        <f>IF(INDEX(Manual_Review!$AG$6:$AG$238,MATCH(A59,Manual_Review!$A$6:$A$238,0))="","N/A: documentation inventory",IF(AND(INDEX(Manual_Review!$G$6:$G$238,MATCH(A59,Manual_Review!$A$6:$A$238,0))&lt;&gt;"",ISNUMBER(INDEX(Manual_Review!$H$6:$H$238,MATCH(A59,Manual_Review!$A$6:$A$238,0))),INDEX(Manual_Review!$H$6:$H$238,MATCH(A59,Manual_Review!$A$6:$A$238,0))&gt;0,INDEX(Manual_Review!$I$6:$I$238,MATCH(A59,Manual_Review!$A$6:$A$238,0))="Confirmed",INDEX(Manual_Review!$AF$6:$AF$238,MATCH(A59,Manual_Review!$A$6:$A$238,0))&lt;&gt;""),IF(INDEX(Manual_Review!$AE$6:$AE$238,MATCH(A59,Manual_Review!$A$6:$A$238,0))="Pass","Pass",IF(INDEX(Manual_Review!$AE$6:$AE$238,MATCH(A59,Manual_Review!$A$6:$A$238,0))="Fail","Fail: benchmark leakage",IF(INDEX(Manual_Review!$AE$6:$AE$238,MATCH(A59,Manual_Review!$A$6:$A$238,0))="N/A","N/A: nonbenchmark task","Pending task-specific leakage check"))),"Pending task-specific leakage check"))</f>
        <v>N/A: documentation inventory</v>
      </c>
      <c r="AY59" s="5" t="str">
        <f>IF(IF(D59="Unlabeled-13",AND(ABS(MCDM_Settings!$D$14-1)&lt;0.0000001,MIN(MCDM_Settings!$E$6:$E$11)&gt;=0,MCDM_Settings!$E$7=0),AND(ABS(MCDM_Settings!$B$14-1)&lt;0.0000001,MIN(MCDM_Settings!$C$6:$C$11)&gt;=0)),"Valid","Check weights")</f>
        <v>Valid</v>
      </c>
      <c r="AZ59" s="5" t="str">
        <f>IF(AND(COUNTIF(MCDM_Checks!$B$6:$B$3733,A59)=16,COUNTIF(Manual_Review!$A$6:$A$238,A59)=1),"16 keys present","Check key count")</f>
        <v>16 keys present</v>
      </c>
    </row>
    <row r="60" spans="1:52">
      <c r="A60" s="5" t="s">
        <v>719</v>
      </c>
      <c r="B60" s="5" t="s">
        <v>720</v>
      </c>
      <c r="C60" s="5"/>
      <c r="D60" s="5" t="s">
        <v>118</v>
      </c>
      <c r="E60" s="12">
        <f>IF(OR(AY60&lt;&gt;"Valid",AZ60&lt;&gt;"16 keys present"),"Review settings",20*(IF(ISNUMBER(AC60),AC60*IF($D60="Unlabeled-13",MCDM_Settings!$E$6,MCDM_Settings!$C$6),0)+IF(ISNUMBER(AF60),AF60*IF($D60="Unlabeled-13",MCDM_Settings!$E$7,MCDM_Settings!$C$7),0)+IF(ISNUMBER(AI60),AI60*IF($D60="Unlabeled-13",MCDM_Settings!$E$8,MCDM_Settings!$C$8),0)+IF(ISNUMBER(AL60),AL60*IF($D60="Unlabeled-13",MCDM_Settings!$E$9,MCDM_Settings!$C$9),0)+IF(ISNUMBER(AO60),AO60*IF($D60="Unlabeled-13",MCDM_Settings!$E$10,MCDM_Settings!$C$10),0)+IF(ISNUMBER(AR60),AR60*IF($D60="Unlabeled-13",MCDM_Settings!$E$11,MCDM_Settings!$C$11),0)))</f>
        <v>58.333333333333343</v>
      </c>
      <c r="F60" s="12">
        <f>IF(OR(AY60&lt;&gt;"Valid",AZ60&lt;&gt;"16 keys present"),"Review settings",20*(IF(ISNUMBER(AD60),AD60*IF($D60="Unlabeled-13",MCDM_Settings!$E$6,MCDM_Settings!$C$6),0)+IF(ISNUMBER(AG60),AG60*IF($D60="Unlabeled-13",MCDM_Settings!$E$7,MCDM_Settings!$C$7),0)+IF(ISNUMBER(AJ60),AJ60*IF($D60="Unlabeled-13",MCDM_Settings!$E$8,MCDM_Settings!$C$8),0)+IF(ISNUMBER(AM60),AM60*IF($D60="Unlabeled-13",MCDM_Settings!$E$9,MCDM_Settings!$C$9),0)+IF(ISNUMBER(AP60),AP60*IF($D60="Unlabeled-13",MCDM_Settings!$E$10,MCDM_Settings!$C$10),0)+IF(ISNUMBER(AS60),AS60*IF($D60="Unlabeled-13",MCDM_Settings!$E$11,MCDM_Settings!$C$11),0)))</f>
        <v>99.999999999999986</v>
      </c>
      <c r="G60" s="13">
        <f>IF(OR(AY60&lt;&gt;"Valid",AZ60&lt;&gt;"16 keys present"),"Review settings",1*(IF(ISNUMBER(AE60),AE60*IF($D60="Unlabeled-13",MCDM_Settings!$E$6,MCDM_Settings!$C$6),0)+IF(ISNUMBER(AH60),AH60*IF($D60="Unlabeled-13",MCDM_Settings!$E$7,MCDM_Settings!$C$7),0)+IF(ISNUMBER(AK60),AK60*IF($D60="Unlabeled-13",MCDM_Settings!$E$8,MCDM_Settings!$C$8),0)+IF(ISNUMBER(AN60),AN60*IF($D60="Unlabeled-13",MCDM_Settings!$E$9,MCDM_Settings!$C$9),0)+IF(ISNUMBER(AQ60),AQ60*IF($D60="Unlabeled-13",MCDM_Settings!$E$10,MCDM_Settings!$C$10),0)+IF(ISNUMBER(AT60),AT60*IF($D60="Unlabeled-13",MCDM_Settings!$E$11,MCDM_Settings!$C$11),0)))</f>
        <v>0.58333333333333326</v>
      </c>
      <c r="H60" s="5" t="str">
        <f>INDEX(Manual_Review!$AH$6:$AH$238,MATCH(A60,Manual_Review!$A$6:$A$238,0))</f>
        <v>Not started</v>
      </c>
      <c r="I60" s="5" t="s">
        <v>128</v>
      </c>
      <c r="J60" s="5" t="s">
        <v>556</v>
      </c>
      <c r="K60" s="5" t="str">
        <f>HYPERLINK("https://data.mendeley.com/datasets/rgymy6dwdd/1","Dataset")</f>
        <v>Dataset</v>
      </c>
      <c r="L60" s="5" t="str">
        <f>HYPERLINK("#'Manual_Review'!A"&amp;(MATCH("DS-055",Manual_Review!$A$6:$A$238,0)+5),"Enter review")</f>
        <v>Enter review</v>
      </c>
      <c r="M60" s="5" t="str">
        <f>INDEX(MCDM_Checks!$K$6:$K$3733,MATCH(A60&amp;"|"&amp;M$5,MCDM_Checks!$A$6:$A$3733,0))</f>
        <v>Y</v>
      </c>
      <c r="N60" s="5" t="str">
        <f>INDEX(MCDM_Checks!$K$6:$K$3733,MATCH(A60&amp;"|"&amp;N$5,MCDM_Checks!$A$6:$A$3733,0))</f>
        <v>Y</v>
      </c>
      <c r="O60" s="5" t="str">
        <f>INDEX(MCDM_Checks!$K$6:$K$3733,MATCH(A60&amp;"|"&amp;O$5,MCDM_Checks!$A$6:$A$3733,0))</f>
        <v>Y</v>
      </c>
      <c r="P60" s="5" t="str">
        <f>INDEX(MCDM_Checks!$K$6:$K$3733,MATCH(A60&amp;"|"&amp;P$5,MCDM_Checks!$A$6:$A$3733,0))</f>
        <v>Y</v>
      </c>
      <c r="Q60" s="5" t="str">
        <f>INDEX(MCDM_Checks!$K$6:$K$3733,MATCH(A60&amp;"|"&amp;Q$5,MCDM_Checks!$A$6:$A$3733,0))</f>
        <v>U</v>
      </c>
      <c r="R60" s="5" t="str">
        <f>INDEX(MCDM_Checks!$K$6:$K$3733,MATCH(A60&amp;"|"&amp;R$5,MCDM_Checks!$A$6:$A$3733,0))</f>
        <v>U</v>
      </c>
      <c r="S60" s="5" t="str">
        <f>INDEX(MCDM_Checks!$K$6:$K$3733,MATCH(A60&amp;"|"&amp;S$5,MCDM_Checks!$A$6:$A$3733,0))</f>
        <v>U</v>
      </c>
      <c r="T60" s="5" t="str">
        <f>INDEX(MCDM_Checks!$K$6:$K$3733,MATCH(A60&amp;"|"&amp;T$5,MCDM_Checks!$A$6:$A$3733,0))</f>
        <v>Y</v>
      </c>
      <c r="U60" s="5" t="str">
        <f>INDEX(MCDM_Checks!$K$6:$K$3733,MATCH(A60&amp;"|"&amp;U$5,MCDM_Checks!$A$6:$A$3733,0))</f>
        <v>Y</v>
      </c>
      <c r="V60" s="5" t="str">
        <f>INDEX(MCDM_Checks!$K$6:$K$3733,MATCH(A60&amp;"|"&amp;V$5,MCDM_Checks!$A$6:$A$3733,0))</f>
        <v>Y</v>
      </c>
      <c r="W60" s="5" t="str">
        <f>INDEX(MCDM_Checks!$K$6:$K$3733,MATCH(A60&amp;"|"&amp;W$5,MCDM_Checks!$A$6:$A$3733,0))</f>
        <v>U</v>
      </c>
      <c r="X60" s="5" t="str">
        <f>INDEX(MCDM_Checks!$K$6:$K$3733,MATCH(A60&amp;"|"&amp;X$5,MCDM_Checks!$A$6:$A$3733,0))</f>
        <v>Y</v>
      </c>
      <c r="Y60" s="5" t="str">
        <f>INDEX(MCDM_Checks!$K$6:$K$3733,MATCH(A60&amp;"|"&amp;Y$5,MCDM_Checks!$A$6:$A$3733,0))</f>
        <v>Y</v>
      </c>
      <c r="Z60" s="5" t="str">
        <f>INDEX(MCDM_Checks!$K$6:$K$3733,MATCH(A60&amp;"|"&amp;Z$5,MCDM_Checks!$A$6:$A$3733,0))</f>
        <v>U</v>
      </c>
      <c r="AA60" s="5" t="str">
        <f>INDEX(MCDM_Checks!$K$6:$K$3733,MATCH(A60&amp;"|"&amp;AA$5,MCDM_Checks!$A$6:$A$3733,0))</f>
        <v>U</v>
      </c>
      <c r="AB60" s="5" t="str">
        <f>INDEX(MCDM_Checks!$K$6:$K$3733,MATCH(A60&amp;"|"&amp;AB$5,MCDM_Checks!$A$6:$A$3733,0))</f>
        <v>U</v>
      </c>
      <c r="AC60" s="12">
        <f>IF(IF($D60="Unlabeled-13",MCDM_Settings!$F$6,MCDM_Settings!$D$6)=0,"n.a.",5*COUNTIF(M60:O60,"Y")/IF($D60="Unlabeled-13",MCDM_Settings!$F$6,MCDM_Settings!$D$6))</f>
        <v>5</v>
      </c>
      <c r="AD60" s="12">
        <f>IF(IF($D60="Unlabeled-13",MCDM_Settings!$F$6,MCDM_Settings!$D$6)=0,"n.a.",5*(COUNTIF(M60:O60,"Y")+COUNTIF(M60:O60,"U")+COUNTIF(M60:O60,"X"))/IF($D60="Unlabeled-13",MCDM_Settings!$F$6,MCDM_Settings!$D$6))</f>
        <v>5</v>
      </c>
      <c r="AE60" s="13">
        <f>IF(IF($D60="Unlabeled-13",MCDM_Settings!$F$6,MCDM_Settings!$D$6)=0,"n.a.",(COUNTIF(M60:O60,"Y")+COUNTIF(M60:O60,"N"))/IF($D60="Unlabeled-13",MCDM_Settings!$F$6,MCDM_Settings!$D$6))</f>
        <v>1</v>
      </c>
      <c r="AF60" s="12">
        <f>IF(IF($D60="Unlabeled-13",MCDM_Settings!$F$7,MCDM_Settings!$D$7)=0,"n.a.",5*COUNTIF(P60:R60,"Y")/IF($D60="Unlabeled-13",MCDM_Settings!$F$7,MCDM_Settings!$D$7))</f>
        <v>1.6666666666666667</v>
      </c>
      <c r="AG60" s="12">
        <f>IF(IF($D60="Unlabeled-13",MCDM_Settings!$F$7,MCDM_Settings!$D$7)=0,"n.a.",5*(COUNTIF(P60:R60,"Y")+COUNTIF(P60:R60,"U")+COUNTIF(P60:R60,"X"))/IF($D60="Unlabeled-13",MCDM_Settings!$F$7,MCDM_Settings!$D$7))</f>
        <v>5</v>
      </c>
      <c r="AH60" s="13">
        <f>IF(IF($D60="Unlabeled-13",MCDM_Settings!$F$7,MCDM_Settings!$D$7)=0,"n.a.",(COUNTIF(P60:R60,"Y")+COUNTIF(P60:R60,"N"))/IF($D60="Unlabeled-13",MCDM_Settings!$F$7,MCDM_Settings!$D$7))</f>
        <v>0.33333333333333331</v>
      </c>
      <c r="AI60" s="12">
        <f>IF(IF($D60="Unlabeled-13",MCDM_Settings!$F$8,MCDM_Settings!$D$8)=0,"n.a.",5*COUNTIF(S60:U60,"Y")/IF($D60="Unlabeled-13",MCDM_Settings!$F$8,MCDM_Settings!$D$8))</f>
        <v>3.3333333333333335</v>
      </c>
      <c r="AJ60" s="12">
        <f>IF(IF($D60="Unlabeled-13",MCDM_Settings!$F$8,MCDM_Settings!$D$8)=0,"n.a.",5*(COUNTIF(S60:U60,"Y")+COUNTIF(S60:U60,"U")+COUNTIF(S60:U60,"X"))/IF($D60="Unlabeled-13",MCDM_Settings!$F$8,MCDM_Settings!$D$8))</f>
        <v>5</v>
      </c>
      <c r="AK60" s="13">
        <f>IF(IF($D60="Unlabeled-13",MCDM_Settings!$F$8,MCDM_Settings!$D$8)=0,"n.a.",(COUNTIF(S60:U60,"Y")+COUNTIF(S60:U60,"N"))/IF($D60="Unlabeled-13",MCDM_Settings!$F$8,MCDM_Settings!$D$8))</f>
        <v>0.66666666666666663</v>
      </c>
      <c r="AL60" s="12">
        <f>IF(IF($D60="Unlabeled-13",MCDM_Settings!$F$9,MCDM_Settings!$D$9)=0,"n.a.",5*COUNTIF(V60:W60,"Y")/IF($D60="Unlabeled-13",MCDM_Settings!$F$9,MCDM_Settings!$D$9))</f>
        <v>2.5</v>
      </c>
      <c r="AM60" s="12">
        <f>IF(IF($D60="Unlabeled-13",MCDM_Settings!$F$9,MCDM_Settings!$D$9)=0,"n.a.",5*(COUNTIF(V60:W60,"Y")+COUNTIF(V60:W60,"U")+COUNTIF(V60:W60,"X"))/IF($D60="Unlabeled-13",MCDM_Settings!$F$9,MCDM_Settings!$D$9))</f>
        <v>5</v>
      </c>
      <c r="AN60" s="13">
        <f>IF(IF($D60="Unlabeled-13",MCDM_Settings!$F$9,MCDM_Settings!$D$9)=0,"n.a.",(COUNTIF(V60:W60,"Y")+COUNTIF(V60:W60,"N"))/IF($D60="Unlabeled-13",MCDM_Settings!$F$9,MCDM_Settings!$D$9))</f>
        <v>0.5</v>
      </c>
      <c r="AO60" s="12">
        <f>IF(IF($D60="Unlabeled-13",MCDM_Settings!$F$10,MCDM_Settings!$D$10)=0,"n.a.",5*COUNTIF(X60:Y60,"Y")/IF($D60="Unlabeled-13",MCDM_Settings!$F$10,MCDM_Settings!$D$10))</f>
        <v>5</v>
      </c>
      <c r="AP60" s="12">
        <f>IF(IF($D60="Unlabeled-13",MCDM_Settings!$F$10,MCDM_Settings!$D$10)=0,"n.a.",5*(COUNTIF(X60:Y60,"Y")+COUNTIF(X60:Y60,"U")+COUNTIF(X60:Y60,"X"))/IF($D60="Unlabeled-13",MCDM_Settings!$F$10,MCDM_Settings!$D$10))</f>
        <v>5</v>
      </c>
      <c r="AQ60" s="13">
        <f>IF(IF($D60="Unlabeled-13",MCDM_Settings!$F$10,MCDM_Settings!$D$10)=0,"n.a.",(COUNTIF(X60:Y60,"Y")+COUNTIF(X60:Y60,"N"))/IF($D60="Unlabeled-13",MCDM_Settings!$F$10,MCDM_Settings!$D$10))</f>
        <v>1</v>
      </c>
      <c r="AR60" s="12">
        <f>IF(IF($D60="Unlabeled-13",MCDM_Settings!$F$11,MCDM_Settings!$D$11)=0,"n.a.",5*COUNTIF(Z60:AB60,"Y")/IF($D60="Unlabeled-13",MCDM_Settings!$F$11,MCDM_Settings!$D$11))</f>
        <v>0</v>
      </c>
      <c r="AS60" s="12">
        <f>IF(IF($D60="Unlabeled-13",MCDM_Settings!$F$11,MCDM_Settings!$D$11)=0,"n.a.",5*(COUNTIF(Z60:AB60,"Y")+COUNTIF(Z60:AB60,"U")+COUNTIF(Z60:AB60,"X"))/IF($D60="Unlabeled-13",MCDM_Settings!$F$11,MCDM_Settings!$D$11))</f>
        <v>5</v>
      </c>
      <c r="AT60" s="13">
        <f>IF(IF($D60="Unlabeled-13",MCDM_Settings!$F$11,MCDM_Settings!$D$11)=0,"n.a.",(COUNTIF(Z60:AB60,"Y")+COUNTIF(Z60:AB60,"N"))/IF($D60="Unlabeled-13",MCDM_Settings!$F$11,MCDM_Settings!$D$11))</f>
        <v>0</v>
      </c>
      <c r="AU60" s="5" t="str">
        <f>IF(AND(INDEX(Manual_Review!$G$6:$G$238,MATCH(A60,Manual_Review!$A$6:$A$238,0))&lt;&gt;"",ISNUMBER(INDEX(Manual_Review!$H$6:$H$238,MATCH(A60,Manual_Review!$A$6:$A$238,0))),INDEX(Manual_Review!$H$6:$H$238,MATCH(A60,Manual_Review!$A$6:$A$238,0))&gt;0,INDEX(Manual_Review!$I$6:$I$238,MATCH(A60,Manual_Review!$A$6:$A$238,0))="Confirmed",INDEX(Manual_Review!$AF$6:$AF$238,MATCH(A60,Manual_Review!$A$6:$A$238,0))&lt;&gt;""),IF(INDEX(Manual_Review!$AA$6:$AA$238,MATCH(A60,Manual_Review!$A$6:$A$238,0))="Pass","Pass",IF(INDEX(Manual_Review!$AA$6:$AA$238,MATCH(A60,Manual_Review!$A$6:$A$238,0))="Fail","Fail","Pending")),"Pending human identity confirmation")</f>
        <v>Pending human identity confirmation</v>
      </c>
      <c r="AV60" s="5" t="str">
        <f>IF(AND(AND(INDEX(Manual_Review!$G$6:$G$238,MATCH(A60,Manual_Review!$A$6:$A$238,0))&lt;&gt;"",ISNUMBER(INDEX(Manual_Review!$H$6:$H$238,MATCH(A60,Manual_Review!$A$6:$A$238,0))),INDEX(Manual_Review!$H$6:$H$238,MATCH(A60,Manual_Review!$A$6:$A$238,0))&gt;0,INDEX(Manual_Review!$I$6:$I$238,MATCH(A60,Manual_Review!$A$6:$A$238,0))="Confirmed",INDEX(Manual_Review!$AF$6:$AF$238,MATCH(A60,Manual_Review!$A$6:$A$238,0))&lt;&gt;""),INDEX(Manual_Review!$AG$6:$AG$238,MATCH(A60,Manual_Review!$A$6:$A$238,0))&lt;&gt;""),IF(INDEX(Manual_Review!$AB$6:$AB$238,MATCH(A60,Manual_Review!$A$6:$A$238,0))="Pass","Pass",IF(INDEX(Manual_Review!$AB$6:$AB$238,MATCH(A60,Manual_Review!$A$6:$A$238,0))="Fail","Fail","Pending")),"Not assessed: define intended task")</f>
        <v>Not assessed: define intended task</v>
      </c>
      <c r="AW60" s="5" t="str">
        <f>IF(AND(AND(INDEX(Manual_Review!$G$6:$G$238,MATCH(A60,Manual_Review!$A$6:$A$238,0))&lt;&gt;"",ISNUMBER(INDEX(Manual_Review!$H$6:$H$238,MATCH(A60,Manual_Review!$A$6:$A$238,0))),INDEX(Manual_Review!$H$6:$H$238,MATCH(A60,Manual_Review!$A$6:$A$238,0))&gt;0,INDEX(Manual_Review!$I$6:$I$238,MATCH(A60,Manual_Review!$A$6:$A$238,0))="Confirmed",INDEX(Manual_Review!$AF$6:$AF$238,MATCH(A60,Manual_Review!$A$6:$A$238,0))&lt;&gt;""),INDEX(Manual_Review!$AG$6:$AG$238,MATCH(A60,Manual_Review!$A$6:$A$238,0))&lt;&gt;""),IF(OR(INDEX(Manual_Review!$AC$6:$AC$238,MATCH(A60,Manual_Review!$A$6:$A$238,0))="Fail",INDEX(Manual_Review!$AD$6:$AD$238,MATCH(A60,Manual_Review!$A$6:$A$238,0))="Fail"),"Fail: rights or retrieval",IF(AND(INDEX(Manual_Review!$AC$6:$AC$238,MATCH(A60,Manual_Review!$A$6:$A$238,0))="Pass",INDEX(Manual_Review!$AD$6:$AD$238,MATCH(A60,Manual_Review!$A$6:$A$238,0))="Pass"),"Pass","Pending rights and retrieval")),"Pending rights and retrieval")</f>
        <v>Pending rights and retrieval</v>
      </c>
      <c r="AX60" s="5" t="str">
        <f>IF(INDEX(Manual_Review!$AG$6:$AG$238,MATCH(A60,Manual_Review!$A$6:$A$238,0))="","N/A: documentation inventory",IF(AND(INDEX(Manual_Review!$G$6:$G$238,MATCH(A60,Manual_Review!$A$6:$A$238,0))&lt;&gt;"",ISNUMBER(INDEX(Manual_Review!$H$6:$H$238,MATCH(A60,Manual_Review!$A$6:$A$238,0))),INDEX(Manual_Review!$H$6:$H$238,MATCH(A60,Manual_Review!$A$6:$A$238,0))&gt;0,INDEX(Manual_Review!$I$6:$I$238,MATCH(A60,Manual_Review!$A$6:$A$238,0))="Confirmed",INDEX(Manual_Review!$AF$6:$AF$238,MATCH(A60,Manual_Review!$A$6:$A$238,0))&lt;&gt;""),IF(INDEX(Manual_Review!$AE$6:$AE$238,MATCH(A60,Manual_Review!$A$6:$A$238,0))="Pass","Pass",IF(INDEX(Manual_Review!$AE$6:$AE$238,MATCH(A60,Manual_Review!$A$6:$A$238,0))="Fail","Fail: benchmark leakage",IF(INDEX(Manual_Review!$AE$6:$AE$238,MATCH(A60,Manual_Review!$A$6:$A$238,0))="N/A","N/A: nonbenchmark task","Pending task-specific leakage check"))),"Pending task-specific leakage check"))</f>
        <v>N/A: documentation inventory</v>
      </c>
      <c r="AY60" s="5" t="str">
        <f>IF(IF(D60="Unlabeled-13",AND(ABS(MCDM_Settings!$D$14-1)&lt;0.0000001,MIN(MCDM_Settings!$E$6:$E$11)&gt;=0,MCDM_Settings!$E$7=0),AND(ABS(MCDM_Settings!$B$14-1)&lt;0.0000001,MIN(MCDM_Settings!$C$6:$C$11)&gt;=0)),"Valid","Check weights")</f>
        <v>Valid</v>
      </c>
      <c r="AZ60" s="5" t="str">
        <f>IF(AND(COUNTIF(MCDM_Checks!$B$6:$B$3733,A60)=16,COUNTIF(Manual_Review!$A$6:$A$238,A60)=1),"16 keys present","Check key count")</f>
        <v>16 keys present</v>
      </c>
    </row>
    <row r="61" spans="1:52">
      <c r="A61" s="5" t="s">
        <v>727</v>
      </c>
      <c r="B61" s="5" t="s">
        <v>728</v>
      </c>
      <c r="C61" s="5"/>
      <c r="D61" s="5" t="s">
        <v>118</v>
      </c>
      <c r="E61" s="12">
        <f>IF(OR(AY61&lt;&gt;"Valid",AZ61&lt;&gt;"16 keys present"),"Review settings",20*(IF(ISNUMBER(AC61),AC61*IF($D61="Unlabeled-13",MCDM_Settings!$E$6,MCDM_Settings!$C$6),0)+IF(ISNUMBER(AF61),AF61*IF($D61="Unlabeled-13",MCDM_Settings!$E$7,MCDM_Settings!$C$7),0)+IF(ISNUMBER(AI61),AI61*IF($D61="Unlabeled-13",MCDM_Settings!$E$8,MCDM_Settings!$C$8),0)+IF(ISNUMBER(AL61),AL61*IF($D61="Unlabeled-13",MCDM_Settings!$E$9,MCDM_Settings!$C$9),0)+IF(ISNUMBER(AO61),AO61*IF($D61="Unlabeled-13",MCDM_Settings!$E$10,MCDM_Settings!$C$10),0)+IF(ISNUMBER(AR61),AR61*IF($D61="Unlabeled-13",MCDM_Settings!$E$11,MCDM_Settings!$C$11),0)))</f>
        <v>61.111111111111107</v>
      </c>
      <c r="F61" s="12">
        <f>IF(OR(AY61&lt;&gt;"Valid",AZ61&lt;&gt;"16 keys present"),"Review settings",20*(IF(ISNUMBER(AD61),AD61*IF($D61="Unlabeled-13",MCDM_Settings!$E$6,MCDM_Settings!$C$6),0)+IF(ISNUMBER(AG61),AG61*IF($D61="Unlabeled-13",MCDM_Settings!$E$7,MCDM_Settings!$C$7),0)+IF(ISNUMBER(AJ61),AJ61*IF($D61="Unlabeled-13",MCDM_Settings!$E$8,MCDM_Settings!$C$8),0)+IF(ISNUMBER(AM61),AM61*IF($D61="Unlabeled-13",MCDM_Settings!$E$9,MCDM_Settings!$C$9),0)+IF(ISNUMBER(AP61),AP61*IF($D61="Unlabeled-13",MCDM_Settings!$E$10,MCDM_Settings!$C$10),0)+IF(ISNUMBER(AS61),AS61*IF($D61="Unlabeled-13",MCDM_Settings!$E$11,MCDM_Settings!$C$11),0)))</f>
        <v>99.999999999999986</v>
      </c>
      <c r="G61" s="13">
        <f>IF(OR(AY61&lt;&gt;"Valid",AZ61&lt;&gt;"16 keys present"),"Review settings",1*(IF(ISNUMBER(AE61),AE61*IF($D61="Unlabeled-13",MCDM_Settings!$E$6,MCDM_Settings!$C$6),0)+IF(ISNUMBER(AH61),AH61*IF($D61="Unlabeled-13",MCDM_Settings!$E$7,MCDM_Settings!$C$7),0)+IF(ISNUMBER(AK61),AK61*IF($D61="Unlabeled-13",MCDM_Settings!$E$8,MCDM_Settings!$C$8),0)+IF(ISNUMBER(AN61),AN61*IF($D61="Unlabeled-13",MCDM_Settings!$E$9,MCDM_Settings!$C$9),0)+IF(ISNUMBER(AQ61),AQ61*IF($D61="Unlabeled-13",MCDM_Settings!$E$10,MCDM_Settings!$C$10),0)+IF(ISNUMBER(AT61),AT61*IF($D61="Unlabeled-13",MCDM_Settings!$E$11,MCDM_Settings!$C$11),0)))</f>
        <v>0.61111111111111116</v>
      </c>
      <c r="H61" s="5" t="str">
        <f>INDEX(Manual_Review!$AH$6:$AH$238,MATCH(A61,Manual_Review!$A$6:$A$238,0))</f>
        <v>Not started</v>
      </c>
      <c r="I61" s="5" t="s">
        <v>128</v>
      </c>
      <c r="J61" s="5" t="s">
        <v>556</v>
      </c>
      <c r="K61" s="5" t="str">
        <f>HYPERLINK("https://data.mendeley.com/datasets/ktnx66vtmc/1","Dataset")</f>
        <v>Dataset</v>
      </c>
      <c r="L61" s="5" t="str">
        <f>HYPERLINK("#'Manual_Review'!A"&amp;(MATCH("DS-056",Manual_Review!$A$6:$A$238,0)+5),"Enter review")</f>
        <v>Enter review</v>
      </c>
      <c r="M61" s="5" t="str">
        <f>INDEX(MCDM_Checks!$K$6:$K$3733,MATCH(A61&amp;"|"&amp;M$5,MCDM_Checks!$A$6:$A$3733,0))</f>
        <v>Y</v>
      </c>
      <c r="N61" s="5" t="str">
        <f>INDEX(MCDM_Checks!$K$6:$K$3733,MATCH(A61&amp;"|"&amp;N$5,MCDM_Checks!$A$6:$A$3733,0))</f>
        <v>Y</v>
      </c>
      <c r="O61" s="5" t="str">
        <f>INDEX(MCDM_Checks!$K$6:$K$3733,MATCH(A61&amp;"|"&amp;O$5,MCDM_Checks!$A$6:$A$3733,0))</f>
        <v>Y</v>
      </c>
      <c r="P61" s="5" t="str">
        <f>INDEX(MCDM_Checks!$K$6:$K$3733,MATCH(A61&amp;"|"&amp;P$5,MCDM_Checks!$A$6:$A$3733,0))</f>
        <v>Y</v>
      </c>
      <c r="Q61" s="5" t="str">
        <f>INDEX(MCDM_Checks!$K$6:$K$3733,MATCH(A61&amp;"|"&amp;Q$5,MCDM_Checks!$A$6:$A$3733,0))</f>
        <v>Y</v>
      </c>
      <c r="R61" s="5" t="str">
        <f>INDEX(MCDM_Checks!$K$6:$K$3733,MATCH(A61&amp;"|"&amp;R$5,MCDM_Checks!$A$6:$A$3733,0))</f>
        <v>U</v>
      </c>
      <c r="S61" s="5" t="str">
        <f>INDEX(MCDM_Checks!$K$6:$K$3733,MATCH(A61&amp;"|"&amp;S$5,MCDM_Checks!$A$6:$A$3733,0))</f>
        <v>U</v>
      </c>
      <c r="T61" s="5" t="str">
        <f>INDEX(MCDM_Checks!$K$6:$K$3733,MATCH(A61&amp;"|"&amp;T$5,MCDM_Checks!$A$6:$A$3733,0))</f>
        <v>Y</v>
      </c>
      <c r="U61" s="5" t="str">
        <f>INDEX(MCDM_Checks!$K$6:$K$3733,MATCH(A61&amp;"|"&amp;U$5,MCDM_Checks!$A$6:$A$3733,0))</f>
        <v>Y</v>
      </c>
      <c r="V61" s="5" t="str">
        <f>INDEX(MCDM_Checks!$K$6:$K$3733,MATCH(A61&amp;"|"&amp;V$5,MCDM_Checks!$A$6:$A$3733,0))</f>
        <v>U</v>
      </c>
      <c r="W61" s="5" t="str">
        <f>INDEX(MCDM_Checks!$K$6:$K$3733,MATCH(A61&amp;"|"&amp;W$5,MCDM_Checks!$A$6:$A$3733,0))</f>
        <v>U</v>
      </c>
      <c r="X61" s="5" t="str">
        <f>INDEX(MCDM_Checks!$K$6:$K$3733,MATCH(A61&amp;"|"&amp;X$5,MCDM_Checks!$A$6:$A$3733,0))</f>
        <v>Y</v>
      </c>
      <c r="Y61" s="5" t="str">
        <f>INDEX(MCDM_Checks!$K$6:$K$3733,MATCH(A61&amp;"|"&amp;Y$5,MCDM_Checks!$A$6:$A$3733,0))</f>
        <v>Y</v>
      </c>
      <c r="Z61" s="5" t="str">
        <f>INDEX(MCDM_Checks!$K$6:$K$3733,MATCH(A61&amp;"|"&amp;Z$5,MCDM_Checks!$A$6:$A$3733,0))</f>
        <v>Y</v>
      </c>
      <c r="AA61" s="5" t="str">
        <f>INDEX(MCDM_Checks!$K$6:$K$3733,MATCH(A61&amp;"|"&amp;AA$5,MCDM_Checks!$A$6:$A$3733,0))</f>
        <v>U</v>
      </c>
      <c r="AB61" s="5" t="str">
        <f>INDEX(MCDM_Checks!$K$6:$K$3733,MATCH(A61&amp;"|"&amp;AB$5,MCDM_Checks!$A$6:$A$3733,0))</f>
        <v>U</v>
      </c>
      <c r="AC61" s="12">
        <f>IF(IF($D61="Unlabeled-13",MCDM_Settings!$F$6,MCDM_Settings!$D$6)=0,"n.a.",5*COUNTIF(M61:O61,"Y")/IF($D61="Unlabeled-13",MCDM_Settings!$F$6,MCDM_Settings!$D$6))</f>
        <v>5</v>
      </c>
      <c r="AD61" s="12">
        <f>IF(IF($D61="Unlabeled-13",MCDM_Settings!$F$6,MCDM_Settings!$D$6)=0,"n.a.",5*(COUNTIF(M61:O61,"Y")+COUNTIF(M61:O61,"U")+COUNTIF(M61:O61,"X"))/IF($D61="Unlabeled-13",MCDM_Settings!$F$6,MCDM_Settings!$D$6))</f>
        <v>5</v>
      </c>
      <c r="AE61" s="13">
        <f>IF(IF($D61="Unlabeled-13",MCDM_Settings!$F$6,MCDM_Settings!$D$6)=0,"n.a.",(COUNTIF(M61:O61,"Y")+COUNTIF(M61:O61,"N"))/IF($D61="Unlabeled-13",MCDM_Settings!$F$6,MCDM_Settings!$D$6))</f>
        <v>1</v>
      </c>
      <c r="AF61" s="12">
        <f>IF(IF($D61="Unlabeled-13",MCDM_Settings!$F$7,MCDM_Settings!$D$7)=0,"n.a.",5*COUNTIF(P61:R61,"Y")/IF($D61="Unlabeled-13",MCDM_Settings!$F$7,MCDM_Settings!$D$7))</f>
        <v>3.3333333333333335</v>
      </c>
      <c r="AG61" s="12">
        <f>IF(IF($D61="Unlabeled-13",MCDM_Settings!$F$7,MCDM_Settings!$D$7)=0,"n.a.",5*(COUNTIF(P61:R61,"Y")+COUNTIF(P61:R61,"U")+COUNTIF(P61:R61,"X"))/IF($D61="Unlabeled-13",MCDM_Settings!$F$7,MCDM_Settings!$D$7))</f>
        <v>5</v>
      </c>
      <c r="AH61" s="13">
        <f>IF(IF($D61="Unlabeled-13",MCDM_Settings!$F$7,MCDM_Settings!$D$7)=0,"n.a.",(COUNTIF(P61:R61,"Y")+COUNTIF(P61:R61,"N"))/IF($D61="Unlabeled-13",MCDM_Settings!$F$7,MCDM_Settings!$D$7))</f>
        <v>0.66666666666666663</v>
      </c>
      <c r="AI61" s="12">
        <f>IF(IF($D61="Unlabeled-13",MCDM_Settings!$F$8,MCDM_Settings!$D$8)=0,"n.a.",5*COUNTIF(S61:U61,"Y")/IF($D61="Unlabeled-13",MCDM_Settings!$F$8,MCDM_Settings!$D$8))</f>
        <v>3.3333333333333335</v>
      </c>
      <c r="AJ61" s="12">
        <f>IF(IF($D61="Unlabeled-13",MCDM_Settings!$F$8,MCDM_Settings!$D$8)=0,"n.a.",5*(COUNTIF(S61:U61,"Y")+COUNTIF(S61:U61,"U")+COUNTIF(S61:U61,"X"))/IF($D61="Unlabeled-13",MCDM_Settings!$F$8,MCDM_Settings!$D$8))</f>
        <v>5</v>
      </c>
      <c r="AK61" s="13">
        <f>IF(IF($D61="Unlabeled-13",MCDM_Settings!$F$8,MCDM_Settings!$D$8)=0,"n.a.",(COUNTIF(S61:U61,"Y")+COUNTIF(S61:U61,"N"))/IF($D61="Unlabeled-13",MCDM_Settings!$F$8,MCDM_Settings!$D$8))</f>
        <v>0.66666666666666663</v>
      </c>
      <c r="AL61" s="12">
        <f>IF(IF($D61="Unlabeled-13",MCDM_Settings!$F$9,MCDM_Settings!$D$9)=0,"n.a.",5*COUNTIF(V61:W61,"Y")/IF($D61="Unlabeled-13",MCDM_Settings!$F$9,MCDM_Settings!$D$9))</f>
        <v>0</v>
      </c>
      <c r="AM61" s="12">
        <f>IF(IF($D61="Unlabeled-13",MCDM_Settings!$F$9,MCDM_Settings!$D$9)=0,"n.a.",5*(COUNTIF(V61:W61,"Y")+COUNTIF(V61:W61,"U")+COUNTIF(V61:W61,"X"))/IF($D61="Unlabeled-13",MCDM_Settings!$F$9,MCDM_Settings!$D$9))</f>
        <v>5</v>
      </c>
      <c r="AN61" s="13">
        <f>IF(IF($D61="Unlabeled-13",MCDM_Settings!$F$9,MCDM_Settings!$D$9)=0,"n.a.",(COUNTIF(V61:W61,"Y")+COUNTIF(V61:W61,"N"))/IF($D61="Unlabeled-13",MCDM_Settings!$F$9,MCDM_Settings!$D$9))</f>
        <v>0</v>
      </c>
      <c r="AO61" s="12">
        <f>IF(IF($D61="Unlabeled-13",MCDM_Settings!$F$10,MCDM_Settings!$D$10)=0,"n.a.",5*COUNTIF(X61:Y61,"Y")/IF($D61="Unlabeled-13",MCDM_Settings!$F$10,MCDM_Settings!$D$10))</f>
        <v>5</v>
      </c>
      <c r="AP61" s="12">
        <f>IF(IF($D61="Unlabeled-13",MCDM_Settings!$F$10,MCDM_Settings!$D$10)=0,"n.a.",5*(COUNTIF(X61:Y61,"Y")+COUNTIF(X61:Y61,"U")+COUNTIF(X61:Y61,"X"))/IF($D61="Unlabeled-13",MCDM_Settings!$F$10,MCDM_Settings!$D$10))</f>
        <v>5</v>
      </c>
      <c r="AQ61" s="13">
        <f>IF(IF($D61="Unlabeled-13",MCDM_Settings!$F$10,MCDM_Settings!$D$10)=0,"n.a.",(COUNTIF(X61:Y61,"Y")+COUNTIF(X61:Y61,"N"))/IF($D61="Unlabeled-13",MCDM_Settings!$F$10,MCDM_Settings!$D$10))</f>
        <v>1</v>
      </c>
      <c r="AR61" s="12">
        <f>IF(IF($D61="Unlabeled-13",MCDM_Settings!$F$11,MCDM_Settings!$D$11)=0,"n.a.",5*COUNTIF(Z61:AB61,"Y")/IF($D61="Unlabeled-13",MCDM_Settings!$F$11,MCDM_Settings!$D$11))</f>
        <v>1.6666666666666667</v>
      </c>
      <c r="AS61" s="12">
        <f>IF(IF($D61="Unlabeled-13",MCDM_Settings!$F$11,MCDM_Settings!$D$11)=0,"n.a.",5*(COUNTIF(Z61:AB61,"Y")+COUNTIF(Z61:AB61,"U")+COUNTIF(Z61:AB61,"X"))/IF($D61="Unlabeled-13",MCDM_Settings!$F$11,MCDM_Settings!$D$11))</f>
        <v>5</v>
      </c>
      <c r="AT61" s="13">
        <f>IF(IF($D61="Unlabeled-13",MCDM_Settings!$F$11,MCDM_Settings!$D$11)=0,"n.a.",(COUNTIF(Z61:AB61,"Y")+COUNTIF(Z61:AB61,"N"))/IF($D61="Unlabeled-13",MCDM_Settings!$F$11,MCDM_Settings!$D$11))</f>
        <v>0.33333333333333331</v>
      </c>
      <c r="AU61" s="5" t="str">
        <f>IF(AND(INDEX(Manual_Review!$G$6:$G$238,MATCH(A61,Manual_Review!$A$6:$A$238,0))&lt;&gt;"",ISNUMBER(INDEX(Manual_Review!$H$6:$H$238,MATCH(A61,Manual_Review!$A$6:$A$238,0))),INDEX(Manual_Review!$H$6:$H$238,MATCH(A61,Manual_Review!$A$6:$A$238,0))&gt;0,INDEX(Manual_Review!$I$6:$I$238,MATCH(A61,Manual_Review!$A$6:$A$238,0))="Confirmed",INDEX(Manual_Review!$AF$6:$AF$238,MATCH(A61,Manual_Review!$A$6:$A$238,0))&lt;&gt;""),IF(INDEX(Manual_Review!$AA$6:$AA$238,MATCH(A61,Manual_Review!$A$6:$A$238,0))="Pass","Pass",IF(INDEX(Manual_Review!$AA$6:$AA$238,MATCH(A61,Manual_Review!$A$6:$A$238,0))="Fail","Fail","Pending")),"Pending human identity confirmation")</f>
        <v>Pending human identity confirmation</v>
      </c>
      <c r="AV61" s="5" t="str">
        <f>IF(AND(AND(INDEX(Manual_Review!$G$6:$G$238,MATCH(A61,Manual_Review!$A$6:$A$238,0))&lt;&gt;"",ISNUMBER(INDEX(Manual_Review!$H$6:$H$238,MATCH(A61,Manual_Review!$A$6:$A$238,0))),INDEX(Manual_Review!$H$6:$H$238,MATCH(A61,Manual_Review!$A$6:$A$238,0))&gt;0,INDEX(Manual_Review!$I$6:$I$238,MATCH(A61,Manual_Review!$A$6:$A$238,0))="Confirmed",INDEX(Manual_Review!$AF$6:$AF$238,MATCH(A61,Manual_Review!$A$6:$A$238,0))&lt;&gt;""),INDEX(Manual_Review!$AG$6:$AG$238,MATCH(A61,Manual_Review!$A$6:$A$238,0))&lt;&gt;""),IF(INDEX(Manual_Review!$AB$6:$AB$238,MATCH(A61,Manual_Review!$A$6:$A$238,0))="Pass","Pass",IF(INDEX(Manual_Review!$AB$6:$AB$238,MATCH(A61,Manual_Review!$A$6:$A$238,0))="Fail","Fail","Pending")),"Not assessed: define intended task")</f>
        <v>Not assessed: define intended task</v>
      </c>
      <c r="AW61" s="5" t="str">
        <f>IF(AND(AND(INDEX(Manual_Review!$G$6:$G$238,MATCH(A61,Manual_Review!$A$6:$A$238,0))&lt;&gt;"",ISNUMBER(INDEX(Manual_Review!$H$6:$H$238,MATCH(A61,Manual_Review!$A$6:$A$238,0))),INDEX(Manual_Review!$H$6:$H$238,MATCH(A61,Manual_Review!$A$6:$A$238,0))&gt;0,INDEX(Manual_Review!$I$6:$I$238,MATCH(A61,Manual_Review!$A$6:$A$238,0))="Confirmed",INDEX(Manual_Review!$AF$6:$AF$238,MATCH(A61,Manual_Review!$A$6:$A$238,0))&lt;&gt;""),INDEX(Manual_Review!$AG$6:$AG$238,MATCH(A61,Manual_Review!$A$6:$A$238,0))&lt;&gt;""),IF(OR(INDEX(Manual_Review!$AC$6:$AC$238,MATCH(A61,Manual_Review!$A$6:$A$238,0))="Fail",INDEX(Manual_Review!$AD$6:$AD$238,MATCH(A61,Manual_Review!$A$6:$A$238,0))="Fail"),"Fail: rights or retrieval",IF(AND(INDEX(Manual_Review!$AC$6:$AC$238,MATCH(A61,Manual_Review!$A$6:$A$238,0))="Pass",INDEX(Manual_Review!$AD$6:$AD$238,MATCH(A61,Manual_Review!$A$6:$A$238,0))="Pass"),"Pass","Pending rights and retrieval")),"Pending rights and retrieval")</f>
        <v>Pending rights and retrieval</v>
      </c>
      <c r="AX61" s="5" t="str">
        <f>IF(INDEX(Manual_Review!$AG$6:$AG$238,MATCH(A61,Manual_Review!$A$6:$A$238,0))="","N/A: documentation inventory",IF(AND(INDEX(Manual_Review!$G$6:$G$238,MATCH(A61,Manual_Review!$A$6:$A$238,0))&lt;&gt;"",ISNUMBER(INDEX(Manual_Review!$H$6:$H$238,MATCH(A61,Manual_Review!$A$6:$A$238,0))),INDEX(Manual_Review!$H$6:$H$238,MATCH(A61,Manual_Review!$A$6:$A$238,0))&gt;0,INDEX(Manual_Review!$I$6:$I$238,MATCH(A61,Manual_Review!$A$6:$A$238,0))="Confirmed",INDEX(Manual_Review!$AF$6:$AF$238,MATCH(A61,Manual_Review!$A$6:$A$238,0))&lt;&gt;""),IF(INDEX(Manual_Review!$AE$6:$AE$238,MATCH(A61,Manual_Review!$A$6:$A$238,0))="Pass","Pass",IF(INDEX(Manual_Review!$AE$6:$AE$238,MATCH(A61,Manual_Review!$A$6:$A$238,0))="Fail","Fail: benchmark leakage",IF(INDEX(Manual_Review!$AE$6:$AE$238,MATCH(A61,Manual_Review!$A$6:$A$238,0))="N/A","N/A: nonbenchmark task","Pending task-specific leakage check"))),"Pending task-specific leakage check"))</f>
        <v>N/A: documentation inventory</v>
      </c>
      <c r="AY61" s="5" t="str">
        <f>IF(IF(D61="Unlabeled-13",AND(ABS(MCDM_Settings!$D$14-1)&lt;0.0000001,MIN(MCDM_Settings!$E$6:$E$11)&gt;=0,MCDM_Settings!$E$7=0),AND(ABS(MCDM_Settings!$B$14-1)&lt;0.0000001,MIN(MCDM_Settings!$C$6:$C$11)&gt;=0)),"Valid","Check weights")</f>
        <v>Valid</v>
      </c>
      <c r="AZ61" s="5" t="str">
        <f>IF(AND(COUNTIF(MCDM_Checks!$B$6:$B$3733,A61)=16,COUNTIF(Manual_Review!$A$6:$A$238,A61)=1),"16 keys present","Check key count")</f>
        <v>16 keys present</v>
      </c>
    </row>
    <row r="62" spans="1:52" ht="25.5">
      <c r="A62" s="5" t="s">
        <v>737</v>
      </c>
      <c r="B62" s="5" t="s">
        <v>738</v>
      </c>
      <c r="C62" s="5"/>
      <c r="D62" s="5" t="s">
        <v>118</v>
      </c>
      <c r="E62" s="12">
        <f>IF(OR(AY62&lt;&gt;"Valid",AZ62&lt;&gt;"16 keys present"),"Review settings",20*(IF(ISNUMBER(AC62),AC62*IF($D62="Unlabeled-13",MCDM_Settings!$E$6,MCDM_Settings!$C$6),0)+IF(ISNUMBER(AF62),AF62*IF($D62="Unlabeled-13",MCDM_Settings!$E$7,MCDM_Settings!$C$7),0)+IF(ISNUMBER(AI62),AI62*IF($D62="Unlabeled-13",MCDM_Settings!$E$8,MCDM_Settings!$C$8),0)+IF(ISNUMBER(AL62),AL62*IF($D62="Unlabeled-13",MCDM_Settings!$E$9,MCDM_Settings!$C$9),0)+IF(ISNUMBER(AO62),AO62*IF($D62="Unlabeled-13",MCDM_Settings!$E$10,MCDM_Settings!$C$10),0)+IF(ISNUMBER(AR62),AR62*IF($D62="Unlabeled-13",MCDM_Settings!$E$11,MCDM_Settings!$C$11),0)))</f>
        <v>88.888888888888872</v>
      </c>
      <c r="F62" s="12">
        <f>IF(OR(AY62&lt;&gt;"Valid",AZ62&lt;&gt;"16 keys present"),"Review settings",20*(IF(ISNUMBER(AD62),AD62*IF($D62="Unlabeled-13",MCDM_Settings!$E$6,MCDM_Settings!$C$6),0)+IF(ISNUMBER(AG62),AG62*IF($D62="Unlabeled-13",MCDM_Settings!$E$7,MCDM_Settings!$C$7),0)+IF(ISNUMBER(AJ62),AJ62*IF($D62="Unlabeled-13",MCDM_Settings!$E$8,MCDM_Settings!$C$8),0)+IF(ISNUMBER(AM62),AM62*IF($D62="Unlabeled-13",MCDM_Settings!$E$9,MCDM_Settings!$C$9),0)+IF(ISNUMBER(AP62),AP62*IF($D62="Unlabeled-13",MCDM_Settings!$E$10,MCDM_Settings!$C$10),0)+IF(ISNUMBER(AS62),AS62*IF($D62="Unlabeled-13",MCDM_Settings!$E$11,MCDM_Settings!$C$11),0)))</f>
        <v>99.999999999999986</v>
      </c>
      <c r="G62" s="13">
        <f>IF(OR(AY62&lt;&gt;"Valid",AZ62&lt;&gt;"16 keys present"),"Review settings",1*(IF(ISNUMBER(AE62),AE62*IF($D62="Unlabeled-13",MCDM_Settings!$E$6,MCDM_Settings!$C$6),0)+IF(ISNUMBER(AH62),AH62*IF($D62="Unlabeled-13",MCDM_Settings!$E$7,MCDM_Settings!$C$7),0)+IF(ISNUMBER(AK62),AK62*IF($D62="Unlabeled-13",MCDM_Settings!$E$8,MCDM_Settings!$C$8),0)+IF(ISNUMBER(AN62),AN62*IF($D62="Unlabeled-13",MCDM_Settings!$E$9,MCDM_Settings!$C$9),0)+IF(ISNUMBER(AQ62),AQ62*IF($D62="Unlabeled-13",MCDM_Settings!$E$10,MCDM_Settings!$C$10),0)+IF(ISNUMBER(AT62),AT62*IF($D62="Unlabeled-13",MCDM_Settings!$E$11,MCDM_Settings!$C$11),0)))</f>
        <v>0.88888888888888884</v>
      </c>
      <c r="H62" s="5" t="str">
        <f>INDEX(Manual_Review!$AH$6:$AH$238,MATCH(A62,Manual_Review!$A$6:$A$238,0))</f>
        <v>Not started</v>
      </c>
      <c r="I62" s="5" t="s">
        <v>128</v>
      </c>
      <c r="J62" s="5" t="s">
        <v>739</v>
      </c>
      <c r="K62" s="5" t="str">
        <f>HYPERLINK("https://data.mendeley.com/datasets/z3nx8n396g/3","Dataset")</f>
        <v>Dataset</v>
      </c>
      <c r="L62" s="5" t="str">
        <f>HYPERLINK("#'Manual_Review'!A"&amp;(MATCH("DS-057",Manual_Review!$A$6:$A$238,0)+5),"Enter review")</f>
        <v>Enter review</v>
      </c>
      <c r="M62" s="5" t="str">
        <f>INDEX(MCDM_Checks!$K$6:$K$3733,MATCH(A62&amp;"|"&amp;M$5,MCDM_Checks!$A$6:$A$3733,0))</f>
        <v>Y</v>
      </c>
      <c r="N62" s="5" t="str">
        <f>INDEX(MCDM_Checks!$K$6:$K$3733,MATCH(A62&amp;"|"&amp;N$5,MCDM_Checks!$A$6:$A$3733,0))</f>
        <v>Y</v>
      </c>
      <c r="O62" s="5" t="str">
        <f>INDEX(MCDM_Checks!$K$6:$K$3733,MATCH(A62&amp;"|"&amp;O$5,MCDM_Checks!$A$6:$A$3733,0))</f>
        <v>Y</v>
      </c>
      <c r="P62" s="5" t="str">
        <f>INDEX(MCDM_Checks!$K$6:$K$3733,MATCH(A62&amp;"|"&amp;P$5,MCDM_Checks!$A$6:$A$3733,0))</f>
        <v>Y</v>
      </c>
      <c r="Q62" s="5" t="str">
        <f>INDEX(MCDM_Checks!$K$6:$K$3733,MATCH(A62&amp;"|"&amp;Q$5,MCDM_Checks!$A$6:$A$3733,0))</f>
        <v>Y</v>
      </c>
      <c r="R62" s="5" t="str">
        <f>INDEX(MCDM_Checks!$K$6:$K$3733,MATCH(A62&amp;"|"&amp;R$5,MCDM_Checks!$A$6:$A$3733,0))</f>
        <v>U</v>
      </c>
      <c r="S62" s="5" t="str">
        <f>INDEX(MCDM_Checks!$K$6:$K$3733,MATCH(A62&amp;"|"&amp;S$5,MCDM_Checks!$A$6:$A$3733,0))</f>
        <v>Y</v>
      </c>
      <c r="T62" s="5" t="str">
        <f>INDEX(MCDM_Checks!$K$6:$K$3733,MATCH(A62&amp;"|"&amp;T$5,MCDM_Checks!$A$6:$A$3733,0))</f>
        <v>Y</v>
      </c>
      <c r="U62" s="5" t="str">
        <f>INDEX(MCDM_Checks!$K$6:$K$3733,MATCH(A62&amp;"|"&amp;U$5,MCDM_Checks!$A$6:$A$3733,0))</f>
        <v>U</v>
      </c>
      <c r="V62" s="5" t="str">
        <f>INDEX(MCDM_Checks!$K$6:$K$3733,MATCH(A62&amp;"|"&amp;V$5,MCDM_Checks!$A$6:$A$3733,0))</f>
        <v>Y</v>
      </c>
      <c r="W62" s="5" t="str">
        <f>INDEX(MCDM_Checks!$K$6:$K$3733,MATCH(A62&amp;"|"&amp;W$5,MCDM_Checks!$A$6:$A$3733,0))</f>
        <v>Y</v>
      </c>
      <c r="X62" s="5" t="str">
        <f>INDEX(MCDM_Checks!$K$6:$K$3733,MATCH(A62&amp;"|"&amp;X$5,MCDM_Checks!$A$6:$A$3733,0))</f>
        <v>Y</v>
      </c>
      <c r="Y62" s="5" t="str">
        <f>INDEX(MCDM_Checks!$K$6:$K$3733,MATCH(A62&amp;"|"&amp;Y$5,MCDM_Checks!$A$6:$A$3733,0))</f>
        <v>Y</v>
      </c>
      <c r="Z62" s="5" t="str">
        <f>INDEX(MCDM_Checks!$K$6:$K$3733,MATCH(A62&amp;"|"&amp;Z$5,MCDM_Checks!$A$6:$A$3733,0))</f>
        <v>Y</v>
      </c>
      <c r="AA62" s="5" t="str">
        <f>INDEX(MCDM_Checks!$K$6:$K$3733,MATCH(A62&amp;"|"&amp;AA$5,MCDM_Checks!$A$6:$A$3733,0))</f>
        <v>Y</v>
      </c>
      <c r="AB62" s="5" t="str">
        <f>INDEX(MCDM_Checks!$K$6:$K$3733,MATCH(A62&amp;"|"&amp;AB$5,MCDM_Checks!$A$6:$A$3733,0))</f>
        <v>Y</v>
      </c>
      <c r="AC62" s="12">
        <f>IF(IF($D62="Unlabeled-13",MCDM_Settings!$F$6,MCDM_Settings!$D$6)=0,"n.a.",5*COUNTIF(M62:O62,"Y")/IF($D62="Unlabeled-13",MCDM_Settings!$F$6,MCDM_Settings!$D$6))</f>
        <v>5</v>
      </c>
      <c r="AD62" s="12">
        <f>IF(IF($D62="Unlabeled-13",MCDM_Settings!$F$6,MCDM_Settings!$D$6)=0,"n.a.",5*(COUNTIF(M62:O62,"Y")+COUNTIF(M62:O62,"U")+COUNTIF(M62:O62,"X"))/IF($D62="Unlabeled-13",MCDM_Settings!$F$6,MCDM_Settings!$D$6))</f>
        <v>5</v>
      </c>
      <c r="AE62" s="13">
        <f>IF(IF($D62="Unlabeled-13",MCDM_Settings!$F$6,MCDM_Settings!$D$6)=0,"n.a.",(COUNTIF(M62:O62,"Y")+COUNTIF(M62:O62,"N"))/IF($D62="Unlabeled-13",MCDM_Settings!$F$6,MCDM_Settings!$D$6))</f>
        <v>1</v>
      </c>
      <c r="AF62" s="12">
        <f>IF(IF($D62="Unlabeled-13",MCDM_Settings!$F$7,MCDM_Settings!$D$7)=0,"n.a.",5*COUNTIF(P62:R62,"Y")/IF($D62="Unlabeled-13",MCDM_Settings!$F$7,MCDM_Settings!$D$7))</f>
        <v>3.3333333333333335</v>
      </c>
      <c r="AG62" s="12">
        <f>IF(IF($D62="Unlabeled-13",MCDM_Settings!$F$7,MCDM_Settings!$D$7)=0,"n.a.",5*(COUNTIF(P62:R62,"Y")+COUNTIF(P62:R62,"U")+COUNTIF(P62:R62,"X"))/IF($D62="Unlabeled-13",MCDM_Settings!$F$7,MCDM_Settings!$D$7))</f>
        <v>5</v>
      </c>
      <c r="AH62" s="13">
        <f>IF(IF($D62="Unlabeled-13",MCDM_Settings!$F$7,MCDM_Settings!$D$7)=0,"n.a.",(COUNTIF(P62:R62,"Y")+COUNTIF(P62:R62,"N"))/IF($D62="Unlabeled-13",MCDM_Settings!$F$7,MCDM_Settings!$D$7))</f>
        <v>0.66666666666666663</v>
      </c>
      <c r="AI62" s="12">
        <f>IF(IF($D62="Unlabeled-13",MCDM_Settings!$F$8,MCDM_Settings!$D$8)=0,"n.a.",5*COUNTIF(S62:U62,"Y")/IF($D62="Unlabeled-13",MCDM_Settings!$F$8,MCDM_Settings!$D$8))</f>
        <v>3.3333333333333335</v>
      </c>
      <c r="AJ62" s="12">
        <f>IF(IF($D62="Unlabeled-13",MCDM_Settings!$F$8,MCDM_Settings!$D$8)=0,"n.a.",5*(COUNTIF(S62:U62,"Y")+COUNTIF(S62:U62,"U")+COUNTIF(S62:U62,"X"))/IF($D62="Unlabeled-13",MCDM_Settings!$F$8,MCDM_Settings!$D$8))</f>
        <v>5</v>
      </c>
      <c r="AK62" s="13">
        <f>IF(IF($D62="Unlabeled-13",MCDM_Settings!$F$8,MCDM_Settings!$D$8)=0,"n.a.",(COUNTIF(S62:U62,"Y")+COUNTIF(S62:U62,"N"))/IF($D62="Unlabeled-13",MCDM_Settings!$F$8,MCDM_Settings!$D$8))</f>
        <v>0.66666666666666663</v>
      </c>
      <c r="AL62" s="12">
        <f>IF(IF($D62="Unlabeled-13",MCDM_Settings!$F$9,MCDM_Settings!$D$9)=0,"n.a.",5*COUNTIF(V62:W62,"Y")/IF($D62="Unlabeled-13",MCDM_Settings!$F$9,MCDM_Settings!$D$9))</f>
        <v>5</v>
      </c>
      <c r="AM62" s="12">
        <f>IF(IF($D62="Unlabeled-13",MCDM_Settings!$F$9,MCDM_Settings!$D$9)=0,"n.a.",5*(COUNTIF(V62:W62,"Y")+COUNTIF(V62:W62,"U")+COUNTIF(V62:W62,"X"))/IF($D62="Unlabeled-13",MCDM_Settings!$F$9,MCDM_Settings!$D$9))</f>
        <v>5</v>
      </c>
      <c r="AN62" s="13">
        <f>IF(IF($D62="Unlabeled-13",MCDM_Settings!$F$9,MCDM_Settings!$D$9)=0,"n.a.",(COUNTIF(V62:W62,"Y")+COUNTIF(V62:W62,"N"))/IF($D62="Unlabeled-13",MCDM_Settings!$F$9,MCDM_Settings!$D$9))</f>
        <v>1</v>
      </c>
      <c r="AO62" s="12">
        <f>IF(IF($D62="Unlabeled-13",MCDM_Settings!$F$10,MCDM_Settings!$D$10)=0,"n.a.",5*COUNTIF(X62:Y62,"Y")/IF($D62="Unlabeled-13",MCDM_Settings!$F$10,MCDM_Settings!$D$10))</f>
        <v>5</v>
      </c>
      <c r="AP62" s="12">
        <f>IF(IF($D62="Unlabeled-13",MCDM_Settings!$F$10,MCDM_Settings!$D$10)=0,"n.a.",5*(COUNTIF(X62:Y62,"Y")+COUNTIF(X62:Y62,"U")+COUNTIF(X62:Y62,"X"))/IF($D62="Unlabeled-13",MCDM_Settings!$F$10,MCDM_Settings!$D$10))</f>
        <v>5</v>
      </c>
      <c r="AQ62" s="13">
        <f>IF(IF($D62="Unlabeled-13",MCDM_Settings!$F$10,MCDM_Settings!$D$10)=0,"n.a.",(COUNTIF(X62:Y62,"Y")+COUNTIF(X62:Y62,"N"))/IF($D62="Unlabeled-13",MCDM_Settings!$F$10,MCDM_Settings!$D$10))</f>
        <v>1</v>
      </c>
      <c r="AR62" s="12">
        <f>IF(IF($D62="Unlabeled-13",MCDM_Settings!$F$11,MCDM_Settings!$D$11)=0,"n.a.",5*COUNTIF(Z62:AB62,"Y")/IF($D62="Unlabeled-13",MCDM_Settings!$F$11,MCDM_Settings!$D$11))</f>
        <v>5</v>
      </c>
      <c r="AS62" s="12">
        <f>IF(IF($D62="Unlabeled-13",MCDM_Settings!$F$11,MCDM_Settings!$D$11)=0,"n.a.",5*(COUNTIF(Z62:AB62,"Y")+COUNTIF(Z62:AB62,"U")+COUNTIF(Z62:AB62,"X"))/IF($D62="Unlabeled-13",MCDM_Settings!$F$11,MCDM_Settings!$D$11))</f>
        <v>5</v>
      </c>
      <c r="AT62" s="13">
        <f>IF(IF($D62="Unlabeled-13",MCDM_Settings!$F$11,MCDM_Settings!$D$11)=0,"n.a.",(COUNTIF(Z62:AB62,"Y")+COUNTIF(Z62:AB62,"N"))/IF($D62="Unlabeled-13",MCDM_Settings!$F$11,MCDM_Settings!$D$11))</f>
        <v>1</v>
      </c>
      <c r="AU62" s="5" t="str">
        <f>IF(AND(INDEX(Manual_Review!$G$6:$G$238,MATCH(A62,Manual_Review!$A$6:$A$238,0))&lt;&gt;"",ISNUMBER(INDEX(Manual_Review!$H$6:$H$238,MATCH(A62,Manual_Review!$A$6:$A$238,0))),INDEX(Manual_Review!$H$6:$H$238,MATCH(A62,Manual_Review!$A$6:$A$238,0))&gt;0,INDEX(Manual_Review!$I$6:$I$238,MATCH(A62,Manual_Review!$A$6:$A$238,0))="Confirmed",INDEX(Manual_Review!$AF$6:$AF$238,MATCH(A62,Manual_Review!$A$6:$A$238,0))&lt;&gt;""),IF(INDEX(Manual_Review!$AA$6:$AA$238,MATCH(A62,Manual_Review!$A$6:$A$238,0))="Pass","Pass",IF(INDEX(Manual_Review!$AA$6:$AA$238,MATCH(A62,Manual_Review!$A$6:$A$238,0))="Fail","Fail","Pending")),"Pending human identity confirmation")</f>
        <v>Pending human identity confirmation</v>
      </c>
      <c r="AV62" s="5" t="str">
        <f>IF(AND(AND(INDEX(Manual_Review!$G$6:$G$238,MATCH(A62,Manual_Review!$A$6:$A$238,0))&lt;&gt;"",ISNUMBER(INDEX(Manual_Review!$H$6:$H$238,MATCH(A62,Manual_Review!$A$6:$A$238,0))),INDEX(Manual_Review!$H$6:$H$238,MATCH(A62,Manual_Review!$A$6:$A$238,0))&gt;0,INDEX(Manual_Review!$I$6:$I$238,MATCH(A62,Manual_Review!$A$6:$A$238,0))="Confirmed",INDEX(Manual_Review!$AF$6:$AF$238,MATCH(A62,Manual_Review!$A$6:$A$238,0))&lt;&gt;""),INDEX(Manual_Review!$AG$6:$AG$238,MATCH(A62,Manual_Review!$A$6:$A$238,0))&lt;&gt;""),IF(INDEX(Manual_Review!$AB$6:$AB$238,MATCH(A62,Manual_Review!$A$6:$A$238,0))="Pass","Pass",IF(INDEX(Manual_Review!$AB$6:$AB$238,MATCH(A62,Manual_Review!$A$6:$A$238,0))="Fail","Fail","Pending")),"Not assessed: define intended task")</f>
        <v>Not assessed: define intended task</v>
      </c>
      <c r="AW62" s="5" t="str">
        <f>IF(AND(AND(INDEX(Manual_Review!$G$6:$G$238,MATCH(A62,Manual_Review!$A$6:$A$238,0))&lt;&gt;"",ISNUMBER(INDEX(Manual_Review!$H$6:$H$238,MATCH(A62,Manual_Review!$A$6:$A$238,0))),INDEX(Manual_Review!$H$6:$H$238,MATCH(A62,Manual_Review!$A$6:$A$238,0))&gt;0,INDEX(Manual_Review!$I$6:$I$238,MATCH(A62,Manual_Review!$A$6:$A$238,0))="Confirmed",INDEX(Manual_Review!$AF$6:$AF$238,MATCH(A62,Manual_Review!$A$6:$A$238,0))&lt;&gt;""),INDEX(Manual_Review!$AG$6:$AG$238,MATCH(A62,Manual_Review!$A$6:$A$238,0))&lt;&gt;""),IF(OR(INDEX(Manual_Review!$AC$6:$AC$238,MATCH(A62,Manual_Review!$A$6:$A$238,0))="Fail",INDEX(Manual_Review!$AD$6:$AD$238,MATCH(A62,Manual_Review!$A$6:$A$238,0))="Fail"),"Fail: rights or retrieval",IF(AND(INDEX(Manual_Review!$AC$6:$AC$238,MATCH(A62,Manual_Review!$A$6:$A$238,0))="Pass",INDEX(Manual_Review!$AD$6:$AD$238,MATCH(A62,Manual_Review!$A$6:$A$238,0))="Pass"),"Pass","Pending rights and retrieval")),"Pending rights and retrieval")</f>
        <v>Pending rights and retrieval</v>
      </c>
      <c r="AX62" s="5" t="str">
        <f>IF(INDEX(Manual_Review!$AG$6:$AG$238,MATCH(A62,Manual_Review!$A$6:$A$238,0))="","N/A: documentation inventory",IF(AND(INDEX(Manual_Review!$G$6:$G$238,MATCH(A62,Manual_Review!$A$6:$A$238,0))&lt;&gt;"",ISNUMBER(INDEX(Manual_Review!$H$6:$H$238,MATCH(A62,Manual_Review!$A$6:$A$238,0))),INDEX(Manual_Review!$H$6:$H$238,MATCH(A62,Manual_Review!$A$6:$A$238,0))&gt;0,INDEX(Manual_Review!$I$6:$I$238,MATCH(A62,Manual_Review!$A$6:$A$238,0))="Confirmed",INDEX(Manual_Review!$AF$6:$AF$238,MATCH(A62,Manual_Review!$A$6:$A$238,0))&lt;&gt;""),IF(INDEX(Manual_Review!$AE$6:$AE$238,MATCH(A62,Manual_Review!$A$6:$A$238,0))="Pass","Pass",IF(INDEX(Manual_Review!$AE$6:$AE$238,MATCH(A62,Manual_Review!$A$6:$A$238,0))="Fail","Fail: benchmark leakage",IF(INDEX(Manual_Review!$AE$6:$AE$238,MATCH(A62,Manual_Review!$A$6:$A$238,0))="N/A","N/A: nonbenchmark task","Pending task-specific leakage check"))),"Pending task-specific leakage check"))</f>
        <v>N/A: documentation inventory</v>
      </c>
      <c r="AY62" s="5" t="str">
        <f>IF(IF(D62="Unlabeled-13",AND(ABS(MCDM_Settings!$D$14-1)&lt;0.0000001,MIN(MCDM_Settings!$E$6:$E$11)&gt;=0,MCDM_Settings!$E$7=0),AND(ABS(MCDM_Settings!$B$14-1)&lt;0.0000001,MIN(MCDM_Settings!$C$6:$C$11)&gt;=0)),"Valid","Check weights")</f>
        <v>Valid</v>
      </c>
      <c r="AZ62" s="5" t="str">
        <f>IF(AND(COUNTIF(MCDM_Checks!$B$6:$B$3733,A62)=16,COUNTIF(Manual_Review!$A$6:$A$238,A62)=1),"16 keys present","Check key count")</f>
        <v>16 keys present</v>
      </c>
    </row>
    <row r="63" spans="1:52" ht="25.5">
      <c r="A63" s="5" t="s">
        <v>749</v>
      </c>
      <c r="B63" s="5" t="s">
        <v>750</v>
      </c>
      <c r="C63" s="5"/>
      <c r="D63" s="5" t="s">
        <v>118</v>
      </c>
      <c r="E63" s="12">
        <f>IF(OR(AY63&lt;&gt;"Valid",AZ63&lt;&gt;"16 keys present"),"Review settings",20*(IF(ISNUMBER(AC63),AC63*IF($D63="Unlabeled-13",MCDM_Settings!$E$6,MCDM_Settings!$C$6),0)+IF(ISNUMBER(AF63),AF63*IF($D63="Unlabeled-13",MCDM_Settings!$E$7,MCDM_Settings!$C$7),0)+IF(ISNUMBER(AI63),AI63*IF($D63="Unlabeled-13",MCDM_Settings!$E$8,MCDM_Settings!$C$8),0)+IF(ISNUMBER(AL63),AL63*IF($D63="Unlabeled-13",MCDM_Settings!$E$9,MCDM_Settings!$C$9),0)+IF(ISNUMBER(AO63),AO63*IF($D63="Unlabeled-13",MCDM_Settings!$E$10,MCDM_Settings!$C$10),0)+IF(ISNUMBER(AR63),AR63*IF($D63="Unlabeled-13",MCDM_Settings!$E$11,MCDM_Settings!$C$11),0)))</f>
        <v>58.333333333333321</v>
      </c>
      <c r="F63" s="12">
        <f>IF(OR(AY63&lt;&gt;"Valid",AZ63&lt;&gt;"16 keys present"),"Review settings",20*(IF(ISNUMBER(AD63),AD63*IF($D63="Unlabeled-13",MCDM_Settings!$E$6,MCDM_Settings!$C$6),0)+IF(ISNUMBER(AG63),AG63*IF($D63="Unlabeled-13",MCDM_Settings!$E$7,MCDM_Settings!$C$7),0)+IF(ISNUMBER(AJ63),AJ63*IF($D63="Unlabeled-13",MCDM_Settings!$E$8,MCDM_Settings!$C$8),0)+IF(ISNUMBER(AM63),AM63*IF($D63="Unlabeled-13",MCDM_Settings!$E$9,MCDM_Settings!$C$9),0)+IF(ISNUMBER(AP63),AP63*IF($D63="Unlabeled-13",MCDM_Settings!$E$10,MCDM_Settings!$C$10),0)+IF(ISNUMBER(AS63),AS63*IF($D63="Unlabeled-13",MCDM_Settings!$E$11,MCDM_Settings!$C$11),0)))</f>
        <v>99.999999999999986</v>
      </c>
      <c r="G63" s="13">
        <f>IF(OR(AY63&lt;&gt;"Valid",AZ63&lt;&gt;"16 keys present"),"Review settings",1*(IF(ISNUMBER(AE63),AE63*IF($D63="Unlabeled-13",MCDM_Settings!$E$6,MCDM_Settings!$C$6),0)+IF(ISNUMBER(AH63),AH63*IF($D63="Unlabeled-13",MCDM_Settings!$E$7,MCDM_Settings!$C$7),0)+IF(ISNUMBER(AK63),AK63*IF($D63="Unlabeled-13",MCDM_Settings!$E$8,MCDM_Settings!$C$8),0)+IF(ISNUMBER(AN63),AN63*IF($D63="Unlabeled-13",MCDM_Settings!$E$9,MCDM_Settings!$C$9),0)+IF(ISNUMBER(AQ63),AQ63*IF($D63="Unlabeled-13",MCDM_Settings!$E$10,MCDM_Settings!$C$10),0)+IF(ISNUMBER(AT63),AT63*IF($D63="Unlabeled-13",MCDM_Settings!$E$11,MCDM_Settings!$C$11),0)))</f>
        <v>0.58333333333333337</v>
      </c>
      <c r="H63" s="5" t="str">
        <f>INDEX(Manual_Review!$AH$6:$AH$238,MATCH(A63,Manual_Review!$A$6:$A$238,0))</f>
        <v>Not started</v>
      </c>
      <c r="I63" s="5" t="s">
        <v>128</v>
      </c>
      <c r="J63" s="5" t="s">
        <v>556</v>
      </c>
      <c r="K63" s="5" t="str">
        <f>HYPERLINK("https://data.mendeley.com/datasets/n6cvjnx3b6/1","Dataset")</f>
        <v>Dataset</v>
      </c>
      <c r="L63" s="5" t="str">
        <f>HYPERLINK("#'Manual_Review'!A"&amp;(MATCH("DS-058",Manual_Review!$A$6:$A$238,0)+5),"Enter review")</f>
        <v>Enter review</v>
      </c>
      <c r="M63" s="5" t="str">
        <f>INDEX(MCDM_Checks!$K$6:$K$3733,MATCH(A63&amp;"|"&amp;M$5,MCDM_Checks!$A$6:$A$3733,0))</f>
        <v>Y</v>
      </c>
      <c r="N63" s="5" t="str">
        <f>INDEX(MCDM_Checks!$K$6:$K$3733,MATCH(A63&amp;"|"&amp;N$5,MCDM_Checks!$A$6:$A$3733,0))</f>
        <v>Y</v>
      </c>
      <c r="O63" s="5" t="str">
        <f>INDEX(MCDM_Checks!$K$6:$K$3733,MATCH(A63&amp;"|"&amp;O$5,MCDM_Checks!$A$6:$A$3733,0))</f>
        <v>Y</v>
      </c>
      <c r="P63" s="5" t="str">
        <f>INDEX(MCDM_Checks!$K$6:$K$3733,MATCH(A63&amp;"|"&amp;P$5,MCDM_Checks!$A$6:$A$3733,0))</f>
        <v>Y</v>
      </c>
      <c r="Q63" s="5" t="str">
        <f>INDEX(MCDM_Checks!$K$6:$K$3733,MATCH(A63&amp;"|"&amp;Q$5,MCDM_Checks!$A$6:$A$3733,0))</f>
        <v>U</v>
      </c>
      <c r="R63" s="5" t="str">
        <f>INDEX(MCDM_Checks!$K$6:$K$3733,MATCH(A63&amp;"|"&amp;R$5,MCDM_Checks!$A$6:$A$3733,0))</f>
        <v>U</v>
      </c>
      <c r="S63" s="5" t="str">
        <f>INDEX(MCDM_Checks!$K$6:$K$3733,MATCH(A63&amp;"|"&amp;S$5,MCDM_Checks!$A$6:$A$3733,0))</f>
        <v>U</v>
      </c>
      <c r="T63" s="5" t="str">
        <f>INDEX(MCDM_Checks!$K$6:$K$3733,MATCH(A63&amp;"|"&amp;T$5,MCDM_Checks!$A$6:$A$3733,0))</f>
        <v>Y</v>
      </c>
      <c r="U63" s="5" t="str">
        <f>INDEX(MCDM_Checks!$K$6:$K$3733,MATCH(A63&amp;"|"&amp;U$5,MCDM_Checks!$A$6:$A$3733,0))</f>
        <v>U</v>
      </c>
      <c r="V63" s="5" t="str">
        <f>INDEX(MCDM_Checks!$K$6:$K$3733,MATCH(A63&amp;"|"&amp;V$5,MCDM_Checks!$A$6:$A$3733,0))</f>
        <v>Y</v>
      </c>
      <c r="W63" s="5" t="str">
        <f>INDEX(MCDM_Checks!$K$6:$K$3733,MATCH(A63&amp;"|"&amp;W$5,MCDM_Checks!$A$6:$A$3733,0))</f>
        <v>U</v>
      </c>
      <c r="X63" s="5" t="str">
        <f>INDEX(MCDM_Checks!$K$6:$K$3733,MATCH(A63&amp;"|"&amp;X$5,MCDM_Checks!$A$6:$A$3733,0))</f>
        <v>Y</v>
      </c>
      <c r="Y63" s="5" t="str">
        <f>INDEX(MCDM_Checks!$K$6:$K$3733,MATCH(A63&amp;"|"&amp;Y$5,MCDM_Checks!$A$6:$A$3733,0))</f>
        <v>Y</v>
      </c>
      <c r="Z63" s="5" t="str">
        <f>INDEX(MCDM_Checks!$K$6:$K$3733,MATCH(A63&amp;"|"&amp;Z$5,MCDM_Checks!$A$6:$A$3733,0))</f>
        <v>Y</v>
      </c>
      <c r="AA63" s="5" t="str">
        <f>INDEX(MCDM_Checks!$K$6:$K$3733,MATCH(A63&amp;"|"&amp;AA$5,MCDM_Checks!$A$6:$A$3733,0))</f>
        <v>U</v>
      </c>
      <c r="AB63" s="5" t="str">
        <f>INDEX(MCDM_Checks!$K$6:$K$3733,MATCH(A63&amp;"|"&amp;AB$5,MCDM_Checks!$A$6:$A$3733,0))</f>
        <v>U</v>
      </c>
      <c r="AC63" s="12">
        <f>IF(IF($D63="Unlabeled-13",MCDM_Settings!$F$6,MCDM_Settings!$D$6)=0,"n.a.",5*COUNTIF(M63:O63,"Y")/IF($D63="Unlabeled-13",MCDM_Settings!$F$6,MCDM_Settings!$D$6))</f>
        <v>5</v>
      </c>
      <c r="AD63" s="12">
        <f>IF(IF($D63="Unlabeled-13",MCDM_Settings!$F$6,MCDM_Settings!$D$6)=0,"n.a.",5*(COUNTIF(M63:O63,"Y")+COUNTIF(M63:O63,"U")+COUNTIF(M63:O63,"X"))/IF($D63="Unlabeled-13",MCDM_Settings!$F$6,MCDM_Settings!$D$6))</f>
        <v>5</v>
      </c>
      <c r="AE63" s="13">
        <f>IF(IF($D63="Unlabeled-13",MCDM_Settings!$F$6,MCDM_Settings!$D$6)=0,"n.a.",(COUNTIF(M63:O63,"Y")+COUNTIF(M63:O63,"N"))/IF($D63="Unlabeled-13",MCDM_Settings!$F$6,MCDM_Settings!$D$6))</f>
        <v>1</v>
      </c>
      <c r="AF63" s="12">
        <f>IF(IF($D63="Unlabeled-13",MCDM_Settings!$F$7,MCDM_Settings!$D$7)=0,"n.a.",5*COUNTIF(P63:R63,"Y")/IF($D63="Unlabeled-13",MCDM_Settings!$F$7,MCDM_Settings!$D$7))</f>
        <v>1.6666666666666667</v>
      </c>
      <c r="AG63" s="12">
        <f>IF(IF($D63="Unlabeled-13",MCDM_Settings!$F$7,MCDM_Settings!$D$7)=0,"n.a.",5*(COUNTIF(P63:R63,"Y")+COUNTIF(P63:R63,"U")+COUNTIF(P63:R63,"X"))/IF($D63="Unlabeled-13",MCDM_Settings!$F$7,MCDM_Settings!$D$7))</f>
        <v>5</v>
      </c>
      <c r="AH63" s="13">
        <f>IF(IF($D63="Unlabeled-13",MCDM_Settings!$F$7,MCDM_Settings!$D$7)=0,"n.a.",(COUNTIF(P63:R63,"Y")+COUNTIF(P63:R63,"N"))/IF($D63="Unlabeled-13",MCDM_Settings!$F$7,MCDM_Settings!$D$7))</f>
        <v>0.33333333333333331</v>
      </c>
      <c r="AI63" s="12">
        <f>IF(IF($D63="Unlabeled-13",MCDM_Settings!$F$8,MCDM_Settings!$D$8)=0,"n.a.",5*COUNTIF(S63:U63,"Y")/IF($D63="Unlabeled-13",MCDM_Settings!$F$8,MCDM_Settings!$D$8))</f>
        <v>1.6666666666666667</v>
      </c>
      <c r="AJ63" s="12">
        <f>IF(IF($D63="Unlabeled-13",MCDM_Settings!$F$8,MCDM_Settings!$D$8)=0,"n.a.",5*(COUNTIF(S63:U63,"Y")+COUNTIF(S63:U63,"U")+COUNTIF(S63:U63,"X"))/IF($D63="Unlabeled-13",MCDM_Settings!$F$8,MCDM_Settings!$D$8))</f>
        <v>5</v>
      </c>
      <c r="AK63" s="13">
        <f>IF(IF($D63="Unlabeled-13",MCDM_Settings!$F$8,MCDM_Settings!$D$8)=0,"n.a.",(COUNTIF(S63:U63,"Y")+COUNTIF(S63:U63,"N"))/IF($D63="Unlabeled-13",MCDM_Settings!$F$8,MCDM_Settings!$D$8))</f>
        <v>0.33333333333333331</v>
      </c>
      <c r="AL63" s="12">
        <f>IF(IF($D63="Unlabeled-13",MCDM_Settings!$F$9,MCDM_Settings!$D$9)=0,"n.a.",5*COUNTIF(V63:W63,"Y")/IF($D63="Unlabeled-13",MCDM_Settings!$F$9,MCDM_Settings!$D$9))</f>
        <v>2.5</v>
      </c>
      <c r="AM63" s="12">
        <f>IF(IF($D63="Unlabeled-13",MCDM_Settings!$F$9,MCDM_Settings!$D$9)=0,"n.a.",5*(COUNTIF(V63:W63,"Y")+COUNTIF(V63:W63,"U")+COUNTIF(V63:W63,"X"))/IF($D63="Unlabeled-13",MCDM_Settings!$F$9,MCDM_Settings!$D$9))</f>
        <v>5</v>
      </c>
      <c r="AN63" s="13">
        <f>IF(IF($D63="Unlabeled-13",MCDM_Settings!$F$9,MCDM_Settings!$D$9)=0,"n.a.",(COUNTIF(V63:W63,"Y")+COUNTIF(V63:W63,"N"))/IF($D63="Unlabeled-13",MCDM_Settings!$F$9,MCDM_Settings!$D$9))</f>
        <v>0.5</v>
      </c>
      <c r="AO63" s="12">
        <f>IF(IF($D63="Unlabeled-13",MCDM_Settings!$F$10,MCDM_Settings!$D$10)=0,"n.a.",5*COUNTIF(X63:Y63,"Y")/IF($D63="Unlabeled-13",MCDM_Settings!$F$10,MCDM_Settings!$D$10))</f>
        <v>5</v>
      </c>
      <c r="AP63" s="12">
        <f>IF(IF($D63="Unlabeled-13",MCDM_Settings!$F$10,MCDM_Settings!$D$10)=0,"n.a.",5*(COUNTIF(X63:Y63,"Y")+COUNTIF(X63:Y63,"U")+COUNTIF(X63:Y63,"X"))/IF($D63="Unlabeled-13",MCDM_Settings!$F$10,MCDM_Settings!$D$10))</f>
        <v>5</v>
      </c>
      <c r="AQ63" s="13">
        <f>IF(IF($D63="Unlabeled-13",MCDM_Settings!$F$10,MCDM_Settings!$D$10)=0,"n.a.",(COUNTIF(X63:Y63,"Y")+COUNTIF(X63:Y63,"N"))/IF($D63="Unlabeled-13",MCDM_Settings!$F$10,MCDM_Settings!$D$10))</f>
        <v>1</v>
      </c>
      <c r="AR63" s="12">
        <f>IF(IF($D63="Unlabeled-13",MCDM_Settings!$F$11,MCDM_Settings!$D$11)=0,"n.a.",5*COUNTIF(Z63:AB63,"Y")/IF($D63="Unlabeled-13",MCDM_Settings!$F$11,MCDM_Settings!$D$11))</f>
        <v>1.6666666666666667</v>
      </c>
      <c r="AS63" s="12">
        <f>IF(IF($D63="Unlabeled-13",MCDM_Settings!$F$11,MCDM_Settings!$D$11)=0,"n.a.",5*(COUNTIF(Z63:AB63,"Y")+COUNTIF(Z63:AB63,"U")+COUNTIF(Z63:AB63,"X"))/IF($D63="Unlabeled-13",MCDM_Settings!$F$11,MCDM_Settings!$D$11))</f>
        <v>5</v>
      </c>
      <c r="AT63" s="13">
        <f>IF(IF($D63="Unlabeled-13",MCDM_Settings!$F$11,MCDM_Settings!$D$11)=0,"n.a.",(COUNTIF(Z63:AB63,"Y")+COUNTIF(Z63:AB63,"N"))/IF($D63="Unlabeled-13",MCDM_Settings!$F$11,MCDM_Settings!$D$11))</f>
        <v>0.33333333333333331</v>
      </c>
      <c r="AU63" s="5" t="str">
        <f>IF(AND(INDEX(Manual_Review!$G$6:$G$238,MATCH(A63,Manual_Review!$A$6:$A$238,0))&lt;&gt;"",ISNUMBER(INDEX(Manual_Review!$H$6:$H$238,MATCH(A63,Manual_Review!$A$6:$A$238,0))),INDEX(Manual_Review!$H$6:$H$238,MATCH(A63,Manual_Review!$A$6:$A$238,0))&gt;0,INDEX(Manual_Review!$I$6:$I$238,MATCH(A63,Manual_Review!$A$6:$A$238,0))="Confirmed",INDEX(Manual_Review!$AF$6:$AF$238,MATCH(A63,Manual_Review!$A$6:$A$238,0))&lt;&gt;""),IF(INDEX(Manual_Review!$AA$6:$AA$238,MATCH(A63,Manual_Review!$A$6:$A$238,0))="Pass","Pass",IF(INDEX(Manual_Review!$AA$6:$AA$238,MATCH(A63,Manual_Review!$A$6:$A$238,0))="Fail","Fail","Pending")),"Pending human identity confirmation")</f>
        <v>Pending human identity confirmation</v>
      </c>
      <c r="AV63" s="5" t="str">
        <f>IF(AND(AND(INDEX(Manual_Review!$G$6:$G$238,MATCH(A63,Manual_Review!$A$6:$A$238,0))&lt;&gt;"",ISNUMBER(INDEX(Manual_Review!$H$6:$H$238,MATCH(A63,Manual_Review!$A$6:$A$238,0))),INDEX(Manual_Review!$H$6:$H$238,MATCH(A63,Manual_Review!$A$6:$A$238,0))&gt;0,INDEX(Manual_Review!$I$6:$I$238,MATCH(A63,Manual_Review!$A$6:$A$238,0))="Confirmed",INDEX(Manual_Review!$AF$6:$AF$238,MATCH(A63,Manual_Review!$A$6:$A$238,0))&lt;&gt;""),INDEX(Manual_Review!$AG$6:$AG$238,MATCH(A63,Manual_Review!$A$6:$A$238,0))&lt;&gt;""),IF(INDEX(Manual_Review!$AB$6:$AB$238,MATCH(A63,Manual_Review!$A$6:$A$238,0))="Pass","Pass",IF(INDEX(Manual_Review!$AB$6:$AB$238,MATCH(A63,Manual_Review!$A$6:$A$238,0))="Fail","Fail","Pending")),"Not assessed: define intended task")</f>
        <v>Not assessed: define intended task</v>
      </c>
      <c r="AW63" s="5" t="str">
        <f>IF(AND(AND(INDEX(Manual_Review!$G$6:$G$238,MATCH(A63,Manual_Review!$A$6:$A$238,0))&lt;&gt;"",ISNUMBER(INDEX(Manual_Review!$H$6:$H$238,MATCH(A63,Manual_Review!$A$6:$A$238,0))),INDEX(Manual_Review!$H$6:$H$238,MATCH(A63,Manual_Review!$A$6:$A$238,0))&gt;0,INDEX(Manual_Review!$I$6:$I$238,MATCH(A63,Manual_Review!$A$6:$A$238,0))="Confirmed",INDEX(Manual_Review!$AF$6:$AF$238,MATCH(A63,Manual_Review!$A$6:$A$238,0))&lt;&gt;""),INDEX(Manual_Review!$AG$6:$AG$238,MATCH(A63,Manual_Review!$A$6:$A$238,0))&lt;&gt;""),IF(OR(INDEX(Manual_Review!$AC$6:$AC$238,MATCH(A63,Manual_Review!$A$6:$A$238,0))="Fail",INDEX(Manual_Review!$AD$6:$AD$238,MATCH(A63,Manual_Review!$A$6:$A$238,0))="Fail"),"Fail: rights or retrieval",IF(AND(INDEX(Manual_Review!$AC$6:$AC$238,MATCH(A63,Manual_Review!$A$6:$A$238,0))="Pass",INDEX(Manual_Review!$AD$6:$AD$238,MATCH(A63,Manual_Review!$A$6:$A$238,0))="Pass"),"Pass","Pending rights and retrieval")),"Pending rights and retrieval")</f>
        <v>Pending rights and retrieval</v>
      </c>
      <c r="AX63" s="5" t="str">
        <f>IF(INDEX(Manual_Review!$AG$6:$AG$238,MATCH(A63,Manual_Review!$A$6:$A$238,0))="","N/A: documentation inventory",IF(AND(INDEX(Manual_Review!$G$6:$G$238,MATCH(A63,Manual_Review!$A$6:$A$238,0))&lt;&gt;"",ISNUMBER(INDEX(Manual_Review!$H$6:$H$238,MATCH(A63,Manual_Review!$A$6:$A$238,0))),INDEX(Manual_Review!$H$6:$H$238,MATCH(A63,Manual_Review!$A$6:$A$238,0))&gt;0,INDEX(Manual_Review!$I$6:$I$238,MATCH(A63,Manual_Review!$A$6:$A$238,0))="Confirmed",INDEX(Manual_Review!$AF$6:$AF$238,MATCH(A63,Manual_Review!$A$6:$A$238,0))&lt;&gt;""),IF(INDEX(Manual_Review!$AE$6:$AE$238,MATCH(A63,Manual_Review!$A$6:$A$238,0))="Pass","Pass",IF(INDEX(Manual_Review!$AE$6:$AE$238,MATCH(A63,Manual_Review!$A$6:$A$238,0))="Fail","Fail: benchmark leakage",IF(INDEX(Manual_Review!$AE$6:$AE$238,MATCH(A63,Manual_Review!$A$6:$A$238,0))="N/A","N/A: nonbenchmark task","Pending task-specific leakage check"))),"Pending task-specific leakage check"))</f>
        <v>N/A: documentation inventory</v>
      </c>
      <c r="AY63" s="5" t="str">
        <f>IF(IF(D63="Unlabeled-13",AND(ABS(MCDM_Settings!$D$14-1)&lt;0.0000001,MIN(MCDM_Settings!$E$6:$E$11)&gt;=0,MCDM_Settings!$E$7=0),AND(ABS(MCDM_Settings!$B$14-1)&lt;0.0000001,MIN(MCDM_Settings!$C$6:$C$11)&gt;=0)),"Valid","Check weights")</f>
        <v>Valid</v>
      </c>
      <c r="AZ63" s="5" t="str">
        <f>IF(AND(COUNTIF(MCDM_Checks!$B$6:$B$3733,A63)=16,COUNTIF(Manual_Review!$A$6:$A$238,A63)=1),"16 keys present","Check key count")</f>
        <v>16 keys present</v>
      </c>
    </row>
    <row r="64" spans="1:52" ht="25.5">
      <c r="A64" s="5" t="s">
        <v>759</v>
      </c>
      <c r="B64" s="5" t="s">
        <v>760</v>
      </c>
      <c r="C64" s="5"/>
      <c r="D64" s="5" t="s">
        <v>118</v>
      </c>
      <c r="E64" s="12">
        <f>IF(OR(AY64&lt;&gt;"Valid",AZ64&lt;&gt;"16 keys present"),"Review settings",20*(IF(ISNUMBER(AC64),AC64*IF($D64="Unlabeled-13",MCDM_Settings!$E$6,MCDM_Settings!$C$6),0)+IF(ISNUMBER(AF64),AF64*IF($D64="Unlabeled-13",MCDM_Settings!$E$7,MCDM_Settings!$C$7),0)+IF(ISNUMBER(AI64),AI64*IF($D64="Unlabeled-13",MCDM_Settings!$E$8,MCDM_Settings!$C$8),0)+IF(ISNUMBER(AL64),AL64*IF($D64="Unlabeled-13",MCDM_Settings!$E$9,MCDM_Settings!$C$9),0)+IF(ISNUMBER(AO64),AO64*IF($D64="Unlabeled-13",MCDM_Settings!$E$10,MCDM_Settings!$C$10),0)+IF(ISNUMBER(AR64),AR64*IF($D64="Unlabeled-13",MCDM_Settings!$E$11,MCDM_Settings!$C$11),0)))</f>
        <v>83.333333333333314</v>
      </c>
      <c r="F64" s="12">
        <f>IF(OR(AY64&lt;&gt;"Valid",AZ64&lt;&gt;"16 keys present"),"Review settings",20*(IF(ISNUMBER(AD64),AD64*IF($D64="Unlabeled-13",MCDM_Settings!$E$6,MCDM_Settings!$C$6),0)+IF(ISNUMBER(AG64),AG64*IF($D64="Unlabeled-13",MCDM_Settings!$E$7,MCDM_Settings!$C$7),0)+IF(ISNUMBER(AJ64),AJ64*IF($D64="Unlabeled-13",MCDM_Settings!$E$8,MCDM_Settings!$C$8),0)+IF(ISNUMBER(AM64),AM64*IF($D64="Unlabeled-13",MCDM_Settings!$E$9,MCDM_Settings!$C$9),0)+IF(ISNUMBER(AP64),AP64*IF($D64="Unlabeled-13",MCDM_Settings!$E$10,MCDM_Settings!$C$10),0)+IF(ISNUMBER(AS64),AS64*IF($D64="Unlabeled-13",MCDM_Settings!$E$11,MCDM_Settings!$C$11),0)))</f>
        <v>99.999999999999986</v>
      </c>
      <c r="G64" s="13">
        <f>IF(OR(AY64&lt;&gt;"Valid",AZ64&lt;&gt;"16 keys present"),"Review settings",1*(IF(ISNUMBER(AE64),AE64*IF($D64="Unlabeled-13",MCDM_Settings!$E$6,MCDM_Settings!$C$6),0)+IF(ISNUMBER(AH64),AH64*IF($D64="Unlabeled-13",MCDM_Settings!$E$7,MCDM_Settings!$C$7),0)+IF(ISNUMBER(AK64),AK64*IF($D64="Unlabeled-13",MCDM_Settings!$E$8,MCDM_Settings!$C$8),0)+IF(ISNUMBER(AN64),AN64*IF($D64="Unlabeled-13",MCDM_Settings!$E$9,MCDM_Settings!$C$9),0)+IF(ISNUMBER(AQ64),AQ64*IF($D64="Unlabeled-13",MCDM_Settings!$E$10,MCDM_Settings!$C$10),0)+IF(ISNUMBER(AT64),AT64*IF($D64="Unlabeled-13",MCDM_Settings!$E$11,MCDM_Settings!$C$11),0)))</f>
        <v>0.83333333333333326</v>
      </c>
      <c r="H64" s="5" t="str">
        <f>INDEX(Manual_Review!$AH$6:$AH$238,MATCH(A64,Manual_Review!$A$6:$A$238,0))</f>
        <v>Not started</v>
      </c>
      <c r="I64" s="5" t="s">
        <v>128</v>
      </c>
      <c r="J64" s="5" t="s">
        <v>556</v>
      </c>
      <c r="K64" s="5" t="str">
        <f>HYPERLINK("https://data.mendeley.com/datasets/snyyfknw56/1","Dataset")</f>
        <v>Dataset</v>
      </c>
      <c r="L64" s="5" t="str">
        <f>HYPERLINK("#'Manual_Review'!A"&amp;(MATCH("DS-059",Manual_Review!$A$6:$A$238,0)+5),"Enter review")</f>
        <v>Enter review</v>
      </c>
      <c r="M64" s="5" t="str">
        <f>INDEX(MCDM_Checks!$K$6:$K$3733,MATCH(A64&amp;"|"&amp;M$5,MCDM_Checks!$A$6:$A$3733,0))</f>
        <v>Y</v>
      </c>
      <c r="N64" s="5" t="str">
        <f>INDEX(MCDM_Checks!$K$6:$K$3733,MATCH(A64&amp;"|"&amp;N$5,MCDM_Checks!$A$6:$A$3733,0))</f>
        <v>Y</v>
      </c>
      <c r="O64" s="5" t="str">
        <f>INDEX(MCDM_Checks!$K$6:$K$3733,MATCH(A64&amp;"|"&amp;O$5,MCDM_Checks!$A$6:$A$3733,0))</f>
        <v>Y</v>
      </c>
      <c r="P64" s="5" t="str">
        <f>INDEX(MCDM_Checks!$K$6:$K$3733,MATCH(A64&amp;"|"&amp;P$5,MCDM_Checks!$A$6:$A$3733,0))</f>
        <v>Y</v>
      </c>
      <c r="Q64" s="5" t="str">
        <f>INDEX(MCDM_Checks!$K$6:$K$3733,MATCH(A64&amp;"|"&amp;Q$5,MCDM_Checks!$A$6:$A$3733,0))</f>
        <v>Y</v>
      </c>
      <c r="R64" s="5" t="str">
        <f>INDEX(MCDM_Checks!$K$6:$K$3733,MATCH(A64&amp;"|"&amp;R$5,MCDM_Checks!$A$6:$A$3733,0))</f>
        <v>U</v>
      </c>
      <c r="S64" s="5" t="str">
        <f>INDEX(MCDM_Checks!$K$6:$K$3733,MATCH(A64&amp;"|"&amp;S$5,MCDM_Checks!$A$6:$A$3733,0))</f>
        <v>Y</v>
      </c>
      <c r="T64" s="5" t="str">
        <f>INDEX(MCDM_Checks!$K$6:$K$3733,MATCH(A64&amp;"|"&amp;T$5,MCDM_Checks!$A$6:$A$3733,0))</f>
        <v>Y</v>
      </c>
      <c r="U64" s="5" t="str">
        <f>INDEX(MCDM_Checks!$K$6:$K$3733,MATCH(A64&amp;"|"&amp;U$5,MCDM_Checks!$A$6:$A$3733,0))</f>
        <v>U</v>
      </c>
      <c r="V64" s="5" t="str">
        <f>INDEX(MCDM_Checks!$K$6:$K$3733,MATCH(A64&amp;"|"&amp;V$5,MCDM_Checks!$A$6:$A$3733,0))</f>
        <v>Y</v>
      </c>
      <c r="W64" s="5" t="str">
        <f>INDEX(MCDM_Checks!$K$6:$K$3733,MATCH(A64&amp;"|"&amp;W$5,MCDM_Checks!$A$6:$A$3733,0))</f>
        <v>Y</v>
      </c>
      <c r="X64" s="5" t="str">
        <f>INDEX(MCDM_Checks!$K$6:$K$3733,MATCH(A64&amp;"|"&amp;X$5,MCDM_Checks!$A$6:$A$3733,0))</f>
        <v>Y</v>
      </c>
      <c r="Y64" s="5" t="str">
        <f>INDEX(MCDM_Checks!$K$6:$K$3733,MATCH(A64&amp;"|"&amp;Y$5,MCDM_Checks!$A$6:$A$3733,0))</f>
        <v>Y</v>
      </c>
      <c r="Z64" s="5" t="str">
        <f>INDEX(MCDM_Checks!$K$6:$K$3733,MATCH(A64&amp;"|"&amp;Z$5,MCDM_Checks!$A$6:$A$3733,0))</f>
        <v>Y</v>
      </c>
      <c r="AA64" s="5" t="str">
        <f>INDEX(MCDM_Checks!$K$6:$K$3733,MATCH(A64&amp;"|"&amp;AA$5,MCDM_Checks!$A$6:$A$3733,0))</f>
        <v>U</v>
      </c>
      <c r="AB64" s="5" t="str">
        <f>INDEX(MCDM_Checks!$K$6:$K$3733,MATCH(A64&amp;"|"&amp;AB$5,MCDM_Checks!$A$6:$A$3733,0))</f>
        <v>Y</v>
      </c>
      <c r="AC64" s="12">
        <f>IF(IF($D64="Unlabeled-13",MCDM_Settings!$F$6,MCDM_Settings!$D$6)=0,"n.a.",5*COUNTIF(M64:O64,"Y")/IF($D64="Unlabeled-13",MCDM_Settings!$F$6,MCDM_Settings!$D$6))</f>
        <v>5</v>
      </c>
      <c r="AD64" s="12">
        <f>IF(IF($D64="Unlabeled-13",MCDM_Settings!$F$6,MCDM_Settings!$D$6)=0,"n.a.",5*(COUNTIF(M64:O64,"Y")+COUNTIF(M64:O64,"U")+COUNTIF(M64:O64,"X"))/IF($D64="Unlabeled-13",MCDM_Settings!$F$6,MCDM_Settings!$D$6))</f>
        <v>5</v>
      </c>
      <c r="AE64" s="13">
        <f>IF(IF($D64="Unlabeled-13",MCDM_Settings!$F$6,MCDM_Settings!$D$6)=0,"n.a.",(COUNTIF(M64:O64,"Y")+COUNTIF(M64:O64,"N"))/IF($D64="Unlabeled-13",MCDM_Settings!$F$6,MCDM_Settings!$D$6))</f>
        <v>1</v>
      </c>
      <c r="AF64" s="12">
        <f>IF(IF($D64="Unlabeled-13",MCDM_Settings!$F$7,MCDM_Settings!$D$7)=0,"n.a.",5*COUNTIF(P64:R64,"Y")/IF($D64="Unlabeled-13",MCDM_Settings!$F$7,MCDM_Settings!$D$7))</f>
        <v>3.3333333333333335</v>
      </c>
      <c r="AG64" s="12">
        <f>IF(IF($D64="Unlabeled-13",MCDM_Settings!$F$7,MCDM_Settings!$D$7)=0,"n.a.",5*(COUNTIF(P64:R64,"Y")+COUNTIF(P64:R64,"U")+COUNTIF(P64:R64,"X"))/IF($D64="Unlabeled-13",MCDM_Settings!$F$7,MCDM_Settings!$D$7))</f>
        <v>5</v>
      </c>
      <c r="AH64" s="13">
        <f>IF(IF($D64="Unlabeled-13",MCDM_Settings!$F$7,MCDM_Settings!$D$7)=0,"n.a.",(COUNTIF(P64:R64,"Y")+COUNTIF(P64:R64,"N"))/IF($D64="Unlabeled-13",MCDM_Settings!$F$7,MCDM_Settings!$D$7))</f>
        <v>0.66666666666666663</v>
      </c>
      <c r="AI64" s="12">
        <f>IF(IF($D64="Unlabeled-13",MCDM_Settings!$F$8,MCDM_Settings!$D$8)=0,"n.a.",5*COUNTIF(S64:U64,"Y")/IF($D64="Unlabeled-13",MCDM_Settings!$F$8,MCDM_Settings!$D$8))</f>
        <v>3.3333333333333335</v>
      </c>
      <c r="AJ64" s="12">
        <f>IF(IF($D64="Unlabeled-13",MCDM_Settings!$F$8,MCDM_Settings!$D$8)=0,"n.a.",5*(COUNTIF(S64:U64,"Y")+COUNTIF(S64:U64,"U")+COUNTIF(S64:U64,"X"))/IF($D64="Unlabeled-13",MCDM_Settings!$F$8,MCDM_Settings!$D$8))</f>
        <v>5</v>
      </c>
      <c r="AK64" s="13">
        <f>IF(IF($D64="Unlabeled-13",MCDM_Settings!$F$8,MCDM_Settings!$D$8)=0,"n.a.",(COUNTIF(S64:U64,"Y")+COUNTIF(S64:U64,"N"))/IF($D64="Unlabeled-13",MCDM_Settings!$F$8,MCDM_Settings!$D$8))</f>
        <v>0.66666666666666663</v>
      </c>
      <c r="AL64" s="12">
        <f>IF(IF($D64="Unlabeled-13",MCDM_Settings!$F$9,MCDM_Settings!$D$9)=0,"n.a.",5*COUNTIF(V64:W64,"Y")/IF($D64="Unlabeled-13",MCDM_Settings!$F$9,MCDM_Settings!$D$9))</f>
        <v>5</v>
      </c>
      <c r="AM64" s="12">
        <f>IF(IF($D64="Unlabeled-13",MCDM_Settings!$F$9,MCDM_Settings!$D$9)=0,"n.a.",5*(COUNTIF(V64:W64,"Y")+COUNTIF(V64:W64,"U")+COUNTIF(V64:W64,"X"))/IF($D64="Unlabeled-13",MCDM_Settings!$F$9,MCDM_Settings!$D$9))</f>
        <v>5</v>
      </c>
      <c r="AN64" s="13">
        <f>IF(IF($D64="Unlabeled-13",MCDM_Settings!$F$9,MCDM_Settings!$D$9)=0,"n.a.",(COUNTIF(V64:W64,"Y")+COUNTIF(V64:W64,"N"))/IF($D64="Unlabeled-13",MCDM_Settings!$F$9,MCDM_Settings!$D$9))</f>
        <v>1</v>
      </c>
      <c r="AO64" s="12">
        <f>IF(IF($D64="Unlabeled-13",MCDM_Settings!$F$10,MCDM_Settings!$D$10)=0,"n.a.",5*COUNTIF(X64:Y64,"Y")/IF($D64="Unlabeled-13",MCDM_Settings!$F$10,MCDM_Settings!$D$10))</f>
        <v>5</v>
      </c>
      <c r="AP64" s="12">
        <f>IF(IF($D64="Unlabeled-13",MCDM_Settings!$F$10,MCDM_Settings!$D$10)=0,"n.a.",5*(COUNTIF(X64:Y64,"Y")+COUNTIF(X64:Y64,"U")+COUNTIF(X64:Y64,"X"))/IF($D64="Unlabeled-13",MCDM_Settings!$F$10,MCDM_Settings!$D$10))</f>
        <v>5</v>
      </c>
      <c r="AQ64" s="13">
        <f>IF(IF($D64="Unlabeled-13",MCDM_Settings!$F$10,MCDM_Settings!$D$10)=0,"n.a.",(COUNTIF(X64:Y64,"Y")+COUNTIF(X64:Y64,"N"))/IF($D64="Unlabeled-13",MCDM_Settings!$F$10,MCDM_Settings!$D$10))</f>
        <v>1</v>
      </c>
      <c r="AR64" s="12">
        <f>IF(IF($D64="Unlabeled-13",MCDM_Settings!$F$11,MCDM_Settings!$D$11)=0,"n.a.",5*COUNTIF(Z64:AB64,"Y")/IF($D64="Unlabeled-13",MCDM_Settings!$F$11,MCDM_Settings!$D$11))</f>
        <v>3.3333333333333335</v>
      </c>
      <c r="AS64" s="12">
        <f>IF(IF($D64="Unlabeled-13",MCDM_Settings!$F$11,MCDM_Settings!$D$11)=0,"n.a.",5*(COUNTIF(Z64:AB64,"Y")+COUNTIF(Z64:AB64,"U")+COUNTIF(Z64:AB64,"X"))/IF($D64="Unlabeled-13",MCDM_Settings!$F$11,MCDM_Settings!$D$11))</f>
        <v>5</v>
      </c>
      <c r="AT64" s="13">
        <f>IF(IF($D64="Unlabeled-13",MCDM_Settings!$F$11,MCDM_Settings!$D$11)=0,"n.a.",(COUNTIF(Z64:AB64,"Y")+COUNTIF(Z64:AB64,"N"))/IF($D64="Unlabeled-13",MCDM_Settings!$F$11,MCDM_Settings!$D$11))</f>
        <v>0.66666666666666663</v>
      </c>
      <c r="AU64" s="5" t="str">
        <f>IF(AND(INDEX(Manual_Review!$G$6:$G$238,MATCH(A64,Manual_Review!$A$6:$A$238,0))&lt;&gt;"",ISNUMBER(INDEX(Manual_Review!$H$6:$H$238,MATCH(A64,Manual_Review!$A$6:$A$238,0))),INDEX(Manual_Review!$H$6:$H$238,MATCH(A64,Manual_Review!$A$6:$A$238,0))&gt;0,INDEX(Manual_Review!$I$6:$I$238,MATCH(A64,Manual_Review!$A$6:$A$238,0))="Confirmed",INDEX(Manual_Review!$AF$6:$AF$238,MATCH(A64,Manual_Review!$A$6:$A$238,0))&lt;&gt;""),IF(INDEX(Manual_Review!$AA$6:$AA$238,MATCH(A64,Manual_Review!$A$6:$A$238,0))="Pass","Pass",IF(INDEX(Manual_Review!$AA$6:$AA$238,MATCH(A64,Manual_Review!$A$6:$A$238,0))="Fail","Fail","Pending")),"Pending human identity confirmation")</f>
        <v>Pending human identity confirmation</v>
      </c>
      <c r="AV64" s="5" t="str">
        <f>IF(AND(AND(INDEX(Manual_Review!$G$6:$G$238,MATCH(A64,Manual_Review!$A$6:$A$238,0))&lt;&gt;"",ISNUMBER(INDEX(Manual_Review!$H$6:$H$238,MATCH(A64,Manual_Review!$A$6:$A$238,0))),INDEX(Manual_Review!$H$6:$H$238,MATCH(A64,Manual_Review!$A$6:$A$238,0))&gt;0,INDEX(Manual_Review!$I$6:$I$238,MATCH(A64,Manual_Review!$A$6:$A$238,0))="Confirmed",INDEX(Manual_Review!$AF$6:$AF$238,MATCH(A64,Manual_Review!$A$6:$A$238,0))&lt;&gt;""),INDEX(Manual_Review!$AG$6:$AG$238,MATCH(A64,Manual_Review!$A$6:$A$238,0))&lt;&gt;""),IF(INDEX(Manual_Review!$AB$6:$AB$238,MATCH(A64,Manual_Review!$A$6:$A$238,0))="Pass","Pass",IF(INDEX(Manual_Review!$AB$6:$AB$238,MATCH(A64,Manual_Review!$A$6:$A$238,0))="Fail","Fail","Pending")),"Not assessed: define intended task")</f>
        <v>Not assessed: define intended task</v>
      </c>
      <c r="AW64" s="5" t="str">
        <f>IF(AND(AND(INDEX(Manual_Review!$G$6:$G$238,MATCH(A64,Manual_Review!$A$6:$A$238,0))&lt;&gt;"",ISNUMBER(INDEX(Manual_Review!$H$6:$H$238,MATCH(A64,Manual_Review!$A$6:$A$238,0))),INDEX(Manual_Review!$H$6:$H$238,MATCH(A64,Manual_Review!$A$6:$A$238,0))&gt;0,INDEX(Manual_Review!$I$6:$I$238,MATCH(A64,Manual_Review!$A$6:$A$238,0))="Confirmed",INDEX(Manual_Review!$AF$6:$AF$238,MATCH(A64,Manual_Review!$A$6:$A$238,0))&lt;&gt;""),INDEX(Manual_Review!$AG$6:$AG$238,MATCH(A64,Manual_Review!$A$6:$A$238,0))&lt;&gt;""),IF(OR(INDEX(Manual_Review!$AC$6:$AC$238,MATCH(A64,Manual_Review!$A$6:$A$238,0))="Fail",INDEX(Manual_Review!$AD$6:$AD$238,MATCH(A64,Manual_Review!$A$6:$A$238,0))="Fail"),"Fail: rights or retrieval",IF(AND(INDEX(Manual_Review!$AC$6:$AC$238,MATCH(A64,Manual_Review!$A$6:$A$238,0))="Pass",INDEX(Manual_Review!$AD$6:$AD$238,MATCH(A64,Manual_Review!$A$6:$A$238,0))="Pass"),"Pass","Pending rights and retrieval")),"Pending rights and retrieval")</f>
        <v>Pending rights and retrieval</v>
      </c>
      <c r="AX64" s="5" t="str">
        <f>IF(INDEX(Manual_Review!$AG$6:$AG$238,MATCH(A64,Manual_Review!$A$6:$A$238,0))="","N/A: documentation inventory",IF(AND(INDEX(Manual_Review!$G$6:$G$238,MATCH(A64,Manual_Review!$A$6:$A$238,0))&lt;&gt;"",ISNUMBER(INDEX(Manual_Review!$H$6:$H$238,MATCH(A64,Manual_Review!$A$6:$A$238,0))),INDEX(Manual_Review!$H$6:$H$238,MATCH(A64,Manual_Review!$A$6:$A$238,0))&gt;0,INDEX(Manual_Review!$I$6:$I$238,MATCH(A64,Manual_Review!$A$6:$A$238,0))="Confirmed",INDEX(Manual_Review!$AF$6:$AF$238,MATCH(A64,Manual_Review!$A$6:$A$238,0))&lt;&gt;""),IF(INDEX(Manual_Review!$AE$6:$AE$238,MATCH(A64,Manual_Review!$A$6:$A$238,0))="Pass","Pass",IF(INDEX(Manual_Review!$AE$6:$AE$238,MATCH(A64,Manual_Review!$A$6:$A$238,0))="Fail","Fail: benchmark leakage",IF(INDEX(Manual_Review!$AE$6:$AE$238,MATCH(A64,Manual_Review!$A$6:$A$238,0))="N/A","N/A: nonbenchmark task","Pending task-specific leakage check"))),"Pending task-specific leakage check"))</f>
        <v>N/A: documentation inventory</v>
      </c>
      <c r="AY64" s="5" t="str">
        <f>IF(IF(D64="Unlabeled-13",AND(ABS(MCDM_Settings!$D$14-1)&lt;0.0000001,MIN(MCDM_Settings!$E$6:$E$11)&gt;=0,MCDM_Settings!$E$7=0),AND(ABS(MCDM_Settings!$B$14-1)&lt;0.0000001,MIN(MCDM_Settings!$C$6:$C$11)&gt;=0)),"Valid","Check weights")</f>
        <v>Valid</v>
      </c>
      <c r="AZ64" s="5" t="str">
        <f>IF(AND(COUNTIF(MCDM_Checks!$B$6:$B$3733,A64)=16,COUNTIF(Manual_Review!$A$6:$A$238,A64)=1),"16 keys present","Check key count")</f>
        <v>16 keys present</v>
      </c>
    </row>
    <row r="65" spans="1:52" ht="25.5">
      <c r="A65" s="5" t="s">
        <v>770</v>
      </c>
      <c r="B65" s="5" t="s">
        <v>771</v>
      </c>
      <c r="C65" s="5"/>
      <c r="D65" s="5" t="s">
        <v>118</v>
      </c>
      <c r="E65" s="12">
        <f>IF(OR(AY65&lt;&gt;"Valid",AZ65&lt;&gt;"16 keys present"),"Review settings",20*(IF(ISNUMBER(AC65),AC65*IF($D65="Unlabeled-13",MCDM_Settings!$E$6,MCDM_Settings!$C$6),0)+IF(ISNUMBER(AF65),AF65*IF($D65="Unlabeled-13",MCDM_Settings!$E$7,MCDM_Settings!$C$7),0)+IF(ISNUMBER(AI65),AI65*IF($D65="Unlabeled-13",MCDM_Settings!$E$8,MCDM_Settings!$C$8),0)+IF(ISNUMBER(AL65),AL65*IF($D65="Unlabeled-13",MCDM_Settings!$E$9,MCDM_Settings!$C$9),0)+IF(ISNUMBER(AO65),AO65*IF($D65="Unlabeled-13",MCDM_Settings!$E$10,MCDM_Settings!$C$10),0)+IF(ISNUMBER(AR65),AR65*IF($D65="Unlabeled-13",MCDM_Settings!$E$11,MCDM_Settings!$C$11),0)))</f>
        <v>88.888888888888872</v>
      </c>
      <c r="F65" s="12">
        <f>IF(OR(AY65&lt;&gt;"Valid",AZ65&lt;&gt;"16 keys present"),"Review settings",20*(IF(ISNUMBER(AD65),AD65*IF($D65="Unlabeled-13",MCDM_Settings!$E$6,MCDM_Settings!$C$6),0)+IF(ISNUMBER(AG65),AG65*IF($D65="Unlabeled-13",MCDM_Settings!$E$7,MCDM_Settings!$C$7),0)+IF(ISNUMBER(AJ65),AJ65*IF($D65="Unlabeled-13",MCDM_Settings!$E$8,MCDM_Settings!$C$8),0)+IF(ISNUMBER(AM65),AM65*IF($D65="Unlabeled-13",MCDM_Settings!$E$9,MCDM_Settings!$C$9),0)+IF(ISNUMBER(AP65),AP65*IF($D65="Unlabeled-13",MCDM_Settings!$E$10,MCDM_Settings!$C$10),0)+IF(ISNUMBER(AS65),AS65*IF($D65="Unlabeled-13",MCDM_Settings!$E$11,MCDM_Settings!$C$11),0)))</f>
        <v>99.999999999999986</v>
      </c>
      <c r="G65" s="13">
        <f>IF(OR(AY65&lt;&gt;"Valid",AZ65&lt;&gt;"16 keys present"),"Review settings",1*(IF(ISNUMBER(AE65),AE65*IF($D65="Unlabeled-13",MCDM_Settings!$E$6,MCDM_Settings!$C$6),0)+IF(ISNUMBER(AH65),AH65*IF($D65="Unlabeled-13",MCDM_Settings!$E$7,MCDM_Settings!$C$7),0)+IF(ISNUMBER(AK65),AK65*IF($D65="Unlabeled-13",MCDM_Settings!$E$8,MCDM_Settings!$C$8),0)+IF(ISNUMBER(AN65),AN65*IF($D65="Unlabeled-13",MCDM_Settings!$E$9,MCDM_Settings!$C$9),0)+IF(ISNUMBER(AQ65),AQ65*IF($D65="Unlabeled-13",MCDM_Settings!$E$10,MCDM_Settings!$C$10),0)+IF(ISNUMBER(AT65),AT65*IF($D65="Unlabeled-13",MCDM_Settings!$E$11,MCDM_Settings!$C$11),0)))</f>
        <v>0.88888888888888884</v>
      </c>
      <c r="H65" s="5" t="str">
        <f>INDEX(Manual_Review!$AH$6:$AH$238,MATCH(A65,Manual_Review!$A$6:$A$238,0))</f>
        <v>Not started</v>
      </c>
      <c r="I65" s="5" t="s">
        <v>128</v>
      </c>
      <c r="J65" s="5" t="s">
        <v>556</v>
      </c>
      <c r="K65" s="5" t="str">
        <f>HYPERLINK("https://data.mendeley.com/datasets/2dfyh84pdf/1","Dataset")</f>
        <v>Dataset</v>
      </c>
      <c r="L65" s="5" t="str">
        <f>HYPERLINK("#'Manual_Review'!A"&amp;(MATCH("DS-060",Manual_Review!$A$6:$A$238,0)+5),"Enter review")</f>
        <v>Enter review</v>
      </c>
      <c r="M65" s="5" t="str">
        <f>INDEX(MCDM_Checks!$K$6:$K$3733,MATCH(A65&amp;"|"&amp;M$5,MCDM_Checks!$A$6:$A$3733,0))</f>
        <v>Y</v>
      </c>
      <c r="N65" s="5" t="str">
        <f>INDEX(MCDM_Checks!$K$6:$K$3733,MATCH(A65&amp;"|"&amp;N$5,MCDM_Checks!$A$6:$A$3733,0))</f>
        <v>Y</v>
      </c>
      <c r="O65" s="5" t="str">
        <f>INDEX(MCDM_Checks!$K$6:$K$3733,MATCH(A65&amp;"|"&amp;O$5,MCDM_Checks!$A$6:$A$3733,0))</f>
        <v>Y</v>
      </c>
      <c r="P65" s="5" t="str">
        <f>INDEX(MCDM_Checks!$K$6:$K$3733,MATCH(A65&amp;"|"&amp;P$5,MCDM_Checks!$A$6:$A$3733,0))</f>
        <v>Y</v>
      </c>
      <c r="Q65" s="5" t="str">
        <f>INDEX(MCDM_Checks!$K$6:$K$3733,MATCH(A65&amp;"|"&amp;Q$5,MCDM_Checks!$A$6:$A$3733,0))</f>
        <v>Y</v>
      </c>
      <c r="R65" s="5" t="str">
        <f>INDEX(MCDM_Checks!$K$6:$K$3733,MATCH(A65&amp;"|"&amp;R$5,MCDM_Checks!$A$6:$A$3733,0))</f>
        <v>U</v>
      </c>
      <c r="S65" s="5" t="str">
        <f>INDEX(MCDM_Checks!$K$6:$K$3733,MATCH(A65&amp;"|"&amp;S$5,MCDM_Checks!$A$6:$A$3733,0))</f>
        <v>Y</v>
      </c>
      <c r="T65" s="5" t="str">
        <f>INDEX(MCDM_Checks!$K$6:$K$3733,MATCH(A65&amp;"|"&amp;T$5,MCDM_Checks!$A$6:$A$3733,0))</f>
        <v>Y</v>
      </c>
      <c r="U65" s="5" t="str">
        <f>INDEX(MCDM_Checks!$K$6:$K$3733,MATCH(A65&amp;"|"&amp;U$5,MCDM_Checks!$A$6:$A$3733,0))</f>
        <v>Y</v>
      </c>
      <c r="V65" s="5" t="str">
        <f>INDEX(MCDM_Checks!$K$6:$K$3733,MATCH(A65&amp;"|"&amp;V$5,MCDM_Checks!$A$6:$A$3733,0))</f>
        <v>Y</v>
      </c>
      <c r="W65" s="5" t="str">
        <f>INDEX(MCDM_Checks!$K$6:$K$3733,MATCH(A65&amp;"|"&amp;W$5,MCDM_Checks!$A$6:$A$3733,0))</f>
        <v>Y</v>
      </c>
      <c r="X65" s="5" t="str">
        <f>INDEX(MCDM_Checks!$K$6:$K$3733,MATCH(A65&amp;"|"&amp;X$5,MCDM_Checks!$A$6:$A$3733,0))</f>
        <v>Y</v>
      </c>
      <c r="Y65" s="5" t="str">
        <f>INDEX(MCDM_Checks!$K$6:$K$3733,MATCH(A65&amp;"|"&amp;Y$5,MCDM_Checks!$A$6:$A$3733,0))</f>
        <v>Y</v>
      </c>
      <c r="Z65" s="5" t="str">
        <f>INDEX(MCDM_Checks!$K$6:$K$3733,MATCH(A65&amp;"|"&amp;Z$5,MCDM_Checks!$A$6:$A$3733,0))</f>
        <v>Y</v>
      </c>
      <c r="AA65" s="5" t="str">
        <f>INDEX(MCDM_Checks!$K$6:$K$3733,MATCH(A65&amp;"|"&amp;AA$5,MCDM_Checks!$A$6:$A$3733,0))</f>
        <v>U</v>
      </c>
      <c r="AB65" s="5" t="str">
        <f>INDEX(MCDM_Checks!$K$6:$K$3733,MATCH(A65&amp;"|"&amp;AB$5,MCDM_Checks!$A$6:$A$3733,0))</f>
        <v>Y</v>
      </c>
      <c r="AC65" s="12">
        <f>IF(IF($D65="Unlabeled-13",MCDM_Settings!$F$6,MCDM_Settings!$D$6)=0,"n.a.",5*COUNTIF(M65:O65,"Y")/IF($D65="Unlabeled-13",MCDM_Settings!$F$6,MCDM_Settings!$D$6))</f>
        <v>5</v>
      </c>
      <c r="AD65" s="12">
        <f>IF(IF($D65="Unlabeled-13",MCDM_Settings!$F$6,MCDM_Settings!$D$6)=0,"n.a.",5*(COUNTIF(M65:O65,"Y")+COUNTIF(M65:O65,"U")+COUNTIF(M65:O65,"X"))/IF($D65="Unlabeled-13",MCDM_Settings!$F$6,MCDM_Settings!$D$6))</f>
        <v>5</v>
      </c>
      <c r="AE65" s="13">
        <f>IF(IF($D65="Unlabeled-13",MCDM_Settings!$F$6,MCDM_Settings!$D$6)=0,"n.a.",(COUNTIF(M65:O65,"Y")+COUNTIF(M65:O65,"N"))/IF($D65="Unlabeled-13",MCDM_Settings!$F$6,MCDM_Settings!$D$6))</f>
        <v>1</v>
      </c>
      <c r="AF65" s="12">
        <f>IF(IF($D65="Unlabeled-13",MCDM_Settings!$F$7,MCDM_Settings!$D$7)=0,"n.a.",5*COUNTIF(P65:R65,"Y")/IF($D65="Unlabeled-13",MCDM_Settings!$F$7,MCDM_Settings!$D$7))</f>
        <v>3.3333333333333335</v>
      </c>
      <c r="AG65" s="12">
        <f>IF(IF($D65="Unlabeled-13",MCDM_Settings!$F$7,MCDM_Settings!$D$7)=0,"n.a.",5*(COUNTIF(P65:R65,"Y")+COUNTIF(P65:R65,"U")+COUNTIF(P65:R65,"X"))/IF($D65="Unlabeled-13",MCDM_Settings!$F$7,MCDM_Settings!$D$7))</f>
        <v>5</v>
      </c>
      <c r="AH65" s="13">
        <f>IF(IF($D65="Unlabeled-13",MCDM_Settings!$F$7,MCDM_Settings!$D$7)=0,"n.a.",(COUNTIF(P65:R65,"Y")+COUNTIF(P65:R65,"N"))/IF($D65="Unlabeled-13",MCDM_Settings!$F$7,MCDM_Settings!$D$7))</f>
        <v>0.66666666666666663</v>
      </c>
      <c r="AI65" s="12">
        <f>IF(IF($D65="Unlabeled-13",MCDM_Settings!$F$8,MCDM_Settings!$D$8)=0,"n.a.",5*COUNTIF(S65:U65,"Y")/IF($D65="Unlabeled-13",MCDM_Settings!$F$8,MCDM_Settings!$D$8))</f>
        <v>5</v>
      </c>
      <c r="AJ65" s="12">
        <f>IF(IF($D65="Unlabeled-13",MCDM_Settings!$F$8,MCDM_Settings!$D$8)=0,"n.a.",5*(COUNTIF(S65:U65,"Y")+COUNTIF(S65:U65,"U")+COUNTIF(S65:U65,"X"))/IF($D65="Unlabeled-13",MCDM_Settings!$F$8,MCDM_Settings!$D$8))</f>
        <v>5</v>
      </c>
      <c r="AK65" s="13">
        <f>IF(IF($D65="Unlabeled-13",MCDM_Settings!$F$8,MCDM_Settings!$D$8)=0,"n.a.",(COUNTIF(S65:U65,"Y")+COUNTIF(S65:U65,"N"))/IF($D65="Unlabeled-13",MCDM_Settings!$F$8,MCDM_Settings!$D$8))</f>
        <v>1</v>
      </c>
      <c r="AL65" s="12">
        <f>IF(IF($D65="Unlabeled-13",MCDM_Settings!$F$9,MCDM_Settings!$D$9)=0,"n.a.",5*COUNTIF(V65:W65,"Y")/IF($D65="Unlabeled-13",MCDM_Settings!$F$9,MCDM_Settings!$D$9))</f>
        <v>5</v>
      </c>
      <c r="AM65" s="12">
        <f>IF(IF($D65="Unlabeled-13",MCDM_Settings!$F$9,MCDM_Settings!$D$9)=0,"n.a.",5*(COUNTIF(V65:W65,"Y")+COUNTIF(V65:W65,"U")+COUNTIF(V65:W65,"X"))/IF($D65="Unlabeled-13",MCDM_Settings!$F$9,MCDM_Settings!$D$9))</f>
        <v>5</v>
      </c>
      <c r="AN65" s="13">
        <f>IF(IF($D65="Unlabeled-13",MCDM_Settings!$F$9,MCDM_Settings!$D$9)=0,"n.a.",(COUNTIF(V65:W65,"Y")+COUNTIF(V65:W65,"N"))/IF($D65="Unlabeled-13",MCDM_Settings!$F$9,MCDM_Settings!$D$9))</f>
        <v>1</v>
      </c>
      <c r="AO65" s="12">
        <f>IF(IF($D65="Unlabeled-13",MCDM_Settings!$F$10,MCDM_Settings!$D$10)=0,"n.a.",5*COUNTIF(X65:Y65,"Y")/IF($D65="Unlabeled-13",MCDM_Settings!$F$10,MCDM_Settings!$D$10))</f>
        <v>5</v>
      </c>
      <c r="AP65" s="12">
        <f>IF(IF($D65="Unlabeled-13",MCDM_Settings!$F$10,MCDM_Settings!$D$10)=0,"n.a.",5*(COUNTIF(X65:Y65,"Y")+COUNTIF(X65:Y65,"U")+COUNTIF(X65:Y65,"X"))/IF($D65="Unlabeled-13",MCDM_Settings!$F$10,MCDM_Settings!$D$10))</f>
        <v>5</v>
      </c>
      <c r="AQ65" s="13">
        <f>IF(IF($D65="Unlabeled-13",MCDM_Settings!$F$10,MCDM_Settings!$D$10)=0,"n.a.",(COUNTIF(X65:Y65,"Y")+COUNTIF(X65:Y65,"N"))/IF($D65="Unlabeled-13",MCDM_Settings!$F$10,MCDM_Settings!$D$10))</f>
        <v>1</v>
      </c>
      <c r="AR65" s="12">
        <f>IF(IF($D65="Unlabeled-13",MCDM_Settings!$F$11,MCDM_Settings!$D$11)=0,"n.a.",5*COUNTIF(Z65:AB65,"Y")/IF($D65="Unlabeled-13",MCDM_Settings!$F$11,MCDM_Settings!$D$11))</f>
        <v>3.3333333333333335</v>
      </c>
      <c r="AS65" s="12">
        <f>IF(IF($D65="Unlabeled-13",MCDM_Settings!$F$11,MCDM_Settings!$D$11)=0,"n.a.",5*(COUNTIF(Z65:AB65,"Y")+COUNTIF(Z65:AB65,"U")+COUNTIF(Z65:AB65,"X"))/IF($D65="Unlabeled-13",MCDM_Settings!$F$11,MCDM_Settings!$D$11))</f>
        <v>5</v>
      </c>
      <c r="AT65" s="13">
        <f>IF(IF($D65="Unlabeled-13",MCDM_Settings!$F$11,MCDM_Settings!$D$11)=0,"n.a.",(COUNTIF(Z65:AB65,"Y")+COUNTIF(Z65:AB65,"N"))/IF($D65="Unlabeled-13",MCDM_Settings!$F$11,MCDM_Settings!$D$11))</f>
        <v>0.66666666666666663</v>
      </c>
      <c r="AU65" s="5" t="str">
        <f>IF(AND(INDEX(Manual_Review!$G$6:$G$238,MATCH(A65,Manual_Review!$A$6:$A$238,0))&lt;&gt;"",ISNUMBER(INDEX(Manual_Review!$H$6:$H$238,MATCH(A65,Manual_Review!$A$6:$A$238,0))),INDEX(Manual_Review!$H$6:$H$238,MATCH(A65,Manual_Review!$A$6:$A$238,0))&gt;0,INDEX(Manual_Review!$I$6:$I$238,MATCH(A65,Manual_Review!$A$6:$A$238,0))="Confirmed",INDEX(Manual_Review!$AF$6:$AF$238,MATCH(A65,Manual_Review!$A$6:$A$238,0))&lt;&gt;""),IF(INDEX(Manual_Review!$AA$6:$AA$238,MATCH(A65,Manual_Review!$A$6:$A$238,0))="Pass","Pass",IF(INDEX(Manual_Review!$AA$6:$AA$238,MATCH(A65,Manual_Review!$A$6:$A$238,0))="Fail","Fail","Pending")),"Pending human identity confirmation")</f>
        <v>Pending human identity confirmation</v>
      </c>
      <c r="AV65" s="5" t="str">
        <f>IF(AND(AND(INDEX(Manual_Review!$G$6:$G$238,MATCH(A65,Manual_Review!$A$6:$A$238,0))&lt;&gt;"",ISNUMBER(INDEX(Manual_Review!$H$6:$H$238,MATCH(A65,Manual_Review!$A$6:$A$238,0))),INDEX(Manual_Review!$H$6:$H$238,MATCH(A65,Manual_Review!$A$6:$A$238,0))&gt;0,INDEX(Manual_Review!$I$6:$I$238,MATCH(A65,Manual_Review!$A$6:$A$238,0))="Confirmed",INDEX(Manual_Review!$AF$6:$AF$238,MATCH(A65,Manual_Review!$A$6:$A$238,0))&lt;&gt;""),INDEX(Manual_Review!$AG$6:$AG$238,MATCH(A65,Manual_Review!$A$6:$A$238,0))&lt;&gt;""),IF(INDEX(Manual_Review!$AB$6:$AB$238,MATCH(A65,Manual_Review!$A$6:$A$238,0))="Pass","Pass",IF(INDEX(Manual_Review!$AB$6:$AB$238,MATCH(A65,Manual_Review!$A$6:$A$238,0))="Fail","Fail","Pending")),"Not assessed: define intended task")</f>
        <v>Not assessed: define intended task</v>
      </c>
      <c r="AW65" s="5" t="str">
        <f>IF(AND(AND(INDEX(Manual_Review!$G$6:$G$238,MATCH(A65,Manual_Review!$A$6:$A$238,0))&lt;&gt;"",ISNUMBER(INDEX(Manual_Review!$H$6:$H$238,MATCH(A65,Manual_Review!$A$6:$A$238,0))),INDEX(Manual_Review!$H$6:$H$238,MATCH(A65,Manual_Review!$A$6:$A$238,0))&gt;0,INDEX(Manual_Review!$I$6:$I$238,MATCH(A65,Manual_Review!$A$6:$A$238,0))="Confirmed",INDEX(Manual_Review!$AF$6:$AF$238,MATCH(A65,Manual_Review!$A$6:$A$238,0))&lt;&gt;""),INDEX(Manual_Review!$AG$6:$AG$238,MATCH(A65,Manual_Review!$A$6:$A$238,0))&lt;&gt;""),IF(OR(INDEX(Manual_Review!$AC$6:$AC$238,MATCH(A65,Manual_Review!$A$6:$A$238,0))="Fail",INDEX(Manual_Review!$AD$6:$AD$238,MATCH(A65,Manual_Review!$A$6:$A$238,0))="Fail"),"Fail: rights or retrieval",IF(AND(INDEX(Manual_Review!$AC$6:$AC$238,MATCH(A65,Manual_Review!$A$6:$A$238,0))="Pass",INDEX(Manual_Review!$AD$6:$AD$238,MATCH(A65,Manual_Review!$A$6:$A$238,0))="Pass"),"Pass","Pending rights and retrieval")),"Pending rights and retrieval")</f>
        <v>Pending rights and retrieval</v>
      </c>
      <c r="AX65" s="5" t="str">
        <f>IF(INDEX(Manual_Review!$AG$6:$AG$238,MATCH(A65,Manual_Review!$A$6:$A$238,0))="","N/A: documentation inventory",IF(AND(INDEX(Manual_Review!$G$6:$G$238,MATCH(A65,Manual_Review!$A$6:$A$238,0))&lt;&gt;"",ISNUMBER(INDEX(Manual_Review!$H$6:$H$238,MATCH(A65,Manual_Review!$A$6:$A$238,0))),INDEX(Manual_Review!$H$6:$H$238,MATCH(A65,Manual_Review!$A$6:$A$238,0))&gt;0,INDEX(Manual_Review!$I$6:$I$238,MATCH(A65,Manual_Review!$A$6:$A$238,0))="Confirmed",INDEX(Manual_Review!$AF$6:$AF$238,MATCH(A65,Manual_Review!$A$6:$A$238,0))&lt;&gt;""),IF(INDEX(Manual_Review!$AE$6:$AE$238,MATCH(A65,Manual_Review!$A$6:$A$238,0))="Pass","Pass",IF(INDEX(Manual_Review!$AE$6:$AE$238,MATCH(A65,Manual_Review!$A$6:$A$238,0))="Fail","Fail: benchmark leakage",IF(INDEX(Manual_Review!$AE$6:$AE$238,MATCH(A65,Manual_Review!$A$6:$A$238,0))="N/A","N/A: nonbenchmark task","Pending task-specific leakage check"))),"Pending task-specific leakage check"))</f>
        <v>N/A: documentation inventory</v>
      </c>
      <c r="AY65" s="5" t="str">
        <f>IF(IF(D65="Unlabeled-13",AND(ABS(MCDM_Settings!$D$14-1)&lt;0.0000001,MIN(MCDM_Settings!$E$6:$E$11)&gt;=0,MCDM_Settings!$E$7=0),AND(ABS(MCDM_Settings!$B$14-1)&lt;0.0000001,MIN(MCDM_Settings!$C$6:$C$11)&gt;=0)),"Valid","Check weights")</f>
        <v>Valid</v>
      </c>
      <c r="AZ65" s="5" t="str">
        <f>IF(AND(COUNTIF(MCDM_Checks!$B$6:$B$3733,A65)=16,COUNTIF(Manual_Review!$A$6:$A$238,A65)=1),"16 keys present","Check key count")</f>
        <v>16 keys present</v>
      </c>
    </row>
    <row r="66" spans="1:52">
      <c r="A66" s="5" t="s">
        <v>777</v>
      </c>
      <c r="B66" s="5" t="s">
        <v>778</v>
      </c>
      <c r="C66" s="5"/>
      <c r="D66" s="5" t="s">
        <v>118</v>
      </c>
      <c r="E66" s="12">
        <f>IF(OR(AY66&lt;&gt;"Valid",AZ66&lt;&gt;"16 keys present"),"Review settings",20*(IF(ISNUMBER(AC66),AC66*IF($D66="Unlabeled-13",MCDM_Settings!$E$6,MCDM_Settings!$C$6),0)+IF(ISNUMBER(AF66),AF66*IF($D66="Unlabeled-13",MCDM_Settings!$E$7,MCDM_Settings!$C$7),0)+IF(ISNUMBER(AI66),AI66*IF($D66="Unlabeled-13",MCDM_Settings!$E$8,MCDM_Settings!$C$8),0)+IF(ISNUMBER(AL66),AL66*IF($D66="Unlabeled-13",MCDM_Settings!$E$9,MCDM_Settings!$C$9),0)+IF(ISNUMBER(AO66),AO66*IF($D66="Unlabeled-13",MCDM_Settings!$E$10,MCDM_Settings!$C$10),0)+IF(ISNUMBER(AR66),AR66*IF($D66="Unlabeled-13",MCDM_Settings!$E$11,MCDM_Settings!$C$11),0)))</f>
        <v>75</v>
      </c>
      <c r="F66" s="12">
        <f>IF(OR(AY66&lt;&gt;"Valid",AZ66&lt;&gt;"16 keys present"),"Review settings",20*(IF(ISNUMBER(AD66),AD66*IF($D66="Unlabeled-13",MCDM_Settings!$E$6,MCDM_Settings!$C$6),0)+IF(ISNUMBER(AG66),AG66*IF($D66="Unlabeled-13",MCDM_Settings!$E$7,MCDM_Settings!$C$7),0)+IF(ISNUMBER(AJ66),AJ66*IF($D66="Unlabeled-13",MCDM_Settings!$E$8,MCDM_Settings!$C$8),0)+IF(ISNUMBER(AM66),AM66*IF($D66="Unlabeled-13",MCDM_Settings!$E$9,MCDM_Settings!$C$9),0)+IF(ISNUMBER(AP66),AP66*IF($D66="Unlabeled-13",MCDM_Settings!$E$10,MCDM_Settings!$C$10),0)+IF(ISNUMBER(AS66),AS66*IF($D66="Unlabeled-13",MCDM_Settings!$E$11,MCDM_Settings!$C$11),0)))</f>
        <v>99.999999999999986</v>
      </c>
      <c r="G66" s="13">
        <f>IF(OR(AY66&lt;&gt;"Valid",AZ66&lt;&gt;"16 keys present"),"Review settings",1*(IF(ISNUMBER(AE66),AE66*IF($D66="Unlabeled-13",MCDM_Settings!$E$6,MCDM_Settings!$C$6),0)+IF(ISNUMBER(AH66),AH66*IF($D66="Unlabeled-13",MCDM_Settings!$E$7,MCDM_Settings!$C$7),0)+IF(ISNUMBER(AK66),AK66*IF($D66="Unlabeled-13",MCDM_Settings!$E$8,MCDM_Settings!$C$8),0)+IF(ISNUMBER(AN66),AN66*IF($D66="Unlabeled-13",MCDM_Settings!$E$9,MCDM_Settings!$C$9),0)+IF(ISNUMBER(AQ66),AQ66*IF($D66="Unlabeled-13",MCDM_Settings!$E$10,MCDM_Settings!$C$10),0)+IF(ISNUMBER(AT66),AT66*IF($D66="Unlabeled-13",MCDM_Settings!$E$11,MCDM_Settings!$C$11),0)))</f>
        <v>0.74999999999999989</v>
      </c>
      <c r="H66" s="5" t="str">
        <f>INDEX(Manual_Review!$AH$6:$AH$238,MATCH(A66,Manual_Review!$A$6:$A$238,0))</f>
        <v>Not started</v>
      </c>
      <c r="I66" s="5" t="s">
        <v>128</v>
      </c>
      <c r="J66" s="5" t="s">
        <v>779</v>
      </c>
      <c r="K66" s="5" t="str">
        <f>HYPERLINK("https://data.mendeley.com/datasets/429vzbgmbx/1","Dataset")</f>
        <v>Dataset</v>
      </c>
      <c r="L66" s="5" t="str">
        <f>HYPERLINK("#'Manual_Review'!A"&amp;(MATCH("DS-061",Manual_Review!$A$6:$A$238,0)+5),"Enter review")</f>
        <v>Enter review</v>
      </c>
      <c r="M66" s="5" t="str">
        <f>INDEX(MCDM_Checks!$K$6:$K$3733,MATCH(A66&amp;"|"&amp;M$5,MCDM_Checks!$A$6:$A$3733,0))</f>
        <v>Y</v>
      </c>
      <c r="N66" s="5" t="str">
        <f>INDEX(MCDM_Checks!$K$6:$K$3733,MATCH(A66&amp;"|"&amp;N$5,MCDM_Checks!$A$6:$A$3733,0))</f>
        <v>Y</v>
      </c>
      <c r="O66" s="5" t="str">
        <f>INDEX(MCDM_Checks!$K$6:$K$3733,MATCH(A66&amp;"|"&amp;O$5,MCDM_Checks!$A$6:$A$3733,0))</f>
        <v>X</v>
      </c>
      <c r="P66" s="5" t="str">
        <f>INDEX(MCDM_Checks!$K$6:$K$3733,MATCH(A66&amp;"|"&amp;P$5,MCDM_Checks!$A$6:$A$3733,0))</f>
        <v>Y</v>
      </c>
      <c r="Q66" s="5" t="str">
        <f>INDEX(MCDM_Checks!$K$6:$K$3733,MATCH(A66&amp;"|"&amp;Q$5,MCDM_Checks!$A$6:$A$3733,0))</f>
        <v>Y</v>
      </c>
      <c r="R66" s="5" t="str">
        <f>INDEX(MCDM_Checks!$K$6:$K$3733,MATCH(A66&amp;"|"&amp;R$5,MCDM_Checks!$A$6:$A$3733,0))</f>
        <v>U</v>
      </c>
      <c r="S66" s="5" t="str">
        <f>INDEX(MCDM_Checks!$K$6:$K$3733,MATCH(A66&amp;"|"&amp;S$5,MCDM_Checks!$A$6:$A$3733,0))</f>
        <v>Y</v>
      </c>
      <c r="T66" s="5" t="str">
        <f>INDEX(MCDM_Checks!$K$6:$K$3733,MATCH(A66&amp;"|"&amp;T$5,MCDM_Checks!$A$6:$A$3733,0))</f>
        <v>Y</v>
      </c>
      <c r="U66" s="5" t="str">
        <f>INDEX(MCDM_Checks!$K$6:$K$3733,MATCH(A66&amp;"|"&amp;U$5,MCDM_Checks!$A$6:$A$3733,0))</f>
        <v>U</v>
      </c>
      <c r="V66" s="5" t="str">
        <f>INDEX(MCDM_Checks!$K$6:$K$3733,MATCH(A66&amp;"|"&amp;V$5,MCDM_Checks!$A$6:$A$3733,0))</f>
        <v>Y</v>
      </c>
      <c r="W66" s="5" t="str">
        <f>INDEX(MCDM_Checks!$K$6:$K$3733,MATCH(A66&amp;"|"&amp;W$5,MCDM_Checks!$A$6:$A$3733,0))</f>
        <v>U</v>
      </c>
      <c r="X66" s="5" t="str">
        <f>INDEX(MCDM_Checks!$K$6:$K$3733,MATCH(A66&amp;"|"&amp;X$5,MCDM_Checks!$A$6:$A$3733,0))</f>
        <v>Y</v>
      </c>
      <c r="Y66" s="5" t="str">
        <f>INDEX(MCDM_Checks!$K$6:$K$3733,MATCH(A66&amp;"|"&amp;Y$5,MCDM_Checks!$A$6:$A$3733,0))</f>
        <v>Y</v>
      </c>
      <c r="Z66" s="5" t="str">
        <f>INDEX(MCDM_Checks!$K$6:$K$3733,MATCH(A66&amp;"|"&amp;Z$5,MCDM_Checks!$A$6:$A$3733,0))</f>
        <v>Y</v>
      </c>
      <c r="AA66" s="5" t="str">
        <f>INDEX(MCDM_Checks!$K$6:$K$3733,MATCH(A66&amp;"|"&amp;AA$5,MCDM_Checks!$A$6:$A$3733,0))</f>
        <v>Y</v>
      </c>
      <c r="AB66" s="5" t="str">
        <f>INDEX(MCDM_Checks!$K$6:$K$3733,MATCH(A66&amp;"|"&amp;AB$5,MCDM_Checks!$A$6:$A$3733,0))</f>
        <v>Y</v>
      </c>
      <c r="AC66" s="12">
        <f>IF(IF($D66="Unlabeled-13",MCDM_Settings!$F$6,MCDM_Settings!$D$6)=0,"n.a.",5*COUNTIF(M66:O66,"Y")/IF($D66="Unlabeled-13",MCDM_Settings!$F$6,MCDM_Settings!$D$6))</f>
        <v>3.3333333333333335</v>
      </c>
      <c r="AD66" s="12">
        <f>IF(IF($D66="Unlabeled-13",MCDM_Settings!$F$6,MCDM_Settings!$D$6)=0,"n.a.",5*(COUNTIF(M66:O66,"Y")+COUNTIF(M66:O66,"U")+COUNTIF(M66:O66,"X"))/IF($D66="Unlabeled-13",MCDM_Settings!$F$6,MCDM_Settings!$D$6))</f>
        <v>5</v>
      </c>
      <c r="AE66" s="13">
        <f>IF(IF($D66="Unlabeled-13",MCDM_Settings!$F$6,MCDM_Settings!$D$6)=0,"n.a.",(COUNTIF(M66:O66,"Y")+COUNTIF(M66:O66,"N"))/IF($D66="Unlabeled-13",MCDM_Settings!$F$6,MCDM_Settings!$D$6))</f>
        <v>0.66666666666666663</v>
      </c>
      <c r="AF66" s="12">
        <f>IF(IF($D66="Unlabeled-13",MCDM_Settings!$F$7,MCDM_Settings!$D$7)=0,"n.a.",5*COUNTIF(P66:R66,"Y")/IF($D66="Unlabeled-13",MCDM_Settings!$F$7,MCDM_Settings!$D$7))</f>
        <v>3.3333333333333335</v>
      </c>
      <c r="AG66" s="12">
        <f>IF(IF($D66="Unlabeled-13",MCDM_Settings!$F$7,MCDM_Settings!$D$7)=0,"n.a.",5*(COUNTIF(P66:R66,"Y")+COUNTIF(P66:R66,"U")+COUNTIF(P66:R66,"X"))/IF($D66="Unlabeled-13",MCDM_Settings!$F$7,MCDM_Settings!$D$7))</f>
        <v>5</v>
      </c>
      <c r="AH66" s="13">
        <f>IF(IF($D66="Unlabeled-13",MCDM_Settings!$F$7,MCDM_Settings!$D$7)=0,"n.a.",(COUNTIF(P66:R66,"Y")+COUNTIF(P66:R66,"N"))/IF($D66="Unlabeled-13",MCDM_Settings!$F$7,MCDM_Settings!$D$7))</f>
        <v>0.66666666666666663</v>
      </c>
      <c r="AI66" s="12">
        <f>IF(IF($D66="Unlabeled-13",MCDM_Settings!$F$8,MCDM_Settings!$D$8)=0,"n.a.",5*COUNTIF(S66:U66,"Y")/IF($D66="Unlabeled-13",MCDM_Settings!$F$8,MCDM_Settings!$D$8))</f>
        <v>3.3333333333333335</v>
      </c>
      <c r="AJ66" s="12">
        <f>IF(IF($D66="Unlabeled-13",MCDM_Settings!$F$8,MCDM_Settings!$D$8)=0,"n.a.",5*(COUNTIF(S66:U66,"Y")+COUNTIF(S66:U66,"U")+COUNTIF(S66:U66,"X"))/IF($D66="Unlabeled-13",MCDM_Settings!$F$8,MCDM_Settings!$D$8))</f>
        <v>5</v>
      </c>
      <c r="AK66" s="13">
        <f>IF(IF($D66="Unlabeled-13",MCDM_Settings!$F$8,MCDM_Settings!$D$8)=0,"n.a.",(COUNTIF(S66:U66,"Y")+COUNTIF(S66:U66,"N"))/IF($D66="Unlabeled-13",MCDM_Settings!$F$8,MCDM_Settings!$D$8))</f>
        <v>0.66666666666666663</v>
      </c>
      <c r="AL66" s="12">
        <f>IF(IF($D66="Unlabeled-13",MCDM_Settings!$F$9,MCDM_Settings!$D$9)=0,"n.a.",5*COUNTIF(V66:W66,"Y")/IF($D66="Unlabeled-13",MCDM_Settings!$F$9,MCDM_Settings!$D$9))</f>
        <v>2.5</v>
      </c>
      <c r="AM66" s="12">
        <f>IF(IF($D66="Unlabeled-13",MCDM_Settings!$F$9,MCDM_Settings!$D$9)=0,"n.a.",5*(COUNTIF(V66:W66,"Y")+COUNTIF(V66:W66,"U")+COUNTIF(V66:W66,"X"))/IF($D66="Unlabeled-13",MCDM_Settings!$F$9,MCDM_Settings!$D$9))</f>
        <v>5</v>
      </c>
      <c r="AN66" s="13">
        <f>IF(IF($D66="Unlabeled-13",MCDM_Settings!$F$9,MCDM_Settings!$D$9)=0,"n.a.",(COUNTIF(V66:W66,"Y")+COUNTIF(V66:W66,"N"))/IF($D66="Unlabeled-13",MCDM_Settings!$F$9,MCDM_Settings!$D$9))</f>
        <v>0.5</v>
      </c>
      <c r="AO66" s="12">
        <f>IF(IF($D66="Unlabeled-13",MCDM_Settings!$F$10,MCDM_Settings!$D$10)=0,"n.a.",5*COUNTIF(X66:Y66,"Y")/IF($D66="Unlabeled-13",MCDM_Settings!$F$10,MCDM_Settings!$D$10))</f>
        <v>5</v>
      </c>
      <c r="AP66" s="12">
        <f>IF(IF($D66="Unlabeled-13",MCDM_Settings!$F$10,MCDM_Settings!$D$10)=0,"n.a.",5*(COUNTIF(X66:Y66,"Y")+COUNTIF(X66:Y66,"U")+COUNTIF(X66:Y66,"X"))/IF($D66="Unlabeled-13",MCDM_Settings!$F$10,MCDM_Settings!$D$10))</f>
        <v>5</v>
      </c>
      <c r="AQ66" s="13">
        <f>IF(IF($D66="Unlabeled-13",MCDM_Settings!$F$10,MCDM_Settings!$D$10)=0,"n.a.",(COUNTIF(X66:Y66,"Y")+COUNTIF(X66:Y66,"N"))/IF($D66="Unlabeled-13",MCDM_Settings!$F$10,MCDM_Settings!$D$10))</f>
        <v>1</v>
      </c>
      <c r="AR66" s="12">
        <f>IF(IF($D66="Unlabeled-13",MCDM_Settings!$F$11,MCDM_Settings!$D$11)=0,"n.a.",5*COUNTIF(Z66:AB66,"Y")/IF($D66="Unlabeled-13",MCDM_Settings!$F$11,MCDM_Settings!$D$11))</f>
        <v>5</v>
      </c>
      <c r="AS66" s="12">
        <f>IF(IF($D66="Unlabeled-13",MCDM_Settings!$F$11,MCDM_Settings!$D$11)=0,"n.a.",5*(COUNTIF(Z66:AB66,"Y")+COUNTIF(Z66:AB66,"U")+COUNTIF(Z66:AB66,"X"))/IF($D66="Unlabeled-13",MCDM_Settings!$F$11,MCDM_Settings!$D$11))</f>
        <v>5</v>
      </c>
      <c r="AT66" s="13">
        <f>IF(IF($D66="Unlabeled-13",MCDM_Settings!$F$11,MCDM_Settings!$D$11)=0,"n.a.",(COUNTIF(Z66:AB66,"Y")+COUNTIF(Z66:AB66,"N"))/IF($D66="Unlabeled-13",MCDM_Settings!$F$11,MCDM_Settings!$D$11))</f>
        <v>1</v>
      </c>
      <c r="AU66" s="5" t="str">
        <f>IF(AND(INDEX(Manual_Review!$G$6:$G$238,MATCH(A66,Manual_Review!$A$6:$A$238,0))&lt;&gt;"",ISNUMBER(INDEX(Manual_Review!$H$6:$H$238,MATCH(A66,Manual_Review!$A$6:$A$238,0))),INDEX(Manual_Review!$H$6:$H$238,MATCH(A66,Manual_Review!$A$6:$A$238,0))&gt;0,INDEX(Manual_Review!$I$6:$I$238,MATCH(A66,Manual_Review!$A$6:$A$238,0))="Confirmed",INDEX(Manual_Review!$AF$6:$AF$238,MATCH(A66,Manual_Review!$A$6:$A$238,0))&lt;&gt;""),IF(INDEX(Manual_Review!$AA$6:$AA$238,MATCH(A66,Manual_Review!$A$6:$A$238,0))="Pass","Pass",IF(INDEX(Manual_Review!$AA$6:$AA$238,MATCH(A66,Manual_Review!$A$6:$A$238,0))="Fail","Fail","Pending")),"Pending human identity confirmation")</f>
        <v>Pending human identity confirmation</v>
      </c>
      <c r="AV66" s="5" t="str">
        <f>IF(AND(AND(INDEX(Manual_Review!$G$6:$G$238,MATCH(A66,Manual_Review!$A$6:$A$238,0))&lt;&gt;"",ISNUMBER(INDEX(Manual_Review!$H$6:$H$238,MATCH(A66,Manual_Review!$A$6:$A$238,0))),INDEX(Manual_Review!$H$6:$H$238,MATCH(A66,Manual_Review!$A$6:$A$238,0))&gt;0,INDEX(Manual_Review!$I$6:$I$238,MATCH(A66,Manual_Review!$A$6:$A$238,0))="Confirmed",INDEX(Manual_Review!$AF$6:$AF$238,MATCH(A66,Manual_Review!$A$6:$A$238,0))&lt;&gt;""),INDEX(Manual_Review!$AG$6:$AG$238,MATCH(A66,Manual_Review!$A$6:$A$238,0))&lt;&gt;""),IF(INDEX(Manual_Review!$AB$6:$AB$238,MATCH(A66,Manual_Review!$A$6:$A$238,0))="Pass","Pass",IF(INDEX(Manual_Review!$AB$6:$AB$238,MATCH(A66,Manual_Review!$A$6:$A$238,0))="Fail","Fail","Pending")),"Not assessed: define intended task")</f>
        <v>Not assessed: define intended task</v>
      </c>
      <c r="AW66" s="5" t="str">
        <f>IF(AND(AND(INDEX(Manual_Review!$G$6:$G$238,MATCH(A66,Manual_Review!$A$6:$A$238,0))&lt;&gt;"",ISNUMBER(INDEX(Manual_Review!$H$6:$H$238,MATCH(A66,Manual_Review!$A$6:$A$238,0))),INDEX(Manual_Review!$H$6:$H$238,MATCH(A66,Manual_Review!$A$6:$A$238,0))&gt;0,INDEX(Manual_Review!$I$6:$I$238,MATCH(A66,Manual_Review!$A$6:$A$238,0))="Confirmed",INDEX(Manual_Review!$AF$6:$AF$238,MATCH(A66,Manual_Review!$A$6:$A$238,0))&lt;&gt;""),INDEX(Manual_Review!$AG$6:$AG$238,MATCH(A66,Manual_Review!$A$6:$A$238,0))&lt;&gt;""),IF(OR(INDEX(Manual_Review!$AC$6:$AC$238,MATCH(A66,Manual_Review!$A$6:$A$238,0))="Fail",INDEX(Manual_Review!$AD$6:$AD$238,MATCH(A66,Manual_Review!$A$6:$A$238,0))="Fail"),"Fail: rights or retrieval",IF(AND(INDEX(Manual_Review!$AC$6:$AC$238,MATCH(A66,Manual_Review!$A$6:$A$238,0))="Pass",INDEX(Manual_Review!$AD$6:$AD$238,MATCH(A66,Manual_Review!$A$6:$A$238,0))="Pass"),"Pass","Pending rights and retrieval")),"Pending rights and retrieval")</f>
        <v>Pending rights and retrieval</v>
      </c>
      <c r="AX66" s="5" t="str">
        <f>IF(INDEX(Manual_Review!$AG$6:$AG$238,MATCH(A66,Manual_Review!$A$6:$A$238,0))="","N/A: documentation inventory",IF(AND(INDEX(Manual_Review!$G$6:$G$238,MATCH(A66,Manual_Review!$A$6:$A$238,0))&lt;&gt;"",ISNUMBER(INDEX(Manual_Review!$H$6:$H$238,MATCH(A66,Manual_Review!$A$6:$A$238,0))),INDEX(Manual_Review!$H$6:$H$238,MATCH(A66,Manual_Review!$A$6:$A$238,0))&gt;0,INDEX(Manual_Review!$I$6:$I$238,MATCH(A66,Manual_Review!$A$6:$A$238,0))="Confirmed",INDEX(Manual_Review!$AF$6:$AF$238,MATCH(A66,Manual_Review!$A$6:$A$238,0))&lt;&gt;""),IF(INDEX(Manual_Review!$AE$6:$AE$238,MATCH(A66,Manual_Review!$A$6:$A$238,0))="Pass","Pass",IF(INDEX(Manual_Review!$AE$6:$AE$238,MATCH(A66,Manual_Review!$A$6:$A$238,0))="Fail","Fail: benchmark leakage",IF(INDEX(Manual_Review!$AE$6:$AE$238,MATCH(A66,Manual_Review!$A$6:$A$238,0))="N/A","N/A: nonbenchmark task","Pending task-specific leakage check"))),"Pending task-specific leakage check"))</f>
        <v>N/A: documentation inventory</v>
      </c>
      <c r="AY66" s="5" t="str">
        <f>IF(IF(D66="Unlabeled-13",AND(ABS(MCDM_Settings!$D$14-1)&lt;0.0000001,MIN(MCDM_Settings!$E$6:$E$11)&gt;=0,MCDM_Settings!$E$7=0),AND(ABS(MCDM_Settings!$B$14-1)&lt;0.0000001,MIN(MCDM_Settings!$C$6:$C$11)&gt;=0)),"Valid","Check weights")</f>
        <v>Valid</v>
      </c>
      <c r="AZ66" s="5" t="str">
        <f>IF(AND(COUNTIF(MCDM_Checks!$B$6:$B$3733,A66)=16,COUNTIF(Manual_Review!$A$6:$A$238,A66)=1),"16 keys present","Check key count")</f>
        <v>16 keys present</v>
      </c>
    </row>
    <row r="67" spans="1:52">
      <c r="A67" s="5" t="s">
        <v>792</v>
      </c>
      <c r="B67" s="5" t="s">
        <v>793</v>
      </c>
      <c r="C67" s="5"/>
      <c r="D67" s="5" t="s">
        <v>118</v>
      </c>
      <c r="E67" s="12">
        <f>IF(OR(AY67&lt;&gt;"Valid",AZ67&lt;&gt;"16 keys present"),"Review settings",20*(IF(ISNUMBER(AC67),AC67*IF($D67="Unlabeled-13",MCDM_Settings!$E$6,MCDM_Settings!$C$6),0)+IF(ISNUMBER(AF67),AF67*IF($D67="Unlabeled-13",MCDM_Settings!$E$7,MCDM_Settings!$C$7),0)+IF(ISNUMBER(AI67),AI67*IF($D67="Unlabeled-13",MCDM_Settings!$E$8,MCDM_Settings!$C$8),0)+IF(ISNUMBER(AL67),AL67*IF($D67="Unlabeled-13",MCDM_Settings!$E$9,MCDM_Settings!$C$9),0)+IF(ISNUMBER(AO67),AO67*IF($D67="Unlabeled-13",MCDM_Settings!$E$10,MCDM_Settings!$C$10),0)+IF(ISNUMBER(AR67),AR67*IF($D67="Unlabeled-13",MCDM_Settings!$E$11,MCDM_Settings!$C$11),0)))</f>
        <v>58.333333333333329</v>
      </c>
      <c r="F67" s="12">
        <f>IF(OR(AY67&lt;&gt;"Valid",AZ67&lt;&gt;"16 keys present"),"Review settings",20*(IF(ISNUMBER(AD67),AD67*IF($D67="Unlabeled-13",MCDM_Settings!$E$6,MCDM_Settings!$C$6),0)+IF(ISNUMBER(AG67),AG67*IF($D67="Unlabeled-13",MCDM_Settings!$E$7,MCDM_Settings!$C$7),0)+IF(ISNUMBER(AJ67),AJ67*IF($D67="Unlabeled-13",MCDM_Settings!$E$8,MCDM_Settings!$C$8),0)+IF(ISNUMBER(AM67),AM67*IF($D67="Unlabeled-13",MCDM_Settings!$E$9,MCDM_Settings!$C$9),0)+IF(ISNUMBER(AP67),AP67*IF($D67="Unlabeled-13",MCDM_Settings!$E$10,MCDM_Settings!$C$10),0)+IF(ISNUMBER(AS67),AS67*IF($D67="Unlabeled-13",MCDM_Settings!$E$11,MCDM_Settings!$C$11),0)))</f>
        <v>99.999999999999986</v>
      </c>
      <c r="G67" s="13">
        <f>IF(OR(AY67&lt;&gt;"Valid",AZ67&lt;&gt;"16 keys present"),"Review settings",1*(IF(ISNUMBER(AE67),AE67*IF($D67="Unlabeled-13",MCDM_Settings!$E$6,MCDM_Settings!$C$6),0)+IF(ISNUMBER(AH67),AH67*IF($D67="Unlabeled-13",MCDM_Settings!$E$7,MCDM_Settings!$C$7),0)+IF(ISNUMBER(AK67),AK67*IF($D67="Unlabeled-13",MCDM_Settings!$E$8,MCDM_Settings!$C$8),0)+IF(ISNUMBER(AN67),AN67*IF($D67="Unlabeled-13",MCDM_Settings!$E$9,MCDM_Settings!$C$9),0)+IF(ISNUMBER(AQ67),AQ67*IF($D67="Unlabeled-13",MCDM_Settings!$E$10,MCDM_Settings!$C$10),0)+IF(ISNUMBER(AT67),AT67*IF($D67="Unlabeled-13",MCDM_Settings!$E$11,MCDM_Settings!$C$11),0)))</f>
        <v>0.58333333333333337</v>
      </c>
      <c r="H67" s="5" t="str">
        <f>INDEX(Manual_Review!$AH$6:$AH$238,MATCH(A67,Manual_Review!$A$6:$A$238,0))</f>
        <v>Not started</v>
      </c>
      <c r="I67" s="5" t="s">
        <v>128</v>
      </c>
      <c r="J67" s="5" t="s">
        <v>556</v>
      </c>
      <c r="K67" s="5" t="str">
        <f>HYPERLINK("https://data.mendeley.com/datasets/wddt4gbttd/1","Dataset")</f>
        <v>Dataset</v>
      </c>
      <c r="L67" s="5" t="str">
        <f>HYPERLINK("#'Manual_Review'!A"&amp;(MATCH("DS-062",Manual_Review!$A$6:$A$238,0)+5),"Enter review")</f>
        <v>Enter review</v>
      </c>
      <c r="M67" s="5" t="str">
        <f>INDEX(MCDM_Checks!$K$6:$K$3733,MATCH(A67&amp;"|"&amp;M$5,MCDM_Checks!$A$6:$A$3733,0))</f>
        <v>Y</v>
      </c>
      <c r="N67" s="5" t="str">
        <f>INDEX(MCDM_Checks!$K$6:$K$3733,MATCH(A67&amp;"|"&amp;N$5,MCDM_Checks!$A$6:$A$3733,0))</f>
        <v>Y</v>
      </c>
      <c r="O67" s="5" t="str">
        <f>INDEX(MCDM_Checks!$K$6:$K$3733,MATCH(A67&amp;"|"&amp;O$5,MCDM_Checks!$A$6:$A$3733,0))</f>
        <v>Y</v>
      </c>
      <c r="P67" s="5" t="str">
        <f>INDEX(MCDM_Checks!$K$6:$K$3733,MATCH(A67&amp;"|"&amp;P$5,MCDM_Checks!$A$6:$A$3733,0))</f>
        <v>Y</v>
      </c>
      <c r="Q67" s="5" t="str">
        <f>INDEX(MCDM_Checks!$K$6:$K$3733,MATCH(A67&amp;"|"&amp;Q$5,MCDM_Checks!$A$6:$A$3733,0))</f>
        <v>Y</v>
      </c>
      <c r="R67" s="5" t="str">
        <f>INDEX(MCDM_Checks!$K$6:$K$3733,MATCH(A67&amp;"|"&amp;R$5,MCDM_Checks!$A$6:$A$3733,0))</f>
        <v>U</v>
      </c>
      <c r="S67" s="5" t="str">
        <f>INDEX(MCDM_Checks!$K$6:$K$3733,MATCH(A67&amp;"|"&amp;S$5,MCDM_Checks!$A$6:$A$3733,0))</f>
        <v>Y</v>
      </c>
      <c r="T67" s="5" t="str">
        <f>INDEX(MCDM_Checks!$K$6:$K$3733,MATCH(A67&amp;"|"&amp;T$5,MCDM_Checks!$A$6:$A$3733,0))</f>
        <v>Y</v>
      </c>
      <c r="U67" s="5" t="str">
        <f>INDEX(MCDM_Checks!$K$6:$K$3733,MATCH(A67&amp;"|"&amp;U$5,MCDM_Checks!$A$6:$A$3733,0))</f>
        <v>Y</v>
      </c>
      <c r="V67" s="5" t="str">
        <f>INDEX(MCDM_Checks!$K$6:$K$3733,MATCH(A67&amp;"|"&amp;V$5,MCDM_Checks!$A$6:$A$3733,0))</f>
        <v>U</v>
      </c>
      <c r="W67" s="5" t="str">
        <f>INDEX(MCDM_Checks!$K$6:$K$3733,MATCH(A67&amp;"|"&amp;W$5,MCDM_Checks!$A$6:$A$3733,0))</f>
        <v>Y</v>
      </c>
      <c r="X67" s="5" t="str">
        <f>INDEX(MCDM_Checks!$K$6:$K$3733,MATCH(A67&amp;"|"&amp;X$5,MCDM_Checks!$A$6:$A$3733,0))</f>
        <v>U</v>
      </c>
      <c r="Y67" s="5" t="str">
        <f>INDEX(MCDM_Checks!$K$6:$K$3733,MATCH(A67&amp;"|"&amp;Y$5,MCDM_Checks!$A$6:$A$3733,0))</f>
        <v>U</v>
      </c>
      <c r="Z67" s="5" t="str">
        <f>INDEX(MCDM_Checks!$K$6:$K$3733,MATCH(A67&amp;"|"&amp;Z$5,MCDM_Checks!$A$6:$A$3733,0))</f>
        <v>U</v>
      </c>
      <c r="AA67" s="5" t="str">
        <f>INDEX(MCDM_Checks!$K$6:$K$3733,MATCH(A67&amp;"|"&amp;AA$5,MCDM_Checks!$A$6:$A$3733,0))</f>
        <v>U</v>
      </c>
      <c r="AB67" s="5" t="str">
        <f>INDEX(MCDM_Checks!$K$6:$K$3733,MATCH(A67&amp;"|"&amp;AB$5,MCDM_Checks!$A$6:$A$3733,0))</f>
        <v>Y</v>
      </c>
      <c r="AC67" s="12">
        <f>IF(IF($D67="Unlabeled-13",MCDM_Settings!$F$6,MCDM_Settings!$D$6)=0,"n.a.",5*COUNTIF(M67:O67,"Y")/IF($D67="Unlabeled-13",MCDM_Settings!$F$6,MCDM_Settings!$D$6))</f>
        <v>5</v>
      </c>
      <c r="AD67" s="12">
        <f>IF(IF($D67="Unlabeled-13",MCDM_Settings!$F$6,MCDM_Settings!$D$6)=0,"n.a.",5*(COUNTIF(M67:O67,"Y")+COUNTIF(M67:O67,"U")+COUNTIF(M67:O67,"X"))/IF($D67="Unlabeled-13",MCDM_Settings!$F$6,MCDM_Settings!$D$6))</f>
        <v>5</v>
      </c>
      <c r="AE67" s="13">
        <f>IF(IF($D67="Unlabeled-13",MCDM_Settings!$F$6,MCDM_Settings!$D$6)=0,"n.a.",(COUNTIF(M67:O67,"Y")+COUNTIF(M67:O67,"N"))/IF($D67="Unlabeled-13",MCDM_Settings!$F$6,MCDM_Settings!$D$6))</f>
        <v>1</v>
      </c>
      <c r="AF67" s="12">
        <f>IF(IF($D67="Unlabeled-13",MCDM_Settings!$F$7,MCDM_Settings!$D$7)=0,"n.a.",5*COUNTIF(P67:R67,"Y")/IF($D67="Unlabeled-13",MCDM_Settings!$F$7,MCDM_Settings!$D$7))</f>
        <v>3.3333333333333335</v>
      </c>
      <c r="AG67" s="12">
        <f>IF(IF($D67="Unlabeled-13",MCDM_Settings!$F$7,MCDM_Settings!$D$7)=0,"n.a.",5*(COUNTIF(P67:R67,"Y")+COUNTIF(P67:R67,"U")+COUNTIF(P67:R67,"X"))/IF($D67="Unlabeled-13",MCDM_Settings!$F$7,MCDM_Settings!$D$7))</f>
        <v>5</v>
      </c>
      <c r="AH67" s="13">
        <f>IF(IF($D67="Unlabeled-13",MCDM_Settings!$F$7,MCDM_Settings!$D$7)=0,"n.a.",(COUNTIF(P67:R67,"Y")+COUNTIF(P67:R67,"N"))/IF($D67="Unlabeled-13",MCDM_Settings!$F$7,MCDM_Settings!$D$7))</f>
        <v>0.66666666666666663</v>
      </c>
      <c r="AI67" s="12">
        <f>IF(IF($D67="Unlabeled-13",MCDM_Settings!$F$8,MCDM_Settings!$D$8)=0,"n.a.",5*COUNTIF(S67:U67,"Y")/IF($D67="Unlabeled-13",MCDM_Settings!$F$8,MCDM_Settings!$D$8))</f>
        <v>5</v>
      </c>
      <c r="AJ67" s="12">
        <f>IF(IF($D67="Unlabeled-13",MCDM_Settings!$F$8,MCDM_Settings!$D$8)=0,"n.a.",5*(COUNTIF(S67:U67,"Y")+COUNTIF(S67:U67,"U")+COUNTIF(S67:U67,"X"))/IF($D67="Unlabeled-13",MCDM_Settings!$F$8,MCDM_Settings!$D$8))</f>
        <v>5</v>
      </c>
      <c r="AK67" s="13">
        <f>IF(IF($D67="Unlabeled-13",MCDM_Settings!$F$8,MCDM_Settings!$D$8)=0,"n.a.",(COUNTIF(S67:U67,"Y")+COUNTIF(S67:U67,"N"))/IF($D67="Unlabeled-13",MCDM_Settings!$F$8,MCDM_Settings!$D$8))</f>
        <v>1</v>
      </c>
      <c r="AL67" s="12">
        <f>IF(IF($D67="Unlabeled-13",MCDM_Settings!$F$9,MCDM_Settings!$D$9)=0,"n.a.",5*COUNTIF(V67:W67,"Y")/IF($D67="Unlabeled-13",MCDM_Settings!$F$9,MCDM_Settings!$D$9))</f>
        <v>2.5</v>
      </c>
      <c r="AM67" s="12">
        <f>IF(IF($D67="Unlabeled-13",MCDM_Settings!$F$9,MCDM_Settings!$D$9)=0,"n.a.",5*(COUNTIF(V67:W67,"Y")+COUNTIF(V67:W67,"U")+COUNTIF(V67:W67,"X"))/IF($D67="Unlabeled-13",MCDM_Settings!$F$9,MCDM_Settings!$D$9))</f>
        <v>5</v>
      </c>
      <c r="AN67" s="13">
        <f>IF(IF($D67="Unlabeled-13",MCDM_Settings!$F$9,MCDM_Settings!$D$9)=0,"n.a.",(COUNTIF(V67:W67,"Y")+COUNTIF(V67:W67,"N"))/IF($D67="Unlabeled-13",MCDM_Settings!$F$9,MCDM_Settings!$D$9))</f>
        <v>0.5</v>
      </c>
      <c r="AO67" s="12">
        <f>IF(IF($D67="Unlabeled-13",MCDM_Settings!$F$10,MCDM_Settings!$D$10)=0,"n.a.",5*COUNTIF(X67:Y67,"Y")/IF($D67="Unlabeled-13",MCDM_Settings!$F$10,MCDM_Settings!$D$10))</f>
        <v>0</v>
      </c>
      <c r="AP67" s="12">
        <f>IF(IF($D67="Unlabeled-13",MCDM_Settings!$F$10,MCDM_Settings!$D$10)=0,"n.a.",5*(COUNTIF(X67:Y67,"Y")+COUNTIF(X67:Y67,"U")+COUNTIF(X67:Y67,"X"))/IF($D67="Unlabeled-13",MCDM_Settings!$F$10,MCDM_Settings!$D$10))</f>
        <v>5</v>
      </c>
      <c r="AQ67" s="13">
        <f>IF(IF($D67="Unlabeled-13",MCDM_Settings!$F$10,MCDM_Settings!$D$10)=0,"n.a.",(COUNTIF(X67:Y67,"Y")+COUNTIF(X67:Y67,"N"))/IF($D67="Unlabeled-13",MCDM_Settings!$F$10,MCDM_Settings!$D$10))</f>
        <v>0</v>
      </c>
      <c r="AR67" s="12">
        <f>IF(IF($D67="Unlabeled-13",MCDM_Settings!$F$11,MCDM_Settings!$D$11)=0,"n.a.",5*COUNTIF(Z67:AB67,"Y")/IF($D67="Unlabeled-13",MCDM_Settings!$F$11,MCDM_Settings!$D$11))</f>
        <v>1.6666666666666667</v>
      </c>
      <c r="AS67" s="12">
        <f>IF(IF($D67="Unlabeled-13",MCDM_Settings!$F$11,MCDM_Settings!$D$11)=0,"n.a.",5*(COUNTIF(Z67:AB67,"Y")+COUNTIF(Z67:AB67,"U")+COUNTIF(Z67:AB67,"X"))/IF($D67="Unlabeled-13",MCDM_Settings!$F$11,MCDM_Settings!$D$11))</f>
        <v>5</v>
      </c>
      <c r="AT67" s="13">
        <f>IF(IF($D67="Unlabeled-13",MCDM_Settings!$F$11,MCDM_Settings!$D$11)=0,"n.a.",(COUNTIF(Z67:AB67,"Y")+COUNTIF(Z67:AB67,"N"))/IF($D67="Unlabeled-13",MCDM_Settings!$F$11,MCDM_Settings!$D$11))</f>
        <v>0.33333333333333331</v>
      </c>
      <c r="AU67" s="5" t="str">
        <f>IF(AND(INDEX(Manual_Review!$G$6:$G$238,MATCH(A67,Manual_Review!$A$6:$A$238,0))&lt;&gt;"",ISNUMBER(INDEX(Manual_Review!$H$6:$H$238,MATCH(A67,Manual_Review!$A$6:$A$238,0))),INDEX(Manual_Review!$H$6:$H$238,MATCH(A67,Manual_Review!$A$6:$A$238,0))&gt;0,INDEX(Manual_Review!$I$6:$I$238,MATCH(A67,Manual_Review!$A$6:$A$238,0))="Confirmed",INDEX(Manual_Review!$AF$6:$AF$238,MATCH(A67,Manual_Review!$A$6:$A$238,0))&lt;&gt;""),IF(INDEX(Manual_Review!$AA$6:$AA$238,MATCH(A67,Manual_Review!$A$6:$A$238,0))="Pass","Pass",IF(INDEX(Manual_Review!$AA$6:$AA$238,MATCH(A67,Manual_Review!$A$6:$A$238,0))="Fail","Fail","Pending")),"Pending human identity confirmation")</f>
        <v>Pending human identity confirmation</v>
      </c>
      <c r="AV67" s="5" t="str">
        <f>IF(AND(AND(INDEX(Manual_Review!$G$6:$G$238,MATCH(A67,Manual_Review!$A$6:$A$238,0))&lt;&gt;"",ISNUMBER(INDEX(Manual_Review!$H$6:$H$238,MATCH(A67,Manual_Review!$A$6:$A$238,0))),INDEX(Manual_Review!$H$6:$H$238,MATCH(A67,Manual_Review!$A$6:$A$238,0))&gt;0,INDEX(Manual_Review!$I$6:$I$238,MATCH(A67,Manual_Review!$A$6:$A$238,0))="Confirmed",INDEX(Manual_Review!$AF$6:$AF$238,MATCH(A67,Manual_Review!$A$6:$A$238,0))&lt;&gt;""),INDEX(Manual_Review!$AG$6:$AG$238,MATCH(A67,Manual_Review!$A$6:$A$238,0))&lt;&gt;""),IF(INDEX(Manual_Review!$AB$6:$AB$238,MATCH(A67,Manual_Review!$A$6:$A$238,0))="Pass","Pass",IF(INDEX(Manual_Review!$AB$6:$AB$238,MATCH(A67,Manual_Review!$A$6:$A$238,0))="Fail","Fail","Pending")),"Not assessed: define intended task")</f>
        <v>Not assessed: define intended task</v>
      </c>
      <c r="AW67" s="5" t="str">
        <f>IF(AND(AND(INDEX(Manual_Review!$G$6:$G$238,MATCH(A67,Manual_Review!$A$6:$A$238,0))&lt;&gt;"",ISNUMBER(INDEX(Manual_Review!$H$6:$H$238,MATCH(A67,Manual_Review!$A$6:$A$238,0))),INDEX(Manual_Review!$H$6:$H$238,MATCH(A67,Manual_Review!$A$6:$A$238,0))&gt;0,INDEX(Manual_Review!$I$6:$I$238,MATCH(A67,Manual_Review!$A$6:$A$238,0))="Confirmed",INDEX(Manual_Review!$AF$6:$AF$238,MATCH(A67,Manual_Review!$A$6:$A$238,0))&lt;&gt;""),INDEX(Manual_Review!$AG$6:$AG$238,MATCH(A67,Manual_Review!$A$6:$A$238,0))&lt;&gt;""),IF(OR(INDEX(Manual_Review!$AC$6:$AC$238,MATCH(A67,Manual_Review!$A$6:$A$238,0))="Fail",INDEX(Manual_Review!$AD$6:$AD$238,MATCH(A67,Manual_Review!$A$6:$A$238,0))="Fail"),"Fail: rights or retrieval",IF(AND(INDEX(Manual_Review!$AC$6:$AC$238,MATCH(A67,Manual_Review!$A$6:$A$238,0))="Pass",INDEX(Manual_Review!$AD$6:$AD$238,MATCH(A67,Manual_Review!$A$6:$A$238,0))="Pass"),"Pass","Pending rights and retrieval")),"Pending rights and retrieval")</f>
        <v>Pending rights and retrieval</v>
      </c>
      <c r="AX67" s="5" t="str">
        <f>IF(INDEX(Manual_Review!$AG$6:$AG$238,MATCH(A67,Manual_Review!$A$6:$A$238,0))="","N/A: documentation inventory",IF(AND(INDEX(Manual_Review!$G$6:$G$238,MATCH(A67,Manual_Review!$A$6:$A$238,0))&lt;&gt;"",ISNUMBER(INDEX(Manual_Review!$H$6:$H$238,MATCH(A67,Manual_Review!$A$6:$A$238,0))),INDEX(Manual_Review!$H$6:$H$238,MATCH(A67,Manual_Review!$A$6:$A$238,0))&gt;0,INDEX(Manual_Review!$I$6:$I$238,MATCH(A67,Manual_Review!$A$6:$A$238,0))="Confirmed",INDEX(Manual_Review!$AF$6:$AF$238,MATCH(A67,Manual_Review!$A$6:$A$238,0))&lt;&gt;""),IF(INDEX(Manual_Review!$AE$6:$AE$238,MATCH(A67,Manual_Review!$A$6:$A$238,0))="Pass","Pass",IF(INDEX(Manual_Review!$AE$6:$AE$238,MATCH(A67,Manual_Review!$A$6:$A$238,0))="Fail","Fail: benchmark leakage",IF(INDEX(Manual_Review!$AE$6:$AE$238,MATCH(A67,Manual_Review!$A$6:$A$238,0))="N/A","N/A: nonbenchmark task","Pending task-specific leakage check"))),"Pending task-specific leakage check"))</f>
        <v>N/A: documentation inventory</v>
      </c>
      <c r="AY67" s="5" t="str">
        <f>IF(IF(D67="Unlabeled-13",AND(ABS(MCDM_Settings!$D$14-1)&lt;0.0000001,MIN(MCDM_Settings!$E$6:$E$11)&gt;=0,MCDM_Settings!$E$7=0),AND(ABS(MCDM_Settings!$B$14-1)&lt;0.0000001,MIN(MCDM_Settings!$C$6:$C$11)&gt;=0)),"Valid","Check weights")</f>
        <v>Valid</v>
      </c>
      <c r="AZ67" s="5" t="str">
        <f>IF(AND(COUNTIF(MCDM_Checks!$B$6:$B$3733,A67)=16,COUNTIF(Manual_Review!$A$6:$A$238,A67)=1),"16 keys present","Check key count")</f>
        <v>16 keys present</v>
      </c>
    </row>
    <row r="68" spans="1:52" ht="25.5">
      <c r="A68" s="5" t="s">
        <v>803</v>
      </c>
      <c r="B68" s="5" t="s">
        <v>804</v>
      </c>
      <c r="C68" s="5"/>
      <c r="D68" s="5" t="s">
        <v>118</v>
      </c>
      <c r="E68" s="12">
        <f>IF(OR(AY68&lt;&gt;"Valid",AZ68&lt;&gt;"16 keys present"),"Review settings",20*(IF(ISNUMBER(AC68),AC68*IF($D68="Unlabeled-13",MCDM_Settings!$E$6,MCDM_Settings!$C$6),0)+IF(ISNUMBER(AF68),AF68*IF($D68="Unlabeled-13",MCDM_Settings!$E$7,MCDM_Settings!$C$7),0)+IF(ISNUMBER(AI68),AI68*IF($D68="Unlabeled-13",MCDM_Settings!$E$8,MCDM_Settings!$C$8),0)+IF(ISNUMBER(AL68),AL68*IF($D68="Unlabeled-13",MCDM_Settings!$E$9,MCDM_Settings!$C$9),0)+IF(ISNUMBER(AO68),AO68*IF($D68="Unlabeled-13",MCDM_Settings!$E$10,MCDM_Settings!$C$10),0)+IF(ISNUMBER(AR68),AR68*IF($D68="Unlabeled-13",MCDM_Settings!$E$11,MCDM_Settings!$C$11),0)))</f>
        <v>75</v>
      </c>
      <c r="F68" s="12">
        <f>IF(OR(AY68&lt;&gt;"Valid",AZ68&lt;&gt;"16 keys present"),"Review settings",20*(IF(ISNUMBER(AD68),AD68*IF($D68="Unlabeled-13",MCDM_Settings!$E$6,MCDM_Settings!$C$6),0)+IF(ISNUMBER(AG68),AG68*IF($D68="Unlabeled-13",MCDM_Settings!$E$7,MCDM_Settings!$C$7),0)+IF(ISNUMBER(AJ68),AJ68*IF($D68="Unlabeled-13",MCDM_Settings!$E$8,MCDM_Settings!$C$8),0)+IF(ISNUMBER(AM68),AM68*IF($D68="Unlabeled-13",MCDM_Settings!$E$9,MCDM_Settings!$C$9),0)+IF(ISNUMBER(AP68),AP68*IF($D68="Unlabeled-13",MCDM_Settings!$E$10,MCDM_Settings!$C$10),0)+IF(ISNUMBER(AS68),AS68*IF($D68="Unlabeled-13",MCDM_Settings!$E$11,MCDM_Settings!$C$11),0)))</f>
        <v>99.999999999999986</v>
      </c>
      <c r="G68" s="13">
        <f>IF(OR(AY68&lt;&gt;"Valid",AZ68&lt;&gt;"16 keys present"),"Review settings",1*(IF(ISNUMBER(AE68),AE68*IF($D68="Unlabeled-13",MCDM_Settings!$E$6,MCDM_Settings!$C$6),0)+IF(ISNUMBER(AH68),AH68*IF($D68="Unlabeled-13",MCDM_Settings!$E$7,MCDM_Settings!$C$7),0)+IF(ISNUMBER(AK68),AK68*IF($D68="Unlabeled-13",MCDM_Settings!$E$8,MCDM_Settings!$C$8),0)+IF(ISNUMBER(AN68),AN68*IF($D68="Unlabeled-13",MCDM_Settings!$E$9,MCDM_Settings!$C$9),0)+IF(ISNUMBER(AQ68),AQ68*IF($D68="Unlabeled-13",MCDM_Settings!$E$10,MCDM_Settings!$C$10),0)+IF(ISNUMBER(AT68),AT68*IF($D68="Unlabeled-13",MCDM_Settings!$E$11,MCDM_Settings!$C$11),0)))</f>
        <v>0.74999999999999989</v>
      </c>
      <c r="H68" s="5" t="str">
        <f>INDEX(Manual_Review!$AH$6:$AH$238,MATCH(A68,Manual_Review!$A$6:$A$238,0))</f>
        <v>Not started</v>
      </c>
      <c r="I68" s="5" t="s">
        <v>128</v>
      </c>
      <c r="J68" s="5" t="s">
        <v>556</v>
      </c>
      <c r="K68" s="5" t="str">
        <f>HYPERLINK("https://data.mendeley.com/datasets/3v5r2fxf89/1","Dataset")</f>
        <v>Dataset</v>
      </c>
      <c r="L68" s="5" t="str">
        <f>HYPERLINK("#'Manual_Review'!A"&amp;(MATCH("DS-063",Manual_Review!$A$6:$A$238,0)+5),"Enter review")</f>
        <v>Enter review</v>
      </c>
      <c r="M68" s="5" t="str">
        <f>INDEX(MCDM_Checks!$K$6:$K$3733,MATCH(A68&amp;"|"&amp;M$5,MCDM_Checks!$A$6:$A$3733,0))</f>
        <v>Y</v>
      </c>
      <c r="N68" s="5" t="str">
        <f>INDEX(MCDM_Checks!$K$6:$K$3733,MATCH(A68&amp;"|"&amp;N$5,MCDM_Checks!$A$6:$A$3733,0))</f>
        <v>Y</v>
      </c>
      <c r="O68" s="5" t="str">
        <f>INDEX(MCDM_Checks!$K$6:$K$3733,MATCH(A68&amp;"|"&amp;O$5,MCDM_Checks!$A$6:$A$3733,0))</f>
        <v>Y</v>
      </c>
      <c r="P68" s="5" t="str">
        <f>INDEX(MCDM_Checks!$K$6:$K$3733,MATCH(A68&amp;"|"&amp;P$5,MCDM_Checks!$A$6:$A$3733,0))</f>
        <v>Y</v>
      </c>
      <c r="Q68" s="5" t="str">
        <f>INDEX(MCDM_Checks!$K$6:$K$3733,MATCH(A68&amp;"|"&amp;Q$5,MCDM_Checks!$A$6:$A$3733,0))</f>
        <v>U</v>
      </c>
      <c r="R68" s="5" t="str">
        <f>INDEX(MCDM_Checks!$K$6:$K$3733,MATCH(A68&amp;"|"&amp;R$5,MCDM_Checks!$A$6:$A$3733,0))</f>
        <v>U</v>
      </c>
      <c r="S68" s="5" t="str">
        <f>INDEX(MCDM_Checks!$K$6:$K$3733,MATCH(A68&amp;"|"&amp;S$5,MCDM_Checks!$A$6:$A$3733,0))</f>
        <v>U</v>
      </c>
      <c r="T68" s="5" t="str">
        <f>INDEX(MCDM_Checks!$K$6:$K$3733,MATCH(A68&amp;"|"&amp;T$5,MCDM_Checks!$A$6:$A$3733,0))</f>
        <v>Y</v>
      </c>
      <c r="U68" s="5" t="str">
        <f>INDEX(MCDM_Checks!$K$6:$K$3733,MATCH(A68&amp;"|"&amp;U$5,MCDM_Checks!$A$6:$A$3733,0))</f>
        <v>Y</v>
      </c>
      <c r="V68" s="5" t="str">
        <f>INDEX(MCDM_Checks!$K$6:$K$3733,MATCH(A68&amp;"|"&amp;V$5,MCDM_Checks!$A$6:$A$3733,0))</f>
        <v>Y</v>
      </c>
      <c r="W68" s="5" t="str">
        <f>INDEX(MCDM_Checks!$K$6:$K$3733,MATCH(A68&amp;"|"&amp;W$5,MCDM_Checks!$A$6:$A$3733,0))</f>
        <v>U</v>
      </c>
      <c r="X68" s="5" t="str">
        <f>INDEX(MCDM_Checks!$K$6:$K$3733,MATCH(A68&amp;"|"&amp;X$5,MCDM_Checks!$A$6:$A$3733,0))</f>
        <v>Y</v>
      </c>
      <c r="Y68" s="5" t="str">
        <f>INDEX(MCDM_Checks!$K$6:$K$3733,MATCH(A68&amp;"|"&amp;Y$5,MCDM_Checks!$A$6:$A$3733,0))</f>
        <v>Y</v>
      </c>
      <c r="Z68" s="5" t="str">
        <f>INDEX(MCDM_Checks!$K$6:$K$3733,MATCH(A68&amp;"|"&amp;Z$5,MCDM_Checks!$A$6:$A$3733,0))</f>
        <v>Y</v>
      </c>
      <c r="AA68" s="5" t="str">
        <f>INDEX(MCDM_Checks!$K$6:$K$3733,MATCH(A68&amp;"|"&amp;AA$5,MCDM_Checks!$A$6:$A$3733,0))</f>
        <v>Y</v>
      </c>
      <c r="AB68" s="5" t="str">
        <f>INDEX(MCDM_Checks!$K$6:$K$3733,MATCH(A68&amp;"|"&amp;AB$5,MCDM_Checks!$A$6:$A$3733,0))</f>
        <v>Y</v>
      </c>
      <c r="AC68" s="12">
        <f>IF(IF($D68="Unlabeled-13",MCDM_Settings!$F$6,MCDM_Settings!$D$6)=0,"n.a.",5*COUNTIF(M68:O68,"Y")/IF($D68="Unlabeled-13",MCDM_Settings!$F$6,MCDM_Settings!$D$6))</f>
        <v>5</v>
      </c>
      <c r="AD68" s="12">
        <f>IF(IF($D68="Unlabeled-13",MCDM_Settings!$F$6,MCDM_Settings!$D$6)=0,"n.a.",5*(COUNTIF(M68:O68,"Y")+COUNTIF(M68:O68,"U")+COUNTIF(M68:O68,"X"))/IF($D68="Unlabeled-13",MCDM_Settings!$F$6,MCDM_Settings!$D$6))</f>
        <v>5</v>
      </c>
      <c r="AE68" s="13">
        <f>IF(IF($D68="Unlabeled-13",MCDM_Settings!$F$6,MCDM_Settings!$D$6)=0,"n.a.",(COUNTIF(M68:O68,"Y")+COUNTIF(M68:O68,"N"))/IF($D68="Unlabeled-13",MCDM_Settings!$F$6,MCDM_Settings!$D$6))</f>
        <v>1</v>
      </c>
      <c r="AF68" s="12">
        <f>IF(IF($D68="Unlabeled-13",MCDM_Settings!$F$7,MCDM_Settings!$D$7)=0,"n.a.",5*COUNTIF(P68:R68,"Y")/IF($D68="Unlabeled-13",MCDM_Settings!$F$7,MCDM_Settings!$D$7))</f>
        <v>1.6666666666666667</v>
      </c>
      <c r="AG68" s="12">
        <f>IF(IF($D68="Unlabeled-13",MCDM_Settings!$F$7,MCDM_Settings!$D$7)=0,"n.a.",5*(COUNTIF(P68:R68,"Y")+COUNTIF(P68:R68,"U")+COUNTIF(P68:R68,"X"))/IF($D68="Unlabeled-13",MCDM_Settings!$F$7,MCDM_Settings!$D$7))</f>
        <v>5</v>
      </c>
      <c r="AH68" s="13">
        <f>IF(IF($D68="Unlabeled-13",MCDM_Settings!$F$7,MCDM_Settings!$D$7)=0,"n.a.",(COUNTIF(P68:R68,"Y")+COUNTIF(P68:R68,"N"))/IF($D68="Unlabeled-13",MCDM_Settings!$F$7,MCDM_Settings!$D$7))</f>
        <v>0.33333333333333331</v>
      </c>
      <c r="AI68" s="12">
        <f>IF(IF($D68="Unlabeled-13",MCDM_Settings!$F$8,MCDM_Settings!$D$8)=0,"n.a.",5*COUNTIF(S68:U68,"Y")/IF($D68="Unlabeled-13",MCDM_Settings!$F$8,MCDM_Settings!$D$8))</f>
        <v>3.3333333333333335</v>
      </c>
      <c r="AJ68" s="12">
        <f>IF(IF($D68="Unlabeled-13",MCDM_Settings!$F$8,MCDM_Settings!$D$8)=0,"n.a.",5*(COUNTIF(S68:U68,"Y")+COUNTIF(S68:U68,"U")+COUNTIF(S68:U68,"X"))/IF($D68="Unlabeled-13",MCDM_Settings!$F$8,MCDM_Settings!$D$8))</f>
        <v>5</v>
      </c>
      <c r="AK68" s="13">
        <f>IF(IF($D68="Unlabeled-13",MCDM_Settings!$F$8,MCDM_Settings!$D$8)=0,"n.a.",(COUNTIF(S68:U68,"Y")+COUNTIF(S68:U68,"N"))/IF($D68="Unlabeled-13",MCDM_Settings!$F$8,MCDM_Settings!$D$8))</f>
        <v>0.66666666666666663</v>
      </c>
      <c r="AL68" s="12">
        <f>IF(IF($D68="Unlabeled-13",MCDM_Settings!$F$9,MCDM_Settings!$D$9)=0,"n.a.",5*COUNTIF(V68:W68,"Y")/IF($D68="Unlabeled-13",MCDM_Settings!$F$9,MCDM_Settings!$D$9))</f>
        <v>2.5</v>
      </c>
      <c r="AM68" s="12">
        <f>IF(IF($D68="Unlabeled-13",MCDM_Settings!$F$9,MCDM_Settings!$D$9)=0,"n.a.",5*(COUNTIF(V68:W68,"Y")+COUNTIF(V68:W68,"U")+COUNTIF(V68:W68,"X"))/IF($D68="Unlabeled-13",MCDM_Settings!$F$9,MCDM_Settings!$D$9))</f>
        <v>5</v>
      </c>
      <c r="AN68" s="13">
        <f>IF(IF($D68="Unlabeled-13",MCDM_Settings!$F$9,MCDM_Settings!$D$9)=0,"n.a.",(COUNTIF(V68:W68,"Y")+COUNTIF(V68:W68,"N"))/IF($D68="Unlabeled-13",MCDM_Settings!$F$9,MCDM_Settings!$D$9))</f>
        <v>0.5</v>
      </c>
      <c r="AO68" s="12">
        <f>IF(IF($D68="Unlabeled-13",MCDM_Settings!$F$10,MCDM_Settings!$D$10)=0,"n.a.",5*COUNTIF(X68:Y68,"Y")/IF($D68="Unlabeled-13",MCDM_Settings!$F$10,MCDM_Settings!$D$10))</f>
        <v>5</v>
      </c>
      <c r="AP68" s="12">
        <f>IF(IF($D68="Unlabeled-13",MCDM_Settings!$F$10,MCDM_Settings!$D$10)=0,"n.a.",5*(COUNTIF(X68:Y68,"Y")+COUNTIF(X68:Y68,"U")+COUNTIF(X68:Y68,"X"))/IF($D68="Unlabeled-13",MCDM_Settings!$F$10,MCDM_Settings!$D$10))</f>
        <v>5</v>
      </c>
      <c r="AQ68" s="13">
        <f>IF(IF($D68="Unlabeled-13",MCDM_Settings!$F$10,MCDM_Settings!$D$10)=0,"n.a.",(COUNTIF(X68:Y68,"Y")+COUNTIF(X68:Y68,"N"))/IF($D68="Unlabeled-13",MCDM_Settings!$F$10,MCDM_Settings!$D$10))</f>
        <v>1</v>
      </c>
      <c r="AR68" s="12">
        <f>IF(IF($D68="Unlabeled-13",MCDM_Settings!$F$11,MCDM_Settings!$D$11)=0,"n.a.",5*COUNTIF(Z68:AB68,"Y")/IF($D68="Unlabeled-13",MCDM_Settings!$F$11,MCDM_Settings!$D$11))</f>
        <v>5</v>
      </c>
      <c r="AS68" s="12">
        <f>IF(IF($D68="Unlabeled-13",MCDM_Settings!$F$11,MCDM_Settings!$D$11)=0,"n.a.",5*(COUNTIF(Z68:AB68,"Y")+COUNTIF(Z68:AB68,"U")+COUNTIF(Z68:AB68,"X"))/IF($D68="Unlabeled-13",MCDM_Settings!$F$11,MCDM_Settings!$D$11))</f>
        <v>5</v>
      </c>
      <c r="AT68" s="13">
        <f>IF(IF($D68="Unlabeled-13",MCDM_Settings!$F$11,MCDM_Settings!$D$11)=0,"n.a.",(COUNTIF(Z68:AB68,"Y")+COUNTIF(Z68:AB68,"N"))/IF($D68="Unlabeled-13",MCDM_Settings!$F$11,MCDM_Settings!$D$11))</f>
        <v>1</v>
      </c>
      <c r="AU68" s="5" t="str">
        <f>IF(AND(INDEX(Manual_Review!$G$6:$G$238,MATCH(A68,Manual_Review!$A$6:$A$238,0))&lt;&gt;"",ISNUMBER(INDEX(Manual_Review!$H$6:$H$238,MATCH(A68,Manual_Review!$A$6:$A$238,0))),INDEX(Manual_Review!$H$6:$H$238,MATCH(A68,Manual_Review!$A$6:$A$238,0))&gt;0,INDEX(Manual_Review!$I$6:$I$238,MATCH(A68,Manual_Review!$A$6:$A$238,0))="Confirmed",INDEX(Manual_Review!$AF$6:$AF$238,MATCH(A68,Manual_Review!$A$6:$A$238,0))&lt;&gt;""),IF(INDEX(Manual_Review!$AA$6:$AA$238,MATCH(A68,Manual_Review!$A$6:$A$238,0))="Pass","Pass",IF(INDEX(Manual_Review!$AA$6:$AA$238,MATCH(A68,Manual_Review!$A$6:$A$238,0))="Fail","Fail","Pending")),"Pending human identity confirmation")</f>
        <v>Pending human identity confirmation</v>
      </c>
      <c r="AV68" s="5" t="str">
        <f>IF(AND(AND(INDEX(Manual_Review!$G$6:$G$238,MATCH(A68,Manual_Review!$A$6:$A$238,0))&lt;&gt;"",ISNUMBER(INDEX(Manual_Review!$H$6:$H$238,MATCH(A68,Manual_Review!$A$6:$A$238,0))),INDEX(Manual_Review!$H$6:$H$238,MATCH(A68,Manual_Review!$A$6:$A$238,0))&gt;0,INDEX(Manual_Review!$I$6:$I$238,MATCH(A68,Manual_Review!$A$6:$A$238,0))="Confirmed",INDEX(Manual_Review!$AF$6:$AF$238,MATCH(A68,Manual_Review!$A$6:$A$238,0))&lt;&gt;""),INDEX(Manual_Review!$AG$6:$AG$238,MATCH(A68,Manual_Review!$A$6:$A$238,0))&lt;&gt;""),IF(INDEX(Manual_Review!$AB$6:$AB$238,MATCH(A68,Manual_Review!$A$6:$A$238,0))="Pass","Pass",IF(INDEX(Manual_Review!$AB$6:$AB$238,MATCH(A68,Manual_Review!$A$6:$A$238,0))="Fail","Fail","Pending")),"Not assessed: define intended task")</f>
        <v>Not assessed: define intended task</v>
      </c>
      <c r="AW68" s="5" t="str">
        <f>IF(AND(AND(INDEX(Manual_Review!$G$6:$G$238,MATCH(A68,Manual_Review!$A$6:$A$238,0))&lt;&gt;"",ISNUMBER(INDEX(Manual_Review!$H$6:$H$238,MATCH(A68,Manual_Review!$A$6:$A$238,0))),INDEX(Manual_Review!$H$6:$H$238,MATCH(A68,Manual_Review!$A$6:$A$238,0))&gt;0,INDEX(Manual_Review!$I$6:$I$238,MATCH(A68,Manual_Review!$A$6:$A$238,0))="Confirmed",INDEX(Manual_Review!$AF$6:$AF$238,MATCH(A68,Manual_Review!$A$6:$A$238,0))&lt;&gt;""),INDEX(Manual_Review!$AG$6:$AG$238,MATCH(A68,Manual_Review!$A$6:$A$238,0))&lt;&gt;""),IF(OR(INDEX(Manual_Review!$AC$6:$AC$238,MATCH(A68,Manual_Review!$A$6:$A$238,0))="Fail",INDEX(Manual_Review!$AD$6:$AD$238,MATCH(A68,Manual_Review!$A$6:$A$238,0))="Fail"),"Fail: rights or retrieval",IF(AND(INDEX(Manual_Review!$AC$6:$AC$238,MATCH(A68,Manual_Review!$A$6:$A$238,0))="Pass",INDEX(Manual_Review!$AD$6:$AD$238,MATCH(A68,Manual_Review!$A$6:$A$238,0))="Pass"),"Pass","Pending rights and retrieval")),"Pending rights and retrieval")</f>
        <v>Pending rights and retrieval</v>
      </c>
      <c r="AX68" s="5" t="str">
        <f>IF(INDEX(Manual_Review!$AG$6:$AG$238,MATCH(A68,Manual_Review!$A$6:$A$238,0))="","N/A: documentation inventory",IF(AND(INDEX(Manual_Review!$G$6:$G$238,MATCH(A68,Manual_Review!$A$6:$A$238,0))&lt;&gt;"",ISNUMBER(INDEX(Manual_Review!$H$6:$H$238,MATCH(A68,Manual_Review!$A$6:$A$238,0))),INDEX(Manual_Review!$H$6:$H$238,MATCH(A68,Manual_Review!$A$6:$A$238,0))&gt;0,INDEX(Manual_Review!$I$6:$I$238,MATCH(A68,Manual_Review!$A$6:$A$238,0))="Confirmed",INDEX(Manual_Review!$AF$6:$AF$238,MATCH(A68,Manual_Review!$A$6:$A$238,0))&lt;&gt;""),IF(INDEX(Manual_Review!$AE$6:$AE$238,MATCH(A68,Manual_Review!$A$6:$A$238,0))="Pass","Pass",IF(INDEX(Manual_Review!$AE$6:$AE$238,MATCH(A68,Manual_Review!$A$6:$A$238,0))="Fail","Fail: benchmark leakage",IF(INDEX(Manual_Review!$AE$6:$AE$238,MATCH(A68,Manual_Review!$A$6:$A$238,0))="N/A","N/A: nonbenchmark task","Pending task-specific leakage check"))),"Pending task-specific leakage check"))</f>
        <v>N/A: documentation inventory</v>
      </c>
      <c r="AY68" s="5" t="str">
        <f>IF(IF(D68="Unlabeled-13",AND(ABS(MCDM_Settings!$D$14-1)&lt;0.0000001,MIN(MCDM_Settings!$E$6:$E$11)&gt;=0,MCDM_Settings!$E$7=0),AND(ABS(MCDM_Settings!$B$14-1)&lt;0.0000001,MIN(MCDM_Settings!$C$6:$C$11)&gt;=0)),"Valid","Check weights")</f>
        <v>Valid</v>
      </c>
      <c r="AZ68" s="5" t="str">
        <f>IF(AND(COUNTIF(MCDM_Checks!$B$6:$B$3733,A68)=16,COUNTIF(Manual_Review!$A$6:$A$238,A68)=1),"16 keys present","Check key count")</f>
        <v>16 keys present</v>
      </c>
    </row>
    <row r="69" spans="1:52" ht="25.5">
      <c r="A69" s="5" t="s">
        <v>812</v>
      </c>
      <c r="B69" s="5" t="s">
        <v>813</v>
      </c>
      <c r="C69" s="5"/>
      <c r="D69" s="5" t="s">
        <v>118</v>
      </c>
      <c r="E69" s="12">
        <f>IF(OR(AY69&lt;&gt;"Valid",AZ69&lt;&gt;"16 keys present"),"Review settings",20*(IF(ISNUMBER(AC69),AC69*IF($D69="Unlabeled-13",MCDM_Settings!$E$6,MCDM_Settings!$C$6),0)+IF(ISNUMBER(AF69),AF69*IF($D69="Unlabeled-13",MCDM_Settings!$E$7,MCDM_Settings!$C$7),0)+IF(ISNUMBER(AI69),AI69*IF($D69="Unlabeled-13",MCDM_Settings!$E$8,MCDM_Settings!$C$8),0)+IF(ISNUMBER(AL69),AL69*IF($D69="Unlabeled-13",MCDM_Settings!$E$9,MCDM_Settings!$C$9),0)+IF(ISNUMBER(AO69),AO69*IF($D69="Unlabeled-13",MCDM_Settings!$E$10,MCDM_Settings!$C$10),0)+IF(ISNUMBER(AR69),AR69*IF($D69="Unlabeled-13",MCDM_Settings!$E$11,MCDM_Settings!$C$11),0)))</f>
        <v>52.777777777777771</v>
      </c>
      <c r="F69" s="12">
        <f>IF(OR(AY69&lt;&gt;"Valid",AZ69&lt;&gt;"16 keys present"),"Review settings",20*(IF(ISNUMBER(AD69),AD69*IF($D69="Unlabeled-13",MCDM_Settings!$E$6,MCDM_Settings!$C$6),0)+IF(ISNUMBER(AG69),AG69*IF($D69="Unlabeled-13",MCDM_Settings!$E$7,MCDM_Settings!$C$7),0)+IF(ISNUMBER(AJ69),AJ69*IF($D69="Unlabeled-13",MCDM_Settings!$E$8,MCDM_Settings!$C$8),0)+IF(ISNUMBER(AM69),AM69*IF($D69="Unlabeled-13",MCDM_Settings!$E$9,MCDM_Settings!$C$9),0)+IF(ISNUMBER(AP69),AP69*IF($D69="Unlabeled-13",MCDM_Settings!$E$10,MCDM_Settings!$C$10),0)+IF(ISNUMBER(AS69),AS69*IF($D69="Unlabeled-13",MCDM_Settings!$E$11,MCDM_Settings!$C$11),0)))</f>
        <v>99.999999999999986</v>
      </c>
      <c r="G69" s="13">
        <f>IF(OR(AY69&lt;&gt;"Valid",AZ69&lt;&gt;"16 keys present"),"Review settings",1*(IF(ISNUMBER(AE69),AE69*IF($D69="Unlabeled-13",MCDM_Settings!$E$6,MCDM_Settings!$C$6),0)+IF(ISNUMBER(AH69),AH69*IF($D69="Unlabeled-13",MCDM_Settings!$E$7,MCDM_Settings!$C$7),0)+IF(ISNUMBER(AK69),AK69*IF($D69="Unlabeled-13",MCDM_Settings!$E$8,MCDM_Settings!$C$8),0)+IF(ISNUMBER(AN69),AN69*IF($D69="Unlabeled-13",MCDM_Settings!$E$9,MCDM_Settings!$C$9),0)+IF(ISNUMBER(AQ69),AQ69*IF($D69="Unlabeled-13",MCDM_Settings!$E$10,MCDM_Settings!$C$10),0)+IF(ISNUMBER(AT69),AT69*IF($D69="Unlabeled-13",MCDM_Settings!$E$11,MCDM_Settings!$C$11),0)))</f>
        <v>0.52777777777777768</v>
      </c>
      <c r="H69" s="5" t="str">
        <f>INDEX(Manual_Review!$AH$6:$AH$238,MATCH(A69,Manual_Review!$A$6:$A$238,0))</f>
        <v>Not started</v>
      </c>
      <c r="I69" s="5" t="s">
        <v>128</v>
      </c>
      <c r="J69" s="5" t="s">
        <v>814</v>
      </c>
      <c r="K69" s="5" t="str">
        <f>HYPERLINK("https://data.mendeley.com/datasets/csd32bm8zx/1","Dataset")</f>
        <v>Dataset</v>
      </c>
      <c r="L69" s="5" t="str">
        <f>HYPERLINK("#'Manual_Review'!A"&amp;(MATCH("DS-064",Manual_Review!$A$6:$A$238,0)+5),"Enter review")</f>
        <v>Enter review</v>
      </c>
      <c r="M69" s="5" t="str">
        <f>INDEX(MCDM_Checks!$K$6:$K$3733,MATCH(A69&amp;"|"&amp;M$5,MCDM_Checks!$A$6:$A$3733,0))</f>
        <v>Y</v>
      </c>
      <c r="N69" s="5" t="str">
        <f>INDEX(MCDM_Checks!$K$6:$K$3733,MATCH(A69&amp;"|"&amp;N$5,MCDM_Checks!$A$6:$A$3733,0))</f>
        <v>Y</v>
      </c>
      <c r="O69" s="5" t="str">
        <f>INDEX(MCDM_Checks!$K$6:$K$3733,MATCH(A69&amp;"|"&amp;O$5,MCDM_Checks!$A$6:$A$3733,0))</f>
        <v>X</v>
      </c>
      <c r="P69" s="5" t="str">
        <f>INDEX(MCDM_Checks!$K$6:$K$3733,MATCH(A69&amp;"|"&amp;P$5,MCDM_Checks!$A$6:$A$3733,0))</f>
        <v>U</v>
      </c>
      <c r="Q69" s="5" t="str">
        <f>INDEX(MCDM_Checks!$K$6:$K$3733,MATCH(A69&amp;"|"&amp;Q$5,MCDM_Checks!$A$6:$A$3733,0))</f>
        <v>U</v>
      </c>
      <c r="R69" s="5" t="str">
        <f>INDEX(MCDM_Checks!$K$6:$K$3733,MATCH(A69&amp;"|"&amp;R$5,MCDM_Checks!$A$6:$A$3733,0))</f>
        <v>U</v>
      </c>
      <c r="S69" s="5" t="str">
        <f>INDEX(MCDM_Checks!$K$6:$K$3733,MATCH(A69&amp;"|"&amp;S$5,MCDM_Checks!$A$6:$A$3733,0))</f>
        <v>U</v>
      </c>
      <c r="T69" s="5" t="str">
        <f>INDEX(MCDM_Checks!$K$6:$K$3733,MATCH(A69&amp;"|"&amp;T$5,MCDM_Checks!$A$6:$A$3733,0))</f>
        <v>Y</v>
      </c>
      <c r="U69" s="5" t="str">
        <f>INDEX(MCDM_Checks!$K$6:$K$3733,MATCH(A69&amp;"|"&amp;U$5,MCDM_Checks!$A$6:$A$3733,0))</f>
        <v>U</v>
      </c>
      <c r="V69" s="5" t="str">
        <f>INDEX(MCDM_Checks!$K$6:$K$3733,MATCH(A69&amp;"|"&amp;V$5,MCDM_Checks!$A$6:$A$3733,0))</f>
        <v>Y</v>
      </c>
      <c r="W69" s="5" t="str">
        <f>INDEX(MCDM_Checks!$K$6:$K$3733,MATCH(A69&amp;"|"&amp;W$5,MCDM_Checks!$A$6:$A$3733,0))</f>
        <v>U</v>
      </c>
      <c r="X69" s="5" t="str">
        <f>INDEX(MCDM_Checks!$K$6:$K$3733,MATCH(A69&amp;"|"&amp;X$5,MCDM_Checks!$A$6:$A$3733,0))</f>
        <v>Y</v>
      </c>
      <c r="Y69" s="5" t="str">
        <f>INDEX(MCDM_Checks!$K$6:$K$3733,MATCH(A69&amp;"|"&amp;Y$5,MCDM_Checks!$A$6:$A$3733,0))</f>
        <v>Y</v>
      </c>
      <c r="Z69" s="5" t="str">
        <f>INDEX(MCDM_Checks!$K$6:$K$3733,MATCH(A69&amp;"|"&amp;Z$5,MCDM_Checks!$A$6:$A$3733,0))</f>
        <v>Y</v>
      </c>
      <c r="AA69" s="5" t="str">
        <f>INDEX(MCDM_Checks!$K$6:$K$3733,MATCH(A69&amp;"|"&amp;AA$5,MCDM_Checks!$A$6:$A$3733,0))</f>
        <v>Y</v>
      </c>
      <c r="AB69" s="5" t="str">
        <f>INDEX(MCDM_Checks!$K$6:$K$3733,MATCH(A69&amp;"|"&amp;AB$5,MCDM_Checks!$A$6:$A$3733,0))</f>
        <v>U</v>
      </c>
      <c r="AC69" s="12">
        <f>IF(IF($D69="Unlabeled-13",MCDM_Settings!$F$6,MCDM_Settings!$D$6)=0,"n.a.",5*COUNTIF(M69:O69,"Y")/IF($D69="Unlabeled-13",MCDM_Settings!$F$6,MCDM_Settings!$D$6))</f>
        <v>3.3333333333333335</v>
      </c>
      <c r="AD69" s="12">
        <f>IF(IF($D69="Unlabeled-13",MCDM_Settings!$F$6,MCDM_Settings!$D$6)=0,"n.a.",5*(COUNTIF(M69:O69,"Y")+COUNTIF(M69:O69,"U")+COUNTIF(M69:O69,"X"))/IF($D69="Unlabeled-13",MCDM_Settings!$F$6,MCDM_Settings!$D$6))</f>
        <v>5</v>
      </c>
      <c r="AE69" s="13">
        <f>IF(IF($D69="Unlabeled-13",MCDM_Settings!$F$6,MCDM_Settings!$D$6)=0,"n.a.",(COUNTIF(M69:O69,"Y")+COUNTIF(M69:O69,"N"))/IF($D69="Unlabeled-13",MCDM_Settings!$F$6,MCDM_Settings!$D$6))</f>
        <v>0.66666666666666663</v>
      </c>
      <c r="AF69" s="12">
        <f>IF(IF($D69="Unlabeled-13",MCDM_Settings!$F$7,MCDM_Settings!$D$7)=0,"n.a.",5*COUNTIF(P69:R69,"Y")/IF($D69="Unlabeled-13",MCDM_Settings!$F$7,MCDM_Settings!$D$7))</f>
        <v>0</v>
      </c>
      <c r="AG69" s="12">
        <f>IF(IF($D69="Unlabeled-13",MCDM_Settings!$F$7,MCDM_Settings!$D$7)=0,"n.a.",5*(COUNTIF(P69:R69,"Y")+COUNTIF(P69:R69,"U")+COUNTIF(P69:R69,"X"))/IF($D69="Unlabeled-13",MCDM_Settings!$F$7,MCDM_Settings!$D$7))</f>
        <v>5</v>
      </c>
      <c r="AH69" s="13">
        <f>IF(IF($D69="Unlabeled-13",MCDM_Settings!$F$7,MCDM_Settings!$D$7)=0,"n.a.",(COUNTIF(P69:R69,"Y")+COUNTIF(P69:R69,"N"))/IF($D69="Unlabeled-13",MCDM_Settings!$F$7,MCDM_Settings!$D$7))</f>
        <v>0</v>
      </c>
      <c r="AI69" s="12">
        <f>IF(IF($D69="Unlabeled-13",MCDM_Settings!$F$8,MCDM_Settings!$D$8)=0,"n.a.",5*COUNTIF(S69:U69,"Y")/IF($D69="Unlabeled-13",MCDM_Settings!$F$8,MCDM_Settings!$D$8))</f>
        <v>1.6666666666666667</v>
      </c>
      <c r="AJ69" s="12">
        <f>IF(IF($D69="Unlabeled-13",MCDM_Settings!$F$8,MCDM_Settings!$D$8)=0,"n.a.",5*(COUNTIF(S69:U69,"Y")+COUNTIF(S69:U69,"U")+COUNTIF(S69:U69,"X"))/IF($D69="Unlabeled-13",MCDM_Settings!$F$8,MCDM_Settings!$D$8))</f>
        <v>5</v>
      </c>
      <c r="AK69" s="13">
        <f>IF(IF($D69="Unlabeled-13",MCDM_Settings!$F$8,MCDM_Settings!$D$8)=0,"n.a.",(COUNTIF(S69:U69,"Y")+COUNTIF(S69:U69,"N"))/IF($D69="Unlabeled-13",MCDM_Settings!$F$8,MCDM_Settings!$D$8))</f>
        <v>0.33333333333333331</v>
      </c>
      <c r="AL69" s="12">
        <f>IF(IF($D69="Unlabeled-13",MCDM_Settings!$F$9,MCDM_Settings!$D$9)=0,"n.a.",5*COUNTIF(V69:W69,"Y")/IF($D69="Unlabeled-13",MCDM_Settings!$F$9,MCDM_Settings!$D$9))</f>
        <v>2.5</v>
      </c>
      <c r="AM69" s="12">
        <f>IF(IF($D69="Unlabeled-13",MCDM_Settings!$F$9,MCDM_Settings!$D$9)=0,"n.a.",5*(COUNTIF(V69:W69,"Y")+COUNTIF(V69:W69,"U")+COUNTIF(V69:W69,"X"))/IF($D69="Unlabeled-13",MCDM_Settings!$F$9,MCDM_Settings!$D$9))</f>
        <v>5</v>
      </c>
      <c r="AN69" s="13">
        <f>IF(IF($D69="Unlabeled-13",MCDM_Settings!$F$9,MCDM_Settings!$D$9)=0,"n.a.",(COUNTIF(V69:W69,"Y")+COUNTIF(V69:W69,"N"))/IF($D69="Unlabeled-13",MCDM_Settings!$F$9,MCDM_Settings!$D$9))</f>
        <v>0.5</v>
      </c>
      <c r="AO69" s="12">
        <f>IF(IF($D69="Unlabeled-13",MCDM_Settings!$F$10,MCDM_Settings!$D$10)=0,"n.a.",5*COUNTIF(X69:Y69,"Y")/IF($D69="Unlabeled-13",MCDM_Settings!$F$10,MCDM_Settings!$D$10))</f>
        <v>5</v>
      </c>
      <c r="AP69" s="12">
        <f>IF(IF($D69="Unlabeled-13",MCDM_Settings!$F$10,MCDM_Settings!$D$10)=0,"n.a.",5*(COUNTIF(X69:Y69,"Y")+COUNTIF(X69:Y69,"U")+COUNTIF(X69:Y69,"X"))/IF($D69="Unlabeled-13",MCDM_Settings!$F$10,MCDM_Settings!$D$10))</f>
        <v>5</v>
      </c>
      <c r="AQ69" s="13">
        <f>IF(IF($D69="Unlabeled-13",MCDM_Settings!$F$10,MCDM_Settings!$D$10)=0,"n.a.",(COUNTIF(X69:Y69,"Y")+COUNTIF(X69:Y69,"N"))/IF($D69="Unlabeled-13",MCDM_Settings!$F$10,MCDM_Settings!$D$10))</f>
        <v>1</v>
      </c>
      <c r="AR69" s="12">
        <f>IF(IF($D69="Unlabeled-13",MCDM_Settings!$F$11,MCDM_Settings!$D$11)=0,"n.a.",5*COUNTIF(Z69:AB69,"Y")/IF($D69="Unlabeled-13",MCDM_Settings!$F$11,MCDM_Settings!$D$11))</f>
        <v>3.3333333333333335</v>
      </c>
      <c r="AS69" s="12">
        <f>IF(IF($D69="Unlabeled-13",MCDM_Settings!$F$11,MCDM_Settings!$D$11)=0,"n.a.",5*(COUNTIF(Z69:AB69,"Y")+COUNTIF(Z69:AB69,"U")+COUNTIF(Z69:AB69,"X"))/IF($D69="Unlabeled-13",MCDM_Settings!$F$11,MCDM_Settings!$D$11))</f>
        <v>5</v>
      </c>
      <c r="AT69" s="13">
        <f>IF(IF($D69="Unlabeled-13",MCDM_Settings!$F$11,MCDM_Settings!$D$11)=0,"n.a.",(COUNTIF(Z69:AB69,"Y")+COUNTIF(Z69:AB69,"N"))/IF($D69="Unlabeled-13",MCDM_Settings!$F$11,MCDM_Settings!$D$11))</f>
        <v>0.66666666666666663</v>
      </c>
      <c r="AU69" s="5" t="str">
        <f>IF(AND(INDEX(Manual_Review!$G$6:$G$238,MATCH(A69,Manual_Review!$A$6:$A$238,0))&lt;&gt;"",ISNUMBER(INDEX(Manual_Review!$H$6:$H$238,MATCH(A69,Manual_Review!$A$6:$A$238,0))),INDEX(Manual_Review!$H$6:$H$238,MATCH(A69,Manual_Review!$A$6:$A$238,0))&gt;0,INDEX(Manual_Review!$I$6:$I$238,MATCH(A69,Manual_Review!$A$6:$A$238,0))="Confirmed",INDEX(Manual_Review!$AF$6:$AF$238,MATCH(A69,Manual_Review!$A$6:$A$238,0))&lt;&gt;""),IF(INDEX(Manual_Review!$AA$6:$AA$238,MATCH(A69,Manual_Review!$A$6:$A$238,0))="Pass","Pass",IF(INDEX(Manual_Review!$AA$6:$AA$238,MATCH(A69,Manual_Review!$A$6:$A$238,0))="Fail","Fail","Pending")),"Pending human identity confirmation")</f>
        <v>Pending human identity confirmation</v>
      </c>
      <c r="AV69" s="5" t="str">
        <f>IF(AND(AND(INDEX(Manual_Review!$G$6:$G$238,MATCH(A69,Manual_Review!$A$6:$A$238,0))&lt;&gt;"",ISNUMBER(INDEX(Manual_Review!$H$6:$H$238,MATCH(A69,Manual_Review!$A$6:$A$238,0))),INDEX(Manual_Review!$H$6:$H$238,MATCH(A69,Manual_Review!$A$6:$A$238,0))&gt;0,INDEX(Manual_Review!$I$6:$I$238,MATCH(A69,Manual_Review!$A$6:$A$238,0))="Confirmed",INDEX(Manual_Review!$AF$6:$AF$238,MATCH(A69,Manual_Review!$A$6:$A$238,0))&lt;&gt;""),INDEX(Manual_Review!$AG$6:$AG$238,MATCH(A69,Manual_Review!$A$6:$A$238,0))&lt;&gt;""),IF(INDEX(Manual_Review!$AB$6:$AB$238,MATCH(A69,Manual_Review!$A$6:$A$238,0))="Pass","Pass",IF(INDEX(Manual_Review!$AB$6:$AB$238,MATCH(A69,Manual_Review!$A$6:$A$238,0))="Fail","Fail","Pending")),"Not assessed: define intended task")</f>
        <v>Not assessed: define intended task</v>
      </c>
      <c r="AW69" s="5" t="str">
        <f>IF(AND(AND(INDEX(Manual_Review!$G$6:$G$238,MATCH(A69,Manual_Review!$A$6:$A$238,0))&lt;&gt;"",ISNUMBER(INDEX(Manual_Review!$H$6:$H$238,MATCH(A69,Manual_Review!$A$6:$A$238,0))),INDEX(Manual_Review!$H$6:$H$238,MATCH(A69,Manual_Review!$A$6:$A$238,0))&gt;0,INDEX(Manual_Review!$I$6:$I$238,MATCH(A69,Manual_Review!$A$6:$A$238,0))="Confirmed",INDEX(Manual_Review!$AF$6:$AF$238,MATCH(A69,Manual_Review!$A$6:$A$238,0))&lt;&gt;""),INDEX(Manual_Review!$AG$6:$AG$238,MATCH(A69,Manual_Review!$A$6:$A$238,0))&lt;&gt;""),IF(OR(INDEX(Manual_Review!$AC$6:$AC$238,MATCH(A69,Manual_Review!$A$6:$A$238,0))="Fail",INDEX(Manual_Review!$AD$6:$AD$238,MATCH(A69,Manual_Review!$A$6:$A$238,0))="Fail"),"Fail: rights or retrieval",IF(AND(INDEX(Manual_Review!$AC$6:$AC$238,MATCH(A69,Manual_Review!$A$6:$A$238,0))="Pass",INDEX(Manual_Review!$AD$6:$AD$238,MATCH(A69,Manual_Review!$A$6:$A$238,0))="Pass"),"Pass","Pending rights and retrieval")),"Pending rights and retrieval")</f>
        <v>Pending rights and retrieval</v>
      </c>
      <c r="AX69" s="5" t="str">
        <f>IF(INDEX(Manual_Review!$AG$6:$AG$238,MATCH(A69,Manual_Review!$A$6:$A$238,0))="","N/A: documentation inventory",IF(AND(INDEX(Manual_Review!$G$6:$G$238,MATCH(A69,Manual_Review!$A$6:$A$238,0))&lt;&gt;"",ISNUMBER(INDEX(Manual_Review!$H$6:$H$238,MATCH(A69,Manual_Review!$A$6:$A$238,0))),INDEX(Manual_Review!$H$6:$H$238,MATCH(A69,Manual_Review!$A$6:$A$238,0))&gt;0,INDEX(Manual_Review!$I$6:$I$238,MATCH(A69,Manual_Review!$A$6:$A$238,0))="Confirmed",INDEX(Manual_Review!$AF$6:$AF$238,MATCH(A69,Manual_Review!$A$6:$A$238,0))&lt;&gt;""),IF(INDEX(Manual_Review!$AE$6:$AE$238,MATCH(A69,Manual_Review!$A$6:$A$238,0))="Pass","Pass",IF(INDEX(Manual_Review!$AE$6:$AE$238,MATCH(A69,Manual_Review!$A$6:$A$238,0))="Fail","Fail: benchmark leakage",IF(INDEX(Manual_Review!$AE$6:$AE$238,MATCH(A69,Manual_Review!$A$6:$A$238,0))="N/A","N/A: nonbenchmark task","Pending task-specific leakage check"))),"Pending task-specific leakage check"))</f>
        <v>N/A: documentation inventory</v>
      </c>
      <c r="AY69" s="5" t="str">
        <f>IF(IF(D69="Unlabeled-13",AND(ABS(MCDM_Settings!$D$14-1)&lt;0.0000001,MIN(MCDM_Settings!$E$6:$E$11)&gt;=0,MCDM_Settings!$E$7=0),AND(ABS(MCDM_Settings!$B$14-1)&lt;0.0000001,MIN(MCDM_Settings!$C$6:$C$11)&gt;=0)),"Valid","Check weights")</f>
        <v>Valid</v>
      </c>
      <c r="AZ69" s="5" t="str">
        <f>IF(AND(COUNTIF(MCDM_Checks!$B$6:$B$3733,A69)=16,COUNTIF(Manual_Review!$A$6:$A$238,A69)=1),"16 keys present","Check key count")</f>
        <v>16 keys present</v>
      </c>
    </row>
    <row r="70" spans="1:52" ht="25.5">
      <c r="A70" s="5" t="s">
        <v>824</v>
      </c>
      <c r="B70" s="5" t="s">
        <v>825</v>
      </c>
      <c r="C70" s="5"/>
      <c r="D70" s="5" t="s">
        <v>118</v>
      </c>
      <c r="E70" s="12">
        <f>IF(OR(AY70&lt;&gt;"Valid",AZ70&lt;&gt;"16 keys present"),"Review settings",20*(IF(ISNUMBER(AC70),AC70*IF($D70="Unlabeled-13",MCDM_Settings!$E$6,MCDM_Settings!$C$6),0)+IF(ISNUMBER(AF70),AF70*IF($D70="Unlabeled-13",MCDM_Settings!$E$7,MCDM_Settings!$C$7),0)+IF(ISNUMBER(AI70),AI70*IF($D70="Unlabeled-13",MCDM_Settings!$E$8,MCDM_Settings!$C$8),0)+IF(ISNUMBER(AL70),AL70*IF($D70="Unlabeled-13",MCDM_Settings!$E$9,MCDM_Settings!$C$9),0)+IF(ISNUMBER(AO70),AO70*IF($D70="Unlabeled-13",MCDM_Settings!$E$10,MCDM_Settings!$C$10),0)+IF(ISNUMBER(AR70),AR70*IF($D70="Unlabeled-13",MCDM_Settings!$E$11,MCDM_Settings!$C$11),0)))</f>
        <v>69.444444444444443</v>
      </c>
      <c r="F70" s="12">
        <f>IF(OR(AY70&lt;&gt;"Valid",AZ70&lt;&gt;"16 keys present"),"Review settings",20*(IF(ISNUMBER(AD70),AD70*IF($D70="Unlabeled-13",MCDM_Settings!$E$6,MCDM_Settings!$C$6),0)+IF(ISNUMBER(AG70),AG70*IF($D70="Unlabeled-13",MCDM_Settings!$E$7,MCDM_Settings!$C$7),0)+IF(ISNUMBER(AJ70),AJ70*IF($D70="Unlabeled-13",MCDM_Settings!$E$8,MCDM_Settings!$C$8),0)+IF(ISNUMBER(AM70),AM70*IF($D70="Unlabeled-13",MCDM_Settings!$E$9,MCDM_Settings!$C$9),0)+IF(ISNUMBER(AP70),AP70*IF($D70="Unlabeled-13",MCDM_Settings!$E$10,MCDM_Settings!$C$10),0)+IF(ISNUMBER(AS70),AS70*IF($D70="Unlabeled-13",MCDM_Settings!$E$11,MCDM_Settings!$C$11),0)))</f>
        <v>99.999999999999986</v>
      </c>
      <c r="G70" s="13">
        <f>IF(OR(AY70&lt;&gt;"Valid",AZ70&lt;&gt;"16 keys present"),"Review settings",1*(IF(ISNUMBER(AE70),AE70*IF($D70="Unlabeled-13",MCDM_Settings!$E$6,MCDM_Settings!$C$6),0)+IF(ISNUMBER(AH70),AH70*IF($D70="Unlabeled-13",MCDM_Settings!$E$7,MCDM_Settings!$C$7),0)+IF(ISNUMBER(AK70),AK70*IF($D70="Unlabeled-13",MCDM_Settings!$E$8,MCDM_Settings!$C$8),0)+IF(ISNUMBER(AN70),AN70*IF($D70="Unlabeled-13",MCDM_Settings!$E$9,MCDM_Settings!$C$9),0)+IF(ISNUMBER(AQ70),AQ70*IF($D70="Unlabeled-13",MCDM_Settings!$E$10,MCDM_Settings!$C$10),0)+IF(ISNUMBER(AT70),AT70*IF($D70="Unlabeled-13",MCDM_Settings!$E$11,MCDM_Settings!$C$11),0)))</f>
        <v>0.69444444444444442</v>
      </c>
      <c r="H70" s="5" t="str">
        <f>INDEX(Manual_Review!$AH$6:$AH$238,MATCH(A70,Manual_Review!$A$6:$A$238,0))</f>
        <v>Not started</v>
      </c>
      <c r="I70" s="5" t="s">
        <v>182</v>
      </c>
      <c r="J70" s="5" t="s">
        <v>826</v>
      </c>
      <c r="K70" s="5" t="str">
        <f>HYPERLINK("https://data.mendeley.com/datasets/tj2m7zz4rg/2","Dataset")</f>
        <v>Dataset</v>
      </c>
      <c r="L70" s="5" t="str">
        <f>HYPERLINK("#'Manual_Review'!A"&amp;(MATCH("DS-065",Manual_Review!$A$6:$A$238,0)+5),"Enter review")</f>
        <v>Enter review</v>
      </c>
      <c r="M70" s="5" t="str">
        <f>INDEX(MCDM_Checks!$K$6:$K$3733,MATCH(A70&amp;"|"&amp;M$5,MCDM_Checks!$A$6:$A$3733,0))</f>
        <v>Y</v>
      </c>
      <c r="N70" s="5" t="str">
        <f>INDEX(MCDM_Checks!$K$6:$K$3733,MATCH(A70&amp;"|"&amp;N$5,MCDM_Checks!$A$6:$A$3733,0))</f>
        <v>Y</v>
      </c>
      <c r="O70" s="5" t="str">
        <f>INDEX(MCDM_Checks!$K$6:$K$3733,MATCH(A70&amp;"|"&amp;O$5,MCDM_Checks!$A$6:$A$3733,0))</f>
        <v>Y</v>
      </c>
      <c r="P70" s="5" t="str">
        <f>INDEX(MCDM_Checks!$K$6:$K$3733,MATCH(A70&amp;"|"&amp;P$5,MCDM_Checks!$A$6:$A$3733,0))</f>
        <v>Y</v>
      </c>
      <c r="Q70" s="5" t="str">
        <f>INDEX(MCDM_Checks!$K$6:$K$3733,MATCH(A70&amp;"|"&amp;Q$5,MCDM_Checks!$A$6:$A$3733,0))</f>
        <v>U</v>
      </c>
      <c r="R70" s="5" t="str">
        <f>INDEX(MCDM_Checks!$K$6:$K$3733,MATCH(A70&amp;"|"&amp;R$5,MCDM_Checks!$A$6:$A$3733,0))</f>
        <v>U</v>
      </c>
      <c r="S70" s="5" t="str">
        <f>INDEX(MCDM_Checks!$K$6:$K$3733,MATCH(A70&amp;"|"&amp;S$5,MCDM_Checks!$A$6:$A$3733,0))</f>
        <v>U</v>
      </c>
      <c r="T70" s="5" t="str">
        <f>INDEX(MCDM_Checks!$K$6:$K$3733,MATCH(A70&amp;"|"&amp;T$5,MCDM_Checks!$A$6:$A$3733,0))</f>
        <v>Y</v>
      </c>
      <c r="U70" s="5" t="str">
        <f>INDEX(MCDM_Checks!$K$6:$K$3733,MATCH(A70&amp;"|"&amp;U$5,MCDM_Checks!$A$6:$A$3733,0))</f>
        <v>Y</v>
      </c>
      <c r="V70" s="5" t="str">
        <f>INDEX(MCDM_Checks!$K$6:$K$3733,MATCH(A70&amp;"|"&amp;V$5,MCDM_Checks!$A$6:$A$3733,0))</f>
        <v>X</v>
      </c>
      <c r="W70" s="5" t="str">
        <f>INDEX(MCDM_Checks!$K$6:$K$3733,MATCH(A70&amp;"|"&amp;W$5,MCDM_Checks!$A$6:$A$3733,0))</f>
        <v>Y</v>
      </c>
      <c r="X70" s="5" t="str">
        <f>INDEX(MCDM_Checks!$K$6:$K$3733,MATCH(A70&amp;"|"&amp;X$5,MCDM_Checks!$A$6:$A$3733,0))</f>
        <v>Y</v>
      </c>
      <c r="Y70" s="5" t="str">
        <f>INDEX(MCDM_Checks!$K$6:$K$3733,MATCH(A70&amp;"|"&amp;Y$5,MCDM_Checks!$A$6:$A$3733,0))</f>
        <v>Y</v>
      </c>
      <c r="Z70" s="5" t="str">
        <f>INDEX(MCDM_Checks!$K$6:$K$3733,MATCH(A70&amp;"|"&amp;Z$5,MCDM_Checks!$A$6:$A$3733,0))</f>
        <v>Y</v>
      </c>
      <c r="AA70" s="5" t="str">
        <f>INDEX(MCDM_Checks!$K$6:$K$3733,MATCH(A70&amp;"|"&amp;AA$5,MCDM_Checks!$A$6:$A$3733,0))</f>
        <v>U</v>
      </c>
      <c r="AB70" s="5" t="str">
        <f>INDEX(MCDM_Checks!$K$6:$K$3733,MATCH(A70&amp;"|"&amp;AB$5,MCDM_Checks!$A$6:$A$3733,0))</f>
        <v>Y</v>
      </c>
      <c r="AC70" s="12">
        <f>IF(IF($D70="Unlabeled-13",MCDM_Settings!$F$6,MCDM_Settings!$D$6)=0,"n.a.",5*COUNTIF(M70:O70,"Y")/IF($D70="Unlabeled-13",MCDM_Settings!$F$6,MCDM_Settings!$D$6))</f>
        <v>5</v>
      </c>
      <c r="AD70" s="12">
        <f>IF(IF($D70="Unlabeled-13",MCDM_Settings!$F$6,MCDM_Settings!$D$6)=0,"n.a.",5*(COUNTIF(M70:O70,"Y")+COUNTIF(M70:O70,"U")+COUNTIF(M70:O70,"X"))/IF($D70="Unlabeled-13",MCDM_Settings!$F$6,MCDM_Settings!$D$6))</f>
        <v>5</v>
      </c>
      <c r="AE70" s="13">
        <f>IF(IF($D70="Unlabeled-13",MCDM_Settings!$F$6,MCDM_Settings!$D$6)=0,"n.a.",(COUNTIF(M70:O70,"Y")+COUNTIF(M70:O70,"N"))/IF($D70="Unlabeled-13",MCDM_Settings!$F$6,MCDM_Settings!$D$6))</f>
        <v>1</v>
      </c>
      <c r="AF70" s="12">
        <f>IF(IF($D70="Unlabeled-13",MCDM_Settings!$F$7,MCDM_Settings!$D$7)=0,"n.a.",5*COUNTIF(P70:R70,"Y")/IF($D70="Unlabeled-13",MCDM_Settings!$F$7,MCDM_Settings!$D$7))</f>
        <v>1.6666666666666667</v>
      </c>
      <c r="AG70" s="12">
        <f>IF(IF($D70="Unlabeled-13",MCDM_Settings!$F$7,MCDM_Settings!$D$7)=0,"n.a.",5*(COUNTIF(P70:R70,"Y")+COUNTIF(P70:R70,"U")+COUNTIF(P70:R70,"X"))/IF($D70="Unlabeled-13",MCDM_Settings!$F$7,MCDM_Settings!$D$7))</f>
        <v>5</v>
      </c>
      <c r="AH70" s="13">
        <f>IF(IF($D70="Unlabeled-13",MCDM_Settings!$F$7,MCDM_Settings!$D$7)=0,"n.a.",(COUNTIF(P70:R70,"Y")+COUNTIF(P70:R70,"N"))/IF($D70="Unlabeled-13",MCDM_Settings!$F$7,MCDM_Settings!$D$7))</f>
        <v>0.33333333333333331</v>
      </c>
      <c r="AI70" s="12">
        <f>IF(IF($D70="Unlabeled-13",MCDM_Settings!$F$8,MCDM_Settings!$D$8)=0,"n.a.",5*COUNTIF(S70:U70,"Y")/IF($D70="Unlabeled-13",MCDM_Settings!$F$8,MCDM_Settings!$D$8))</f>
        <v>3.3333333333333335</v>
      </c>
      <c r="AJ70" s="12">
        <f>IF(IF($D70="Unlabeled-13",MCDM_Settings!$F$8,MCDM_Settings!$D$8)=0,"n.a.",5*(COUNTIF(S70:U70,"Y")+COUNTIF(S70:U70,"U")+COUNTIF(S70:U70,"X"))/IF($D70="Unlabeled-13",MCDM_Settings!$F$8,MCDM_Settings!$D$8))</f>
        <v>5</v>
      </c>
      <c r="AK70" s="13">
        <f>IF(IF($D70="Unlabeled-13",MCDM_Settings!$F$8,MCDM_Settings!$D$8)=0,"n.a.",(COUNTIF(S70:U70,"Y")+COUNTIF(S70:U70,"N"))/IF($D70="Unlabeled-13",MCDM_Settings!$F$8,MCDM_Settings!$D$8))</f>
        <v>0.66666666666666663</v>
      </c>
      <c r="AL70" s="12">
        <f>IF(IF($D70="Unlabeled-13",MCDM_Settings!$F$9,MCDM_Settings!$D$9)=0,"n.a.",5*COUNTIF(V70:W70,"Y")/IF($D70="Unlabeled-13",MCDM_Settings!$F$9,MCDM_Settings!$D$9))</f>
        <v>2.5</v>
      </c>
      <c r="AM70" s="12">
        <f>IF(IF($D70="Unlabeled-13",MCDM_Settings!$F$9,MCDM_Settings!$D$9)=0,"n.a.",5*(COUNTIF(V70:W70,"Y")+COUNTIF(V70:W70,"U")+COUNTIF(V70:W70,"X"))/IF($D70="Unlabeled-13",MCDM_Settings!$F$9,MCDM_Settings!$D$9))</f>
        <v>5</v>
      </c>
      <c r="AN70" s="13">
        <f>IF(IF($D70="Unlabeled-13",MCDM_Settings!$F$9,MCDM_Settings!$D$9)=0,"n.a.",(COUNTIF(V70:W70,"Y")+COUNTIF(V70:W70,"N"))/IF($D70="Unlabeled-13",MCDM_Settings!$F$9,MCDM_Settings!$D$9))</f>
        <v>0.5</v>
      </c>
      <c r="AO70" s="12">
        <f>IF(IF($D70="Unlabeled-13",MCDM_Settings!$F$10,MCDM_Settings!$D$10)=0,"n.a.",5*COUNTIF(X70:Y70,"Y")/IF($D70="Unlabeled-13",MCDM_Settings!$F$10,MCDM_Settings!$D$10))</f>
        <v>5</v>
      </c>
      <c r="AP70" s="12">
        <f>IF(IF($D70="Unlabeled-13",MCDM_Settings!$F$10,MCDM_Settings!$D$10)=0,"n.a.",5*(COUNTIF(X70:Y70,"Y")+COUNTIF(X70:Y70,"U")+COUNTIF(X70:Y70,"X"))/IF($D70="Unlabeled-13",MCDM_Settings!$F$10,MCDM_Settings!$D$10))</f>
        <v>5</v>
      </c>
      <c r="AQ70" s="13">
        <f>IF(IF($D70="Unlabeled-13",MCDM_Settings!$F$10,MCDM_Settings!$D$10)=0,"n.a.",(COUNTIF(X70:Y70,"Y")+COUNTIF(X70:Y70,"N"))/IF($D70="Unlabeled-13",MCDM_Settings!$F$10,MCDM_Settings!$D$10))</f>
        <v>1</v>
      </c>
      <c r="AR70" s="12">
        <f>IF(IF($D70="Unlabeled-13",MCDM_Settings!$F$11,MCDM_Settings!$D$11)=0,"n.a.",5*COUNTIF(Z70:AB70,"Y")/IF($D70="Unlabeled-13",MCDM_Settings!$F$11,MCDM_Settings!$D$11))</f>
        <v>3.3333333333333335</v>
      </c>
      <c r="AS70" s="12">
        <f>IF(IF($D70="Unlabeled-13",MCDM_Settings!$F$11,MCDM_Settings!$D$11)=0,"n.a.",5*(COUNTIF(Z70:AB70,"Y")+COUNTIF(Z70:AB70,"U")+COUNTIF(Z70:AB70,"X"))/IF($D70="Unlabeled-13",MCDM_Settings!$F$11,MCDM_Settings!$D$11))</f>
        <v>5</v>
      </c>
      <c r="AT70" s="13">
        <f>IF(IF($D70="Unlabeled-13",MCDM_Settings!$F$11,MCDM_Settings!$D$11)=0,"n.a.",(COUNTIF(Z70:AB70,"Y")+COUNTIF(Z70:AB70,"N"))/IF($D70="Unlabeled-13",MCDM_Settings!$F$11,MCDM_Settings!$D$11))</f>
        <v>0.66666666666666663</v>
      </c>
      <c r="AU70" s="5" t="str">
        <f>IF(AND(INDEX(Manual_Review!$G$6:$G$238,MATCH(A70,Manual_Review!$A$6:$A$238,0))&lt;&gt;"",ISNUMBER(INDEX(Manual_Review!$H$6:$H$238,MATCH(A70,Manual_Review!$A$6:$A$238,0))),INDEX(Manual_Review!$H$6:$H$238,MATCH(A70,Manual_Review!$A$6:$A$238,0))&gt;0,INDEX(Manual_Review!$I$6:$I$238,MATCH(A70,Manual_Review!$A$6:$A$238,0))="Confirmed",INDEX(Manual_Review!$AF$6:$AF$238,MATCH(A70,Manual_Review!$A$6:$A$238,0))&lt;&gt;""),IF(INDEX(Manual_Review!$AA$6:$AA$238,MATCH(A70,Manual_Review!$A$6:$A$238,0))="Pass","Pass",IF(INDEX(Manual_Review!$AA$6:$AA$238,MATCH(A70,Manual_Review!$A$6:$A$238,0))="Fail","Fail","Pending")),"Pending human identity confirmation")</f>
        <v>Pending human identity confirmation</v>
      </c>
      <c r="AV70" s="5" t="str">
        <f>IF(AND(AND(INDEX(Manual_Review!$G$6:$G$238,MATCH(A70,Manual_Review!$A$6:$A$238,0))&lt;&gt;"",ISNUMBER(INDEX(Manual_Review!$H$6:$H$238,MATCH(A70,Manual_Review!$A$6:$A$238,0))),INDEX(Manual_Review!$H$6:$H$238,MATCH(A70,Manual_Review!$A$6:$A$238,0))&gt;0,INDEX(Manual_Review!$I$6:$I$238,MATCH(A70,Manual_Review!$A$6:$A$238,0))="Confirmed",INDEX(Manual_Review!$AF$6:$AF$238,MATCH(A70,Manual_Review!$A$6:$A$238,0))&lt;&gt;""),INDEX(Manual_Review!$AG$6:$AG$238,MATCH(A70,Manual_Review!$A$6:$A$238,0))&lt;&gt;""),IF(INDEX(Manual_Review!$AB$6:$AB$238,MATCH(A70,Manual_Review!$A$6:$A$238,0))="Pass","Pass",IF(INDEX(Manual_Review!$AB$6:$AB$238,MATCH(A70,Manual_Review!$A$6:$A$238,0))="Fail","Fail","Pending")),"Not assessed: define intended task")</f>
        <v>Not assessed: define intended task</v>
      </c>
      <c r="AW70" s="5" t="str">
        <f>IF(AND(AND(INDEX(Manual_Review!$G$6:$G$238,MATCH(A70,Manual_Review!$A$6:$A$238,0))&lt;&gt;"",ISNUMBER(INDEX(Manual_Review!$H$6:$H$238,MATCH(A70,Manual_Review!$A$6:$A$238,0))),INDEX(Manual_Review!$H$6:$H$238,MATCH(A70,Manual_Review!$A$6:$A$238,0))&gt;0,INDEX(Manual_Review!$I$6:$I$238,MATCH(A70,Manual_Review!$A$6:$A$238,0))="Confirmed",INDEX(Manual_Review!$AF$6:$AF$238,MATCH(A70,Manual_Review!$A$6:$A$238,0))&lt;&gt;""),INDEX(Manual_Review!$AG$6:$AG$238,MATCH(A70,Manual_Review!$A$6:$A$238,0))&lt;&gt;""),IF(OR(INDEX(Manual_Review!$AC$6:$AC$238,MATCH(A70,Manual_Review!$A$6:$A$238,0))="Fail",INDEX(Manual_Review!$AD$6:$AD$238,MATCH(A70,Manual_Review!$A$6:$A$238,0))="Fail"),"Fail: rights or retrieval",IF(AND(INDEX(Manual_Review!$AC$6:$AC$238,MATCH(A70,Manual_Review!$A$6:$A$238,0))="Pass",INDEX(Manual_Review!$AD$6:$AD$238,MATCH(A70,Manual_Review!$A$6:$A$238,0))="Pass"),"Pass","Pending rights and retrieval")),"Pending rights and retrieval")</f>
        <v>Pending rights and retrieval</v>
      </c>
      <c r="AX70" s="5" t="str">
        <f>IF(INDEX(Manual_Review!$AG$6:$AG$238,MATCH(A70,Manual_Review!$A$6:$A$238,0))="","N/A: documentation inventory",IF(AND(INDEX(Manual_Review!$G$6:$G$238,MATCH(A70,Manual_Review!$A$6:$A$238,0))&lt;&gt;"",ISNUMBER(INDEX(Manual_Review!$H$6:$H$238,MATCH(A70,Manual_Review!$A$6:$A$238,0))),INDEX(Manual_Review!$H$6:$H$238,MATCH(A70,Manual_Review!$A$6:$A$238,0))&gt;0,INDEX(Manual_Review!$I$6:$I$238,MATCH(A70,Manual_Review!$A$6:$A$238,0))="Confirmed",INDEX(Manual_Review!$AF$6:$AF$238,MATCH(A70,Manual_Review!$A$6:$A$238,0))&lt;&gt;""),IF(INDEX(Manual_Review!$AE$6:$AE$238,MATCH(A70,Manual_Review!$A$6:$A$238,0))="Pass","Pass",IF(INDEX(Manual_Review!$AE$6:$AE$238,MATCH(A70,Manual_Review!$A$6:$A$238,0))="Fail","Fail: benchmark leakage",IF(INDEX(Manual_Review!$AE$6:$AE$238,MATCH(A70,Manual_Review!$A$6:$A$238,0))="N/A","N/A: nonbenchmark task","Pending task-specific leakage check"))),"Pending task-specific leakage check"))</f>
        <v>N/A: documentation inventory</v>
      </c>
      <c r="AY70" s="5" t="str">
        <f>IF(IF(D70="Unlabeled-13",AND(ABS(MCDM_Settings!$D$14-1)&lt;0.0000001,MIN(MCDM_Settings!$E$6:$E$11)&gt;=0,MCDM_Settings!$E$7=0),AND(ABS(MCDM_Settings!$B$14-1)&lt;0.0000001,MIN(MCDM_Settings!$C$6:$C$11)&gt;=0)),"Valid","Check weights")</f>
        <v>Valid</v>
      </c>
      <c r="AZ70" s="5" t="str">
        <f>IF(AND(COUNTIF(MCDM_Checks!$B$6:$B$3733,A70)=16,COUNTIF(Manual_Review!$A$6:$A$238,A70)=1),"16 keys present","Check key count")</f>
        <v>16 keys present</v>
      </c>
    </row>
    <row r="71" spans="1:52" ht="25.5">
      <c r="A71" s="5" t="s">
        <v>837</v>
      </c>
      <c r="B71" s="5" t="s">
        <v>838</v>
      </c>
      <c r="C71" s="5"/>
      <c r="D71" s="5" t="s">
        <v>118</v>
      </c>
      <c r="E71" s="12">
        <f>IF(OR(AY71&lt;&gt;"Valid",AZ71&lt;&gt;"16 keys present"),"Review settings",20*(IF(ISNUMBER(AC71),AC71*IF($D71="Unlabeled-13",MCDM_Settings!$E$6,MCDM_Settings!$C$6),0)+IF(ISNUMBER(AF71),AF71*IF($D71="Unlabeled-13",MCDM_Settings!$E$7,MCDM_Settings!$C$7),0)+IF(ISNUMBER(AI71),AI71*IF($D71="Unlabeled-13",MCDM_Settings!$E$8,MCDM_Settings!$C$8),0)+IF(ISNUMBER(AL71),AL71*IF($D71="Unlabeled-13",MCDM_Settings!$E$9,MCDM_Settings!$C$9),0)+IF(ISNUMBER(AO71),AO71*IF($D71="Unlabeled-13",MCDM_Settings!$E$10,MCDM_Settings!$C$10),0)+IF(ISNUMBER(AR71),AR71*IF($D71="Unlabeled-13",MCDM_Settings!$E$11,MCDM_Settings!$C$11),0)))</f>
        <v>77.777777777777771</v>
      </c>
      <c r="F71" s="12">
        <f>IF(OR(AY71&lt;&gt;"Valid",AZ71&lt;&gt;"16 keys present"),"Review settings",20*(IF(ISNUMBER(AD71),AD71*IF($D71="Unlabeled-13",MCDM_Settings!$E$6,MCDM_Settings!$C$6),0)+IF(ISNUMBER(AG71),AG71*IF($D71="Unlabeled-13",MCDM_Settings!$E$7,MCDM_Settings!$C$7),0)+IF(ISNUMBER(AJ71),AJ71*IF($D71="Unlabeled-13",MCDM_Settings!$E$8,MCDM_Settings!$C$8),0)+IF(ISNUMBER(AM71),AM71*IF($D71="Unlabeled-13",MCDM_Settings!$E$9,MCDM_Settings!$C$9),0)+IF(ISNUMBER(AP71),AP71*IF($D71="Unlabeled-13",MCDM_Settings!$E$10,MCDM_Settings!$C$10),0)+IF(ISNUMBER(AS71),AS71*IF($D71="Unlabeled-13",MCDM_Settings!$E$11,MCDM_Settings!$C$11),0)))</f>
        <v>99.999999999999986</v>
      </c>
      <c r="G71" s="13">
        <f>IF(OR(AY71&lt;&gt;"Valid",AZ71&lt;&gt;"16 keys present"),"Review settings",1*(IF(ISNUMBER(AE71),AE71*IF($D71="Unlabeled-13",MCDM_Settings!$E$6,MCDM_Settings!$C$6),0)+IF(ISNUMBER(AH71),AH71*IF($D71="Unlabeled-13",MCDM_Settings!$E$7,MCDM_Settings!$C$7),0)+IF(ISNUMBER(AK71),AK71*IF($D71="Unlabeled-13",MCDM_Settings!$E$8,MCDM_Settings!$C$8),0)+IF(ISNUMBER(AN71),AN71*IF($D71="Unlabeled-13",MCDM_Settings!$E$9,MCDM_Settings!$C$9),0)+IF(ISNUMBER(AQ71),AQ71*IF($D71="Unlabeled-13",MCDM_Settings!$E$10,MCDM_Settings!$C$10),0)+IF(ISNUMBER(AT71),AT71*IF($D71="Unlabeled-13",MCDM_Settings!$E$11,MCDM_Settings!$C$11),0)))</f>
        <v>0.77777777777777779</v>
      </c>
      <c r="H71" s="5" t="str">
        <f>INDEX(Manual_Review!$AH$6:$AH$238,MATCH(A71,Manual_Review!$A$6:$A$238,0))</f>
        <v>Not started</v>
      </c>
      <c r="I71" s="5" t="s">
        <v>128</v>
      </c>
      <c r="J71" s="5" t="s">
        <v>556</v>
      </c>
      <c r="K71" s="5" t="str">
        <f>HYPERLINK("https://data.mendeley.com/datasets/7wr6hxk54h/1","Dataset")</f>
        <v>Dataset</v>
      </c>
      <c r="L71" s="5" t="str">
        <f>HYPERLINK("#'Manual_Review'!A"&amp;(MATCH("DS-066",Manual_Review!$A$6:$A$238,0)+5),"Enter review")</f>
        <v>Enter review</v>
      </c>
      <c r="M71" s="5" t="str">
        <f>INDEX(MCDM_Checks!$K$6:$K$3733,MATCH(A71&amp;"|"&amp;M$5,MCDM_Checks!$A$6:$A$3733,0))</f>
        <v>Y</v>
      </c>
      <c r="N71" s="5" t="str">
        <f>INDEX(MCDM_Checks!$K$6:$K$3733,MATCH(A71&amp;"|"&amp;N$5,MCDM_Checks!$A$6:$A$3733,0))</f>
        <v>Y</v>
      </c>
      <c r="O71" s="5" t="str">
        <f>INDEX(MCDM_Checks!$K$6:$K$3733,MATCH(A71&amp;"|"&amp;O$5,MCDM_Checks!$A$6:$A$3733,0))</f>
        <v>Y</v>
      </c>
      <c r="P71" s="5" t="str">
        <f>INDEX(MCDM_Checks!$K$6:$K$3733,MATCH(A71&amp;"|"&amp;P$5,MCDM_Checks!$A$6:$A$3733,0))</f>
        <v>Y</v>
      </c>
      <c r="Q71" s="5" t="str">
        <f>INDEX(MCDM_Checks!$K$6:$K$3733,MATCH(A71&amp;"|"&amp;Q$5,MCDM_Checks!$A$6:$A$3733,0))</f>
        <v>Y</v>
      </c>
      <c r="R71" s="5" t="str">
        <f>INDEX(MCDM_Checks!$K$6:$K$3733,MATCH(A71&amp;"|"&amp;R$5,MCDM_Checks!$A$6:$A$3733,0))</f>
        <v>U</v>
      </c>
      <c r="S71" s="5" t="str">
        <f>INDEX(MCDM_Checks!$K$6:$K$3733,MATCH(A71&amp;"|"&amp;S$5,MCDM_Checks!$A$6:$A$3733,0))</f>
        <v>U</v>
      </c>
      <c r="T71" s="5" t="str">
        <f>INDEX(MCDM_Checks!$K$6:$K$3733,MATCH(A71&amp;"|"&amp;T$5,MCDM_Checks!$A$6:$A$3733,0))</f>
        <v>Y</v>
      </c>
      <c r="U71" s="5" t="str">
        <f>INDEX(MCDM_Checks!$K$6:$K$3733,MATCH(A71&amp;"|"&amp;U$5,MCDM_Checks!$A$6:$A$3733,0))</f>
        <v>Y</v>
      </c>
      <c r="V71" s="5" t="str">
        <f>INDEX(MCDM_Checks!$K$6:$K$3733,MATCH(A71&amp;"|"&amp;V$5,MCDM_Checks!$A$6:$A$3733,0))</f>
        <v>Y</v>
      </c>
      <c r="W71" s="5" t="str">
        <f>INDEX(MCDM_Checks!$K$6:$K$3733,MATCH(A71&amp;"|"&amp;W$5,MCDM_Checks!$A$6:$A$3733,0))</f>
        <v>Y</v>
      </c>
      <c r="X71" s="5" t="str">
        <f>INDEX(MCDM_Checks!$K$6:$K$3733,MATCH(A71&amp;"|"&amp;X$5,MCDM_Checks!$A$6:$A$3733,0))</f>
        <v>Y</v>
      </c>
      <c r="Y71" s="5" t="str">
        <f>INDEX(MCDM_Checks!$K$6:$K$3733,MATCH(A71&amp;"|"&amp;Y$5,MCDM_Checks!$A$6:$A$3733,0))</f>
        <v>Y</v>
      </c>
      <c r="Z71" s="5" t="str">
        <f>INDEX(MCDM_Checks!$K$6:$K$3733,MATCH(A71&amp;"|"&amp;Z$5,MCDM_Checks!$A$6:$A$3733,0))</f>
        <v>Y</v>
      </c>
      <c r="AA71" s="5" t="str">
        <f>INDEX(MCDM_Checks!$K$6:$K$3733,MATCH(A71&amp;"|"&amp;AA$5,MCDM_Checks!$A$6:$A$3733,0))</f>
        <v>U</v>
      </c>
      <c r="AB71" s="5" t="str">
        <f>INDEX(MCDM_Checks!$K$6:$K$3733,MATCH(A71&amp;"|"&amp;AB$5,MCDM_Checks!$A$6:$A$3733,0))</f>
        <v>U</v>
      </c>
      <c r="AC71" s="12">
        <f>IF(IF($D71="Unlabeled-13",MCDM_Settings!$F$6,MCDM_Settings!$D$6)=0,"n.a.",5*COUNTIF(M71:O71,"Y")/IF($D71="Unlabeled-13",MCDM_Settings!$F$6,MCDM_Settings!$D$6))</f>
        <v>5</v>
      </c>
      <c r="AD71" s="12">
        <f>IF(IF($D71="Unlabeled-13",MCDM_Settings!$F$6,MCDM_Settings!$D$6)=0,"n.a.",5*(COUNTIF(M71:O71,"Y")+COUNTIF(M71:O71,"U")+COUNTIF(M71:O71,"X"))/IF($D71="Unlabeled-13",MCDM_Settings!$F$6,MCDM_Settings!$D$6))</f>
        <v>5</v>
      </c>
      <c r="AE71" s="13">
        <f>IF(IF($D71="Unlabeled-13",MCDM_Settings!$F$6,MCDM_Settings!$D$6)=0,"n.a.",(COUNTIF(M71:O71,"Y")+COUNTIF(M71:O71,"N"))/IF($D71="Unlabeled-13",MCDM_Settings!$F$6,MCDM_Settings!$D$6))</f>
        <v>1</v>
      </c>
      <c r="AF71" s="12">
        <f>IF(IF($D71="Unlabeled-13",MCDM_Settings!$F$7,MCDM_Settings!$D$7)=0,"n.a.",5*COUNTIF(P71:R71,"Y")/IF($D71="Unlabeled-13",MCDM_Settings!$F$7,MCDM_Settings!$D$7))</f>
        <v>3.3333333333333335</v>
      </c>
      <c r="AG71" s="12">
        <f>IF(IF($D71="Unlabeled-13",MCDM_Settings!$F$7,MCDM_Settings!$D$7)=0,"n.a.",5*(COUNTIF(P71:R71,"Y")+COUNTIF(P71:R71,"U")+COUNTIF(P71:R71,"X"))/IF($D71="Unlabeled-13",MCDM_Settings!$F$7,MCDM_Settings!$D$7))</f>
        <v>5</v>
      </c>
      <c r="AH71" s="13">
        <f>IF(IF($D71="Unlabeled-13",MCDM_Settings!$F$7,MCDM_Settings!$D$7)=0,"n.a.",(COUNTIF(P71:R71,"Y")+COUNTIF(P71:R71,"N"))/IF($D71="Unlabeled-13",MCDM_Settings!$F$7,MCDM_Settings!$D$7))</f>
        <v>0.66666666666666663</v>
      </c>
      <c r="AI71" s="12">
        <f>IF(IF($D71="Unlabeled-13",MCDM_Settings!$F$8,MCDM_Settings!$D$8)=0,"n.a.",5*COUNTIF(S71:U71,"Y")/IF($D71="Unlabeled-13",MCDM_Settings!$F$8,MCDM_Settings!$D$8))</f>
        <v>3.3333333333333335</v>
      </c>
      <c r="AJ71" s="12">
        <f>IF(IF($D71="Unlabeled-13",MCDM_Settings!$F$8,MCDM_Settings!$D$8)=0,"n.a.",5*(COUNTIF(S71:U71,"Y")+COUNTIF(S71:U71,"U")+COUNTIF(S71:U71,"X"))/IF($D71="Unlabeled-13",MCDM_Settings!$F$8,MCDM_Settings!$D$8))</f>
        <v>5</v>
      </c>
      <c r="AK71" s="13">
        <f>IF(IF($D71="Unlabeled-13",MCDM_Settings!$F$8,MCDM_Settings!$D$8)=0,"n.a.",(COUNTIF(S71:U71,"Y")+COUNTIF(S71:U71,"N"))/IF($D71="Unlabeled-13",MCDM_Settings!$F$8,MCDM_Settings!$D$8))</f>
        <v>0.66666666666666663</v>
      </c>
      <c r="AL71" s="12">
        <f>IF(IF($D71="Unlabeled-13",MCDM_Settings!$F$9,MCDM_Settings!$D$9)=0,"n.a.",5*COUNTIF(V71:W71,"Y")/IF($D71="Unlabeled-13",MCDM_Settings!$F$9,MCDM_Settings!$D$9))</f>
        <v>5</v>
      </c>
      <c r="AM71" s="12">
        <f>IF(IF($D71="Unlabeled-13",MCDM_Settings!$F$9,MCDM_Settings!$D$9)=0,"n.a.",5*(COUNTIF(V71:W71,"Y")+COUNTIF(V71:W71,"U")+COUNTIF(V71:W71,"X"))/IF($D71="Unlabeled-13",MCDM_Settings!$F$9,MCDM_Settings!$D$9))</f>
        <v>5</v>
      </c>
      <c r="AN71" s="13">
        <f>IF(IF($D71="Unlabeled-13",MCDM_Settings!$F$9,MCDM_Settings!$D$9)=0,"n.a.",(COUNTIF(V71:W71,"Y")+COUNTIF(V71:W71,"N"))/IF($D71="Unlabeled-13",MCDM_Settings!$F$9,MCDM_Settings!$D$9))</f>
        <v>1</v>
      </c>
      <c r="AO71" s="12">
        <f>IF(IF($D71="Unlabeled-13",MCDM_Settings!$F$10,MCDM_Settings!$D$10)=0,"n.a.",5*COUNTIF(X71:Y71,"Y")/IF($D71="Unlabeled-13",MCDM_Settings!$F$10,MCDM_Settings!$D$10))</f>
        <v>5</v>
      </c>
      <c r="AP71" s="12">
        <f>IF(IF($D71="Unlabeled-13",MCDM_Settings!$F$10,MCDM_Settings!$D$10)=0,"n.a.",5*(COUNTIF(X71:Y71,"Y")+COUNTIF(X71:Y71,"U")+COUNTIF(X71:Y71,"X"))/IF($D71="Unlabeled-13",MCDM_Settings!$F$10,MCDM_Settings!$D$10))</f>
        <v>5</v>
      </c>
      <c r="AQ71" s="13">
        <f>IF(IF($D71="Unlabeled-13",MCDM_Settings!$F$10,MCDM_Settings!$D$10)=0,"n.a.",(COUNTIF(X71:Y71,"Y")+COUNTIF(X71:Y71,"N"))/IF($D71="Unlabeled-13",MCDM_Settings!$F$10,MCDM_Settings!$D$10))</f>
        <v>1</v>
      </c>
      <c r="AR71" s="12">
        <f>IF(IF($D71="Unlabeled-13",MCDM_Settings!$F$11,MCDM_Settings!$D$11)=0,"n.a.",5*COUNTIF(Z71:AB71,"Y")/IF($D71="Unlabeled-13",MCDM_Settings!$F$11,MCDM_Settings!$D$11))</f>
        <v>1.6666666666666667</v>
      </c>
      <c r="AS71" s="12">
        <f>IF(IF($D71="Unlabeled-13",MCDM_Settings!$F$11,MCDM_Settings!$D$11)=0,"n.a.",5*(COUNTIF(Z71:AB71,"Y")+COUNTIF(Z71:AB71,"U")+COUNTIF(Z71:AB71,"X"))/IF($D71="Unlabeled-13",MCDM_Settings!$F$11,MCDM_Settings!$D$11))</f>
        <v>5</v>
      </c>
      <c r="AT71" s="13">
        <f>IF(IF($D71="Unlabeled-13",MCDM_Settings!$F$11,MCDM_Settings!$D$11)=0,"n.a.",(COUNTIF(Z71:AB71,"Y")+COUNTIF(Z71:AB71,"N"))/IF($D71="Unlabeled-13",MCDM_Settings!$F$11,MCDM_Settings!$D$11))</f>
        <v>0.33333333333333331</v>
      </c>
      <c r="AU71" s="5" t="str">
        <f>IF(AND(INDEX(Manual_Review!$G$6:$G$238,MATCH(A71,Manual_Review!$A$6:$A$238,0))&lt;&gt;"",ISNUMBER(INDEX(Manual_Review!$H$6:$H$238,MATCH(A71,Manual_Review!$A$6:$A$238,0))),INDEX(Manual_Review!$H$6:$H$238,MATCH(A71,Manual_Review!$A$6:$A$238,0))&gt;0,INDEX(Manual_Review!$I$6:$I$238,MATCH(A71,Manual_Review!$A$6:$A$238,0))="Confirmed",INDEX(Manual_Review!$AF$6:$AF$238,MATCH(A71,Manual_Review!$A$6:$A$238,0))&lt;&gt;""),IF(INDEX(Manual_Review!$AA$6:$AA$238,MATCH(A71,Manual_Review!$A$6:$A$238,0))="Pass","Pass",IF(INDEX(Manual_Review!$AA$6:$AA$238,MATCH(A71,Manual_Review!$A$6:$A$238,0))="Fail","Fail","Pending")),"Pending human identity confirmation")</f>
        <v>Pending human identity confirmation</v>
      </c>
      <c r="AV71" s="5" t="str">
        <f>IF(AND(AND(INDEX(Manual_Review!$G$6:$G$238,MATCH(A71,Manual_Review!$A$6:$A$238,0))&lt;&gt;"",ISNUMBER(INDEX(Manual_Review!$H$6:$H$238,MATCH(A71,Manual_Review!$A$6:$A$238,0))),INDEX(Manual_Review!$H$6:$H$238,MATCH(A71,Manual_Review!$A$6:$A$238,0))&gt;0,INDEX(Manual_Review!$I$6:$I$238,MATCH(A71,Manual_Review!$A$6:$A$238,0))="Confirmed",INDEX(Manual_Review!$AF$6:$AF$238,MATCH(A71,Manual_Review!$A$6:$A$238,0))&lt;&gt;""),INDEX(Manual_Review!$AG$6:$AG$238,MATCH(A71,Manual_Review!$A$6:$A$238,0))&lt;&gt;""),IF(INDEX(Manual_Review!$AB$6:$AB$238,MATCH(A71,Manual_Review!$A$6:$A$238,0))="Pass","Pass",IF(INDEX(Manual_Review!$AB$6:$AB$238,MATCH(A71,Manual_Review!$A$6:$A$238,0))="Fail","Fail","Pending")),"Not assessed: define intended task")</f>
        <v>Not assessed: define intended task</v>
      </c>
      <c r="AW71" s="5" t="str">
        <f>IF(AND(AND(INDEX(Manual_Review!$G$6:$G$238,MATCH(A71,Manual_Review!$A$6:$A$238,0))&lt;&gt;"",ISNUMBER(INDEX(Manual_Review!$H$6:$H$238,MATCH(A71,Manual_Review!$A$6:$A$238,0))),INDEX(Manual_Review!$H$6:$H$238,MATCH(A71,Manual_Review!$A$6:$A$238,0))&gt;0,INDEX(Manual_Review!$I$6:$I$238,MATCH(A71,Manual_Review!$A$6:$A$238,0))="Confirmed",INDEX(Manual_Review!$AF$6:$AF$238,MATCH(A71,Manual_Review!$A$6:$A$238,0))&lt;&gt;""),INDEX(Manual_Review!$AG$6:$AG$238,MATCH(A71,Manual_Review!$A$6:$A$238,0))&lt;&gt;""),IF(OR(INDEX(Manual_Review!$AC$6:$AC$238,MATCH(A71,Manual_Review!$A$6:$A$238,0))="Fail",INDEX(Manual_Review!$AD$6:$AD$238,MATCH(A71,Manual_Review!$A$6:$A$238,0))="Fail"),"Fail: rights or retrieval",IF(AND(INDEX(Manual_Review!$AC$6:$AC$238,MATCH(A71,Manual_Review!$A$6:$A$238,0))="Pass",INDEX(Manual_Review!$AD$6:$AD$238,MATCH(A71,Manual_Review!$A$6:$A$238,0))="Pass"),"Pass","Pending rights and retrieval")),"Pending rights and retrieval")</f>
        <v>Pending rights and retrieval</v>
      </c>
      <c r="AX71" s="5" t="str">
        <f>IF(INDEX(Manual_Review!$AG$6:$AG$238,MATCH(A71,Manual_Review!$A$6:$A$238,0))="","N/A: documentation inventory",IF(AND(INDEX(Manual_Review!$G$6:$G$238,MATCH(A71,Manual_Review!$A$6:$A$238,0))&lt;&gt;"",ISNUMBER(INDEX(Manual_Review!$H$6:$H$238,MATCH(A71,Manual_Review!$A$6:$A$238,0))),INDEX(Manual_Review!$H$6:$H$238,MATCH(A71,Manual_Review!$A$6:$A$238,0))&gt;0,INDEX(Manual_Review!$I$6:$I$238,MATCH(A71,Manual_Review!$A$6:$A$238,0))="Confirmed",INDEX(Manual_Review!$AF$6:$AF$238,MATCH(A71,Manual_Review!$A$6:$A$238,0))&lt;&gt;""),IF(INDEX(Manual_Review!$AE$6:$AE$238,MATCH(A71,Manual_Review!$A$6:$A$238,0))="Pass","Pass",IF(INDEX(Manual_Review!$AE$6:$AE$238,MATCH(A71,Manual_Review!$A$6:$A$238,0))="Fail","Fail: benchmark leakage",IF(INDEX(Manual_Review!$AE$6:$AE$238,MATCH(A71,Manual_Review!$A$6:$A$238,0))="N/A","N/A: nonbenchmark task","Pending task-specific leakage check"))),"Pending task-specific leakage check"))</f>
        <v>N/A: documentation inventory</v>
      </c>
      <c r="AY71" s="5" t="str">
        <f>IF(IF(D71="Unlabeled-13",AND(ABS(MCDM_Settings!$D$14-1)&lt;0.0000001,MIN(MCDM_Settings!$E$6:$E$11)&gt;=0,MCDM_Settings!$E$7=0),AND(ABS(MCDM_Settings!$B$14-1)&lt;0.0000001,MIN(MCDM_Settings!$C$6:$C$11)&gt;=0)),"Valid","Check weights")</f>
        <v>Valid</v>
      </c>
      <c r="AZ71" s="5" t="str">
        <f>IF(AND(COUNTIF(MCDM_Checks!$B$6:$B$3733,A71)=16,COUNTIF(Manual_Review!$A$6:$A$238,A71)=1),"16 keys present","Check key count")</f>
        <v>16 keys present</v>
      </c>
    </row>
    <row r="72" spans="1:52" ht="25.5">
      <c r="A72" s="5" t="s">
        <v>847</v>
      </c>
      <c r="B72" s="5" t="s">
        <v>848</v>
      </c>
      <c r="C72" s="5"/>
      <c r="D72" s="5" t="s">
        <v>118</v>
      </c>
      <c r="E72" s="12">
        <f>IF(OR(AY72&lt;&gt;"Valid",AZ72&lt;&gt;"16 keys present"),"Review settings",20*(IF(ISNUMBER(AC72),AC72*IF($D72="Unlabeled-13",MCDM_Settings!$E$6,MCDM_Settings!$C$6),0)+IF(ISNUMBER(AF72),AF72*IF($D72="Unlabeled-13",MCDM_Settings!$E$7,MCDM_Settings!$C$7),0)+IF(ISNUMBER(AI72),AI72*IF($D72="Unlabeled-13",MCDM_Settings!$E$8,MCDM_Settings!$C$8),0)+IF(ISNUMBER(AL72),AL72*IF($D72="Unlabeled-13",MCDM_Settings!$E$9,MCDM_Settings!$C$9),0)+IF(ISNUMBER(AO72),AO72*IF($D72="Unlabeled-13",MCDM_Settings!$E$10,MCDM_Settings!$C$10),0)+IF(ISNUMBER(AR72),AR72*IF($D72="Unlabeled-13",MCDM_Settings!$E$11,MCDM_Settings!$C$11),0)))</f>
        <v>99.999999999999986</v>
      </c>
      <c r="F72" s="12">
        <f>IF(OR(AY72&lt;&gt;"Valid",AZ72&lt;&gt;"16 keys present"),"Review settings",20*(IF(ISNUMBER(AD72),AD72*IF($D72="Unlabeled-13",MCDM_Settings!$E$6,MCDM_Settings!$C$6),0)+IF(ISNUMBER(AG72),AG72*IF($D72="Unlabeled-13",MCDM_Settings!$E$7,MCDM_Settings!$C$7),0)+IF(ISNUMBER(AJ72),AJ72*IF($D72="Unlabeled-13",MCDM_Settings!$E$8,MCDM_Settings!$C$8),0)+IF(ISNUMBER(AM72),AM72*IF($D72="Unlabeled-13",MCDM_Settings!$E$9,MCDM_Settings!$C$9),0)+IF(ISNUMBER(AP72),AP72*IF($D72="Unlabeled-13",MCDM_Settings!$E$10,MCDM_Settings!$C$10),0)+IF(ISNUMBER(AS72),AS72*IF($D72="Unlabeled-13",MCDM_Settings!$E$11,MCDM_Settings!$C$11),0)))</f>
        <v>99.999999999999986</v>
      </c>
      <c r="G72" s="13">
        <f>IF(OR(AY72&lt;&gt;"Valid",AZ72&lt;&gt;"16 keys present"),"Review settings",1*(IF(ISNUMBER(AE72),AE72*IF($D72="Unlabeled-13",MCDM_Settings!$E$6,MCDM_Settings!$C$6),0)+IF(ISNUMBER(AH72),AH72*IF($D72="Unlabeled-13",MCDM_Settings!$E$7,MCDM_Settings!$C$7),0)+IF(ISNUMBER(AK72),AK72*IF($D72="Unlabeled-13",MCDM_Settings!$E$8,MCDM_Settings!$C$8),0)+IF(ISNUMBER(AN72),AN72*IF($D72="Unlabeled-13",MCDM_Settings!$E$9,MCDM_Settings!$C$9),0)+IF(ISNUMBER(AQ72),AQ72*IF($D72="Unlabeled-13",MCDM_Settings!$E$10,MCDM_Settings!$C$10),0)+IF(ISNUMBER(AT72),AT72*IF($D72="Unlabeled-13",MCDM_Settings!$E$11,MCDM_Settings!$C$11),0)))</f>
        <v>0.99999999999999989</v>
      </c>
      <c r="H72" s="5" t="str">
        <f>INDEX(Manual_Review!$AH$6:$AH$238,MATCH(A72,Manual_Review!$A$6:$A$238,0))</f>
        <v>Not started</v>
      </c>
      <c r="I72" s="5" t="s">
        <v>128</v>
      </c>
      <c r="J72" s="5" t="s">
        <v>556</v>
      </c>
      <c r="K72" s="5" t="str">
        <f>HYPERLINK("https://data.mendeley.com/datasets/sywswj7djj/1","Dataset")</f>
        <v>Dataset</v>
      </c>
      <c r="L72" s="5" t="str">
        <f>HYPERLINK("#'Manual_Review'!A"&amp;(MATCH("DS-067",Manual_Review!$A$6:$A$238,0)+5),"Enter review")</f>
        <v>Enter review</v>
      </c>
      <c r="M72" s="5" t="str">
        <f>INDEX(MCDM_Checks!$K$6:$K$3733,MATCH(A72&amp;"|"&amp;M$5,MCDM_Checks!$A$6:$A$3733,0))</f>
        <v>Y</v>
      </c>
      <c r="N72" s="5" t="str">
        <f>INDEX(MCDM_Checks!$K$6:$K$3733,MATCH(A72&amp;"|"&amp;N$5,MCDM_Checks!$A$6:$A$3733,0))</f>
        <v>Y</v>
      </c>
      <c r="O72" s="5" t="str">
        <f>INDEX(MCDM_Checks!$K$6:$K$3733,MATCH(A72&amp;"|"&amp;O$5,MCDM_Checks!$A$6:$A$3733,0))</f>
        <v>Y</v>
      </c>
      <c r="P72" s="5" t="str">
        <f>INDEX(MCDM_Checks!$K$6:$K$3733,MATCH(A72&amp;"|"&amp;P$5,MCDM_Checks!$A$6:$A$3733,0))</f>
        <v>Y</v>
      </c>
      <c r="Q72" s="5" t="str">
        <f>INDEX(MCDM_Checks!$K$6:$K$3733,MATCH(A72&amp;"|"&amp;Q$5,MCDM_Checks!$A$6:$A$3733,0))</f>
        <v>Y</v>
      </c>
      <c r="R72" s="5" t="str">
        <f>INDEX(MCDM_Checks!$K$6:$K$3733,MATCH(A72&amp;"|"&amp;R$5,MCDM_Checks!$A$6:$A$3733,0))</f>
        <v>Y</v>
      </c>
      <c r="S72" s="5" t="str">
        <f>INDEX(MCDM_Checks!$K$6:$K$3733,MATCH(A72&amp;"|"&amp;S$5,MCDM_Checks!$A$6:$A$3733,0))</f>
        <v>Y</v>
      </c>
      <c r="T72" s="5" t="str">
        <f>INDEX(MCDM_Checks!$K$6:$K$3733,MATCH(A72&amp;"|"&amp;T$5,MCDM_Checks!$A$6:$A$3733,0))</f>
        <v>Y</v>
      </c>
      <c r="U72" s="5" t="str">
        <f>INDEX(MCDM_Checks!$K$6:$K$3733,MATCH(A72&amp;"|"&amp;U$5,MCDM_Checks!$A$6:$A$3733,0))</f>
        <v>Y</v>
      </c>
      <c r="V72" s="5" t="str">
        <f>INDEX(MCDM_Checks!$K$6:$K$3733,MATCH(A72&amp;"|"&amp;V$5,MCDM_Checks!$A$6:$A$3733,0))</f>
        <v>Y</v>
      </c>
      <c r="W72" s="5" t="str">
        <f>INDEX(MCDM_Checks!$K$6:$K$3733,MATCH(A72&amp;"|"&amp;W$5,MCDM_Checks!$A$6:$A$3733,0))</f>
        <v>Y</v>
      </c>
      <c r="X72" s="5" t="str">
        <f>INDEX(MCDM_Checks!$K$6:$K$3733,MATCH(A72&amp;"|"&amp;X$5,MCDM_Checks!$A$6:$A$3733,0))</f>
        <v>Y</v>
      </c>
      <c r="Y72" s="5" t="str">
        <f>INDEX(MCDM_Checks!$K$6:$K$3733,MATCH(A72&amp;"|"&amp;Y$5,MCDM_Checks!$A$6:$A$3733,0))</f>
        <v>Y</v>
      </c>
      <c r="Z72" s="5" t="str">
        <f>INDEX(MCDM_Checks!$K$6:$K$3733,MATCH(A72&amp;"|"&amp;Z$5,MCDM_Checks!$A$6:$A$3733,0))</f>
        <v>Y</v>
      </c>
      <c r="AA72" s="5" t="str">
        <f>INDEX(MCDM_Checks!$K$6:$K$3733,MATCH(A72&amp;"|"&amp;AA$5,MCDM_Checks!$A$6:$A$3733,0))</f>
        <v>Y</v>
      </c>
      <c r="AB72" s="5" t="str">
        <f>INDEX(MCDM_Checks!$K$6:$K$3733,MATCH(A72&amp;"|"&amp;AB$5,MCDM_Checks!$A$6:$A$3733,0))</f>
        <v>Y</v>
      </c>
      <c r="AC72" s="12">
        <f>IF(IF($D72="Unlabeled-13",MCDM_Settings!$F$6,MCDM_Settings!$D$6)=0,"n.a.",5*COUNTIF(M72:O72,"Y")/IF($D72="Unlabeled-13",MCDM_Settings!$F$6,MCDM_Settings!$D$6))</f>
        <v>5</v>
      </c>
      <c r="AD72" s="12">
        <f>IF(IF($D72="Unlabeled-13",MCDM_Settings!$F$6,MCDM_Settings!$D$6)=0,"n.a.",5*(COUNTIF(M72:O72,"Y")+COUNTIF(M72:O72,"U")+COUNTIF(M72:O72,"X"))/IF($D72="Unlabeled-13",MCDM_Settings!$F$6,MCDM_Settings!$D$6))</f>
        <v>5</v>
      </c>
      <c r="AE72" s="13">
        <f>IF(IF($D72="Unlabeled-13",MCDM_Settings!$F$6,MCDM_Settings!$D$6)=0,"n.a.",(COUNTIF(M72:O72,"Y")+COUNTIF(M72:O72,"N"))/IF($D72="Unlabeled-13",MCDM_Settings!$F$6,MCDM_Settings!$D$6))</f>
        <v>1</v>
      </c>
      <c r="AF72" s="12">
        <f>IF(IF($D72="Unlabeled-13",MCDM_Settings!$F$7,MCDM_Settings!$D$7)=0,"n.a.",5*COUNTIF(P72:R72,"Y")/IF($D72="Unlabeled-13",MCDM_Settings!$F$7,MCDM_Settings!$D$7))</f>
        <v>5</v>
      </c>
      <c r="AG72" s="12">
        <f>IF(IF($D72="Unlabeled-13",MCDM_Settings!$F$7,MCDM_Settings!$D$7)=0,"n.a.",5*(COUNTIF(P72:R72,"Y")+COUNTIF(P72:R72,"U")+COUNTIF(P72:R72,"X"))/IF($D72="Unlabeled-13",MCDM_Settings!$F$7,MCDM_Settings!$D$7))</f>
        <v>5</v>
      </c>
      <c r="AH72" s="13">
        <f>IF(IF($D72="Unlabeled-13",MCDM_Settings!$F$7,MCDM_Settings!$D$7)=0,"n.a.",(COUNTIF(P72:R72,"Y")+COUNTIF(P72:R72,"N"))/IF($D72="Unlabeled-13",MCDM_Settings!$F$7,MCDM_Settings!$D$7))</f>
        <v>1</v>
      </c>
      <c r="AI72" s="12">
        <f>IF(IF($D72="Unlabeled-13",MCDM_Settings!$F$8,MCDM_Settings!$D$8)=0,"n.a.",5*COUNTIF(S72:U72,"Y")/IF($D72="Unlabeled-13",MCDM_Settings!$F$8,MCDM_Settings!$D$8))</f>
        <v>5</v>
      </c>
      <c r="AJ72" s="12">
        <f>IF(IF($D72="Unlabeled-13",MCDM_Settings!$F$8,MCDM_Settings!$D$8)=0,"n.a.",5*(COUNTIF(S72:U72,"Y")+COUNTIF(S72:U72,"U")+COUNTIF(S72:U72,"X"))/IF($D72="Unlabeled-13",MCDM_Settings!$F$8,MCDM_Settings!$D$8))</f>
        <v>5</v>
      </c>
      <c r="AK72" s="13">
        <f>IF(IF($D72="Unlabeled-13",MCDM_Settings!$F$8,MCDM_Settings!$D$8)=0,"n.a.",(COUNTIF(S72:U72,"Y")+COUNTIF(S72:U72,"N"))/IF($D72="Unlabeled-13",MCDM_Settings!$F$8,MCDM_Settings!$D$8))</f>
        <v>1</v>
      </c>
      <c r="AL72" s="12">
        <f>IF(IF($D72="Unlabeled-13",MCDM_Settings!$F$9,MCDM_Settings!$D$9)=0,"n.a.",5*COUNTIF(V72:W72,"Y")/IF($D72="Unlabeled-13",MCDM_Settings!$F$9,MCDM_Settings!$D$9))</f>
        <v>5</v>
      </c>
      <c r="AM72" s="12">
        <f>IF(IF($D72="Unlabeled-13",MCDM_Settings!$F$9,MCDM_Settings!$D$9)=0,"n.a.",5*(COUNTIF(V72:W72,"Y")+COUNTIF(V72:W72,"U")+COUNTIF(V72:W72,"X"))/IF($D72="Unlabeled-13",MCDM_Settings!$F$9,MCDM_Settings!$D$9))</f>
        <v>5</v>
      </c>
      <c r="AN72" s="13">
        <f>IF(IF($D72="Unlabeled-13",MCDM_Settings!$F$9,MCDM_Settings!$D$9)=0,"n.a.",(COUNTIF(V72:W72,"Y")+COUNTIF(V72:W72,"N"))/IF($D72="Unlabeled-13",MCDM_Settings!$F$9,MCDM_Settings!$D$9))</f>
        <v>1</v>
      </c>
      <c r="AO72" s="12">
        <f>IF(IF($D72="Unlabeled-13",MCDM_Settings!$F$10,MCDM_Settings!$D$10)=0,"n.a.",5*COUNTIF(X72:Y72,"Y")/IF($D72="Unlabeled-13",MCDM_Settings!$F$10,MCDM_Settings!$D$10))</f>
        <v>5</v>
      </c>
      <c r="AP72" s="12">
        <f>IF(IF($D72="Unlabeled-13",MCDM_Settings!$F$10,MCDM_Settings!$D$10)=0,"n.a.",5*(COUNTIF(X72:Y72,"Y")+COUNTIF(X72:Y72,"U")+COUNTIF(X72:Y72,"X"))/IF($D72="Unlabeled-13",MCDM_Settings!$F$10,MCDM_Settings!$D$10))</f>
        <v>5</v>
      </c>
      <c r="AQ72" s="13">
        <f>IF(IF($D72="Unlabeled-13",MCDM_Settings!$F$10,MCDM_Settings!$D$10)=0,"n.a.",(COUNTIF(X72:Y72,"Y")+COUNTIF(X72:Y72,"N"))/IF($D72="Unlabeled-13",MCDM_Settings!$F$10,MCDM_Settings!$D$10))</f>
        <v>1</v>
      </c>
      <c r="AR72" s="12">
        <f>IF(IF($D72="Unlabeled-13",MCDM_Settings!$F$11,MCDM_Settings!$D$11)=0,"n.a.",5*COUNTIF(Z72:AB72,"Y")/IF($D72="Unlabeled-13",MCDM_Settings!$F$11,MCDM_Settings!$D$11))</f>
        <v>5</v>
      </c>
      <c r="AS72" s="12">
        <f>IF(IF($D72="Unlabeled-13",MCDM_Settings!$F$11,MCDM_Settings!$D$11)=0,"n.a.",5*(COUNTIF(Z72:AB72,"Y")+COUNTIF(Z72:AB72,"U")+COUNTIF(Z72:AB72,"X"))/IF($D72="Unlabeled-13",MCDM_Settings!$F$11,MCDM_Settings!$D$11))</f>
        <v>5</v>
      </c>
      <c r="AT72" s="13">
        <f>IF(IF($D72="Unlabeled-13",MCDM_Settings!$F$11,MCDM_Settings!$D$11)=0,"n.a.",(COUNTIF(Z72:AB72,"Y")+COUNTIF(Z72:AB72,"N"))/IF($D72="Unlabeled-13",MCDM_Settings!$F$11,MCDM_Settings!$D$11))</f>
        <v>1</v>
      </c>
      <c r="AU72" s="5" t="str">
        <f>IF(AND(INDEX(Manual_Review!$G$6:$G$238,MATCH(A72,Manual_Review!$A$6:$A$238,0))&lt;&gt;"",ISNUMBER(INDEX(Manual_Review!$H$6:$H$238,MATCH(A72,Manual_Review!$A$6:$A$238,0))),INDEX(Manual_Review!$H$6:$H$238,MATCH(A72,Manual_Review!$A$6:$A$238,0))&gt;0,INDEX(Manual_Review!$I$6:$I$238,MATCH(A72,Manual_Review!$A$6:$A$238,0))="Confirmed",INDEX(Manual_Review!$AF$6:$AF$238,MATCH(A72,Manual_Review!$A$6:$A$238,0))&lt;&gt;""),IF(INDEX(Manual_Review!$AA$6:$AA$238,MATCH(A72,Manual_Review!$A$6:$A$238,0))="Pass","Pass",IF(INDEX(Manual_Review!$AA$6:$AA$238,MATCH(A72,Manual_Review!$A$6:$A$238,0))="Fail","Fail","Pending")),"Pending human identity confirmation")</f>
        <v>Pending human identity confirmation</v>
      </c>
      <c r="AV72" s="5" t="str">
        <f>IF(AND(AND(INDEX(Manual_Review!$G$6:$G$238,MATCH(A72,Manual_Review!$A$6:$A$238,0))&lt;&gt;"",ISNUMBER(INDEX(Manual_Review!$H$6:$H$238,MATCH(A72,Manual_Review!$A$6:$A$238,0))),INDEX(Manual_Review!$H$6:$H$238,MATCH(A72,Manual_Review!$A$6:$A$238,0))&gt;0,INDEX(Manual_Review!$I$6:$I$238,MATCH(A72,Manual_Review!$A$6:$A$238,0))="Confirmed",INDEX(Manual_Review!$AF$6:$AF$238,MATCH(A72,Manual_Review!$A$6:$A$238,0))&lt;&gt;""),INDEX(Manual_Review!$AG$6:$AG$238,MATCH(A72,Manual_Review!$A$6:$A$238,0))&lt;&gt;""),IF(INDEX(Manual_Review!$AB$6:$AB$238,MATCH(A72,Manual_Review!$A$6:$A$238,0))="Pass","Pass",IF(INDEX(Manual_Review!$AB$6:$AB$238,MATCH(A72,Manual_Review!$A$6:$A$238,0))="Fail","Fail","Pending")),"Not assessed: define intended task")</f>
        <v>Not assessed: define intended task</v>
      </c>
      <c r="AW72" s="5" t="str">
        <f>IF(AND(AND(INDEX(Manual_Review!$G$6:$G$238,MATCH(A72,Manual_Review!$A$6:$A$238,0))&lt;&gt;"",ISNUMBER(INDEX(Manual_Review!$H$6:$H$238,MATCH(A72,Manual_Review!$A$6:$A$238,0))),INDEX(Manual_Review!$H$6:$H$238,MATCH(A72,Manual_Review!$A$6:$A$238,0))&gt;0,INDEX(Manual_Review!$I$6:$I$238,MATCH(A72,Manual_Review!$A$6:$A$238,0))="Confirmed",INDEX(Manual_Review!$AF$6:$AF$238,MATCH(A72,Manual_Review!$A$6:$A$238,0))&lt;&gt;""),INDEX(Manual_Review!$AG$6:$AG$238,MATCH(A72,Manual_Review!$A$6:$A$238,0))&lt;&gt;""),IF(OR(INDEX(Manual_Review!$AC$6:$AC$238,MATCH(A72,Manual_Review!$A$6:$A$238,0))="Fail",INDEX(Manual_Review!$AD$6:$AD$238,MATCH(A72,Manual_Review!$A$6:$A$238,0))="Fail"),"Fail: rights or retrieval",IF(AND(INDEX(Manual_Review!$AC$6:$AC$238,MATCH(A72,Manual_Review!$A$6:$A$238,0))="Pass",INDEX(Manual_Review!$AD$6:$AD$238,MATCH(A72,Manual_Review!$A$6:$A$238,0))="Pass"),"Pass","Pending rights and retrieval")),"Pending rights and retrieval")</f>
        <v>Pending rights and retrieval</v>
      </c>
      <c r="AX72" s="5" t="str">
        <f>IF(INDEX(Manual_Review!$AG$6:$AG$238,MATCH(A72,Manual_Review!$A$6:$A$238,0))="","N/A: documentation inventory",IF(AND(INDEX(Manual_Review!$G$6:$G$238,MATCH(A72,Manual_Review!$A$6:$A$238,0))&lt;&gt;"",ISNUMBER(INDEX(Manual_Review!$H$6:$H$238,MATCH(A72,Manual_Review!$A$6:$A$238,0))),INDEX(Manual_Review!$H$6:$H$238,MATCH(A72,Manual_Review!$A$6:$A$238,0))&gt;0,INDEX(Manual_Review!$I$6:$I$238,MATCH(A72,Manual_Review!$A$6:$A$238,0))="Confirmed",INDEX(Manual_Review!$AF$6:$AF$238,MATCH(A72,Manual_Review!$A$6:$A$238,0))&lt;&gt;""),IF(INDEX(Manual_Review!$AE$6:$AE$238,MATCH(A72,Manual_Review!$A$6:$A$238,0))="Pass","Pass",IF(INDEX(Manual_Review!$AE$6:$AE$238,MATCH(A72,Manual_Review!$A$6:$A$238,0))="Fail","Fail: benchmark leakage",IF(INDEX(Manual_Review!$AE$6:$AE$238,MATCH(A72,Manual_Review!$A$6:$A$238,0))="N/A","N/A: nonbenchmark task","Pending task-specific leakage check"))),"Pending task-specific leakage check"))</f>
        <v>N/A: documentation inventory</v>
      </c>
      <c r="AY72" s="5" t="str">
        <f>IF(IF(D72="Unlabeled-13",AND(ABS(MCDM_Settings!$D$14-1)&lt;0.0000001,MIN(MCDM_Settings!$E$6:$E$11)&gt;=0,MCDM_Settings!$E$7=0),AND(ABS(MCDM_Settings!$B$14-1)&lt;0.0000001,MIN(MCDM_Settings!$C$6:$C$11)&gt;=0)),"Valid","Check weights")</f>
        <v>Valid</v>
      </c>
      <c r="AZ72" s="5" t="str">
        <f>IF(AND(COUNTIF(MCDM_Checks!$B$6:$B$3733,A72)=16,COUNTIF(Manual_Review!$A$6:$A$238,A72)=1),"16 keys present","Check key count")</f>
        <v>16 keys present</v>
      </c>
    </row>
    <row r="73" spans="1:52" ht="25.5">
      <c r="A73" s="5" t="s">
        <v>858</v>
      </c>
      <c r="B73" s="5" t="s">
        <v>859</v>
      </c>
      <c r="C73" s="5"/>
      <c r="D73" s="5" t="s">
        <v>118</v>
      </c>
      <c r="E73" s="12">
        <f>IF(OR(AY73&lt;&gt;"Valid",AZ73&lt;&gt;"16 keys present"),"Review settings",20*(IF(ISNUMBER(AC73),AC73*IF($D73="Unlabeled-13",MCDM_Settings!$E$6,MCDM_Settings!$C$6),0)+IF(ISNUMBER(AF73),AF73*IF($D73="Unlabeled-13",MCDM_Settings!$E$7,MCDM_Settings!$C$7),0)+IF(ISNUMBER(AI73),AI73*IF($D73="Unlabeled-13",MCDM_Settings!$E$8,MCDM_Settings!$C$8),0)+IF(ISNUMBER(AL73),AL73*IF($D73="Unlabeled-13",MCDM_Settings!$E$9,MCDM_Settings!$C$9),0)+IF(ISNUMBER(AO73),AO73*IF($D73="Unlabeled-13",MCDM_Settings!$E$10,MCDM_Settings!$C$10),0)+IF(ISNUMBER(AR73),AR73*IF($D73="Unlabeled-13",MCDM_Settings!$E$11,MCDM_Settings!$C$11),0)))</f>
        <v>55.555555555555557</v>
      </c>
      <c r="F73" s="12">
        <f>IF(OR(AY73&lt;&gt;"Valid",AZ73&lt;&gt;"16 keys present"),"Review settings",20*(IF(ISNUMBER(AD73),AD73*IF($D73="Unlabeled-13",MCDM_Settings!$E$6,MCDM_Settings!$C$6),0)+IF(ISNUMBER(AG73),AG73*IF($D73="Unlabeled-13",MCDM_Settings!$E$7,MCDM_Settings!$C$7),0)+IF(ISNUMBER(AJ73),AJ73*IF($D73="Unlabeled-13",MCDM_Settings!$E$8,MCDM_Settings!$C$8),0)+IF(ISNUMBER(AM73),AM73*IF($D73="Unlabeled-13",MCDM_Settings!$E$9,MCDM_Settings!$C$9),0)+IF(ISNUMBER(AP73),AP73*IF($D73="Unlabeled-13",MCDM_Settings!$E$10,MCDM_Settings!$C$10),0)+IF(ISNUMBER(AS73),AS73*IF($D73="Unlabeled-13",MCDM_Settings!$E$11,MCDM_Settings!$C$11),0)))</f>
        <v>99.999999999999986</v>
      </c>
      <c r="G73" s="13">
        <f>IF(OR(AY73&lt;&gt;"Valid",AZ73&lt;&gt;"16 keys present"),"Review settings",1*(IF(ISNUMBER(AE73),AE73*IF($D73="Unlabeled-13",MCDM_Settings!$E$6,MCDM_Settings!$C$6),0)+IF(ISNUMBER(AH73),AH73*IF($D73="Unlabeled-13",MCDM_Settings!$E$7,MCDM_Settings!$C$7),0)+IF(ISNUMBER(AK73),AK73*IF($D73="Unlabeled-13",MCDM_Settings!$E$8,MCDM_Settings!$C$8),0)+IF(ISNUMBER(AN73),AN73*IF($D73="Unlabeled-13",MCDM_Settings!$E$9,MCDM_Settings!$C$9),0)+IF(ISNUMBER(AQ73),AQ73*IF($D73="Unlabeled-13",MCDM_Settings!$E$10,MCDM_Settings!$C$10),0)+IF(ISNUMBER(AT73),AT73*IF($D73="Unlabeled-13",MCDM_Settings!$E$11,MCDM_Settings!$C$11),0)))</f>
        <v>0.55555555555555558</v>
      </c>
      <c r="H73" s="5" t="str">
        <f>INDEX(Manual_Review!$AH$6:$AH$238,MATCH(A73,Manual_Review!$A$6:$A$238,0))</f>
        <v>Not started</v>
      </c>
      <c r="I73" s="5" t="s">
        <v>128</v>
      </c>
      <c r="J73" s="5" t="s">
        <v>556</v>
      </c>
      <c r="K73" s="5" t="str">
        <f>HYPERLINK("https://data.mendeley.com/datasets/ftcrvjz92c/1","Dataset")</f>
        <v>Dataset</v>
      </c>
      <c r="L73" s="5" t="str">
        <f>HYPERLINK("#'Manual_Review'!A"&amp;(MATCH("DS-068",Manual_Review!$A$6:$A$238,0)+5),"Enter review")</f>
        <v>Enter review</v>
      </c>
      <c r="M73" s="5" t="str">
        <f>INDEX(MCDM_Checks!$K$6:$K$3733,MATCH(A73&amp;"|"&amp;M$5,MCDM_Checks!$A$6:$A$3733,0))</f>
        <v>Y</v>
      </c>
      <c r="N73" s="5" t="str">
        <f>INDEX(MCDM_Checks!$K$6:$K$3733,MATCH(A73&amp;"|"&amp;N$5,MCDM_Checks!$A$6:$A$3733,0))</f>
        <v>Y</v>
      </c>
      <c r="O73" s="5" t="str">
        <f>INDEX(MCDM_Checks!$K$6:$K$3733,MATCH(A73&amp;"|"&amp;O$5,MCDM_Checks!$A$6:$A$3733,0))</f>
        <v>Y</v>
      </c>
      <c r="P73" s="5" t="str">
        <f>INDEX(MCDM_Checks!$K$6:$K$3733,MATCH(A73&amp;"|"&amp;P$5,MCDM_Checks!$A$6:$A$3733,0))</f>
        <v>Y</v>
      </c>
      <c r="Q73" s="5" t="str">
        <f>INDEX(MCDM_Checks!$K$6:$K$3733,MATCH(A73&amp;"|"&amp;Q$5,MCDM_Checks!$A$6:$A$3733,0))</f>
        <v>U</v>
      </c>
      <c r="R73" s="5" t="str">
        <f>INDEX(MCDM_Checks!$K$6:$K$3733,MATCH(A73&amp;"|"&amp;R$5,MCDM_Checks!$A$6:$A$3733,0))</f>
        <v>Y</v>
      </c>
      <c r="S73" s="5" t="str">
        <f>INDEX(MCDM_Checks!$K$6:$K$3733,MATCH(A73&amp;"|"&amp;S$5,MCDM_Checks!$A$6:$A$3733,0))</f>
        <v>U</v>
      </c>
      <c r="T73" s="5" t="str">
        <f>INDEX(MCDM_Checks!$K$6:$K$3733,MATCH(A73&amp;"|"&amp;T$5,MCDM_Checks!$A$6:$A$3733,0))</f>
        <v>Y</v>
      </c>
      <c r="U73" s="5" t="str">
        <f>INDEX(MCDM_Checks!$K$6:$K$3733,MATCH(A73&amp;"|"&amp;U$5,MCDM_Checks!$A$6:$A$3733,0))</f>
        <v>U</v>
      </c>
      <c r="V73" s="5" t="str">
        <f>INDEX(MCDM_Checks!$K$6:$K$3733,MATCH(A73&amp;"|"&amp;V$5,MCDM_Checks!$A$6:$A$3733,0))</f>
        <v>U</v>
      </c>
      <c r="W73" s="5" t="str">
        <f>INDEX(MCDM_Checks!$K$6:$K$3733,MATCH(A73&amp;"|"&amp;W$5,MCDM_Checks!$A$6:$A$3733,0))</f>
        <v>U</v>
      </c>
      <c r="X73" s="5" t="str">
        <f>INDEX(MCDM_Checks!$K$6:$K$3733,MATCH(A73&amp;"|"&amp;X$5,MCDM_Checks!$A$6:$A$3733,0))</f>
        <v>Y</v>
      </c>
      <c r="Y73" s="5" t="str">
        <f>INDEX(MCDM_Checks!$K$6:$K$3733,MATCH(A73&amp;"|"&amp;Y$5,MCDM_Checks!$A$6:$A$3733,0))</f>
        <v>Y</v>
      </c>
      <c r="Z73" s="5" t="str">
        <f>INDEX(MCDM_Checks!$K$6:$K$3733,MATCH(A73&amp;"|"&amp;Z$5,MCDM_Checks!$A$6:$A$3733,0))</f>
        <v>Y</v>
      </c>
      <c r="AA73" s="5" t="str">
        <f>INDEX(MCDM_Checks!$K$6:$K$3733,MATCH(A73&amp;"|"&amp;AA$5,MCDM_Checks!$A$6:$A$3733,0))</f>
        <v>U</v>
      </c>
      <c r="AB73" s="5" t="str">
        <f>INDEX(MCDM_Checks!$K$6:$K$3733,MATCH(A73&amp;"|"&amp;AB$5,MCDM_Checks!$A$6:$A$3733,0))</f>
        <v>U</v>
      </c>
      <c r="AC73" s="12">
        <f>IF(IF($D73="Unlabeled-13",MCDM_Settings!$F$6,MCDM_Settings!$D$6)=0,"n.a.",5*COUNTIF(M73:O73,"Y")/IF($D73="Unlabeled-13",MCDM_Settings!$F$6,MCDM_Settings!$D$6))</f>
        <v>5</v>
      </c>
      <c r="AD73" s="12">
        <f>IF(IF($D73="Unlabeled-13",MCDM_Settings!$F$6,MCDM_Settings!$D$6)=0,"n.a.",5*(COUNTIF(M73:O73,"Y")+COUNTIF(M73:O73,"U")+COUNTIF(M73:O73,"X"))/IF($D73="Unlabeled-13",MCDM_Settings!$F$6,MCDM_Settings!$D$6))</f>
        <v>5</v>
      </c>
      <c r="AE73" s="13">
        <f>IF(IF($D73="Unlabeled-13",MCDM_Settings!$F$6,MCDM_Settings!$D$6)=0,"n.a.",(COUNTIF(M73:O73,"Y")+COUNTIF(M73:O73,"N"))/IF($D73="Unlabeled-13",MCDM_Settings!$F$6,MCDM_Settings!$D$6))</f>
        <v>1</v>
      </c>
      <c r="AF73" s="12">
        <f>IF(IF($D73="Unlabeled-13",MCDM_Settings!$F$7,MCDM_Settings!$D$7)=0,"n.a.",5*COUNTIF(P73:R73,"Y")/IF($D73="Unlabeled-13",MCDM_Settings!$F$7,MCDM_Settings!$D$7))</f>
        <v>3.3333333333333335</v>
      </c>
      <c r="AG73" s="12">
        <f>IF(IF($D73="Unlabeled-13",MCDM_Settings!$F$7,MCDM_Settings!$D$7)=0,"n.a.",5*(COUNTIF(P73:R73,"Y")+COUNTIF(P73:R73,"U")+COUNTIF(P73:R73,"X"))/IF($D73="Unlabeled-13",MCDM_Settings!$F$7,MCDM_Settings!$D$7))</f>
        <v>5</v>
      </c>
      <c r="AH73" s="13">
        <f>IF(IF($D73="Unlabeled-13",MCDM_Settings!$F$7,MCDM_Settings!$D$7)=0,"n.a.",(COUNTIF(P73:R73,"Y")+COUNTIF(P73:R73,"N"))/IF($D73="Unlabeled-13",MCDM_Settings!$F$7,MCDM_Settings!$D$7))</f>
        <v>0.66666666666666663</v>
      </c>
      <c r="AI73" s="12">
        <f>IF(IF($D73="Unlabeled-13",MCDM_Settings!$F$8,MCDM_Settings!$D$8)=0,"n.a.",5*COUNTIF(S73:U73,"Y")/IF($D73="Unlabeled-13",MCDM_Settings!$F$8,MCDM_Settings!$D$8))</f>
        <v>1.6666666666666667</v>
      </c>
      <c r="AJ73" s="12">
        <f>IF(IF($D73="Unlabeled-13",MCDM_Settings!$F$8,MCDM_Settings!$D$8)=0,"n.a.",5*(COUNTIF(S73:U73,"Y")+COUNTIF(S73:U73,"U")+COUNTIF(S73:U73,"X"))/IF($D73="Unlabeled-13",MCDM_Settings!$F$8,MCDM_Settings!$D$8))</f>
        <v>5</v>
      </c>
      <c r="AK73" s="13">
        <f>IF(IF($D73="Unlabeled-13",MCDM_Settings!$F$8,MCDM_Settings!$D$8)=0,"n.a.",(COUNTIF(S73:U73,"Y")+COUNTIF(S73:U73,"N"))/IF($D73="Unlabeled-13",MCDM_Settings!$F$8,MCDM_Settings!$D$8))</f>
        <v>0.33333333333333331</v>
      </c>
      <c r="AL73" s="12">
        <f>IF(IF($D73="Unlabeled-13",MCDM_Settings!$F$9,MCDM_Settings!$D$9)=0,"n.a.",5*COUNTIF(V73:W73,"Y")/IF($D73="Unlabeled-13",MCDM_Settings!$F$9,MCDM_Settings!$D$9))</f>
        <v>0</v>
      </c>
      <c r="AM73" s="12">
        <f>IF(IF($D73="Unlabeled-13",MCDM_Settings!$F$9,MCDM_Settings!$D$9)=0,"n.a.",5*(COUNTIF(V73:W73,"Y")+COUNTIF(V73:W73,"U")+COUNTIF(V73:W73,"X"))/IF($D73="Unlabeled-13",MCDM_Settings!$F$9,MCDM_Settings!$D$9))</f>
        <v>5</v>
      </c>
      <c r="AN73" s="13">
        <f>IF(IF($D73="Unlabeled-13",MCDM_Settings!$F$9,MCDM_Settings!$D$9)=0,"n.a.",(COUNTIF(V73:W73,"Y")+COUNTIF(V73:W73,"N"))/IF($D73="Unlabeled-13",MCDM_Settings!$F$9,MCDM_Settings!$D$9))</f>
        <v>0</v>
      </c>
      <c r="AO73" s="12">
        <f>IF(IF($D73="Unlabeled-13",MCDM_Settings!$F$10,MCDM_Settings!$D$10)=0,"n.a.",5*COUNTIF(X73:Y73,"Y")/IF($D73="Unlabeled-13",MCDM_Settings!$F$10,MCDM_Settings!$D$10))</f>
        <v>5</v>
      </c>
      <c r="AP73" s="12">
        <f>IF(IF($D73="Unlabeled-13",MCDM_Settings!$F$10,MCDM_Settings!$D$10)=0,"n.a.",5*(COUNTIF(X73:Y73,"Y")+COUNTIF(X73:Y73,"U")+COUNTIF(X73:Y73,"X"))/IF($D73="Unlabeled-13",MCDM_Settings!$F$10,MCDM_Settings!$D$10))</f>
        <v>5</v>
      </c>
      <c r="AQ73" s="13">
        <f>IF(IF($D73="Unlabeled-13",MCDM_Settings!$F$10,MCDM_Settings!$D$10)=0,"n.a.",(COUNTIF(X73:Y73,"Y")+COUNTIF(X73:Y73,"N"))/IF($D73="Unlabeled-13",MCDM_Settings!$F$10,MCDM_Settings!$D$10))</f>
        <v>1</v>
      </c>
      <c r="AR73" s="12">
        <f>IF(IF($D73="Unlabeled-13",MCDM_Settings!$F$11,MCDM_Settings!$D$11)=0,"n.a.",5*COUNTIF(Z73:AB73,"Y")/IF($D73="Unlabeled-13",MCDM_Settings!$F$11,MCDM_Settings!$D$11))</f>
        <v>1.6666666666666667</v>
      </c>
      <c r="AS73" s="12">
        <f>IF(IF($D73="Unlabeled-13",MCDM_Settings!$F$11,MCDM_Settings!$D$11)=0,"n.a.",5*(COUNTIF(Z73:AB73,"Y")+COUNTIF(Z73:AB73,"U")+COUNTIF(Z73:AB73,"X"))/IF($D73="Unlabeled-13",MCDM_Settings!$F$11,MCDM_Settings!$D$11))</f>
        <v>5</v>
      </c>
      <c r="AT73" s="13">
        <f>IF(IF($D73="Unlabeled-13",MCDM_Settings!$F$11,MCDM_Settings!$D$11)=0,"n.a.",(COUNTIF(Z73:AB73,"Y")+COUNTIF(Z73:AB73,"N"))/IF($D73="Unlabeled-13",MCDM_Settings!$F$11,MCDM_Settings!$D$11))</f>
        <v>0.33333333333333331</v>
      </c>
      <c r="AU73" s="5" t="str">
        <f>IF(AND(INDEX(Manual_Review!$G$6:$G$238,MATCH(A73,Manual_Review!$A$6:$A$238,0))&lt;&gt;"",ISNUMBER(INDEX(Manual_Review!$H$6:$H$238,MATCH(A73,Manual_Review!$A$6:$A$238,0))),INDEX(Manual_Review!$H$6:$H$238,MATCH(A73,Manual_Review!$A$6:$A$238,0))&gt;0,INDEX(Manual_Review!$I$6:$I$238,MATCH(A73,Manual_Review!$A$6:$A$238,0))="Confirmed",INDEX(Manual_Review!$AF$6:$AF$238,MATCH(A73,Manual_Review!$A$6:$A$238,0))&lt;&gt;""),IF(INDEX(Manual_Review!$AA$6:$AA$238,MATCH(A73,Manual_Review!$A$6:$A$238,0))="Pass","Pass",IF(INDEX(Manual_Review!$AA$6:$AA$238,MATCH(A73,Manual_Review!$A$6:$A$238,0))="Fail","Fail","Pending")),"Pending human identity confirmation")</f>
        <v>Pending human identity confirmation</v>
      </c>
      <c r="AV73" s="5" t="str">
        <f>IF(AND(AND(INDEX(Manual_Review!$G$6:$G$238,MATCH(A73,Manual_Review!$A$6:$A$238,0))&lt;&gt;"",ISNUMBER(INDEX(Manual_Review!$H$6:$H$238,MATCH(A73,Manual_Review!$A$6:$A$238,0))),INDEX(Manual_Review!$H$6:$H$238,MATCH(A73,Manual_Review!$A$6:$A$238,0))&gt;0,INDEX(Manual_Review!$I$6:$I$238,MATCH(A73,Manual_Review!$A$6:$A$238,0))="Confirmed",INDEX(Manual_Review!$AF$6:$AF$238,MATCH(A73,Manual_Review!$A$6:$A$238,0))&lt;&gt;""),INDEX(Manual_Review!$AG$6:$AG$238,MATCH(A73,Manual_Review!$A$6:$A$238,0))&lt;&gt;""),IF(INDEX(Manual_Review!$AB$6:$AB$238,MATCH(A73,Manual_Review!$A$6:$A$238,0))="Pass","Pass",IF(INDEX(Manual_Review!$AB$6:$AB$238,MATCH(A73,Manual_Review!$A$6:$A$238,0))="Fail","Fail","Pending")),"Not assessed: define intended task")</f>
        <v>Not assessed: define intended task</v>
      </c>
      <c r="AW73" s="5" t="str">
        <f>IF(AND(AND(INDEX(Manual_Review!$G$6:$G$238,MATCH(A73,Manual_Review!$A$6:$A$238,0))&lt;&gt;"",ISNUMBER(INDEX(Manual_Review!$H$6:$H$238,MATCH(A73,Manual_Review!$A$6:$A$238,0))),INDEX(Manual_Review!$H$6:$H$238,MATCH(A73,Manual_Review!$A$6:$A$238,0))&gt;0,INDEX(Manual_Review!$I$6:$I$238,MATCH(A73,Manual_Review!$A$6:$A$238,0))="Confirmed",INDEX(Manual_Review!$AF$6:$AF$238,MATCH(A73,Manual_Review!$A$6:$A$238,0))&lt;&gt;""),INDEX(Manual_Review!$AG$6:$AG$238,MATCH(A73,Manual_Review!$A$6:$A$238,0))&lt;&gt;""),IF(OR(INDEX(Manual_Review!$AC$6:$AC$238,MATCH(A73,Manual_Review!$A$6:$A$238,0))="Fail",INDEX(Manual_Review!$AD$6:$AD$238,MATCH(A73,Manual_Review!$A$6:$A$238,0))="Fail"),"Fail: rights or retrieval",IF(AND(INDEX(Manual_Review!$AC$6:$AC$238,MATCH(A73,Manual_Review!$A$6:$A$238,0))="Pass",INDEX(Manual_Review!$AD$6:$AD$238,MATCH(A73,Manual_Review!$A$6:$A$238,0))="Pass"),"Pass","Pending rights and retrieval")),"Pending rights and retrieval")</f>
        <v>Pending rights and retrieval</v>
      </c>
      <c r="AX73" s="5" t="str">
        <f>IF(INDEX(Manual_Review!$AG$6:$AG$238,MATCH(A73,Manual_Review!$A$6:$A$238,0))="","N/A: documentation inventory",IF(AND(INDEX(Manual_Review!$G$6:$G$238,MATCH(A73,Manual_Review!$A$6:$A$238,0))&lt;&gt;"",ISNUMBER(INDEX(Manual_Review!$H$6:$H$238,MATCH(A73,Manual_Review!$A$6:$A$238,0))),INDEX(Manual_Review!$H$6:$H$238,MATCH(A73,Manual_Review!$A$6:$A$238,0))&gt;0,INDEX(Manual_Review!$I$6:$I$238,MATCH(A73,Manual_Review!$A$6:$A$238,0))="Confirmed",INDEX(Manual_Review!$AF$6:$AF$238,MATCH(A73,Manual_Review!$A$6:$A$238,0))&lt;&gt;""),IF(INDEX(Manual_Review!$AE$6:$AE$238,MATCH(A73,Manual_Review!$A$6:$A$238,0))="Pass","Pass",IF(INDEX(Manual_Review!$AE$6:$AE$238,MATCH(A73,Manual_Review!$A$6:$A$238,0))="Fail","Fail: benchmark leakage",IF(INDEX(Manual_Review!$AE$6:$AE$238,MATCH(A73,Manual_Review!$A$6:$A$238,0))="N/A","N/A: nonbenchmark task","Pending task-specific leakage check"))),"Pending task-specific leakage check"))</f>
        <v>N/A: documentation inventory</v>
      </c>
      <c r="AY73" s="5" t="str">
        <f>IF(IF(D73="Unlabeled-13",AND(ABS(MCDM_Settings!$D$14-1)&lt;0.0000001,MIN(MCDM_Settings!$E$6:$E$11)&gt;=0,MCDM_Settings!$E$7=0),AND(ABS(MCDM_Settings!$B$14-1)&lt;0.0000001,MIN(MCDM_Settings!$C$6:$C$11)&gt;=0)),"Valid","Check weights")</f>
        <v>Valid</v>
      </c>
      <c r="AZ73" s="5" t="str">
        <f>IF(AND(COUNTIF(MCDM_Checks!$B$6:$B$3733,A73)=16,COUNTIF(Manual_Review!$A$6:$A$238,A73)=1),"16 keys present","Check key count")</f>
        <v>16 keys present</v>
      </c>
    </row>
    <row r="74" spans="1:52">
      <c r="A74" s="5" t="s">
        <v>865</v>
      </c>
      <c r="B74" s="5" t="s">
        <v>866</v>
      </c>
      <c r="C74" s="5"/>
      <c r="D74" s="5" t="s">
        <v>118</v>
      </c>
      <c r="E74" s="12">
        <f>IF(OR(AY74&lt;&gt;"Valid",AZ74&lt;&gt;"16 keys present"),"Review settings",20*(IF(ISNUMBER(AC74),AC74*IF($D74="Unlabeled-13",MCDM_Settings!$E$6,MCDM_Settings!$C$6),0)+IF(ISNUMBER(AF74),AF74*IF($D74="Unlabeled-13",MCDM_Settings!$E$7,MCDM_Settings!$C$7),0)+IF(ISNUMBER(AI74),AI74*IF($D74="Unlabeled-13",MCDM_Settings!$E$8,MCDM_Settings!$C$8),0)+IF(ISNUMBER(AL74),AL74*IF($D74="Unlabeled-13",MCDM_Settings!$E$9,MCDM_Settings!$C$9),0)+IF(ISNUMBER(AO74),AO74*IF($D74="Unlabeled-13",MCDM_Settings!$E$10,MCDM_Settings!$C$10),0)+IF(ISNUMBER(AR74),AR74*IF($D74="Unlabeled-13",MCDM_Settings!$E$11,MCDM_Settings!$C$11),0)))</f>
        <v>30.555555555555554</v>
      </c>
      <c r="F74" s="12">
        <f>IF(OR(AY74&lt;&gt;"Valid",AZ74&lt;&gt;"16 keys present"),"Review settings",20*(IF(ISNUMBER(AD74),AD74*IF($D74="Unlabeled-13",MCDM_Settings!$E$6,MCDM_Settings!$C$6),0)+IF(ISNUMBER(AG74),AG74*IF($D74="Unlabeled-13",MCDM_Settings!$E$7,MCDM_Settings!$C$7),0)+IF(ISNUMBER(AJ74),AJ74*IF($D74="Unlabeled-13",MCDM_Settings!$E$8,MCDM_Settings!$C$8),0)+IF(ISNUMBER(AM74),AM74*IF($D74="Unlabeled-13",MCDM_Settings!$E$9,MCDM_Settings!$C$9),0)+IF(ISNUMBER(AP74),AP74*IF($D74="Unlabeled-13",MCDM_Settings!$E$10,MCDM_Settings!$C$10),0)+IF(ISNUMBER(AS74),AS74*IF($D74="Unlabeled-13",MCDM_Settings!$E$11,MCDM_Settings!$C$11),0)))</f>
        <v>99.999999999999986</v>
      </c>
      <c r="G74" s="13">
        <f>IF(OR(AY74&lt;&gt;"Valid",AZ74&lt;&gt;"16 keys present"),"Review settings",1*(IF(ISNUMBER(AE74),AE74*IF($D74="Unlabeled-13",MCDM_Settings!$E$6,MCDM_Settings!$C$6),0)+IF(ISNUMBER(AH74),AH74*IF($D74="Unlabeled-13",MCDM_Settings!$E$7,MCDM_Settings!$C$7),0)+IF(ISNUMBER(AK74),AK74*IF($D74="Unlabeled-13",MCDM_Settings!$E$8,MCDM_Settings!$C$8),0)+IF(ISNUMBER(AN74),AN74*IF($D74="Unlabeled-13",MCDM_Settings!$E$9,MCDM_Settings!$C$9),0)+IF(ISNUMBER(AQ74),AQ74*IF($D74="Unlabeled-13",MCDM_Settings!$E$10,MCDM_Settings!$C$10),0)+IF(ISNUMBER(AT74),AT74*IF($D74="Unlabeled-13",MCDM_Settings!$E$11,MCDM_Settings!$C$11),0)))</f>
        <v>0.30555555555555558</v>
      </c>
      <c r="H74" s="5" t="str">
        <f>INDEX(Manual_Review!$AH$6:$AH$238,MATCH(A74,Manual_Review!$A$6:$A$238,0))</f>
        <v>Not started</v>
      </c>
      <c r="I74" s="5" t="s">
        <v>128</v>
      </c>
      <c r="J74" s="5" t="s">
        <v>867</v>
      </c>
      <c r="K74" s="5" t="str">
        <f>HYPERLINK("https://data.mendeley.com/datasets/s5hx9n2jc3/2","Dataset")</f>
        <v>Dataset</v>
      </c>
      <c r="L74" s="5" t="str">
        <f>HYPERLINK("#'Manual_Review'!A"&amp;(MATCH("DS-069",Manual_Review!$A$6:$A$238,0)+5),"Enter review")</f>
        <v>Enter review</v>
      </c>
      <c r="M74" s="5" t="str">
        <f>INDEX(MCDM_Checks!$K$6:$K$3733,MATCH(A74&amp;"|"&amp;M$5,MCDM_Checks!$A$6:$A$3733,0))</f>
        <v>Y</v>
      </c>
      <c r="N74" s="5" t="str">
        <f>INDEX(MCDM_Checks!$K$6:$K$3733,MATCH(A74&amp;"|"&amp;N$5,MCDM_Checks!$A$6:$A$3733,0))</f>
        <v>Y</v>
      </c>
      <c r="O74" s="5" t="str">
        <f>INDEX(MCDM_Checks!$K$6:$K$3733,MATCH(A74&amp;"|"&amp;O$5,MCDM_Checks!$A$6:$A$3733,0))</f>
        <v>X</v>
      </c>
      <c r="P74" s="5" t="str">
        <f>INDEX(MCDM_Checks!$K$6:$K$3733,MATCH(A74&amp;"|"&amp;P$5,MCDM_Checks!$A$6:$A$3733,0))</f>
        <v>Y</v>
      </c>
      <c r="Q74" s="5" t="str">
        <f>INDEX(MCDM_Checks!$K$6:$K$3733,MATCH(A74&amp;"|"&amp;Q$5,MCDM_Checks!$A$6:$A$3733,0))</f>
        <v>U</v>
      </c>
      <c r="R74" s="5" t="str">
        <f>INDEX(MCDM_Checks!$K$6:$K$3733,MATCH(A74&amp;"|"&amp;R$5,MCDM_Checks!$A$6:$A$3733,0))</f>
        <v>U</v>
      </c>
      <c r="S74" s="5" t="str">
        <f>INDEX(MCDM_Checks!$K$6:$K$3733,MATCH(A74&amp;"|"&amp;S$5,MCDM_Checks!$A$6:$A$3733,0))</f>
        <v>U</v>
      </c>
      <c r="T74" s="5" t="str">
        <f>INDEX(MCDM_Checks!$K$6:$K$3733,MATCH(A74&amp;"|"&amp;T$5,MCDM_Checks!$A$6:$A$3733,0))</f>
        <v>U</v>
      </c>
      <c r="U74" s="5" t="str">
        <f>INDEX(MCDM_Checks!$K$6:$K$3733,MATCH(A74&amp;"|"&amp;U$5,MCDM_Checks!$A$6:$A$3733,0))</f>
        <v>U</v>
      </c>
      <c r="V74" s="5" t="str">
        <f>INDEX(MCDM_Checks!$K$6:$K$3733,MATCH(A74&amp;"|"&amp;V$5,MCDM_Checks!$A$6:$A$3733,0))</f>
        <v>U</v>
      </c>
      <c r="W74" s="5" t="str">
        <f>INDEX(MCDM_Checks!$K$6:$K$3733,MATCH(A74&amp;"|"&amp;W$5,MCDM_Checks!$A$6:$A$3733,0))</f>
        <v>U</v>
      </c>
      <c r="X74" s="5" t="str">
        <f>INDEX(MCDM_Checks!$K$6:$K$3733,MATCH(A74&amp;"|"&amp;X$5,MCDM_Checks!$A$6:$A$3733,0))</f>
        <v>U</v>
      </c>
      <c r="Y74" s="5" t="str">
        <f>INDEX(MCDM_Checks!$K$6:$K$3733,MATCH(A74&amp;"|"&amp;Y$5,MCDM_Checks!$A$6:$A$3733,0))</f>
        <v>Y</v>
      </c>
      <c r="Z74" s="5" t="str">
        <f>INDEX(MCDM_Checks!$K$6:$K$3733,MATCH(A74&amp;"|"&amp;Z$5,MCDM_Checks!$A$6:$A$3733,0))</f>
        <v>U</v>
      </c>
      <c r="AA74" s="5" t="str">
        <f>INDEX(MCDM_Checks!$K$6:$K$3733,MATCH(A74&amp;"|"&amp;AA$5,MCDM_Checks!$A$6:$A$3733,0))</f>
        <v>U</v>
      </c>
      <c r="AB74" s="5" t="str">
        <f>INDEX(MCDM_Checks!$K$6:$K$3733,MATCH(A74&amp;"|"&amp;AB$5,MCDM_Checks!$A$6:$A$3733,0))</f>
        <v>Y</v>
      </c>
      <c r="AC74" s="12">
        <f>IF(IF($D74="Unlabeled-13",MCDM_Settings!$F$6,MCDM_Settings!$D$6)=0,"n.a.",5*COUNTIF(M74:O74,"Y")/IF($D74="Unlabeled-13",MCDM_Settings!$F$6,MCDM_Settings!$D$6))</f>
        <v>3.3333333333333335</v>
      </c>
      <c r="AD74" s="12">
        <f>IF(IF($D74="Unlabeled-13",MCDM_Settings!$F$6,MCDM_Settings!$D$6)=0,"n.a.",5*(COUNTIF(M74:O74,"Y")+COUNTIF(M74:O74,"U")+COUNTIF(M74:O74,"X"))/IF($D74="Unlabeled-13",MCDM_Settings!$F$6,MCDM_Settings!$D$6))</f>
        <v>5</v>
      </c>
      <c r="AE74" s="13">
        <f>IF(IF($D74="Unlabeled-13",MCDM_Settings!$F$6,MCDM_Settings!$D$6)=0,"n.a.",(COUNTIF(M74:O74,"Y")+COUNTIF(M74:O74,"N"))/IF($D74="Unlabeled-13",MCDM_Settings!$F$6,MCDM_Settings!$D$6))</f>
        <v>0.66666666666666663</v>
      </c>
      <c r="AF74" s="12">
        <f>IF(IF($D74="Unlabeled-13",MCDM_Settings!$F$7,MCDM_Settings!$D$7)=0,"n.a.",5*COUNTIF(P74:R74,"Y")/IF($D74="Unlabeled-13",MCDM_Settings!$F$7,MCDM_Settings!$D$7))</f>
        <v>1.6666666666666667</v>
      </c>
      <c r="AG74" s="12">
        <f>IF(IF($D74="Unlabeled-13",MCDM_Settings!$F$7,MCDM_Settings!$D$7)=0,"n.a.",5*(COUNTIF(P74:R74,"Y")+COUNTIF(P74:R74,"U")+COUNTIF(P74:R74,"X"))/IF($D74="Unlabeled-13",MCDM_Settings!$F$7,MCDM_Settings!$D$7))</f>
        <v>5</v>
      </c>
      <c r="AH74" s="13">
        <f>IF(IF($D74="Unlabeled-13",MCDM_Settings!$F$7,MCDM_Settings!$D$7)=0,"n.a.",(COUNTIF(P74:R74,"Y")+COUNTIF(P74:R74,"N"))/IF($D74="Unlabeled-13",MCDM_Settings!$F$7,MCDM_Settings!$D$7))</f>
        <v>0.33333333333333331</v>
      </c>
      <c r="AI74" s="12">
        <f>IF(IF($D74="Unlabeled-13",MCDM_Settings!$F$8,MCDM_Settings!$D$8)=0,"n.a.",5*COUNTIF(S74:U74,"Y")/IF($D74="Unlabeled-13",MCDM_Settings!$F$8,MCDM_Settings!$D$8))</f>
        <v>0</v>
      </c>
      <c r="AJ74" s="12">
        <f>IF(IF($D74="Unlabeled-13",MCDM_Settings!$F$8,MCDM_Settings!$D$8)=0,"n.a.",5*(COUNTIF(S74:U74,"Y")+COUNTIF(S74:U74,"U")+COUNTIF(S74:U74,"X"))/IF($D74="Unlabeled-13",MCDM_Settings!$F$8,MCDM_Settings!$D$8))</f>
        <v>5</v>
      </c>
      <c r="AK74" s="13">
        <f>IF(IF($D74="Unlabeled-13",MCDM_Settings!$F$8,MCDM_Settings!$D$8)=0,"n.a.",(COUNTIF(S74:U74,"Y")+COUNTIF(S74:U74,"N"))/IF($D74="Unlabeled-13",MCDM_Settings!$F$8,MCDM_Settings!$D$8))</f>
        <v>0</v>
      </c>
      <c r="AL74" s="12">
        <f>IF(IF($D74="Unlabeled-13",MCDM_Settings!$F$9,MCDM_Settings!$D$9)=0,"n.a.",5*COUNTIF(V74:W74,"Y")/IF($D74="Unlabeled-13",MCDM_Settings!$F$9,MCDM_Settings!$D$9))</f>
        <v>0</v>
      </c>
      <c r="AM74" s="12">
        <f>IF(IF($D74="Unlabeled-13",MCDM_Settings!$F$9,MCDM_Settings!$D$9)=0,"n.a.",5*(COUNTIF(V74:W74,"Y")+COUNTIF(V74:W74,"U")+COUNTIF(V74:W74,"X"))/IF($D74="Unlabeled-13",MCDM_Settings!$F$9,MCDM_Settings!$D$9))</f>
        <v>5</v>
      </c>
      <c r="AN74" s="13">
        <f>IF(IF($D74="Unlabeled-13",MCDM_Settings!$F$9,MCDM_Settings!$D$9)=0,"n.a.",(COUNTIF(V74:W74,"Y")+COUNTIF(V74:W74,"N"))/IF($D74="Unlabeled-13",MCDM_Settings!$F$9,MCDM_Settings!$D$9))</f>
        <v>0</v>
      </c>
      <c r="AO74" s="12">
        <f>IF(IF($D74="Unlabeled-13",MCDM_Settings!$F$10,MCDM_Settings!$D$10)=0,"n.a.",5*COUNTIF(X74:Y74,"Y")/IF($D74="Unlabeled-13",MCDM_Settings!$F$10,MCDM_Settings!$D$10))</f>
        <v>2.5</v>
      </c>
      <c r="AP74" s="12">
        <f>IF(IF($D74="Unlabeled-13",MCDM_Settings!$F$10,MCDM_Settings!$D$10)=0,"n.a.",5*(COUNTIF(X74:Y74,"Y")+COUNTIF(X74:Y74,"U")+COUNTIF(X74:Y74,"X"))/IF($D74="Unlabeled-13",MCDM_Settings!$F$10,MCDM_Settings!$D$10))</f>
        <v>5</v>
      </c>
      <c r="AQ74" s="13">
        <f>IF(IF($D74="Unlabeled-13",MCDM_Settings!$F$10,MCDM_Settings!$D$10)=0,"n.a.",(COUNTIF(X74:Y74,"Y")+COUNTIF(X74:Y74,"N"))/IF($D74="Unlabeled-13",MCDM_Settings!$F$10,MCDM_Settings!$D$10))</f>
        <v>0.5</v>
      </c>
      <c r="AR74" s="12">
        <f>IF(IF($D74="Unlabeled-13",MCDM_Settings!$F$11,MCDM_Settings!$D$11)=0,"n.a.",5*COUNTIF(Z74:AB74,"Y")/IF($D74="Unlabeled-13",MCDM_Settings!$F$11,MCDM_Settings!$D$11))</f>
        <v>1.6666666666666667</v>
      </c>
      <c r="AS74" s="12">
        <f>IF(IF($D74="Unlabeled-13",MCDM_Settings!$F$11,MCDM_Settings!$D$11)=0,"n.a.",5*(COUNTIF(Z74:AB74,"Y")+COUNTIF(Z74:AB74,"U")+COUNTIF(Z74:AB74,"X"))/IF($D74="Unlabeled-13",MCDM_Settings!$F$11,MCDM_Settings!$D$11))</f>
        <v>5</v>
      </c>
      <c r="AT74" s="13">
        <f>IF(IF($D74="Unlabeled-13",MCDM_Settings!$F$11,MCDM_Settings!$D$11)=0,"n.a.",(COUNTIF(Z74:AB74,"Y")+COUNTIF(Z74:AB74,"N"))/IF($D74="Unlabeled-13",MCDM_Settings!$F$11,MCDM_Settings!$D$11))</f>
        <v>0.33333333333333331</v>
      </c>
      <c r="AU74" s="5" t="str">
        <f>IF(AND(INDEX(Manual_Review!$G$6:$G$238,MATCH(A74,Manual_Review!$A$6:$A$238,0))&lt;&gt;"",ISNUMBER(INDEX(Manual_Review!$H$6:$H$238,MATCH(A74,Manual_Review!$A$6:$A$238,0))),INDEX(Manual_Review!$H$6:$H$238,MATCH(A74,Manual_Review!$A$6:$A$238,0))&gt;0,INDEX(Manual_Review!$I$6:$I$238,MATCH(A74,Manual_Review!$A$6:$A$238,0))="Confirmed",INDEX(Manual_Review!$AF$6:$AF$238,MATCH(A74,Manual_Review!$A$6:$A$238,0))&lt;&gt;""),IF(INDEX(Manual_Review!$AA$6:$AA$238,MATCH(A74,Manual_Review!$A$6:$A$238,0))="Pass","Pass",IF(INDEX(Manual_Review!$AA$6:$AA$238,MATCH(A74,Manual_Review!$A$6:$A$238,0))="Fail","Fail","Pending")),"Pending human identity confirmation")</f>
        <v>Pending human identity confirmation</v>
      </c>
      <c r="AV74" s="5" t="str">
        <f>IF(AND(AND(INDEX(Manual_Review!$G$6:$G$238,MATCH(A74,Manual_Review!$A$6:$A$238,0))&lt;&gt;"",ISNUMBER(INDEX(Manual_Review!$H$6:$H$238,MATCH(A74,Manual_Review!$A$6:$A$238,0))),INDEX(Manual_Review!$H$6:$H$238,MATCH(A74,Manual_Review!$A$6:$A$238,0))&gt;0,INDEX(Manual_Review!$I$6:$I$238,MATCH(A74,Manual_Review!$A$6:$A$238,0))="Confirmed",INDEX(Manual_Review!$AF$6:$AF$238,MATCH(A74,Manual_Review!$A$6:$A$238,0))&lt;&gt;""),INDEX(Manual_Review!$AG$6:$AG$238,MATCH(A74,Manual_Review!$A$6:$A$238,0))&lt;&gt;""),IF(INDEX(Manual_Review!$AB$6:$AB$238,MATCH(A74,Manual_Review!$A$6:$A$238,0))="Pass","Pass",IF(INDEX(Manual_Review!$AB$6:$AB$238,MATCH(A74,Manual_Review!$A$6:$A$238,0))="Fail","Fail","Pending")),"Not assessed: define intended task")</f>
        <v>Not assessed: define intended task</v>
      </c>
      <c r="AW74" s="5" t="str">
        <f>IF(AND(AND(INDEX(Manual_Review!$G$6:$G$238,MATCH(A74,Manual_Review!$A$6:$A$238,0))&lt;&gt;"",ISNUMBER(INDEX(Manual_Review!$H$6:$H$238,MATCH(A74,Manual_Review!$A$6:$A$238,0))),INDEX(Manual_Review!$H$6:$H$238,MATCH(A74,Manual_Review!$A$6:$A$238,0))&gt;0,INDEX(Manual_Review!$I$6:$I$238,MATCH(A74,Manual_Review!$A$6:$A$238,0))="Confirmed",INDEX(Manual_Review!$AF$6:$AF$238,MATCH(A74,Manual_Review!$A$6:$A$238,0))&lt;&gt;""),INDEX(Manual_Review!$AG$6:$AG$238,MATCH(A74,Manual_Review!$A$6:$A$238,0))&lt;&gt;""),IF(OR(INDEX(Manual_Review!$AC$6:$AC$238,MATCH(A74,Manual_Review!$A$6:$A$238,0))="Fail",INDEX(Manual_Review!$AD$6:$AD$238,MATCH(A74,Manual_Review!$A$6:$A$238,0))="Fail"),"Fail: rights or retrieval",IF(AND(INDEX(Manual_Review!$AC$6:$AC$238,MATCH(A74,Manual_Review!$A$6:$A$238,0))="Pass",INDEX(Manual_Review!$AD$6:$AD$238,MATCH(A74,Manual_Review!$A$6:$A$238,0))="Pass"),"Pass","Pending rights and retrieval")),"Pending rights and retrieval")</f>
        <v>Pending rights and retrieval</v>
      </c>
      <c r="AX74" s="5" t="str">
        <f>IF(INDEX(Manual_Review!$AG$6:$AG$238,MATCH(A74,Manual_Review!$A$6:$A$238,0))="","N/A: documentation inventory",IF(AND(INDEX(Manual_Review!$G$6:$G$238,MATCH(A74,Manual_Review!$A$6:$A$238,0))&lt;&gt;"",ISNUMBER(INDEX(Manual_Review!$H$6:$H$238,MATCH(A74,Manual_Review!$A$6:$A$238,0))),INDEX(Manual_Review!$H$6:$H$238,MATCH(A74,Manual_Review!$A$6:$A$238,0))&gt;0,INDEX(Manual_Review!$I$6:$I$238,MATCH(A74,Manual_Review!$A$6:$A$238,0))="Confirmed",INDEX(Manual_Review!$AF$6:$AF$238,MATCH(A74,Manual_Review!$A$6:$A$238,0))&lt;&gt;""),IF(INDEX(Manual_Review!$AE$6:$AE$238,MATCH(A74,Manual_Review!$A$6:$A$238,0))="Pass","Pass",IF(INDEX(Manual_Review!$AE$6:$AE$238,MATCH(A74,Manual_Review!$A$6:$A$238,0))="Fail","Fail: benchmark leakage",IF(INDEX(Manual_Review!$AE$6:$AE$238,MATCH(A74,Manual_Review!$A$6:$A$238,0))="N/A","N/A: nonbenchmark task","Pending task-specific leakage check"))),"Pending task-specific leakage check"))</f>
        <v>N/A: documentation inventory</v>
      </c>
      <c r="AY74" s="5" t="str">
        <f>IF(IF(D74="Unlabeled-13",AND(ABS(MCDM_Settings!$D$14-1)&lt;0.0000001,MIN(MCDM_Settings!$E$6:$E$11)&gt;=0,MCDM_Settings!$E$7=0),AND(ABS(MCDM_Settings!$B$14-1)&lt;0.0000001,MIN(MCDM_Settings!$C$6:$C$11)&gt;=0)),"Valid","Check weights")</f>
        <v>Valid</v>
      </c>
      <c r="AZ74" s="5" t="str">
        <f>IF(AND(COUNTIF(MCDM_Checks!$B$6:$B$3733,A74)=16,COUNTIF(Manual_Review!$A$6:$A$238,A74)=1),"16 keys present","Check key count")</f>
        <v>16 keys present</v>
      </c>
    </row>
    <row r="75" spans="1:52" ht="25.5">
      <c r="A75" s="5" t="s">
        <v>876</v>
      </c>
      <c r="B75" s="5" t="s">
        <v>877</v>
      </c>
      <c r="C75" s="5"/>
      <c r="D75" s="5" t="s">
        <v>118</v>
      </c>
      <c r="E75" s="12">
        <f>IF(OR(AY75&lt;&gt;"Valid",AZ75&lt;&gt;"16 keys present"),"Review settings",20*(IF(ISNUMBER(AC75),AC75*IF($D75="Unlabeled-13",MCDM_Settings!$E$6,MCDM_Settings!$C$6),0)+IF(ISNUMBER(AF75),AF75*IF($D75="Unlabeled-13",MCDM_Settings!$E$7,MCDM_Settings!$C$7),0)+IF(ISNUMBER(AI75),AI75*IF($D75="Unlabeled-13",MCDM_Settings!$E$8,MCDM_Settings!$C$8),0)+IF(ISNUMBER(AL75),AL75*IF($D75="Unlabeled-13",MCDM_Settings!$E$9,MCDM_Settings!$C$9),0)+IF(ISNUMBER(AO75),AO75*IF($D75="Unlabeled-13",MCDM_Settings!$E$10,MCDM_Settings!$C$10),0)+IF(ISNUMBER(AR75),AR75*IF($D75="Unlabeled-13",MCDM_Settings!$E$11,MCDM_Settings!$C$11),0)))</f>
        <v>55.555555555555557</v>
      </c>
      <c r="F75" s="12">
        <f>IF(OR(AY75&lt;&gt;"Valid",AZ75&lt;&gt;"16 keys present"),"Review settings",20*(IF(ISNUMBER(AD75),AD75*IF($D75="Unlabeled-13",MCDM_Settings!$E$6,MCDM_Settings!$C$6),0)+IF(ISNUMBER(AG75),AG75*IF($D75="Unlabeled-13",MCDM_Settings!$E$7,MCDM_Settings!$C$7),0)+IF(ISNUMBER(AJ75),AJ75*IF($D75="Unlabeled-13",MCDM_Settings!$E$8,MCDM_Settings!$C$8),0)+IF(ISNUMBER(AM75),AM75*IF($D75="Unlabeled-13",MCDM_Settings!$E$9,MCDM_Settings!$C$9),0)+IF(ISNUMBER(AP75),AP75*IF($D75="Unlabeled-13",MCDM_Settings!$E$10,MCDM_Settings!$C$10),0)+IF(ISNUMBER(AS75),AS75*IF($D75="Unlabeled-13",MCDM_Settings!$E$11,MCDM_Settings!$C$11),0)))</f>
        <v>99.999999999999986</v>
      </c>
      <c r="G75" s="13">
        <f>IF(OR(AY75&lt;&gt;"Valid",AZ75&lt;&gt;"16 keys present"),"Review settings",1*(IF(ISNUMBER(AE75),AE75*IF($D75="Unlabeled-13",MCDM_Settings!$E$6,MCDM_Settings!$C$6),0)+IF(ISNUMBER(AH75),AH75*IF($D75="Unlabeled-13",MCDM_Settings!$E$7,MCDM_Settings!$C$7),0)+IF(ISNUMBER(AK75),AK75*IF($D75="Unlabeled-13",MCDM_Settings!$E$8,MCDM_Settings!$C$8),0)+IF(ISNUMBER(AN75),AN75*IF($D75="Unlabeled-13",MCDM_Settings!$E$9,MCDM_Settings!$C$9),0)+IF(ISNUMBER(AQ75),AQ75*IF($D75="Unlabeled-13",MCDM_Settings!$E$10,MCDM_Settings!$C$10),0)+IF(ISNUMBER(AT75),AT75*IF($D75="Unlabeled-13",MCDM_Settings!$E$11,MCDM_Settings!$C$11),0)))</f>
        <v>0.55555555555555558</v>
      </c>
      <c r="H75" s="5" t="str">
        <f>INDEX(Manual_Review!$AH$6:$AH$238,MATCH(A75,Manual_Review!$A$6:$A$238,0))</f>
        <v>Not started</v>
      </c>
      <c r="I75" s="5" t="s">
        <v>128</v>
      </c>
      <c r="J75" s="5" t="s">
        <v>664</v>
      </c>
      <c r="K75" s="5" t="str">
        <f>HYPERLINK("https://data.mendeley.com/datasets/697w4jkr2x/2","Dataset")</f>
        <v>Dataset</v>
      </c>
      <c r="L75" s="5" t="str">
        <f>HYPERLINK("#'Manual_Review'!A"&amp;(MATCH("DS-070",Manual_Review!$A$6:$A$238,0)+5),"Enter review")</f>
        <v>Enter review</v>
      </c>
      <c r="M75" s="5" t="str">
        <f>INDEX(MCDM_Checks!$K$6:$K$3733,MATCH(A75&amp;"|"&amp;M$5,MCDM_Checks!$A$6:$A$3733,0))</f>
        <v>Y</v>
      </c>
      <c r="N75" s="5" t="str">
        <f>INDEX(MCDM_Checks!$K$6:$K$3733,MATCH(A75&amp;"|"&amp;N$5,MCDM_Checks!$A$6:$A$3733,0))</f>
        <v>Y</v>
      </c>
      <c r="O75" s="5" t="str">
        <f>INDEX(MCDM_Checks!$K$6:$K$3733,MATCH(A75&amp;"|"&amp;O$5,MCDM_Checks!$A$6:$A$3733,0))</f>
        <v>Y</v>
      </c>
      <c r="P75" s="5" t="str">
        <f>INDEX(MCDM_Checks!$K$6:$K$3733,MATCH(A75&amp;"|"&amp;P$5,MCDM_Checks!$A$6:$A$3733,0))</f>
        <v>Y</v>
      </c>
      <c r="Q75" s="5" t="str">
        <f>INDEX(MCDM_Checks!$K$6:$K$3733,MATCH(A75&amp;"|"&amp;Q$5,MCDM_Checks!$A$6:$A$3733,0))</f>
        <v>U</v>
      </c>
      <c r="R75" s="5" t="str">
        <f>INDEX(MCDM_Checks!$K$6:$K$3733,MATCH(A75&amp;"|"&amp;R$5,MCDM_Checks!$A$6:$A$3733,0))</f>
        <v>U</v>
      </c>
      <c r="S75" s="5" t="str">
        <f>INDEX(MCDM_Checks!$K$6:$K$3733,MATCH(A75&amp;"|"&amp;S$5,MCDM_Checks!$A$6:$A$3733,0))</f>
        <v>Y</v>
      </c>
      <c r="T75" s="5" t="str">
        <f>INDEX(MCDM_Checks!$K$6:$K$3733,MATCH(A75&amp;"|"&amp;T$5,MCDM_Checks!$A$6:$A$3733,0))</f>
        <v>U</v>
      </c>
      <c r="U75" s="5" t="str">
        <f>INDEX(MCDM_Checks!$K$6:$K$3733,MATCH(A75&amp;"|"&amp;U$5,MCDM_Checks!$A$6:$A$3733,0))</f>
        <v>U</v>
      </c>
      <c r="V75" s="5" t="str">
        <f>INDEX(MCDM_Checks!$K$6:$K$3733,MATCH(A75&amp;"|"&amp;V$5,MCDM_Checks!$A$6:$A$3733,0))</f>
        <v>Y</v>
      </c>
      <c r="W75" s="5" t="str">
        <f>INDEX(MCDM_Checks!$K$6:$K$3733,MATCH(A75&amp;"|"&amp;W$5,MCDM_Checks!$A$6:$A$3733,0))</f>
        <v>Y</v>
      </c>
      <c r="X75" s="5" t="str">
        <f>INDEX(MCDM_Checks!$K$6:$K$3733,MATCH(A75&amp;"|"&amp;X$5,MCDM_Checks!$A$6:$A$3733,0))</f>
        <v>U</v>
      </c>
      <c r="Y75" s="5" t="str">
        <f>INDEX(MCDM_Checks!$K$6:$K$3733,MATCH(A75&amp;"|"&amp;Y$5,MCDM_Checks!$A$6:$A$3733,0))</f>
        <v>U</v>
      </c>
      <c r="Z75" s="5" t="str">
        <f>INDEX(MCDM_Checks!$K$6:$K$3733,MATCH(A75&amp;"|"&amp;Z$5,MCDM_Checks!$A$6:$A$3733,0))</f>
        <v>U</v>
      </c>
      <c r="AA75" s="5" t="str">
        <f>INDEX(MCDM_Checks!$K$6:$K$3733,MATCH(A75&amp;"|"&amp;AA$5,MCDM_Checks!$A$6:$A$3733,0))</f>
        <v>Y</v>
      </c>
      <c r="AB75" s="5" t="str">
        <f>INDEX(MCDM_Checks!$K$6:$K$3733,MATCH(A75&amp;"|"&amp;AB$5,MCDM_Checks!$A$6:$A$3733,0))</f>
        <v>Y</v>
      </c>
      <c r="AC75" s="12">
        <f>IF(IF($D75="Unlabeled-13",MCDM_Settings!$F$6,MCDM_Settings!$D$6)=0,"n.a.",5*COUNTIF(M75:O75,"Y")/IF($D75="Unlabeled-13",MCDM_Settings!$F$6,MCDM_Settings!$D$6))</f>
        <v>5</v>
      </c>
      <c r="AD75" s="12">
        <f>IF(IF($D75="Unlabeled-13",MCDM_Settings!$F$6,MCDM_Settings!$D$6)=0,"n.a.",5*(COUNTIF(M75:O75,"Y")+COUNTIF(M75:O75,"U")+COUNTIF(M75:O75,"X"))/IF($D75="Unlabeled-13",MCDM_Settings!$F$6,MCDM_Settings!$D$6))</f>
        <v>5</v>
      </c>
      <c r="AE75" s="13">
        <f>IF(IF($D75="Unlabeled-13",MCDM_Settings!$F$6,MCDM_Settings!$D$6)=0,"n.a.",(COUNTIF(M75:O75,"Y")+COUNTIF(M75:O75,"N"))/IF($D75="Unlabeled-13",MCDM_Settings!$F$6,MCDM_Settings!$D$6))</f>
        <v>1</v>
      </c>
      <c r="AF75" s="12">
        <f>IF(IF($D75="Unlabeled-13",MCDM_Settings!$F$7,MCDM_Settings!$D$7)=0,"n.a.",5*COUNTIF(P75:R75,"Y")/IF($D75="Unlabeled-13",MCDM_Settings!$F$7,MCDM_Settings!$D$7))</f>
        <v>1.6666666666666667</v>
      </c>
      <c r="AG75" s="12">
        <f>IF(IF($D75="Unlabeled-13",MCDM_Settings!$F$7,MCDM_Settings!$D$7)=0,"n.a.",5*(COUNTIF(P75:R75,"Y")+COUNTIF(P75:R75,"U")+COUNTIF(P75:R75,"X"))/IF($D75="Unlabeled-13",MCDM_Settings!$F$7,MCDM_Settings!$D$7))</f>
        <v>5</v>
      </c>
      <c r="AH75" s="13">
        <f>IF(IF($D75="Unlabeled-13",MCDM_Settings!$F$7,MCDM_Settings!$D$7)=0,"n.a.",(COUNTIF(P75:R75,"Y")+COUNTIF(P75:R75,"N"))/IF($D75="Unlabeled-13",MCDM_Settings!$F$7,MCDM_Settings!$D$7))</f>
        <v>0.33333333333333331</v>
      </c>
      <c r="AI75" s="12">
        <f>IF(IF($D75="Unlabeled-13",MCDM_Settings!$F$8,MCDM_Settings!$D$8)=0,"n.a.",5*COUNTIF(S75:U75,"Y")/IF($D75="Unlabeled-13",MCDM_Settings!$F$8,MCDM_Settings!$D$8))</f>
        <v>1.6666666666666667</v>
      </c>
      <c r="AJ75" s="12">
        <f>IF(IF($D75="Unlabeled-13",MCDM_Settings!$F$8,MCDM_Settings!$D$8)=0,"n.a.",5*(COUNTIF(S75:U75,"Y")+COUNTIF(S75:U75,"U")+COUNTIF(S75:U75,"X"))/IF($D75="Unlabeled-13",MCDM_Settings!$F$8,MCDM_Settings!$D$8))</f>
        <v>5</v>
      </c>
      <c r="AK75" s="13">
        <f>IF(IF($D75="Unlabeled-13",MCDM_Settings!$F$8,MCDM_Settings!$D$8)=0,"n.a.",(COUNTIF(S75:U75,"Y")+COUNTIF(S75:U75,"N"))/IF($D75="Unlabeled-13",MCDM_Settings!$F$8,MCDM_Settings!$D$8))</f>
        <v>0.33333333333333331</v>
      </c>
      <c r="AL75" s="12">
        <f>IF(IF($D75="Unlabeled-13",MCDM_Settings!$F$9,MCDM_Settings!$D$9)=0,"n.a.",5*COUNTIF(V75:W75,"Y")/IF($D75="Unlabeled-13",MCDM_Settings!$F$9,MCDM_Settings!$D$9))</f>
        <v>5</v>
      </c>
      <c r="AM75" s="12">
        <f>IF(IF($D75="Unlabeled-13",MCDM_Settings!$F$9,MCDM_Settings!$D$9)=0,"n.a.",5*(COUNTIF(V75:W75,"Y")+COUNTIF(V75:W75,"U")+COUNTIF(V75:W75,"X"))/IF($D75="Unlabeled-13",MCDM_Settings!$F$9,MCDM_Settings!$D$9))</f>
        <v>5</v>
      </c>
      <c r="AN75" s="13">
        <f>IF(IF($D75="Unlabeled-13",MCDM_Settings!$F$9,MCDM_Settings!$D$9)=0,"n.a.",(COUNTIF(V75:W75,"Y")+COUNTIF(V75:W75,"N"))/IF($D75="Unlabeled-13",MCDM_Settings!$F$9,MCDM_Settings!$D$9))</f>
        <v>1</v>
      </c>
      <c r="AO75" s="12">
        <f>IF(IF($D75="Unlabeled-13",MCDM_Settings!$F$10,MCDM_Settings!$D$10)=0,"n.a.",5*COUNTIF(X75:Y75,"Y")/IF($D75="Unlabeled-13",MCDM_Settings!$F$10,MCDM_Settings!$D$10))</f>
        <v>0</v>
      </c>
      <c r="AP75" s="12">
        <f>IF(IF($D75="Unlabeled-13",MCDM_Settings!$F$10,MCDM_Settings!$D$10)=0,"n.a.",5*(COUNTIF(X75:Y75,"Y")+COUNTIF(X75:Y75,"U")+COUNTIF(X75:Y75,"X"))/IF($D75="Unlabeled-13",MCDM_Settings!$F$10,MCDM_Settings!$D$10))</f>
        <v>5</v>
      </c>
      <c r="AQ75" s="13">
        <f>IF(IF($D75="Unlabeled-13",MCDM_Settings!$F$10,MCDM_Settings!$D$10)=0,"n.a.",(COUNTIF(X75:Y75,"Y")+COUNTIF(X75:Y75,"N"))/IF($D75="Unlabeled-13",MCDM_Settings!$F$10,MCDM_Settings!$D$10))</f>
        <v>0</v>
      </c>
      <c r="AR75" s="12">
        <f>IF(IF($D75="Unlabeled-13",MCDM_Settings!$F$11,MCDM_Settings!$D$11)=0,"n.a.",5*COUNTIF(Z75:AB75,"Y")/IF($D75="Unlabeled-13",MCDM_Settings!$F$11,MCDM_Settings!$D$11))</f>
        <v>3.3333333333333335</v>
      </c>
      <c r="AS75" s="12">
        <f>IF(IF($D75="Unlabeled-13",MCDM_Settings!$F$11,MCDM_Settings!$D$11)=0,"n.a.",5*(COUNTIF(Z75:AB75,"Y")+COUNTIF(Z75:AB75,"U")+COUNTIF(Z75:AB75,"X"))/IF($D75="Unlabeled-13",MCDM_Settings!$F$11,MCDM_Settings!$D$11))</f>
        <v>5</v>
      </c>
      <c r="AT75" s="13">
        <f>IF(IF($D75="Unlabeled-13",MCDM_Settings!$F$11,MCDM_Settings!$D$11)=0,"n.a.",(COUNTIF(Z75:AB75,"Y")+COUNTIF(Z75:AB75,"N"))/IF($D75="Unlabeled-13",MCDM_Settings!$F$11,MCDM_Settings!$D$11))</f>
        <v>0.66666666666666663</v>
      </c>
      <c r="AU75" s="5" t="str">
        <f>IF(AND(INDEX(Manual_Review!$G$6:$G$238,MATCH(A75,Manual_Review!$A$6:$A$238,0))&lt;&gt;"",ISNUMBER(INDEX(Manual_Review!$H$6:$H$238,MATCH(A75,Manual_Review!$A$6:$A$238,0))),INDEX(Manual_Review!$H$6:$H$238,MATCH(A75,Manual_Review!$A$6:$A$238,0))&gt;0,INDEX(Manual_Review!$I$6:$I$238,MATCH(A75,Manual_Review!$A$6:$A$238,0))="Confirmed",INDEX(Manual_Review!$AF$6:$AF$238,MATCH(A75,Manual_Review!$A$6:$A$238,0))&lt;&gt;""),IF(INDEX(Manual_Review!$AA$6:$AA$238,MATCH(A75,Manual_Review!$A$6:$A$238,0))="Pass","Pass",IF(INDEX(Manual_Review!$AA$6:$AA$238,MATCH(A75,Manual_Review!$A$6:$A$238,0))="Fail","Fail","Pending")),"Pending human identity confirmation")</f>
        <v>Pending human identity confirmation</v>
      </c>
      <c r="AV75" s="5" t="str">
        <f>IF(AND(AND(INDEX(Manual_Review!$G$6:$G$238,MATCH(A75,Manual_Review!$A$6:$A$238,0))&lt;&gt;"",ISNUMBER(INDEX(Manual_Review!$H$6:$H$238,MATCH(A75,Manual_Review!$A$6:$A$238,0))),INDEX(Manual_Review!$H$6:$H$238,MATCH(A75,Manual_Review!$A$6:$A$238,0))&gt;0,INDEX(Manual_Review!$I$6:$I$238,MATCH(A75,Manual_Review!$A$6:$A$238,0))="Confirmed",INDEX(Manual_Review!$AF$6:$AF$238,MATCH(A75,Manual_Review!$A$6:$A$238,0))&lt;&gt;""),INDEX(Manual_Review!$AG$6:$AG$238,MATCH(A75,Manual_Review!$A$6:$A$238,0))&lt;&gt;""),IF(INDEX(Manual_Review!$AB$6:$AB$238,MATCH(A75,Manual_Review!$A$6:$A$238,0))="Pass","Pass",IF(INDEX(Manual_Review!$AB$6:$AB$238,MATCH(A75,Manual_Review!$A$6:$A$238,0))="Fail","Fail","Pending")),"Not assessed: define intended task")</f>
        <v>Not assessed: define intended task</v>
      </c>
      <c r="AW75" s="5" t="str">
        <f>IF(AND(AND(INDEX(Manual_Review!$G$6:$G$238,MATCH(A75,Manual_Review!$A$6:$A$238,0))&lt;&gt;"",ISNUMBER(INDEX(Manual_Review!$H$6:$H$238,MATCH(A75,Manual_Review!$A$6:$A$238,0))),INDEX(Manual_Review!$H$6:$H$238,MATCH(A75,Manual_Review!$A$6:$A$238,0))&gt;0,INDEX(Manual_Review!$I$6:$I$238,MATCH(A75,Manual_Review!$A$6:$A$238,0))="Confirmed",INDEX(Manual_Review!$AF$6:$AF$238,MATCH(A75,Manual_Review!$A$6:$A$238,0))&lt;&gt;""),INDEX(Manual_Review!$AG$6:$AG$238,MATCH(A75,Manual_Review!$A$6:$A$238,0))&lt;&gt;""),IF(OR(INDEX(Manual_Review!$AC$6:$AC$238,MATCH(A75,Manual_Review!$A$6:$A$238,0))="Fail",INDEX(Manual_Review!$AD$6:$AD$238,MATCH(A75,Manual_Review!$A$6:$A$238,0))="Fail"),"Fail: rights or retrieval",IF(AND(INDEX(Manual_Review!$AC$6:$AC$238,MATCH(A75,Manual_Review!$A$6:$A$238,0))="Pass",INDEX(Manual_Review!$AD$6:$AD$238,MATCH(A75,Manual_Review!$A$6:$A$238,0))="Pass"),"Pass","Pending rights and retrieval")),"Pending rights and retrieval")</f>
        <v>Pending rights and retrieval</v>
      </c>
      <c r="AX75" s="5" t="str">
        <f>IF(INDEX(Manual_Review!$AG$6:$AG$238,MATCH(A75,Manual_Review!$A$6:$A$238,0))="","N/A: documentation inventory",IF(AND(INDEX(Manual_Review!$G$6:$G$238,MATCH(A75,Manual_Review!$A$6:$A$238,0))&lt;&gt;"",ISNUMBER(INDEX(Manual_Review!$H$6:$H$238,MATCH(A75,Manual_Review!$A$6:$A$238,0))),INDEX(Manual_Review!$H$6:$H$238,MATCH(A75,Manual_Review!$A$6:$A$238,0))&gt;0,INDEX(Manual_Review!$I$6:$I$238,MATCH(A75,Manual_Review!$A$6:$A$238,0))="Confirmed",INDEX(Manual_Review!$AF$6:$AF$238,MATCH(A75,Manual_Review!$A$6:$A$238,0))&lt;&gt;""),IF(INDEX(Manual_Review!$AE$6:$AE$238,MATCH(A75,Manual_Review!$A$6:$A$238,0))="Pass","Pass",IF(INDEX(Manual_Review!$AE$6:$AE$238,MATCH(A75,Manual_Review!$A$6:$A$238,0))="Fail","Fail: benchmark leakage",IF(INDEX(Manual_Review!$AE$6:$AE$238,MATCH(A75,Manual_Review!$A$6:$A$238,0))="N/A","N/A: nonbenchmark task","Pending task-specific leakage check"))),"Pending task-specific leakage check"))</f>
        <v>N/A: documentation inventory</v>
      </c>
      <c r="AY75" s="5" t="str">
        <f>IF(IF(D75="Unlabeled-13",AND(ABS(MCDM_Settings!$D$14-1)&lt;0.0000001,MIN(MCDM_Settings!$E$6:$E$11)&gt;=0,MCDM_Settings!$E$7=0),AND(ABS(MCDM_Settings!$B$14-1)&lt;0.0000001,MIN(MCDM_Settings!$C$6:$C$11)&gt;=0)),"Valid","Check weights")</f>
        <v>Valid</v>
      </c>
      <c r="AZ75" s="5" t="str">
        <f>IF(AND(COUNTIF(MCDM_Checks!$B$6:$B$3733,A75)=16,COUNTIF(Manual_Review!$A$6:$A$238,A75)=1),"16 keys present","Check key count")</f>
        <v>16 keys present</v>
      </c>
    </row>
    <row r="76" spans="1:52" ht="25.5">
      <c r="A76" s="5" t="s">
        <v>883</v>
      </c>
      <c r="B76" s="5" t="s">
        <v>884</v>
      </c>
      <c r="C76" s="5"/>
      <c r="D76" s="5" t="s">
        <v>118</v>
      </c>
      <c r="E76" s="12">
        <f>IF(OR(AY76&lt;&gt;"Valid",AZ76&lt;&gt;"16 keys present"),"Review settings",20*(IF(ISNUMBER(AC76),AC76*IF($D76="Unlabeled-13",MCDM_Settings!$E$6,MCDM_Settings!$C$6),0)+IF(ISNUMBER(AF76),AF76*IF($D76="Unlabeled-13",MCDM_Settings!$E$7,MCDM_Settings!$C$7),0)+IF(ISNUMBER(AI76),AI76*IF($D76="Unlabeled-13",MCDM_Settings!$E$8,MCDM_Settings!$C$8),0)+IF(ISNUMBER(AL76),AL76*IF($D76="Unlabeled-13",MCDM_Settings!$E$9,MCDM_Settings!$C$9),0)+IF(ISNUMBER(AO76),AO76*IF($D76="Unlabeled-13",MCDM_Settings!$E$10,MCDM_Settings!$C$10),0)+IF(ISNUMBER(AR76),AR76*IF($D76="Unlabeled-13",MCDM_Settings!$E$11,MCDM_Settings!$C$11),0)))</f>
        <v>36.111111111111107</v>
      </c>
      <c r="F76" s="12">
        <f>IF(OR(AY76&lt;&gt;"Valid",AZ76&lt;&gt;"16 keys present"),"Review settings",20*(IF(ISNUMBER(AD76),AD76*IF($D76="Unlabeled-13",MCDM_Settings!$E$6,MCDM_Settings!$C$6),0)+IF(ISNUMBER(AG76),AG76*IF($D76="Unlabeled-13",MCDM_Settings!$E$7,MCDM_Settings!$C$7),0)+IF(ISNUMBER(AJ76),AJ76*IF($D76="Unlabeled-13",MCDM_Settings!$E$8,MCDM_Settings!$C$8),0)+IF(ISNUMBER(AM76),AM76*IF($D76="Unlabeled-13",MCDM_Settings!$E$9,MCDM_Settings!$C$9),0)+IF(ISNUMBER(AP76),AP76*IF($D76="Unlabeled-13",MCDM_Settings!$E$10,MCDM_Settings!$C$10),0)+IF(ISNUMBER(AS76),AS76*IF($D76="Unlabeled-13",MCDM_Settings!$E$11,MCDM_Settings!$C$11),0)))</f>
        <v>99.999999999999986</v>
      </c>
      <c r="G76" s="13">
        <f>IF(OR(AY76&lt;&gt;"Valid",AZ76&lt;&gt;"16 keys present"),"Review settings",1*(IF(ISNUMBER(AE76),AE76*IF($D76="Unlabeled-13",MCDM_Settings!$E$6,MCDM_Settings!$C$6),0)+IF(ISNUMBER(AH76),AH76*IF($D76="Unlabeled-13",MCDM_Settings!$E$7,MCDM_Settings!$C$7),0)+IF(ISNUMBER(AK76),AK76*IF($D76="Unlabeled-13",MCDM_Settings!$E$8,MCDM_Settings!$C$8),0)+IF(ISNUMBER(AN76),AN76*IF($D76="Unlabeled-13",MCDM_Settings!$E$9,MCDM_Settings!$C$9),0)+IF(ISNUMBER(AQ76),AQ76*IF($D76="Unlabeled-13",MCDM_Settings!$E$10,MCDM_Settings!$C$10),0)+IF(ISNUMBER(AT76),AT76*IF($D76="Unlabeled-13",MCDM_Settings!$E$11,MCDM_Settings!$C$11),0)))</f>
        <v>0.36111111111111105</v>
      </c>
      <c r="H76" s="5" t="str">
        <f>INDEX(Manual_Review!$AH$6:$AH$238,MATCH(A76,Manual_Review!$A$6:$A$238,0))</f>
        <v>Not started</v>
      </c>
      <c r="I76" s="5" t="s">
        <v>128</v>
      </c>
      <c r="J76" s="5" t="s">
        <v>885</v>
      </c>
      <c r="K76" s="5" t="str">
        <f>HYPERLINK("https://data.mendeley.com/datasets/zs3t38sxds/1","Dataset")</f>
        <v>Dataset</v>
      </c>
      <c r="L76" s="5" t="str">
        <f>HYPERLINK("#'Manual_Review'!A"&amp;(MATCH("DS-071",Manual_Review!$A$6:$A$238,0)+5),"Enter review")</f>
        <v>Enter review</v>
      </c>
      <c r="M76" s="5" t="str">
        <f>INDEX(MCDM_Checks!$K$6:$K$3733,MATCH(A76&amp;"|"&amp;M$5,MCDM_Checks!$A$6:$A$3733,0))</f>
        <v>Y</v>
      </c>
      <c r="N76" s="5" t="str">
        <f>INDEX(MCDM_Checks!$K$6:$K$3733,MATCH(A76&amp;"|"&amp;N$5,MCDM_Checks!$A$6:$A$3733,0))</f>
        <v>Y</v>
      </c>
      <c r="O76" s="5" t="str">
        <f>INDEX(MCDM_Checks!$K$6:$K$3733,MATCH(A76&amp;"|"&amp;O$5,MCDM_Checks!$A$6:$A$3733,0))</f>
        <v>X</v>
      </c>
      <c r="P76" s="5" t="str">
        <f>INDEX(MCDM_Checks!$K$6:$K$3733,MATCH(A76&amp;"|"&amp;P$5,MCDM_Checks!$A$6:$A$3733,0))</f>
        <v>Y</v>
      </c>
      <c r="Q76" s="5" t="str">
        <f>INDEX(MCDM_Checks!$K$6:$K$3733,MATCH(A76&amp;"|"&amp;Q$5,MCDM_Checks!$A$6:$A$3733,0))</f>
        <v>U</v>
      </c>
      <c r="R76" s="5" t="str">
        <f>INDEX(MCDM_Checks!$K$6:$K$3733,MATCH(A76&amp;"|"&amp;R$5,MCDM_Checks!$A$6:$A$3733,0))</f>
        <v>U</v>
      </c>
      <c r="S76" s="5" t="str">
        <f>INDEX(MCDM_Checks!$K$6:$K$3733,MATCH(A76&amp;"|"&amp;S$5,MCDM_Checks!$A$6:$A$3733,0))</f>
        <v>U</v>
      </c>
      <c r="T76" s="5" t="str">
        <f>INDEX(MCDM_Checks!$K$6:$K$3733,MATCH(A76&amp;"|"&amp;T$5,MCDM_Checks!$A$6:$A$3733,0))</f>
        <v>U</v>
      </c>
      <c r="U76" s="5" t="str">
        <f>INDEX(MCDM_Checks!$K$6:$K$3733,MATCH(A76&amp;"|"&amp;U$5,MCDM_Checks!$A$6:$A$3733,0))</f>
        <v>Y</v>
      </c>
      <c r="V76" s="5" t="str">
        <f>INDEX(MCDM_Checks!$K$6:$K$3733,MATCH(A76&amp;"|"&amp;V$5,MCDM_Checks!$A$6:$A$3733,0))</f>
        <v>U</v>
      </c>
      <c r="W76" s="5" t="str">
        <f>INDEX(MCDM_Checks!$K$6:$K$3733,MATCH(A76&amp;"|"&amp;W$5,MCDM_Checks!$A$6:$A$3733,0))</f>
        <v>U</v>
      </c>
      <c r="X76" s="5" t="str">
        <f>INDEX(MCDM_Checks!$K$6:$K$3733,MATCH(A76&amp;"|"&amp;X$5,MCDM_Checks!$A$6:$A$3733,0))</f>
        <v>U</v>
      </c>
      <c r="Y76" s="5" t="str">
        <f>INDEX(MCDM_Checks!$K$6:$K$3733,MATCH(A76&amp;"|"&amp;Y$5,MCDM_Checks!$A$6:$A$3733,0))</f>
        <v>Y</v>
      </c>
      <c r="Z76" s="5" t="str">
        <f>INDEX(MCDM_Checks!$K$6:$K$3733,MATCH(A76&amp;"|"&amp;Z$5,MCDM_Checks!$A$6:$A$3733,0))</f>
        <v>Y</v>
      </c>
      <c r="AA76" s="5" t="str">
        <f>INDEX(MCDM_Checks!$K$6:$K$3733,MATCH(A76&amp;"|"&amp;AA$5,MCDM_Checks!$A$6:$A$3733,0))</f>
        <v>U</v>
      </c>
      <c r="AB76" s="5" t="str">
        <f>INDEX(MCDM_Checks!$K$6:$K$3733,MATCH(A76&amp;"|"&amp;AB$5,MCDM_Checks!$A$6:$A$3733,0))</f>
        <v>U</v>
      </c>
      <c r="AC76" s="12">
        <f>IF(IF($D76="Unlabeled-13",MCDM_Settings!$F$6,MCDM_Settings!$D$6)=0,"n.a.",5*COUNTIF(M76:O76,"Y")/IF($D76="Unlabeled-13",MCDM_Settings!$F$6,MCDM_Settings!$D$6))</f>
        <v>3.3333333333333335</v>
      </c>
      <c r="AD76" s="12">
        <f>IF(IF($D76="Unlabeled-13",MCDM_Settings!$F$6,MCDM_Settings!$D$6)=0,"n.a.",5*(COUNTIF(M76:O76,"Y")+COUNTIF(M76:O76,"U")+COUNTIF(M76:O76,"X"))/IF($D76="Unlabeled-13",MCDM_Settings!$F$6,MCDM_Settings!$D$6))</f>
        <v>5</v>
      </c>
      <c r="AE76" s="13">
        <f>IF(IF($D76="Unlabeled-13",MCDM_Settings!$F$6,MCDM_Settings!$D$6)=0,"n.a.",(COUNTIF(M76:O76,"Y")+COUNTIF(M76:O76,"N"))/IF($D76="Unlabeled-13",MCDM_Settings!$F$6,MCDM_Settings!$D$6))</f>
        <v>0.66666666666666663</v>
      </c>
      <c r="AF76" s="12">
        <f>IF(IF($D76="Unlabeled-13",MCDM_Settings!$F$7,MCDM_Settings!$D$7)=0,"n.a.",5*COUNTIF(P76:R76,"Y")/IF($D76="Unlabeled-13",MCDM_Settings!$F$7,MCDM_Settings!$D$7))</f>
        <v>1.6666666666666667</v>
      </c>
      <c r="AG76" s="12">
        <f>IF(IF($D76="Unlabeled-13",MCDM_Settings!$F$7,MCDM_Settings!$D$7)=0,"n.a.",5*(COUNTIF(P76:R76,"Y")+COUNTIF(P76:R76,"U")+COUNTIF(P76:R76,"X"))/IF($D76="Unlabeled-13",MCDM_Settings!$F$7,MCDM_Settings!$D$7))</f>
        <v>5</v>
      </c>
      <c r="AH76" s="13">
        <f>IF(IF($D76="Unlabeled-13",MCDM_Settings!$F$7,MCDM_Settings!$D$7)=0,"n.a.",(COUNTIF(P76:R76,"Y")+COUNTIF(P76:R76,"N"))/IF($D76="Unlabeled-13",MCDM_Settings!$F$7,MCDM_Settings!$D$7))</f>
        <v>0.33333333333333331</v>
      </c>
      <c r="AI76" s="12">
        <f>IF(IF($D76="Unlabeled-13",MCDM_Settings!$F$8,MCDM_Settings!$D$8)=0,"n.a.",5*COUNTIF(S76:U76,"Y")/IF($D76="Unlabeled-13",MCDM_Settings!$F$8,MCDM_Settings!$D$8))</f>
        <v>1.6666666666666667</v>
      </c>
      <c r="AJ76" s="12">
        <f>IF(IF($D76="Unlabeled-13",MCDM_Settings!$F$8,MCDM_Settings!$D$8)=0,"n.a.",5*(COUNTIF(S76:U76,"Y")+COUNTIF(S76:U76,"U")+COUNTIF(S76:U76,"X"))/IF($D76="Unlabeled-13",MCDM_Settings!$F$8,MCDM_Settings!$D$8))</f>
        <v>5</v>
      </c>
      <c r="AK76" s="13">
        <f>IF(IF($D76="Unlabeled-13",MCDM_Settings!$F$8,MCDM_Settings!$D$8)=0,"n.a.",(COUNTIF(S76:U76,"Y")+COUNTIF(S76:U76,"N"))/IF($D76="Unlabeled-13",MCDM_Settings!$F$8,MCDM_Settings!$D$8))</f>
        <v>0.33333333333333331</v>
      </c>
      <c r="AL76" s="12">
        <f>IF(IF($D76="Unlabeled-13",MCDM_Settings!$F$9,MCDM_Settings!$D$9)=0,"n.a.",5*COUNTIF(V76:W76,"Y")/IF($D76="Unlabeled-13",MCDM_Settings!$F$9,MCDM_Settings!$D$9))</f>
        <v>0</v>
      </c>
      <c r="AM76" s="12">
        <f>IF(IF($D76="Unlabeled-13",MCDM_Settings!$F$9,MCDM_Settings!$D$9)=0,"n.a.",5*(COUNTIF(V76:W76,"Y")+COUNTIF(V76:W76,"U")+COUNTIF(V76:W76,"X"))/IF($D76="Unlabeled-13",MCDM_Settings!$F$9,MCDM_Settings!$D$9))</f>
        <v>5</v>
      </c>
      <c r="AN76" s="13">
        <f>IF(IF($D76="Unlabeled-13",MCDM_Settings!$F$9,MCDM_Settings!$D$9)=0,"n.a.",(COUNTIF(V76:W76,"Y")+COUNTIF(V76:W76,"N"))/IF($D76="Unlabeled-13",MCDM_Settings!$F$9,MCDM_Settings!$D$9))</f>
        <v>0</v>
      </c>
      <c r="AO76" s="12">
        <f>IF(IF($D76="Unlabeled-13",MCDM_Settings!$F$10,MCDM_Settings!$D$10)=0,"n.a.",5*COUNTIF(X76:Y76,"Y")/IF($D76="Unlabeled-13",MCDM_Settings!$F$10,MCDM_Settings!$D$10))</f>
        <v>2.5</v>
      </c>
      <c r="AP76" s="12">
        <f>IF(IF($D76="Unlabeled-13",MCDM_Settings!$F$10,MCDM_Settings!$D$10)=0,"n.a.",5*(COUNTIF(X76:Y76,"Y")+COUNTIF(X76:Y76,"U")+COUNTIF(X76:Y76,"X"))/IF($D76="Unlabeled-13",MCDM_Settings!$F$10,MCDM_Settings!$D$10))</f>
        <v>5</v>
      </c>
      <c r="AQ76" s="13">
        <f>IF(IF($D76="Unlabeled-13",MCDM_Settings!$F$10,MCDM_Settings!$D$10)=0,"n.a.",(COUNTIF(X76:Y76,"Y")+COUNTIF(X76:Y76,"N"))/IF($D76="Unlabeled-13",MCDM_Settings!$F$10,MCDM_Settings!$D$10))</f>
        <v>0.5</v>
      </c>
      <c r="AR76" s="12">
        <f>IF(IF($D76="Unlabeled-13",MCDM_Settings!$F$11,MCDM_Settings!$D$11)=0,"n.a.",5*COUNTIF(Z76:AB76,"Y")/IF($D76="Unlabeled-13",MCDM_Settings!$F$11,MCDM_Settings!$D$11))</f>
        <v>1.6666666666666667</v>
      </c>
      <c r="AS76" s="12">
        <f>IF(IF($D76="Unlabeled-13",MCDM_Settings!$F$11,MCDM_Settings!$D$11)=0,"n.a.",5*(COUNTIF(Z76:AB76,"Y")+COUNTIF(Z76:AB76,"U")+COUNTIF(Z76:AB76,"X"))/IF($D76="Unlabeled-13",MCDM_Settings!$F$11,MCDM_Settings!$D$11))</f>
        <v>5</v>
      </c>
      <c r="AT76" s="13">
        <f>IF(IF($D76="Unlabeled-13",MCDM_Settings!$F$11,MCDM_Settings!$D$11)=0,"n.a.",(COUNTIF(Z76:AB76,"Y")+COUNTIF(Z76:AB76,"N"))/IF($D76="Unlabeled-13",MCDM_Settings!$F$11,MCDM_Settings!$D$11))</f>
        <v>0.33333333333333331</v>
      </c>
      <c r="AU76" s="5" t="str">
        <f>IF(AND(INDEX(Manual_Review!$G$6:$G$238,MATCH(A76,Manual_Review!$A$6:$A$238,0))&lt;&gt;"",ISNUMBER(INDEX(Manual_Review!$H$6:$H$238,MATCH(A76,Manual_Review!$A$6:$A$238,0))),INDEX(Manual_Review!$H$6:$H$238,MATCH(A76,Manual_Review!$A$6:$A$238,0))&gt;0,INDEX(Manual_Review!$I$6:$I$238,MATCH(A76,Manual_Review!$A$6:$A$238,0))="Confirmed",INDEX(Manual_Review!$AF$6:$AF$238,MATCH(A76,Manual_Review!$A$6:$A$238,0))&lt;&gt;""),IF(INDEX(Manual_Review!$AA$6:$AA$238,MATCH(A76,Manual_Review!$A$6:$A$238,0))="Pass","Pass",IF(INDEX(Manual_Review!$AA$6:$AA$238,MATCH(A76,Manual_Review!$A$6:$A$238,0))="Fail","Fail","Pending")),"Pending human identity confirmation")</f>
        <v>Pending human identity confirmation</v>
      </c>
      <c r="AV76" s="5" t="str">
        <f>IF(AND(AND(INDEX(Manual_Review!$G$6:$G$238,MATCH(A76,Manual_Review!$A$6:$A$238,0))&lt;&gt;"",ISNUMBER(INDEX(Manual_Review!$H$6:$H$238,MATCH(A76,Manual_Review!$A$6:$A$238,0))),INDEX(Manual_Review!$H$6:$H$238,MATCH(A76,Manual_Review!$A$6:$A$238,0))&gt;0,INDEX(Manual_Review!$I$6:$I$238,MATCH(A76,Manual_Review!$A$6:$A$238,0))="Confirmed",INDEX(Manual_Review!$AF$6:$AF$238,MATCH(A76,Manual_Review!$A$6:$A$238,0))&lt;&gt;""),INDEX(Manual_Review!$AG$6:$AG$238,MATCH(A76,Manual_Review!$A$6:$A$238,0))&lt;&gt;""),IF(INDEX(Manual_Review!$AB$6:$AB$238,MATCH(A76,Manual_Review!$A$6:$A$238,0))="Pass","Pass",IF(INDEX(Manual_Review!$AB$6:$AB$238,MATCH(A76,Manual_Review!$A$6:$A$238,0))="Fail","Fail","Pending")),"Not assessed: define intended task")</f>
        <v>Not assessed: define intended task</v>
      </c>
      <c r="AW76" s="5" t="str">
        <f>IF(AND(AND(INDEX(Manual_Review!$G$6:$G$238,MATCH(A76,Manual_Review!$A$6:$A$238,0))&lt;&gt;"",ISNUMBER(INDEX(Manual_Review!$H$6:$H$238,MATCH(A76,Manual_Review!$A$6:$A$238,0))),INDEX(Manual_Review!$H$6:$H$238,MATCH(A76,Manual_Review!$A$6:$A$238,0))&gt;0,INDEX(Manual_Review!$I$6:$I$238,MATCH(A76,Manual_Review!$A$6:$A$238,0))="Confirmed",INDEX(Manual_Review!$AF$6:$AF$238,MATCH(A76,Manual_Review!$A$6:$A$238,0))&lt;&gt;""),INDEX(Manual_Review!$AG$6:$AG$238,MATCH(A76,Manual_Review!$A$6:$A$238,0))&lt;&gt;""),IF(OR(INDEX(Manual_Review!$AC$6:$AC$238,MATCH(A76,Manual_Review!$A$6:$A$238,0))="Fail",INDEX(Manual_Review!$AD$6:$AD$238,MATCH(A76,Manual_Review!$A$6:$A$238,0))="Fail"),"Fail: rights or retrieval",IF(AND(INDEX(Manual_Review!$AC$6:$AC$238,MATCH(A76,Manual_Review!$A$6:$A$238,0))="Pass",INDEX(Manual_Review!$AD$6:$AD$238,MATCH(A76,Manual_Review!$A$6:$A$238,0))="Pass"),"Pass","Pending rights and retrieval")),"Pending rights and retrieval")</f>
        <v>Pending rights and retrieval</v>
      </c>
      <c r="AX76" s="5" t="str">
        <f>IF(INDEX(Manual_Review!$AG$6:$AG$238,MATCH(A76,Manual_Review!$A$6:$A$238,0))="","N/A: documentation inventory",IF(AND(INDEX(Manual_Review!$G$6:$G$238,MATCH(A76,Manual_Review!$A$6:$A$238,0))&lt;&gt;"",ISNUMBER(INDEX(Manual_Review!$H$6:$H$238,MATCH(A76,Manual_Review!$A$6:$A$238,0))),INDEX(Manual_Review!$H$6:$H$238,MATCH(A76,Manual_Review!$A$6:$A$238,0))&gt;0,INDEX(Manual_Review!$I$6:$I$238,MATCH(A76,Manual_Review!$A$6:$A$238,0))="Confirmed",INDEX(Manual_Review!$AF$6:$AF$238,MATCH(A76,Manual_Review!$A$6:$A$238,0))&lt;&gt;""),IF(INDEX(Manual_Review!$AE$6:$AE$238,MATCH(A76,Manual_Review!$A$6:$A$238,0))="Pass","Pass",IF(INDEX(Manual_Review!$AE$6:$AE$238,MATCH(A76,Manual_Review!$A$6:$A$238,0))="Fail","Fail: benchmark leakage",IF(INDEX(Manual_Review!$AE$6:$AE$238,MATCH(A76,Manual_Review!$A$6:$A$238,0))="N/A","N/A: nonbenchmark task","Pending task-specific leakage check"))),"Pending task-specific leakage check"))</f>
        <v>N/A: documentation inventory</v>
      </c>
      <c r="AY76" s="5" t="str">
        <f>IF(IF(D76="Unlabeled-13",AND(ABS(MCDM_Settings!$D$14-1)&lt;0.0000001,MIN(MCDM_Settings!$E$6:$E$11)&gt;=0,MCDM_Settings!$E$7=0),AND(ABS(MCDM_Settings!$B$14-1)&lt;0.0000001,MIN(MCDM_Settings!$C$6:$C$11)&gt;=0)),"Valid","Check weights")</f>
        <v>Valid</v>
      </c>
      <c r="AZ76" s="5" t="str">
        <f>IF(AND(COUNTIF(MCDM_Checks!$B$6:$B$3733,A76)=16,COUNTIF(Manual_Review!$A$6:$A$238,A76)=1),"16 keys present","Check key count")</f>
        <v>16 keys present</v>
      </c>
    </row>
    <row r="77" spans="1:52">
      <c r="A77" s="5" t="s">
        <v>894</v>
      </c>
      <c r="B77" s="5" t="s">
        <v>895</v>
      </c>
      <c r="C77" s="5"/>
      <c r="D77" s="5" t="s">
        <v>118</v>
      </c>
      <c r="E77" s="12">
        <f>IF(OR(AY77&lt;&gt;"Valid",AZ77&lt;&gt;"16 keys present"),"Review settings",20*(IF(ISNUMBER(AC77),AC77*IF($D77="Unlabeled-13",MCDM_Settings!$E$6,MCDM_Settings!$C$6),0)+IF(ISNUMBER(AF77),AF77*IF($D77="Unlabeled-13",MCDM_Settings!$E$7,MCDM_Settings!$C$7),0)+IF(ISNUMBER(AI77),AI77*IF($D77="Unlabeled-13",MCDM_Settings!$E$8,MCDM_Settings!$C$8),0)+IF(ISNUMBER(AL77),AL77*IF($D77="Unlabeled-13",MCDM_Settings!$E$9,MCDM_Settings!$C$9),0)+IF(ISNUMBER(AO77),AO77*IF($D77="Unlabeled-13",MCDM_Settings!$E$10,MCDM_Settings!$C$10),0)+IF(ISNUMBER(AR77),AR77*IF($D77="Unlabeled-13",MCDM_Settings!$E$11,MCDM_Settings!$C$11),0)))</f>
        <v>47.222222222222221</v>
      </c>
      <c r="F77" s="12">
        <f>IF(OR(AY77&lt;&gt;"Valid",AZ77&lt;&gt;"16 keys present"),"Review settings",20*(IF(ISNUMBER(AD77),AD77*IF($D77="Unlabeled-13",MCDM_Settings!$E$6,MCDM_Settings!$C$6),0)+IF(ISNUMBER(AG77),AG77*IF($D77="Unlabeled-13",MCDM_Settings!$E$7,MCDM_Settings!$C$7),0)+IF(ISNUMBER(AJ77),AJ77*IF($D77="Unlabeled-13",MCDM_Settings!$E$8,MCDM_Settings!$C$8),0)+IF(ISNUMBER(AM77),AM77*IF($D77="Unlabeled-13",MCDM_Settings!$E$9,MCDM_Settings!$C$9),0)+IF(ISNUMBER(AP77),AP77*IF($D77="Unlabeled-13",MCDM_Settings!$E$10,MCDM_Settings!$C$10),0)+IF(ISNUMBER(AS77),AS77*IF($D77="Unlabeled-13",MCDM_Settings!$E$11,MCDM_Settings!$C$11),0)))</f>
        <v>99.999999999999986</v>
      </c>
      <c r="G77" s="13">
        <f>IF(OR(AY77&lt;&gt;"Valid",AZ77&lt;&gt;"16 keys present"),"Review settings",1*(IF(ISNUMBER(AE77),AE77*IF($D77="Unlabeled-13",MCDM_Settings!$E$6,MCDM_Settings!$C$6),0)+IF(ISNUMBER(AH77),AH77*IF($D77="Unlabeled-13",MCDM_Settings!$E$7,MCDM_Settings!$C$7),0)+IF(ISNUMBER(AK77),AK77*IF($D77="Unlabeled-13",MCDM_Settings!$E$8,MCDM_Settings!$C$8),0)+IF(ISNUMBER(AN77),AN77*IF($D77="Unlabeled-13",MCDM_Settings!$E$9,MCDM_Settings!$C$9),0)+IF(ISNUMBER(AQ77),AQ77*IF($D77="Unlabeled-13",MCDM_Settings!$E$10,MCDM_Settings!$C$10),0)+IF(ISNUMBER(AT77),AT77*IF($D77="Unlabeled-13",MCDM_Settings!$E$11,MCDM_Settings!$C$11),0)))</f>
        <v>0.47222222222222221</v>
      </c>
      <c r="H77" s="5" t="str">
        <f>INDEX(Manual_Review!$AH$6:$AH$238,MATCH(A77,Manual_Review!$A$6:$A$238,0))</f>
        <v>Not started</v>
      </c>
      <c r="I77" s="5" t="s">
        <v>182</v>
      </c>
      <c r="J77" s="5" t="s">
        <v>896</v>
      </c>
      <c r="K77" s="5" t="str">
        <f>HYPERLINK("https://data.mendeley.com/datasets/27c8pwsd6v/5","Dataset")</f>
        <v>Dataset</v>
      </c>
      <c r="L77" s="5" t="str">
        <f>HYPERLINK("#'Manual_Review'!A"&amp;(MATCH("DS-072",Manual_Review!$A$6:$A$238,0)+5),"Enter review")</f>
        <v>Enter review</v>
      </c>
      <c r="M77" s="5" t="str">
        <f>INDEX(MCDM_Checks!$K$6:$K$3733,MATCH(A77&amp;"|"&amp;M$5,MCDM_Checks!$A$6:$A$3733,0))</f>
        <v>Y</v>
      </c>
      <c r="N77" s="5" t="str">
        <f>INDEX(MCDM_Checks!$K$6:$K$3733,MATCH(A77&amp;"|"&amp;N$5,MCDM_Checks!$A$6:$A$3733,0))</f>
        <v>Y</v>
      </c>
      <c r="O77" s="5" t="str">
        <f>INDEX(MCDM_Checks!$K$6:$K$3733,MATCH(A77&amp;"|"&amp;O$5,MCDM_Checks!$A$6:$A$3733,0))</f>
        <v>Y</v>
      </c>
      <c r="P77" s="5" t="str">
        <f>INDEX(MCDM_Checks!$K$6:$K$3733,MATCH(A77&amp;"|"&amp;P$5,MCDM_Checks!$A$6:$A$3733,0))</f>
        <v>Y</v>
      </c>
      <c r="Q77" s="5" t="str">
        <f>INDEX(MCDM_Checks!$K$6:$K$3733,MATCH(A77&amp;"|"&amp;Q$5,MCDM_Checks!$A$6:$A$3733,0))</f>
        <v>U</v>
      </c>
      <c r="R77" s="5" t="str">
        <f>INDEX(MCDM_Checks!$K$6:$K$3733,MATCH(A77&amp;"|"&amp;R$5,MCDM_Checks!$A$6:$A$3733,0))</f>
        <v>U</v>
      </c>
      <c r="S77" s="5" t="str">
        <f>INDEX(MCDM_Checks!$K$6:$K$3733,MATCH(A77&amp;"|"&amp;S$5,MCDM_Checks!$A$6:$A$3733,0))</f>
        <v>U</v>
      </c>
      <c r="T77" s="5" t="str">
        <f>INDEX(MCDM_Checks!$K$6:$K$3733,MATCH(A77&amp;"|"&amp;T$5,MCDM_Checks!$A$6:$A$3733,0))</f>
        <v>Y</v>
      </c>
      <c r="U77" s="5" t="str">
        <f>INDEX(MCDM_Checks!$K$6:$K$3733,MATCH(A77&amp;"|"&amp;U$5,MCDM_Checks!$A$6:$A$3733,0))</f>
        <v>Y</v>
      </c>
      <c r="V77" s="5" t="str">
        <f>INDEX(MCDM_Checks!$K$6:$K$3733,MATCH(A77&amp;"|"&amp;V$5,MCDM_Checks!$A$6:$A$3733,0))</f>
        <v>U</v>
      </c>
      <c r="W77" s="5" t="str">
        <f>INDEX(MCDM_Checks!$K$6:$K$3733,MATCH(A77&amp;"|"&amp;W$5,MCDM_Checks!$A$6:$A$3733,0))</f>
        <v>U</v>
      </c>
      <c r="X77" s="5" t="str">
        <f>INDEX(MCDM_Checks!$K$6:$K$3733,MATCH(A77&amp;"|"&amp;X$5,MCDM_Checks!$A$6:$A$3733,0))</f>
        <v>Y</v>
      </c>
      <c r="Y77" s="5" t="str">
        <f>INDEX(MCDM_Checks!$K$6:$K$3733,MATCH(A77&amp;"|"&amp;Y$5,MCDM_Checks!$A$6:$A$3733,0))</f>
        <v>U</v>
      </c>
      <c r="Z77" s="5" t="str">
        <f>INDEX(MCDM_Checks!$K$6:$K$3733,MATCH(A77&amp;"|"&amp;Z$5,MCDM_Checks!$A$6:$A$3733,0))</f>
        <v>Y</v>
      </c>
      <c r="AA77" s="5" t="str">
        <f>INDEX(MCDM_Checks!$K$6:$K$3733,MATCH(A77&amp;"|"&amp;AA$5,MCDM_Checks!$A$6:$A$3733,0))</f>
        <v>U</v>
      </c>
      <c r="AB77" s="5" t="str">
        <f>INDEX(MCDM_Checks!$K$6:$K$3733,MATCH(A77&amp;"|"&amp;AB$5,MCDM_Checks!$A$6:$A$3733,0))</f>
        <v>U</v>
      </c>
      <c r="AC77" s="12">
        <f>IF(IF($D77="Unlabeled-13",MCDM_Settings!$F$6,MCDM_Settings!$D$6)=0,"n.a.",5*COUNTIF(M77:O77,"Y")/IF($D77="Unlabeled-13",MCDM_Settings!$F$6,MCDM_Settings!$D$6))</f>
        <v>5</v>
      </c>
      <c r="AD77" s="12">
        <f>IF(IF($D77="Unlabeled-13",MCDM_Settings!$F$6,MCDM_Settings!$D$6)=0,"n.a.",5*(COUNTIF(M77:O77,"Y")+COUNTIF(M77:O77,"U")+COUNTIF(M77:O77,"X"))/IF($D77="Unlabeled-13",MCDM_Settings!$F$6,MCDM_Settings!$D$6))</f>
        <v>5</v>
      </c>
      <c r="AE77" s="13">
        <f>IF(IF($D77="Unlabeled-13",MCDM_Settings!$F$6,MCDM_Settings!$D$6)=0,"n.a.",(COUNTIF(M77:O77,"Y")+COUNTIF(M77:O77,"N"))/IF($D77="Unlabeled-13",MCDM_Settings!$F$6,MCDM_Settings!$D$6))</f>
        <v>1</v>
      </c>
      <c r="AF77" s="12">
        <f>IF(IF($D77="Unlabeled-13",MCDM_Settings!$F$7,MCDM_Settings!$D$7)=0,"n.a.",5*COUNTIF(P77:R77,"Y")/IF($D77="Unlabeled-13",MCDM_Settings!$F$7,MCDM_Settings!$D$7))</f>
        <v>1.6666666666666667</v>
      </c>
      <c r="AG77" s="12">
        <f>IF(IF($D77="Unlabeled-13",MCDM_Settings!$F$7,MCDM_Settings!$D$7)=0,"n.a.",5*(COUNTIF(P77:R77,"Y")+COUNTIF(P77:R77,"U")+COUNTIF(P77:R77,"X"))/IF($D77="Unlabeled-13",MCDM_Settings!$F$7,MCDM_Settings!$D$7))</f>
        <v>5</v>
      </c>
      <c r="AH77" s="13">
        <f>IF(IF($D77="Unlabeled-13",MCDM_Settings!$F$7,MCDM_Settings!$D$7)=0,"n.a.",(COUNTIF(P77:R77,"Y")+COUNTIF(P77:R77,"N"))/IF($D77="Unlabeled-13",MCDM_Settings!$F$7,MCDM_Settings!$D$7))</f>
        <v>0.33333333333333331</v>
      </c>
      <c r="AI77" s="12">
        <f>IF(IF($D77="Unlabeled-13",MCDM_Settings!$F$8,MCDM_Settings!$D$8)=0,"n.a.",5*COUNTIF(S77:U77,"Y")/IF($D77="Unlabeled-13",MCDM_Settings!$F$8,MCDM_Settings!$D$8))</f>
        <v>3.3333333333333335</v>
      </c>
      <c r="AJ77" s="12">
        <f>IF(IF($D77="Unlabeled-13",MCDM_Settings!$F$8,MCDM_Settings!$D$8)=0,"n.a.",5*(COUNTIF(S77:U77,"Y")+COUNTIF(S77:U77,"U")+COUNTIF(S77:U77,"X"))/IF($D77="Unlabeled-13",MCDM_Settings!$F$8,MCDM_Settings!$D$8))</f>
        <v>5</v>
      </c>
      <c r="AK77" s="13">
        <f>IF(IF($D77="Unlabeled-13",MCDM_Settings!$F$8,MCDM_Settings!$D$8)=0,"n.a.",(COUNTIF(S77:U77,"Y")+COUNTIF(S77:U77,"N"))/IF($D77="Unlabeled-13",MCDM_Settings!$F$8,MCDM_Settings!$D$8))</f>
        <v>0.66666666666666663</v>
      </c>
      <c r="AL77" s="12">
        <f>IF(IF($D77="Unlabeled-13",MCDM_Settings!$F$9,MCDM_Settings!$D$9)=0,"n.a.",5*COUNTIF(V77:W77,"Y")/IF($D77="Unlabeled-13",MCDM_Settings!$F$9,MCDM_Settings!$D$9))</f>
        <v>0</v>
      </c>
      <c r="AM77" s="12">
        <f>IF(IF($D77="Unlabeled-13",MCDM_Settings!$F$9,MCDM_Settings!$D$9)=0,"n.a.",5*(COUNTIF(V77:W77,"Y")+COUNTIF(V77:W77,"U")+COUNTIF(V77:W77,"X"))/IF($D77="Unlabeled-13",MCDM_Settings!$F$9,MCDM_Settings!$D$9))</f>
        <v>5</v>
      </c>
      <c r="AN77" s="13">
        <f>IF(IF($D77="Unlabeled-13",MCDM_Settings!$F$9,MCDM_Settings!$D$9)=0,"n.a.",(COUNTIF(V77:W77,"Y")+COUNTIF(V77:W77,"N"))/IF($D77="Unlabeled-13",MCDM_Settings!$F$9,MCDM_Settings!$D$9))</f>
        <v>0</v>
      </c>
      <c r="AO77" s="12">
        <f>IF(IF($D77="Unlabeled-13",MCDM_Settings!$F$10,MCDM_Settings!$D$10)=0,"n.a.",5*COUNTIF(X77:Y77,"Y")/IF($D77="Unlabeled-13",MCDM_Settings!$F$10,MCDM_Settings!$D$10))</f>
        <v>2.5</v>
      </c>
      <c r="AP77" s="12">
        <f>IF(IF($D77="Unlabeled-13",MCDM_Settings!$F$10,MCDM_Settings!$D$10)=0,"n.a.",5*(COUNTIF(X77:Y77,"Y")+COUNTIF(X77:Y77,"U")+COUNTIF(X77:Y77,"X"))/IF($D77="Unlabeled-13",MCDM_Settings!$F$10,MCDM_Settings!$D$10))</f>
        <v>5</v>
      </c>
      <c r="AQ77" s="13">
        <f>IF(IF($D77="Unlabeled-13",MCDM_Settings!$F$10,MCDM_Settings!$D$10)=0,"n.a.",(COUNTIF(X77:Y77,"Y")+COUNTIF(X77:Y77,"N"))/IF($D77="Unlabeled-13",MCDM_Settings!$F$10,MCDM_Settings!$D$10))</f>
        <v>0.5</v>
      </c>
      <c r="AR77" s="12">
        <f>IF(IF($D77="Unlabeled-13",MCDM_Settings!$F$11,MCDM_Settings!$D$11)=0,"n.a.",5*COUNTIF(Z77:AB77,"Y")/IF($D77="Unlabeled-13",MCDM_Settings!$F$11,MCDM_Settings!$D$11))</f>
        <v>1.6666666666666667</v>
      </c>
      <c r="AS77" s="12">
        <f>IF(IF($D77="Unlabeled-13",MCDM_Settings!$F$11,MCDM_Settings!$D$11)=0,"n.a.",5*(COUNTIF(Z77:AB77,"Y")+COUNTIF(Z77:AB77,"U")+COUNTIF(Z77:AB77,"X"))/IF($D77="Unlabeled-13",MCDM_Settings!$F$11,MCDM_Settings!$D$11))</f>
        <v>5</v>
      </c>
      <c r="AT77" s="13">
        <f>IF(IF($D77="Unlabeled-13",MCDM_Settings!$F$11,MCDM_Settings!$D$11)=0,"n.a.",(COUNTIF(Z77:AB77,"Y")+COUNTIF(Z77:AB77,"N"))/IF($D77="Unlabeled-13",MCDM_Settings!$F$11,MCDM_Settings!$D$11))</f>
        <v>0.33333333333333331</v>
      </c>
      <c r="AU77" s="5" t="str">
        <f>IF(AND(INDEX(Manual_Review!$G$6:$G$238,MATCH(A77,Manual_Review!$A$6:$A$238,0))&lt;&gt;"",ISNUMBER(INDEX(Manual_Review!$H$6:$H$238,MATCH(A77,Manual_Review!$A$6:$A$238,0))),INDEX(Manual_Review!$H$6:$H$238,MATCH(A77,Manual_Review!$A$6:$A$238,0))&gt;0,INDEX(Manual_Review!$I$6:$I$238,MATCH(A77,Manual_Review!$A$6:$A$238,0))="Confirmed",INDEX(Manual_Review!$AF$6:$AF$238,MATCH(A77,Manual_Review!$A$6:$A$238,0))&lt;&gt;""),IF(INDEX(Manual_Review!$AA$6:$AA$238,MATCH(A77,Manual_Review!$A$6:$A$238,0))="Pass","Pass",IF(INDEX(Manual_Review!$AA$6:$AA$238,MATCH(A77,Manual_Review!$A$6:$A$238,0))="Fail","Fail","Pending")),"Pending human identity confirmation")</f>
        <v>Pending human identity confirmation</v>
      </c>
      <c r="AV77" s="5" t="str">
        <f>IF(AND(AND(INDEX(Manual_Review!$G$6:$G$238,MATCH(A77,Manual_Review!$A$6:$A$238,0))&lt;&gt;"",ISNUMBER(INDEX(Manual_Review!$H$6:$H$238,MATCH(A77,Manual_Review!$A$6:$A$238,0))),INDEX(Manual_Review!$H$6:$H$238,MATCH(A77,Manual_Review!$A$6:$A$238,0))&gt;0,INDEX(Manual_Review!$I$6:$I$238,MATCH(A77,Manual_Review!$A$6:$A$238,0))="Confirmed",INDEX(Manual_Review!$AF$6:$AF$238,MATCH(A77,Manual_Review!$A$6:$A$238,0))&lt;&gt;""),INDEX(Manual_Review!$AG$6:$AG$238,MATCH(A77,Manual_Review!$A$6:$A$238,0))&lt;&gt;""),IF(INDEX(Manual_Review!$AB$6:$AB$238,MATCH(A77,Manual_Review!$A$6:$A$238,0))="Pass","Pass",IF(INDEX(Manual_Review!$AB$6:$AB$238,MATCH(A77,Manual_Review!$A$6:$A$238,0))="Fail","Fail","Pending")),"Not assessed: define intended task")</f>
        <v>Not assessed: define intended task</v>
      </c>
      <c r="AW77" s="5" t="str">
        <f>IF(AND(AND(INDEX(Manual_Review!$G$6:$G$238,MATCH(A77,Manual_Review!$A$6:$A$238,0))&lt;&gt;"",ISNUMBER(INDEX(Manual_Review!$H$6:$H$238,MATCH(A77,Manual_Review!$A$6:$A$238,0))),INDEX(Manual_Review!$H$6:$H$238,MATCH(A77,Manual_Review!$A$6:$A$238,0))&gt;0,INDEX(Manual_Review!$I$6:$I$238,MATCH(A77,Manual_Review!$A$6:$A$238,0))="Confirmed",INDEX(Manual_Review!$AF$6:$AF$238,MATCH(A77,Manual_Review!$A$6:$A$238,0))&lt;&gt;""),INDEX(Manual_Review!$AG$6:$AG$238,MATCH(A77,Manual_Review!$A$6:$A$238,0))&lt;&gt;""),IF(OR(INDEX(Manual_Review!$AC$6:$AC$238,MATCH(A77,Manual_Review!$A$6:$A$238,0))="Fail",INDEX(Manual_Review!$AD$6:$AD$238,MATCH(A77,Manual_Review!$A$6:$A$238,0))="Fail"),"Fail: rights or retrieval",IF(AND(INDEX(Manual_Review!$AC$6:$AC$238,MATCH(A77,Manual_Review!$A$6:$A$238,0))="Pass",INDEX(Manual_Review!$AD$6:$AD$238,MATCH(A77,Manual_Review!$A$6:$A$238,0))="Pass"),"Pass","Pending rights and retrieval")),"Pending rights and retrieval")</f>
        <v>Pending rights and retrieval</v>
      </c>
      <c r="AX77" s="5" t="str">
        <f>IF(INDEX(Manual_Review!$AG$6:$AG$238,MATCH(A77,Manual_Review!$A$6:$A$238,0))="","N/A: documentation inventory",IF(AND(INDEX(Manual_Review!$G$6:$G$238,MATCH(A77,Manual_Review!$A$6:$A$238,0))&lt;&gt;"",ISNUMBER(INDEX(Manual_Review!$H$6:$H$238,MATCH(A77,Manual_Review!$A$6:$A$238,0))),INDEX(Manual_Review!$H$6:$H$238,MATCH(A77,Manual_Review!$A$6:$A$238,0))&gt;0,INDEX(Manual_Review!$I$6:$I$238,MATCH(A77,Manual_Review!$A$6:$A$238,0))="Confirmed",INDEX(Manual_Review!$AF$6:$AF$238,MATCH(A77,Manual_Review!$A$6:$A$238,0))&lt;&gt;""),IF(INDEX(Manual_Review!$AE$6:$AE$238,MATCH(A77,Manual_Review!$A$6:$A$238,0))="Pass","Pass",IF(INDEX(Manual_Review!$AE$6:$AE$238,MATCH(A77,Manual_Review!$A$6:$A$238,0))="Fail","Fail: benchmark leakage",IF(INDEX(Manual_Review!$AE$6:$AE$238,MATCH(A77,Manual_Review!$A$6:$A$238,0))="N/A","N/A: nonbenchmark task","Pending task-specific leakage check"))),"Pending task-specific leakage check"))</f>
        <v>N/A: documentation inventory</v>
      </c>
      <c r="AY77" s="5" t="str">
        <f>IF(IF(D77="Unlabeled-13",AND(ABS(MCDM_Settings!$D$14-1)&lt;0.0000001,MIN(MCDM_Settings!$E$6:$E$11)&gt;=0,MCDM_Settings!$E$7=0),AND(ABS(MCDM_Settings!$B$14-1)&lt;0.0000001,MIN(MCDM_Settings!$C$6:$C$11)&gt;=0)),"Valid","Check weights")</f>
        <v>Valid</v>
      </c>
      <c r="AZ77" s="5" t="str">
        <f>IF(AND(COUNTIF(MCDM_Checks!$B$6:$B$3733,A77)=16,COUNTIF(Manual_Review!$A$6:$A$238,A77)=1),"16 keys present","Check key count")</f>
        <v>16 keys present</v>
      </c>
    </row>
    <row r="78" spans="1:52">
      <c r="A78" s="5" t="s">
        <v>909</v>
      </c>
      <c r="B78" s="5" t="s">
        <v>910</v>
      </c>
      <c r="C78" s="5"/>
      <c r="D78" s="5" t="s">
        <v>118</v>
      </c>
      <c r="E78" s="12">
        <f>IF(OR(AY78&lt;&gt;"Valid",AZ78&lt;&gt;"16 keys present"),"Review settings",20*(IF(ISNUMBER(AC78),AC78*IF($D78="Unlabeled-13",MCDM_Settings!$E$6,MCDM_Settings!$C$6),0)+IF(ISNUMBER(AF78),AF78*IF($D78="Unlabeled-13",MCDM_Settings!$E$7,MCDM_Settings!$C$7),0)+IF(ISNUMBER(AI78),AI78*IF($D78="Unlabeled-13",MCDM_Settings!$E$8,MCDM_Settings!$C$8),0)+IF(ISNUMBER(AL78),AL78*IF($D78="Unlabeled-13",MCDM_Settings!$E$9,MCDM_Settings!$C$9),0)+IF(ISNUMBER(AO78),AO78*IF($D78="Unlabeled-13",MCDM_Settings!$E$10,MCDM_Settings!$C$10),0)+IF(ISNUMBER(AR78),AR78*IF($D78="Unlabeled-13",MCDM_Settings!$E$11,MCDM_Settings!$C$11),0)))</f>
        <v>63.888888888888872</v>
      </c>
      <c r="F78" s="12">
        <f>IF(OR(AY78&lt;&gt;"Valid",AZ78&lt;&gt;"16 keys present"),"Review settings",20*(IF(ISNUMBER(AD78),AD78*IF($D78="Unlabeled-13",MCDM_Settings!$E$6,MCDM_Settings!$C$6),0)+IF(ISNUMBER(AG78),AG78*IF($D78="Unlabeled-13",MCDM_Settings!$E$7,MCDM_Settings!$C$7),0)+IF(ISNUMBER(AJ78),AJ78*IF($D78="Unlabeled-13",MCDM_Settings!$E$8,MCDM_Settings!$C$8),0)+IF(ISNUMBER(AM78),AM78*IF($D78="Unlabeled-13",MCDM_Settings!$E$9,MCDM_Settings!$C$9),0)+IF(ISNUMBER(AP78),AP78*IF($D78="Unlabeled-13",MCDM_Settings!$E$10,MCDM_Settings!$C$10),0)+IF(ISNUMBER(AS78),AS78*IF($D78="Unlabeled-13",MCDM_Settings!$E$11,MCDM_Settings!$C$11),0)))</f>
        <v>99.999999999999986</v>
      </c>
      <c r="G78" s="13">
        <f>IF(OR(AY78&lt;&gt;"Valid",AZ78&lt;&gt;"16 keys present"),"Review settings",1*(IF(ISNUMBER(AE78),AE78*IF($D78="Unlabeled-13",MCDM_Settings!$E$6,MCDM_Settings!$C$6),0)+IF(ISNUMBER(AH78),AH78*IF($D78="Unlabeled-13",MCDM_Settings!$E$7,MCDM_Settings!$C$7),0)+IF(ISNUMBER(AK78),AK78*IF($D78="Unlabeled-13",MCDM_Settings!$E$8,MCDM_Settings!$C$8),0)+IF(ISNUMBER(AN78),AN78*IF($D78="Unlabeled-13",MCDM_Settings!$E$9,MCDM_Settings!$C$9),0)+IF(ISNUMBER(AQ78),AQ78*IF($D78="Unlabeled-13",MCDM_Settings!$E$10,MCDM_Settings!$C$10),0)+IF(ISNUMBER(AT78),AT78*IF($D78="Unlabeled-13",MCDM_Settings!$E$11,MCDM_Settings!$C$11),0)))</f>
        <v>0.63888888888888884</v>
      </c>
      <c r="H78" s="5" t="str">
        <f>INDEX(Manual_Review!$AH$6:$AH$238,MATCH(A78,Manual_Review!$A$6:$A$238,0))</f>
        <v>Not started</v>
      </c>
      <c r="I78" s="5" t="s">
        <v>128</v>
      </c>
      <c r="J78" s="5" t="s">
        <v>664</v>
      </c>
      <c r="K78" s="5" t="str">
        <f>HYPERLINK("https://data.mendeley.com/datasets/6p52w7d5xd/2","Dataset")</f>
        <v>Dataset</v>
      </c>
      <c r="L78" s="5" t="str">
        <f>HYPERLINK("#'Manual_Review'!A"&amp;(MATCH("DS-073",Manual_Review!$A$6:$A$238,0)+5),"Enter review")</f>
        <v>Enter review</v>
      </c>
      <c r="M78" s="5" t="str">
        <f>INDEX(MCDM_Checks!$K$6:$K$3733,MATCH(A78&amp;"|"&amp;M$5,MCDM_Checks!$A$6:$A$3733,0))</f>
        <v>Y</v>
      </c>
      <c r="N78" s="5" t="str">
        <f>INDEX(MCDM_Checks!$K$6:$K$3733,MATCH(A78&amp;"|"&amp;N$5,MCDM_Checks!$A$6:$A$3733,0))</f>
        <v>Y</v>
      </c>
      <c r="O78" s="5" t="str">
        <f>INDEX(MCDM_Checks!$K$6:$K$3733,MATCH(A78&amp;"|"&amp;O$5,MCDM_Checks!$A$6:$A$3733,0))</f>
        <v>U</v>
      </c>
      <c r="P78" s="5" t="str">
        <f>INDEX(MCDM_Checks!$K$6:$K$3733,MATCH(A78&amp;"|"&amp;P$5,MCDM_Checks!$A$6:$A$3733,0))</f>
        <v>Y</v>
      </c>
      <c r="Q78" s="5" t="str">
        <f>INDEX(MCDM_Checks!$K$6:$K$3733,MATCH(A78&amp;"|"&amp;Q$5,MCDM_Checks!$A$6:$A$3733,0))</f>
        <v>U</v>
      </c>
      <c r="R78" s="5" t="str">
        <f>INDEX(MCDM_Checks!$K$6:$K$3733,MATCH(A78&amp;"|"&amp;R$5,MCDM_Checks!$A$6:$A$3733,0))</f>
        <v>U</v>
      </c>
      <c r="S78" s="5" t="str">
        <f>INDEX(MCDM_Checks!$K$6:$K$3733,MATCH(A78&amp;"|"&amp;S$5,MCDM_Checks!$A$6:$A$3733,0))</f>
        <v>U</v>
      </c>
      <c r="T78" s="5" t="str">
        <f>INDEX(MCDM_Checks!$K$6:$K$3733,MATCH(A78&amp;"|"&amp;T$5,MCDM_Checks!$A$6:$A$3733,0))</f>
        <v>Y</v>
      </c>
      <c r="U78" s="5" t="str">
        <f>INDEX(MCDM_Checks!$K$6:$K$3733,MATCH(A78&amp;"|"&amp;U$5,MCDM_Checks!$A$6:$A$3733,0))</f>
        <v>U</v>
      </c>
      <c r="V78" s="5" t="str">
        <f>INDEX(MCDM_Checks!$K$6:$K$3733,MATCH(A78&amp;"|"&amp;V$5,MCDM_Checks!$A$6:$A$3733,0))</f>
        <v>Y</v>
      </c>
      <c r="W78" s="5" t="str">
        <f>INDEX(MCDM_Checks!$K$6:$K$3733,MATCH(A78&amp;"|"&amp;W$5,MCDM_Checks!$A$6:$A$3733,0))</f>
        <v>U</v>
      </c>
      <c r="X78" s="5" t="str">
        <f>INDEX(MCDM_Checks!$K$6:$K$3733,MATCH(A78&amp;"|"&amp;X$5,MCDM_Checks!$A$6:$A$3733,0))</f>
        <v>Y</v>
      </c>
      <c r="Y78" s="5" t="str">
        <f>INDEX(MCDM_Checks!$K$6:$K$3733,MATCH(A78&amp;"|"&amp;Y$5,MCDM_Checks!$A$6:$A$3733,0))</f>
        <v>Y</v>
      </c>
      <c r="Z78" s="5" t="str">
        <f>INDEX(MCDM_Checks!$K$6:$K$3733,MATCH(A78&amp;"|"&amp;Z$5,MCDM_Checks!$A$6:$A$3733,0))</f>
        <v>Y</v>
      </c>
      <c r="AA78" s="5" t="str">
        <f>INDEX(MCDM_Checks!$K$6:$K$3733,MATCH(A78&amp;"|"&amp;AA$5,MCDM_Checks!$A$6:$A$3733,0))</f>
        <v>Y</v>
      </c>
      <c r="AB78" s="5" t="str">
        <f>INDEX(MCDM_Checks!$K$6:$K$3733,MATCH(A78&amp;"|"&amp;AB$5,MCDM_Checks!$A$6:$A$3733,0))</f>
        <v>Y</v>
      </c>
      <c r="AC78" s="12">
        <f>IF(IF($D78="Unlabeled-13",MCDM_Settings!$F$6,MCDM_Settings!$D$6)=0,"n.a.",5*COUNTIF(M78:O78,"Y")/IF($D78="Unlabeled-13",MCDM_Settings!$F$6,MCDM_Settings!$D$6))</f>
        <v>3.3333333333333335</v>
      </c>
      <c r="AD78" s="12">
        <f>IF(IF($D78="Unlabeled-13",MCDM_Settings!$F$6,MCDM_Settings!$D$6)=0,"n.a.",5*(COUNTIF(M78:O78,"Y")+COUNTIF(M78:O78,"U")+COUNTIF(M78:O78,"X"))/IF($D78="Unlabeled-13",MCDM_Settings!$F$6,MCDM_Settings!$D$6))</f>
        <v>5</v>
      </c>
      <c r="AE78" s="13">
        <f>IF(IF($D78="Unlabeled-13",MCDM_Settings!$F$6,MCDM_Settings!$D$6)=0,"n.a.",(COUNTIF(M78:O78,"Y")+COUNTIF(M78:O78,"N"))/IF($D78="Unlabeled-13",MCDM_Settings!$F$6,MCDM_Settings!$D$6))</f>
        <v>0.66666666666666663</v>
      </c>
      <c r="AF78" s="12">
        <f>IF(IF($D78="Unlabeled-13",MCDM_Settings!$F$7,MCDM_Settings!$D$7)=0,"n.a.",5*COUNTIF(P78:R78,"Y")/IF($D78="Unlabeled-13",MCDM_Settings!$F$7,MCDM_Settings!$D$7))</f>
        <v>1.6666666666666667</v>
      </c>
      <c r="AG78" s="12">
        <f>IF(IF($D78="Unlabeled-13",MCDM_Settings!$F$7,MCDM_Settings!$D$7)=0,"n.a.",5*(COUNTIF(P78:R78,"Y")+COUNTIF(P78:R78,"U")+COUNTIF(P78:R78,"X"))/IF($D78="Unlabeled-13",MCDM_Settings!$F$7,MCDM_Settings!$D$7))</f>
        <v>5</v>
      </c>
      <c r="AH78" s="13">
        <f>IF(IF($D78="Unlabeled-13",MCDM_Settings!$F$7,MCDM_Settings!$D$7)=0,"n.a.",(COUNTIF(P78:R78,"Y")+COUNTIF(P78:R78,"N"))/IF($D78="Unlabeled-13",MCDM_Settings!$F$7,MCDM_Settings!$D$7))</f>
        <v>0.33333333333333331</v>
      </c>
      <c r="AI78" s="12">
        <f>IF(IF($D78="Unlabeled-13",MCDM_Settings!$F$8,MCDM_Settings!$D$8)=0,"n.a.",5*COUNTIF(S78:U78,"Y")/IF($D78="Unlabeled-13",MCDM_Settings!$F$8,MCDM_Settings!$D$8))</f>
        <v>1.6666666666666667</v>
      </c>
      <c r="AJ78" s="12">
        <f>IF(IF($D78="Unlabeled-13",MCDM_Settings!$F$8,MCDM_Settings!$D$8)=0,"n.a.",5*(COUNTIF(S78:U78,"Y")+COUNTIF(S78:U78,"U")+COUNTIF(S78:U78,"X"))/IF($D78="Unlabeled-13",MCDM_Settings!$F$8,MCDM_Settings!$D$8))</f>
        <v>5</v>
      </c>
      <c r="AK78" s="13">
        <f>IF(IF($D78="Unlabeled-13",MCDM_Settings!$F$8,MCDM_Settings!$D$8)=0,"n.a.",(COUNTIF(S78:U78,"Y")+COUNTIF(S78:U78,"N"))/IF($D78="Unlabeled-13",MCDM_Settings!$F$8,MCDM_Settings!$D$8))</f>
        <v>0.33333333333333331</v>
      </c>
      <c r="AL78" s="12">
        <f>IF(IF($D78="Unlabeled-13",MCDM_Settings!$F$9,MCDM_Settings!$D$9)=0,"n.a.",5*COUNTIF(V78:W78,"Y")/IF($D78="Unlabeled-13",MCDM_Settings!$F$9,MCDM_Settings!$D$9))</f>
        <v>2.5</v>
      </c>
      <c r="AM78" s="12">
        <f>IF(IF($D78="Unlabeled-13",MCDM_Settings!$F$9,MCDM_Settings!$D$9)=0,"n.a.",5*(COUNTIF(V78:W78,"Y")+COUNTIF(V78:W78,"U")+COUNTIF(V78:W78,"X"))/IF($D78="Unlabeled-13",MCDM_Settings!$F$9,MCDM_Settings!$D$9))</f>
        <v>5</v>
      </c>
      <c r="AN78" s="13">
        <f>IF(IF($D78="Unlabeled-13",MCDM_Settings!$F$9,MCDM_Settings!$D$9)=0,"n.a.",(COUNTIF(V78:W78,"Y")+COUNTIF(V78:W78,"N"))/IF($D78="Unlabeled-13",MCDM_Settings!$F$9,MCDM_Settings!$D$9))</f>
        <v>0.5</v>
      </c>
      <c r="AO78" s="12">
        <f>IF(IF($D78="Unlabeled-13",MCDM_Settings!$F$10,MCDM_Settings!$D$10)=0,"n.a.",5*COUNTIF(X78:Y78,"Y")/IF($D78="Unlabeled-13",MCDM_Settings!$F$10,MCDM_Settings!$D$10))</f>
        <v>5</v>
      </c>
      <c r="AP78" s="12">
        <f>IF(IF($D78="Unlabeled-13",MCDM_Settings!$F$10,MCDM_Settings!$D$10)=0,"n.a.",5*(COUNTIF(X78:Y78,"Y")+COUNTIF(X78:Y78,"U")+COUNTIF(X78:Y78,"X"))/IF($D78="Unlabeled-13",MCDM_Settings!$F$10,MCDM_Settings!$D$10))</f>
        <v>5</v>
      </c>
      <c r="AQ78" s="13">
        <f>IF(IF($D78="Unlabeled-13",MCDM_Settings!$F$10,MCDM_Settings!$D$10)=0,"n.a.",(COUNTIF(X78:Y78,"Y")+COUNTIF(X78:Y78,"N"))/IF($D78="Unlabeled-13",MCDM_Settings!$F$10,MCDM_Settings!$D$10))</f>
        <v>1</v>
      </c>
      <c r="AR78" s="12">
        <f>IF(IF($D78="Unlabeled-13",MCDM_Settings!$F$11,MCDM_Settings!$D$11)=0,"n.a.",5*COUNTIF(Z78:AB78,"Y")/IF($D78="Unlabeled-13",MCDM_Settings!$F$11,MCDM_Settings!$D$11))</f>
        <v>5</v>
      </c>
      <c r="AS78" s="12">
        <f>IF(IF($D78="Unlabeled-13",MCDM_Settings!$F$11,MCDM_Settings!$D$11)=0,"n.a.",5*(COUNTIF(Z78:AB78,"Y")+COUNTIF(Z78:AB78,"U")+COUNTIF(Z78:AB78,"X"))/IF($D78="Unlabeled-13",MCDM_Settings!$F$11,MCDM_Settings!$D$11))</f>
        <v>5</v>
      </c>
      <c r="AT78" s="13">
        <f>IF(IF($D78="Unlabeled-13",MCDM_Settings!$F$11,MCDM_Settings!$D$11)=0,"n.a.",(COUNTIF(Z78:AB78,"Y")+COUNTIF(Z78:AB78,"N"))/IF($D78="Unlabeled-13",MCDM_Settings!$F$11,MCDM_Settings!$D$11))</f>
        <v>1</v>
      </c>
      <c r="AU78" s="5" t="str">
        <f>IF(AND(INDEX(Manual_Review!$G$6:$G$238,MATCH(A78,Manual_Review!$A$6:$A$238,0))&lt;&gt;"",ISNUMBER(INDEX(Manual_Review!$H$6:$H$238,MATCH(A78,Manual_Review!$A$6:$A$238,0))),INDEX(Manual_Review!$H$6:$H$238,MATCH(A78,Manual_Review!$A$6:$A$238,0))&gt;0,INDEX(Manual_Review!$I$6:$I$238,MATCH(A78,Manual_Review!$A$6:$A$238,0))="Confirmed",INDEX(Manual_Review!$AF$6:$AF$238,MATCH(A78,Manual_Review!$A$6:$A$238,0))&lt;&gt;""),IF(INDEX(Manual_Review!$AA$6:$AA$238,MATCH(A78,Manual_Review!$A$6:$A$238,0))="Pass","Pass",IF(INDEX(Manual_Review!$AA$6:$AA$238,MATCH(A78,Manual_Review!$A$6:$A$238,0))="Fail","Fail","Pending")),"Pending human identity confirmation")</f>
        <v>Pending human identity confirmation</v>
      </c>
      <c r="AV78" s="5" t="str">
        <f>IF(AND(AND(INDEX(Manual_Review!$G$6:$G$238,MATCH(A78,Manual_Review!$A$6:$A$238,0))&lt;&gt;"",ISNUMBER(INDEX(Manual_Review!$H$6:$H$238,MATCH(A78,Manual_Review!$A$6:$A$238,0))),INDEX(Manual_Review!$H$6:$H$238,MATCH(A78,Manual_Review!$A$6:$A$238,0))&gt;0,INDEX(Manual_Review!$I$6:$I$238,MATCH(A78,Manual_Review!$A$6:$A$238,0))="Confirmed",INDEX(Manual_Review!$AF$6:$AF$238,MATCH(A78,Manual_Review!$A$6:$A$238,0))&lt;&gt;""),INDEX(Manual_Review!$AG$6:$AG$238,MATCH(A78,Manual_Review!$A$6:$A$238,0))&lt;&gt;""),IF(INDEX(Manual_Review!$AB$6:$AB$238,MATCH(A78,Manual_Review!$A$6:$A$238,0))="Pass","Pass",IF(INDEX(Manual_Review!$AB$6:$AB$238,MATCH(A78,Manual_Review!$A$6:$A$238,0))="Fail","Fail","Pending")),"Not assessed: define intended task")</f>
        <v>Not assessed: define intended task</v>
      </c>
      <c r="AW78" s="5" t="str">
        <f>IF(AND(AND(INDEX(Manual_Review!$G$6:$G$238,MATCH(A78,Manual_Review!$A$6:$A$238,0))&lt;&gt;"",ISNUMBER(INDEX(Manual_Review!$H$6:$H$238,MATCH(A78,Manual_Review!$A$6:$A$238,0))),INDEX(Manual_Review!$H$6:$H$238,MATCH(A78,Manual_Review!$A$6:$A$238,0))&gt;0,INDEX(Manual_Review!$I$6:$I$238,MATCH(A78,Manual_Review!$A$6:$A$238,0))="Confirmed",INDEX(Manual_Review!$AF$6:$AF$238,MATCH(A78,Manual_Review!$A$6:$A$238,0))&lt;&gt;""),INDEX(Manual_Review!$AG$6:$AG$238,MATCH(A78,Manual_Review!$A$6:$A$238,0))&lt;&gt;""),IF(OR(INDEX(Manual_Review!$AC$6:$AC$238,MATCH(A78,Manual_Review!$A$6:$A$238,0))="Fail",INDEX(Manual_Review!$AD$6:$AD$238,MATCH(A78,Manual_Review!$A$6:$A$238,0))="Fail"),"Fail: rights or retrieval",IF(AND(INDEX(Manual_Review!$AC$6:$AC$238,MATCH(A78,Manual_Review!$A$6:$A$238,0))="Pass",INDEX(Manual_Review!$AD$6:$AD$238,MATCH(A78,Manual_Review!$A$6:$A$238,0))="Pass"),"Pass","Pending rights and retrieval")),"Pending rights and retrieval")</f>
        <v>Pending rights and retrieval</v>
      </c>
      <c r="AX78" s="5" t="str">
        <f>IF(INDEX(Manual_Review!$AG$6:$AG$238,MATCH(A78,Manual_Review!$A$6:$A$238,0))="","N/A: documentation inventory",IF(AND(INDEX(Manual_Review!$G$6:$G$238,MATCH(A78,Manual_Review!$A$6:$A$238,0))&lt;&gt;"",ISNUMBER(INDEX(Manual_Review!$H$6:$H$238,MATCH(A78,Manual_Review!$A$6:$A$238,0))),INDEX(Manual_Review!$H$6:$H$238,MATCH(A78,Manual_Review!$A$6:$A$238,0))&gt;0,INDEX(Manual_Review!$I$6:$I$238,MATCH(A78,Manual_Review!$A$6:$A$238,0))="Confirmed",INDEX(Manual_Review!$AF$6:$AF$238,MATCH(A78,Manual_Review!$A$6:$A$238,0))&lt;&gt;""),IF(INDEX(Manual_Review!$AE$6:$AE$238,MATCH(A78,Manual_Review!$A$6:$A$238,0))="Pass","Pass",IF(INDEX(Manual_Review!$AE$6:$AE$238,MATCH(A78,Manual_Review!$A$6:$A$238,0))="Fail","Fail: benchmark leakage",IF(INDEX(Manual_Review!$AE$6:$AE$238,MATCH(A78,Manual_Review!$A$6:$A$238,0))="N/A","N/A: nonbenchmark task","Pending task-specific leakage check"))),"Pending task-specific leakage check"))</f>
        <v>N/A: documentation inventory</v>
      </c>
      <c r="AY78" s="5" t="str">
        <f>IF(IF(D78="Unlabeled-13",AND(ABS(MCDM_Settings!$D$14-1)&lt;0.0000001,MIN(MCDM_Settings!$E$6:$E$11)&gt;=0,MCDM_Settings!$E$7=0),AND(ABS(MCDM_Settings!$B$14-1)&lt;0.0000001,MIN(MCDM_Settings!$C$6:$C$11)&gt;=0)),"Valid","Check weights")</f>
        <v>Valid</v>
      </c>
      <c r="AZ78" s="5" t="str">
        <f>IF(AND(COUNTIF(MCDM_Checks!$B$6:$B$3733,A78)=16,COUNTIF(Manual_Review!$A$6:$A$238,A78)=1),"16 keys present","Check key count")</f>
        <v>16 keys present</v>
      </c>
    </row>
    <row r="79" spans="1:52" ht="25.5">
      <c r="A79" s="5" t="s">
        <v>920</v>
      </c>
      <c r="B79" s="5" t="s">
        <v>921</v>
      </c>
      <c r="C79" s="5"/>
      <c r="D79" s="5" t="s">
        <v>118</v>
      </c>
      <c r="E79" s="12">
        <f>IF(OR(AY79&lt;&gt;"Valid",AZ79&lt;&gt;"16 keys present"),"Review settings",20*(IF(ISNUMBER(AC79),AC79*IF($D79="Unlabeled-13",MCDM_Settings!$E$6,MCDM_Settings!$C$6),0)+IF(ISNUMBER(AF79),AF79*IF($D79="Unlabeled-13",MCDM_Settings!$E$7,MCDM_Settings!$C$7),0)+IF(ISNUMBER(AI79),AI79*IF($D79="Unlabeled-13",MCDM_Settings!$E$8,MCDM_Settings!$C$8),0)+IF(ISNUMBER(AL79),AL79*IF($D79="Unlabeled-13",MCDM_Settings!$E$9,MCDM_Settings!$C$9),0)+IF(ISNUMBER(AO79),AO79*IF($D79="Unlabeled-13",MCDM_Settings!$E$10,MCDM_Settings!$C$10),0)+IF(ISNUMBER(AR79),AR79*IF($D79="Unlabeled-13",MCDM_Settings!$E$11,MCDM_Settings!$C$11),0)))</f>
        <v>94.444444444444429</v>
      </c>
      <c r="F79" s="12">
        <f>IF(OR(AY79&lt;&gt;"Valid",AZ79&lt;&gt;"16 keys present"),"Review settings",20*(IF(ISNUMBER(AD79),AD79*IF($D79="Unlabeled-13",MCDM_Settings!$E$6,MCDM_Settings!$C$6),0)+IF(ISNUMBER(AG79),AG79*IF($D79="Unlabeled-13",MCDM_Settings!$E$7,MCDM_Settings!$C$7),0)+IF(ISNUMBER(AJ79),AJ79*IF($D79="Unlabeled-13",MCDM_Settings!$E$8,MCDM_Settings!$C$8),0)+IF(ISNUMBER(AM79),AM79*IF($D79="Unlabeled-13",MCDM_Settings!$E$9,MCDM_Settings!$C$9),0)+IF(ISNUMBER(AP79),AP79*IF($D79="Unlabeled-13",MCDM_Settings!$E$10,MCDM_Settings!$C$10),0)+IF(ISNUMBER(AS79),AS79*IF($D79="Unlabeled-13",MCDM_Settings!$E$11,MCDM_Settings!$C$11),0)))</f>
        <v>99.999999999999986</v>
      </c>
      <c r="G79" s="13">
        <f>IF(OR(AY79&lt;&gt;"Valid",AZ79&lt;&gt;"16 keys present"),"Review settings",1*(IF(ISNUMBER(AE79),AE79*IF($D79="Unlabeled-13",MCDM_Settings!$E$6,MCDM_Settings!$C$6),0)+IF(ISNUMBER(AH79),AH79*IF($D79="Unlabeled-13",MCDM_Settings!$E$7,MCDM_Settings!$C$7),0)+IF(ISNUMBER(AK79),AK79*IF($D79="Unlabeled-13",MCDM_Settings!$E$8,MCDM_Settings!$C$8),0)+IF(ISNUMBER(AN79),AN79*IF($D79="Unlabeled-13",MCDM_Settings!$E$9,MCDM_Settings!$C$9),0)+IF(ISNUMBER(AQ79),AQ79*IF($D79="Unlabeled-13",MCDM_Settings!$E$10,MCDM_Settings!$C$10),0)+IF(ISNUMBER(AT79),AT79*IF($D79="Unlabeled-13",MCDM_Settings!$E$11,MCDM_Settings!$C$11),0)))</f>
        <v>0.94444444444444431</v>
      </c>
      <c r="H79" s="5" t="str">
        <f>INDEX(Manual_Review!$AH$6:$AH$238,MATCH(A79,Manual_Review!$A$6:$A$238,0))</f>
        <v>Not started</v>
      </c>
      <c r="I79" s="5" t="s">
        <v>128</v>
      </c>
      <c r="J79" s="5" t="s">
        <v>556</v>
      </c>
      <c r="K79" s="5" t="str">
        <f>HYPERLINK("https://data.mendeley.com/datasets/8b27pdcxv7/1","Dataset")</f>
        <v>Dataset</v>
      </c>
      <c r="L79" s="5" t="str">
        <f>HYPERLINK("#'Manual_Review'!A"&amp;(MATCH("DS-074",Manual_Review!$A$6:$A$238,0)+5),"Enter review")</f>
        <v>Enter review</v>
      </c>
      <c r="M79" s="5" t="str">
        <f>INDEX(MCDM_Checks!$K$6:$K$3733,MATCH(A79&amp;"|"&amp;M$5,MCDM_Checks!$A$6:$A$3733,0))</f>
        <v>Y</v>
      </c>
      <c r="N79" s="5" t="str">
        <f>INDEX(MCDM_Checks!$K$6:$K$3733,MATCH(A79&amp;"|"&amp;N$5,MCDM_Checks!$A$6:$A$3733,0))</f>
        <v>Y</v>
      </c>
      <c r="O79" s="5" t="str">
        <f>INDEX(MCDM_Checks!$K$6:$K$3733,MATCH(A79&amp;"|"&amp;O$5,MCDM_Checks!$A$6:$A$3733,0))</f>
        <v>Y</v>
      </c>
      <c r="P79" s="5" t="str">
        <f>INDEX(MCDM_Checks!$K$6:$K$3733,MATCH(A79&amp;"|"&amp;P$5,MCDM_Checks!$A$6:$A$3733,0))</f>
        <v>Y</v>
      </c>
      <c r="Q79" s="5" t="str">
        <f>INDEX(MCDM_Checks!$K$6:$K$3733,MATCH(A79&amp;"|"&amp;Q$5,MCDM_Checks!$A$6:$A$3733,0))</f>
        <v>Y</v>
      </c>
      <c r="R79" s="5" t="str">
        <f>INDEX(MCDM_Checks!$K$6:$K$3733,MATCH(A79&amp;"|"&amp;R$5,MCDM_Checks!$A$6:$A$3733,0))</f>
        <v>U</v>
      </c>
      <c r="S79" s="5" t="str">
        <f>INDEX(MCDM_Checks!$K$6:$K$3733,MATCH(A79&amp;"|"&amp;S$5,MCDM_Checks!$A$6:$A$3733,0))</f>
        <v>Y</v>
      </c>
      <c r="T79" s="5" t="str">
        <f>INDEX(MCDM_Checks!$K$6:$K$3733,MATCH(A79&amp;"|"&amp;T$5,MCDM_Checks!$A$6:$A$3733,0))</f>
        <v>Y</v>
      </c>
      <c r="U79" s="5" t="str">
        <f>INDEX(MCDM_Checks!$K$6:$K$3733,MATCH(A79&amp;"|"&amp;U$5,MCDM_Checks!$A$6:$A$3733,0))</f>
        <v>Y</v>
      </c>
      <c r="V79" s="5" t="str">
        <f>INDEX(MCDM_Checks!$K$6:$K$3733,MATCH(A79&amp;"|"&amp;V$5,MCDM_Checks!$A$6:$A$3733,0))</f>
        <v>Y</v>
      </c>
      <c r="W79" s="5" t="str">
        <f>INDEX(MCDM_Checks!$K$6:$K$3733,MATCH(A79&amp;"|"&amp;W$5,MCDM_Checks!$A$6:$A$3733,0))</f>
        <v>Y</v>
      </c>
      <c r="X79" s="5" t="str">
        <f>INDEX(MCDM_Checks!$K$6:$K$3733,MATCH(A79&amp;"|"&amp;X$5,MCDM_Checks!$A$6:$A$3733,0))</f>
        <v>Y</v>
      </c>
      <c r="Y79" s="5" t="str">
        <f>INDEX(MCDM_Checks!$K$6:$K$3733,MATCH(A79&amp;"|"&amp;Y$5,MCDM_Checks!$A$6:$A$3733,0))</f>
        <v>Y</v>
      </c>
      <c r="Z79" s="5" t="str">
        <f>INDEX(MCDM_Checks!$K$6:$K$3733,MATCH(A79&amp;"|"&amp;Z$5,MCDM_Checks!$A$6:$A$3733,0))</f>
        <v>Y</v>
      </c>
      <c r="AA79" s="5" t="str">
        <f>INDEX(MCDM_Checks!$K$6:$K$3733,MATCH(A79&amp;"|"&amp;AA$5,MCDM_Checks!$A$6:$A$3733,0))</f>
        <v>Y</v>
      </c>
      <c r="AB79" s="5" t="str">
        <f>INDEX(MCDM_Checks!$K$6:$K$3733,MATCH(A79&amp;"|"&amp;AB$5,MCDM_Checks!$A$6:$A$3733,0))</f>
        <v>Y</v>
      </c>
      <c r="AC79" s="12">
        <f>IF(IF($D79="Unlabeled-13",MCDM_Settings!$F$6,MCDM_Settings!$D$6)=0,"n.a.",5*COUNTIF(M79:O79,"Y")/IF($D79="Unlabeled-13",MCDM_Settings!$F$6,MCDM_Settings!$D$6))</f>
        <v>5</v>
      </c>
      <c r="AD79" s="12">
        <f>IF(IF($D79="Unlabeled-13",MCDM_Settings!$F$6,MCDM_Settings!$D$6)=0,"n.a.",5*(COUNTIF(M79:O79,"Y")+COUNTIF(M79:O79,"U")+COUNTIF(M79:O79,"X"))/IF($D79="Unlabeled-13",MCDM_Settings!$F$6,MCDM_Settings!$D$6))</f>
        <v>5</v>
      </c>
      <c r="AE79" s="13">
        <f>IF(IF($D79="Unlabeled-13",MCDM_Settings!$F$6,MCDM_Settings!$D$6)=0,"n.a.",(COUNTIF(M79:O79,"Y")+COUNTIF(M79:O79,"N"))/IF($D79="Unlabeled-13",MCDM_Settings!$F$6,MCDM_Settings!$D$6))</f>
        <v>1</v>
      </c>
      <c r="AF79" s="12">
        <f>IF(IF($D79="Unlabeled-13",MCDM_Settings!$F$7,MCDM_Settings!$D$7)=0,"n.a.",5*COUNTIF(P79:R79,"Y")/IF($D79="Unlabeled-13",MCDM_Settings!$F$7,MCDM_Settings!$D$7))</f>
        <v>3.3333333333333335</v>
      </c>
      <c r="AG79" s="12">
        <f>IF(IF($D79="Unlabeled-13",MCDM_Settings!$F$7,MCDM_Settings!$D$7)=0,"n.a.",5*(COUNTIF(P79:R79,"Y")+COUNTIF(P79:R79,"U")+COUNTIF(P79:R79,"X"))/IF($D79="Unlabeled-13",MCDM_Settings!$F$7,MCDM_Settings!$D$7))</f>
        <v>5</v>
      </c>
      <c r="AH79" s="13">
        <f>IF(IF($D79="Unlabeled-13",MCDM_Settings!$F$7,MCDM_Settings!$D$7)=0,"n.a.",(COUNTIF(P79:R79,"Y")+COUNTIF(P79:R79,"N"))/IF($D79="Unlabeled-13",MCDM_Settings!$F$7,MCDM_Settings!$D$7))</f>
        <v>0.66666666666666663</v>
      </c>
      <c r="AI79" s="12">
        <f>IF(IF($D79="Unlabeled-13",MCDM_Settings!$F$8,MCDM_Settings!$D$8)=0,"n.a.",5*COUNTIF(S79:U79,"Y")/IF($D79="Unlabeled-13",MCDM_Settings!$F$8,MCDM_Settings!$D$8))</f>
        <v>5</v>
      </c>
      <c r="AJ79" s="12">
        <f>IF(IF($D79="Unlabeled-13",MCDM_Settings!$F$8,MCDM_Settings!$D$8)=0,"n.a.",5*(COUNTIF(S79:U79,"Y")+COUNTIF(S79:U79,"U")+COUNTIF(S79:U79,"X"))/IF($D79="Unlabeled-13",MCDM_Settings!$F$8,MCDM_Settings!$D$8))</f>
        <v>5</v>
      </c>
      <c r="AK79" s="13">
        <f>IF(IF($D79="Unlabeled-13",MCDM_Settings!$F$8,MCDM_Settings!$D$8)=0,"n.a.",(COUNTIF(S79:U79,"Y")+COUNTIF(S79:U79,"N"))/IF($D79="Unlabeled-13",MCDM_Settings!$F$8,MCDM_Settings!$D$8))</f>
        <v>1</v>
      </c>
      <c r="AL79" s="12">
        <f>IF(IF($D79="Unlabeled-13",MCDM_Settings!$F$9,MCDM_Settings!$D$9)=0,"n.a.",5*COUNTIF(V79:W79,"Y")/IF($D79="Unlabeled-13",MCDM_Settings!$F$9,MCDM_Settings!$D$9))</f>
        <v>5</v>
      </c>
      <c r="AM79" s="12">
        <f>IF(IF($D79="Unlabeled-13",MCDM_Settings!$F$9,MCDM_Settings!$D$9)=0,"n.a.",5*(COUNTIF(V79:W79,"Y")+COUNTIF(V79:W79,"U")+COUNTIF(V79:W79,"X"))/IF($D79="Unlabeled-13",MCDM_Settings!$F$9,MCDM_Settings!$D$9))</f>
        <v>5</v>
      </c>
      <c r="AN79" s="13">
        <f>IF(IF($D79="Unlabeled-13",MCDM_Settings!$F$9,MCDM_Settings!$D$9)=0,"n.a.",(COUNTIF(V79:W79,"Y")+COUNTIF(V79:W79,"N"))/IF($D79="Unlabeled-13",MCDM_Settings!$F$9,MCDM_Settings!$D$9))</f>
        <v>1</v>
      </c>
      <c r="AO79" s="12">
        <f>IF(IF($D79="Unlabeled-13",MCDM_Settings!$F$10,MCDM_Settings!$D$10)=0,"n.a.",5*COUNTIF(X79:Y79,"Y")/IF($D79="Unlabeled-13",MCDM_Settings!$F$10,MCDM_Settings!$D$10))</f>
        <v>5</v>
      </c>
      <c r="AP79" s="12">
        <f>IF(IF($D79="Unlabeled-13",MCDM_Settings!$F$10,MCDM_Settings!$D$10)=0,"n.a.",5*(COUNTIF(X79:Y79,"Y")+COUNTIF(X79:Y79,"U")+COUNTIF(X79:Y79,"X"))/IF($D79="Unlabeled-13",MCDM_Settings!$F$10,MCDM_Settings!$D$10))</f>
        <v>5</v>
      </c>
      <c r="AQ79" s="13">
        <f>IF(IF($D79="Unlabeled-13",MCDM_Settings!$F$10,MCDM_Settings!$D$10)=0,"n.a.",(COUNTIF(X79:Y79,"Y")+COUNTIF(X79:Y79,"N"))/IF($D79="Unlabeled-13",MCDM_Settings!$F$10,MCDM_Settings!$D$10))</f>
        <v>1</v>
      </c>
      <c r="AR79" s="12">
        <f>IF(IF($D79="Unlabeled-13",MCDM_Settings!$F$11,MCDM_Settings!$D$11)=0,"n.a.",5*COUNTIF(Z79:AB79,"Y")/IF($D79="Unlabeled-13",MCDM_Settings!$F$11,MCDM_Settings!$D$11))</f>
        <v>5</v>
      </c>
      <c r="AS79" s="12">
        <f>IF(IF($D79="Unlabeled-13",MCDM_Settings!$F$11,MCDM_Settings!$D$11)=0,"n.a.",5*(COUNTIF(Z79:AB79,"Y")+COUNTIF(Z79:AB79,"U")+COUNTIF(Z79:AB79,"X"))/IF($D79="Unlabeled-13",MCDM_Settings!$F$11,MCDM_Settings!$D$11))</f>
        <v>5</v>
      </c>
      <c r="AT79" s="13">
        <f>IF(IF($D79="Unlabeled-13",MCDM_Settings!$F$11,MCDM_Settings!$D$11)=0,"n.a.",(COUNTIF(Z79:AB79,"Y")+COUNTIF(Z79:AB79,"N"))/IF($D79="Unlabeled-13",MCDM_Settings!$F$11,MCDM_Settings!$D$11))</f>
        <v>1</v>
      </c>
      <c r="AU79" s="5" t="str">
        <f>IF(AND(INDEX(Manual_Review!$G$6:$G$238,MATCH(A79,Manual_Review!$A$6:$A$238,0))&lt;&gt;"",ISNUMBER(INDEX(Manual_Review!$H$6:$H$238,MATCH(A79,Manual_Review!$A$6:$A$238,0))),INDEX(Manual_Review!$H$6:$H$238,MATCH(A79,Manual_Review!$A$6:$A$238,0))&gt;0,INDEX(Manual_Review!$I$6:$I$238,MATCH(A79,Manual_Review!$A$6:$A$238,0))="Confirmed",INDEX(Manual_Review!$AF$6:$AF$238,MATCH(A79,Manual_Review!$A$6:$A$238,0))&lt;&gt;""),IF(INDEX(Manual_Review!$AA$6:$AA$238,MATCH(A79,Manual_Review!$A$6:$A$238,0))="Pass","Pass",IF(INDEX(Manual_Review!$AA$6:$AA$238,MATCH(A79,Manual_Review!$A$6:$A$238,0))="Fail","Fail","Pending")),"Pending human identity confirmation")</f>
        <v>Pending human identity confirmation</v>
      </c>
      <c r="AV79" s="5" t="str">
        <f>IF(AND(AND(INDEX(Manual_Review!$G$6:$G$238,MATCH(A79,Manual_Review!$A$6:$A$238,0))&lt;&gt;"",ISNUMBER(INDEX(Manual_Review!$H$6:$H$238,MATCH(A79,Manual_Review!$A$6:$A$238,0))),INDEX(Manual_Review!$H$6:$H$238,MATCH(A79,Manual_Review!$A$6:$A$238,0))&gt;0,INDEX(Manual_Review!$I$6:$I$238,MATCH(A79,Manual_Review!$A$6:$A$238,0))="Confirmed",INDEX(Manual_Review!$AF$6:$AF$238,MATCH(A79,Manual_Review!$A$6:$A$238,0))&lt;&gt;""),INDEX(Manual_Review!$AG$6:$AG$238,MATCH(A79,Manual_Review!$A$6:$A$238,0))&lt;&gt;""),IF(INDEX(Manual_Review!$AB$6:$AB$238,MATCH(A79,Manual_Review!$A$6:$A$238,0))="Pass","Pass",IF(INDEX(Manual_Review!$AB$6:$AB$238,MATCH(A79,Manual_Review!$A$6:$A$238,0))="Fail","Fail","Pending")),"Not assessed: define intended task")</f>
        <v>Not assessed: define intended task</v>
      </c>
      <c r="AW79" s="5" t="str">
        <f>IF(AND(AND(INDEX(Manual_Review!$G$6:$G$238,MATCH(A79,Manual_Review!$A$6:$A$238,0))&lt;&gt;"",ISNUMBER(INDEX(Manual_Review!$H$6:$H$238,MATCH(A79,Manual_Review!$A$6:$A$238,0))),INDEX(Manual_Review!$H$6:$H$238,MATCH(A79,Manual_Review!$A$6:$A$238,0))&gt;0,INDEX(Manual_Review!$I$6:$I$238,MATCH(A79,Manual_Review!$A$6:$A$238,0))="Confirmed",INDEX(Manual_Review!$AF$6:$AF$238,MATCH(A79,Manual_Review!$A$6:$A$238,0))&lt;&gt;""),INDEX(Manual_Review!$AG$6:$AG$238,MATCH(A79,Manual_Review!$A$6:$A$238,0))&lt;&gt;""),IF(OR(INDEX(Manual_Review!$AC$6:$AC$238,MATCH(A79,Manual_Review!$A$6:$A$238,0))="Fail",INDEX(Manual_Review!$AD$6:$AD$238,MATCH(A79,Manual_Review!$A$6:$A$238,0))="Fail"),"Fail: rights or retrieval",IF(AND(INDEX(Manual_Review!$AC$6:$AC$238,MATCH(A79,Manual_Review!$A$6:$A$238,0))="Pass",INDEX(Manual_Review!$AD$6:$AD$238,MATCH(A79,Manual_Review!$A$6:$A$238,0))="Pass"),"Pass","Pending rights and retrieval")),"Pending rights and retrieval")</f>
        <v>Pending rights and retrieval</v>
      </c>
      <c r="AX79" s="5" t="str">
        <f>IF(INDEX(Manual_Review!$AG$6:$AG$238,MATCH(A79,Manual_Review!$A$6:$A$238,0))="","N/A: documentation inventory",IF(AND(INDEX(Manual_Review!$G$6:$G$238,MATCH(A79,Manual_Review!$A$6:$A$238,0))&lt;&gt;"",ISNUMBER(INDEX(Manual_Review!$H$6:$H$238,MATCH(A79,Manual_Review!$A$6:$A$238,0))),INDEX(Manual_Review!$H$6:$H$238,MATCH(A79,Manual_Review!$A$6:$A$238,0))&gt;0,INDEX(Manual_Review!$I$6:$I$238,MATCH(A79,Manual_Review!$A$6:$A$238,0))="Confirmed",INDEX(Manual_Review!$AF$6:$AF$238,MATCH(A79,Manual_Review!$A$6:$A$238,0))&lt;&gt;""),IF(INDEX(Manual_Review!$AE$6:$AE$238,MATCH(A79,Manual_Review!$A$6:$A$238,0))="Pass","Pass",IF(INDEX(Manual_Review!$AE$6:$AE$238,MATCH(A79,Manual_Review!$A$6:$A$238,0))="Fail","Fail: benchmark leakage",IF(INDEX(Manual_Review!$AE$6:$AE$238,MATCH(A79,Manual_Review!$A$6:$A$238,0))="N/A","N/A: nonbenchmark task","Pending task-specific leakage check"))),"Pending task-specific leakage check"))</f>
        <v>N/A: documentation inventory</v>
      </c>
      <c r="AY79" s="5" t="str">
        <f>IF(IF(D79="Unlabeled-13",AND(ABS(MCDM_Settings!$D$14-1)&lt;0.0000001,MIN(MCDM_Settings!$E$6:$E$11)&gt;=0,MCDM_Settings!$E$7=0),AND(ABS(MCDM_Settings!$B$14-1)&lt;0.0000001,MIN(MCDM_Settings!$C$6:$C$11)&gt;=0)),"Valid","Check weights")</f>
        <v>Valid</v>
      </c>
      <c r="AZ79" s="5" t="str">
        <f>IF(AND(COUNTIF(MCDM_Checks!$B$6:$B$3733,A79)=16,COUNTIF(Manual_Review!$A$6:$A$238,A79)=1),"16 keys present","Check key count")</f>
        <v>16 keys present</v>
      </c>
    </row>
    <row r="80" spans="1:52" ht="25.5">
      <c r="A80" s="5" t="s">
        <v>930</v>
      </c>
      <c r="B80" s="5" t="s">
        <v>931</v>
      </c>
      <c r="C80" s="5"/>
      <c r="D80" s="5" t="s">
        <v>118</v>
      </c>
      <c r="E80" s="12">
        <f>IF(OR(AY80&lt;&gt;"Valid",AZ80&lt;&gt;"16 keys present"),"Review settings",20*(IF(ISNUMBER(AC80),AC80*IF($D80="Unlabeled-13",MCDM_Settings!$E$6,MCDM_Settings!$C$6),0)+IF(ISNUMBER(AF80),AF80*IF($D80="Unlabeled-13",MCDM_Settings!$E$7,MCDM_Settings!$C$7),0)+IF(ISNUMBER(AI80),AI80*IF($D80="Unlabeled-13",MCDM_Settings!$E$8,MCDM_Settings!$C$8),0)+IF(ISNUMBER(AL80),AL80*IF($D80="Unlabeled-13",MCDM_Settings!$E$9,MCDM_Settings!$C$9),0)+IF(ISNUMBER(AO80),AO80*IF($D80="Unlabeled-13",MCDM_Settings!$E$10,MCDM_Settings!$C$10),0)+IF(ISNUMBER(AR80),AR80*IF($D80="Unlabeled-13",MCDM_Settings!$E$11,MCDM_Settings!$C$11),0)))</f>
        <v>61.111111111111107</v>
      </c>
      <c r="F80" s="12">
        <f>IF(OR(AY80&lt;&gt;"Valid",AZ80&lt;&gt;"16 keys present"),"Review settings",20*(IF(ISNUMBER(AD80),AD80*IF($D80="Unlabeled-13",MCDM_Settings!$E$6,MCDM_Settings!$C$6),0)+IF(ISNUMBER(AG80),AG80*IF($D80="Unlabeled-13",MCDM_Settings!$E$7,MCDM_Settings!$C$7),0)+IF(ISNUMBER(AJ80),AJ80*IF($D80="Unlabeled-13",MCDM_Settings!$E$8,MCDM_Settings!$C$8),0)+IF(ISNUMBER(AM80),AM80*IF($D80="Unlabeled-13",MCDM_Settings!$E$9,MCDM_Settings!$C$9),0)+IF(ISNUMBER(AP80),AP80*IF($D80="Unlabeled-13",MCDM_Settings!$E$10,MCDM_Settings!$C$10),0)+IF(ISNUMBER(AS80),AS80*IF($D80="Unlabeled-13",MCDM_Settings!$E$11,MCDM_Settings!$C$11),0)))</f>
        <v>99.999999999999986</v>
      </c>
      <c r="G80" s="13">
        <f>IF(OR(AY80&lt;&gt;"Valid",AZ80&lt;&gt;"16 keys present"),"Review settings",1*(IF(ISNUMBER(AE80),AE80*IF($D80="Unlabeled-13",MCDM_Settings!$E$6,MCDM_Settings!$C$6),0)+IF(ISNUMBER(AH80),AH80*IF($D80="Unlabeled-13",MCDM_Settings!$E$7,MCDM_Settings!$C$7),0)+IF(ISNUMBER(AK80),AK80*IF($D80="Unlabeled-13",MCDM_Settings!$E$8,MCDM_Settings!$C$8),0)+IF(ISNUMBER(AN80),AN80*IF($D80="Unlabeled-13",MCDM_Settings!$E$9,MCDM_Settings!$C$9),0)+IF(ISNUMBER(AQ80),AQ80*IF($D80="Unlabeled-13",MCDM_Settings!$E$10,MCDM_Settings!$C$10),0)+IF(ISNUMBER(AT80),AT80*IF($D80="Unlabeled-13",MCDM_Settings!$E$11,MCDM_Settings!$C$11),0)))</f>
        <v>0.61111111111111105</v>
      </c>
      <c r="H80" s="5" t="str">
        <f>INDEX(Manual_Review!$AH$6:$AH$238,MATCH(A80,Manual_Review!$A$6:$A$238,0))</f>
        <v>Not started</v>
      </c>
      <c r="I80" s="5" t="s">
        <v>128</v>
      </c>
      <c r="J80" s="5" t="s">
        <v>556</v>
      </c>
      <c r="K80" s="5" t="str">
        <f>HYPERLINK("https://data.mendeley.com/datasets/f46zt2g83x/1","Dataset")</f>
        <v>Dataset</v>
      </c>
      <c r="L80" s="5" t="str">
        <f>HYPERLINK("#'Manual_Review'!A"&amp;(MATCH("DS-075",Manual_Review!$A$6:$A$238,0)+5),"Enter review")</f>
        <v>Enter review</v>
      </c>
      <c r="M80" s="5" t="str">
        <f>INDEX(MCDM_Checks!$K$6:$K$3733,MATCH(A80&amp;"|"&amp;M$5,MCDM_Checks!$A$6:$A$3733,0))</f>
        <v>Y</v>
      </c>
      <c r="N80" s="5" t="str">
        <f>INDEX(MCDM_Checks!$K$6:$K$3733,MATCH(A80&amp;"|"&amp;N$5,MCDM_Checks!$A$6:$A$3733,0))</f>
        <v>Y</v>
      </c>
      <c r="O80" s="5" t="str">
        <f>INDEX(MCDM_Checks!$K$6:$K$3733,MATCH(A80&amp;"|"&amp;O$5,MCDM_Checks!$A$6:$A$3733,0))</f>
        <v>Y</v>
      </c>
      <c r="P80" s="5" t="str">
        <f>INDEX(MCDM_Checks!$K$6:$K$3733,MATCH(A80&amp;"|"&amp;P$5,MCDM_Checks!$A$6:$A$3733,0))</f>
        <v>Y</v>
      </c>
      <c r="Q80" s="5" t="str">
        <f>INDEX(MCDM_Checks!$K$6:$K$3733,MATCH(A80&amp;"|"&amp;Q$5,MCDM_Checks!$A$6:$A$3733,0))</f>
        <v>U</v>
      </c>
      <c r="R80" s="5" t="str">
        <f>INDEX(MCDM_Checks!$K$6:$K$3733,MATCH(A80&amp;"|"&amp;R$5,MCDM_Checks!$A$6:$A$3733,0))</f>
        <v>U</v>
      </c>
      <c r="S80" s="5" t="str">
        <f>INDEX(MCDM_Checks!$K$6:$K$3733,MATCH(A80&amp;"|"&amp;S$5,MCDM_Checks!$A$6:$A$3733,0))</f>
        <v>U</v>
      </c>
      <c r="T80" s="5" t="str">
        <f>INDEX(MCDM_Checks!$K$6:$K$3733,MATCH(A80&amp;"|"&amp;T$5,MCDM_Checks!$A$6:$A$3733,0))</f>
        <v>Y</v>
      </c>
      <c r="U80" s="5" t="str">
        <f>INDEX(MCDM_Checks!$K$6:$K$3733,MATCH(A80&amp;"|"&amp;U$5,MCDM_Checks!$A$6:$A$3733,0))</f>
        <v>U</v>
      </c>
      <c r="V80" s="5" t="str">
        <f>INDEX(MCDM_Checks!$K$6:$K$3733,MATCH(A80&amp;"|"&amp;V$5,MCDM_Checks!$A$6:$A$3733,0))</f>
        <v>U</v>
      </c>
      <c r="W80" s="5" t="str">
        <f>INDEX(MCDM_Checks!$K$6:$K$3733,MATCH(A80&amp;"|"&amp;W$5,MCDM_Checks!$A$6:$A$3733,0))</f>
        <v>U</v>
      </c>
      <c r="X80" s="5" t="str">
        <f>INDEX(MCDM_Checks!$K$6:$K$3733,MATCH(A80&amp;"|"&amp;X$5,MCDM_Checks!$A$6:$A$3733,0))</f>
        <v>Y</v>
      </c>
      <c r="Y80" s="5" t="str">
        <f>INDEX(MCDM_Checks!$K$6:$K$3733,MATCH(A80&amp;"|"&amp;Y$5,MCDM_Checks!$A$6:$A$3733,0))</f>
        <v>Y</v>
      </c>
      <c r="Z80" s="5" t="str">
        <f>INDEX(MCDM_Checks!$K$6:$K$3733,MATCH(A80&amp;"|"&amp;Z$5,MCDM_Checks!$A$6:$A$3733,0))</f>
        <v>Y</v>
      </c>
      <c r="AA80" s="5" t="str">
        <f>INDEX(MCDM_Checks!$K$6:$K$3733,MATCH(A80&amp;"|"&amp;AA$5,MCDM_Checks!$A$6:$A$3733,0))</f>
        <v>Y</v>
      </c>
      <c r="AB80" s="5" t="str">
        <f>INDEX(MCDM_Checks!$K$6:$K$3733,MATCH(A80&amp;"|"&amp;AB$5,MCDM_Checks!$A$6:$A$3733,0))</f>
        <v>Y</v>
      </c>
      <c r="AC80" s="12">
        <f>IF(IF($D80="Unlabeled-13",MCDM_Settings!$F$6,MCDM_Settings!$D$6)=0,"n.a.",5*COUNTIF(M80:O80,"Y")/IF($D80="Unlabeled-13",MCDM_Settings!$F$6,MCDM_Settings!$D$6))</f>
        <v>5</v>
      </c>
      <c r="AD80" s="12">
        <f>IF(IF($D80="Unlabeled-13",MCDM_Settings!$F$6,MCDM_Settings!$D$6)=0,"n.a.",5*(COUNTIF(M80:O80,"Y")+COUNTIF(M80:O80,"U")+COUNTIF(M80:O80,"X"))/IF($D80="Unlabeled-13",MCDM_Settings!$F$6,MCDM_Settings!$D$6))</f>
        <v>5</v>
      </c>
      <c r="AE80" s="13">
        <f>IF(IF($D80="Unlabeled-13",MCDM_Settings!$F$6,MCDM_Settings!$D$6)=0,"n.a.",(COUNTIF(M80:O80,"Y")+COUNTIF(M80:O80,"N"))/IF($D80="Unlabeled-13",MCDM_Settings!$F$6,MCDM_Settings!$D$6))</f>
        <v>1</v>
      </c>
      <c r="AF80" s="12">
        <f>IF(IF($D80="Unlabeled-13",MCDM_Settings!$F$7,MCDM_Settings!$D$7)=0,"n.a.",5*COUNTIF(P80:R80,"Y")/IF($D80="Unlabeled-13",MCDM_Settings!$F$7,MCDM_Settings!$D$7))</f>
        <v>1.6666666666666667</v>
      </c>
      <c r="AG80" s="12">
        <f>IF(IF($D80="Unlabeled-13",MCDM_Settings!$F$7,MCDM_Settings!$D$7)=0,"n.a.",5*(COUNTIF(P80:R80,"Y")+COUNTIF(P80:R80,"U")+COUNTIF(P80:R80,"X"))/IF($D80="Unlabeled-13",MCDM_Settings!$F$7,MCDM_Settings!$D$7))</f>
        <v>5</v>
      </c>
      <c r="AH80" s="13">
        <f>IF(IF($D80="Unlabeled-13",MCDM_Settings!$F$7,MCDM_Settings!$D$7)=0,"n.a.",(COUNTIF(P80:R80,"Y")+COUNTIF(P80:R80,"N"))/IF($D80="Unlabeled-13",MCDM_Settings!$F$7,MCDM_Settings!$D$7))</f>
        <v>0.33333333333333331</v>
      </c>
      <c r="AI80" s="12">
        <f>IF(IF($D80="Unlabeled-13",MCDM_Settings!$F$8,MCDM_Settings!$D$8)=0,"n.a.",5*COUNTIF(S80:U80,"Y")/IF($D80="Unlabeled-13",MCDM_Settings!$F$8,MCDM_Settings!$D$8))</f>
        <v>1.6666666666666667</v>
      </c>
      <c r="AJ80" s="12">
        <f>IF(IF($D80="Unlabeled-13",MCDM_Settings!$F$8,MCDM_Settings!$D$8)=0,"n.a.",5*(COUNTIF(S80:U80,"Y")+COUNTIF(S80:U80,"U")+COUNTIF(S80:U80,"X"))/IF($D80="Unlabeled-13",MCDM_Settings!$F$8,MCDM_Settings!$D$8))</f>
        <v>5</v>
      </c>
      <c r="AK80" s="13">
        <f>IF(IF($D80="Unlabeled-13",MCDM_Settings!$F$8,MCDM_Settings!$D$8)=0,"n.a.",(COUNTIF(S80:U80,"Y")+COUNTIF(S80:U80,"N"))/IF($D80="Unlabeled-13",MCDM_Settings!$F$8,MCDM_Settings!$D$8))</f>
        <v>0.33333333333333331</v>
      </c>
      <c r="AL80" s="12">
        <f>IF(IF($D80="Unlabeled-13",MCDM_Settings!$F$9,MCDM_Settings!$D$9)=0,"n.a.",5*COUNTIF(V80:W80,"Y")/IF($D80="Unlabeled-13",MCDM_Settings!$F$9,MCDM_Settings!$D$9))</f>
        <v>0</v>
      </c>
      <c r="AM80" s="12">
        <f>IF(IF($D80="Unlabeled-13",MCDM_Settings!$F$9,MCDM_Settings!$D$9)=0,"n.a.",5*(COUNTIF(V80:W80,"Y")+COUNTIF(V80:W80,"U")+COUNTIF(V80:W80,"X"))/IF($D80="Unlabeled-13",MCDM_Settings!$F$9,MCDM_Settings!$D$9))</f>
        <v>5</v>
      </c>
      <c r="AN80" s="13">
        <f>IF(IF($D80="Unlabeled-13",MCDM_Settings!$F$9,MCDM_Settings!$D$9)=0,"n.a.",(COUNTIF(V80:W80,"Y")+COUNTIF(V80:W80,"N"))/IF($D80="Unlabeled-13",MCDM_Settings!$F$9,MCDM_Settings!$D$9))</f>
        <v>0</v>
      </c>
      <c r="AO80" s="12">
        <f>IF(IF($D80="Unlabeled-13",MCDM_Settings!$F$10,MCDM_Settings!$D$10)=0,"n.a.",5*COUNTIF(X80:Y80,"Y")/IF($D80="Unlabeled-13",MCDM_Settings!$F$10,MCDM_Settings!$D$10))</f>
        <v>5</v>
      </c>
      <c r="AP80" s="12">
        <f>IF(IF($D80="Unlabeled-13",MCDM_Settings!$F$10,MCDM_Settings!$D$10)=0,"n.a.",5*(COUNTIF(X80:Y80,"Y")+COUNTIF(X80:Y80,"U")+COUNTIF(X80:Y80,"X"))/IF($D80="Unlabeled-13",MCDM_Settings!$F$10,MCDM_Settings!$D$10))</f>
        <v>5</v>
      </c>
      <c r="AQ80" s="13">
        <f>IF(IF($D80="Unlabeled-13",MCDM_Settings!$F$10,MCDM_Settings!$D$10)=0,"n.a.",(COUNTIF(X80:Y80,"Y")+COUNTIF(X80:Y80,"N"))/IF($D80="Unlabeled-13",MCDM_Settings!$F$10,MCDM_Settings!$D$10))</f>
        <v>1</v>
      </c>
      <c r="AR80" s="12">
        <f>IF(IF($D80="Unlabeled-13",MCDM_Settings!$F$11,MCDM_Settings!$D$11)=0,"n.a.",5*COUNTIF(Z80:AB80,"Y")/IF($D80="Unlabeled-13",MCDM_Settings!$F$11,MCDM_Settings!$D$11))</f>
        <v>5</v>
      </c>
      <c r="AS80" s="12">
        <f>IF(IF($D80="Unlabeled-13",MCDM_Settings!$F$11,MCDM_Settings!$D$11)=0,"n.a.",5*(COUNTIF(Z80:AB80,"Y")+COUNTIF(Z80:AB80,"U")+COUNTIF(Z80:AB80,"X"))/IF($D80="Unlabeled-13",MCDM_Settings!$F$11,MCDM_Settings!$D$11))</f>
        <v>5</v>
      </c>
      <c r="AT80" s="13">
        <f>IF(IF($D80="Unlabeled-13",MCDM_Settings!$F$11,MCDM_Settings!$D$11)=0,"n.a.",(COUNTIF(Z80:AB80,"Y")+COUNTIF(Z80:AB80,"N"))/IF($D80="Unlabeled-13",MCDM_Settings!$F$11,MCDM_Settings!$D$11))</f>
        <v>1</v>
      </c>
      <c r="AU80" s="5" t="str">
        <f>IF(AND(INDEX(Manual_Review!$G$6:$G$238,MATCH(A80,Manual_Review!$A$6:$A$238,0))&lt;&gt;"",ISNUMBER(INDEX(Manual_Review!$H$6:$H$238,MATCH(A80,Manual_Review!$A$6:$A$238,0))),INDEX(Manual_Review!$H$6:$H$238,MATCH(A80,Manual_Review!$A$6:$A$238,0))&gt;0,INDEX(Manual_Review!$I$6:$I$238,MATCH(A80,Manual_Review!$A$6:$A$238,0))="Confirmed",INDEX(Manual_Review!$AF$6:$AF$238,MATCH(A80,Manual_Review!$A$6:$A$238,0))&lt;&gt;""),IF(INDEX(Manual_Review!$AA$6:$AA$238,MATCH(A80,Manual_Review!$A$6:$A$238,0))="Pass","Pass",IF(INDEX(Manual_Review!$AA$6:$AA$238,MATCH(A80,Manual_Review!$A$6:$A$238,0))="Fail","Fail","Pending")),"Pending human identity confirmation")</f>
        <v>Pending human identity confirmation</v>
      </c>
      <c r="AV80" s="5" t="str">
        <f>IF(AND(AND(INDEX(Manual_Review!$G$6:$G$238,MATCH(A80,Manual_Review!$A$6:$A$238,0))&lt;&gt;"",ISNUMBER(INDEX(Manual_Review!$H$6:$H$238,MATCH(A80,Manual_Review!$A$6:$A$238,0))),INDEX(Manual_Review!$H$6:$H$238,MATCH(A80,Manual_Review!$A$6:$A$238,0))&gt;0,INDEX(Manual_Review!$I$6:$I$238,MATCH(A80,Manual_Review!$A$6:$A$238,0))="Confirmed",INDEX(Manual_Review!$AF$6:$AF$238,MATCH(A80,Manual_Review!$A$6:$A$238,0))&lt;&gt;""),INDEX(Manual_Review!$AG$6:$AG$238,MATCH(A80,Manual_Review!$A$6:$A$238,0))&lt;&gt;""),IF(INDEX(Manual_Review!$AB$6:$AB$238,MATCH(A80,Manual_Review!$A$6:$A$238,0))="Pass","Pass",IF(INDEX(Manual_Review!$AB$6:$AB$238,MATCH(A80,Manual_Review!$A$6:$A$238,0))="Fail","Fail","Pending")),"Not assessed: define intended task")</f>
        <v>Not assessed: define intended task</v>
      </c>
      <c r="AW80" s="5" t="str">
        <f>IF(AND(AND(INDEX(Manual_Review!$G$6:$G$238,MATCH(A80,Manual_Review!$A$6:$A$238,0))&lt;&gt;"",ISNUMBER(INDEX(Manual_Review!$H$6:$H$238,MATCH(A80,Manual_Review!$A$6:$A$238,0))),INDEX(Manual_Review!$H$6:$H$238,MATCH(A80,Manual_Review!$A$6:$A$238,0))&gt;0,INDEX(Manual_Review!$I$6:$I$238,MATCH(A80,Manual_Review!$A$6:$A$238,0))="Confirmed",INDEX(Manual_Review!$AF$6:$AF$238,MATCH(A80,Manual_Review!$A$6:$A$238,0))&lt;&gt;""),INDEX(Manual_Review!$AG$6:$AG$238,MATCH(A80,Manual_Review!$A$6:$A$238,0))&lt;&gt;""),IF(OR(INDEX(Manual_Review!$AC$6:$AC$238,MATCH(A80,Manual_Review!$A$6:$A$238,0))="Fail",INDEX(Manual_Review!$AD$6:$AD$238,MATCH(A80,Manual_Review!$A$6:$A$238,0))="Fail"),"Fail: rights or retrieval",IF(AND(INDEX(Manual_Review!$AC$6:$AC$238,MATCH(A80,Manual_Review!$A$6:$A$238,0))="Pass",INDEX(Manual_Review!$AD$6:$AD$238,MATCH(A80,Manual_Review!$A$6:$A$238,0))="Pass"),"Pass","Pending rights and retrieval")),"Pending rights and retrieval")</f>
        <v>Pending rights and retrieval</v>
      </c>
      <c r="AX80" s="5" t="str">
        <f>IF(INDEX(Manual_Review!$AG$6:$AG$238,MATCH(A80,Manual_Review!$A$6:$A$238,0))="","N/A: documentation inventory",IF(AND(INDEX(Manual_Review!$G$6:$G$238,MATCH(A80,Manual_Review!$A$6:$A$238,0))&lt;&gt;"",ISNUMBER(INDEX(Manual_Review!$H$6:$H$238,MATCH(A80,Manual_Review!$A$6:$A$238,0))),INDEX(Manual_Review!$H$6:$H$238,MATCH(A80,Manual_Review!$A$6:$A$238,0))&gt;0,INDEX(Manual_Review!$I$6:$I$238,MATCH(A80,Manual_Review!$A$6:$A$238,0))="Confirmed",INDEX(Manual_Review!$AF$6:$AF$238,MATCH(A80,Manual_Review!$A$6:$A$238,0))&lt;&gt;""),IF(INDEX(Manual_Review!$AE$6:$AE$238,MATCH(A80,Manual_Review!$A$6:$A$238,0))="Pass","Pass",IF(INDEX(Manual_Review!$AE$6:$AE$238,MATCH(A80,Manual_Review!$A$6:$A$238,0))="Fail","Fail: benchmark leakage",IF(INDEX(Manual_Review!$AE$6:$AE$238,MATCH(A80,Manual_Review!$A$6:$A$238,0))="N/A","N/A: nonbenchmark task","Pending task-specific leakage check"))),"Pending task-specific leakage check"))</f>
        <v>N/A: documentation inventory</v>
      </c>
      <c r="AY80" s="5" t="str">
        <f>IF(IF(D80="Unlabeled-13",AND(ABS(MCDM_Settings!$D$14-1)&lt;0.0000001,MIN(MCDM_Settings!$E$6:$E$11)&gt;=0,MCDM_Settings!$E$7=0),AND(ABS(MCDM_Settings!$B$14-1)&lt;0.0000001,MIN(MCDM_Settings!$C$6:$C$11)&gt;=0)),"Valid","Check weights")</f>
        <v>Valid</v>
      </c>
      <c r="AZ80" s="5" t="str">
        <f>IF(AND(COUNTIF(MCDM_Checks!$B$6:$B$3733,A80)=16,COUNTIF(Manual_Review!$A$6:$A$238,A80)=1),"16 keys present","Check key count")</f>
        <v>16 keys present</v>
      </c>
    </row>
    <row r="81" spans="1:52">
      <c r="A81" s="5" t="s">
        <v>940</v>
      </c>
      <c r="B81" s="5" t="s">
        <v>941</v>
      </c>
      <c r="C81" s="5"/>
      <c r="D81" s="5" t="s">
        <v>118</v>
      </c>
      <c r="E81" s="12">
        <f>IF(OR(AY81&lt;&gt;"Valid",AZ81&lt;&gt;"16 keys present"),"Review settings",20*(IF(ISNUMBER(AC81),AC81*IF($D81="Unlabeled-13",MCDM_Settings!$E$6,MCDM_Settings!$C$6),0)+IF(ISNUMBER(AF81),AF81*IF($D81="Unlabeled-13",MCDM_Settings!$E$7,MCDM_Settings!$C$7),0)+IF(ISNUMBER(AI81),AI81*IF($D81="Unlabeled-13",MCDM_Settings!$E$8,MCDM_Settings!$C$8),0)+IF(ISNUMBER(AL81),AL81*IF($D81="Unlabeled-13",MCDM_Settings!$E$9,MCDM_Settings!$C$9),0)+IF(ISNUMBER(AO81),AO81*IF($D81="Unlabeled-13",MCDM_Settings!$E$10,MCDM_Settings!$C$10),0)+IF(ISNUMBER(AR81),AR81*IF($D81="Unlabeled-13",MCDM_Settings!$E$11,MCDM_Settings!$C$11),0)))</f>
        <v>33.333333333333329</v>
      </c>
      <c r="F81" s="12">
        <f>IF(OR(AY81&lt;&gt;"Valid",AZ81&lt;&gt;"16 keys present"),"Review settings",20*(IF(ISNUMBER(AD81),AD81*IF($D81="Unlabeled-13",MCDM_Settings!$E$6,MCDM_Settings!$C$6),0)+IF(ISNUMBER(AG81),AG81*IF($D81="Unlabeled-13",MCDM_Settings!$E$7,MCDM_Settings!$C$7),0)+IF(ISNUMBER(AJ81),AJ81*IF($D81="Unlabeled-13",MCDM_Settings!$E$8,MCDM_Settings!$C$8),0)+IF(ISNUMBER(AM81),AM81*IF($D81="Unlabeled-13",MCDM_Settings!$E$9,MCDM_Settings!$C$9),0)+IF(ISNUMBER(AP81),AP81*IF($D81="Unlabeled-13",MCDM_Settings!$E$10,MCDM_Settings!$C$10),0)+IF(ISNUMBER(AS81),AS81*IF($D81="Unlabeled-13",MCDM_Settings!$E$11,MCDM_Settings!$C$11),0)))</f>
        <v>99.999999999999986</v>
      </c>
      <c r="G81" s="13">
        <f>IF(OR(AY81&lt;&gt;"Valid",AZ81&lt;&gt;"16 keys present"),"Review settings",1*(IF(ISNUMBER(AE81),AE81*IF($D81="Unlabeled-13",MCDM_Settings!$E$6,MCDM_Settings!$C$6),0)+IF(ISNUMBER(AH81),AH81*IF($D81="Unlabeled-13",MCDM_Settings!$E$7,MCDM_Settings!$C$7),0)+IF(ISNUMBER(AK81),AK81*IF($D81="Unlabeled-13",MCDM_Settings!$E$8,MCDM_Settings!$C$8),0)+IF(ISNUMBER(AN81),AN81*IF($D81="Unlabeled-13",MCDM_Settings!$E$9,MCDM_Settings!$C$9),0)+IF(ISNUMBER(AQ81),AQ81*IF($D81="Unlabeled-13",MCDM_Settings!$E$10,MCDM_Settings!$C$10),0)+IF(ISNUMBER(AT81),AT81*IF($D81="Unlabeled-13",MCDM_Settings!$E$11,MCDM_Settings!$C$11),0)))</f>
        <v>0.33333333333333331</v>
      </c>
      <c r="H81" s="5" t="str">
        <f>INDEX(Manual_Review!$AH$6:$AH$238,MATCH(A81,Manual_Review!$A$6:$A$238,0))</f>
        <v>Not started</v>
      </c>
      <c r="I81" s="5" t="s">
        <v>128</v>
      </c>
      <c r="J81" s="5" t="s">
        <v>556</v>
      </c>
      <c r="K81" s="5" t="str">
        <f>HYPERLINK("https://data.mendeley.com/datasets/cbm6dkvggn/1","Dataset")</f>
        <v>Dataset</v>
      </c>
      <c r="L81" s="5" t="str">
        <f>HYPERLINK("#'Manual_Review'!A"&amp;(MATCH("DS-076",Manual_Review!$A$6:$A$238,0)+5),"Enter review")</f>
        <v>Enter review</v>
      </c>
      <c r="M81" s="5" t="str">
        <f>INDEX(MCDM_Checks!$K$6:$K$3733,MATCH(A81&amp;"|"&amp;M$5,MCDM_Checks!$A$6:$A$3733,0))</f>
        <v>Y</v>
      </c>
      <c r="N81" s="5" t="str">
        <f>INDEX(MCDM_Checks!$K$6:$K$3733,MATCH(A81&amp;"|"&amp;N$5,MCDM_Checks!$A$6:$A$3733,0))</f>
        <v>Y</v>
      </c>
      <c r="O81" s="5" t="str">
        <f>INDEX(MCDM_Checks!$K$6:$K$3733,MATCH(A81&amp;"|"&amp;O$5,MCDM_Checks!$A$6:$A$3733,0))</f>
        <v>Y</v>
      </c>
      <c r="P81" s="5" t="str">
        <f>INDEX(MCDM_Checks!$K$6:$K$3733,MATCH(A81&amp;"|"&amp;P$5,MCDM_Checks!$A$6:$A$3733,0))</f>
        <v>U</v>
      </c>
      <c r="Q81" s="5" t="str">
        <f>INDEX(MCDM_Checks!$K$6:$K$3733,MATCH(A81&amp;"|"&amp;Q$5,MCDM_Checks!$A$6:$A$3733,0))</f>
        <v>U</v>
      </c>
      <c r="R81" s="5" t="str">
        <f>INDEX(MCDM_Checks!$K$6:$K$3733,MATCH(A81&amp;"|"&amp;R$5,MCDM_Checks!$A$6:$A$3733,0))</f>
        <v>U</v>
      </c>
      <c r="S81" s="5" t="str">
        <f>INDEX(MCDM_Checks!$K$6:$K$3733,MATCH(A81&amp;"|"&amp;S$5,MCDM_Checks!$A$6:$A$3733,0))</f>
        <v>U</v>
      </c>
      <c r="T81" s="5" t="str">
        <f>INDEX(MCDM_Checks!$K$6:$K$3733,MATCH(A81&amp;"|"&amp;T$5,MCDM_Checks!$A$6:$A$3733,0))</f>
        <v>U</v>
      </c>
      <c r="U81" s="5" t="str">
        <f>INDEX(MCDM_Checks!$K$6:$K$3733,MATCH(A81&amp;"|"&amp;U$5,MCDM_Checks!$A$6:$A$3733,0))</f>
        <v>U</v>
      </c>
      <c r="V81" s="5" t="str">
        <f>INDEX(MCDM_Checks!$K$6:$K$3733,MATCH(A81&amp;"|"&amp;V$5,MCDM_Checks!$A$6:$A$3733,0))</f>
        <v>Y</v>
      </c>
      <c r="W81" s="5" t="str">
        <f>INDEX(MCDM_Checks!$K$6:$K$3733,MATCH(A81&amp;"|"&amp;W$5,MCDM_Checks!$A$6:$A$3733,0))</f>
        <v>Y</v>
      </c>
      <c r="X81" s="5" t="str">
        <f>INDEX(MCDM_Checks!$K$6:$K$3733,MATCH(A81&amp;"|"&amp;X$5,MCDM_Checks!$A$6:$A$3733,0))</f>
        <v>U</v>
      </c>
      <c r="Y81" s="5" t="str">
        <f>INDEX(MCDM_Checks!$K$6:$K$3733,MATCH(A81&amp;"|"&amp;Y$5,MCDM_Checks!$A$6:$A$3733,0))</f>
        <v>U</v>
      </c>
      <c r="Z81" s="5" t="str">
        <f>INDEX(MCDM_Checks!$K$6:$K$3733,MATCH(A81&amp;"|"&amp;Z$5,MCDM_Checks!$A$6:$A$3733,0))</f>
        <v>U</v>
      </c>
      <c r="AA81" s="5" t="str">
        <f>INDEX(MCDM_Checks!$K$6:$K$3733,MATCH(A81&amp;"|"&amp;AA$5,MCDM_Checks!$A$6:$A$3733,0))</f>
        <v>U</v>
      </c>
      <c r="AB81" s="5" t="str">
        <f>INDEX(MCDM_Checks!$K$6:$K$3733,MATCH(A81&amp;"|"&amp;AB$5,MCDM_Checks!$A$6:$A$3733,0))</f>
        <v>U</v>
      </c>
      <c r="AC81" s="12">
        <f>IF(IF($D81="Unlabeled-13",MCDM_Settings!$F$6,MCDM_Settings!$D$6)=0,"n.a.",5*COUNTIF(M81:O81,"Y")/IF($D81="Unlabeled-13",MCDM_Settings!$F$6,MCDM_Settings!$D$6))</f>
        <v>5</v>
      </c>
      <c r="AD81" s="12">
        <f>IF(IF($D81="Unlabeled-13",MCDM_Settings!$F$6,MCDM_Settings!$D$6)=0,"n.a.",5*(COUNTIF(M81:O81,"Y")+COUNTIF(M81:O81,"U")+COUNTIF(M81:O81,"X"))/IF($D81="Unlabeled-13",MCDM_Settings!$F$6,MCDM_Settings!$D$6))</f>
        <v>5</v>
      </c>
      <c r="AE81" s="13">
        <f>IF(IF($D81="Unlabeled-13",MCDM_Settings!$F$6,MCDM_Settings!$D$6)=0,"n.a.",(COUNTIF(M81:O81,"Y")+COUNTIF(M81:O81,"N"))/IF($D81="Unlabeled-13",MCDM_Settings!$F$6,MCDM_Settings!$D$6))</f>
        <v>1</v>
      </c>
      <c r="AF81" s="12">
        <f>IF(IF($D81="Unlabeled-13",MCDM_Settings!$F$7,MCDM_Settings!$D$7)=0,"n.a.",5*COUNTIF(P81:R81,"Y")/IF($D81="Unlabeled-13",MCDM_Settings!$F$7,MCDM_Settings!$D$7))</f>
        <v>0</v>
      </c>
      <c r="AG81" s="12">
        <f>IF(IF($D81="Unlabeled-13",MCDM_Settings!$F$7,MCDM_Settings!$D$7)=0,"n.a.",5*(COUNTIF(P81:R81,"Y")+COUNTIF(P81:R81,"U")+COUNTIF(P81:R81,"X"))/IF($D81="Unlabeled-13",MCDM_Settings!$F$7,MCDM_Settings!$D$7))</f>
        <v>5</v>
      </c>
      <c r="AH81" s="13">
        <f>IF(IF($D81="Unlabeled-13",MCDM_Settings!$F$7,MCDM_Settings!$D$7)=0,"n.a.",(COUNTIF(P81:R81,"Y")+COUNTIF(P81:R81,"N"))/IF($D81="Unlabeled-13",MCDM_Settings!$F$7,MCDM_Settings!$D$7))</f>
        <v>0</v>
      </c>
      <c r="AI81" s="12">
        <f>IF(IF($D81="Unlabeled-13",MCDM_Settings!$F$8,MCDM_Settings!$D$8)=0,"n.a.",5*COUNTIF(S81:U81,"Y")/IF($D81="Unlabeled-13",MCDM_Settings!$F$8,MCDM_Settings!$D$8))</f>
        <v>0</v>
      </c>
      <c r="AJ81" s="12">
        <f>IF(IF($D81="Unlabeled-13",MCDM_Settings!$F$8,MCDM_Settings!$D$8)=0,"n.a.",5*(COUNTIF(S81:U81,"Y")+COUNTIF(S81:U81,"U")+COUNTIF(S81:U81,"X"))/IF($D81="Unlabeled-13",MCDM_Settings!$F$8,MCDM_Settings!$D$8))</f>
        <v>5</v>
      </c>
      <c r="AK81" s="13">
        <f>IF(IF($D81="Unlabeled-13",MCDM_Settings!$F$8,MCDM_Settings!$D$8)=0,"n.a.",(COUNTIF(S81:U81,"Y")+COUNTIF(S81:U81,"N"))/IF($D81="Unlabeled-13",MCDM_Settings!$F$8,MCDM_Settings!$D$8))</f>
        <v>0</v>
      </c>
      <c r="AL81" s="12">
        <f>IF(IF($D81="Unlabeled-13",MCDM_Settings!$F$9,MCDM_Settings!$D$9)=0,"n.a.",5*COUNTIF(V81:W81,"Y")/IF($D81="Unlabeled-13",MCDM_Settings!$F$9,MCDM_Settings!$D$9))</f>
        <v>5</v>
      </c>
      <c r="AM81" s="12">
        <f>IF(IF($D81="Unlabeled-13",MCDM_Settings!$F$9,MCDM_Settings!$D$9)=0,"n.a.",5*(COUNTIF(V81:W81,"Y")+COUNTIF(V81:W81,"U")+COUNTIF(V81:W81,"X"))/IF($D81="Unlabeled-13",MCDM_Settings!$F$9,MCDM_Settings!$D$9))</f>
        <v>5</v>
      </c>
      <c r="AN81" s="13">
        <f>IF(IF($D81="Unlabeled-13",MCDM_Settings!$F$9,MCDM_Settings!$D$9)=0,"n.a.",(COUNTIF(V81:W81,"Y")+COUNTIF(V81:W81,"N"))/IF($D81="Unlabeled-13",MCDM_Settings!$F$9,MCDM_Settings!$D$9))</f>
        <v>1</v>
      </c>
      <c r="AO81" s="12">
        <f>IF(IF($D81="Unlabeled-13",MCDM_Settings!$F$10,MCDM_Settings!$D$10)=0,"n.a.",5*COUNTIF(X81:Y81,"Y")/IF($D81="Unlabeled-13",MCDM_Settings!$F$10,MCDM_Settings!$D$10))</f>
        <v>0</v>
      </c>
      <c r="AP81" s="12">
        <f>IF(IF($D81="Unlabeled-13",MCDM_Settings!$F$10,MCDM_Settings!$D$10)=0,"n.a.",5*(COUNTIF(X81:Y81,"Y")+COUNTIF(X81:Y81,"U")+COUNTIF(X81:Y81,"X"))/IF($D81="Unlabeled-13",MCDM_Settings!$F$10,MCDM_Settings!$D$10))</f>
        <v>5</v>
      </c>
      <c r="AQ81" s="13">
        <f>IF(IF($D81="Unlabeled-13",MCDM_Settings!$F$10,MCDM_Settings!$D$10)=0,"n.a.",(COUNTIF(X81:Y81,"Y")+COUNTIF(X81:Y81,"N"))/IF($D81="Unlabeled-13",MCDM_Settings!$F$10,MCDM_Settings!$D$10))</f>
        <v>0</v>
      </c>
      <c r="AR81" s="12">
        <f>IF(IF($D81="Unlabeled-13",MCDM_Settings!$F$11,MCDM_Settings!$D$11)=0,"n.a.",5*COUNTIF(Z81:AB81,"Y")/IF($D81="Unlabeled-13",MCDM_Settings!$F$11,MCDM_Settings!$D$11))</f>
        <v>0</v>
      </c>
      <c r="AS81" s="12">
        <f>IF(IF($D81="Unlabeled-13",MCDM_Settings!$F$11,MCDM_Settings!$D$11)=0,"n.a.",5*(COUNTIF(Z81:AB81,"Y")+COUNTIF(Z81:AB81,"U")+COUNTIF(Z81:AB81,"X"))/IF($D81="Unlabeled-13",MCDM_Settings!$F$11,MCDM_Settings!$D$11))</f>
        <v>5</v>
      </c>
      <c r="AT81" s="13">
        <f>IF(IF($D81="Unlabeled-13",MCDM_Settings!$F$11,MCDM_Settings!$D$11)=0,"n.a.",(COUNTIF(Z81:AB81,"Y")+COUNTIF(Z81:AB81,"N"))/IF($D81="Unlabeled-13",MCDM_Settings!$F$11,MCDM_Settings!$D$11))</f>
        <v>0</v>
      </c>
      <c r="AU81" s="5" t="str">
        <f>IF(AND(INDEX(Manual_Review!$G$6:$G$238,MATCH(A81,Manual_Review!$A$6:$A$238,0))&lt;&gt;"",ISNUMBER(INDEX(Manual_Review!$H$6:$H$238,MATCH(A81,Manual_Review!$A$6:$A$238,0))),INDEX(Manual_Review!$H$6:$H$238,MATCH(A81,Manual_Review!$A$6:$A$238,0))&gt;0,INDEX(Manual_Review!$I$6:$I$238,MATCH(A81,Manual_Review!$A$6:$A$238,0))="Confirmed",INDEX(Manual_Review!$AF$6:$AF$238,MATCH(A81,Manual_Review!$A$6:$A$238,0))&lt;&gt;""),IF(INDEX(Manual_Review!$AA$6:$AA$238,MATCH(A81,Manual_Review!$A$6:$A$238,0))="Pass","Pass",IF(INDEX(Manual_Review!$AA$6:$AA$238,MATCH(A81,Manual_Review!$A$6:$A$238,0))="Fail","Fail","Pending")),"Pending human identity confirmation")</f>
        <v>Pending human identity confirmation</v>
      </c>
      <c r="AV81" s="5" t="str">
        <f>IF(AND(AND(INDEX(Manual_Review!$G$6:$G$238,MATCH(A81,Manual_Review!$A$6:$A$238,0))&lt;&gt;"",ISNUMBER(INDEX(Manual_Review!$H$6:$H$238,MATCH(A81,Manual_Review!$A$6:$A$238,0))),INDEX(Manual_Review!$H$6:$H$238,MATCH(A81,Manual_Review!$A$6:$A$238,0))&gt;0,INDEX(Manual_Review!$I$6:$I$238,MATCH(A81,Manual_Review!$A$6:$A$238,0))="Confirmed",INDEX(Manual_Review!$AF$6:$AF$238,MATCH(A81,Manual_Review!$A$6:$A$238,0))&lt;&gt;""),INDEX(Manual_Review!$AG$6:$AG$238,MATCH(A81,Manual_Review!$A$6:$A$238,0))&lt;&gt;""),IF(INDEX(Manual_Review!$AB$6:$AB$238,MATCH(A81,Manual_Review!$A$6:$A$238,0))="Pass","Pass",IF(INDEX(Manual_Review!$AB$6:$AB$238,MATCH(A81,Manual_Review!$A$6:$A$238,0))="Fail","Fail","Pending")),"Not assessed: define intended task")</f>
        <v>Not assessed: define intended task</v>
      </c>
      <c r="AW81" s="5" t="str">
        <f>IF(AND(AND(INDEX(Manual_Review!$G$6:$G$238,MATCH(A81,Manual_Review!$A$6:$A$238,0))&lt;&gt;"",ISNUMBER(INDEX(Manual_Review!$H$6:$H$238,MATCH(A81,Manual_Review!$A$6:$A$238,0))),INDEX(Manual_Review!$H$6:$H$238,MATCH(A81,Manual_Review!$A$6:$A$238,0))&gt;0,INDEX(Manual_Review!$I$6:$I$238,MATCH(A81,Manual_Review!$A$6:$A$238,0))="Confirmed",INDEX(Manual_Review!$AF$6:$AF$238,MATCH(A81,Manual_Review!$A$6:$A$238,0))&lt;&gt;""),INDEX(Manual_Review!$AG$6:$AG$238,MATCH(A81,Manual_Review!$A$6:$A$238,0))&lt;&gt;""),IF(OR(INDEX(Manual_Review!$AC$6:$AC$238,MATCH(A81,Manual_Review!$A$6:$A$238,0))="Fail",INDEX(Manual_Review!$AD$6:$AD$238,MATCH(A81,Manual_Review!$A$6:$A$238,0))="Fail"),"Fail: rights or retrieval",IF(AND(INDEX(Manual_Review!$AC$6:$AC$238,MATCH(A81,Manual_Review!$A$6:$A$238,0))="Pass",INDEX(Manual_Review!$AD$6:$AD$238,MATCH(A81,Manual_Review!$A$6:$A$238,0))="Pass"),"Pass","Pending rights and retrieval")),"Pending rights and retrieval")</f>
        <v>Pending rights and retrieval</v>
      </c>
      <c r="AX81" s="5" t="str">
        <f>IF(INDEX(Manual_Review!$AG$6:$AG$238,MATCH(A81,Manual_Review!$A$6:$A$238,0))="","N/A: documentation inventory",IF(AND(INDEX(Manual_Review!$G$6:$G$238,MATCH(A81,Manual_Review!$A$6:$A$238,0))&lt;&gt;"",ISNUMBER(INDEX(Manual_Review!$H$6:$H$238,MATCH(A81,Manual_Review!$A$6:$A$238,0))),INDEX(Manual_Review!$H$6:$H$238,MATCH(A81,Manual_Review!$A$6:$A$238,0))&gt;0,INDEX(Manual_Review!$I$6:$I$238,MATCH(A81,Manual_Review!$A$6:$A$238,0))="Confirmed",INDEX(Manual_Review!$AF$6:$AF$238,MATCH(A81,Manual_Review!$A$6:$A$238,0))&lt;&gt;""),IF(INDEX(Manual_Review!$AE$6:$AE$238,MATCH(A81,Manual_Review!$A$6:$A$238,0))="Pass","Pass",IF(INDEX(Manual_Review!$AE$6:$AE$238,MATCH(A81,Manual_Review!$A$6:$A$238,0))="Fail","Fail: benchmark leakage",IF(INDEX(Manual_Review!$AE$6:$AE$238,MATCH(A81,Manual_Review!$A$6:$A$238,0))="N/A","N/A: nonbenchmark task","Pending task-specific leakage check"))),"Pending task-specific leakage check"))</f>
        <v>N/A: documentation inventory</v>
      </c>
      <c r="AY81" s="5" t="str">
        <f>IF(IF(D81="Unlabeled-13",AND(ABS(MCDM_Settings!$D$14-1)&lt;0.0000001,MIN(MCDM_Settings!$E$6:$E$11)&gt;=0,MCDM_Settings!$E$7=0),AND(ABS(MCDM_Settings!$B$14-1)&lt;0.0000001,MIN(MCDM_Settings!$C$6:$C$11)&gt;=0)),"Valid","Check weights")</f>
        <v>Valid</v>
      </c>
      <c r="AZ81" s="5" t="str">
        <f>IF(AND(COUNTIF(MCDM_Checks!$B$6:$B$3733,A81)=16,COUNTIF(Manual_Review!$A$6:$A$238,A81)=1),"16 keys present","Check key count")</f>
        <v>16 keys present</v>
      </c>
    </row>
    <row r="82" spans="1:52">
      <c r="A82" s="5" t="s">
        <v>947</v>
      </c>
      <c r="B82" s="5" t="s">
        <v>948</v>
      </c>
      <c r="C82" s="5"/>
      <c r="D82" s="5" t="s">
        <v>118</v>
      </c>
      <c r="E82" s="12">
        <f>IF(OR(AY82&lt;&gt;"Valid",AZ82&lt;&gt;"16 keys present"),"Review settings",20*(IF(ISNUMBER(AC82),AC82*IF($D82="Unlabeled-13",MCDM_Settings!$E$6,MCDM_Settings!$C$6),0)+IF(ISNUMBER(AF82),AF82*IF($D82="Unlabeled-13",MCDM_Settings!$E$7,MCDM_Settings!$C$7),0)+IF(ISNUMBER(AI82),AI82*IF($D82="Unlabeled-13",MCDM_Settings!$E$8,MCDM_Settings!$C$8),0)+IF(ISNUMBER(AL82),AL82*IF($D82="Unlabeled-13",MCDM_Settings!$E$9,MCDM_Settings!$C$9),0)+IF(ISNUMBER(AO82),AO82*IF($D82="Unlabeled-13",MCDM_Settings!$E$10,MCDM_Settings!$C$10),0)+IF(ISNUMBER(AR82),AR82*IF($D82="Unlabeled-13",MCDM_Settings!$E$11,MCDM_Settings!$C$11),0)))</f>
        <v>66.666666666666657</v>
      </c>
      <c r="F82" s="12">
        <f>IF(OR(AY82&lt;&gt;"Valid",AZ82&lt;&gt;"16 keys present"),"Review settings",20*(IF(ISNUMBER(AD82),AD82*IF($D82="Unlabeled-13",MCDM_Settings!$E$6,MCDM_Settings!$C$6),0)+IF(ISNUMBER(AG82),AG82*IF($D82="Unlabeled-13",MCDM_Settings!$E$7,MCDM_Settings!$C$7),0)+IF(ISNUMBER(AJ82),AJ82*IF($D82="Unlabeled-13",MCDM_Settings!$E$8,MCDM_Settings!$C$8),0)+IF(ISNUMBER(AM82),AM82*IF($D82="Unlabeled-13",MCDM_Settings!$E$9,MCDM_Settings!$C$9),0)+IF(ISNUMBER(AP82),AP82*IF($D82="Unlabeled-13",MCDM_Settings!$E$10,MCDM_Settings!$C$10),0)+IF(ISNUMBER(AS82),AS82*IF($D82="Unlabeled-13",MCDM_Settings!$E$11,MCDM_Settings!$C$11),0)))</f>
        <v>99.999999999999986</v>
      </c>
      <c r="G82" s="13">
        <f>IF(OR(AY82&lt;&gt;"Valid",AZ82&lt;&gt;"16 keys present"),"Review settings",1*(IF(ISNUMBER(AE82),AE82*IF($D82="Unlabeled-13",MCDM_Settings!$E$6,MCDM_Settings!$C$6),0)+IF(ISNUMBER(AH82),AH82*IF($D82="Unlabeled-13",MCDM_Settings!$E$7,MCDM_Settings!$C$7),0)+IF(ISNUMBER(AK82),AK82*IF($D82="Unlabeled-13",MCDM_Settings!$E$8,MCDM_Settings!$C$8),0)+IF(ISNUMBER(AN82),AN82*IF($D82="Unlabeled-13",MCDM_Settings!$E$9,MCDM_Settings!$C$9),0)+IF(ISNUMBER(AQ82),AQ82*IF($D82="Unlabeled-13",MCDM_Settings!$E$10,MCDM_Settings!$C$10),0)+IF(ISNUMBER(AT82),AT82*IF($D82="Unlabeled-13",MCDM_Settings!$E$11,MCDM_Settings!$C$11),0)))</f>
        <v>0.66666666666666674</v>
      </c>
      <c r="H82" s="5" t="str">
        <f>INDEX(Manual_Review!$AH$6:$AH$238,MATCH(A82,Manual_Review!$A$6:$A$238,0))</f>
        <v>Not started</v>
      </c>
      <c r="I82" s="5" t="s">
        <v>128</v>
      </c>
      <c r="J82" s="5" t="s">
        <v>949</v>
      </c>
      <c r="K82" s="5" t="str">
        <f>HYPERLINK("https://data.mendeley.com/datasets/yb65trwbd8/3","Dataset")</f>
        <v>Dataset</v>
      </c>
      <c r="L82" s="5" t="str">
        <f>HYPERLINK("#'Manual_Review'!A"&amp;(MATCH("DS-077",Manual_Review!$A$6:$A$238,0)+5),"Enter review")</f>
        <v>Enter review</v>
      </c>
      <c r="M82" s="5" t="str">
        <f>INDEX(MCDM_Checks!$K$6:$K$3733,MATCH(A82&amp;"|"&amp;M$5,MCDM_Checks!$A$6:$A$3733,0))</f>
        <v>Y</v>
      </c>
      <c r="N82" s="5" t="str">
        <f>INDEX(MCDM_Checks!$K$6:$K$3733,MATCH(A82&amp;"|"&amp;N$5,MCDM_Checks!$A$6:$A$3733,0))</f>
        <v>Y</v>
      </c>
      <c r="O82" s="5" t="str">
        <f>INDEX(MCDM_Checks!$K$6:$K$3733,MATCH(A82&amp;"|"&amp;O$5,MCDM_Checks!$A$6:$A$3733,0))</f>
        <v>Y</v>
      </c>
      <c r="P82" s="5" t="str">
        <f>INDEX(MCDM_Checks!$K$6:$K$3733,MATCH(A82&amp;"|"&amp;P$5,MCDM_Checks!$A$6:$A$3733,0))</f>
        <v>Y</v>
      </c>
      <c r="Q82" s="5" t="str">
        <f>INDEX(MCDM_Checks!$K$6:$K$3733,MATCH(A82&amp;"|"&amp;Q$5,MCDM_Checks!$A$6:$A$3733,0))</f>
        <v>Y</v>
      </c>
      <c r="R82" s="5" t="str">
        <f>INDEX(MCDM_Checks!$K$6:$K$3733,MATCH(A82&amp;"|"&amp;R$5,MCDM_Checks!$A$6:$A$3733,0))</f>
        <v>U</v>
      </c>
      <c r="S82" s="5" t="str">
        <f>INDEX(MCDM_Checks!$K$6:$K$3733,MATCH(A82&amp;"|"&amp;S$5,MCDM_Checks!$A$6:$A$3733,0))</f>
        <v>Y</v>
      </c>
      <c r="T82" s="5" t="str">
        <f>INDEX(MCDM_Checks!$K$6:$K$3733,MATCH(A82&amp;"|"&amp;T$5,MCDM_Checks!$A$6:$A$3733,0))</f>
        <v>Y</v>
      </c>
      <c r="U82" s="5" t="str">
        <f>INDEX(MCDM_Checks!$K$6:$K$3733,MATCH(A82&amp;"|"&amp;U$5,MCDM_Checks!$A$6:$A$3733,0))</f>
        <v>U</v>
      </c>
      <c r="V82" s="5" t="str">
        <f>INDEX(MCDM_Checks!$K$6:$K$3733,MATCH(A82&amp;"|"&amp;V$5,MCDM_Checks!$A$6:$A$3733,0))</f>
        <v>U</v>
      </c>
      <c r="W82" s="5" t="str">
        <f>INDEX(MCDM_Checks!$K$6:$K$3733,MATCH(A82&amp;"|"&amp;W$5,MCDM_Checks!$A$6:$A$3733,0))</f>
        <v>U</v>
      </c>
      <c r="X82" s="5" t="str">
        <f>INDEX(MCDM_Checks!$K$6:$K$3733,MATCH(A82&amp;"|"&amp;X$5,MCDM_Checks!$A$6:$A$3733,0))</f>
        <v>Y</v>
      </c>
      <c r="Y82" s="5" t="str">
        <f>INDEX(MCDM_Checks!$K$6:$K$3733,MATCH(A82&amp;"|"&amp;Y$5,MCDM_Checks!$A$6:$A$3733,0))</f>
        <v>Y</v>
      </c>
      <c r="Z82" s="5" t="str">
        <f>INDEX(MCDM_Checks!$K$6:$K$3733,MATCH(A82&amp;"|"&amp;Z$5,MCDM_Checks!$A$6:$A$3733,0))</f>
        <v>Y</v>
      </c>
      <c r="AA82" s="5" t="str">
        <f>INDEX(MCDM_Checks!$K$6:$K$3733,MATCH(A82&amp;"|"&amp;AA$5,MCDM_Checks!$A$6:$A$3733,0))</f>
        <v>Y</v>
      </c>
      <c r="AB82" s="5" t="str">
        <f>INDEX(MCDM_Checks!$K$6:$K$3733,MATCH(A82&amp;"|"&amp;AB$5,MCDM_Checks!$A$6:$A$3733,0))</f>
        <v>U</v>
      </c>
      <c r="AC82" s="12">
        <f>IF(IF($D82="Unlabeled-13",MCDM_Settings!$F$6,MCDM_Settings!$D$6)=0,"n.a.",5*COUNTIF(M82:O82,"Y")/IF($D82="Unlabeled-13",MCDM_Settings!$F$6,MCDM_Settings!$D$6))</f>
        <v>5</v>
      </c>
      <c r="AD82" s="12">
        <f>IF(IF($D82="Unlabeled-13",MCDM_Settings!$F$6,MCDM_Settings!$D$6)=0,"n.a.",5*(COUNTIF(M82:O82,"Y")+COUNTIF(M82:O82,"U")+COUNTIF(M82:O82,"X"))/IF($D82="Unlabeled-13",MCDM_Settings!$F$6,MCDM_Settings!$D$6))</f>
        <v>5</v>
      </c>
      <c r="AE82" s="13">
        <f>IF(IF($D82="Unlabeled-13",MCDM_Settings!$F$6,MCDM_Settings!$D$6)=0,"n.a.",(COUNTIF(M82:O82,"Y")+COUNTIF(M82:O82,"N"))/IF($D82="Unlabeled-13",MCDM_Settings!$F$6,MCDM_Settings!$D$6))</f>
        <v>1</v>
      </c>
      <c r="AF82" s="12">
        <f>IF(IF($D82="Unlabeled-13",MCDM_Settings!$F$7,MCDM_Settings!$D$7)=0,"n.a.",5*COUNTIF(P82:R82,"Y")/IF($D82="Unlabeled-13",MCDM_Settings!$F$7,MCDM_Settings!$D$7))</f>
        <v>3.3333333333333335</v>
      </c>
      <c r="AG82" s="12">
        <f>IF(IF($D82="Unlabeled-13",MCDM_Settings!$F$7,MCDM_Settings!$D$7)=0,"n.a.",5*(COUNTIF(P82:R82,"Y")+COUNTIF(P82:R82,"U")+COUNTIF(P82:R82,"X"))/IF($D82="Unlabeled-13",MCDM_Settings!$F$7,MCDM_Settings!$D$7))</f>
        <v>5</v>
      </c>
      <c r="AH82" s="13">
        <f>IF(IF($D82="Unlabeled-13",MCDM_Settings!$F$7,MCDM_Settings!$D$7)=0,"n.a.",(COUNTIF(P82:R82,"Y")+COUNTIF(P82:R82,"N"))/IF($D82="Unlabeled-13",MCDM_Settings!$F$7,MCDM_Settings!$D$7))</f>
        <v>0.66666666666666663</v>
      </c>
      <c r="AI82" s="12">
        <f>IF(IF($D82="Unlabeled-13",MCDM_Settings!$F$8,MCDM_Settings!$D$8)=0,"n.a.",5*COUNTIF(S82:U82,"Y")/IF($D82="Unlabeled-13",MCDM_Settings!$F$8,MCDM_Settings!$D$8))</f>
        <v>3.3333333333333335</v>
      </c>
      <c r="AJ82" s="12">
        <f>IF(IF($D82="Unlabeled-13",MCDM_Settings!$F$8,MCDM_Settings!$D$8)=0,"n.a.",5*(COUNTIF(S82:U82,"Y")+COUNTIF(S82:U82,"U")+COUNTIF(S82:U82,"X"))/IF($D82="Unlabeled-13",MCDM_Settings!$F$8,MCDM_Settings!$D$8))</f>
        <v>5</v>
      </c>
      <c r="AK82" s="13">
        <f>IF(IF($D82="Unlabeled-13",MCDM_Settings!$F$8,MCDM_Settings!$D$8)=0,"n.a.",(COUNTIF(S82:U82,"Y")+COUNTIF(S82:U82,"N"))/IF($D82="Unlabeled-13",MCDM_Settings!$F$8,MCDM_Settings!$D$8))</f>
        <v>0.66666666666666663</v>
      </c>
      <c r="AL82" s="12">
        <f>IF(IF($D82="Unlabeled-13",MCDM_Settings!$F$9,MCDM_Settings!$D$9)=0,"n.a.",5*COUNTIF(V82:W82,"Y")/IF($D82="Unlabeled-13",MCDM_Settings!$F$9,MCDM_Settings!$D$9))</f>
        <v>0</v>
      </c>
      <c r="AM82" s="12">
        <f>IF(IF($D82="Unlabeled-13",MCDM_Settings!$F$9,MCDM_Settings!$D$9)=0,"n.a.",5*(COUNTIF(V82:W82,"Y")+COUNTIF(V82:W82,"U")+COUNTIF(V82:W82,"X"))/IF($D82="Unlabeled-13",MCDM_Settings!$F$9,MCDM_Settings!$D$9))</f>
        <v>5</v>
      </c>
      <c r="AN82" s="13">
        <f>IF(IF($D82="Unlabeled-13",MCDM_Settings!$F$9,MCDM_Settings!$D$9)=0,"n.a.",(COUNTIF(V82:W82,"Y")+COUNTIF(V82:W82,"N"))/IF($D82="Unlabeled-13",MCDM_Settings!$F$9,MCDM_Settings!$D$9))</f>
        <v>0</v>
      </c>
      <c r="AO82" s="12">
        <f>IF(IF($D82="Unlabeled-13",MCDM_Settings!$F$10,MCDM_Settings!$D$10)=0,"n.a.",5*COUNTIF(X82:Y82,"Y")/IF($D82="Unlabeled-13",MCDM_Settings!$F$10,MCDM_Settings!$D$10))</f>
        <v>5</v>
      </c>
      <c r="AP82" s="12">
        <f>IF(IF($D82="Unlabeled-13",MCDM_Settings!$F$10,MCDM_Settings!$D$10)=0,"n.a.",5*(COUNTIF(X82:Y82,"Y")+COUNTIF(X82:Y82,"U")+COUNTIF(X82:Y82,"X"))/IF($D82="Unlabeled-13",MCDM_Settings!$F$10,MCDM_Settings!$D$10))</f>
        <v>5</v>
      </c>
      <c r="AQ82" s="13">
        <f>IF(IF($D82="Unlabeled-13",MCDM_Settings!$F$10,MCDM_Settings!$D$10)=0,"n.a.",(COUNTIF(X82:Y82,"Y")+COUNTIF(X82:Y82,"N"))/IF($D82="Unlabeled-13",MCDM_Settings!$F$10,MCDM_Settings!$D$10))</f>
        <v>1</v>
      </c>
      <c r="AR82" s="12">
        <f>IF(IF($D82="Unlabeled-13",MCDM_Settings!$F$11,MCDM_Settings!$D$11)=0,"n.a.",5*COUNTIF(Z82:AB82,"Y")/IF($D82="Unlabeled-13",MCDM_Settings!$F$11,MCDM_Settings!$D$11))</f>
        <v>3.3333333333333335</v>
      </c>
      <c r="AS82" s="12">
        <f>IF(IF($D82="Unlabeled-13",MCDM_Settings!$F$11,MCDM_Settings!$D$11)=0,"n.a.",5*(COUNTIF(Z82:AB82,"Y")+COUNTIF(Z82:AB82,"U")+COUNTIF(Z82:AB82,"X"))/IF($D82="Unlabeled-13",MCDM_Settings!$F$11,MCDM_Settings!$D$11))</f>
        <v>5</v>
      </c>
      <c r="AT82" s="13">
        <f>IF(IF($D82="Unlabeled-13",MCDM_Settings!$F$11,MCDM_Settings!$D$11)=0,"n.a.",(COUNTIF(Z82:AB82,"Y")+COUNTIF(Z82:AB82,"N"))/IF($D82="Unlabeled-13",MCDM_Settings!$F$11,MCDM_Settings!$D$11))</f>
        <v>0.66666666666666663</v>
      </c>
      <c r="AU82" s="5" t="str">
        <f>IF(AND(INDEX(Manual_Review!$G$6:$G$238,MATCH(A82,Manual_Review!$A$6:$A$238,0))&lt;&gt;"",ISNUMBER(INDEX(Manual_Review!$H$6:$H$238,MATCH(A82,Manual_Review!$A$6:$A$238,0))),INDEX(Manual_Review!$H$6:$H$238,MATCH(A82,Manual_Review!$A$6:$A$238,0))&gt;0,INDEX(Manual_Review!$I$6:$I$238,MATCH(A82,Manual_Review!$A$6:$A$238,0))="Confirmed",INDEX(Manual_Review!$AF$6:$AF$238,MATCH(A82,Manual_Review!$A$6:$A$238,0))&lt;&gt;""),IF(INDEX(Manual_Review!$AA$6:$AA$238,MATCH(A82,Manual_Review!$A$6:$A$238,0))="Pass","Pass",IF(INDEX(Manual_Review!$AA$6:$AA$238,MATCH(A82,Manual_Review!$A$6:$A$238,0))="Fail","Fail","Pending")),"Pending human identity confirmation")</f>
        <v>Pending human identity confirmation</v>
      </c>
      <c r="AV82" s="5" t="str">
        <f>IF(AND(AND(INDEX(Manual_Review!$G$6:$G$238,MATCH(A82,Manual_Review!$A$6:$A$238,0))&lt;&gt;"",ISNUMBER(INDEX(Manual_Review!$H$6:$H$238,MATCH(A82,Manual_Review!$A$6:$A$238,0))),INDEX(Manual_Review!$H$6:$H$238,MATCH(A82,Manual_Review!$A$6:$A$238,0))&gt;0,INDEX(Manual_Review!$I$6:$I$238,MATCH(A82,Manual_Review!$A$6:$A$238,0))="Confirmed",INDEX(Manual_Review!$AF$6:$AF$238,MATCH(A82,Manual_Review!$A$6:$A$238,0))&lt;&gt;""),INDEX(Manual_Review!$AG$6:$AG$238,MATCH(A82,Manual_Review!$A$6:$A$238,0))&lt;&gt;""),IF(INDEX(Manual_Review!$AB$6:$AB$238,MATCH(A82,Manual_Review!$A$6:$A$238,0))="Pass","Pass",IF(INDEX(Manual_Review!$AB$6:$AB$238,MATCH(A82,Manual_Review!$A$6:$A$238,0))="Fail","Fail","Pending")),"Not assessed: define intended task")</f>
        <v>Not assessed: define intended task</v>
      </c>
      <c r="AW82" s="5" t="str">
        <f>IF(AND(AND(INDEX(Manual_Review!$G$6:$G$238,MATCH(A82,Manual_Review!$A$6:$A$238,0))&lt;&gt;"",ISNUMBER(INDEX(Manual_Review!$H$6:$H$238,MATCH(A82,Manual_Review!$A$6:$A$238,0))),INDEX(Manual_Review!$H$6:$H$238,MATCH(A82,Manual_Review!$A$6:$A$238,0))&gt;0,INDEX(Manual_Review!$I$6:$I$238,MATCH(A82,Manual_Review!$A$6:$A$238,0))="Confirmed",INDEX(Manual_Review!$AF$6:$AF$238,MATCH(A82,Manual_Review!$A$6:$A$238,0))&lt;&gt;""),INDEX(Manual_Review!$AG$6:$AG$238,MATCH(A82,Manual_Review!$A$6:$A$238,0))&lt;&gt;""),IF(OR(INDEX(Manual_Review!$AC$6:$AC$238,MATCH(A82,Manual_Review!$A$6:$A$238,0))="Fail",INDEX(Manual_Review!$AD$6:$AD$238,MATCH(A82,Manual_Review!$A$6:$A$238,0))="Fail"),"Fail: rights or retrieval",IF(AND(INDEX(Manual_Review!$AC$6:$AC$238,MATCH(A82,Manual_Review!$A$6:$A$238,0))="Pass",INDEX(Manual_Review!$AD$6:$AD$238,MATCH(A82,Manual_Review!$A$6:$A$238,0))="Pass"),"Pass","Pending rights and retrieval")),"Pending rights and retrieval")</f>
        <v>Pending rights and retrieval</v>
      </c>
      <c r="AX82" s="5" t="str">
        <f>IF(INDEX(Manual_Review!$AG$6:$AG$238,MATCH(A82,Manual_Review!$A$6:$A$238,0))="","N/A: documentation inventory",IF(AND(INDEX(Manual_Review!$G$6:$G$238,MATCH(A82,Manual_Review!$A$6:$A$238,0))&lt;&gt;"",ISNUMBER(INDEX(Manual_Review!$H$6:$H$238,MATCH(A82,Manual_Review!$A$6:$A$238,0))),INDEX(Manual_Review!$H$6:$H$238,MATCH(A82,Manual_Review!$A$6:$A$238,0))&gt;0,INDEX(Manual_Review!$I$6:$I$238,MATCH(A82,Manual_Review!$A$6:$A$238,0))="Confirmed",INDEX(Manual_Review!$AF$6:$AF$238,MATCH(A82,Manual_Review!$A$6:$A$238,0))&lt;&gt;""),IF(INDEX(Manual_Review!$AE$6:$AE$238,MATCH(A82,Manual_Review!$A$6:$A$238,0))="Pass","Pass",IF(INDEX(Manual_Review!$AE$6:$AE$238,MATCH(A82,Manual_Review!$A$6:$A$238,0))="Fail","Fail: benchmark leakage",IF(INDEX(Manual_Review!$AE$6:$AE$238,MATCH(A82,Manual_Review!$A$6:$A$238,0))="N/A","N/A: nonbenchmark task","Pending task-specific leakage check"))),"Pending task-specific leakage check"))</f>
        <v>N/A: documentation inventory</v>
      </c>
      <c r="AY82" s="5" t="str">
        <f>IF(IF(D82="Unlabeled-13",AND(ABS(MCDM_Settings!$D$14-1)&lt;0.0000001,MIN(MCDM_Settings!$E$6:$E$11)&gt;=0,MCDM_Settings!$E$7=0),AND(ABS(MCDM_Settings!$B$14-1)&lt;0.0000001,MIN(MCDM_Settings!$C$6:$C$11)&gt;=0)),"Valid","Check weights")</f>
        <v>Valid</v>
      </c>
      <c r="AZ82" s="5" t="str">
        <f>IF(AND(COUNTIF(MCDM_Checks!$B$6:$B$3733,A82)=16,COUNTIF(Manual_Review!$A$6:$A$238,A82)=1),"16 keys present","Check key count")</f>
        <v>16 keys present</v>
      </c>
    </row>
    <row r="83" spans="1:52" ht="38.25">
      <c r="A83" s="5" t="s">
        <v>958</v>
      </c>
      <c r="B83" s="5" t="s">
        <v>959</v>
      </c>
      <c r="C83" s="5"/>
      <c r="D83" s="5" t="s">
        <v>118</v>
      </c>
      <c r="E83" s="12">
        <f>IF(OR(AY83&lt;&gt;"Valid",AZ83&lt;&gt;"16 keys present"),"Review settings",20*(IF(ISNUMBER(AC83),AC83*IF($D83="Unlabeled-13",MCDM_Settings!$E$6,MCDM_Settings!$C$6),0)+IF(ISNUMBER(AF83),AF83*IF($D83="Unlabeled-13",MCDM_Settings!$E$7,MCDM_Settings!$C$7),0)+IF(ISNUMBER(AI83),AI83*IF($D83="Unlabeled-13",MCDM_Settings!$E$8,MCDM_Settings!$C$8),0)+IF(ISNUMBER(AL83),AL83*IF($D83="Unlabeled-13",MCDM_Settings!$E$9,MCDM_Settings!$C$9),0)+IF(ISNUMBER(AO83),AO83*IF($D83="Unlabeled-13",MCDM_Settings!$E$10,MCDM_Settings!$C$10),0)+IF(ISNUMBER(AR83),AR83*IF($D83="Unlabeled-13",MCDM_Settings!$E$11,MCDM_Settings!$C$11),0)))</f>
        <v>88.888888888888872</v>
      </c>
      <c r="F83" s="12">
        <f>IF(OR(AY83&lt;&gt;"Valid",AZ83&lt;&gt;"16 keys present"),"Review settings",20*(IF(ISNUMBER(AD83),AD83*IF($D83="Unlabeled-13",MCDM_Settings!$E$6,MCDM_Settings!$C$6),0)+IF(ISNUMBER(AG83),AG83*IF($D83="Unlabeled-13",MCDM_Settings!$E$7,MCDM_Settings!$C$7),0)+IF(ISNUMBER(AJ83),AJ83*IF($D83="Unlabeled-13",MCDM_Settings!$E$8,MCDM_Settings!$C$8),0)+IF(ISNUMBER(AM83),AM83*IF($D83="Unlabeled-13",MCDM_Settings!$E$9,MCDM_Settings!$C$9),0)+IF(ISNUMBER(AP83),AP83*IF($D83="Unlabeled-13",MCDM_Settings!$E$10,MCDM_Settings!$C$10),0)+IF(ISNUMBER(AS83),AS83*IF($D83="Unlabeled-13",MCDM_Settings!$E$11,MCDM_Settings!$C$11),0)))</f>
        <v>99.999999999999986</v>
      </c>
      <c r="G83" s="13">
        <f>IF(OR(AY83&lt;&gt;"Valid",AZ83&lt;&gt;"16 keys present"),"Review settings",1*(IF(ISNUMBER(AE83),AE83*IF($D83="Unlabeled-13",MCDM_Settings!$E$6,MCDM_Settings!$C$6),0)+IF(ISNUMBER(AH83),AH83*IF($D83="Unlabeled-13",MCDM_Settings!$E$7,MCDM_Settings!$C$7),0)+IF(ISNUMBER(AK83),AK83*IF($D83="Unlabeled-13",MCDM_Settings!$E$8,MCDM_Settings!$C$8),0)+IF(ISNUMBER(AN83),AN83*IF($D83="Unlabeled-13",MCDM_Settings!$E$9,MCDM_Settings!$C$9),0)+IF(ISNUMBER(AQ83),AQ83*IF($D83="Unlabeled-13",MCDM_Settings!$E$10,MCDM_Settings!$C$10),0)+IF(ISNUMBER(AT83),AT83*IF($D83="Unlabeled-13",MCDM_Settings!$E$11,MCDM_Settings!$C$11),0)))</f>
        <v>0.88888888888888884</v>
      </c>
      <c r="H83" s="5" t="str">
        <f>INDEX(Manual_Review!$AH$6:$AH$238,MATCH(A83,Manual_Review!$A$6:$A$238,0))</f>
        <v>Not started</v>
      </c>
      <c r="I83" s="5" t="s">
        <v>128</v>
      </c>
      <c r="J83" s="5" t="s">
        <v>556</v>
      </c>
      <c r="K83" s="5" t="str">
        <f>HYPERLINK("https://data.mendeley.com/datasets/fgtjn9kjkd/1","Dataset")</f>
        <v>Dataset</v>
      </c>
      <c r="L83" s="5" t="str">
        <f>HYPERLINK("#'Manual_Review'!A"&amp;(MATCH("DS-078",Manual_Review!$A$6:$A$238,0)+5),"Enter review")</f>
        <v>Enter review</v>
      </c>
      <c r="M83" s="5" t="str">
        <f>INDEX(MCDM_Checks!$K$6:$K$3733,MATCH(A83&amp;"|"&amp;M$5,MCDM_Checks!$A$6:$A$3733,0))</f>
        <v>Y</v>
      </c>
      <c r="N83" s="5" t="str">
        <f>INDEX(MCDM_Checks!$K$6:$K$3733,MATCH(A83&amp;"|"&amp;N$5,MCDM_Checks!$A$6:$A$3733,0))</f>
        <v>Y</v>
      </c>
      <c r="O83" s="5" t="str">
        <f>INDEX(MCDM_Checks!$K$6:$K$3733,MATCH(A83&amp;"|"&amp;O$5,MCDM_Checks!$A$6:$A$3733,0))</f>
        <v>Y</v>
      </c>
      <c r="P83" s="5" t="str">
        <f>INDEX(MCDM_Checks!$K$6:$K$3733,MATCH(A83&amp;"|"&amp;P$5,MCDM_Checks!$A$6:$A$3733,0))</f>
        <v>Y</v>
      </c>
      <c r="Q83" s="5" t="str">
        <f>INDEX(MCDM_Checks!$K$6:$K$3733,MATCH(A83&amp;"|"&amp;Q$5,MCDM_Checks!$A$6:$A$3733,0))</f>
        <v>Y</v>
      </c>
      <c r="R83" s="5" t="str">
        <f>INDEX(MCDM_Checks!$K$6:$K$3733,MATCH(A83&amp;"|"&amp;R$5,MCDM_Checks!$A$6:$A$3733,0))</f>
        <v>U</v>
      </c>
      <c r="S83" s="5" t="str">
        <f>INDEX(MCDM_Checks!$K$6:$K$3733,MATCH(A83&amp;"|"&amp;S$5,MCDM_Checks!$A$6:$A$3733,0))</f>
        <v>U</v>
      </c>
      <c r="T83" s="5" t="str">
        <f>INDEX(MCDM_Checks!$K$6:$K$3733,MATCH(A83&amp;"|"&amp;T$5,MCDM_Checks!$A$6:$A$3733,0))</f>
        <v>Y</v>
      </c>
      <c r="U83" s="5" t="str">
        <f>INDEX(MCDM_Checks!$K$6:$K$3733,MATCH(A83&amp;"|"&amp;U$5,MCDM_Checks!$A$6:$A$3733,0))</f>
        <v>Y</v>
      </c>
      <c r="V83" s="5" t="str">
        <f>INDEX(MCDM_Checks!$K$6:$K$3733,MATCH(A83&amp;"|"&amp;V$5,MCDM_Checks!$A$6:$A$3733,0))</f>
        <v>Y</v>
      </c>
      <c r="W83" s="5" t="str">
        <f>INDEX(MCDM_Checks!$K$6:$K$3733,MATCH(A83&amp;"|"&amp;W$5,MCDM_Checks!$A$6:$A$3733,0))</f>
        <v>Y</v>
      </c>
      <c r="X83" s="5" t="str">
        <f>INDEX(MCDM_Checks!$K$6:$K$3733,MATCH(A83&amp;"|"&amp;X$5,MCDM_Checks!$A$6:$A$3733,0))</f>
        <v>Y</v>
      </c>
      <c r="Y83" s="5" t="str">
        <f>INDEX(MCDM_Checks!$K$6:$K$3733,MATCH(A83&amp;"|"&amp;Y$5,MCDM_Checks!$A$6:$A$3733,0))</f>
        <v>Y</v>
      </c>
      <c r="Z83" s="5" t="str">
        <f>INDEX(MCDM_Checks!$K$6:$K$3733,MATCH(A83&amp;"|"&amp;Z$5,MCDM_Checks!$A$6:$A$3733,0))</f>
        <v>Y</v>
      </c>
      <c r="AA83" s="5" t="str">
        <f>INDEX(MCDM_Checks!$K$6:$K$3733,MATCH(A83&amp;"|"&amp;AA$5,MCDM_Checks!$A$6:$A$3733,0))</f>
        <v>Y</v>
      </c>
      <c r="AB83" s="5" t="str">
        <f>INDEX(MCDM_Checks!$K$6:$K$3733,MATCH(A83&amp;"|"&amp;AB$5,MCDM_Checks!$A$6:$A$3733,0))</f>
        <v>Y</v>
      </c>
      <c r="AC83" s="12">
        <f>IF(IF($D83="Unlabeled-13",MCDM_Settings!$F$6,MCDM_Settings!$D$6)=0,"n.a.",5*COUNTIF(M83:O83,"Y")/IF($D83="Unlabeled-13",MCDM_Settings!$F$6,MCDM_Settings!$D$6))</f>
        <v>5</v>
      </c>
      <c r="AD83" s="12">
        <f>IF(IF($D83="Unlabeled-13",MCDM_Settings!$F$6,MCDM_Settings!$D$6)=0,"n.a.",5*(COUNTIF(M83:O83,"Y")+COUNTIF(M83:O83,"U")+COUNTIF(M83:O83,"X"))/IF($D83="Unlabeled-13",MCDM_Settings!$F$6,MCDM_Settings!$D$6))</f>
        <v>5</v>
      </c>
      <c r="AE83" s="13">
        <f>IF(IF($D83="Unlabeled-13",MCDM_Settings!$F$6,MCDM_Settings!$D$6)=0,"n.a.",(COUNTIF(M83:O83,"Y")+COUNTIF(M83:O83,"N"))/IF($D83="Unlabeled-13",MCDM_Settings!$F$6,MCDM_Settings!$D$6))</f>
        <v>1</v>
      </c>
      <c r="AF83" s="12">
        <f>IF(IF($D83="Unlabeled-13",MCDM_Settings!$F$7,MCDM_Settings!$D$7)=0,"n.a.",5*COUNTIF(P83:R83,"Y")/IF($D83="Unlabeled-13",MCDM_Settings!$F$7,MCDM_Settings!$D$7))</f>
        <v>3.3333333333333335</v>
      </c>
      <c r="AG83" s="12">
        <f>IF(IF($D83="Unlabeled-13",MCDM_Settings!$F$7,MCDM_Settings!$D$7)=0,"n.a.",5*(COUNTIF(P83:R83,"Y")+COUNTIF(P83:R83,"U")+COUNTIF(P83:R83,"X"))/IF($D83="Unlabeled-13",MCDM_Settings!$F$7,MCDM_Settings!$D$7))</f>
        <v>5</v>
      </c>
      <c r="AH83" s="13">
        <f>IF(IF($D83="Unlabeled-13",MCDM_Settings!$F$7,MCDM_Settings!$D$7)=0,"n.a.",(COUNTIF(P83:R83,"Y")+COUNTIF(P83:R83,"N"))/IF($D83="Unlabeled-13",MCDM_Settings!$F$7,MCDM_Settings!$D$7))</f>
        <v>0.66666666666666663</v>
      </c>
      <c r="AI83" s="12">
        <f>IF(IF($D83="Unlabeled-13",MCDM_Settings!$F$8,MCDM_Settings!$D$8)=0,"n.a.",5*COUNTIF(S83:U83,"Y")/IF($D83="Unlabeled-13",MCDM_Settings!$F$8,MCDM_Settings!$D$8))</f>
        <v>3.3333333333333335</v>
      </c>
      <c r="AJ83" s="12">
        <f>IF(IF($D83="Unlabeled-13",MCDM_Settings!$F$8,MCDM_Settings!$D$8)=0,"n.a.",5*(COUNTIF(S83:U83,"Y")+COUNTIF(S83:U83,"U")+COUNTIF(S83:U83,"X"))/IF($D83="Unlabeled-13",MCDM_Settings!$F$8,MCDM_Settings!$D$8))</f>
        <v>5</v>
      </c>
      <c r="AK83" s="13">
        <f>IF(IF($D83="Unlabeled-13",MCDM_Settings!$F$8,MCDM_Settings!$D$8)=0,"n.a.",(COUNTIF(S83:U83,"Y")+COUNTIF(S83:U83,"N"))/IF($D83="Unlabeled-13",MCDM_Settings!$F$8,MCDM_Settings!$D$8))</f>
        <v>0.66666666666666663</v>
      </c>
      <c r="AL83" s="12">
        <f>IF(IF($D83="Unlabeled-13",MCDM_Settings!$F$9,MCDM_Settings!$D$9)=0,"n.a.",5*COUNTIF(V83:W83,"Y")/IF($D83="Unlabeled-13",MCDM_Settings!$F$9,MCDM_Settings!$D$9))</f>
        <v>5</v>
      </c>
      <c r="AM83" s="12">
        <f>IF(IF($D83="Unlabeled-13",MCDM_Settings!$F$9,MCDM_Settings!$D$9)=0,"n.a.",5*(COUNTIF(V83:W83,"Y")+COUNTIF(V83:W83,"U")+COUNTIF(V83:W83,"X"))/IF($D83="Unlabeled-13",MCDM_Settings!$F$9,MCDM_Settings!$D$9))</f>
        <v>5</v>
      </c>
      <c r="AN83" s="13">
        <f>IF(IF($D83="Unlabeled-13",MCDM_Settings!$F$9,MCDM_Settings!$D$9)=0,"n.a.",(COUNTIF(V83:W83,"Y")+COUNTIF(V83:W83,"N"))/IF($D83="Unlabeled-13",MCDM_Settings!$F$9,MCDM_Settings!$D$9))</f>
        <v>1</v>
      </c>
      <c r="AO83" s="12">
        <f>IF(IF($D83="Unlabeled-13",MCDM_Settings!$F$10,MCDM_Settings!$D$10)=0,"n.a.",5*COUNTIF(X83:Y83,"Y")/IF($D83="Unlabeled-13",MCDM_Settings!$F$10,MCDM_Settings!$D$10))</f>
        <v>5</v>
      </c>
      <c r="AP83" s="12">
        <f>IF(IF($D83="Unlabeled-13",MCDM_Settings!$F$10,MCDM_Settings!$D$10)=0,"n.a.",5*(COUNTIF(X83:Y83,"Y")+COUNTIF(X83:Y83,"U")+COUNTIF(X83:Y83,"X"))/IF($D83="Unlabeled-13",MCDM_Settings!$F$10,MCDM_Settings!$D$10))</f>
        <v>5</v>
      </c>
      <c r="AQ83" s="13">
        <f>IF(IF($D83="Unlabeled-13",MCDM_Settings!$F$10,MCDM_Settings!$D$10)=0,"n.a.",(COUNTIF(X83:Y83,"Y")+COUNTIF(X83:Y83,"N"))/IF($D83="Unlabeled-13",MCDM_Settings!$F$10,MCDM_Settings!$D$10))</f>
        <v>1</v>
      </c>
      <c r="AR83" s="12">
        <f>IF(IF($D83="Unlabeled-13",MCDM_Settings!$F$11,MCDM_Settings!$D$11)=0,"n.a.",5*COUNTIF(Z83:AB83,"Y")/IF($D83="Unlabeled-13",MCDM_Settings!$F$11,MCDM_Settings!$D$11))</f>
        <v>5</v>
      </c>
      <c r="AS83" s="12">
        <f>IF(IF($D83="Unlabeled-13",MCDM_Settings!$F$11,MCDM_Settings!$D$11)=0,"n.a.",5*(COUNTIF(Z83:AB83,"Y")+COUNTIF(Z83:AB83,"U")+COUNTIF(Z83:AB83,"X"))/IF($D83="Unlabeled-13",MCDM_Settings!$F$11,MCDM_Settings!$D$11))</f>
        <v>5</v>
      </c>
      <c r="AT83" s="13">
        <f>IF(IF($D83="Unlabeled-13",MCDM_Settings!$F$11,MCDM_Settings!$D$11)=0,"n.a.",(COUNTIF(Z83:AB83,"Y")+COUNTIF(Z83:AB83,"N"))/IF($D83="Unlabeled-13",MCDM_Settings!$F$11,MCDM_Settings!$D$11))</f>
        <v>1</v>
      </c>
      <c r="AU83" s="5" t="str">
        <f>IF(AND(INDEX(Manual_Review!$G$6:$G$238,MATCH(A83,Manual_Review!$A$6:$A$238,0))&lt;&gt;"",ISNUMBER(INDEX(Manual_Review!$H$6:$H$238,MATCH(A83,Manual_Review!$A$6:$A$238,0))),INDEX(Manual_Review!$H$6:$H$238,MATCH(A83,Manual_Review!$A$6:$A$238,0))&gt;0,INDEX(Manual_Review!$I$6:$I$238,MATCH(A83,Manual_Review!$A$6:$A$238,0))="Confirmed",INDEX(Manual_Review!$AF$6:$AF$238,MATCH(A83,Manual_Review!$A$6:$A$238,0))&lt;&gt;""),IF(INDEX(Manual_Review!$AA$6:$AA$238,MATCH(A83,Manual_Review!$A$6:$A$238,0))="Pass","Pass",IF(INDEX(Manual_Review!$AA$6:$AA$238,MATCH(A83,Manual_Review!$A$6:$A$238,0))="Fail","Fail","Pending")),"Pending human identity confirmation")</f>
        <v>Pending human identity confirmation</v>
      </c>
      <c r="AV83" s="5" t="str">
        <f>IF(AND(AND(INDEX(Manual_Review!$G$6:$G$238,MATCH(A83,Manual_Review!$A$6:$A$238,0))&lt;&gt;"",ISNUMBER(INDEX(Manual_Review!$H$6:$H$238,MATCH(A83,Manual_Review!$A$6:$A$238,0))),INDEX(Manual_Review!$H$6:$H$238,MATCH(A83,Manual_Review!$A$6:$A$238,0))&gt;0,INDEX(Manual_Review!$I$6:$I$238,MATCH(A83,Manual_Review!$A$6:$A$238,0))="Confirmed",INDEX(Manual_Review!$AF$6:$AF$238,MATCH(A83,Manual_Review!$A$6:$A$238,0))&lt;&gt;""),INDEX(Manual_Review!$AG$6:$AG$238,MATCH(A83,Manual_Review!$A$6:$A$238,0))&lt;&gt;""),IF(INDEX(Manual_Review!$AB$6:$AB$238,MATCH(A83,Manual_Review!$A$6:$A$238,0))="Pass","Pass",IF(INDEX(Manual_Review!$AB$6:$AB$238,MATCH(A83,Manual_Review!$A$6:$A$238,0))="Fail","Fail","Pending")),"Not assessed: define intended task")</f>
        <v>Not assessed: define intended task</v>
      </c>
      <c r="AW83" s="5" t="str">
        <f>IF(AND(AND(INDEX(Manual_Review!$G$6:$G$238,MATCH(A83,Manual_Review!$A$6:$A$238,0))&lt;&gt;"",ISNUMBER(INDEX(Manual_Review!$H$6:$H$238,MATCH(A83,Manual_Review!$A$6:$A$238,0))),INDEX(Manual_Review!$H$6:$H$238,MATCH(A83,Manual_Review!$A$6:$A$238,0))&gt;0,INDEX(Manual_Review!$I$6:$I$238,MATCH(A83,Manual_Review!$A$6:$A$238,0))="Confirmed",INDEX(Manual_Review!$AF$6:$AF$238,MATCH(A83,Manual_Review!$A$6:$A$238,0))&lt;&gt;""),INDEX(Manual_Review!$AG$6:$AG$238,MATCH(A83,Manual_Review!$A$6:$A$238,0))&lt;&gt;""),IF(OR(INDEX(Manual_Review!$AC$6:$AC$238,MATCH(A83,Manual_Review!$A$6:$A$238,0))="Fail",INDEX(Manual_Review!$AD$6:$AD$238,MATCH(A83,Manual_Review!$A$6:$A$238,0))="Fail"),"Fail: rights or retrieval",IF(AND(INDEX(Manual_Review!$AC$6:$AC$238,MATCH(A83,Manual_Review!$A$6:$A$238,0))="Pass",INDEX(Manual_Review!$AD$6:$AD$238,MATCH(A83,Manual_Review!$A$6:$A$238,0))="Pass"),"Pass","Pending rights and retrieval")),"Pending rights and retrieval")</f>
        <v>Pending rights and retrieval</v>
      </c>
      <c r="AX83" s="5" t="str">
        <f>IF(INDEX(Manual_Review!$AG$6:$AG$238,MATCH(A83,Manual_Review!$A$6:$A$238,0))="","N/A: documentation inventory",IF(AND(INDEX(Manual_Review!$G$6:$G$238,MATCH(A83,Manual_Review!$A$6:$A$238,0))&lt;&gt;"",ISNUMBER(INDEX(Manual_Review!$H$6:$H$238,MATCH(A83,Manual_Review!$A$6:$A$238,0))),INDEX(Manual_Review!$H$6:$H$238,MATCH(A83,Manual_Review!$A$6:$A$238,0))&gt;0,INDEX(Manual_Review!$I$6:$I$238,MATCH(A83,Manual_Review!$A$6:$A$238,0))="Confirmed",INDEX(Manual_Review!$AF$6:$AF$238,MATCH(A83,Manual_Review!$A$6:$A$238,0))&lt;&gt;""),IF(INDEX(Manual_Review!$AE$6:$AE$238,MATCH(A83,Manual_Review!$A$6:$A$238,0))="Pass","Pass",IF(INDEX(Manual_Review!$AE$6:$AE$238,MATCH(A83,Manual_Review!$A$6:$A$238,0))="Fail","Fail: benchmark leakage",IF(INDEX(Manual_Review!$AE$6:$AE$238,MATCH(A83,Manual_Review!$A$6:$A$238,0))="N/A","N/A: nonbenchmark task","Pending task-specific leakage check"))),"Pending task-specific leakage check"))</f>
        <v>N/A: documentation inventory</v>
      </c>
      <c r="AY83" s="5" t="str">
        <f>IF(IF(D83="Unlabeled-13",AND(ABS(MCDM_Settings!$D$14-1)&lt;0.0000001,MIN(MCDM_Settings!$E$6:$E$11)&gt;=0,MCDM_Settings!$E$7=0),AND(ABS(MCDM_Settings!$B$14-1)&lt;0.0000001,MIN(MCDM_Settings!$C$6:$C$11)&gt;=0)),"Valid","Check weights")</f>
        <v>Valid</v>
      </c>
      <c r="AZ83" s="5" t="str">
        <f>IF(AND(COUNTIF(MCDM_Checks!$B$6:$B$3733,A83)=16,COUNTIF(Manual_Review!$A$6:$A$238,A83)=1),"16 keys present","Check key count")</f>
        <v>16 keys present</v>
      </c>
    </row>
    <row r="84" spans="1:52">
      <c r="A84" s="5" t="s">
        <v>969</v>
      </c>
      <c r="B84" s="5" t="s">
        <v>970</v>
      </c>
      <c r="C84" s="5"/>
      <c r="D84" s="5" t="s">
        <v>118</v>
      </c>
      <c r="E84" s="12">
        <f>IF(OR(AY84&lt;&gt;"Valid",AZ84&lt;&gt;"16 keys present"),"Review settings",20*(IF(ISNUMBER(AC84),AC84*IF($D84="Unlabeled-13",MCDM_Settings!$E$6,MCDM_Settings!$C$6),0)+IF(ISNUMBER(AF84),AF84*IF($D84="Unlabeled-13",MCDM_Settings!$E$7,MCDM_Settings!$C$7),0)+IF(ISNUMBER(AI84),AI84*IF($D84="Unlabeled-13",MCDM_Settings!$E$8,MCDM_Settings!$C$8),0)+IF(ISNUMBER(AL84),AL84*IF($D84="Unlabeled-13",MCDM_Settings!$E$9,MCDM_Settings!$C$9),0)+IF(ISNUMBER(AO84),AO84*IF($D84="Unlabeled-13",MCDM_Settings!$E$10,MCDM_Settings!$C$10),0)+IF(ISNUMBER(AR84),AR84*IF($D84="Unlabeled-13",MCDM_Settings!$E$11,MCDM_Settings!$C$11),0)))</f>
        <v>75</v>
      </c>
      <c r="F84" s="12">
        <f>IF(OR(AY84&lt;&gt;"Valid",AZ84&lt;&gt;"16 keys present"),"Review settings",20*(IF(ISNUMBER(AD84),AD84*IF($D84="Unlabeled-13",MCDM_Settings!$E$6,MCDM_Settings!$C$6),0)+IF(ISNUMBER(AG84),AG84*IF($D84="Unlabeled-13",MCDM_Settings!$E$7,MCDM_Settings!$C$7),0)+IF(ISNUMBER(AJ84),AJ84*IF($D84="Unlabeled-13",MCDM_Settings!$E$8,MCDM_Settings!$C$8),0)+IF(ISNUMBER(AM84),AM84*IF($D84="Unlabeled-13",MCDM_Settings!$E$9,MCDM_Settings!$C$9),0)+IF(ISNUMBER(AP84),AP84*IF($D84="Unlabeled-13",MCDM_Settings!$E$10,MCDM_Settings!$C$10),0)+IF(ISNUMBER(AS84),AS84*IF($D84="Unlabeled-13",MCDM_Settings!$E$11,MCDM_Settings!$C$11),0)))</f>
        <v>99.999999999999986</v>
      </c>
      <c r="G84" s="13">
        <f>IF(OR(AY84&lt;&gt;"Valid",AZ84&lt;&gt;"16 keys present"),"Review settings",1*(IF(ISNUMBER(AE84),AE84*IF($D84="Unlabeled-13",MCDM_Settings!$E$6,MCDM_Settings!$C$6),0)+IF(ISNUMBER(AH84),AH84*IF($D84="Unlabeled-13",MCDM_Settings!$E$7,MCDM_Settings!$C$7),0)+IF(ISNUMBER(AK84),AK84*IF($D84="Unlabeled-13",MCDM_Settings!$E$8,MCDM_Settings!$C$8),0)+IF(ISNUMBER(AN84),AN84*IF($D84="Unlabeled-13",MCDM_Settings!$E$9,MCDM_Settings!$C$9),0)+IF(ISNUMBER(AQ84),AQ84*IF($D84="Unlabeled-13",MCDM_Settings!$E$10,MCDM_Settings!$C$10),0)+IF(ISNUMBER(AT84),AT84*IF($D84="Unlabeled-13",MCDM_Settings!$E$11,MCDM_Settings!$C$11),0)))</f>
        <v>0.75</v>
      </c>
      <c r="H84" s="5" t="str">
        <f>INDEX(Manual_Review!$AH$6:$AH$238,MATCH(A84,Manual_Review!$A$6:$A$238,0))</f>
        <v>Not started</v>
      </c>
      <c r="I84" s="5" t="s">
        <v>182</v>
      </c>
      <c r="J84" s="5" t="s">
        <v>971</v>
      </c>
      <c r="K84" s="5" t="str">
        <f>HYPERLINK("https://data.mendeley.com/datasets/kfth5g2xk3/2","Dataset")</f>
        <v>Dataset</v>
      </c>
      <c r="L84" s="5" t="str">
        <f>HYPERLINK("#'Manual_Review'!A"&amp;(MATCH("DS-079",Manual_Review!$A$6:$A$238,0)+5),"Enter review")</f>
        <v>Enter review</v>
      </c>
      <c r="M84" s="5" t="str">
        <f>INDEX(MCDM_Checks!$K$6:$K$3733,MATCH(A84&amp;"|"&amp;M$5,MCDM_Checks!$A$6:$A$3733,0))</f>
        <v>Y</v>
      </c>
      <c r="N84" s="5" t="str">
        <f>INDEX(MCDM_Checks!$K$6:$K$3733,MATCH(A84&amp;"|"&amp;N$5,MCDM_Checks!$A$6:$A$3733,0))</f>
        <v>Y</v>
      </c>
      <c r="O84" s="5" t="str">
        <f>INDEX(MCDM_Checks!$K$6:$K$3733,MATCH(A84&amp;"|"&amp;O$5,MCDM_Checks!$A$6:$A$3733,0))</f>
        <v>Y</v>
      </c>
      <c r="P84" s="5" t="str">
        <f>INDEX(MCDM_Checks!$K$6:$K$3733,MATCH(A84&amp;"|"&amp;P$5,MCDM_Checks!$A$6:$A$3733,0))</f>
        <v>Y</v>
      </c>
      <c r="Q84" s="5" t="str">
        <f>INDEX(MCDM_Checks!$K$6:$K$3733,MATCH(A84&amp;"|"&amp;Q$5,MCDM_Checks!$A$6:$A$3733,0))</f>
        <v>U</v>
      </c>
      <c r="R84" s="5" t="str">
        <f>INDEX(MCDM_Checks!$K$6:$K$3733,MATCH(A84&amp;"|"&amp;R$5,MCDM_Checks!$A$6:$A$3733,0))</f>
        <v>U</v>
      </c>
      <c r="S84" s="5" t="str">
        <f>INDEX(MCDM_Checks!$K$6:$K$3733,MATCH(A84&amp;"|"&amp;S$5,MCDM_Checks!$A$6:$A$3733,0))</f>
        <v>Y</v>
      </c>
      <c r="T84" s="5" t="str">
        <f>INDEX(MCDM_Checks!$K$6:$K$3733,MATCH(A84&amp;"|"&amp;T$5,MCDM_Checks!$A$6:$A$3733,0))</f>
        <v>Y</v>
      </c>
      <c r="U84" s="5" t="str">
        <f>INDEX(MCDM_Checks!$K$6:$K$3733,MATCH(A84&amp;"|"&amp;U$5,MCDM_Checks!$A$6:$A$3733,0))</f>
        <v>Y</v>
      </c>
      <c r="V84" s="5" t="str">
        <f>INDEX(MCDM_Checks!$K$6:$K$3733,MATCH(A84&amp;"|"&amp;V$5,MCDM_Checks!$A$6:$A$3733,0))</f>
        <v>Y</v>
      </c>
      <c r="W84" s="5" t="str">
        <f>INDEX(MCDM_Checks!$K$6:$K$3733,MATCH(A84&amp;"|"&amp;W$5,MCDM_Checks!$A$6:$A$3733,0))</f>
        <v>Y</v>
      </c>
      <c r="X84" s="5" t="str">
        <f>INDEX(MCDM_Checks!$K$6:$K$3733,MATCH(A84&amp;"|"&amp;X$5,MCDM_Checks!$A$6:$A$3733,0))</f>
        <v>U</v>
      </c>
      <c r="Y84" s="5" t="str">
        <f>INDEX(MCDM_Checks!$K$6:$K$3733,MATCH(A84&amp;"|"&amp;Y$5,MCDM_Checks!$A$6:$A$3733,0))</f>
        <v>Y</v>
      </c>
      <c r="Z84" s="5" t="str">
        <f>INDEX(MCDM_Checks!$K$6:$K$3733,MATCH(A84&amp;"|"&amp;Z$5,MCDM_Checks!$A$6:$A$3733,0))</f>
        <v>Y</v>
      </c>
      <c r="AA84" s="5" t="str">
        <f>INDEX(MCDM_Checks!$K$6:$K$3733,MATCH(A84&amp;"|"&amp;AA$5,MCDM_Checks!$A$6:$A$3733,0))</f>
        <v>U</v>
      </c>
      <c r="AB84" s="5" t="str">
        <f>INDEX(MCDM_Checks!$K$6:$K$3733,MATCH(A84&amp;"|"&amp;AB$5,MCDM_Checks!$A$6:$A$3733,0))</f>
        <v>Y</v>
      </c>
      <c r="AC84" s="12">
        <f>IF(IF($D84="Unlabeled-13",MCDM_Settings!$F$6,MCDM_Settings!$D$6)=0,"n.a.",5*COUNTIF(M84:O84,"Y")/IF($D84="Unlabeled-13",MCDM_Settings!$F$6,MCDM_Settings!$D$6))</f>
        <v>5</v>
      </c>
      <c r="AD84" s="12">
        <f>IF(IF($D84="Unlabeled-13",MCDM_Settings!$F$6,MCDM_Settings!$D$6)=0,"n.a.",5*(COUNTIF(M84:O84,"Y")+COUNTIF(M84:O84,"U")+COUNTIF(M84:O84,"X"))/IF($D84="Unlabeled-13",MCDM_Settings!$F$6,MCDM_Settings!$D$6))</f>
        <v>5</v>
      </c>
      <c r="AE84" s="13">
        <f>IF(IF($D84="Unlabeled-13",MCDM_Settings!$F$6,MCDM_Settings!$D$6)=0,"n.a.",(COUNTIF(M84:O84,"Y")+COUNTIF(M84:O84,"N"))/IF($D84="Unlabeled-13",MCDM_Settings!$F$6,MCDM_Settings!$D$6))</f>
        <v>1</v>
      </c>
      <c r="AF84" s="12">
        <f>IF(IF($D84="Unlabeled-13",MCDM_Settings!$F$7,MCDM_Settings!$D$7)=0,"n.a.",5*COUNTIF(P84:R84,"Y")/IF($D84="Unlabeled-13",MCDM_Settings!$F$7,MCDM_Settings!$D$7))</f>
        <v>1.6666666666666667</v>
      </c>
      <c r="AG84" s="12">
        <f>IF(IF($D84="Unlabeled-13",MCDM_Settings!$F$7,MCDM_Settings!$D$7)=0,"n.a.",5*(COUNTIF(P84:R84,"Y")+COUNTIF(P84:R84,"U")+COUNTIF(P84:R84,"X"))/IF($D84="Unlabeled-13",MCDM_Settings!$F$7,MCDM_Settings!$D$7))</f>
        <v>5</v>
      </c>
      <c r="AH84" s="13">
        <f>IF(IF($D84="Unlabeled-13",MCDM_Settings!$F$7,MCDM_Settings!$D$7)=0,"n.a.",(COUNTIF(P84:R84,"Y")+COUNTIF(P84:R84,"N"))/IF($D84="Unlabeled-13",MCDM_Settings!$F$7,MCDM_Settings!$D$7))</f>
        <v>0.33333333333333331</v>
      </c>
      <c r="AI84" s="12">
        <f>IF(IF($D84="Unlabeled-13",MCDM_Settings!$F$8,MCDM_Settings!$D$8)=0,"n.a.",5*COUNTIF(S84:U84,"Y")/IF($D84="Unlabeled-13",MCDM_Settings!$F$8,MCDM_Settings!$D$8))</f>
        <v>5</v>
      </c>
      <c r="AJ84" s="12">
        <f>IF(IF($D84="Unlabeled-13",MCDM_Settings!$F$8,MCDM_Settings!$D$8)=0,"n.a.",5*(COUNTIF(S84:U84,"Y")+COUNTIF(S84:U84,"U")+COUNTIF(S84:U84,"X"))/IF($D84="Unlabeled-13",MCDM_Settings!$F$8,MCDM_Settings!$D$8))</f>
        <v>5</v>
      </c>
      <c r="AK84" s="13">
        <f>IF(IF($D84="Unlabeled-13",MCDM_Settings!$F$8,MCDM_Settings!$D$8)=0,"n.a.",(COUNTIF(S84:U84,"Y")+COUNTIF(S84:U84,"N"))/IF($D84="Unlabeled-13",MCDM_Settings!$F$8,MCDM_Settings!$D$8))</f>
        <v>1</v>
      </c>
      <c r="AL84" s="12">
        <f>IF(IF($D84="Unlabeled-13",MCDM_Settings!$F$9,MCDM_Settings!$D$9)=0,"n.a.",5*COUNTIF(V84:W84,"Y")/IF($D84="Unlabeled-13",MCDM_Settings!$F$9,MCDM_Settings!$D$9))</f>
        <v>5</v>
      </c>
      <c r="AM84" s="12">
        <f>IF(IF($D84="Unlabeled-13",MCDM_Settings!$F$9,MCDM_Settings!$D$9)=0,"n.a.",5*(COUNTIF(V84:W84,"Y")+COUNTIF(V84:W84,"U")+COUNTIF(V84:W84,"X"))/IF($D84="Unlabeled-13",MCDM_Settings!$F$9,MCDM_Settings!$D$9))</f>
        <v>5</v>
      </c>
      <c r="AN84" s="13">
        <f>IF(IF($D84="Unlabeled-13",MCDM_Settings!$F$9,MCDM_Settings!$D$9)=0,"n.a.",(COUNTIF(V84:W84,"Y")+COUNTIF(V84:W84,"N"))/IF($D84="Unlabeled-13",MCDM_Settings!$F$9,MCDM_Settings!$D$9))</f>
        <v>1</v>
      </c>
      <c r="AO84" s="12">
        <f>IF(IF($D84="Unlabeled-13",MCDM_Settings!$F$10,MCDM_Settings!$D$10)=0,"n.a.",5*COUNTIF(X84:Y84,"Y")/IF($D84="Unlabeled-13",MCDM_Settings!$F$10,MCDM_Settings!$D$10))</f>
        <v>2.5</v>
      </c>
      <c r="AP84" s="12">
        <f>IF(IF($D84="Unlabeled-13",MCDM_Settings!$F$10,MCDM_Settings!$D$10)=0,"n.a.",5*(COUNTIF(X84:Y84,"Y")+COUNTIF(X84:Y84,"U")+COUNTIF(X84:Y84,"X"))/IF($D84="Unlabeled-13",MCDM_Settings!$F$10,MCDM_Settings!$D$10))</f>
        <v>5</v>
      </c>
      <c r="AQ84" s="13">
        <f>IF(IF($D84="Unlabeled-13",MCDM_Settings!$F$10,MCDM_Settings!$D$10)=0,"n.a.",(COUNTIF(X84:Y84,"Y")+COUNTIF(X84:Y84,"N"))/IF($D84="Unlabeled-13",MCDM_Settings!$F$10,MCDM_Settings!$D$10))</f>
        <v>0.5</v>
      </c>
      <c r="AR84" s="12">
        <f>IF(IF($D84="Unlabeled-13",MCDM_Settings!$F$11,MCDM_Settings!$D$11)=0,"n.a.",5*COUNTIF(Z84:AB84,"Y")/IF($D84="Unlabeled-13",MCDM_Settings!$F$11,MCDM_Settings!$D$11))</f>
        <v>3.3333333333333335</v>
      </c>
      <c r="AS84" s="12">
        <f>IF(IF($D84="Unlabeled-13",MCDM_Settings!$F$11,MCDM_Settings!$D$11)=0,"n.a.",5*(COUNTIF(Z84:AB84,"Y")+COUNTIF(Z84:AB84,"U")+COUNTIF(Z84:AB84,"X"))/IF($D84="Unlabeled-13",MCDM_Settings!$F$11,MCDM_Settings!$D$11))</f>
        <v>5</v>
      </c>
      <c r="AT84" s="13">
        <f>IF(IF($D84="Unlabeled-13",MCDM_Settings!$F$11,MCDM_Settings!$D$11)=0,"n.a.",(COUNTIF(Z84:AB84,"Y")+COUNTIF(Z84:AB84,"N"))/IF($D84="Unlabeled-13",MCDM_Settings!$F$11,MCDM_Settings!$D$11))</f>
        <v>0.66666666666666663</v>
      </c>
      <c r="AU84" s="5" t="str">
        <f>IF(AND(INDEX(Manual_Review!$G$6:$G$238,MATCH(A84,Manual_Review!$A$6:$A$238,0))&lt;&gt;"",ISNUMBER(INDEX(Manual_Review!$H$6:$H$238,MATCH(A84,Manual_Review!$A$6:$A$238,0))),INDEX(Manual_Review!$H$6:$H$238,MATCH(A84,Manual_Review!$A$6:$A$238,0))&gt;0,INDEX(Manual_Review!$I$6:$I$238,MATCH(A84,Manual_Review!$A$6:$A$238,0))="Confirmed",INDEX(Manual_Review!$AF$6:$AF$238,MATCH(A84,Manual_Review!$A$6:$A$238,0))&lt;&gt;""),IF(INDEX(Manual_Review!$AA$6:$AA$238,MATCH(A84,Manual_Review!$A$6:$A$238,0))="Pass","Pass",IF(INDEX(Manual_Review!$AA$6:$AA$238,MATCH(A84,Manual_Review!$A$6:$A$238,0))="Fail","Fail","Pending")),"Pending human identity confirmation")</f>
        <v>Pending human identity confirmation</v>
      </c>
      <c r="AV84" s="5" t="str">
        <f>IF(AND(AND(INDEX(Manual_Review!$G$6:$G$238,MATCH(A84,Manual_Review!$A$6:$A$238,0))&lt;&gt;"",ISNUMBER(INDEX(Manual_Review!$H$6:$H$238,MATCH(A84,Manual_Review!$A$6:$A$238,0))),INDEX(Manual_Review!$H$6:$H$238,MATCH(A84,Manual_Review!$A$6:$A$238,0))&gt;0,INDEX(Manual_Review!$I$6:$I$238,MATCH(A84,Manual_Review!$A$6:$A$238,0))="Confirmed",INDEX(Manual_Review!$AF$6:$AF$238,MATCH(A84,Manual_Review!$A$6:$A$238,0))&lt;&gt;""),INDEX(Manual_Review!$AG$6:$AG$238,MATCH(A84,Manual_Review!$A$6:$A$238,0))&lt;&gt;""),IF(INDEX(Manual_Review!$AB$6:$AB$238,MATCH(A84,Manual_Review!$A$6:$A$238,0))="Pass","Pass",IF(INDEX(Manual_Review!$AB$6:$AB$238,MATCH(A84,Manual_Review!$A$6:$A$238,0))="Fail","Fail","Pending")),"Not assessed: define intended task")</f>
        <v>Not assessed: define intended task</v>
      </c>
      <c r="AW84" s="5" t="str">
        <f>IF(AND(AND(INDEX(Manual_Review!$G$6:$G$238,MATCH(A84,Manual_Review!$A$6:$A$238,0))&lt;&gt;"",ISNUMBER(INDEX(Manual_Review!$H$6:$H$238,MATCH(A84,Manual_Review!$A$6:$A$238,0))),INDEX(Manual_Review!$H$6:$H$238,MATCH(A84,Manual_Review!$A$6:$A$238,0))&gt;0,INDEX(Manual_Review!$I$6:$I$238,MATCH(A84,Manual_Review!$A$6:$A$238,0))="Confirmed",INDEX(Manual_Review!$AF$6:$AF$238,MATCH(A84,Manual_Review!$A$6:$A$238,0))&lt;&gt;""),INDEX(Manual_Review!$AG$6:$AG$238,MATCH(A84,Manual_Review!$A$6:$A$238,0))&lt;&gt;""),IF(OR(INDEX(Manual_Review!$AC$6:$AC$238,MATCH(A84,Manual_Review!$A$6:$A$238,0))="Fail",INDEX(Manual_Review!$AD$6:$AD$238,MATCH(A84,Manual_Review!$A$6:$A$238,0))="Fail"),"Fail: rights or retrieval",IF(AND(INDEX(Manual_Review!$AC$6:$AC$238,MATCH(A84,Manual_Review!$A$6:$A$238,0))="Pass",INDEX(Manual_Review!$AD$6:$AD$238,MATCH(A84,Manual_Review!$A$6:$A$238,0))="Pass"),"Pass","Pending rights and retrieval")),"Pending rights and retrieval")</f>
        <v>Pending rights and retrieval</v>
      </c>
      <c r="AX84" s="5" t="str">
        <f>IF(INDEX(Manual_Review!$AG$6:$AG$238,MATCH(A84,Manual_Review!$A$6:$A$238,0))="","N/A: documentation inventory",IF(AND(INDEX(Manual_Review!$G$6:$G$238,MATCH(A84,Manual_Review!$A$6:$A$238,0))&lt;&gt;"",ISNUMBER(INDEX(Manual_Review!$H$6:$H$238,MATCH(A84,Manual_Review!$A$6:$A$238,0))),INDEX(Manual_Review!$H$6:$H$238,MATCH(A84,Manual_Review!$A$6:$A$238,0))&gt;0,INDEX(Manual_Review!$I$6:$I$238,MATCH(A84,Manual_Review!$A$6:$A$238,0))="Confirmed",INDEX(Manual_Review!$AF$6:$AF$238,MATCH(A84,Manual_Review!$A$6:$A$238,0))&lt;&gt;""),IF(INDEX(Manual_Review!$AE$6:$AE$238,MATCH(A84,Manual_Review!$A$6:$A$238,0))="Pass","Pass",IF(INDEX(Manual_Review!$AE$6:$AE$238,MATCH(A84,Manual_Review!$A$6:$A$238,0))="Fail","Fail: benchmark leakage",IF(INDEX(Manual_Review!$AE$6:$AE$238,MATCH(A84,Manual_Review!$A$6:$A$238,0))="N/A","N/A: nonbenchmark task","Pending task-specific leakage check"))),"Pending task-specific leakage check"))</f>
        <v>N/A: documentation inventory</v>
      </c>
      <c r="AY84" s="5" t="str">
        <f>IF(IF(D84="Unlabeled-13",AND(ABS(MCDM_Settings!$D$14-1)&lt;0.0000001,MIN(MCDM_Settings!$E$6:$E$11)&gt;=0,MCDM_Settings!$E$7=0),AND(ABS(MCDM_Settings!$B$14-1)&lt;0.0000001,MIN(MCDM_Settings!$C$6:$C$11)&gt;=0)),"Valid","Check weights")</f>
        <v>Valid</v>
      </c>
      <c r="AZ84" s="5" t="str">
        <f>IF(AND(COUNTIF(MCDM_Checks!$B$6:$B$3733,A84)=16,COUNTIF(Manual_Review!$A$6:$A$238,A84)=1),"16 keys present","Check key count")</f>
        <v>16 keys present</v>
      </c>
    </row>
    <row r="85" spans="1:52">
      <c r="A85" s="5" t="s">
        <v>982</v>
      </c>
      <c r="B85" s="5" t="s">
        <v>983</v>
      </c>
      <c r="C85" s="5"/>
      <c r="D85" s="5" t="s">
        <v>118</v>
      </c>
      <c r="E85" s="12">
        <f>IF(OR(AY85&lt;&gt;"Valid",AZ85&lt;&gt;"16 keys present"),"Review settings",20*(IF(ISNUMBER(AC85),AC85*IF($D85="Unlabeled-13",MCDM_Settings!$E$6,MCDM_Settings!$C$6),0)+IF(ISNUMBER(AF85),AF85*IF($D85="Unlabeled-13",MCDM_Settings!$E$7,MCDM_Settings!$C$7),0)+IF(ISNUMBER(AI85),AI85*IF($D85="Unlabeled-13",MCDM_Settings!$E$8,MCDM_Settings!$C$8),0)+IF(ISNUMBER(AL85),AL85*IF($D85="Unlabeled-13",MCDM_Settings!$E$9,MCDM_Settings!$C$9),0)+IF(ISNUMBER(AO85),AO85*IF($D85="Unlabeled-13",MCDM_Settings!$E$10,MCDM_Settings!$C$10),0)+IF(ISNUMBER(AR85),AR85*IF($D85="Unlabeled-13",MCDM_Settings!$E$11,MCDM_Settings!$C$11),0)))</f>
        <v>94.444444444444429</v>
      </c>
      <c r="F85" s="12">
        <f>IF(OR(AY85&lt;&gt;"Valid",AZ85&lt;&gt;"16 keys present"),"Review settings",20*(IF(ISNUMBER(AD85),AD85*IF($D85="Unlabeled-13",MCDM_Settings!$E$6,MCDM_Settings!$C$6),0)+IF(ISNUMBER(AG85),AG85*IF($D85="Unlabeled-13",MCDM_Settings!$E$7,MCDM_Settings!$C$7),0)+IF(ISNUMBER(AJ85),AJ85*IF($D85="Unlabeled-13",MCDM_Settings!$E$8,MCDM_Settings!$C$8),0)+IF(ISNUMBER(AM85),AM85*IF($D85="Unlabeled-13",MCDM_Settings!$E$9,MCDM_Settings!$C$9),0)+IF(ISNUMBER(AP85),AP85*IF($D85="Unlabeled-13",MCDM_Settings!$E$10,MCDM_Settings!$C$10),0)+IF(ISNUMBER(AS85),AS85*IF($D85="Unlabeled-13",MCDM_Settings!$E$11,MCDM_Settings!$C$11),0)))</f>
        <v>99.999999999999986</v>
      </c>
      <c r="G85" s="13">
        <f>IF(OR(AY85&lt;&gt;"Valid",AZ85&lt;&gt;"16 keys present"),"Review settings",1*(IF(ISNUMBER(AE85),AE85*IF($D85="Unlabeled-13",MCDM_Settings!$E$6,MCDM_Settings!$C$6),0)+IF(ISNUMBER(AH85),AH85*IF($D85="Unlabeled-13",MCDM_Settings!$E$7,MCDM_Settings!$C$7),0)+IF(ISNUMBER(AK85),AK85*IF($D85="Unlabeled-13",MCDM_Settings!$E$8,MCDM_Settings!$C$8),0)+IF(ISNUMBER(AN85),AN85*IF($D85="Unlabeled-13",MCDM_Settings!$E$9,MCDM_Settings!$C$9),0)+IF(ISNUMBER(AQ85),AQ85*IF($D85="Unlabeled-13",MCDM_Settings!$E$10,MCDM_Settings!$C$10),0)+IF(ISNUMBER(AT85),AT85*IF($D85="Unlabeled-13",MCDM_Settings!$E$11,MCDM_Settings!$C$11),0)))</f>
        <v>0.94444444444444431</v>
      </c>
      <c r="H85" s="5" t="str">
        <f>INDEX(Manual_Review!$AH$6:$AH$238,MATCH(A85,Manual_Review!$A$6:$A$238,0))</f>
        <v>Not started</v>
      </c>
      <c r="I85" s="5" t="s">
        <v>182</v>
      </c>
      <c r="J85" s="5" t="s">
        <v>984</v>
      </c>
      <c r="K85" s="5" t="str">
        <f>HYPERLINK("https://data.mendeley.com/datasets/5bwfg4v4cd/3","Dataset")</f>
        <v>Dataset</v>
      </c>
      <c r="L85" s="5" t="str">
        <f>HYPERLINK("#'Manual_Review'!A"&amp;(MATCH("DS-080",Manual_Review!$A$6:$A$238,0)+5),"Enter review")</f>
        <v>Enter review</v>
      </c>
      <c r="M85" s="5" t="str">
        <f>INDEX(MCDM_Checks!$K$6:$K$3733,MATCH(A85&amp;"|"&amp;M$5,MCDM_Checks!$A$6:$A$3733,0))</f>
        <v>Y</v>
      </c>
      <c r="N85" s="5" t="str">
        <f>INDEX(MCDM_Checks!$K$6:$K$3733,MATCH(A85&amp;"|"&amp;N$5,MCDM_Checks!$A$6:$A$3733,0))</f>
        <v>Y</v>
      </c>
      <c r="O85" s="5" t="str">
        <f>INDEX(MCDM_Checks!$K$6:$K$3733,MATCH(A85&amp;"|"&amp;O$5,MCDM_Checks!$A$6:$A$3733,0))</f>
        <v>Y</v>
      </c>
      <c r="P85" s="5" t="str">
        <f>INDEX(MCDM_Checks!$K$6:$K$3733,MATCH(A85&amp;"|"&amp;P$5,MCDM_Checks!$A$6:$A$3733,0))</f>
        <v>Y</v>
      </c>
      <c r="Q85" s="5" t="str">
        <f>INDEX(MCDM_Checks!$K$6:$K$3733,MATCH(A85&amp;"|"&amp;Q$5,MCDM_Checks!$A$6:$A$3733,0))</f>
        <v>Y</v>
      </c>
      <c r="R85" s="5" t="str">
        <f>INDEX(MCDM_Checks!$K$6:$K$3733,MATCH(A85&amp;"|"&amp;R$5,MCDM_Checks!$A$6:$A$3733,0))</f>
        <v>U</v>
      </c>
      <c r="S85" s="5" t="str">
        <f>INDEX(MCDM_Checks!$K$6:$K$3733,MATCH(A85&amp;"|"&amp;S$5,MCDM_Checks!$A$6:$A$3733,0))</f>
        <v>Y</v>
      </c>
      <c r="T85" s="5" t="str">
        <f>INDEX(MCDM_Checks!$K$6:$K$3733,MATCH(A85&amp;"|"&amp;T$5,MCDM_Checks!$A$6:$A$3733,0))</f>
        <v>Y</v>
      </c>
      <c r="U85" s="5" t="str">
        <f>INDEX(MCDM_Checks!$K$6:$K$3733,MATCH(A85&amp;"|"&amp;U$5,MCDM_Checks!$A$6:$A$3733,0))</f>
        <v>Y</v>
      </c>
      <c r="V85" s="5" t="str">
        <f>INDEX(MCDM_Checks!$K$6:$K$3733,MATCH(A85&amp;"|"&amp;V$5,MCDM_Checks!$A$6:$A$3733,0))</f>
        <v>Y</v>
      </c>
      <c r="W85" s="5" t="str">
        <f>INDEX(MCDM_Checks!$K$6:$K$3733,MATCH(A85&amp;"|"&amp;W$5,MCDM_Checks!$A$6:$A$3733,0))</f>
        <v>Y</v>
      </c>
      <c r="X85" s="5" t="str">
        <f>INDEX(MCDM_Checks!$K$6:$K$3733,MATCH(A85&amp;"|"&amp;X$5,MCDM_Checks!$A$6:$A$3733,0))</f>
        <v>Y</v>
      </c>
      <c r="Y85" s="5" t="str">
        <f>INDEX(MCDM_Checks!$K$6:$K$3733,MATCH(A85&amp;"|"&amp;Y$5,MCDM_Checks!$A$6:$A$3733,0))</f>
        <v>Y</v>
      </c>
      <c r="Z85" s="5" t="str">
        <f>INDEX(MCDM_Checks!$K$6:$K$3733,MATCH(A85&amp;"|"&amp;Z$5,MCDM_Checks!$A$6:$A$3733,0))</f>
        <v>Y</v>
      </c>
      <c r="AA85" s="5" t="str">
        <f>INDEX(MCDM_Checks!$K$6:$K$3733,MATCH(A85&amp;"|"&amp;AA$5,MCDM_Checks!$A$6:$A$3733,0))</f>
        <v>Y</v>
      </c>
      <c r="AB85" s="5" t="str">
        <f>INDEX(MCDM_Checks!$K$6:$K$3733,MATCH(A85&amp;"|"&amp;AB$5,MCDM_Checks!$A$6:$A$3733,0))</f>
        <v>Y</v>
      </c>
      <c r="AC85" s="12">
        <f>IF(IF($D85="Unlabeled-13",MCDM_Settings!$F$6,MCDM_Settings!$D$6)=0,"n.a.",5*COUNTIF(M85:O85,"Y")/IF($D85="Unlabeled-13",MCDM_Settings!$F$6,MCDM_Settings!$D$6))</f>
        <v>5</v>
      </c>
      <c r="AD85" s="12">
        <f>IF(IF($D85="Unlabeled-13",MCDM_Settings!$F$6,MCDM_Settings!$D$6)=0,"n.a.",5*(COUNTIF(M85:O85,"Y")+COUNTIF(M85:O85,"U")+COUNTIF(M85:O85,"X"))/IF($D85="Unlabeled-13",MCDM_Settings!$F$6,MCDM_Settings!$D$6))</f>
        <v>5</v>
      </c>
      <c r="AE85" s="13">
        <f>IF(IF($D85="Unlabeled-13",MCDM_Settings!$F$6,MCDM_Settings!$D$6)=0,"n.a.",(COUNTIF(M85:O85,"Y")+COUNTIF(M85:O85,"N"))/IF($D85="Unlabeled-13",MCDM_Settings!$F$6,MCDM_Settings!$D$6))</f>
        <v>1</v>
      </c>
      <c r="AF85" s="12">
        <f>IF(IF($D85="Unlabeled-13",MCDM_Settings!$F$7,MCDM_Settings!$D$7)=0,"n.a.",5*COUNTIF(P85:R85,"Y")/IF($D85="Unlabeled-13",MCDM_Settings!$F$7,MCDM_Settings!$D$7))</f>
        <v>3.3333333333333335</v>
      </c>
      <c r="AG85" s="12">
        <f>IF(IF($D85="Unlabeled-13",MCDM_Settings!$F$7,MCDM_Settings!$D$7)=0,"n.a.",5*(COUNTIF(P85:R85,"Y")+COUNTIF(P85:R85,"U")+COUNTIF(P85:R85,"X"))/IF($D85="Unlabeled-13",MCDM_Settings!$F$7,MCDM_Settings!$D$7))</f>
        <v>5</v>
      </c>
      <c r="AH85" s="13">
        <f>IF(IF($D85="Unlabeled-13",MCDM_Settings!$F$7,MCDM_Settings!$D$7)=0,"n.a.",(COUNTIF(P85:R85,"Y")+COUNTIF(P85:R85,"N"))/IF($D85="Unlabeled-13",MCDM_Settings!$F$7,MCDM_Settings!$D$7))</f>
        <v>0.66666666666666663</v>
      </c>
      <c r="AI85" s="12">
        <f>IF(IF($D85="Unlabeled-13",MCDM_Settings!$F$8,MCDM_Settings!$D$8)=0,"n.a.",5*COUNTIF(S85:U85,"Y")/IF($D85="Unlabeled-13",MCDM_Settings!$F$8,MCDM_Settings!$D$8))</f>
        <v>5</v>
      </c>
      <c r="AJ85" s="12">
        <f>IF(IF($D85="Unlabeled-13",MCDM_Settings!$F$8,MCDM_Settings!$D$8)=0,"n.a.",5*(COUNTIF(S85:U85,"Y")+COUNTIF(S85:U85,"U")+COUNTIF(S85:U85,"X"))/IF($D85="Unlabeled-13",MCDM_Settings!$F$8,MCDM_Settings!$D$8))</f>
        <v>5</v>
      </c>
      <c r="AK85" s="13">
        <f>IF(IF($D85="Unlabeled-13",MCDM_Settings!$F$8,MCDM_Settings!$D$8)=0,"n.a.",(COUNTIF(S85:U85,"Y")+COUNTIF(S85:U85,"N"))/IF($D85="Unlabeled-13",MCDM_Settings!$F$8,MCDM_Settings!$D$8))</f>
        <v>1</v>
      </c>
      <c r="AL85" s="12">
        <f>IF(IF($D85="Unlabeled-13",MCDM_Settings!$F$9,MCDM_Settings!$D$9)=0,"n.a.",5*COUNTIF(V85:W85,"Y")/IF($D85="Unlabeled-13",MCDM_Settings!$F$9,MCDM_Settings!$D$9))</f>
        <v>5</v>
      </c>
      <c r="AM85" s="12">
        <f>IF(IF($D85="Unlabeled-13",MCDM_Settings!$F$9,MCDM_Settings!$D$9)=0,"n.a.",5*(COUNTIF(V85:W85,"Y")+COUNTIF(V85:W85,"U")+COUNTIF(V85:W85,"X"))/IF($D85="Unlabeled-13",MCDM_Settings!$F$9,MCDM_Settings!$D$9))</f>
        <v>5</v>
      </c>
      <c r="AN85" s="13">
        <f>IF(IF($D85="Unlabeled-13",MCDM_Settings!$F$9,MCDM_Settings!$D$9)=0,"n.a.",(COUNTIF(V85:W85,"Y")+COUNTIF(V85:W85,"N"))/IF($D85="Unlabeled-13",MCDM_Settings!$F$9,MCDM_Settings!$D$9))</f>
        <v>1</v>
      </c>
      <c r="AO85" s="12">
        <f>IF(IF($D85="Unlabeled-13",MCDM_Settings!$F$10,MCDM_Settings!$D$10)=0,"n.a.",5*COUNTIF(X85:Y85,"Y")/IF($D85="Unlabeled-13",MCDM_Settings!$F$10,MCDM_Settings!$D$10))</f>
        <v>5</v>
      </c>
      <c r="AP85" s="12">
        <f>IF(IF($D85="Unlabeled-13",MCDM_Settings!$F$10,MCDM_Settings!$D$10)=0,"n.a.",5*(COUNTIF(X85:Y85,"Y")+COUNTIF(X85:Y85,"U")+COUNTIF(X85:Y85,"X"))/IF($D85="Unlabeled-13",MCDM_Settings!$F$10,MCDM_Settings!$D$10))</f>
        <v>5</v>
      </c>
      <c r="AQ85" s="13">
        <f>IF(IF($D85="Unlabeled-13",MCDM_Settings!$F$10,MCDM_Settings!$D$10)=0,"n.a.",(COUNTIF(X85:Y85,"Y")+COUNTIF(X85:Y85,"N"))/IF($D85="Unlabeled-13",MCDM_Settings!$F$10,MCDM_Settings!$D$10))</f>
        <v>1</v>
      </c>
      <c r="AR85" s="12">
        <f>IF(IF($D85="Unlabeled-13",MCDM_Settings!$F$11,MCDM_Settings!$D$11)=0,"n.a.",5*COUNTIF(Z85:AB85,"Y")/IF($D85="Unlabeled-13",MCDM_Settings!$F$11,MCDM_Settings!$D$11))</f>
        <v>5</v>
      </c>
      <c r="AS85" s="12">
        <f>IF(IF($D85="Unlabeled-13",MCDM_Settings!$F$11,MCDM_Settings!$D$11)=0,"n.a.",5*(COUNTIF(Z85:AB85,"Y")+COUNTIF(Z85:AB85,"U")+COUNTIF(Z85:AB85,"X"))/IF($D85="Unlabeled-13",MCDM_Settings!$F$11,MCDM_Settings!$D$11))</f>
        <v>5</v>
      </c>
      <c r="AT85" s="13">
        <f>IF(IF($D85="Unlabeled-13",MCDM_Settings!$F$11,MCDM_Settings!$D$11)=0,"n.a.",(COUNTIF(Z85:AB85,"Y")+COUNTIF(Z85:AB85,"N"))/IF($D85="Unlabeled-13",MCDM_Settings!$F$11,MCDM_Settings!$D$11))</f>
        <v>1</v>
      </c>
      <c r="AU85" s="5" t="str">
        <f>IF(AND(INDEX(Manual_Review!$G$6:$G$238,MATCH(A85,Manual_Review!$A$6:$A$238,0))&lt;&gt;"",ISNUMBER(INDEX(Manual_Review!$H$6:$H$238,MATCH(A85,Manual_Review!$A$6:$A$238,0))),INDEX(Manual_Review!$H$6:$H$238,MATCH(A85,Manual_Review!$A$6:$A$238,0))&gt;0,INDEX(Manual_Review!$I$6:$I$238,MATCH(A85,Manual_Review!$A$6:$A$238,0))="Confirmed",INDEX(Manual_Review!$AF$6:$AF$238,MATCH(A85,Manual_Review!$A$6:$A$238,0))&lt;&gt;""),IF(INDEX(Manual_Review!$AA$6:$AA$238,MATCH(A85,Manual_Review!$A$6:$A$238,0))="Pass","Pass",IF(INDEX(Manual_Review!$AA$6:$AA$238,MATCH(A85,Manual_Review!$A$6:$A$238,0))="Fail","Fail","Pending")),"Pending human identity confirmation")</f>
        <v>Pending human identity confirmation</v>
      </c>
      <c r="AV85" s="5" t="str">
        <f>IF(AND(AND(INDEX(Manual_Review!$G$6:$G$238,MATCH(A85,Manual_Review!$A$6:$A$238,0))&lt;&gt;"",ISNUMBER(INDEX(Manual_Review!$H$6:$H$238,MATCH(A85,Manual_Review!$A$6:$A$238,0))),INDEX(Manual_Review!$H$6:$H$238,MATCH(A85,Manual_Review!$A$6:$A$238,0))&gt;0,INDEX(Manual_Review!$I$6:$I$238,MATCH(A85,Manual_Review!$A$6:$A$238,0))="Confirmed",INDEX(Manual_Review!$AF$6:$AF$238,MATCH(A85,Manual_Review!$A$6:$A$238,0))&lt;&gt;""),INDEX(Manual_Review!$AG$6:$AG$238,MATCH(A85,Manual_Review!$A$6:$A$238,0))&lt;&gt;""),IF(INDEX(Manual_Review!$AB$6:$AB$238,MATCH(A85,Manual_Review!$A$6:$A$238,0))="Pass","Pass",IF(INDEX(Manual_Review!$AB$6:$AB$238,MATCH(A85,Manual_Review!$A$6:$A$238,0))="Fail","Fail","Pending")),"Not assessed: define intended task")</f>
        <v>Not assessed: define intended task</v>
      </c>
      <c r="AW85" s="5" t="str">
        <f>IF(AND(AND(INDEX(Manual_Review!$G$6:$G$238,MATCH(A85,Manual_Review!$A$6:$A$238,0))&lt;&gt;"",ISNUMBER(INDEX(Manual_Review!$H$6:$H$238,MATCH(A85,Manual_Review!$A$6:$A$238,0))),INDEX(Manual_Review!$H$6:$H$238,MATCH(A85,Manual_Review!$A$6:$A$238,0))&gt;0,INDEX(Manual_Review!$I$6:$I$238,MATCH(A85,Manual_Review!$A$6:$A$238,0))="Confirmed",INDEX(Manual_Review!$AF$6:$AF$238,MATCH(A85,Manual_Review!$A$6:$A$238,0))&lt;&gt;""),INDEX(Manual_Review!$AG$6:$AG$238,MATCH(A85,Manual_Review!$A$6:$A$238,0))&lt;&gt;""),IF(OR(INDEX(Manual_Review!$AC$6:$AC$238,MATCH(A85,Manual_Review!$A$6:$A$238,0))="Fail",INDEX(Manual_Review!$AD$6:$AD$238,MATCH(A85,Manual_Review!$A$6:$A$238,0))="Fail"),"Fail: rights or retrieval",IF(AND(INDEX(Manual_Review!$AC$6:$AC$238,MATCH(A85,Manual_Review!$A$6:$A$238,0))="Pass",INDEX(Manual_Review!$AD$6:$AD$238,MATCH(A85,Manual_Review!$A$6:$A$238,0))="Pass"),"Pass","Pending rights and retrieval")),"Pending rights and retrieval")</f>
        <v>Pending rights and retrieval</v>
      </c>
      <c r="AX85" s="5" t="str">
        <f>IF(INDEX(Manual_Review!$AG$6:$AG$238,MATCH(A85,Manual_Review!$A$6:$A$238,0))="","N/A: documentation inventory",IF(AND(INDEX(Manual_Review!$G$6:$G$238,MATCH(A85,Manual_Review!$A$6:$A$238,0))&lt;&gt;"",ISNUMBER(INDEX(Manual_Review!$H$6:$H$238,MATCH(A85,Manual_Review!$A$6:$A$238,0))),INDEX(Manual_Review!$H$6:$H$238,MATCH(A85,Manual_Review!$A$6:$A$238,0))&gt;0,INDEX(Manual_Review!$I$6:$I$238,MATCH(A85,Manual_Review!$A$6:$A$238,0))="Confirmed",INDEX(Manual_Review!$AF$6:$AF$238,MATCH(A85,Manual_Review!$A$6:$A$238,0))&lt;&gt;""),IF(INDEX(Manual_Review!$AE$6:$AE$238,MATCH(A85,Manual_Review!$A$6:$A$238,0))="Pass","Pass",IF(INDEX(Manual_Review!$AE$6:$AE$238,MATCH(A85,Manual_Review!$A$6:$A$238,0))="Fail","Fail: benchmark leakage",IF(INDEX(Manual_Review!$AE$6:$AE$238,MATCH(A85,Manual_Review!$A$6:$A$238,0))="N/A","N/A: nonbenchmark task","Pending task-specific leakage check"))),"Pending task-specific leakage check"))</f>
        <v>N/A: documentation inventory</v>
      </c>
      <c r="AY85" s="5" t="str">
        <f>IF(IF(D85="Unlabeled-13",AND(ABS(MCDM_Settings!$D$14-1)&lt;0.0000001,MIN(MCDM_Settings!$E$6:$E$11)&gt;=0,MCDM_Settings!$E$7=0),AND(ABS(MCDM_Settings!$B$14-1)&lt;0.0000001,MIN(MCDM_Settings!$C$6:$C$11)&gt;=0)),"Valid","Check weights")</f>
        <v>Valid</v>
      </c>
      <c r="AZ85" s="5" t="str">
        <f>IF(AND(COUNTIF(MCDM_Checks!$B$6:$B$3733,A85)=16,COUNTIF(Manual_Review!$A$6:$A$238,A85)=1),"16 keys present","Check key count")</f>
        <v>16 keys present</v>
      </c>
    </row>
    <row r="86" spans="1:52" ht="25.5">
      <c r="A86" s="5" t="s">
        <v>995</v>
      </c>
      <c r="B86" s="5" t="s">
        <v>996</v>
      </c>
      <c r="C86" s="5"/>
      <c r="D86" s="5" t="s">
        <v>118</v>
      </c>
      <c r="E86" s="12">
        <f>IF(OR(AY86&lt;&gt;"Valid",AZ86&lt;&gt;"16 keys present"),"Review settings",20*(IF(ISNUMBER(AC86),AC86*IF($D86="Unlabeled-13",MCDM_Settings!$E$6,MCDM_Settings!$C$6),0)+IF(ISNUMBER(AF86),AF86*IF($D86="Unlabeled-13",MCDM_Settings!$E$7,MCDM_Settings!$C$7),0)+IF(ISNUMBER(AI86),AI86*IF($D86="Unlabeled-13",MCDM_Settings!$E$8,MCDM_Settings!$C$8),0)+IF(ISNUMBER(AL86),AL86*IF($D86="Unlabeled-13",MCDM_Settings!$E$9,MCDM_Settings!$C$9),0)+IF(ISNUMBER(AO86),AO86*IF($D86="Unlabeled-13",MCDM_Settings!$E$10,MCDM_Settings!$C$10),0)+IF(ISNUMBER(AR86),AR86*IF($D86="Unlabeled-13",MCDM_Settings!$E$11,MCDM_Settings!$C$11),0)))</f>
        <v>5.5555555555555554</v>
      </c>
      <c r="F86" s="12">
        <f>IF(OR(AY86&lt;&gt;"Valid",AZ86&lt;&gt;"16 keys present"),"Review settings",20*(IF(ISNUMBER(AD86),AD86*IF($D86="Unlabeled-13",MCDM_Settings!$E$6,MCDM_Settings!$C$6),0)+IF(ISNUMBER(AG86),AG86*IF($D86="Unlabeled-13",MCDM_Settings!$E$7,MCDM_Settings!$C$7),0)+IF(ISNUMBER(AJ86),AJ86*IF($D86="Unlabeled-13",MCDM_Settings!$E$8,MCDM_Settings!$C$8),0)+IF(ISNUMBER(AM86),AM86*IF($D86="Unlabeled-13",MCDM_Settings!$E$9,MCDM_Settings!$C$9),0)+IF(ISNUMBER(AP86),AP86*IF($D86="Unlabeled-13",MCDM_Settings!$E$10,MCDM_Settings!$C$10),0)+IF(ISNUMBER(AS86),AS86*IF($D86="Unlabeled-13",MCDM_Settings!$E$11,MCDM_Settings!$C$11),0)))</f>
        <v>99.999999999999986</v>
      </c>
      <c r="G86" s="13">
        <f>IF(OR(AY86&lt;&gt;"Valid",AZ86&lt;&gt;"16 keys present"),"Review settings",1*(IF(ISNUMBER(AE86),AE86*IF($D86="Unlabeled-13",MCDM_Settings!$E$6,MCDM_Settings!$C$6),0)+IF(ISNUMBER(AH86),AH86*IF($D86="Unlabeled-13",MCDM_Settings!$E$7,MCDM_Settings!$C$7),0)+IF(ISNUMBER(AK86),AK86*IF($D86="Unlabeled-13",MCDM_Settings!$E$8,MCDM_Settings!$C$8),0)+IF(ISNUMBER(AN86),AN86*IF($D86="Unlabeled-13",MCDM_Settings!$E$9,MCDM_Settings!$C$9),0)+IF(ISNUMBER(AQ86),AQ86*IF($D86="Unlabeled-13",MCDM_Settings!$E$10,MCDM_Settings!$C$10),0)+IF(ISNUMBER(AT86),AT86*IF($D86="Unlabeled-13",MCDM_Settings!$E$11,MCDM_Settings!$C$11),0)))</f>
        <v>5.5555555555555552E-2</v>
      </c>
      <c r="H86" s="5" t="str">
        <f>INDEX(Manual_Review!$AH$6:$AH$238,MATCH(A86,Manual_Review!$A$6:$A$238,0))</f>
        <v>Not started</v>
      </c>
      <c r="I86" s="5" t="s">
        <v>128</v>
      </c>
      <c r="J86" s="5" t="s">
        <v>664</v>
      </c>
      <c r="K86" s="5" t="str">
        <f>HYPERLINK("https://data.mendeley.com/datasets/8wpk4c4n2m/2","Dataset")</f>
        <v>Dataset</v>
      </c>
      <c r="L86" s="5" t="str">
        <f>HYPERLINK("#'Manual_Review'!A"&amp;(MATCH("DS-081",Manual_Review!$A$6:$A$238,0)+5),"Enter review")</f>
        <v>Enter review</v>
      </c>
      <c r="M86" s="5" t="str">
        <f>INDEX(MCDM_Checks!$K$6:$K$3733,MATCH(A86&amp;"|"&amp;M$5,MCDM_Checks!$A$6:$A$3733,0))</f>
        <v>U</v>
      </c>
      <c r="N86" s="5" t="str">
        <f>INDEX(MCDM_Checks!$K$6:$K$3733,MATCH(A86&amp;"|"&amp;N$5,MCDM_Checks!$A$6:$A$3733,0))</f>
        <v>U</v>
      </c>
      <c r="O86" s="5" t="str">
        <f>INDEX(MCDM_Checks!$K$6:$K$3733,MATCH(A86&amp;"|"&amp;O$5,MCDM_Checks!$A$6:$A$3733,0))</f>
        <v>Y</v>
      </c>
      <c r="P86" s="5" t="str">
        <f>INDEX(MCDM_Checks!$K$6:$K$3733,MATCH(A86&amp;"|"&amp;P$5,MCDM_Checks!$A$6:$A$3733,0))</f>
        <v>U</v>
      </c>
      <c r="Q86" s="5" t="str">
        <f>INDEX(MCDM_Checks!$K$6:$K$3733,MATCH(A86&amp;"|"&amp;Q$5,MCDM_Checks!$A$6:$A$3733,0))</f>
        <v>U</v>
      </c>
      <c r="R86" s="5" t="str">
        <f>INDEX(MCDM_Checks!$K$6:$K$3733,MATCH(A86&amp;"|"&amp;R$5,MCDM_Checks!$A$6:$A$3733,0))</f>
        <v>U</v>
      </c>
      <c r="S86" s="5" t="str">
        <f>INDEX(MCDM_Checks!$K$6:$K$3733,MATCH(A86&amp;"|"&amp;S$5,MCDM_Checks!$A$6:$A$3733,0))</f>
        <v>U</v>
      </c>
      <c r="T86" s="5" t="str">
        <f>INDEX(MCDM_Checks!$K$6:$K$3733,MATCH(A86&amp;"|"&amp;T$5,MCDM_Checks!$A$6:$A$3733,0))</f>
        <v>U</v>
      </c>
      <c r="U86" s="5" t="str">
        <f>INDEX(MCDM_Checks!$K$6:$K$3733,MATCH(A86&amp;"|"&amp;U$5,MCDM_Checks!$A$6:$A$3733,0))</f>
        <v>U</v>
      </c>
      <c r="V86" s="5" t="str">
        <f>INDEX(MCDM_Checks!$K$6:$K$3733,MATCH(A86&amp;"|"&amp;V$5,MCDM_Checks!$A$6:$A$3733,0))</f>
        <v>U</v>
      </c>
      <c r="W86" s="5" t="str">
        <f>INDEX(MCDM_Checks!$K$6:$K$3733,MATCH(A86&amp;"|"&amp;W$5,MCDM_Checks!$A$6:$A$3733,0))</f>
        <v>U</v>
      </c>
      <c r="X86" s="5" t="str">
        <f>INDEX(MCDM_Checks!$K$6:$K$3733,MATCH(A86&amp;"|"&amp;X$5,MCDM_Checks!$A$6:$A$3733,0))</f>
        <v>U</v>
      </c>
      <c r="Y86" s="5" t="str">
        <f>INDEX(MCDM_Checks!$K$6:$K$3733,MATCH(A86&amp;"|"&amp;Y$5,MCDM_Checks!$A$6:$A$3733,0))</f>
        <v>U</v>
      </c>
      <c r="Z86" s="5" t="str">
        <f>INDEX(MCDM_Checks!$K$6:$K$3733,MATCH(A86&amp;"|"&amp;Z$5,MCDM_Checks!$A$6:$A$3733,0))</f>
        <v>U</v>
      </c>
      <c r="AA86" s="5" t="str">
        <f>INDEX(MCDM_Checks!$K$6:$K$3733,MATCH(A86&amp;"|"&amp;AA$5,MCDM_Checks!$A$6:$A$3733,0))</f>
        <v>U</v>
      </c>
      <c r="AB86" s="5" t="str">
        <f>INDEX(MCDM_Checks!$K$6:$K$3733,MATCH(A86&amp;"|"&amp;AB$5,MCDM_Checks!$A$6:$A$3733,0))</f>
        <v>U</v>
      </c>
      <c r="AC86" s="12">
        <f>IF(IF($D86="Unlabeled-13",MCDM_Settings!$F$6,MCDM_Settings!$D$6)=0,"n.a.",5*COUNTIF(M86:O86,"Y")/IF($D86="Unlabeled-13",MCDM_Settings!$F$6,MCDM_Settings!$D$6))</f>
        <v>1.6666666666666667</v>
      </c>
      <c r="AD86" s="12">
        <f>IF(IF($D86="Unlabeled-13",MCDM_Settings!$F$6,MCDM_Settings!$D$6)=0,"n.a.",5*(COUNTIF(M86:O86,"Y")+COUNTIF(M86:O86,"U")+COUNTIF(M86:O86,"X"))/IF($D86="Unlabeled-13",MCDM_Settings!$F$6,MCDM_Settings!$D$6))</f>
        <v>5</v>
      </c>
      <c r="AE86" s="13">
        <f>IF(IF($D86="Unlabeled-13",MCDM_Settings!$F$6,MCDM_Settings!$D$6)=0,"n.a.",(COUNTIF(M86:O86,"Y")+COUNTIF(M86:O86,"N"))/IF($D86="Unlabeled-13",MCDM_Settings!$F$6,MCDM_Settings!$D$6))</f>
        <v>0.33333333333333331</v>
      </c>
      <c r="AF86" s="12">
        <f>IF(IF($D86="Unlabeled-13",MCDM_Settings!$F$7,MCDM_Settings!$D$7)=0,"n.a.",5*COUNTIF(P86:R86,"Y")/IF($D86="Unlabeled-13",MCDM_Settings!$F$7,MCDM_Settings!$D$7))</f>
        <v>0</v>
      </c>
      <c r="AG86" s="12">
        <f>IF(IF($D86="Unlabeled-13",MCDM_Settings!$F$7,MCDM_Settings!$D$7)=0,"n.a.",5*(COUNTIF(P86:R86,"Y")+COUNTIF(P86:R86,"U")+COUNTIF(P86:R86,"X"))/IF($D86="Unlabeled-13",MCDM_Settings!$F$7,MCDM_Settings!$D$7))</f>
        <v>5</v>
      </c>
      <c r="AH86" s="13">
        <f>IF(IF($D86="Unlabeled-13",MCDM_Settings!$F$7,MCDM_Settings!$D$7)=0,"n.a.",(COUNTIF(P86:R86,"Y")+COUNTIF(P86:R86,"N"))/IF($D86="Unlabeled-13",MCDM_Settings!$F$7,MCDM_Settings!$D$7))</f>
        <v>0</v>
      </c>
      <c r="AI86" s="12">
        <f>IF(IF($D86="Unlabeled-13",MCDM_Settings!$F$8,MCDM_Settings!$D$8)=0,"n.a.",5*COUNTIF(S86:U86,"Y")/IF($D86="Unlabeled-13",MCDM_Settings!$F$8,MCDM_Settings!$D$8))</f>
        <v>0</v>
      </c>
      <c r="AJ86" s="12">
        <f>IF(IF($D86="Unlabeled-13",MCDM_Settings!$F$8,MCDM_Settings!$D$8)=0,"n.a.",5*(COUNTIF(S86:U86,"Y")+COUNTIF(S86:U86,"U")+COUNTIF(S86:U86,"X"))/IF($D86="Unlabeled-13",MCDM_Settings!$F$8,MCDM_Settings!$D$8))</f>
        <v>5</v>
      </c>
      <c r="AK86" s="13">
        <f>IF(IF($D86="Unlabeled-13",MCDM_Settings!$F$8,MCDM_Settings!$D$8)=0,"n.a.",(COUNTIF(S86:U86,"Y")+COUNTIF(S86:U86,"N"))/IF($D86="Unlabeled-13",MCDM_Settings!$F$8,MCDM_Settings!$D$8))</f>
        <v>0</v>
      </c>
      <c r="AL86" s="12">
        <f>IF(IF($D86="Unlabeled-13",MCDM_Settings!$F$9,MCDM_Settings!$D$9)=0,"n.a.",5*COUNTIF(V86:W86,"Y")/IF($D86="Unlabeled-13",MCDM_Settings!$F$9,MCDM_Settings!$D$9))</f>
        <v>0</v>
      </c>
      <c r="AM86" s="12">
        <f>IF(IF($D86="Unlabeled-13",MCDM_Settings!$F$9,MCDM_Settings!$D$9)=0,"n.a.",5*(COUNTIF(V86:W86,"Y")+COUNTIF(V86:W86,"U")+COUNTIF(V86:W86,"X"))/IF($D86="Unlabeled-13",MCDM_Settings!$F$9,MCDM_Settings!$D$9))</f>
        <v>5</v>
      </c>
      <c r="AN86" s="13">
        <f>IF(IF($D86="Unlabeled-13",MCDM_Settings!$F$9,MCDM_Settings!$D$9)=0,"n.a.",(COUNTIF(V86:W86,"Y")+COUNTIF(V86:W86,"N"))/IF($D86="Unlabeled-13",MCDM_Settings!$F$9,MCDM_Settings!$D$9))</f>
        <v>0</v>
      </c>
      <c r="AO86" s="12">
        <f>IF(IF($D86="Unlabeled-13",MCDM_Settings!$F$10,MCDM_Settings!$D$10)=0,"n.a.",5*COUNTIF(X86:Y86,"Y")/IF($D86="Unlabeled-13",MCDM_Settings!$F$10,MCDM_Settings!$D$10))</f>
        <v>0</v>
      </c>
      <c r="AP86" s="12">
        <f>IF(IF($D86="Unlabeled-13",MCDM_Settings!$F$10,MCDM_Settings!$D$10)=0,"n.a.",5*(COUNTIF(X86:Y86,"Y")+COUNTIF(X86:Y86,"U")+COUNTIF(X86:Y86,"X"))/IF($D86="Unlabeled-13",MCDM_Settings!$F$10,MCDM_Settings!$D$10))</f>
        <v>5</v>
      </c>
      <c r="AQ86" s="13">
        <f>IF(IF($D86="Unlabeled-13",MCDM_Settings!$F$10,MCDM_Settings!$D$10)=0,"n.a.",(COUNTIF(X86:Y86,"Y")+COUNTIF(X86:Y86,"N"))/IF($D86="Unlabeled-13",MCDM_Settings!$F$10,MCDM_Settings!$D$10))</f>
        <v>0</v>
      </c>
      <c r="AR86" s="12">
        <f>IF(IF($D86="Unlabeled-13",MCDM_Settings!$F$11,MCDM_Settings!$D$11)=0,"n.a.",5*COUNTIF(Z86:AB86,"Y")/IF($D86="Unlabeled-13",MCDM_Settings!$F$11,MCDM_Settings!$D$11))</f>
        <v>0</v>
      </c>
      <c r="AS86" s="12">
        <f>IF(IF($D86="Unlabeled-13",MCDM_Settings!$F$11,MCDM_Settings!$D$11)=0,"n.a.",5*(COUNTIF(Z86:AB86,"Y")+COUNTIF(Z86:AB86,"U")+COUNTIF(Z86:AB86,"X"))/IF($D86="Unlabeled-13",MCDM_Settings!$F$11,MCDM_Settings!$D$11))</f>
        <v>5</v>
      </c>
      <c r="AT86" s="13">
        <f>IF(IF($D86="Unlabeled-13",MCDM_Settings!$F$11,MCDM_Settings!$D$11)=0,"n.a.",(COUNTIF(Z86:AB86,"Y")+COUNTIF(Z86:AB86,"N"))/IF($D86="Unlabeled-13",MCDM_Settings!$F$11,MCDM_Settings!$D$11))</f>
        <v>0</v>
      </c>
      <c r="AU86" s="5" t="str">
        <f>IF(AND(INDEX(Manual_Review!$G$6:$G$238,MATCH(A86,Manual_Review!$A$6:$A$238,0))&lt;&gt;"",ISNUMBER(INDEX(Manual_Review!$H$6:$H$238,MATCH(A86,Manual_Review!$A$6:$A$238,0))),INDEX(Manual_Review!$H$6:$H$238,MATCH(A86,Manual_Review!$A$6:$A$238,0))&gt;0,INDEX(Manual_Review!$I$6:$I$238,MATCH(A86,Manual_Review!$A$6:$A$238,0))="Confirmed",INDEX(Manual_Review!$AF$6:$AF$238,MATCH(A86,Manual_Review!$A$6:$A$238,0))&lt;&gt;""),IF(INDEX(Manual_Review!$AA$6:$AA$238,MATCH(A86,Manual_Review!$A$6:$A$238,0))="Pass","Pass",IF(INDEX(Manual_Review!$AA$6:$AA$238,MATCH(A86,Manual_Review!$A$6:$A$238,0))="Fail","Fail","Pending")),"Pending human identity confirmation")</f>
        <v>Pending human identity confirmation</v>
      </c>
      <c r="AV86" s="5" t="str">
        <f>IF(AND(AND(INDEX(Manual_Review!$G$6:$G$238,MATCH(A86,Manual_Review!$A$6:$A$238,0))&lt;&gt;"",ISNUMBER(INDEX(Manual_Review!$H$6:$H$238,MATCH(A86,Manual_Review!$A$6:$A$238,0))),INDEX(Manual_Review!$H$6:$H$238,MATCH(A86,Manual_Review!$A$6:$A$238,0))&gt;0,INDEX(Manual_Review!$I$6:$I$238,MATCH(A86,Manual_Review!$A$6:$A$238,0))="Confirmed",INDEX(Manual_Review!$AF$6:$AF$238,MATCH(A86,Manual_Review!$A$6:$A$238,0))&lt;&gt;""),INDEX(Manual_Review!$AG$6:$AG$238,MATCH(A86,Manual_Review!$A$6:$A$238,0))&lt;&gt;""),IF(INDEX(Manual_Review!$AB$6:$AB$238,MATCH(A86,Manual_Review!$A$6:$A$238,0))="Pass","Pass",IF(INDEX(Manual_Review!$AB$6:$AB$238,MATCH(A86,Manual_Review!$A$6:$A$238,0))="Fail","Fail","Pending")),"Not assessed: define intended task")</f>
        <v>Not assessed: define intended task</v>
      </c>
      <c r="AW86" s="5" t="str">
        <f>IF(AND(AND(INDEX(Manual_Review!$G$6:$G$238,MATCH(A86,Manual_Review!$A$6:$A$238,0))&lt;&gt;"",ISNUMBER(INDEX(Manual_Review!$H$6:$H$238,MATCH(A86,Manual_Review!$A$6:$A$238,0))),INDEX(Manual_Review!$H$6:$H$238,MATCH(A86,Manual_Review!$A$6:$A$238,0))&gt;0,INDEX(Manual_Review!$I$6:$I$238,MATCH(A86,Manual_Review!$A$6:$A$238,0))="Confirmed",INDEX(Manual_Review!$AF$6:$AF$238,MATCH(A86,Manual_Review!$A$6:$A$238,0))&lt;&gt;""),INDEX(Manual_Review!$AG$6:$AG$238,MATCH(A86,Manual_Review!$A$6:$A$238,0))&lt;&gt;""),IF(OR(INDEX(Manual_Review!$AC$6:$AC$238,MATCH(A86,Manual_Review!$A$6:$A$238,0))="Fail",INDEX(Manual_Review!$AD$6:$AD$238,MATCH(A86,Manual_Review!$A$6:$A$238,0))="Fail"),"Fail: rights or retrieval",IF(AND(INDEX(Manual_Review!$AC$6:$AC$238,MATCH(A86,Manual_Review!$A$6:$A$238,0))="Pass",INDEX(Manual_Review!$AD$6:$AD$238,MATCH(A86,Manual_Review!$A$6:$A$238,0))="Pass"),"Pass","Pending rights and retrieval")),"Pending rights and retrieval")</f>
        <v>Pending rights and retrieval</v>
      </c>
      <c r="AX86" s="5" t="str">
        <f>IF(INDEX(Manual_Review!$AG$6:$AG$238,MATCH(A86,Manual_Review!$A$6:$A$238,0))="","N/A: documentation inventory",IF(AND(INDEX(Manual_Review!$G$6:$G$238,MATCH(A86,Manual_Review!$A$6:$A$238,0))&lt;&gt;"",ISNUMBER(INDEX(Manual_Review!$H$6:$H$238,MATCH(A86,Manual_Review!$A$6:$A$238,0))),INDEX(Manual_Review!$H$6:$H$238,MATCH(A86,Manual_Review!$A$6:$A$238,0))&gt;0,INDEX(Manual_Review!$I$6:$I$238,MATCH(A86,Manual_Review!$A$6:$A$238,0))="Confirmed",INDEX(Manual_Review!$AF$6:$AF$238,MATCH(A86,Manual_Review!$A$6:$A$238,0))&lt;&gt;""),IF(INDEX(Manual_Review!$AE$6:$AE$238,MATCH(A86,Manual_Review!$A$6:$A$238,0))="Pass","Pass",IF(INDEX(Manual_Review!$AE$6:$AE$238,MATCH(A86,Manual_Review!$A$6:$A$238,0))="Fail","Fail: benchmark leakage",IF(INDEX(Manual_Review!$AE$6:$AE$238,MATCH(A86,Manual_Review!$A$6:$A$238,0))="N/A","N/A: nonbenchmark task","Pending task-specific leakage check"))),"Pending task-specific leakage check"))</f>
        <v>N/A: documentation inventory</v>
      </c>
      <c r="AY86" s="5" t="str">
        <f>IF(IF(D86="Unlabeled-13",AND(ABS(MCDM_Settings!$D$14-1)&lt;0.0000001,MIN(MCDM_Settings!$E$6:$E$11)&gt;=0,MCDM_Settings!$E$7=0),AND(ABS(MCDM_Settings!$B$14-1)&lt;0.0000001,MIN(MCDM_Settings!$C$6:$C$11)&gt;=0)),"Valid","Check weights")</f>
        <v>Valid</v>
      </c>
      <c r="AZ86" s="5" t="str">
        <f>IF(AND(COUNTIF(MCDM_Checks!$B$6:$B$3733,A86)=16,COUNTIF(Manual_Review!$A$6:$A$238,A86)=1),"16 keys present","Check key count")</f>
        <v>16 keys present</v>
      </c>
    </row>
    <row r="87" spans="1:52" ht="25.5">
      <c r="A87" s="5" t="s">
        <v>1000</v>
      </c>
      <c r="B87" s="5" t="s">
        <v>1001</v>
      </c>
      <c r="C87" s="5"/>
      <c r="D87" s="5" t="s">
        <v>118</v>
      </c>
      <c r="E87" s="12">
        <f>IF(OR(AY87&lt;&gt;"Valid",AZ87&lt;&gt;"16 keys present"),"Review settings",20*(IF(ISNUMBER(AC87),AC87*IF($D87="Unlabeled-13",MCDM_Settings!$E$6,MCDM_Settings!$C$6),0)+IF(ISNUMBER(AF87),AF87*IF($D87="Unlabeled-13",MCDM_Settings!$E$7,MCDM_Settings!$C$7),0)+IF(ISNUMBER(AI87),AI87*IF($D87="Unlabeled-13",MCDM_Settings!$E$8,MCDM_Settings!$C$8),0)+IF(ISNUMBER(AL87),AL87*IF($D87="Unlabeled-13",MCDM_Settings!$E$9,MCDM_Settings!$C$9),0)+IF(ISNUMBER(AO87),AO87*IF($D87="Unlabeled-13",MCDM_Settings!$E$10,MCDM_Settings!$C$10),0)+IF(ISNUMBER(AR87),AR87*IF($D87="Unlabeled-13",MCDM_Settings!$E$11,MCDM_Settings!$C$11),0)))</f>
        <v>63.888888888888893</v>
      </c>
      <c r="F87" s="12">
        <f>IF(OR(AY87&lt;&gt;"Valid",AZ87&lt;&gt;"16 keys present"),"Review settings",20*(IF(ISNUMBER(AD87),AD87*IF($D87="Unlabeled-13",MCDM_Settings!$E$6,MCDM_Settings!$C$6),0)+IF(ISNUMBER(AG87),AG87*IF($D87="Unlabeled-13",MCDM_Settings!$E$7,MCDM_Settings!$C$7),0)+IF(ISNUMBER(AJ87),AJ87*IF($D87="Unlabeled-13",MCDM_Settings!$E$8,MCDM_Settings!$C$8),0)+IF(ISNUMBER(AM87),AM87*IF($D87="Unlabeled-13",MCDM_Settings!$E$9,MCDM_Settings!$C$9),0)+IF(ISNUMBER(AP87),AP87*IF($D87="Unlabeled-13",MCDM_Settings!$E$10,MCDM_Settings!$C$10),0)+IF(ISNUMBER(AS87),AS87*IF($D87="Unlabeled-13",MCDM_Settings!$E$11,MCDM_Settings!$C$11),0)))</f>
        <v>99.999999999999986</v>
      </c>
      <c r="G87" s="13">
        <f>IF(OR(AY87&lt;&gt;"Valid",AZ87&lt;&gt;"16 keys present"),"Review settings",1*(IF(ISNUMBER(AE87),AE87*IF($D87="Unlabeled-13",MCDM_Settings!$E$6,MCDM_Settings!$C$6),0)+IF(ISNUMBER(AH87),AH87*IF($D87="Unlabeled-13",MCDM_Settings!$E$7,MCDM_Settings!$C$7),0)+IF(ISNUMBER(AK87),AK87*IF($D87="Unlabeled-13",MCDM_Settings!$E$8,MCDM_Settings!$C$8),0)+IF(ISNUMBER(AN87),AN87*IF($D87="Unlabeled-13",MCDM_Settings!$E$9,MCDM_Settings!$C$9),0)+IF(ISNUMBER(AQ87),AQ87*IF($D87="Unlabeled-13",MCDM_Settings!$E$10,MCDM_Settings!$C$10),0)+IF(ISNUMBER(AT87),AT87*IF($D87="Unlabeled-13",MCDM_Settings!$E$11,MCDM_Settings!$C$11),0)))</f>
        <v>0.63888888888888884</v>
      </c>
      <c r="H87" s="5" t="str">
        <f>INDEX(Manual_Review!$AH$6:$AH$238,MATCH(A87,Manual_Review!$A$6:$A$238,0))</f>
        <v>Not started</v>
      </c>
      <c r="I87" s="5" t="s">
        <v>128</v>
      </c>
      <c r="J87" s="5" t="s">
        <v>949</v>
      </c>
      <c r="K87" s="5" t="str">
        <f>HYPERLINK("https://data.mendeley.com/datasets/ypm4h4z25c/3","Dataset")</f>
        <v>Dataset</v>
      </c>
      <c r="L87" s="5" t="str">
        <f>HYPERLINK("#'Manual_Review'!A"&amp;(MATCH("DS-082",Manual_Review!$A$6:$A$238,0)+5),"Enter review")</f>
        <v>Enter review</v>
      </c>
      <c r="M87" s="5" t="str">
        <f>INDEX(MCDM_Checks!$K$6:$K$3733,MATCH(A87&amp;"|"&amp;M$5,MCDM_Checks!$A$6:$A$3733,0))</f>
        <v>Y</v>
      </c>
      <c r="N87" s="5" t="str">
        <f>INDEX(MCDM_Checks!$K$6:$K$3733,MATCH(A87&amp;"|"&amp;N$5,MCDM_Checks!$A$6:$A$3733,0))</f>
        <v>Y</v>
      </c>
      <c r="O87" s="5" t="str">
        <f>INDEX(MCDM_Checks!$K$6:$K$3733,MATCH(A87&amp;"|"&amp;O$5,MCDM_Checks!$A$6:$A$3733,0))</f>
        <v>Y</v>
      </c>
      <c r="P87" s="5" t="str">
        <f>INDEX(MCDM_Checks!$K$6:$K$3733,MATCH(A87&amp;"|"&amp;P$5,MCDM_Checks!$A$6:$A$3733,0))</f>
        <v>Y</v>
      </c>
      <c r="Q87" s="5" t="str">
        <f>INDEX(MCDM_Checks!$K$6:$K$3733,MATCH(A87&amp;"|"&amp;Q$5,MCDM_Checks!$A$6:$A$3733,0))</f>
        <v>U</v>
      </c>
      <c r="R87" s="5" t="str">
        <f>INDEX(MCDM_Checks!$K$6:$K$3733,MATCH(A87&amp;"|"&amp;R$5,MCDM_Checks!$A$6:$A$3733,0))</f>
        <v>U</v>
      </c>
      <c r="S87" s="5" t="str">
        <f>INDEX(MCDM_Checks!$K$6:$K$3733,MATCH(A87&amp;"|"&amp;S$5,MCDM_Checks!$A$6:$A$3733,0))</f>
        <v>U</v>
      </c>
      <c r="T87" s="5" t="str">
        <f>INDEX(MCDM_Checks!$K$6:$K$3733,MATCH(A87&amp;"|"&amp;T$5,MCDM_Checks!$A$6:$A$3733,0))</f>
        <v>Y</v>
      </c>
      <c r="U87" s="5" t="str">
        <f>INDEX(MCDM_Checks!$K$6:$K$3733,MATCH(A87&amp;"|"&amp;U$5,MCDM_Checks!$A$6:$A$3733,0))</f>
        <v>Y</v>
      </c>
      <c r="V87" s="5" t="str">
        <f>INDEX(MCDM_Checks!$K$6:$K$3733,MATCH(A87&amp;"|"&amp;V$5,MCDM_Checks!$A$6:$A$3733,0))</f>
        <v>U</v>
      </c>
      <c r="W87" s="5" t="str">
        <f>INDEX(MCDM_Checks!$K$6:$K$3733,MATCH(A87&amp;"|"&amp;W$5,MCDM_Checks!$A$6:$A$3733,0))</f>
        <v>Y</v>
      </c>
      <c r="X87" s="5" t="str">
        <f>INDEX(MCDM_Checks!$K$6:$K$3733,MATCH(A87&amp;"|"&amp;X$5,MCDM_Checks!$A$6:$A$3733,0))</f>
        <v>Y</v>
      </c>
      <c r="Y87" s="5" t="str">
        <f>INDEX(MCDM_Checks!$K$6:$K$3733,MATCH(A87&amp;"|"&amp;Y$5,MCDM_Checks!$A$6:$A$3733,0))</f>
        <v>Y</v>
      </c>
      <c r="Z87" s="5" t="str">
        <f>INDEX(MCDM_Checks!$K$6:$K$3733,MATCH(A87&amp;"|"&amp;Z$5,MCDM_Checks!$A$6:$A$3733,0))</f>
        <v>Y</v>
      </c>
      <c r="AA87" s="5" t="str">
        <f>INDEX(MCDM_Checks!$K$6:$K$3733,MATCH(A87&amp;"|"&amp;AA$5,MCDM_Checks!$A$6:$A$3733,0))</f>
        <v>U</v>
      </c>
      <c r="AB87" s="5" t="str">
        <f>INDEX(MCDM_Checks!$K$6:$K$3733,MATCH(A87&amp;"|"&amp;AB$5,MCDM_Checks!$A$6:$A$3733,0))</f>
        <v>U</v>
      </c>
      <c r="AC87" s="12">
        <f>IF(IF($D87="Unlabeled-13",MCDM_Settings!$F$6,MCDM_Settings!$D$6)=0,"n.a.",5*COUNTIF(M87:O87,"Y")/IF($D87="Unlabeled-13",MCDM_Settings!$F$6,MCDM_Settings!$D$6))</f>
        <v>5</v>
      </c>
      <c r="AD87" s="12">
        <f>IF(IF($D87="Unlabeled-13",MCDM_Settings!$F$6,MCDM_Settings!$D$6)=0,"n.a.",5*(COUNTIF(M87:O87,"Y")+COUNTIF(M87:O87,"U")+COUNTIF(M87:O87,"X"))/IF($D87="Unlabeled-13",MCDM_Settings!$F$6,MCDM_Settings!$D$6))</f>
        <v>5</v>
      </c>
      <c r="AE87" s="13">
        <f>IF(IF($D87="Unlabeled-13",MCDM_Settings!$F$6,MCDM_Settings!$D$6)=0,"n.a.",(COUNTIF(M87:O87,"Y")+COUNTIF(M87:O87,"N"))/IF($D87="Unlabeled-13",MCDM_Settings!$F$6,MCDM_Settings!$D$6))</f>
        <v>1</v>
      </c>
      <c r="AF87" s="12">
        <f>IF(IF($D87="Unlabeled-13",MCDM_Settings!$F$7,MCDM_Settings!$D$7)=0,"n.a.",5*COUNTIF(P87:R87,"Y")/IF($D87="Unlabeled-13",MCDM_Settings!$F$7,MCDM_Settings!$D$7))</f>
        <v>1.6666666666666667</v>
      </c>
      <c r="AG87" s="12">
        <f>IF(IF($D87="Unlabeled-13",MCDM_Settings!$F$7,MCDM_Settings!$D$7)=0,"n.a.",5*(COUNTIF(P87:R87,"Y")+COUNTIF(P87:R87,"U")+COUNTIF(P87:R87,"X"))/IF($D87="Unlabeled-13",MCDM_Settings!$F$7,MCDM_Settings!$D$7))</f>
        <v>5</v>
      </c>
      <c r="AH87" s="13">
        <f>IF(IF($D87="Unlabeled-13",MCDM_Settings!$F$7,MCDM_Settings!$D$7)=0,"n.a.",(COUNTIF(P87:R87,"Y")+COUNTIF(P87:R87,"N"))/IF($D87="Unlabeled-13",MCDM_Settings!$F$7,MCDM_Settings!$D$7))</f>
        <v>0.33333333333333331</v>
      </c>
      <c r="AI87" s="12">
        <f>IF(IF($D87="Unlabeled-13",MCDM_Settings!$F$8,MCDM_Settings!$D$8)=0,"n.a.",5*COUNTIF(S87:U87,"Y")/IF($D87="Unlabeled-13",MCDM_Settings!$F$8,MCDM_Settings!$D$8))</f>
        <v>3.3333333333333335</v>
      </c>
      <c r="AJ87" s="12">
        <f>IF(IF($D87="Unlabeled-13",MCDM_Settings!$F$8,MCDM_Settings!$D$8)=0,"n.a.",5*(COUNTIF(S87:U87,"Y")+COUNTIF(S87:U87,"U")+COUNTIF(S87:U87,"X"))/IF($D87="Unlabeled-13",MCDM_Settings!$F$8,MCDM_Settings!$D$8))</f>
        <v>5</v>
      </c>
      <c r="AK87" s="13">
        <f>IF(IF($D87="Unlabeled-13",MCDM_Settings!$F$8,MCDM_Settings!$D$8)=0,"n.a.",(COUNTIF(S87:U87,"Y")+COUNTIF(S87:U87,"N"))/IF($D87="Unlabeled-13",MCDM_Settings!$F$8,MCDM_Settings!$D$8))</f>
        <v>0.66666666666666663</v>
      </c>
      <c r="AL87" s="12">
        <f>IF(IF($D87="Unlabeled-13",MCDM_Settings!$F$9,MCDM_Settings!$D$9)=0,"n.a.",5*COUNTIF(V87:W87,"Y")/IF($D87="Unlabeled-13",MCDM_Settings!$F$9,MCDM_Settings!$D$9))</f>
        <v>2.5</v>
      </c>
      <c r="AM87" s="12">
        <f>IF(IF($D87="Unlabeled-13",MCDM_Settings!$F$9,MCDM_Settings!$D$9)=0,"n.a.",5*(COUNTIF(V87:W87,"Y")+COUNTIF(V87:W87,"U")+COUNTIF(V87:W87,"X"))/IF($D87="Unlabeled-13",MCDM_Settings!$F$9,MCDM_Settings!$D$9))</f>
        <v>5</v>
      </c>
      <c r="AN87" s="13">
        <f>IF(IF($D87="Unlabeled-13",MCDM_Settings!$F$9,MCDM_Settings!$D$9)=0,"n.a.",(COUNTIF(V87:W87,"Y")+COUNTIF(V87:W87,"N"))/IF($D87="Unlabeled-13",MCDM_Settings!$F$9,MCDM_Settings!$D$9))</f>
        <v>0.5</v>
      </c>
      <c r="AO87" s="12">
        <f>IF(IF($D87="Unlabeled-13",MCDM_Settings!$F$10,MCDM_Settings!$D$10)=0,"n.a.",5*COUNTIF(X87:Y87,"Y")/IF($D87="Unlabeled-13",MCDM_Settings!$F$10,MCDM_Settings!$D$10))</f>
        <v>5</v>
      </c>
      <c r="AP87" s="12">
        <f>IF(IF($D87="Unlabeled-13",MCDM_Settings!$F$10,MCDM_Settings!$D$10)=0,"n.a.",5*(COUNTIF(X87:Y87,"Y")+COUNTIF(X87:Y87,"U")+COUNTIF(X87:Y87,"X"))/IF($D87="Unlabeled-13",MCDM_Settings!$F$10,MCDM_Settings!$D$10))</f>
        <v>5</v>
      </c>
      <c r="AQ87" s="13">
        <f>IF(IF($D87="Unlabeled-13",MCDM_Settings!$F$10,MCDM_Settings!$D$10)=0,"n.a.",(COUNTIF(X87:Y87,"Y")+COUNTIF(X87:Y87,"N"))/IF($D87="Unlabeled-13",MCDM_Settings!$F$10,MCDM_Settings!$D$10))</f>
        <v>1</v>
      </c>
      <c r="AR87" s="12">
        <f>IF(IF($D87="Unlabeled-13",MCDM_Settings!$F$11,MCDM_Settings!$D$11)=0,"n.a.",5*COUNTIF(Z87:AB87,"Y")/IF($D87="Unlabeled-13",MCDM_Settings!$F$11,MCDM_Settings!$D$11))</f>
        <v>1.6666666666666667</v>
      </c>
      <c r="AS87" s="12">
        <f>IF(IF($D87="Unlabeled-13",MCDM_Settings!$F$11,MCDM_Settings!$D$11)=0,"n.a.",5*(COUNTIF(Z87:AB87,"Y")+COUNTIF(Z87:AB87,"U")+COUNTIF(Z87:AB87,"X"))/IF($D87="Unlabeled-13",MCDM_Settings!$F$11,MCDM_Settings!$D$11))</f>
        <v>5</v>
      </c>
      <c r="AT87" s="13">
        <f>IF(IF($D87="Unlabeled-13",MCDM_Settings!$F$11,MCDM_Settings!$D$11)=0,"n.a.",(COUNTIF(Z87:AB87,"Y")+COUNTIF(Z87:AB87,"N"))/IF($D87="Unlabeled-13",MCDM_Settings!$F$11,MCDM_Settings!$D$11))</f>
        <v>0.33333333333333331</v>
      </c>
      <c r="AU87" s="5" t="str">
        <f>IF(AND(INDEX(Manual_Review!$G$6:$G$238,MATCH(A87,Manual_Review!$A$6:$A$238,0))&lt;&gt;"",ISNUMBER(INDEX(Manual_Review!$H$6:$H$238,MATCH(A87,Manual_Review!$A$6:$A$238,0))),INDEX(Manual_Review!$H$6:$H$238,MATCH(A87,Manual_Review!$A$6:$A$238,0))&gt;0,INDEX(Manual_Review!$I$6:$I$238,MATCH(A87,Manual_Review!$A$6:$A$238,0))="Confirmed",INDEX(Manual_Review!$AF$6:$AF$238,MATCH(A87,Manual_Review!$A$6:$A$238,0))&lt;&gt;""),IF(INDEX(Manual_Review!$AA$6:$AA$238,MATCH(A87,Manual_Review!$A$6:$A$238,0))="Pass","Pass",IF(INDEX(Manual_Review!$AA$6:$AA$238,MATCH(A87,Manual_Review!$A$6:$A$238,0))="Fail","Fail","Pending")),"Pending human identity confirmation")</f>
        <v>Pending human identity confirmation</v>
      </c>
      <c r="AV87" s="5" t="str">
        <f>IF(AND(AND(INDEX(Manual_Review!$G$6:$G$238,MATCH(A87,Manual_Review!$A$6:$A$238,0))&lt;&gt;"",ISNUMBER(INDEX(Manual_Review!$H$6:$H$238,MATCH(A87,Manual_Review!$A$6:$A$238,0))),INDEX(Manual_Review!$H$6:$H$238,MATCH(A87,Manual_Review!$A$6:$A$238,0))&gt;0,INDEX(Manual_Review!$I$6:$I$238,MATCH(A87,Manual_Review!$A$6:$A$238,0))="Confirmed",INDEX(Manual_Review!$AF$6:$AF$238,MATCH(A87,Manual_Review!$A$6:$A$238,0))&lt;&gt;""),INDEX(Manual_Review!$AG$6:$AG$238,MATCH(A87,Manual_Review!$A$6:$A$238,0))&lt;&gt;""),IF(INDEX(Manual_Review!$AB$6:$AB$238,MATCH(A87,Manual_Review!$A$6:$A$238,0))="Pass","Pass",IF(INDEX(Manual_Review!$AB$6:$AB$238,MATCH(A87,Manual_Review!$A$6:$A$238,0))="Fail","Fail","Pending")),"Not assessed: define intended task")</f>
        <v>Not assessed: define intended task</v>
      </c>
      <c r="AW87" s="5" t="str">
        <f>IF(AND(AND(INDEX(Manual_Review!$G$6:$G$238,MATCH(A87,Manual_Review!$A$6:$A$238,0))&lt;&gt;"",ISNUMBER(INDEX(Manual_Review!$H$6:$H$238,MATCH(A87,Manual_Review!$A$6:$A$238,0))),INDEX(Manual_Review!$H$6:$H$238,MATCH(A87,Manual_Review!$A$6:$A$238,0))&gt;0,INDEX(Manual_Review!$I$6:$I$238,MATCH(A87,Manual_Review!$A$6:$A$238,0))="Confirmed",INDEX(Manual_Review!$AF$6:$AF$238,MATCH(A87,Manual_Review!$A$6:$A$238,0))&lt;&gt;""),INDEX(Manual_Review!$AG$6:$AG$238,MATCH(A87,Manual_Review!$A$6:$A$238,0))&lt;&gt;""),IF(OR(INDEX(Manual_Review!$AC$6:$AC$238,MATCH(A87,Manual_Review!$A$6:$A$238,0))="Fail",INDEX(Manual_Review!$AD$6:$AD$238,MATCH(A87,Manual_Review!$A$6:$A$238,0))="Fail"),"Fail: rights or retrieval",IF(AND(INDEX(Manual_Review!$AC$6:$AC$238,MATCH(A87,Manual_Review!$A$6:$A$238,0))="Pass",INDEX(Manual_Review!$AD$6:$AD$238,MATCH(A87,Manual_Review!$A$6:$A$238,0))="Pass"),"Pass","Pending rights and retrieval")),"Pending rights and retrieval")</f>
        <v>Pending rights and retrieval</v>
      </c>
      <c r="AX87" s="5" t="str">
        <f>IF(INDEX(Manual_Review!$AG$6:$AG$238,MATCH(A87,Manual_Review!$A$6:$A$238,0))="","N/A: documentation inventory",IF(AND(INDEX(Manual_Review!$G$6:$G$238,MATCH(A87,Manual_Review!$A$6:$A$238,0))&lt;&gt;"",ISNUMBER(INDEX(Manual_Review!$H$6:$H$238,MATCH(A87,Manual_Review!$A$6:$A$238,0))),INDEX(Manual_Review!$H$6:$H$238,MATCH(A87,Manual_Review!$A$6:$A$238,0))&gt;0,INDEX(Manual_Review!$I$6:$I$238,MATCH(A87,Manual_Review!$A$6:$A$238,0))="Confirmed",INDEX(Manual_Review!$AF$6:$AF$238,MATCH(A87,Manual_Review!$A$6:$A$238,0))&lt;&gt;""),IF(INDEX(Manual_Review!$AE$6:$AE$238,MATCH(A87,Manual_Review!$A$6:$A$238,0))="Pass","Pass",IF(INDEX(Manual_Review!$AE$6:$AE$238,MATCH(A87,Manual_Review!$A$6:$A$238,0))="Fail","Fail: benchmark leakage",IF(INDEX(Manual_Review!$AE$6:$AE$238,MATCH(A87,Manual_Review!$A$6:$A$238,0))="N/A","N/A: nonbenchmark task","Pending task-specific leakage check"))),"Pending task-specific leakage check"))</f>
        <v>N/A: documentation inventory</v>
      </c>
      <c r="AY87" s="5" t="str">
        <f>IF(IF(D87="Unlabeled-13",AND(ABS(MCDM_Settings!$D$14-1)&lt;0.0000001,MIN(MCDM_Settings!$E$6:$E$11)&gt;=0,MCDM_Settings!$E$7=0),AND(ABS(MCDM_Settings!$B$14-1)&lt;0.0000001,MIN(MCDM_Settings!$C$6:$C$11)&gt;=0)),"Valid","Check weights")</f>
        <v>Valid</v>
      </c>
      <c r="AZ87" s="5" t="str">
        <f>IF(AND(COUNTIF(MCDM_Checks!$B$6:$B$3733,A87)=16,COUNTIF(Manual_Review!$A$6:$A$238,A87)=1),"16 keys present","Check key count")</f>
        <v>16 keys present</v>
      </c>
    </row>
    <row r="88" spans="1:52" ht="25.5">
      <c r="A88" s="5" t="s">
        <v>1009</v>
      </c>
      <c r="B88" s="5" t="s">
        <v>1010</v>
      </c>
      <c r="C88" s="5"/>
      <c r="D88" s="5" t="s">
        <v>118</v>
      </c>
      <c r="E88" s="12">
        <f>IF(OR(AY88&lt;&gt;"Valid",AZ88&lt;&gt;"16 keys present"),"Review settings",20*(IF(ISNUMBER(AC88),AC88*IF($D88="Unlabeled-13",MCDM_Settings!$E$6,MCDM_Settings!$C$6),0)+IF(ISNUMBER(AF88),AF88*IF($D88="Unlabeled-13",MCDM_Settings!$E$7,MCDM_Settings!$C$7),0)+IF(ISNUMBER(AI88),AI88*IF($D88="Unlabeled-13",MCDM_Settings!$E$8,MCDM_Settings!$C$8),0)+IF(ISNUMBER(AL88),AL88*IF($D88="Unlabeled-13",MCDM_Settings!$E$9,MCDM_Settings!$C$9),0)+IF(ISNUMBER(AO88),AO88*IF($D88="Unlabeled-13",MCDM_Settings!$E$10,MCDM_Settings!$C$10),0)+IF(ISNUMBER(AR88),AR88*IF($D88="Unlabeled-13",MCDM_Settings!$E$11,MCDM_Settings!$C$11),0)))</f>
        <v>61.111111111111107</v>
      </c>
      <c r="F88" s="12">
        <f>IF(OR(AY88&lt;&gt;"Valid",AZ88&lt;&gt;"16 keys present"),"Review settings",20*(IF(ISNUMBER(AD88),AD88*IF($D88="Unlabeled-13",MCDM_Settings!$E$6,MCDM_Settings!$C$6),0)+IF(ISNUMBER(AG88),AG88*IF($D88="Unlabeled-13",MCDM_Settings!$E$7,MCDM_Settings!$C$7),0)+IF(ISNUMBER(AJ88),AJ88*IF($D88="Unlabeled-13",MCDM_Settings!$E$8,MCDM_Settings!$C$8),0)+IF(ISNUMBER(AM88),AM88*IF($D88="Unlabeled-13",MCDM_Settings!$E$9,MCDM_Settings!$C$9),0)+IF(ISNUMBER(AP88),AP88*IF($D88="Unlabeled-13",MCDM_Settings!$E$10,MCDM_Settings!$C$10),0)+IF(ISNUMBER(AS88),AS88*IF($D88="Unlabeled-13",MCDM_Settings!$E$11,MCDM_Settings!$C$11),0)))</f>
        <v>99.999999999999986</v>
      </c>
      <c r="G88" s="13">
        <f>IF(OR(AY88&lt;&gt;"Valid",AZ88&lt;&gt;"16 keys present"),"Review settings",1*(IF(ISNUMBER(AE88),AE88*IF($D88="Unlabeled-13",MCDM_Settings!$E$6,MCDM_Settings!$C$6),0)+IF(ISNUMBER(AH88),AH88*IF($D88="Unlabeled-13",MCDM_Settings!$E$7,MCDM_Settings!$C$7),0)+IF(ISNUMBER(AK88),AK88*IF($D88="Unlabeled-13",MCDM_Settings!$E$8,MCDM_Settings!$C$8),0)+IF(ISNUMBER(AN88),AN88*IF($D88="Unlabeled-13",MCDM_Settings!$E$9,MCDM_Settings!$C$9),0)+IF(ISNUMBER(AQ88),AQ88*IF($D88="Unlabeled-13",MCDM_Settings!$E$10,MCDM_Settings!$C$10),0)+IF(ISNUMBER(AT88),AT88*IF($D88="Unlabeled-13",MCDM_Settings!$E$11,MCDM_Settings!$C$11),0)))</f>
        <v>0.61111111111111105</v>
      </c>
      <c r="H88" s="5" t="str">
        <f>INDEX(Manual_Review!$AH$6:$AH$238,MATCH(A88,Manual_Review!$A$6:$A$238,0))</f>
        <v>Not started</v>
      </c>
      <c r="I88" s="5" t="s">
        <v>128</v>
      </c>
      <c r="J88" s="5" t="s">
        <v>556</v>
      </c>
      <c r="K88" s="5" t="str">
        <f>HYPERLINK("https://data.mendeley.com/datasets/745n5wnt7v/1","Dataset")</f>
        <v>Dataset</v>
      </c>
      <c r="L88" s="5" t="str">
        <f>HYPERLINK("#'Manual_Review'!A"&amp;(MATCH("DS-083",Manual_Review!$A$6:$A$238,0)+5),"Enter review")</f>
        <v>Enter review</v>
      </c>
      <c r="M88" s="5" t="str">
        <f>INDEX(MCDM_Checks!$K$6:$K$3733,MATCH(A88&amp;"|"&amp;M$5,MCDM_Checks!$A$6:$A$3733,0))</f>
        <v>Y</v>
      </c>
      <c r="N88" s="5" t="str">
        <f>INDEX(MCDM_Checks!$K$6:$K$3733,MATCH(A88&amp;"|"&amp;N$5,MCDM_Checks!$A$6:$A$3733,0))</f>
        <v>Y</v>
      </c>
      <c r="O88" s="5" t="str">
        <f>INDEX(MCDM_Checks!$K$6:$K$3733,MATCH(A88&amp;"|"&amp;O$5,MCDM_Checks!$A$6:$A$3733,0))</f>
        <v>Y</v>
      </c>
      <c r="P88" s="5" t="str">
        <f>INDEX(MCDM_Checks!$K$6:$K$3733,MATCH(A88&amp;"|"&amp;P$5,MCDM_Checks!$A$6:$A$3733,0))</f>
        <v>Y</v>
      </c>
      <c r="Q88" s="5" t="str">
        <f>INDEX(MCDM_Checks!$K$6:$K$3733,MATCH(A88&amp;"|"&amp;Q$5,MCDM_Checks!$A$6:$A$3733,0))</f>
        <v>U</v>
      </c>
      <c r="R88" s="5" t="str">
        <f>INDEX(MCDM_Checks!$K$6:$K$3733,MATCH(A88&amp;"|"&amp;R$5,MCDM_Checks!$A$6:$A$3733,0))</f>
        <v>U</v>
      </c>
      <c r="S88" s="5" t="str">
        <f>INDEX(MCDM_Checks!$K$6:$K$3733,MATCH(A88&amp;"|"&amp;S$5,MCDM_Checks!$A$6:$A$3733,0))</f>
        <v>U</v>
      </c>
      <c r="T88" s="5" t="str">
        <f>INDEX(MCDM_Checks!$K$6:$K$3733,MATCH(A88&amp;"|"&amp;T$5,MCDM_Checks!$A$6:$A$3733,0))</f>
        <v>Y</v>
      </c>
      <c r="U88" s="5" t="str">
        <f>INDEX(MCDM_Checks!$K$6:$K$3733,MATCH(A88&amp;"|"&amp;U$5,MCDM_Checks!$A$6:$A$3733,0))</f>
        <v>U</v>
      </c>
      <c r="V88" s="5" t="str">
        <f>INDEX(MCDM_Checks!$K$6:$K$3733,MATCH(A88&amp;"|"&amp;V$5,MCDM_Checks!$A$6:$A$3733,0))</f>
        <v>Y</v>
      </c>
      <c r="W88" s="5" t="str">
        <f>INDEX(MCDM_Checks!$K$6:$K$3733,MATCH(A88&amp;"|"&amp;W$5,MCDM_Checks!$A$6:$A$3733,0))</f>
        <v>Y</v>
      </c>
      <c r="X88" s="5" t="str">
        <f>INDEX(MCDM_Checks!$K$6:$K$3733,MATCH(A88&amp;"|"&amp;X$5,MCDM_Checks!$A$6:$A$3733,0))</f>
        <v>Y</v>
      </c>
      <c r="Y88" s="5" t="str">
        <f>INDEX(MCDM_Checks!$K$6:$K$3733,MATCH(A88&amp;"|"&amp;Y$5,MCDM_Checks!$A$6:$A$3733,0))</f>
        <v>Y</v>
      </c>
      <c r="Z88" s="5" t="str">
        <f>INDEX(MCDM_Checks!$K$6:$K$3733,MATCH(A88&amp;"|"&amp;Z$5,MCDM_Checks!$A$6:$A$3733,0))</f>
        <v>U</v>
      </c>
      <c r="AA88" s="5" t="str">
        <f>INDEX(MCDM_Checks!$K$6:$K$3733,MATCH(A88&amp;"|"&amp;AA$5,MCDM_Checks!$A$6:$A$3733,0))</f>
        <v>U</v>
      </c>
      <c r="AB88" s="5" t="str">
        <f>INDEX(MCDM_Checks!$K$6:$K$3733,MATCH(A88&amp;"|"&amp;AB$5,MCDM_Checks!$A$6:$A$3733,0))</f>
        <v>U</v>
      </c>
      <c r="AC88" s="12">
        <f>IF(IF($D88="Unlabeled-13",MCDM_Settings!$F$6,MCDM_Settings!$D$6)=0,"n.a.",5*COUNTIF(M88:O88,"Y")/IF($D88="Unlabeled-13",MCDM_Settings!$F$6,MCDM_Settings!$D$6))</f>
        <v>5</v>
      </c>
      <c r="AD88" s="12">
        <f>IF(IF($D88="Unlabeled-13",MCDM_Settings!$F$6,MCDM_Settings!$D$6)=0,"n.a.",5*(COUNTIF(M88:O88,"Y")+COUNTIF(M88:O88,"U")+COUNTIF(M88:O88,"X"))/IF($D88="Unlabeled-13",MCDM_Settings!$F$6,MCDM_Settings!$D$6))</f>
        <v>5</v>
      </c>
      <c r="AE88" s="13">
        <f>IF(IF($D88="Unlabeled-13",MCDM_Settings!$F$6,MCDM_Settings!$D$6)=0,"n.a.",(COUNTIF(M88:O88,"Y")+COUNTIF(M88:O88,"N"))/IF($D88="Unlabeled-13",MCDM_Settings!$F$6,MCDM_Settings!$D$6))</f>
        <v>1</v>
      </c>
      <c r="AF88" s="12">
        <f>IF(IF($D88="Unlabeled-13",MCDM_Settings!$F$7,MCDM_Settings!$D$7)=0,"n.a.",5*COUNTIF(P88:R88,"Y")/IF($D88="Unlabeled-13",MCDM_Settings!$F$7,MCDM_Settings!$D$7))</f>
        <v>1.6666666666666667</v>
      </c>
      <c r="AG88" s="12">
        <f>IF(IF($D88="Unlabeled-13",MCDM_Settings!$F$7,MCDM_Settings!$D$7)=0,"n.a.",5*(COUNTIF(P88:R88,"Y")+COUNTIF(P88:R88,"U")+COUNTIF(P88:R88,"X"))/IF($D88="Unlabeled-13",MCDM_Settings!$F$7,MCDM_Settings!$D$7))</f>
        <v>5</v>
      </c>
      <c r="AH88" s="13">
        <f>IF(IF($D88="Unlabeled-13",MCDM_Settings!$F$7,MCDM_Settings!$D$7)=0,"n.a.",(COUNTIF(P88:R88,"Y")+COUNTIF(P88:R88,"N"))/IF($D88="Unlabeled-13",MCDM_Settings!$F$7,MCDM_Settings!$D$7))</f>
        <v>0.33333333333333331</v>
      </c>
      <c r="AI88" s="12">
        <f>IF(IF($D88="Unlabeled-13",MCDM_Settings!$F$8,MCDM_Settings!$D$8)=0,"n.a.",5*COUNTIF(S88:U88,"Y")/IF($D88="Unlabeled-13",MCDM_Settings!$F$8,MCDM_Settings!$D$8))</f>
        <v>1.6666666666666667</v>
      </c>
      <c r="AJ88" s="12">
        <f>IF(IF($D88="Unlabeled-13",MCDM_Settings!$F$8,MCDM_Settings!$D$8)=0,"n.a.",5*(COUNTIF(S88:U88,"Y")+COUNTIF(S88:U88,"U")+COUNTIF(S88:U88,"X"))/IF($D88="Unlabeled-13",MCDM_Settings!$F$8,MCDM_Settings!$D$8))</f>
        <v>5</v>
      </c>
      <c r="AK88" s="13">
        <f>IF(IF($D88="Unlabeled-13",MCDM_Settings!$F$8,MCDM_Settings!$D$8)=0,"n.a.",(COUNTIF(S88:U88,"Y")+COUNTIF(S88:U88,"N"))/IF($D88="Unlabeled-13",MCDM_Settings!$F$8,MCDM_Settings!$D$8))</f>
        <v>0.33333333333333331</v>
      </c>
      <c r="AL88" s="12">
        <f>IF(IF($D88="Unlabeled-13",MCDM_Settings!$F$9,MCDM_Settings!$D$9)=0,"n.a.",5*COUNTIF(V88:W88,"Y")/IF($D88="Unlabeled-13",MCDM_Settings!$F$9,MCDM_Settings!$D$9))</f>
        <v>5</v>
      </c>
      <c r="AM88" s="12">
        <f>IF(IF($D88="Unlabeled-13",MCDM_Settings!$F$9,MCDM_Settings!$D$9)=0,"n.a.",5*(COUNTIF(V88:W88,"Y")+COUNTIF(V88:W88,"U")+COUNTIF(V88:W88,"X"))/IF($D88="Unlabeled-13",MCDM_Settings!$F$9,MCDM_Settings!$D$9))</f>
        <v>5</v>
      </c>
      <c r="AN88" s="13">
        <f>IF(IF($D88="Unlabeled-13",MCDM_Settings!$F$9,MCDM_Settings!$D$9)=0,"n.a.",(COUNTIF(V88:W88,"Y")+COUNTIF(V88:W88,"N"))/IF($D88="Unlabeled-13",MCDM_Settings!$F$9,MCDM_Settings!$D$9))</f>
        <v>1</v>
      </c>
      <c r="AO88" s="12">
        <f>IF(IF($D88="Unlabeled-13",MCDM_Settings!$F$10,MCDM_Settings!$D$10)=0,"n.a.",5*COUNTIF(X88:Y88,"Y")/IF($D88="Unlabeled-13",MCDM_Settings!$F$10,MCDM_Settings!$D$10))</f>
        <v>5</v>
      </c>
      <c r="AP88" s="12">
        <f>IF(IF($D88="Unlabeled-13",MCDM_Settings!$F$10,MCDM_Settings!$D$10)=0,"n.a.",5*(COUNTIF(X88:Y88,"Y")+COUNTIF(X88:Y88,"U")+COUNTIF(X88:Y88,"X"))/IF($D88="Unlabeled-13",MCDM_Settings!$F$10,MCDM_Settings!$D$10))</f>
        <v>5</v>
      </c>
      <c r="AQ88" s="13">
        <f>IF(IF($D88="Unlabeled-13",MCDM_Settings!$F$10,MCDM_Settings!$D$10)=0,"n.a.",(COUNTIF(X88:Y88,"Y")+COUNTIF(X88:Y88,"N"))/IF($D88="Unlabeled-13",MCDM_Settings!$F$10,MCDM_Settings!$D$10))</f>
        <v>1</v>
      </c>
      <c r="AR88" s="12">
        <f>IF(IF($D88="Unlabeled-13",MCDM_Settings!$F$11,MCDM_Settings!$D$11)=0,"n.a.",5*COUNTIF(Z88:AB88,"Y")/IF($D88="Unlabeled-13",MCDM_Settings!$F$11,MCDM_Settings!$D$11))</f>
        <v>0</v>
      </c>
      <c r="AS88" s="12">
        <f>IF(IF($D88="Unlabeled-13",MCDM_Settings!$F$11,MCDM_Settings!$D$11)=0,"n.a.",5*(COUNTIF(Z88:AB88,"Y")+COUNTIF(Z88:AB88,"U")+COUNTIF(Z88:AB88,"X"))/IF($D88="Unlabeled-13",MCDM_Settings!$F$11,MCDM_Settings!$D$11))</f>
        <v>5</v>
      </c>
      <c r="AT88" s="13">
        <f>IF(IF($D88="Unlabeled-13",MCDM_Settings!$F$11,MCDM_Settings!$D$11)=0,"n.a.",(COUNTIF(Z88:AB88,"Y")+COUNTIF(Z88:AB88,"N"))/IF($D88="Unlabeled-13",MCDM_Settings!$F$11,MCDM_Settings!$D$11))</f>
        <v>0</v>
      </c>
      <c r="AU88" s="5" t="str">
        <f>IF(AND(INDEX(Manual_Review!$G$6:$G$238,MATCH(A88,Manual_Review!$A$6:$A$238,0))&lt;&gt;"",ISNUMBER(INDEX(Manual_Review!$H$6:$H$238,MATCH(A88,Manual_Review!$A$6:$A$238,0))),INDEX(Manual_Review!$H$6:$H$238,MATCH(A88,Manual_Review!$A$6:$A$238,0))&gt;0,INDEX(Manual_Review!$I$6:$I$238,MATCH(A88,Manual_Review!$A$6:$A$238,0))="Confirmed",INDEX(Manual_Review!$AF$6:$AF$238,MATCH(A88,Manual_Review!$A$6:$A$238,0))&lt;&gt;""),IF(INDEX(Manual_Review!$AA$6:$AA$238,MATCH(A88,Manual_Review!$A$6:$A$238,0))="Pass","Pass",IF(INDEX(Manual_Review!$AA$6:$AA$238,MATCH(A88,Manual_Review!$A$6:$A$238,0))="Fail","Fail","Pending")),"Pending human identity confirmation")</f>
        <v>Pending human identity confirmation</v>
      </c>
      <c r="AV88" s="5" t="str">
        <f>IF(AND(AND(INDEX(Manual_Review!$G$6:$G$238,MATCH(A88,Manual_Review!$A$6:$A$238,0))&lt;&gt;"",ISNUMBER(INDEX(Manual_Review!$H$6:$H$238,MATCH(A88,Manual_Review!$A$6:$A$238,0))),INDEX(Manual_Review!$H$6:$H$238,MATCH(A88,Manual_Review!$A$6:$A$238,0))&gt;0,INDEX(Manual_Review!$I$6:$I$238,MATCH(A88,Manual_Review!$A$6:$A$238,0))="Confirmed",INDEX(Manual_Review!$AF$6:$AF$238,MATCH(A88,Manual_Review!$A$6:$A$238,0))&lt;&gt;""),INDEX(Manual_Review!$AG$6:$AG$238,MATCH(A88,Manual_Review!$A$6:$A$238,0))&lt;&gt;""),IF(INDEX(Manual_Review!$AB$6:$AB$238,MATCH(A88,Manual_Review!$A$6:$A$238,0))="Pass","Pass",IF(INDEX(Manual_Review!$AB$6:$AB$238,MATCH(A88,Manual_Review!$A$6:$A$238,0))="Fail","Fail","Pending")),"Not assessed: define intended task")</f>
        <v>Not assessed: define intended task</v>
      </c>
      <c r="AW88" s="5" t="str">
        <f>IF(AND(AND(INDEX(Manual_Review!$G$6:$G$238,MATCH(A88,Manual_Review!$A$6:$A$238,0))&lt;&gt;"",ISNUMBER(INDEX(Manual_Review!$H$6:$H$238,MATCH(A88,Manual_Review!$A$6:$A$238,0))),INDEX(Manual_Review!$H$6:$H$238,MATCH(A88,Manual_Review!$A$6:$A$238,0))&gt;0,INDEX(Manual_Review!$I$6:$I$238,MATCH(A88,Manual_Review!$A$6:$A$238,0))="Confirmed",INDEX(Manual_Review!$AF$6:$AF$238,MATCH(A88,Manual_Review!$A$6:$A$238,0))&lt;&gt;""),INDEX(Manual_Review!$AG$6:$AG$238,MATCH(A88,Manual_Review!$A$6:$A$238,0))&lt;&gt;""),IF(OR(INDEX(Manual_Review!$AC$6:$AC$238,MATCH(A88,Manual_Review!$A$6:$A$238,0))="Fail",INDEX(Manual_Review!$AD$6:$AD$238,MATCH(A88,Manual_Review!$A$6:$A$238,0))="Fail"),"Fail: rights or retrieval",IF(AND(INDEX(Manual_Review!$AC$6:$AC$238,MATCH(A88,Manual_Review!$A$6:$A$238,0))="Pass",INDEX(Manual_Review!$AD$6:$AD$238,MATCH(A88,Manual_Review!$A$6:$A$238,0))="Pass"),"Pass","Pending rights and retrieval")),"Pending rights and retrieval")</f>
        <v>Pending rights and retrieval</v>
      </c>
      <c r="AX88" s="5" t="str">
        <f>IF(INDEX(Manual_Review!$AG$6:$AG$238,MATCH(A88,Manual_Review!$A$6:$A$238,0))="","N/A: documentation inventory",IF(AND(INDEX(Manual_Review!$G$6:$G$238,MATCH(A88,Manual_Review!$A$6:$A$238,0))&lt;&gt;"",ISNUMBER(INDEX(Manual_Review!$H$6:$H$238,MATCH(A88,Manual_Review!$A$6:$A$238,0))),INDEX(Manual_Review!$H$6:$H$238,MATCH(A88,Manual_Review!$A$6:$A$238,0))&gt;0,INDEX(Manual_Review!$I$6:$I$238,MATCH(A88,Manual_Review!$A$6:$A$238,0))="Confirmed",INDEX(Manual_Review!$AF$6:$AF$238,MATCH(A88,Manual_Review!$A$6:$A$238,0))&lt;&gt;""),IF(INDEX(Manual_Review!$AE$6:$AE$238,MATCH(A88,Manual_Review!$A$6:$A$238,0))="Pass","Pass",IF(INDEX(Manual_Review!$AE$6:$AE$238,MATCH(A88,Manual_Review!$A$6:$A$238,0))="Fail","Fail: benchmark leakage",IF(INDEX(Manual_Review!$AE$6:$AE$238,MATCH(A88,Manual_Review!$A$6:$A$238,0))="N/A","N/A: nonbenchmark task","Pending task-specific leakage check"))),"Pending task-specific leakage check"))</f>
        <v>N/A: documentation inventory</v>
      </c>
      <c r="AY88" s="5" t="str">
        <f>IF(IF(D88="Unlabeled-13",AND(ABS(MCDM_Settings!$D$14-1)&lt;0.0000001,MIN(MCDM_Settings!$E$6:$E$11)&gt;=0,MCDM_Settings!$E$7=0),AND(ABS(MCDM_Settings!$B$14-1)&lt;0.0000001,MIN(MCDM_Settings!$C$6:$C$11)&gt;=0)),"Valid","Check weights")</f>
        <v>Valid</v>
      </c>
      <c r="AZ88" s="5" t="str">
        <f>IF(AND(COUNTIF(MCDM_Checks!$B$6:$B$3733,A88)=16,COUNTIF(Manual_Review!$A$6:$A$238,A88)=1),"16 keys present","Check key count")</f>
        <v>16 keys present</v>
      </c>
    </row>
    <row r="89" spans="1:52" ht="25.5">
      <c r="A89" s="5" t="s">
        <v>18</v>
      </c>
      <c r="B89" s="5" t="s">
        <v>1020</v>
      </c>
      <c r="C89" s="5">
        <v>1</v>
      </c>
      <c r="D89" s="5" t="s">
        <v>118</v>
      </c>
      <c r="E89" s="12">
        <f>IF(OR(AY89&lt;&gt;"Valid",AZ89&lt;&gt;"16 keys present"),"Review settings",20*(IF(ISNUMBER(AC89),AC89*IF($D89="Unlabeled-13",MCDM_Settings!$E$6,MCDM_Settings!$C$6),0)+IF(ISNUMBER(AF89),AF89*IF($D89="Unlabeled-13",MCDM_Settings!$E$7,MCDM_Settings!$C$7),0)+IF(ISNUMBER(AI89),AI89*IF($D89="Unlabeled-13",MCDM_Settings!$E$8,MCDM_Settings!$C$8),0)+IF(ISNUMBER(AL89),AL89*IF($D89="Unlabeled-13",MCDM_Settings!$E$9,MCDM_Settings!$C$9),0)+IF(ISNUMBER(AO89),AO89*IF($D89="Unlabeled-13",MCDM_Settings!$E$10,MCDM_Settings!$C$10),0)+IF(ISNUMBER(AR89),AR89*IF($D89="Unlabeled-13",MCDM_Settings!$E$11,MCDM_Settings!$C$11),0)))</f>
        <v>88.888888888888872</v>
      </c>
      <c r="F89" s="12">
        <f>IF(OR(AY89&lt;&gt;"Valid",AZ89&lt;&gt;"16 keys present"),"Review settings",20*(IF(ISNUMBER(AD89),AD89*IF($D89="Unlabeled-13",MCDM_Settings!$E$6,MCDM_Settings!$C$6),0)+IF(ISNUMBER(AG89),AG89*IF($D89="Unlabeled-13",MCDM_Settings!$E$7,MCDM_Settings!$C$7),0)+IF(ISNUMBER(AJ89),AJ89*IF($D89="Unlabeled-13",MCDM_Settings!$E$8,MCDM_Settings!$C$8),0)+IF(ISNUMBER(AM89),AM89*IF($D89="Unlabeled-13",MCDM_Settings!$E$9,MCDM_Settings!$C$9),0)+IF(ISNUMBER(AP89),AP89*IF($D89="Unlabeled-13",MCDM_Settings!$E$10,MCDM_Settings!$C$10),0)+IF(ISNUMBER(AS89),AS89*IF($D89="Unlabeled-13",MCDM_Settings!$E$11,MCDM_Settings!$C$11),0)))</f>
        <v>99.999999999999986</v>
      </c>
      <c r="G89" s="13">
        <f>IF(OR(AY89&lt;&gt;"Valid",AZ89&lt;&gt;"16 keys present"),"Review settings",1*(IF(ISNUMBER(AE89),AE89*IF($D89="Unlabeled-13",MCDM_Settings!$E$6,MCDM_Settings!$C$6),0)+IF(ISNUMBER(AH89),AH89*IF($D89="Unlabeled-13",MCDM_Settings!$E$7,MCDM_Settings!$C$7),0)+IF(ISNUMBER(AK89),AK89*IF($D89="Unlabeled-13",MCDM_Settings!$E$8,MCDM_Settings!$C$8),0)+IF(ISNUMBER(AN89),AN89*IF($D89="Unlabeled-13",MCDM_Settings!$E$9,MCDM_Settings!$C$9),0)+IF(ISNUMBER(AQ89),AQ89*IF($D89="Unlabeled-13",MCDM_Settings!$E$10,MCDM_Settings!$C$10),0)+IF(ISNUMBER(AT89),AT89*IF($D89="Unlabeled-13",MCDM_Settings!$E$11,MCDM_Settings!$C$11),0)))</f>
        <v>0.88888888888888884</v>
      </c>
      <c r="H89" s="5" t="str">
        <f>INDEX(Manual_Review!$AH$6:$AH$238,MATCH(A89,Manual_Review!$A$6:$A$238,0))</f>
        <v>Not started</v>
      </c>
      <c r="I89" s="5" t="s">
        <v>206</v>
      </c>
      <c r="J89" s="5" t="s">
        <v>23</v>
      </c>
      <c r="K89" s="5" t="str">
        <f>HYPERLINK("https://digitalcommons.usu.edu/all_datasets/48/","Dataset")</f>
        <v>Dataset</v>
      </c>
      <c r="L89" s="5" t="str">
        <f>HYPERLINK("#'Manual_Review'!A"&amp;(MATCH("DS-084",Manual_Review!$A$6:$A$238,0)+5),"Enter review")</f>
        <v>Enter review</v>
      </c>
      <c r="M89" s="5" t="str">
        <f>INDEX(MCDM_Checks!$K$6:$K$3733,MATCH(A89&amp;"|"&amp;M$5,MCDM_Checks!$A$6:$A$3733,0))</f>
        <v>Y</v>
      </c>
      <c r="N89" s="5" t="str">
        <f>INDEX(MCDM_Checks!$K$6:$K$3733,MATCH(A89&amp;"|"&amp;N$5,MCDM_Checks!$A$6:$A$3733,0))</f>
        <v>Y</v>
      </c>
      <c r="O89" s="5" t="str">
        <f>INDEX(MCDM_Checks!$K$6:$K$3733,MATCH(A89&amp;"|"&amp;O$5,MCDM_Checks!$A$6:$A$3733,0))</f>
        <v>Y</v>
      </c>
      <c r="P89" s="5" t="str">
        <f>INDEX(MCDM_Checks!$K$6:$K$3733,MATCH(A89&amp;"|"&amp;P$5,MCDM_Checks!$A$6:$A$3733,0))</f>
        <v>Y</v>
      </c>
      <c r="Q89" s="5" t="str">
        <f>INDEX(MCDM_Checks!$K$6:$K$3733,MATCH(A89&amp;"|"&amp;Q$5,MCDM_Checks!$A$6:$A$3733,0))</f>
        <v>Y</v>
      </c>
      <c r="R89" s="5" t="str">
        <f>INDEX(MCDM_Checks!$K$6:$K$3733,MATCH(A89&amp;"|"&amp;R$5,MCDM_Checks!$A$6:$A$3733,0))</f>
        <v>U</v>
      </c>
      <c r="S89" s="5" t="str">
        <f>INDEX(MCDM_Checks!$K$6:$K$3733,MATCH(A89&amp;"|"&amp;S$5,MCDM_Checks!$A$6:$A$3733,0))</f>
        <v>U</v>
      </c>
      <c r="T89" s="5" t="str">
        <f>INDEX(MCDM_Checks!$K$6:$K$3733,MATCH(A89&amp;"|"&amp;T$5,MCDM_Checks!$A$6:$A$3733,0))</f>
        <v>Y</v>
      </c>
      <c r="U89" s="5" t="str">
        <f>INDEX(MCDM_Checks!$K$6:$K$3733,MATCH(A89&amp;"|"&amp;U$5,MCDM_Checks!$A$6:$A$3733,0))</f>
        <v>Y</v>
      </c>
      <c r="V89" s="5" t="str">
        <f>INDEX(MCDM_Checks!$K$6:$K$3733,MATCH(A89&amp;"|"&amp;V$5,MCDM_Checks!$A$6:$A$3733,0))</f>
        <v>Y</v>
      </c>
      <c r="W89" s="5" t="str">
        <f>INDEX(MCDM_Checks!$K$6:$K$3733,MATCH(A89&amp;"|"&amp;W$5,MCDM_Checks!$A$6:$A$3733,0))</f>
        <v>Y</v>
      </c>
      <c r="X89" s="5" t="str">
        <f>INDEX(MCDM_Checks!$K$6:$K$3733,MATCH(A89&amp;"|"&amp;X$5,MCDM_Checks!$A$6:$A$3733,0))</f>
        <v>Y</v>
      </c>
      <c r="Y89" s="5" t="str">
        <f>INDEX(MCDM_Checks!$K$6:$K$3733,MATCH(A89&amp;"|"&amp;Y$5,MCDM_Checks!$A$6:$A$3733,0))</f>
        <v>Y</v>
      </c>
      <c r="Z89" s="5" t="str">
        <f>INDEX(MCDM_Checks!$K$6:$K$3733,MATCH(A89&amp;"|"&amp;Z$5,MCDM_Checks!$A$6:$A$3733,0))</f>
        <v>Y</v>
      </c>
      <c r="AA89" s="5" t="str">
        <f>INDEX(MCDM_Checks!$K$6:$K$3733,MATCH(A89&amp;"|"&amp;AA$5,MCDM_Checks!$A$6:$A$3733,0))</f>
        <v>Y</v>
      </c>
      <c r="AB89" s="5" t="str">
        <f>INDEX(MCDM_Checks!$K$6:$K$3733,MATCH(A89&amp;"|"&amp;AB$5,MCDM_Checks!$A$6:$A$3733,0))</f>
        <v>Y</v>
      </c>
      <c r="AC89" s="12">
        <f>IF(IF($D89="Unlabeled-13",MCDM_Settings!$F$6,MCDM_Settings!$D$6)=0,"n.a.",5*COUNTIF(M89:O89,"Y")/IF($D89="Unlabeled-13",MCDM_Settings!$F$6,MCDM_Settings!$D$6))</f>
        <v>5</v>
      </c>
      <c r="AD89" s="12">
        <f>IF(IF($D89="Unlabeled-13",MCDM_Settings!$F$6,MCDM_Settings!$D$6)=0,"n.a.",5*(COUNTIF(M89:O89,"Y")+COUNTIF(M89:O89,"U")+COUNTIF(M89:O89,"X"))/IF($D89="Unlabeled-13",MCDM_Settings!$F$6,MCDM_Settings!$D$6))</f>
        <v>5</v>
      </c>
      <c r="AE89" s="13">
        <f>IF(IF($D89="Unlabeled-13",MCDM_Settings!$F$6,MCDM_Settings!$D$6)=0,"n.a.",(COUNTIF(M89:O89,"Y")+COUNTIF(M89:O89,"N"))/IF($D89="Unlabeled-13",MCDM_Settings!$F$6,MCDM_Settings!$D$6))</f>
        <v>1</v>
      </c>
      <c r="AF89" s="12">
        <f>IF(IF($D89="Unlabeled-13",MCDM_Settings!$F$7,MCDM_Settings!$D$7)=0,"n.a.",5*COUNTIF(P89:R89,"Y")/IF($D89="Unlabeled-13",MCDM_Settings!$F$7,MCDM_Settings!$D$7))</f>
        <v>3.3333333333333335</v>
      </c>
      <c r="AG89" s="12">
        <f>IF(IF($D89="Unlabeled-13",MCDM_Settings!$F$7,MCDM_Settings!$D$7)=0,"n.a.",5*(COUNTIF(P89:R89,"Y")+COUNTIF(P89:R89,"U")+COUNTIF(P89:R89,"X"))/IF($D89="Unlabeled-13",MCDM_Settings!$F$7,MCDM_Settings!$D$7))</f>
        <v>5</v>
      </c>
      <c r="AH89" s="13">
        <f>IF(IF($D89="Unlabeled-13",MCDM_Settings!$F$7,MCDM_Settings!$D$7)=0,"n.a.",(COUNTIF(P89:R89,"Y")+COUNTIF(P89:R89,"N"))/IF($D89="Unlabeled-13",MCDM_Settings!$F$7,MCDM_Settings!$D$7))</f>
        <v>0.66666666666666663</v>
      </c>
      <c r="AI89" s="12">
        <f>IF(IF($D89="Unlabeled-13",MCDM_Settings!$F$8,MCDM_Settings!$D$8)=0,"n.a.",5*COUNTIF(S89:U89,"Y")/IF($D89="Unlabeled-13",MCDM_Settings!$F$8,MCDM_Settings!$D$8))</f>
        <v>3.3333333333333335</v>
      </c>
      <c r="AJ89" s="12">
        <f>IF(IF($D89="Unlabeled-13",MCDM_Settings!$F$8,MCDM_Settings!$D$8)=0,"n.a.",5*(COUNTIF(S89:U89,"Y")+COUNTIF(S89:U89,"U")+COUNTIF(S89:U89,"X"))/IF($D89="Unlabeled-13",MCDM_Settings!$F$8,MCDM_Settings!$D$8))</f>
        <v>5</v>
      </c>
      <c r="AK89" s="13">
        <f>IF(IF($D89="Unlabeled-13",MCDM_Settings!$F$8,MCDM_Settings!$D$8)=0,"n.a.",(COUNTIF(S89:U89,"Y")+COUNTIF(S89:U89,"N"))/IF($D89="Unlabeled-13",MCDM_Settings!$F$8,MCDM_Settings!$D$8))</f>
        <v>0.66666666666666663</v>
      </c>
      <c r="AL89" s="12">
        <f>IF(IF($D89="Unlabeled-13",MCDM_Settings!$F$9,MCDM_Settings!$D$9)=0,"n.a.",5*COUNTIF(V89:W89,"Y")/IF($D89="Unlabeled-13",MCDM_Settings!$F$9,MCDM_Settings!$D$9))</f>
        <v>5</v>
      </c>
      <c r="AM89" s="12">
        <f>IF(IF($D89="Unlabeled-13",MCDM_Settings!$F$9,MCDM_Settings!$D$9)=0,"n.a.",5*(COUNTIF(V89:W89,"Y")+COUNTIF(V89:W89,"U")+COUNTIF(V89:W89,"X"))/IF($D89="Unlabeled-13",MCDM_Settings!$F$9,MCDM_Settings!$D$9))</f>
        <v>5</v>
      </c>
      <c r="AN89" s="13">
        <f>IF(IF($D89="Unlabeled-13",MCDM_Settings!$F$9,MCDM_Settings!$D$9)=0,"n.a.",(COUNTIF(V89:W89,"Y")+COUNTIF(V89:W89,"N"))/IF($D89="Unlabeled-13",MCDM_Settings!$F$9,MCDM_Settings!$D$9))</f>
        <v>1</v>
      </c>
      <c r="AO89" s="12">
        <f>IF(IF($D89="Unlabeled-13",MCDM_Settings!$F$10,MCDM_Settings!$D$10)=0,"n.a.",5*COUNTIF(X89:Y89,"Y")/IF($D89="Unlabeled-13",MCDM_Settings!$F$10,MCDM_Settings!$D$10))</f>
        <v>5</v>
      </c>
      <c r="AP89" s="12">
        <f>IF(IF($D89="Unlabeled-13",MCDM_Settings!$F$10,MCDM_Settings!$D$10)=0,"n.a.",5*(COUNTIF(X89:Y89,"Y")+COUNTIF(X89:Y89,"U")+COUNTIF(X89:Y89,"X"))/IF($D89="Unlabeled-13",MCDM_Settings!$F$10,MCDM_Settings!$D$10))</f>
        <v>5</v>
      </c>
      <c r="AQ89" s="13">
        <f>IF(IF($D89="Unlabeled-13",MCDM_Settings!$F$10,MCDM_Settings!$D$10)=0,"n.a.",(COUNTIF(X89:Y89,"Y")+COUNTIF(X89:Y89,"N"))/IF($D89="Unlabeled-13",MCDM_Settings!$F$10,MCDM_Settings!$D$10))</f>
        <v>1</v>
      </c>
      <c r="AR89" s="12">
        <f>IF(IF($D89="Unlabeled-13",MCDM_Settings!$F$11,MCDM_Settings!$D$11)=0,"n.a.",5*COUNTIF(Z89:AB89,"Y")/IF($D89="Unlabeled-13",MCDM_Settings!$F$11,MCDM_Settings!$D$11))</f>
        <v>5</v>
      </c>
      <c r="AS89" s="12">
        <f>IF(IF($D89="Unlabeled-13",MCDM_Settings!$F$11,MCDM_Settings!$D$11)=0,"n.a.",5*(COUNTIF(Z89:AB89,"Y")+COUNTIF(Z89:AB89,"U")+COUNTIF(Z89:AB89,"X"))/IF($D89="Unlabeled-13",MCDM_Settings!$F$11,MCDM_Settings!$D$11))</f>
        <v>5</v>
      </c>
      <c r="AT89" s="13">
        <f>IF(IF($D89="Unlabeled-13",MCDM_Settings!$F$11,MCDM_Settings!$D$11)=0,"n.a.",(COUNTIF(Z89:AB89,"Y")+COUNTIF(Z89:AB89,"N"))/IF($D89="Unlabeled-13",MCDM_Settings!$F$11,MCDM_Settings!$D$11))</f>
        <v>1</v>
      </c>
      <c r="AU89" s="5" t="str">
        <f>IF(AND(INDEX(Manual_Review!$G$6:$G$238,MATCH(A89,Manual_Review!$A$6:$A$238,0))&lt;&gt;"",ISNUMBER(INDEX(Manual_Review!$H$6:$H$238,MATCH(A89,Manual_Review!$A$6:$A$238,0))),INDEX(Manual_Review!$H$6:$H$238,MATCH(A89,Manual_Review!$A$6:$A$238,0))&gt;0,INDEX(Manual_Review!$I$6:$I$238,MATCH(A89,Manual_Review!$A$6:$A$238,0))="Confirmed",INDEX(Manual_Review!$AF$6:$AF$238,MATCH(A89,Manual_Review!$A$6:$A$238,0))&lt;&gt;""),IF(INDEX(Manual_Review!$AA$6:$AA$238,MATCH(A89,Manual_Review!$A$6:$A$238,0))="Pass","Pass",IF(INDEX(Manual_Review!$AA$6:$AA$238,MATCH(A89,Manual_Review!$A$6:$A$238,0))="Fail","Fail","Pending")),"Pending human identity confirmation")</f>
        <v>Pending human identity confirmation</v>
      </c>
      <c r="AV89" s="5" t="str">
        <f>IF(AND(AND(INDEX(Manual_Review!$G$6:$G$238,MATCH(A89,Manual_Review!$A$6:$A$238,0))&lt;&gt;"",ISNUMBER(INDEX(Manual_Review!$H$6:$H$238,MATCH(A89,Manual_Review!$A$6:$A$238,0))),INDEX(Manual_Review!$H$6:$H$238,MATCH(A89,Manual_Review!$A$6:$A$238,0))&gt;0,INDEX(Manual_Review!$I$6:$I$238,MATCH(A89,Manual_Review!$A$6:$A$238,0))="Confirmed",INDEX(Manual_Review!$AF$6:$AF$238,MATCH(A89,Manual_Review!$A$6:$A$238,0))&lt;&gt;""),INDEX(Manual_Review!$AG$6:$AG$238,MATCH(A89,Manual_Review!$A$6:$A$238,0))&lt;&gt;""),IF(INDEX(Manual_Review!$AB$6:$AB$238,MATCH(A89,Manual_Review!$A$6:$A$238,0))="Pass","Pass",IF(INDEX(Manual_Review!$AB$6:$AB$238,MATCH(A89,Manual_Review!$A$6:$A$238,0))="Fail","Fail","Pending")),"Not assessed: define intended task")</f>
        <v>Not assessed: define intended task</v>
      </c>
      <c r="AW89" s="5" t="str">
        <f>IF(AND(AND(INDEX(Manual_Review!$G$6:$G$238,MATCH(A89,Manual_Review!$A$6:$A$238,0))&lt;&gt;"",ISNUMBER(INDEX(Manual_Review!$H$6:$H$238,MATCH(A89,Manual_Review!$A$6:$A$238,0))),INDEX(Manual_Review!$H$6:$H$238,MATCH(A89,Manual_Review!$A$6:$A$238,0))&gt;0,INDEX(Manual_Review!$I$6:$I$238,MATCH(A89,Manual_Review!$A$6:$A$238,0))="Confirmed",INDEX(Manual_Review!$AF$6:$AF$238,MATCH(A89,Manual_Review!$A$6:$A$238,0))&lt;&gt;""),INDEX(Manual_Review!$AG$6:$AG$238,MATCH(A89,Manual_Review!$A$6:$A$238,0))&lt;&gt;""),IF(OR(INDEX(Manual_Review!$AC$6:$AC$238,MATCH(A89,Manual_Review!$A$6:$A$238,0))="Fail",INDEX(Manual_Review!$AD$6:$AD$238,MATCH(A89,Manual_Review!$A$6:$A$238,0))="Fail"),"Fail: rights or retrieval",IF(AND(INDEX(Manual_Review!$AC$6:$AC$238,MATCH(A89,Manual_Review!$A$6:$A$238,0))="Pass",INDEX(Manual_Review!$AD$6:$AD$238,MATCH(A89,Manual_Review!$A$6:$A$238,0))="Pass"),"Pass","Pending rights and retrieval")),"Pending rights and retrieval")</f>
        <v>Pending rights and retrieval</v>
      </c>
      <c r="AX89" s="5" t="str">
        <f>IF(INDEX(Manual_Review!$AG$6:$AG$238,MATCH(A89,Manual_Review!$A$6:$A$238,0))="","N/A: documentation inventory",IF(AND(INDEX(Manual_Review!$G$6:$G$238,MATCH(A89,Manual_Review!$A$6:$A$238,0))&lt;&gt;"",ISNUMBER(INDEX(Manual_Review!$H$6:$H$238,MATCH(A89,Manual_Review!$A$6:$A$238,0))),INDEX(Manual_Review!$H$6:$H$238,MATCH(A89,Manual_Review!$A$6:$A$238,0))&gt;0,INDEX(Manual_Review!$I$6:$I$238,MATCH(A89,Manual_Review!$A$6:$A$238,0))="Confirmed",INDEX(Manual_Review!$AF$6:$AF$238,MATCH(A89,Manual_Review!$A$6:$A$238,0))&lt;&gt;""),IF(INDEX(Manual_Review!$AE$6:$AE$238,MATCH(A89,Manual_Review!$A$6:$A$238,0))="Pass","Pass",IF(INDEX(Manual_Review!$AE$6:$AE$238,MATCH(A89,Manual_Review!$A$6:$A$238,0))="Fail","Fail: benchmark leakage",IF(INDEX(Manual_Review!$AE$6:$AE$238,MATCH(A89,Manual_Review!$A$6:$A$238,0))="N/A","N/A: nonbenchmark task","Pending task-specific leakage check"))),"Pending task-specific leakage check"))</f>
        <v>N/A: documentation inventory</v>
      </c>
      <c r="AY89" s="5" t="str">
        <f>IF(IF(D89="Unlabeled-13",AND(ABS(MCDM_Settings!$D$14-1)&lt;0.0000001,MIN(MCDM_Settings!$E$6:$E$11)&gt;=0,MCDM_Settings!$E$7=0),AND(ABS(MCDM_Settings!$B$14-1)&lt;0.0000001,MIN(MCDM_Settings!$C$6:$C$11)&gt;=0)),"Valid","Check weights")</f>
        <v>Valid</v>
      </c>
      <c r="AZ89" s="5" t="str">
        <f>IF(AND(COUNTIF(MCDM_Checks!$B$6:$B$3733,A89)=16,COUNTIF(Manual_Review!$A$6:$A$238,A89)=1),"16 keys present","Check key count")</f>
        <v>16 keys present</v>
      </c>
    </row>
    <row r="90" spans="1:52">
      <c r="A90" s="5" t="s">
        <v>1033</v>
      </c>
      <c r="B90" s="5" t="s">
        <v>1034</v>
      </c>
      <c r="C90" s="5"/>
      <c r="D90" s="5" t="s">
        <v>118</v>
      </c>
      <c r="E90" s="12">
        <f>IF(OR(AY90&lt;&gt;"Valid",AZ90&lt;&gt;"16 keys present"),"Review settings",20*(IF(ISNUMBER(AC90),AC90*IF($D90="Unlabeled-13",MCDM_Settings!$E$6,MCDM_Settings!$C$6),0)+IF(ISNUMBER(AF90),AF90*IF($D90="Unlabeled-13",MCDM_Settings!$E$7,MCDM_Settings!$C$7),0)+IF(ISNUMBER(AI90),AI90*IF($D90="Unlabeled-13",MCDM_Settings!$E$8,MCDM_Settings!$C$8),0)+IF(ISNUMBER(AL90),AL90*IF($D90="Unlabeled-13",MCDM_Settings!$E$9,MCDM_Settings!$C$9),0)+IF(ISNUMBER(AO90),AO90*IF($D90="Unlabeled-13",MCDM_Settings!$E$10,MCDM_Settings!$C$10),0)+IF(ISNUMBER(AR90),AR90*IF($D90="Unlabeled-13",MCDM_Settings!$E$11,MCDM_Settings!$C$11),0)))</f>
        <v>69.444444444444429</v>
      </c>
      <c r="F90" s="12">
        <f>IF(OR(AY90&lt;&gt;"Valid",AZ90&lt;&gt;"16 keys present"),"Review settings",20*(IF(ISNUMBER(AD90),AD90*IF($D90="Unlabeled-13",MCDM_Settings!$E$6,MCDM_Settings!$C$6),0)+IF(ISNUMBER(AG90),AG90*IF($D90="Unlabeled-13",MCDM_Settings!$E$7,MCDM_Settings!$C$7),0)+IF(ISNUMBER(AJ90),AJ90*IF($D90="Unlabeled-13",MCDM_Settings!$E$8,MCDM_Settings!$C$8),0)+IF(ISNUMBER(AM90),AM90*IF($D90="Unlabeled-13",MCDM_Settings!$E$9,MCDM_Settings!$C$9),0)+IF(ISNUMBER(AP90),AP90*IF($D90="Unlabeled-13",MCDM_Settings!$E$10,MCDM_Settings!$C$10),0)+IF(ISNUMBER(AS90),AS90*IF($D90="Unlabeled-13",MCDM_Settings!$E$11,MCDM_Settings!$C$11),0)))</f>
        <v>99.999999999999986</v>
      </c>
      <c r="G90" s="13">
        <f>IF(OR(AY90&lt;&gt;"Valid",AZ90&lt;&gt;"16 keys present"),"Review settings",1*(IF(ISNUMBER(AE90),AE90*IF($D90="Unlabeled-13",MCDM_Settings!$E$6,MCDM_Settings!$C$6),0)+IF(ISNUMBER(AH90),AH90*IF($D90="Unlabeled-13",MCDM_Settings!$E$7,MCDM_Settings!$C$7),0)+IF(ISNUMBER(AK90),AK90*IF($D90="Unlabeled-13",MCDM_Settings!$E$8,MCDM_Settings!$C$8),0)+IF(ISNUMBER(AN90),AN90*IF($D90="Unlabeled-13",MCDM_Settings!$E$9,MCDM_Settings!$C$9),0)+IF(ISNUMBER(AQ90),AQ90*IF($D90="Unlabeled-13",MCDM_Settings!$E$10,MCDM_Settings!$C$10),0)+IF(ISNUMBER(AT90),AT90*IF($D90="Unlabeled-13",MCDM_Settings!$E$11,MCDM_Settings!$C$11),0)))</f>
        <v>0.69444444444444442</v>
      </c>
      <c r="H90" s="5" t="str">
        <f>INDEX(Manual_Review!$AH$6:$AH$238,MATCH(A90,Manual_Review!$A$6:$A$238,0))</f>
        <v>Not started</v>
      </c>
      <c r="I90" s="5" t="s">
        <v>128</v>
      </c>
      <c r="J90" s="5" t="s">
        <v>556</v>
      </c>
      <c r="K90" s="5" t="str">
        <f>HYPERLINK("https://data.mendeley.com/datasets/gd5t95rv5t/1","Dataset")</f>
        <v>Dataset</v>
      </c>
      <c r="L90" s="5" t="str">
        <f>HYPERLINK("#'Manual_Review'!A"&amp;(MATCH("DS-085",Manual_Review!$A$6:$A$238,0)+5),"Enter review")</f>
        <v>Enter review</v>
      </c>
      <c r="M90" s="5" t="str">
        <f>INDEX(MCDM_Checks!$K$6:$K$3733,MATCH(A90&amp;"|"&amp;M$5,MCDM_Checks!$A$6:$A$3733,0))</f>
        <v>Y</v>
      </c>
      <c r="N90" s="5" t="str">
        <f>INDEX(MCDM_Checks!$K$6:$K$3733,MATCH(A90&amp;"|"&amp;N$5,MCDM_Checks!$A$6:$A$3733,0))</f>
        <v>Y</v>
      </c>
      <c r="O90" s="5" t="str">
        <f>INDEX(MCDM_Checks!$K$6:$K$3733,MATCH(A90&amp;"|"&amp;O$5,MCDM_Checks!$A$6:$A$3733,0))</f>
        <v>Y</v>
      </c>
      <c r="P90" s="5" t="str">
        <f>INDEX(MCDM_Checks!$K$6:$K$3733,MATCH(A90&amp;"|"&amp;P$5,MCDM_Checks!$A$6:$A$3733,0))</f>
        <v>U</v>
      </c>
      <c r="Q90" s="5" t="str">
        <f>INDEX(MCDM_Checks!$K$6:$K$3733,MATCH(A90&amp;"|"&amp;Q$5,MCDM_Checks!$A$6:$A$3733,0))</f>
        <v>U</v>
      </c>
      <c r="R90" s="5" t="str">
        <f>INDEX(MCDM_Checks!$K$6:$K$3733,MATCH(A90&amp;"|"&amp;R$5,MCDM_Checks!$A$6:$A$3733,0))</f>
        <v>U</v>
      </c>
      <c r="S90" s="5" t="str">
        <f>INDEX(MCDM_Checks!$K$6:$K$3733,MATCH(A90&amp;"|"&amp;S$5,MCDM_Checks!$A$6:$A$3733,0))</f>
        <v>U</v>
      </c>
      <c r="T90" s="5" t="str">
        <f>INDEX(MCDM_Checks!$K$6:$K$3733,MATCH(A90&amp;"|"&amp;T$5,MCDM_Checks!$A$6:$A$3733,0))</f>
        <v>Y</v>
      </c>
      <c r="U90" s="5" t="str">
        <f>INDEX(MCDM_Checks!$K$6:$K$3733,MATCH(A90&amp;"|"&amp;U$5,MCDM_Checks!$A$6:$A$3733,0))</f>
        <v>Y</v>
      </c>
      <c r="V90" s="5" t="str">
        <f>INDEX(MCDM_Checks!$K$6:$K$3733,MATCH(A90&amp;"|"&amp;V$5,MCDM_Checks!$A$6:$A$3733,0))</f>
        <v>Y</v>
      </c>
      <c r="W90" s="5" t="str">
        <f>INDEX(MCDM_Checks!$K$6:$K$3733,MATCH(A90&amp;"|"&amp;W$5,MCDM_Checks!$A$6:$A$3733,0))</f>
        <v>U</v>
      </c>
      <c r="X90" s="5" t="str">
        <f>INDEX(MCDM_Checks!$K$6:$K$3733,MATCH(A90&amp;"|"&amp;X$5,MCDM_Checks!$A$6:$A$3733,0))</f>
        <v>Y</v>
      </c>
      <c r="Y90" s="5" t="str">
        <f>INDEX(MCDM_Checks!$K$6:$K$3733,MATCH(A90&amp;"|"&amp;Y$5,MCDM_Checks!$A$6:$A$3733,0))</f>
        <v>Y</v>
      </c>
      <c r="Z90" s="5" t="str">
        <f>INDEX(MCDM_Checks!$K$6:$K$3733,MATCH(A90&amp;"|"&amp;Z$5,MCDM_Checks!$A$6:$A$3733,0))</f>
        <v>Y</v>
      </c>
      <c r="AA90" s="5" t="str">
        <f>INDEX(MCDM_Checks!$K$6:$K$3733,MATCH(A90&amp;"|"&amp;AA$5,MCDM_Checks!$A$6:$A$3733,0))</f>
        <v>Y</v>
      </c>
      <c r="AB90" s="5" t="str">
        <f>INDEX(MCDM_Checks!$K$6:$K$3733,MATCH(A90&amp;"|"&amp;AB$5,MCDM_Checks!$A$6:$A$3733,0))</f>
        <v>Y</v>
      </c>
      <c r="AC90" s="12">
        <f>IF(IF($D90="Unlabeled-13",MCDM_Settings!$F$6,MCDM_Settings!$D$6)=0,"n.a.",5*COUNTIF(M90:O90,"Y")/IF($D90="Unlabeled-13",MCDM_Settings!$F$6,MCDM_Settings!$D$6))</f>
        <v>5</v>
      </c>
      <c r="AD90" s="12">
        <f>IF(IF($D90="Unlabeled-13",MCDM_Settings!$F$6,MCDM_Settings!$D$6)=0,"n.a.",5*(COUNTIF(M90:O90,"Y")+COUNTIF(M90:O90,"U")+COUNTIF(M90:O90,"X"))/IF($D90="Unlabeled-13",MCDM_Settings!$F$6,MCDM_Settings!$D$6))</f>
        <v>5</v>
      </c>
      <c r="AE90" s="13">
        <f>IF(IF($D90="Unlabeled-13",MCDM_Settings!$F$6,MCDM_Settings!$D$6)=0,"n.a.",(COUNTIF(M90:O90,"Y")+COUNTIF(M90:O90,"N"))/IF($D90="Unlabeled-13",MCDM_Settings!$F$6,MCDM_Settings!$D$6))</f>
        <v>1</v>
      </c>
      <c r="AF90" s="12">
        <f>IF(IF($D90="Unlabeled-13",MCDM_Settings!$F$7,MCDM_Settings!$D$7)=0,"n.a.",5*COUNTIF(P90:R90,"Y")/IF($D90="Unlabeled-13",MCDM_Settings!$F$7,MCDM_Settings!$D$7))</f>
        <v>0</v>
      </c>
      <c r="AG90" s="12">
        <f>IF(IF($D90="Unlabeled-13",MCDM_Settings!$F$7,MCDM_Settings!$D$7)=0,"n.a.",5*(COUNTIF(P90:R90,"Y")+COUNTIF(P90:R90,"U")+COUNTIF(P90:R90,"X"))/IF($D90="Unlabeled-13",MCDM_Settings!$F$7,MCDM_Settings!$D$7))</f>
        <v>5</v>
      </c>
      <c r="AH90" s="13">
        <f>IF(IF($D90="Unlabeled-13",MCDM_Settings!$F$7,MCDM_Settings!$D$7)=0,"n.a.",(COUNTIF(P90:R90,"Y")+COUNTIF(P90:R90,"N"))/IF($D90="Unlabeled-13",MCDM_Settings!$F$7,MCDM_Settings!$D$7))</f>
        <v>0</v>
      </c>
      <c r="AI90" s="12">
        <f>IF(IF($D90="Unlabeled-13",MCDM_Settings!$F$8,MCDM_Settings!$D$8)=0,"n.a.",5*COUNTIF(S90:U90,"Y")/IF($D90="Unlabeled-13",MCDM_Settings!$F$8,MCDM_Settings!$D$8))</f>
        <v>3.3333333333333335</v>
      </c>
      <c r="AJ90" s="12">
        <f>IF(IF($D90="Unlabeled-13",MCDM_Settings!$F$8,MCDM_Settings!$D$8)=0,"n.a.",5*(COUNTIF(S90:U90,"Y")+COUNTIF(S90:U90,"U")+COUNTIF(S90:U90,"X"))/IF($D90="Unlabeled-13",MCDM_Settings!$F$8,MCDM_Settings!$D$8))</f>
        <v>5</v>
      </c>
      <c r="AK90" s="13">
        <f>IF(IF($D90="Unlabeled-13",MCDM_Settings!$F$8,MCDM_Settings!$D$8)=0,"n.a.",(COUNTIF(S90:U90,"Y")+COUNTIF(S90:U90,"N"))/IF($D90="Unlabeled-13",MCDM_Settings!$F$8,MCDM_Settings!$D$8))</f>
        <v>0.66666666666666663</v>
      </c>
      <c r="AL90" s="12">
        <f>IF(IF($D90="Unlabeled-13",MCDM_Settings!$F$9,MCDM_Settings!$D$9)=0,"n.a.",5*COUNTIF(V90:W90,"Y")/IF($D90="Unlabeled-13",MCDM_Settings!$F$9,MCDM_Settings!$D$9))</f>
        <v>2.5</v>
      </c>
      <c r="AM90" s="12">
        <f>IF(IF($D90="Unlabeled-13",MCDM_Settings!$F$9,MCDM_Settings!$D$9)=0,"n.a.",5*(COUNTIF(V90:W90,"Y")+COUNTIF(V90:W90,"U")+COUNTIF(V90:W90,"X"))/IF($D90="Unlabeled-13",MCDM_Settings!$F$9,MCDM_Settings!$D$9))</f>
        <v>5</v>
      </c>
      <c r="AN90" s="13">
        <f>IF(IF($D90="Unlabeled-13",MCDM_Settings!$F$9,MCDM_Settings!$D$9)=0,"n.a.",(COUNTIF(V90:W90,"Y")+COUNTIF(V90:W90,"N"))/IF($D90="Unlabeled-13",MCDM_Settings!$F$9,MCDM_Settings!$D$9))</f>
        <v>0.5</v>
      </c>
      <c r="AO90" s="12">
        <f>IF(IF($D90="Unlabeled-13",MCDM_Settings!$F$10,MCDM_Settings!$D$10)=0,"n.a.",5*COUNTIF(X90:Y90,"Y")/IF($D90="Unlabeled-13",MCDM_Settings!$F$10,MCDM_Settings!$D$10))</f>
        <v>5</v>
      </c>
      <c r="AP90" s="12">
        <f>IF(IF($D90="Unlabeled-13",MCDM_Settings!$F$10,MCDM_Settings!$D$10)=0,"n.a.",5*(COUNTIF(X90:Y90,"Y")+COUNTIF(X90:Y90,"U")+COUNTIF(X90:Y90,"X"))/IF($D90="Unlabeled-13",MCDM_Settings!$F$10,MCDM_Settings!$D$10))</f>
        <v>5</v>
      </c>
      <c r="AQ90" s="13">
        <f>IF(IF($D90="Unlabeled-13",MCDM_Settings!$F$10,MCDM_Settings!$D$10)=0,"n.a.",(COUNTIF(X90:Y90,"Y")+COUNTIF(X90:Y90,"N"))/IF($D90="Unlabeled-13",MCDM_Settings!$F$10,MCDM_Settings!$D$10))</f>
        <v>1</v>
      </c>
      <c r="AR90" s="12">
        <f>IF(IF($D90="Unlabeled-13",MCDM_Settings!$F$11,MCDM_Settings!$D$11)=0,"n.a.",5*COUNTIF(Z90:AB90,"Y")/IF($D90="Unlabeled-13",MCDM_Settings!$F$11,MCDM_Settings!$D$11))</f>
        <v>5</v>
      </c>
      <c r="AS90" s="12">
        <f>IF(IF($D90="Unlabeled-13",MCDM_Settings!$F$11,MCDM_Settings!$D$11)=0,"n.a.",5*(COUNTIF(Z90:AB90,"Y")+COUNTIF(Z90:AB90,"U")+COUNTIF(Z90:AB90,"X"))/IF($D90="Unlabeled-13",MCDM_Settings!$F$11,MCDM_Settings!$D$11))</f>
        <v>5</v>
      </c>
      <c r="AT90" s="13">
        <f>IF(IF($D90="Unlabeled-13",MCDM_Settings!$F$11,MCDM_Settings!$D$11)=0,"n.a.",(COUNTIF(Z90:AB90,"Y")+COUNTIF(Z90:AB90,"N"))/IF($D90="Unlabeled-13",MCDM_Settings!$F$11,MCDM_Settings!$D$11))</f>
        <v>1</v>
      </c>
      <c r="AU90" s="5" t="str">
        <f>IF(AND(INDEX(Manual_Review!$G$6:$G$238,MATCH(A90,Manual_Review!$A$6:$A$238,0))&lt;&gt;"",ISNUMBER(INDEX(Manual_Review!$H$6:$H$238,MATCH(A90,Manual_Review!$A$6:$A$238,0))),INDEX(Manual_Review!$H$6:$H$238,MATCH(A90,Manual_Review!$A$6:$A$238,0))&gt;0,INDEX(Manual_Review!$I$6:$I$238,MATCH(A90,Manual_Review!$A$6:$A$238,0))="Confirmed",INDEX(Manual_Review!$AF$6:$AF$238,MATCH(A90,Manual_Review!$A$6:$A$238,0))&lt;&gt;""),IF(INDEX(Manual_Review!$AA$6:$AA$238,MATCH(A90,Manual_Review!$A$6:$A$238,0))="Pass","Pass",IF(INDEX(Manual_Review!$AA$6:$AA$238,MATCH(A90,Manual_Review!$A$6:$A$238,0))="Fail","Fail","Pending")),"Pending human identity confirmation")</f>
        <v>Pending human identity confirmation</v>
      </c>
      <c r="AV90" s="5" t="str">
        <f>IF(AND(AND(INDEX(Manual_Review!$G$6:$G$238,MATCH(A90,Manual_Review!$A$6:$A$238,0))&lt;&gt;"",ISNUMBER(INDEX(Manual_Review!$H$6:$H$238,MATCH(A90,Manual_Review!$A$6:$A$238,0))),INDEX(Manual_Review!$H$6:$H$238,MATCH(A90,Manual_Review!$A$6:$A$238,0))&gt;0,INDEX(Manual_Review!$I$6:$I$238,MATCH(A90,Manual_Review!$A$6:$A$238,0))="Confirmed",INDEX(Manual_Review!$AF$6:$AF$238,MATCH(A90,Manual_Review!$A$6:$A$238,0))&lt;&gt;""),INDEX(Manual_Review!$AG$6:$AG$238,MATCH(A90,Manual_Review!$A$6:$A$238,0))&lt;&gt;""),IF(INDEX(Manual_Review!$AB$6:$AB$238,MATCH(A90,Manual_Review!$A$6:$A$238,0))="Pass","Pass",IF(INDEX(Manual_Review!$AB$6:$AB$238,MATCH(A90,Manual_Review!$A$6:$A$238,0))="Fail","Fail","Pending")),"Not assessed: define intended task")</f>
        <v>Not assessed: define intended task</v>
      </c>
      <c r="AW90" s="5" t="str">
        <f>IF(AND(AND(INDEX(Manual_Review!$G$6:$G$238,MATCH(A90,Manual_Review!$A$6:$A$238,0))&lt;&gt;"",ISNUMBER(INDEX(Manual_Review!$H$6:$H$238,MATCH(A90,Manual_Review!$A$6:$A$238,0))),INDEX(Manual_Review!$H$6:$H$238,MATCH(A90,Manual_Review!$A$6:$A$238,0))&gt;0,INDEX(Manual_Review!$I$6:$I$238,MATCH(A90,Manual_Review!$A$6:$A$238,0))="Confirmed",INDEX(Manual_Review!$AF$6:$AF$238,MATCH(A90,Manual_Review!$A$6:$A$238,0))&lt;&gt;""),INDEX(Manual_Review!$AG$6:$AG$238,MATCH(A90,Manual_Review!$A$6:$A$238,0))&lt;&gt;""),IF(OR(INDEX(Manual_Review!$AC$6:$AC$238,MATCH(A90,Manual_Review!$A$6:$A$238,0))="Fail",INDEX(Manual_Review!$AD$6:$AD$238,MATCH(A90,Manual_Review!$A$6:$A$238,0))="Fail"),"Fail: rights or retrieval",IF(AND(INDEX(Manual_Review!$AC$6:$AC$238,MATCH(A90,Manual_Review!$A$6:$A$238,0))="Pass",INDEX(Manual_Review!$AD$6:$AD$238,MATCH(A90,Manual_Review!$A$6:$A$238,0))="Pass"),"Pass","Pending rights and retrieval")),"Pending rights and retrieval")</f>
        <v>Pending rights and retrieval</v>
      </c>
      <c r="AX90" s="5" t="str">
        <f>IF(INDEX(Manual_Review!$AG$6:$AG$238,MATCH(A90,Manual_Review!$A$6:$A$238,0))="","N/A: documentation inventory",IF(AND(INDEX(Manual_Review!$G$6:$G$238,MATCH(A90,Manual_Review!$A$6:$A$238,0))&lt;&gt;"",ISNUMBER(INDEX(Manual_Review!$H$6:$H$238,MATCH(A90,Manual_Review!$A$6:$A$238,0))),INDEX(Manual_Review!$H$6:$H$238,MATCH(A90,Manual_Review!$A$6:$A$238,0))&gt;0,INDEX(Manual_Review!$I$6:$I$238,MATCH(A90,Manual_Review!$A$6:$A$238,0))="Confirmed",INDEX(Manual_Review!$AF$6:$AF$238,MATCH(A90,Manual_Review!$A$6:$A$238,0))&lt;&gt;""),IF(INDEX(Manual_Review!$AE$6:$AE$238,MATCH(A90,Manual_Review!$A$6:$A$238,0))="Pass","Pass",IF(INDEX(Manual_Review!$AE$6:$AE$238,MATCH(A90,Manual_Review!$A$6:$A$238,0))="Fail","Fail: benchmark leakage",IF(INDEX(Manual_Review!$AE$6:$AE$238,MATCH(A90,Manual_Review!$A$6:$A$238,0))="N/A","N/A: nonbenchmark task","Pending task-specific leakage check"))),"Pending task-specific leakage check"))</f>
        <v>N/A: documentation inventory</v>
      </c>
      <c r="AY90" s="5" t="str">
        <f>IF(IF(D90="Unlabeled-13",AND(ABS(MCDM_Settings!$D$14-1)&lt;0.0000001,MIN(MCDM_Settings!$E$6:$E$11)&gt;=0,MCDM_Settings!$E$7=0),AND(ABS(MCDM_Settings!$B$14-1)&lt;0.0000001,MIN(MCDM_Settings!$C$6:$C$11)&gt;=0)),"Valid","Check weights")</f>
        <v>Valid</v>
      </c>
      <c r="AZ90" s="5" t="str">
        <f>IF(AND(COUNTIF(MCDM_Checks!$B$6:$B$3733,A90)=16,COUNTIF(Manual_Review!$A$6:$A$238,A90)=1),"16 keys present","Check key count")</f>
        <v>16 keys present</v>
      </c>
    </row>
    <row r="91" spans="1:52" ht="25.5">
      <c r="A91" s="5" t="s">
        <v>1043</v>
      </c>
      <c r="B91" s="5" t="s">
        <v>1044</v>
      </c>
      <c r="C91" s="5"/>
      <c r="D91" s="5" t="s">
        <v>118</v>
      </c>
      <c r="E91" s="12">
        <f>IF(OR(AY91&lt;&gt;"Valid",AZ91&lt;&gt;"16 keys present"),"Review settings",20*(IF(ISNUMBER(AC91),AC91*IF($D91="Unlabeled-13",MCDM_Settings!$E$6,MCDM_Settings!$C$6),0)+IF(ISNUMBER(AF91),AF91*IF($D91="Unlabeled-13",MCDM_Settings!$E$7,MCDM_Settings!$C$7),0)+IF(ISNUMBER(AI91),AI91*IF($D91="Unlabeled-13",MCDM_Settings!$E$8,MCDM_Settings!$C$8),0)+IF(ISNUMBER(AL91),AL91*IF($D91="Unlabeled-13",MCDM_Settings!$E$9,MCDM_Settings!$C$9),0)+IF(ISNUMBER(AO91),AO91*IF($D91="Unlabeled-13",MCDM_Settings!$E$10,MCDM_Settings!$C$10),0)+IF(ISNUMBER(AR91),AR91*IF($D91="Unlabeled-13",MCDM_Settings!$E$11,MCDM_Settings!$C$11),0)))</f>
        <v>69.444444444444443</v>
      </c>
      <c r="F91" s="12">
        <f>IF(OR(AY91&lt;&gt;"Valid",AZ91&lt;&gt;"16 keys present"),"Review settings",20*(IF(ISNUMBER(AD91),AD91*IF($D91="Unlabeled-13",MCDM_Settings!$E$6,MCDM_Settings!$C$6),0)+IF(ISNUMBER(AG91),AG91*IF($D91="Unlabeled-13",MCDM_Settings!$E$7,MCDM_Settings!$C$7),0)+IF(ISNUMBER(AJ91),AJ91*IF($D91="Unlabeled-13",MCDM_Settings!$E$8,MCDM_Settings!$C$8),0)+IF(ISNUMBER(AM91),AM91*IF($D91="Unlabeled-13",MCDM_Settings!$E$9,MCDM_Settings!$C$9),0)+IF(ISNUMBER(AP91),AP91*IF($D91="Unlabeled-13",MCDM_Settings!$E$10,MCDM_Settings!$C$10),0)+IF(ISNUMBER(AS91),AS91*IF($D91="Unlabeled-13",MCDM_Settings!$E$11,MCDM_Settings!$C$11),0)))</f>
        <v>99.999999999999986</v>
      </c>
      <c r="G91" s="13">
        <f>IF(OR(AY91&lt;&gt;"Valid",AZ91&lt;&gt;"16 keys present"),"Review settings",1*(IF(ISNUMBER(AE91),AE91*IF($D91="Unlabeled-13",MCDM_Settings!$E$6,MCDM_Settings!$C$6),0)+IF(ISNUMBER(AH91),AH91*IF($D91="Unlabeled-13",MCDM_Settings!$E$7,MCDM_Settings!$C$7),0)+IF(ISNUMBER(AK91),AK91*IF($D91="Unlabeled-13",MCDM_Settings!$E$8,MCDM_Settings!$C$8),0)+IF(ISNUMBER(AN91),AN91*IF($D91="Unlabeled-13",MCDM_Settings!$E$9,MCDM_Settings!$C$9),0)+IF(ISNUMBER(AQ91),AQ91*IF($D91="Unlabeled-13",MCDM_Settings!$E$10,MCDM_Settings!$C$10),0)+IF(ISNUMBER(AT91),AT91*IF($D91="Unlabeled-13",MCDM_Settings!$E$11,MCDM_Settings!$C$11),0)))</f>
        <v>0.69444444444444442</v>
      </c>
      <c r="H91" s="5" t="str">
        <f>INDEX(Manual_Review!$AH$6:$AH$238,MATCH(A91,Manual_Review!$A$6:$A$238,0))</f>
        <v>Not started</v>
      </c>
      <c r="I91" s="5" t="s">
        <v>128</v>
      </c>
      <c r="J91" s="5" t="s">
        <v>556</v>
      </c>
      <c r="K91" s="5" t="str">
        <f>HYPERLINK("https://data.mendeley.com/datasets/c6f2b7mx9t/1","Dataset")</f>
        <v>Dataset</v>
      </c>
      <c r="L91" s="5" t="str">
        <f>HYPERLINK("#'Manual_Review'!A"&amp;(MATCH("DS-086",Manual_Review!$A$6:$A$238,0)+5),"Enter review")</f>
        <v>Enter review</v>
      </c>
      <c r="M91" s="5" t="str">
        <f>INDEX(MCDM_Checks!$K$6:$K$3733,MATCH(A91&amp;"|"&amp;M$5,MCDM_Checks!$A$6:$A$3733,0))</f>
        <v>Y</v>
      </c>
      <c r="N91" s="5" t="str">
        <f>INDEX(MCDM_Checks!$K$6:$K$3733,MATCH(A91&amp;"|"&amp;N$5,MCDM_Checks!$A$6:$A$3733,0))</f>
        <v>Y</v>
      </c>
      <c r="O91" s="5" t="str">
        <f>INDEX(MCDM_Checks!$K$6:$K$3733,MATCH(A91&amp;"|"&amp;O$5,MCDM_Checks!$A$6:$A$3733,0))</f>
        <v>Y</v>
      </c>
      <c r="P91" s="5" t="str">
        <f>INDEX(MCDM_Checks!$K$6:$K$3733,MATCH(A91&amp;"|"&amp;P$5,MCDM_Checks!$A$6:$A$3733,0))</f>
        <v>Y</v>
      </c>
      <c r="Q91" s="5" t="str">
        <f>INDEX(MCDM_Checks!$K$6:$K$3733,MATCH(A91&amp;"|"&amp;Q$5,MCDM_Checks!$A$6:$A$3733,0))</f>
        <v>Y</v>
      </c>
      <c r="R91" s="5" t="str">
        <f>INDEX(MCDM_Checks!$K$6:$K$3733,MATCH(A91&amp;"|"&amp;R$5,MCDM_Checks!$A$6:$A$3733,0))</f>
        <v>U</v>
      </c>
      <c r="S91" s="5" t="str">
        <f>INDEX(MCDM_Checks!$K$6:$K$3733,MATCH(A91&amp;"|"&amp;S$5,MCDM_Checks!$A$6:$A$3733,0))</f>
        <v>U</v>
      </c>
      <c r="T91" s="5" t="str">
        <f>INDEX(MCDM_Checks!$K$6:$K$3733,MATCH(A91&amp;"|"&amp;T$5,MCDM_Checks!$A$6:$A$3733,0))</f>
        <v>Y</v>
      </c>
      <c r="U91" s="5" t="str">
        <f>INDEX(MCDM_Checks!$K$6:$K$3733,MATCH(A91&amp;"|"&amp;U$5,MCDM_Checks!$A$6:$A$3733,0))</f>
        <v>U</v>
      </c>
      <c r="V91" s="5" t="str">
        <f>INDEX(MCDM_Checks!$K$6:$K$3733,MATCH(A91&amp;"|"&amp;V$5,MCDM_Checks!$A$6:$A$3733,0))</f>
        <v>Y</v>
      </c>
      <c r="W91" s="5" t="str">
        <f>INDEX(MCDM_Checks!$K$6:$K$3733,MATCH(A91&amp;"|"&amp;W$5,MCDM_Checks!$A$6:$A$3733,0))</f>
        <v>Y</v>
      </c>
      <c r="X91" s="5" t="str">
        <f>INDEX(MCDM_Checks!$K$6:$K$3733,MATCH(A91&amp;"|"&amp;X$5,MCDM_Checks!$A$6:$A$3733,0))</f>
        <v>U</v>
      </c>
      <c r="Y91" s="5" t="str">
        <f>INDEX(MCDM_Checks!$K$6:$K$3733,MATCH(A91&amp;"|"&amp;Y$5,MCDM_Checks!$A$6:$A$3733,0))</f>
        <v>Y</v>
      </c>
      <c r="Z91" s="5" t="str">
        <f>INDEX(MCDM_Checks!$K$6:$K$3733,MATCH(A91&amp;"|"&amp;Z$5,MCDM_Checks!$A$6:$A$3733,0))</f>
        <v>Y</v>
      </c>
      <c r="AA91" s="5" t="str">
        <f>INDEX(MCDM_Checks!$K$6:$K$3733,MATCH(A91&amp;"|"&amp;AA$5,MCDM_Checks!$A$6:$A$3733,0))</f>
        <v>Y</v>
      </c>
      <c r="AB91" s="5" t="str">
        <f>INDEX(MCDM_Checks!$K$6:$K$3733,MATCH(A91&amp;"|"&amp;AB$5,MCDM_Checks!$A$6:$A$3733,0))</f>
        <v>U</v>
      </c>
      <c r="AC91" s="12">
        <f>IF(IF($D91="Unlabeled-13",MCDM_Settings!$F$6,MCDM_Settings!$D$6)=0,"n.a.",5*COUNTIF(M91:O91,"Y")/IF($D91="Unlabeled-13",MCDM_Settings!$F$6,MCDM_Settings!$D$6))</f>
        <v>5</v>
      </c>
      <c r="AD91" s="12">
        <f>IF(IF($D91="Unlabeled-13",MCDM_Settings!$F$6,MCDM_Settings!$D$6)=0,"n.a.",5*(COUNTIF(M91:O91,"Y")+COUNTIF(M91:O91,"U")+COUNTIF(M91:O91,"X"))/IF($D91="Unlabeled-13",MCDM_Settings!$F$6,MCDM_Settings!$D$6))</f>
        <v>5</v>
      </c>
      <c r="AE91" s="13">
        <f>IF(IF($D91="Unlabeled-13",MCDM_Settings!$F$6,MCDM_Settings!$D$6)=0,"n.a.",(COUNTIF(M91:O91,"Y")+COUNTIF(M91:O91,"N"))/IF($D91="Unlabeled-13",MCDM_Settings!$F$6,MCDM_Settings!$D$6))</f>
        <v>1</v>
      </c>
      <c r="AF91" s="12">
        <f>IF(IF($D91="Unlabeled-13",MCDM_Settings!$F$7,MCDM_Settings!$D$7)=0,"n.a.",5*COUNTIF(P91:R91,"Y")/IF($D91="Unlabeled-13",MCDM_Settings!$F$7,MCDM_Settings!$D$7))</f>
        <v>3.3333333333333335</v>
      </c>
      <c r="AG91" s="12">
        <f>IF(IF($D91="Unlabeled-13",MCDM_Settings!$F$7,MCDM_Settings!$D$7)=0,"n.a.",5*(COUNTIF(P91:R91,"Y")+COUNTIF(P91:R91,"U")+COUNTIF(P91:R91,"X"))/IF($D91="Unlabeled-13",MCDM_Settings!$F$7,MCDM_Settings!$D$7))</f>
        <v>5</v>
      </c>
      <c r="AH91" s="13">
        <f>IF(IF($D91="Unlabeled-13",MCDM_Settings!$F$7,MCDM_Settings!$D$7)=0,"n.a.",(COUNTIF(P91:R91,"Y")+COUNTIF(P91:R91,"N"))/IF($D91="Unlabeled-13",MCDM_Settings!$F$7,MCDM_Settings!$D$7))</f>
        <v>0.66666666666666663</v>
      </c>
      <c r="AI91" s="12">
        <f>IF(IF($D91="Unlabeled-13",MCDM_Settings!$F$8,MCDM_Settings!$D$8)=0,"n.a.",5*COUNTIF(S91:U91,"Y")/IF($D91="Unlabeled-13",MCDM_Settings!$F$8,MCDM_Settings!$D$8))</f>
        <v>1.6666666666666667</v>
      </c>
      <c r="AJ91" s="12">
        <f>IF(IF($D91="Unlabeled-13",MCDM_Settings!$F$8,MCDM_Settings!$D$8)=0,"n.a.",5*(COUNTIF(S91:U91,"Y")+COUNTIF(S91:U91,"U")+COUNTIF(S91:U91,"X"))/IF($D91="Unlabeled-13",MCDM_Settings!$F$8,MCDM_Settings!$D$8))</f>
        <v>5</v>
      </c>
      <c r="AK91" s="13">
        <f>IF(IF($D91="Unlabeled-13",MCDM_Settings!$F$8,MCDM_Settings!$D$8)=0,"n.a.",(COUNTIF(S91:U91,"Y")+COUNTIF(S91:U91,"N"))/IF($D91="Unlabeled-13",MCDM_Settings!$F$8,MCDM_Settings!$D$8))</f>
        <v>0.33333333333333331</v>
      </c>
      <c r="AL91" s="12">
        <f>IF(IF($D91="Unlabeled-13",MCDM_Settings!$F$9,MCDM_Settings!$D$9)=0,"n.a.",5*COUNTIF(V91:W91,"Y")/IF($D91="Unlabeled-13",MCDM_Settings!$F$9,MCDM_Settings!$D$9))</f>
        <v>5</v>
      </c>
      <c r="AM91" s="12">
        <f>IF(IF($D91="Unlabeled-13",MCDM_Settings!$F$9,MCDM_Settings!$D$9)=0,"n.a.",5*(COUNTIF(V91:W91,"Y")+COUNTIF(V91:W91,"U")+COUNTIF(V91:W91,"X"))/IF($D91="Unlabeled-13",MCDM_Settings!$F$9,MCDM_Settings!$D$9))</f>
        <v>5</v>
      </c>
      <c r="AN91" s="13">
        <f>IF(IF($D91="Unlabeled-13",MCDM_Settings!$F$9,MCDM_Settings!$D$9)=0,"n.a.",(COUNTIF(V91:W91,"Y")+COUNTIF(V91:W91,"N"))/IF($D91="Unlabeled-13",MCDM_Settings!$F$9,MCDM_Settings!$D$9))</f>
        <v>1</v>
      </c>
      <c r="AO91" s="12">
        <f>IF(IF($D91="Unlabeled-13",MCDM_Settings!$F$10,MCDM_Settings!$D$10)=0,"n.a.",5*COUNTIF(X91:Y91,"Y")/IF($D91="Unlabeled-13",MCDM_Settings!$F$10,MCDM_Settings!$D$10))</f>
        <v>2.5</v>
      </c>
      <c r="AP91" s="12">
        <f>IF(IF($D91="Unlabeled-13",MCDM_Settings!$F$10,MCDM_Settings!$D$10)=0,"n.a.",5*(COUNTIF(X91:Y91,"Y")+COUNTIF(X91:Y91,"U")+COUNTIF(X91:Y91,"X"))/IF($D91="Unlabeled-13",MCDM_Settings!$F$10,MCDM_Settings!$D$10))</f>
        <v>5</v>
      </c>
      <c r="AQ91" s="13">
        <f>IF(IF($D91="Unlabeled-13",MCDM_Settings!$F$10,MCDM_Settings!$D$10)=0,"n.a.",(COUNTIF(X91:Y91,"Y")+COUNTIF(X91:Y91,"N"))/IF($D91="Unlabeled-13",MCDM_Settings!$F$10,MCDM_Settings!$D$10))</f>
        <v>0.5</v>
      </c>
      <c r="AR91" s="12">
        <f>IF(IF($D91="Unlabeled-13",MCDM_Settings!$F$11,MCDM_Settings!$D$11)=0,"n.a.",5*COUNTIF(Z91:AB91,"Y")/IF($D91="Unlabeled-13",MCDM_Settings!$F$11,MCDM_Settings!$D$11))</f>
        <v>3.3333333333333335</v>
      </c>
      <c r="AS91" s="12">
        <f>IF(IF($D91="Unlabeled-13",MCDM_Settings!$F$11,MCDM_Settings!$D$11)=0,"n.a.",5*(COUNTIF(Z91:AB91,"Y")+COUNTIF(Z91:AB91,"U")+COUNTIF(Z91:AB91,"X"))/IF($D91="Unlabeled-13",MCDM_Settings!$F$11,MCDM_Settings!$D$11))</f>
        <v>5</v>
      </c>
      <c r="AT91" s="13">
        <f>IF(IF($D91="Unlabeled-13",MCDM_Settings!$F$11,MCDM_Settings!$D$11)=0,"n.a.",(COUNTIF(Z91:AB91,"Y")+COUNTIF(Z91:AB91,"N"))/IF($D91="Unlabeled-13",MCDM_Settings!$F$11,MCDM_Settings!$D$11))</f>
        <v>0.66666666666666663</v>
      </c>
      <c r="AU91" s="5" t="str">
        <f>IF(AND(INDEX(Manual_Review!$G$6:$G$238,MATCH(A91,Manual_Review!$A$6:$A$238,0))&lt;&gt;"",ISNUMBER(INDEX(Manual_Review!$H$6:$H$238,MATCH(A91,Manual_Review!$A$6:$A$238,0))),INDEX(Manual_Review!$H$6:$H$238,MATCH(A91,Manual_Review!$A$6:$A$238,0))&gt;0,INDEX(Manual_Review!$I$6:$I$238,MATCH(A91,Manual_Review!$A$6:$A$238,0))="Confirmed",INDEX(Manual_Review!$AF$6:$AF$238,MATCH(A91,Manual_Review!$A$6:$A$238,0))&lt;&gt;""),IF(INDEX(Manual_Review!$AA$6:$AA$238,MATCH(A91,Manual_Review!$A$6:$A$238,0))="Pass","Pass",IF(INDEX(Manual_Review!$AA$6:$AA$238,MATCH(A91,Manual_Review!$A$6:$A$238,0))="Fail","Fail","Pending")),"Pending human identity confirmation")</f>
        <v>Pending human identity confirmation</v>
      </c>
      <c r="AV91" s="5" t="str">
        <f>IF(AND(AND(INDEX(Manual_Review!$G$6:$G$238,MATCH(A91,Manual_Review!$A$6:$A$238,0))&lt;&gt;"",ISNUMBER(INDEX(Manual_Review!$H$6:$H$238,MATCH(A91,Manual_Review!$A$6:$A$238,0))),INDEX(Manual_Review!$H$6:$H$238,MATCH(A91,Manual_Review!$A$6:$A$238,0))&gt;0,INDEX(Manual_Review!$I$6:$I$238,MATCH(A91,Manual_Review!$A$6:$A$238,0))="Confirmed",INDEX(Manual_Review!$AF$6:$AF$238,MATCH(A91,Manual_Review!$A$6:$A$238,0))&lt;&gt;""),INDEX(Manual_Review!$AG$6:$AG$238,MATCH(A91,Manual_Review!$A$6:$A$238,0))&lt;&gt;""),IF(INDEX(Manual_Review!$AB$6:$AB$238,MATCH(A91,Manual_Review!$A$6:$A$238,0))="Pass","Pass",IF(INDEX(Manual_Review!$AB$6:$AB$238,MATCH(A91,Manual_Review!$A$6:$A$238,0))="Fail","Fail","Pending")),"Not assessed: define intended task")</f>
        <v>Not assessed: define intended task</v>
      </c>
      <c r="AW91" s="5" t="str">
        <f>IF(AND(AND(INDEX(Manual_Review!$G$6:$G$238,MATCH(A91,Manual_Review!$A$6:$A$238,0))&lt;&gt;"",ISNUMBER(INDEX(Manual_Review!$H$6:$H$238,MATCH(A91,Manual_Review!$A$6:$A$238,0))),INDEX(Manual_Review!$H$6:$H$238,MATCH(A91,Manual_Review!$A$6:$A$238,0))&gt;0,INDEX(Manual_Review!$I$6:$I$238,MATCH(A91,Manual_Review!$A$6:$A$238,0))="Confirmed",INDEX(Manual_Review!$AF$6:$AF$238,MATCH(A91,Manual_Review!$A$6:$A$238,0))&lt;&gt;""),INDEX(Manual_Review!$AG$6:$AG$238,MATCH(A91,Manual_Review!$A$6:$A$238,0))&lt;&gt;""),IF(OR(INDEX(Manual_Review!$AC$6:$AC$238,MATCH(A91,Manual_Review!$A$6:$A$238,0))="Fail",INDEX(Manual_Review!$AD$6:$AD$238,MATCH(A91,Manual_Review!$A$6:$A$238,0))="Fail"),"Fail: rights or retrieval",IF(AND(INDEX(Manual_Review!$AC$6:$AC$238,MATCH(A91,Manual_Review!$A$6:$A$238,0))="Pass",INDEX(Manual_Review!$AD$6:$AD$238,MATCH(A91,Manual_Review!$A$6:$A$238,0))="Pass"),"Pass","Pending rights and retrieval")),"Pending rights and retrieval")</f>
        <v>Pending rights and retrieval</v>
      </c>
      <c r="AX91" s="5" t="str">
        <f>IF(INDEX(Manual_Review!$AG$6:$AG$238,MATCH(A91,Manual_Review!$A$6:$A$238,0))="","N/A: documentation inventory",IF(AND(INDEX(Manual_Review!$G$6:$G$238,MATCH(A91,Manual_Review!$A$6:$A$238,0))&lt;&gt;"",ISNUMBER(INDEX(Manual_Review!$H$6:$H$238,MATCH(A91,Manual_Review!$A$6:$A$238,0))),INDEX(Manual_Review!$H$6:$H$238,MATCH(A91,Manual_Review!$A$6:$A$238,0))&gt;0,INDEX(Manual_Review!$I$6:$I$238,MATCH(A91,Manual_Review!$A$6:$A$238,0))="Confirmed",INDEX(Manual_Review!$AF$6:$AF$238,MATCH(A91,Manual_Review!$A$6:$A$238,0))&lt;&gt;""),IF(INDEX(Manual_Review!$AE$6:$AE$238,MATCH(A91,Manual_Review!$A$6:$A$238,0))="Pass","Pass",IF(INDEX(Manual_Review!$AE$6:$AE$238,MATCH(A91,Manual_Review!$A$6:$A$238,0))="Fail","Fail: benchmark leakage",IF(INDEX(Manual_Review!$AE$6:$AE$238,MATCH(A91,Manual_Review!$A$6:$A$238,0))="N/A","N/A: nonbenchmark task","Pending task-specific leakage check"))),"Pending task-specific leakage check"))</f>
        <v>N/A: documentation inventory</v>
      </c>
      <c r="AY91" s="5" t="str">
        <f>IF(IF(D91="Unlabeled-13",AND(ABS(MCDM_Settings!$D$14-1)&lt;0.0000001,MIN(MCDM_Settings!$E$6:$E$11)&gt;=0,MCDM_Settings!$E$7=0),AND(ABS(MCDM_Settings!$B$14-1)&lt;0.0000001,MIN(MCDM_Settings!$C$6:$C$11)&gt;=0)),"Valid","Check weights")</f>
        <v>Valid</v>
      </c>
      <c r="AZ91" s="5" t="str">
        <f>IF(AND(COUNTIF(MCDM_Checks!$B$6:$B$3733,A91)=16,COUNTIF(Manual_Review!$A$6:$A$238,A91)=1),"16 keys present","Check key count")</f>
        <v>16 keys present</v>
      </c>
    </row>
    <row r="92" spans="1:52">
      <c r="A92" s="5" t="s">
        <v>1053</v>
      </c>
      <c r="B92" s="5" t="s">
        <v>1054</v>
      </c>
      <c r="C92" s="5"/>
      <c r="D92" s="5" t="s">
        <v>118</v>
      </c>
      <c r="E92" s="12">
        <f>IF(OR(AY92&lt;&gt;"Valid",AZ92&lt;&gt;"16 keys present"),"Review settings",20*(IF(ISNUMBER(AC92),AC92*IF($D92="Unlabeled-13",MCDM_Settings!$E$6,MCDM_Settings!$C$6),0)+IF(ISNUMBER(AF92),AF92*IF($D92="Unlabeled-13",MCDM_Settings!$E$7,MCDM_Settings!$C$7),0)+IF(ISNUMBER(AI92),AI92*IF($D92="Unlabeled-13",MCDM_Settings!$E$8,MCDM_Settings!$C$8),0)+IF(ISNUMBER(AL92),AL92*IF($D92="Unlabeled-13",MCDM_Settings!$E$9,MCDM_Settings!$C$9),0)+IF(ISNUMBER(AO92),AO92*IF($D92="Unlabeled-13",MCDM_Settings!$E$10,MCDM_Settings!$C$10),0)+IF(ISNUMBER(AR92),AR92*IF($D92="Unlabeled-13",MCDM_Settings!$E$11,MCDM_Settings!$C$11),0)))</f>
        <v>77.777777777777771</v>
      </c>
      <c r="F92" s="12">
        <f>IF(OR(AY92&lt;&gt;"Valid",AZ92&lt;&gt;"16 keys present"),"Review settings",20*(IF(ISNUMBER(AD92),AD92*IF($D92="Unlabeled-13",MCDM_Settings!$E$6,MCDM_Settings!$C$6),0)+IF(ISNUMBER(AG92),AG92*IF($D92="Unlabeled-13",MCDM_Settings!$E$7,MCDM_Settings!$C$7),0)+IF(ISNUMBER(AJ92),AJ92*IF($D92="Unlabeled-13",MCDM_Settings!$E$8,MCDM_Settings!$C$8),0)+IF(ISNUMBER(AM92),AM92*IF($D92="Unlabeled-13",MCDM_Settings!$E$9,MCDM_Settings!$C$9),0)+IF(ISNUMBER(AP92),AP92*IF($D92="Unlabeled-13",MCDM_Settings!$E$10,MCDM_Settings!$C$10),0)+IF(ISNUMBER(AS92),AS92*IF($D92="Unlabeled-13",MCDM_Settings!$E$11,MCDM_Settings!$C$11),0)))</f>
        <v>94.444444444444429</v>
      </c>
      <c r="G92" s="13">
        <f>IF(OR(AY92&lt;&gt;"Valid",AZ92&lt;&gt;"16 keys present"),"Review settings",1*(IF(ISNUMBER(AE92),AE92*IF($D92="Unlabeled-13",MCDM_Settings!$E$6,MCDM_Settings!$C$6),0)+IF(ISNUMBER(AH92),AH92*IF($D92="Unlabeled-13",MCDM_Settings!$E$7,MCDM_Settings!$C$7),0)+IF(ISNUMBER(AK92),AK92*IF($D92="Unlabeled-13",MCDM_Settings!$E$8,MCDM_Settings!$C$8),0)+IF(ISNUMBER(AN92),AN92*IF($D92="Unlabeled-13",MCDM_Settings!$E$9,MCDM_Settings!$C$9),0)+IF(ISNUMBER(AQ92),AQ92*IF($D92="Unlabeled-13",MCDM_Settings!$E$10,MCDM_Settings!$C$10),0)+IF(ISNUMBER(AT92),AT92*IF($D92="Unlabeled-13",MCDM_Settings!$E$11,MCDM_Settings!$C$11),0)))</f>
        <v>0.83333333333333326</v>
      </c>
      <c r="H92" s="5" t="str">
        <f>INDEX(Manual_Review!$AH$6:$AH$238,MATCH(A92,Manual_Review!$A$6:$A$238,0))</f>
        <v>Not started</v>
      </c>
      <c r="I92" s="5" t="s">
        <v>128</v>
      </c>
      <c r="J92" s="5" t="s">
        <v>1055</v>
      </c>
      <c r="K92" s="5" t="str">
        <f>HYPERLINK("https://huggingface.co/datasets/lambert1862/BLACrack","Dataset")</f>
        <v>Dataset</v>
      </c>
      <c r="L92" s="5" t="str">
        <f>HYPERLINK("#'Manual_Review'!A"&amp;(MATCH("DS-087",Manual_Review!$A$6:$A$238,0)+5),"Enter review")</f>
        <v>Enter review</v>
      </c>
      <c r="M92" s="5" t="str">
        <f>INDEX(MCDM_Checks!$K$6:$K$3733,MATCH(A92&amp;"|"&amp;M$5,MCDM_Checks!$A$6:$A$3733,0))</f>
        <v>Y</v>
      </c>
      <c r="N92" s="5" t="str">
        <f>INDEX(MCDM_Checks!$K$6:$K$3733,MATCH(A92&amp;"|"&amp;N$5,MCDM_Checks!$A$6:$A$3733,0))</f>
        <v>N</v>
      </c>
      <c r="O92" s="5" t="str">
        <f>INDEX(MCDM_Checks!$K$6:$K$3733,MATCH(A92&amp;"|"&amp;O$5,MCDM_Checks!$A$6:$A$3733,0))</f>
        <v>U</v>
      </c>
      <c r="P92" s="5" t="str">
        <f>INDEX(MCDM_Checks!$K$6:$K$3733,MATCH(A92&amp;"|"&amp;P$5,MCDM_Checks!$A$6:$A$3733,0))</f>
        <v>Y</v>
      </c>
      <c r="Q92" s="5" t="str">
        <f>INDEX(MCDM_Checks!$K$6:$K$3733,MATCH(A92&amp;"|"&amp;Q$5,MCDM_Checks!$A$6:$A$3733,0))</f>
        <v>Y</v>
      </c>
      <c r="R92" s="5" t="str">
        <f>INDEX(MCDM_Checks!$K$6:$K$3733,MATCH(A92&amp;"|"&amp;R$5,MCDM_Checks!$A$6:$A$3733,0))</f>
        <v>Y</v>
      </c>
      <c r="S92" s="5" t="str">
        <f>INDEX(MCDM_Checks!$K$6:$K$3733,MATCH(A92&amp;"|"&amp;S$5,MCDM_Checks!$A$6:$A$3733,0))</f>
        <v>U</v>
      </c>
      <c r="T92" s="5" t="str">
        <f>INDEX(MCDM_Checks!$K$6:$K$3733,MATCH(A92&amp;"|"&amp;T$5,MCDM_Checks!$A$6:$A$3733,0))</f>
        <v>Y</v>
      </c>
      <c r="U92" s="5" t="str">
        <f>INDEX(MCDM_Checks!$K$6:$K$3733,MATCH(A92&amp;"|"&amp;U$5,MCDM_Checks!$A$6:$A$3733,0))</f>
        <v>Y</v>
      </c>
      <c r="V92" s="5" t="str">
        <f>INDEX(MCDM_Checks!$K$6:$K$3733,MATCH(A92&amp;"|"&amp;V$5,MCDM_Checks!$A$6:$A$3733,0))</f>
        <v>Y</v>
      </c>
      <c r="W92" s="5" t="str">
        <f>INDEX(MCDM_Checks!$K$6:$K$3733,MATCH(A92&amp;"|"&amp;W$5,MCDM_Checks!$A$6:$A$3733,0))</f>
        <v>Y</v>
      </c>
      <c r="X92" s="5" t="str">
        <f>INDEX(MCDM_Checks!$K$6:$K$3733,MATCH(A92&amp;"|"&amp;X$5,MCDM_Checks!$A$6:$A$3733,0))</f>
        <v>Y</v>
      </c>
      <c r="Y92" s="5" t="str">
        <f>INDEX(MCDM_Checks!$K$6:$K$3733,MATCH(A92&amp;"|"&amp;Y$5,MCDM_Checks!$A$6:$A$3733,0))</f>
        <v>Y</v>
      </c>
      <c r="Z92" s="5" t="str">
        <f>INDEX(MCDM_Checks!$K$6:$K$3733,MATCH(A92&amp;"|"&amp;Z$5,MCDM_Checks!$A$6:$A$3733,0))</f>
        <v>Y</v>
      </c>
      <c r="AA92" s="5" t="str">
        <f>INDEX(MCDM_Checks!$K$6:$K$3733,MATCH(A92&amp;"|"&amp;AA$5,MCDM_Checks!$A$6:$A$3733,0))</f>
        <v>Y</v>
      </c>
      <c r="AB92" s="5" t="str">
        <f>INDEX(MCDM_Checks!$K$6:$K$3733,MATCH(A92&amp;"|"&amp;AB$5,MCDM_Checks!$A$6:$A$3733,0))</f>
        <v>U</v>
      </c>
      <c r="AC92" s="12">
        <f>IF(IF($D92="Unlabeled-13",MCDM_Settings!$F$6,MCDM_Settings!$D$6)=0,"n.a.",5*COUNTIF(M92:O92,"Y")/IF($D92="Unlabeled-13",MCDM_Settings!$F$6,MCDM_Settings!$D$6))</f>
        <v>1.6666666666666667</v>
      </c>
      <c r="AD92" s="12">
        <f>IF(IF($D92="Unlabeled-13",MCDM_Settings!$F$6,MCDM_Settings!$D$6)=0,"n.a.",5*(COUNTIF(M92:O92,"Y")+COUNTIF(M92:O92,"U")+COUNTIF(M92:O92,"X"))/IF($D92="Unlabeled-13",MCDM_Settings!$F$6,MCDM_Settings!$D$6))</f>
        <v>3.3333333333333335</v>
      </c>
      <c r="AE92" s="13">
        <f>IF(IF($D92="Unlabeled-13",MCDM_Settings!$F$6,MCDM_Settings!$D$6)=0,"n.a.",(COUNTIF(M92:O92,"Y")+COUNTIF(M92:O92,"N"))/IF($D92="Unlabeled-13",MCDM_Settings!$F$6,MCDM_Settings!$D$6))</f>
        <v>0.66666666666666663</v>
      </c>
      <c r="AF92" s="12">
        <f>IF(IF($D92="Unlabeled-13",MCDM_Settings!$F$7,MCDM_Settings!$D$7)=0,"n.a.",5*COUNTIF(P92:R92,"Y")/IF($D92="Unlabeled-13",MCDM_Settings!$F$7,MCDM_Settings!$D$7))</f>
        <v>5</v>
      </c>
      <c r="AG92" s="12">
        <f>IF(IF($D92="Unlabeled-13",MCDM_Settings!$F$7,MCDM_Settings!$D$7)=0,"n.a.",5*(COUNTIF(P92:R92,"Y")+COUNTIF(P92:R92,"U")+COUNTIF(P92:R92,"X"))/IF($D92="Unlabeled-13",MCDM_Settings!$F$7,MCDM_Settings!$D$7))</f>
        <v>5</v>
      </c>
      <c r="AH92" s="13">
        <f>IF(IF($D92="Unlabeled-13",MCDM_Settings!$F$7,MCDM_Settings!$D$7)=0,"n.a.",(COUNTIF(P92:R92,"Y")+COUNTIF(P92:R92,"N"))/IF($D92="Unlabeled-13",MCDM_Settings!$F$7,MCDM_Settings!$D$7))</f>
        <v>1</v>
      </c>
      <c r="AI92" s="12">
        <f>IF(IF($D92="Unlabeled-13",MCDM_Settings!$F$8,MCDM_Settings!$D$8)=0,"n.a.",5*COUNTIF(S92:U92,"Y")/IF($D92="Unlabeled-13",MCDM_Settings!$F$8,MCDM_Settings!$D$8))</f>
        <v>3.3333333333333335</v>
      </c>
      <c r="AJ92" s="12">
        <f>IF(IF($D92="Unlabeled-13",MCDM_Settings!$F$8,MCDM_Settings!$D$8)=0,"n.a.",5*(COUNTIF(S92:U92,"Y")+COUNTIF(S92:U92,"U")+COUNTIF(S92:U92,"X"))/IF($D92="Unlabeled-13",MCDM_Settings!$F$8,MCDM_Settings!$D$8))</f>
        <v>5</v>
      </c>
      <c r="AK92" s="13">
        <f>IF(IF($D92="Unlabeled-13",MCDM_Settings!$F$8,MCDM_Settings!$D$8)=0,"n.a.",(COUNTIF(S92:U92,"Y")+COUNTIF(S92:U92,"N"))/IF($D92="Unlabeled-13",MCDM_Settings!$F$8,MCDM_Settings!$D$8))</f>
        <v>0.66666666666666663</v>
      </c>
      <c r="AL92" s="12">
        <f>IF(IF($D92="Unlabeled-13",MCDM_Settings!$F$9,MCDM_Settings!$D$9)=0,"n.a.",5*COUNTIF(V92:W92,"Y")/IF($D92="Unlabeled-13",MCDM_Settings!$F$9,MCDM_Settings!$D$9))</f>
        <v>5</v>
      </c>
      <c r="AM92" s="12">
        <f>IF(IF($D92="Unlabeled-13",MCDM_Settings!$F$9,MCDM_Settings!$D$9)=0,"n.a.",5*(COUNTIF(V92:W92,"Y")+COUNTIF(V92:W92,"U")+COUNTIF(V92:W92,"X"))/IF($D92="Unlabeled-13",MCDM_Settings!$F$9,MCDM_Settings!$D$9))</f>
        <v>5</v>
      </c>
      <c r="AN92" s="13">
        <f>IF(IF($D92="Unlabeled-13",MCDM_Settings!$F$9,MCDM_Settings!$D$9)=0,"n.a.",(COUNTIF(V92:W92,"Y")+COUNTIF(V92:W92,"N"))/IF($D92="Unlabeled-13",MCDM_Settings!$F$9,MCDM_Settings!$D$9))</f>
        <v>1</v>
      </c>
      <c r="AO92" s="12">
        <f>IF(IF($D92="Unlabeled-13",MCDM_Settings!$F$10,MCDM_Settings!$D$10)=0,"n.a.",5*COUNTIF(X92:Y92,"Y")/IF($D92="Unlabeled-13",MCDM_Settings!$F$10,MCDM_Settings!$D$10))</f>
        <v>5</v>
      </c>
      <c r="AP92" s="12">
        <f>IF(IF($D92="Unlabeled-13",MCDM_Settings!$F$10,MCDM_Settings!$D$10)=0,"n.a.",5*(COUNTIF(X92:Y92,"Y")+COUNTIF(X92:Y92,"U")+COUNTIF(X92:Y92,"X"))/IF($D92="Unlabeled-13",MCDM_Settings!$F$10,MCDM_Settings!$D$10))</f>
        <v>5</v>
      </c>
      <c r="AQ92" s="13">
        <f>IF(IF($D92="Unlabeled-13",MCDM_Settings!$F$10,MCDM_Settings!$D$10)=0,"n.a.",(COUNTIF(X92:Y92,"Y")+COUNTIF(X92:Y92,"N"))/IF($D92="Unlabeled-13",MCDM_Settings!$F$10,MCDM_Settings!$D$10))</f>
        <v>1</v>
      </c>
      <c r="AR92" s="12">
        <f>IF(IF($D92="Unlabeled-13",MCDM_Settings!$F$11,MCDM_Settings!$D$11)=0,"n.a.",5*COUNTIF(Z92:AB92,"Y")/IF($D92="Unlabeled-13",MCDM_Settings!$F$11,MCDM_Settings!$D$11))</f>
        <v>3.3333333333333335</v>
      </c>
      <c r="AS92" s="12">
        <f>IF(IF($D92="Unlabeled-13",MCDM_Settings!$F$11,MCDM_Settings!$D$11)=0,"n.a.",5*(COUNTIF(Z92:AB92,"Y")+COUNTIF(Z92:AB92,"U")+COUNTIF(Z92:AB92,"X"))/IF($D92="Unlabeled-13",MCDM_Settings!$F$11,MCDM_Settings!$D$11))</f>
        <v>5</v>
      </c>
      <c r="AT92" s="13">
        <f>IF(IF($D92="Unlabeled-13",MCDM_Settings!$F$11,MCDM_Settings!$D$11)=0,"n.a.",(COUNTIF(Z92:AB92,"Y")+COUNTIF(Z92:AB92,"N"))/IF($D92="Unlabeled-13",MCDM_Settings!$F$11,MCDM_Settings!$D$11))</f>
        <v>0.66666666666666663</v>
      </c>
      <c r="AU92" s="5" t="str">
        <f>IF(AND(INDEX(Manual_Review!$G$6:$G$238,MATCH(A92,Manual_Review!$A$6:$A$238,0))&lt;&gt;"",ISNUMBER(INDEX(Manual_Review!$H$6:$H$238,MATCH(A92,Manual_Review!$A$6:$A$238,0))),INDEX(Manual_Review!$H$6:$H$238,MATCH(A92,Manual_Review!$A$6:$A$238,0))&gt;0,INDEX(Manual_Review!$I$6:$I$238,MATCH(A92,Manual_Review!$A$6:$A$238,0))="Confirmed",INDEX(Manual_Review!$AF$6:$AF$238,MATCH(A92,Manual_Review!$A$6:$A$238,0))&lt;&gt;""),IF(INDEX(Manual_Review!$AA$6:$AA$238,MATCH(A92,Manual_Review!$A$6:$A$238,0))="Pass","Pass",IF(INDEX(Manual_Review!$AA$6:$AA$238,MATCH(A92,Manual_Review!$A$6:$A$238,0))="Fail","Fail","Pending")),"Pending human identity confirmation")</f>
        <v>Pending human identity confirmation</v>
      </c>
      <c r="AV92" s="5" t="str">
        <f>IF(AND(AND(INDEX(Manual_Review!$G$6:$G$238,MATCH(A92,Manual_Review!$A$6:$A$238,0))&lt;&gt;"",ISNUMBER(INDEX(Manual_Review!$H$6:$H$238,MATCH(A92,Manual_Review!$A$6:$A$238,0))),INDEX(Manual_Review!$H$6:$H$238,MATCH(A92,Manual_Review!$A$6:$A$238,0))&gt;0,INDEX(Manual_Review!$I$6:$I$238,MATCH(A92,Manual_Review!$A$6:$A$238,0))="Confirmed",INDEX(Manual_Review!$AF$6:$AF$238,MATCH(A92,Manual_Review!$A$6:$A$238,0))&lt;&gt;""),INDEX(Manual_Review!$AG$6:$AG$238,MATCH(A92,Manual_Review!$A$6:$A$238,0))&lt;&gt;""),IF(INDEX(Manual_Review!$AB$6:$AB$238,MATCH(A92,Manual_Review!$A$6:$A$238,0))="Pass","Pass",IF(INDEX(Manual_Review!$AB$6:$AB$238,MATCH(A92,Manual_Review!$A$6:$A$238,0))="Fail","Fail","Pending")),"Not assessed: define intended task")</f>
        <v>Not assessed: define intended task</v>
      </c>
      <c r="AW92" s="5" t="str">
        <f>IF(AND(AND(INDEX(Manual_Review!$G$6:$G$238,MATCH(A92,Manual_Review!$A$6:$A$238,0))&lt;&gt;"",ISNUMBER(INDEX(Manual_Review!$H$6:$H$238,MATCH(A92,Manual_Review!$A$6:$A$238,0))),INDEX(Manual_Review!$H$6:$H$238,MATCH(A92,Manual_Review!$A$6:$A$238,0))&gt;0,INDEX(Manual_Review!$I$6:$I$238,MATCH(A92,Manual_Review!$A$6:$A$238,0))="Confirmed",INDEX(Manual_Review!$AF$6:$AF$238,MATCH(A92,Manual_Review!$A$6:$A$238,0))&lt;&gt;""),INDEX(Manual_Review!$AG$6:$AG$238,MATCH(A92,Manual_Review!$A$6:$A$238,0))&lt;&gt;""),IF(OR(INDEX(Manual_Review!$AC$6:$AC$238,MATCH(A92,Manual_Review!$A$6:$A$238,0))="Fail",INDEX(Manual_Review!$AD$6:$AD$238,MATCH(A92,Manual_Review!$A$6:$A$238,0))="Fail"),"Fail: rights or retrieval",IF(AND(INDEX(Manual_Review!$AC$6:$AC$238,MATCH(A92,Manual_Review!$A$6:$A$238,0))="Pass",INDEX(Manual_Review!$AD$6:$AD$238,MATCH(A92,Manual_Review!$A$6:$A$238,0))="Pass"),"Pass","Pending rights and retrieval")),"Pending rights and retrieval")</f>
        <v>Pending rights and retrieval</v>
      </c>
      <c r="AX92" s="5" t="str">
        <f>IF(INDEX(Manual_Review!$AG$6:$AG$238,MATCH(A92,Manual_Review!$A$6:$A$238,0))="","N/A: documentation inventory",IF(AND(INDEX(Manual_Review!$G$6:$G$238,MATCH(A92,Manual_Review!$A$6:$A$238,0))&lt;&gt;"",ISNUMBER(INDEX(Manual_Review!$H$6:$H$238,MATCH(A92,Manual_Review!$A$6:$A$238,0))),INDEX(Manual_Review!$H$6:$H$238,MATCH(A92,Manual_Review!$A$6:$A$238,0))&gt;0,INDEX(Manual_Review!$I$6:$I$238,MATCH(A92,Manual_Review!$A$6:$A$238,0))="Confirmed",INDEX(Manual_Review!$AF$6:$AF$238,MATCH(A92,Manual_Review!$A$6:$A$238,0))&lt;&gt;""),IF(INDEX(Manual_Review!$AE$6:$AE$238,MATCH(A92,Manual_Review!$A$6:$A$238,0))="Pass","Pass",IF(INDEX(Manual_Review!$AE$6:$AE$238,MATCH(A92,Manual_Review!$A$6:$A$238,0))="Fail","Fail: benchmark leakage",IF(INDEX(Manual_Review!$AE$6:$AE$238,MATCH(A92,Manual_Review!$A$6:$A$238,0))="N/A","N/A: nonbenchmark task","Pending task-specific leakage check"))),"Pending task-specific leakage check"))</f>
        <v>N/A: documentation inventory</v>
      </c>
      <c r="AY92" s="5" t="str">
        <f>IF(IF(D92="Unlabeled-13",AND(ABS(MCDM_Settings!$D$14-1)&lt;0.0000001,MIN(MCDM_Settings!$E$6:$E$11)&gt;=0,MCDM_Settings!$E$7=0),AND(ABS(MCDM_Settings!$B$14-1)&lt;0.0000001,MIN(MCDM_Settings!$C$6:$C$11)&gt;=0)),"Valid","Check weights")</f>
        <v>Valid</v>
      </c>
      <c r="AZ92" s="5" t="str">
        <f>IF(AND(COUNTIF(MCDM_Checks!$B$6:$B$3733,A92)=16,COUNTIF(Manual_Review!$A$6:$A$238,A92)=1),"16 keys present","Check key count")</f>
        <v>16 keys present</v>
      </c>
    </row>
    <row r="93" spans="1:52" ht="25.5">
      <c r="A93" s="5" t="s">
        <v>1068</v>
      </c>
      <c r="B93" s="5" t="s">
        <v>1069</v>
      </c>
      <c r="C93" s="5"/>
      <c r="D93" s="5" t="s">
        <v>118</v>
      </c>
      <c r="E93" s="12">
        <f>IF(OR(AY93&lt;&gt;"Valid",AZ93&lt;&gt;"16 keys present"),"Review settings",20*(IF(ISNUMBER(AC93),AC93*IF($D93="Unlabeled-13",MCDM_Settings!$E$6,MCDM_Settings!$C$6),0)+IF(ISNUMBER(AF93),AF93*IF($D93="Unlabeled-13",MCDM_Settings!$E$7,MCDM_Settings!$C$7),0)+IF(ISNUMBER(AI93),AI93*IF($D93="Unlabeled-13",MCDM_Settings!$E$8,MCDM_Settings!$C$8),0)+IF(ISNUMBER(AL93),AL93*IF($D93="Unlabeled-13",MCDM_Settings!$E$9,MCDM_Settings!$C$9),0)+IF(ISNUMBER(AO93),AO93*IF($D93="Unlabeled-13",MCDM_Settings!$E$10,MCDM_Settings!$C$10),0)+IF(ISNUMBER(AR93),AR93*IF($D93="Unlabeled-13",MCDM_Settings!$E$11,MCDM_Settings!$C$11),0)))</f>
        <v>58.333333333333329</v>
      </c>
      <c r="F93" s="12">
        <f>IF(OR(AY93&lt;&gt;"Valid",AZ93&lt;&gt;"16 keys present"),"Review settings",20*(IF(ISNUMBER(AD93),AD93*IF($D93="Unlabeled-13",MCDM_Settings!$E$6,MCDM_Settings!$C$6),0)+IF(ISNUMBER(AG93),AG93*IF($D93="Unlabeled-13",MCDM_Settings!$E$7,MCDM_Settings!$C$7),0)+IF(ISNUMBER(AJ93),AJ93*IF($D93="Unlabeled-13",MCDM_Settings!$E$8,MCDM_Settings!$C$8),0)+IF(ISNUMBER(AM93),AM93*IF($D93="Unlabeled-13",MCDM_Settings!$E$9,MCDM_Settings!$C$9),0)+IF(ISNUMBER(AP93),AP93*IF($D93="Unlabeled-13",MCDM_Settings!$E$10,MCDM_Settings!$C$10),0)+IF(ISNUMBER(AS93),AS93*IF($D93="Unlabeled-13",MCDM_Settings!$E$11,MCDM_Settings!$C$11),0)))</f>
        <v>99.999999999999986</v>
      </c>
      <c r="G93" s="13">
        <f>IF(OR(AY93&lt;&gt;"Valid",AZ93&lt;&gt;"16 keys present"),"Review settings",1*(IF(ISNUMBER(AE93),AE93*IF($D93="Unlabeled-13",MCDM_Settings!$E$6,MCDM_Settings!$C$6),0)+IF(ISNUMBER(AH93),AH93*IF($D93="Unlabeled-13",MCDM_Settings!$E$7,MCDM_Settings!$C$7),0)+IF(ISNUMBER(AK93),AK93*IF($D93="Unlabeled-13",MCDM_Settings!$E$8,MCDM_Settings!$C$8),0)+IF(ISNUMBER(AN93),AN93*IF($D93="Unlabeled-13",MCDM_Settings!$E$9,MCDM_Settings!$C$9),0)+IF(ISNUMBER(AQ93),AQ93*IF($D93="Unlabeled-13",MCDM_Settings!$E$10,MCDM_Settings!$C$10),0)+IF(ISNUMBER(AT93),AT93*IF($D93="Unlabeled-13",MCDM_Settings!$E$11,MCDM_Settings!$C$11),0)))</f>
        <v>0.58333333333333337</v>
      </c>
      <c r="H93" s="5" t="str">
        <f>INDEX(Manual_Review!$AH$6:$AH$238,MATCH(A93,Manual_Review!$A$6:$A$238,0))</f>
        <v>Not started</v>
      </c>
      <c r="I93" s="5" t="s">
        <v>128</v>
      </c>
      <c r="J93" s="5" t="s">
        <v>1070</v>
      </c>
      <c r="K93" s="5" t="str">
        <f>HYPERLINK("https://huggingface.co/datasets/Chrisathy/LCSD","Dataset")</f>
        <v>Dataset</v>
      </c>
      <c r="L93" s="5" t="str">
        <f>HYPERLINK("#'Manual_Review'!A"&amp;(MATCH("DS-088",Manual_Review!$A$6:$A$238,0)+5),"Enter review")</f>
        <v>Enter review</v>
      </c>
      <c r="M93" s="5" t="str">
        <f>INDEX(MCDM_Checks!$K$6:$K$3733,MATCH(A93&amp;"|"&amp;M$5,MCDM_Checks!$A$6:$A$3733,0))</f>
        <v>Y</v>
      </c>
      <c r="N93" s="5" t="str">
        <f>INDEX(MCDM_Checks!$K$6:$K$3733,MATCH(A93&amp;"|"&amp;N$5,MCDM_Checks!$A$6:$A$3733,0))</f>
        <v>Y</v>
      </c>
      <c r="O93" s="5" t="str">
        <f>INDEX(MCDM_Checks!$K$6:$K$3733,MATCH(A93&amp;"|"&amp;O$5,MCDM_Checks!$A$6:$A$3733,0))</f>
        <v>Y</v>
      </c>
      <c r="P93" s="5" t="str">
        <f>INDEX(MCDM_Checks!$K$6:$K$3733,MATCH(A93&amp;"|"&amp;P$5,MCDM_Checks!$A$6:$A$3733,0))</f>
        <v>Y</v>
      </c>
      <c r="Q93" s="5" t="str">
        <f>INDEX(MCDM_Checks!$K$6:$K$3733,MATCH(A93&amp;"|"&amp;Q$5,MCDM_Checks!$A$6:$A$3733,0))</f>
        <v>U</v>
      </c>
      <c r="R93" s="5" t="str">
        <f>INDEX(MCDM_Checks!$K$6:$K$3733,MATCH(A93&amp;"|"&amp;R$5,MCDM_Checks!$A$6:$A$3733,0))</f>
        <v>U</v>
      </c>
      <c r="S93" s="5" t="str">
        <f>INDEX(MCDM_Checks!$K$6:$K$3733,MATCH(A93&amp;"|"&amp;S$5,MCDM_Checks!$A$6:$A$3733,0))</f>
        <v>Y</v>
      </c>
      <c r="T93" s="5" t="str">
        <f>INDEX(MCDM_Checks!$K$6:$K$3733,MATCH(A93&amp;"|"&amp;T$5,MCDM_Checks!$A$6:$A$3733,0))</f>
        <v>U</v>
      </c>
      <c r="U93" s="5" t="str">
        <f>INDEX(MCDM_Checks!$K$6:$K$3733,MATCH(A93&amp;"|"&amp;U$5,MCDM_Checks!$A$6:$A$3733,0))</f>
        <v>U</v>
      </c>
      <c r="V93" s="5" t="str">
        <f>INDEX(MCDM_Checks!$K$6:$K$3733,MATCH(A93&amp;"|"&amp;V$5,MCDM_Checks!$A$6:$A$3733,0))</f>
        <v>Y</v>
      </c>
      <c r="W93" s="5" t="str">
        <f>INDEX(MCDM_Checks!$K$6:$K$3733,MATCH(A93&amp;"|"&amp;W$5,MCDM_Checks!$A$6:$A$3733,0))</f>
        <v>Y</v>
      </c>
      <c r="X93" s="5" t="str">
        <f>INDEX(MCDM_Checks!$K$6:$K$3733,MATCH(A93&amp;"|"&amp;X$5,MCDM_Checks!$A$6:$A$3733,0))</f>
        <v>U</v>
      </c>
      <c r="Y93" s="5" t="str">
        <f>INDEX(MCDM_Checks!$K$6:$K$3733,MATCH(A93&amp;"|"&amp;Y$5,MCDM_Checks!$A$6:$A$3733,0))</f>
        <v>Y</v>
      </c>
      <c r="Z93" s="5" t="str">
        <f>INDEX(MCDM_Checks!$K$6:$K$3733,MATCH(A93&amp;"|"&amp;Z$5,MCDM_Checks!$A$6:$A$3733,0))</f>
        <v>Y</v>
      </c>
      <c r="AA93" s="5" t="str">
        <f>INDEX(MCDM_Checks!$K$6:$K$3733,MATCH(A93&amp;"|"&amp;AA$5,MCDM_Checks!$A$6:$A$3733,0))</f>
        <v>U</v>
      </c>
      <c r="AB93" s="5" t="str">
        <f>INDEX(MCDM_Checks!$K$6:$K$3733,MATCH(A93&amp;"|"&amp;AB$5,MCDM_Checks!$A$6:$A$3733,0))</f>
        <v>U</v>
      </c>
      <c r="AC93" s="12">
        <f>IF(IF($D93="Unlabeled-13",MCDM_Settings!$F$6,MCDM_Settings!$D$6)=0,"n.a.",5*COUNTIF(M93:O93,"Y")/IF($D93="Unlabeled-13",MCDM_Settings!$F$6,MCDM_Settings!$D$6))</f>
        <v>5</v>
      </c>
      <c r="AD93" s="12">
        <f>IF(IF($D93="Unlabeled-13",MCDM_Settings!$F$6,MCDM_Settings!$D$6)=0,"n.a.",5*(COUNTIF(M93:O93,"Y")+COUNTIF(M93:O93,"U")+COUNTIF(M93:O93,"X"))/IF($D93="Unlabeled-13",MCDM_Settings!$F$6,MCDM_Settings!$D$6))</f>
        <v>5</v>
      </c>
      <c r="AE93" s="13">
        <f>IF(IF($D93="Unlabeled-13",MCDM_Settings!$F$6,MCDM_Settings!$D$6)=0,"n.a.",(COUNTIF(M93:O93,"Y")+COUNTIF(M93:O93,"N"))/IF($D93="Unlabeled-13",MCDM_Settings!$F$6,MCDM_Settings!$D$6))</f>
        <v>1</v>
      </c>
      <c r="AF93" s="12">
        <f>IF(IF($D93="Unlabeled-13",MCDM_Settings!$F$7,MCDM_Settings!$D$7)=0,"n.a.",5*COUNTIF(P93:R93,"Y")/IF($D93="Unlabeled-13",MCDM_Settings!$F$7,MCDM_Settings!$D$7))</f>
        <v>1.6666666666666667</v>
      </c>
      <c r="AG93" s="12">
        <f>IF(IF($D93="Unlabeled-13",MCDM_Settings!$F$7,MCDM_Settings!$D$7)=0,"n.a.",5*(COUNTIF(P93:R93,"Y")+COUNTIF(P93:R93,"U")+COUNTIF(P93:R93,"X"))/IF($D93="Unlabeled-13",MCDM_Settings!$F$7,MCDM_Settings!$D$7))</f>
        <v>5</v>
      </c>
      <c r="AH93" s="13">
        <f>IF(IF($D93="Unlabeled-13",MCDM_Settings!$F$7,MCDM_Settings!$D$7)=0,"n.a.",(COUNTIF(P93:R93,"Y")+COUNTIF(P93:R93,"N"))/IF($D93="Unlabeled-13",MCDM_Settings!$F$7,MCDM_Settings!$D$7))</f>
        <v>0.33333333333333331</v>
      </c>
      <c r="AI93" s="12">
        <f>IF(IF($D93="Unlabeled-13",MCDM_Settings!$F$8,MCDM_Settings!$D$8)=0,"n.a.",5*COUNTIF(S93:U93,"Y")/IF($D93="Unlabeled-13",MCDM_Settings!$F$8,MCDM_Settings!$D$8))</f>
        <v>1.6666666666666667</v>
      </c>
      <c r="AJ93" s="12">
        <f>IF(IF($D93="Unlabeled-13",MCDM_Settings!$F$8,MCDM_Settings!$D$8)=0,"n.a.",5*(COUNTIF(S93:U93,"Y")+COUNTIF(S93:U93,"U")+COUNTIF(S93:U93,"X"))/IF($D93="Unlabeled-13",MCDM_Settings!$F$8,MCDM_Settings!$D$8))</f>
        <v>5</v>
      </c>
      <c r="AK93" s="13">
        <f>IF(IF($D93="Unlabeled-13",MCDM_Settings!$F$8,MCDM_Settings!$D$8)=0,"n.a.",(COUNTIF(S93:U93,"Y")+COUNTIF(S93:U93,"N"))/IF($D93="Unlabeled-13",MCDM_Settings!$F$8,MCDM_Settings!$D$8))</f>
        <v>0.33333333333333331</v>
      </c>
      <c r="AL93" s="12">
        <f>IF(IF($D93="Unlabeled-13",MCDM_Settings!$F$9,MCDM_Settings!$D$9)=0,"n.a.",5*COUNTIF(V93:W93,"Y")/IF($D93="Unlabeled-13",MCDM_Settings!$F$9,MCDM_Settings!$D$9))</f>
        <v>5</v>
      </c>
      <c r="AM93" s="12">
        <f>IF(IF($D93="Unlabeled-13",MCDM_Settings!$F$9,MCDM_Settings!$D$9)=0,"n.a.",5*(COUNTIF(V93:W93,"Y")+COUNTIF(V93:W93,"U")+COUNTIF(V93:W93,"X"))/IF($D93="Unlabeled-13",MCDM_Settings!$F$9,MCDM_Settings!$D$9))</f>
        <v>5</v>
      </c>
      <c r="AN93" s="13">
        <f>IF(IF($D93="Unlabeled-13",MCDM_Settings!$F$9,MCDM_Settings!$D$9)=0,"n.a.",(COUNTIF(V93:W93,"Y")+COUNTIF(V93:W93,"N"))/IF($D93="Unlabeled-13",MCDM_Settings!$F$9,MCDM_Settings!$D$9))</f>
        <v>1</v>
      </c>
      <c r="AO93" s="12">
        <f>IF(IF($D93="Unlabeled-13",MCDM_Settings!$F$10,MCDM_Settings!$D$10)=0,"n.a.",5*COUNTIF(X93:Y93,"Y")/IF($D93="Unlabeled-13",MCDM_Settings!$F$10,MCDM_Settings!$D$10))</f>
        <v>2.5</v>
      </c>
      <c r="AP93" s="12">
        <f>IF(IF($D93="Unlabeled-13",MCDM_Settings!$F$10,MCDM_Settings!$D$10)=0,"n.a.",5*(COUNTIF(X93:Y93,"Y")+COUNTIF(X93:Y93,"U")+COUNTIF(X93:Y93,"X"))/IF($D93="Unlabeled-13",MCDM_Settings!$F$10,MCDM_Settings!$D$10))</f>
        <v>5</v>
      </c>
      <c r="AQ93" s="13">
        <f>IF(IF($D93="Unlabeled-13",MCDM_Settings!$F$10,MCDM_Settings!$D$10)=0,"n.a.",(COUNTIF(X93:Y93,"Y")+COUNTIF(X93:Y93,"N"))/IF($D93="Unlabeled-13",MCDM_Settings!$F$10,MCDM_Settings!$D$10))</f>
        <v>0.5</v>
      </c>
      <c r="AR93" s="12">
        <f>IF(IF($D93="Unlabeled-13",MCDM_Settings!$F$11,MCDM_Settings!$D$11)=0,"n.a.",5*COUNTIF(Z93:AB93,"Y")/IF($D93="Unlabeled-13",MCDM_Settings!$F$11,MCDM_Settings!$D$11))</f>
        <v>1.6666666666666667</v>
      </c>
      <c r="AS93" s="12">
        <f>IF(IF($D93="Unlabeled-13",MCDM_Settings!$F$11,MCDM_Settings!$D$11)=0,"n.a.",5*(COUNTIF(Z93:AB93,"Y")+COUNTIF(Z93:AB93,"U")+COUNTIF(Z93:AB93,"X"))/IF($D93="Unlabeled-13",MCDM_Settings!$F$11,MCDM_Settings!$D$11))</f>
        <v>5</v>
      </c>
      <c r="AT93" s="13">
        <f>IF(IF($D93="Unlabeled-13",MCDM_Settings!$F$11,MCDM_Settings!$D$11)=0,"n.a.",(COUNTIF(Z93:AB93,"Y")+COUNTIF(Z93:AB93,"N"))/IF($D93="Unlabeled-13",MCDM_Settings!$F$11,MCDM_Settings!$D$11))</f>
        <v>0.33333333333333331</v>
      </c>
      <c r="AU93" s="5" t="str">
        <f>IF(AND(INDEX(Manual_Review!$G$6:$G$238,MATCH(A93,Manual_Review!$A$6:$A$238,0))&lt;&gt;"",ISNUMBER(INDEX(Manual_Review!$H$6:$H$238,MATCH(A93,Manual_Review!$A$6:$A$238,0))),INDEX(Manual_Review!$H$6:$H$238,MATCH(A93,Manual_Review!$A$6:$A$238,0))&gt;0,INDEX(Manual_Review!$I$6:$I$238,MATCH(A93,Manual_Review!$A$6:$A$238,0))="Confirmed",INDEX(Manual_Review!$AF$6:$AF$238,MATCH(A93,Manual_Review!$A$6:$A$238,0))&lt;&gt;""),IF(INDEX(Manual_Review!$AA$6:$AA$238,MATCH(A93,Manual_Review!$A$6:$A$238,0))="Pass","Pass",IF(INDEX(Manual_Review!$AA$6:$AA$238,MATCH(A93,Manual_Review!$A$6:$A$238,0))="Fail","Fail","Pending")),"Pending human identity confirmation")</f>
        <v>Pending human identity confirmation</v>
      </c>
      <c r="AV93" s="5" t="str">
        <f>IF(AND(AND(INDEX(Manual_Review!$G$6:$G$238,MATCH(A93,Manual_Review!$A$6:$A$238,0))&lt;&gt;"",ISNUMBER(INDEX(Manual_Review!$H$6:$H$238,MATCH(A93,Manual_Review!$A$6:$A$238,0))),INDEX(Manual_Review!$H$6:$H$238,MATCH(A93,Manual_Review!$A$6:$A$238,0))&gt;0,INDEX(Manual_Review!$I$6:$I$238,MATCH(A93,Manual_Review!$A$6:$A$238,0))="Confirmed",INDEX(Manual_Review!$AF$6:$AF$238,MATCH(A93,Manual_Review!$A$6:$A$238,0))&lt;&gt;""),INDEX(Manual_Review!$AG$6:$AG$238,MATCH(A93,Manual_Review!$A$6:$A$238,0))&lt;&gt;""),IF(INDEX(Manual_Review!$AB$6:$AB$238,MATCH(A93,Manual_Review!$A$6:$A$238,0))="Pass","Pass",IF(INDEX(Manual_Review!$AB$6:$AB$238,MATCH(A93,Manual_Review!$A$6:$A$238,0))="Fail","Fail","Pending")),"Not assessed: define intended task")</f>
        <v>Not assessed: define intended task</v>
      </c>
      <c r="AW93" s="5" t="str">
        <f>IF(AND(AND(INDEX(Manual_Review!$G$6:$G$238,MATCH(A93,Manual_Review!$A$6:$A$238,0))&lt;&gt;"",ISNUMBER(INDEX(Manual_Review!$H$6:$H$238,MATCH(A93,Manual_Review!$A$6:$A$238,0))),INDEX(Manual_Review!$H$6:$H$238,MATCH(A93,Manual_Review!$A$6:$A$238,0))&gt;0,INDEX(Manual_Review!$I$6:$I$238,MATCH(A93,Manual_Review!$A$6:$A$238,0))="Confirmed",INDEX(Manual_Review!$AF$6:$AF$238,MATCH(A93,Manual_Review!$A$6:$A$238,0))&lt;&gt;""),INDEX(Manual_Review!$AG$6:$AG$238,MATCH(A93,Manual_Review!$A$6:$A$238,0))&lt;&gt;""),IF(OR(INDEX(Manual_Review!$AC$6:$AC$238,MATCH(A93,Manual_Review!$A$6:$A$238,0))="Fail",INDEX(Manual_Review!$AD$6:$AD$238,MATCH(A93,Manual_Review!$A$6:$A$238,0))="Fail"),"Fail: rights or retrieval",IF(AND(INDEX(Manual_Review!$AC$6:$AC$238,MATCH(A93,Manual_Review!$A$6:$A$238,0))="Pass",INDEX(Manual_Review!$AD$6:$AD$238,MATCH(A93,Manual_Review!$A$6:$A$238,0))="Pass"),"Pass","Pending rights and retrieval")),"Pending rights and retrieval")</f>
        <v>Pending rights and retrieval</v>
      </c>
      <c r="AX93" s="5" t="str">
        <f>IF(INDEX(Manual_Review!$AG$6:$AG$238,MATCH(A93,Manual_Review!$A$6:$A$238,0))="","N/A: documentation inventory",IF(AND(INDEX(Manual_Review!$G$6:$G$238,MATCH(A93,Manual_Review!$A$6:$A$238,0))&lt;&gt;"",ISNUMBER(INDEX(Manual_Review!$H$6:$H$238,MATCH(A93,Manual_Review!$A$6:$A$238,0))),INDEX(Manual_Review!$H$6:$H$238,MATCH(A93,Manual_Review!$A$6:$A$238,0))&gt;0,INDEX(Manual_Review!$I$6:$I$238,MATCH(A93,Manual_Review!$A$6:$A$238,0))="Confirmed",INDEX(Manual_Review!$AF$6:$AF$238,MATCH(A93,Manual_Review!$A$6:$A$238,0))&lt;&gt;""),IF(INDEX(Manual_Review!$AE$6:$AE$238,MATCH(A93,Manual_Review!$A$6:$A$238,0))="Pass","Pass",IF(INDEX(Manual_Review!$AE$6:$AE$238,MATCH(A93,Manual_Review!$A$6:$A$238,0))="Fail","Fail: benchmark leakage",IF(INDEX(Manual_Review!$AE$6:$AE$238,MATCH(A93,Manual_Review!$A$6:$A$238,0))="N/A","N/A: nonbenchmark task","Pending task-specific leakage check"))),"Pending task-specific leakage check"))</f>
        <v>N/A: documentation inventory</v>
      </c>
      <c r="AY93" s="5" t="str">
        <f>IF(IF(D93="Unlabeled-13",AND(ABS(MCDM_Settings!$D$14-1)&lt;0.0000001,MIN(MCDM_Settings!$E$6:$E$11)&gt;=0,MCDM_Settings!$E$7=0),AND(ABS(MCDM_Settings!$B$14-1)&lt;0.0000001,MIN(MCDM_Settings!$C$6:$C$11)&gt;=0)),"Valid","Check weights")</f>
        <v>Valid</v>
      </c>
      <c r="AZ93" s="5" t="str">
        <f>IF(AND(COUNTIF(MCDM_Checks!$B$6:$B$3733,A93)=16,COUNTIF(Manual_Review!$A$6:$A$238,A93)=1),"16 keys present","Check key count")</f>
        <v>16 keys present</v>
      </c>
    </row>
    <row r="94" spans="1:52">
      <c r="A94" s="5" t="s">
        <v>1081</v>
      </c>
      <c r="B94" s="5" t="s">
        <v>1082</v>
      </c>
      <c r="C94" s="5"/>
      <c r="D94" s="5" t="s">
        <v>118</v>
      </c>
      <c r="E94" s="12">
        <f>IF(OR(AY94&lt;&gt;"Valid",AZ94&lt;&gt;"16 keys present"),"Review settings",20*(IF(ISNUMBER(AC94),AC94*IF($D94="Unlabeled-13",MCDM_Settings!$E$6,MCDM_Settings!$C$6),0)+IF(ISNUMBER(AF94),AF94*IF($D94="Unlabeled-13",MCDM_Settings!$E$7,MCDM_Settings!$C$7),0)+IF(ISNUMBER(AI94),AI94*IF($D94="Unlabeled-13",MCDM_Settings!$E$8,MCDM_Settings!$C$8),0)+IF(ISNUMBER(AL94),AL94*IF($D94="Unlabeled-13",MCDM_Settings!$E$9,MCDM_Settings!$C$9),0)+IF(ISNUMBER(AO94),AO94*IF($D94="Unlabeled-13",MCDM_Settings!$E$10,MCDM_Settings!$C$10),0)+IF(ISNUMBER(AR94),AR94*IF($D94="Unlabeled-13",MCDM_Settings!$E$11,MCDM_Settings!$C$11),0)))</f>
        <v>38.888888888888886</v>
      </c>
      <c r="F94" s="12">
        <f>IF(OR(AY94&lt;&gt;"Valid",AZ94&lt;&gt;"16 keys present"),"Review settings",20*(IF(ISNUMBER(AD94),AD94*IF($D94="Unlabeled-13",MCDM_Settings!$E$6,MCDM_Settings!$C$6),0)+IF(ISNUMBER(AG94),AG94*IF($D94="Unlabeled-13",MCDM_Settings!$E$7,MCDM_Settings!$C$7),0)+IF(ISNUMBER(AJ94),AJ94*IF($D94="Unlabeled-13",MCDM_Settings!$E$8,MCDM_Settings!$C$8),0)+IF(ISNUMBER(AM94),AM94*IF($D94="Unlabeled-13",MCDM_Settings!$E$9,MCDM_Settings!$C$9),0)+IF(ISNUMBER(AP94),AP94*IF($D94="Unlabeled-13",MCDM_Settings!$E$10,MCDM_Settings!$C$10),0)+IF(ISNUMBER(AS94),AS94*IF($D94="Unlabeled-13",MCDM_Settings!$E$11,MCDM_Settings!$C$11),0)))</f>
        <v>99.999999999999986</v>
      </c>
      <c r="G94" s="13">
        <f>IF(OR(AY94&lt;&gt;"Valid",AZ94&lt;&gt;"16 keys present"),"Review settings",1*(IF(ISNUMBER(AE94),AE94*IF($D94="Unlabeled-13",MCDM_Settings!$E$6,MCDM_Settings!$C$6),0)+IF(ISNUMBER(AH94),AH94*IF($D94="Unlabeled-13",MCDM_Settings!$E$7,MCDM_Settings!$C$7),0)+IF(ISNUMBER(AK94),AK94*IF($D94="Unlabeled-13",MCDM_Settings!$E$8,MCDM_Settings!$C$8),0)+IF(ISNUMBER(AN94),AN94*IF($D94="Unlabeled-13",MCDM_Settings!$E$9,MCDM_Settings!$C$9),0)+IF(ISNUMBER(AQ94),AQ94*IF($D94="Unlabeled-13",MCDM_Settings!$E$10,MCDM_Settings!$C$10),0)+IF(ISNUMBER(AT94),AT94*IF($D94="Unlabeled-13",MCDM_Settings!$E$11,MCDM_Settings!$C$11),0)))</f>
        <v>0.38888888888888884</v>
      </c>
      <c r="H94" s="5" t="str">
        <f>INDEX(Manual_Review!$AH$6:$AH$238,MATCH(A94,Manual_Review!$A$6:$A$238,0))</f>
        <v>Not started</v>
      </c>
      <c r="I94" s="5" t="s">
        <v>128</v>
      </c>
      <c r="J94" s="5" t="s">
        <v>1083</v>
      </c>
      <c r="K94" s="5" t="str">
        <f>HYPERLINK("https://huggingface.co/datasets/Mr-Perfectuz/crack","Dataset")</f>
        <v>Dataset</v>
      </c>
      <c r="L94" s="5" t="str">
        <f>HYPERLINK("#'Manual_Review'!A"&amp;(MATCH("DS-089",Manual_Review!$A$6:$A$238,0)+5),"Enter review")</f>
        <v>Enter review</v>
      </c>
      <c r="M94" s="5" t="str">
        <f>INDEX(MCDM_Checks!$K$6:$K$3733,MATCH(A94&amp;"|"&amp;M$5,MCDM_Checks!$A$6:$A$3733,0))</f>
        <v>Y</v>
      </c>
      <c r="N94" s="5" t="str">
        <f>INDEX(MCDM_Checks!$K$6:$K$3733,MATCH(A94&amp;"|"&amp;N$5,MCDM_Checks!$A$6:$A$3733,0))</f>
        <v>Y</v>
      </c>
      <c r="O94" s="5" t="str">
        <f>INDEX(MCDM_Checks!$K$6:$K$3733,MATCH(A94&amp;"|"&amp;O$5,MCDM_Checks!$A$6:$A$3733,0))</f>
        <v>U</v>
      </c>
      <c r="P94" s="5" t="str">
        <f>INDEX(MCDM_Checks!$K$6:$K$3733,MATCH(A94&amp;"|"&amp;P$5,MCDM_Checks!$A$6:$A$3733,0))</f>
        <v>U</v>
      </c>
      <c r="Q94" s="5" t="str">
        <f>INDEX(MCDM_Checks!$K$6:$K$3733,MATCH(A94&amp;"|"&amp;Q$5,MCDM_Checks!$A$6:$A$3733,0))</f>
        <v>U</v>
      </c>
      <c r="R94" s="5" t="str">
        <f>INDEX(MCDM_Checks!$K$6:$K$3733,MATCH(A94&amp;"|"&amp;R$5,MCDM_Checks!$A$6:$A$3733,0))</f>
        <v>U</v>
      </c>
      <c r="S94" s="5" t="str">
        <f>INDEX(MCDM_Checks!$K$6:$K$3733,MATCH(A94&amp;"|"&amp;S$5,MCDM_Checks!$A$6:$A$3733,0))</f>
        <v>Y</v>
      </c>
      <c r="T94" s="5" t="str">
        <f>INDEX(MCDM_Checks!$K$6:$K$3733,MATCH(A94&amp;"|"&amp;T$5,MCDM_Checks!$A$6:$A$3733,0))</f>
        <v>Y</v>
      </c>
      <c r="U94" s="5" t="str">
        <f>INDEX(MCDM_Checks!$K$6:$K$3733,MATCH(A94&amp;"|"&amp;U$5,MCDM_Checks!$A$6:$A$3733,0))</f>
        <v>U</v>
      </c>
      <c r="V94" s="5" t="str">
        <f>INDEX(MCDM_Checks!$K$6:$K$3733,MATCH(A94&amp;"|"&amp;V$5,MCDM_Checks!$A$6:$A$3733,0))</f>
        <v>Y</v>
      </c>
      <c r="W94" s="5" t="str">
        <f>INDEX(MCDM_Checks!$K$6:$K$3733,MATCH(A94&amp;"|"&amp;W$5,MCDM_Checks!$A$6:$A$3733,0))</f>
        <v>U</v>
      </c>
      <c r="X94" s="5" t="str">
        <f>INDEX(MCDM_Checks!$K$6:$K$3733,MATCH(A94&amp;"|"&amp;X$5,MCDM_Checks!$A$6:$A$3733,0))</f>
        <v>U</v>
      </c>
      <c r="Y94" s="5" t="str">
        <f>INDEX(MCDM_Checks!$K$6:$K$3733,MATCH(A94&amp;"|"&amp;Y$5,MCDM_Checks!$A$6:$A$3733,0))</f>
        <v>Y</v>
      </c>
      <c r="Z94" s="5" t="str">
        <f>INDEX(MCDM_Checks!$K$6:$K$3733,MATCH(A94&amp;"|"&amp;Z$5,MCDM_Checks!$A$6:$A$3733,0))</f>
        <v>U</v>
      </c>
      <c r="AA94" s="5" t="str">
        <f>INDEX(MCDM_Checks!$K$6:$K$3733,MATCH(A94&amp;"|"&amp;AA$5,MCDM_Checks!$A$6:$A$3733,0))</f>
        <v>U</v>
      </c>
      <c r="AB94" s="5" t="str">
        <f>INDEX(MCDM_Checks!$K$6:$K$3733,MATCH(A94&amp;"|"&amp;AB$5,MCDM_Checks!$A$6:$A$3733,0))</f>
        <v>U</v>
      </c>
      <c r="AC94" s="12">
        <f>IF(IF($D94="Unlabeled-13",MCDM_Settings!$F$6,MCDM_Settings!$D$6)=0,"n.a.",5*COUNTIF(M94:O94,"Y")/IF($D94="Unlabeled-13",MCDM_Settings!$F$6,MCDM_Settings!$D$6))</f>
        <v>3.3333333333333335</v>
      </c>
      <c r="AD94" s="12">
        <f>IF(IF($D94="Unlabeled-13",MCDM_Settings!$F$6,MCDM_Settings!$D$6)=0,"n.a.",5*(COUNTIF(M94:O94,"Y")+COUNTIF(M94:O94,"U")+COUNTIF(M94:O94,"X"))/IF($D94="Unlabeled-13",MCDM_Settings!$F$6,MCDM_Settings!$D$6))</f>
        <v>5</v>
      </c>
      <c r="AE94" s="13">
        <f>IF(IF($D94="Unlabeled-13",MCDM_Settings!$F$6,MCDM_Settings!$D$6)=0,"n.a.",(COUNTIF(M94:O94,"Y")+COUNTIF(M94:O94,"N"))/IF($D94="Unlabeled-13",MCDM_Settings!$F$6,MCDM_Settings!$D$6))</f>
        <v>0.66666666666666663</v>
      </c>
      <c r="AF94" s="12">
        <f>IF(IF($D94="Unlabeled-13",MCDM_Settings!$F$7,MCDM_Settings!$D$7)=0,"n.a.",5*COUNTIF(P94:R94,"Y")/IF($D94="Unlabeled-13",MCDM_Settings!$F$7,MCDM_Settings!$D$7))</f>
        <v>0</v>
      </c>
      <c r="AG94" s="12">
        <f>IF(IF($D94="Unlabeled-13",MCDM_Settings!$F$7,MCDM_Settings!$D$7)=0,"n.a.",5*(COUNTIF(P94:R94,"Y")+COUNTIF(P94:R94,"U")+COUNTIF(P94:R94,"X"))/IF($D94="Unlabeled-13",MCDM_Settings!$F$7,MCDM_Settings!$D$7))</f>
        <v>5</v>
      </c>
      <c r="AH94" s="13">
        <f>IF(IF($D94="Unlabeled-13",MCDM_Settings!$F$7,MCDM_Settings!$D$7)=0,"n.a.",(COUNTIF(P94:R94,"Y")+COUNTIF(P94:R94,"N"))/IF($D94="Unlabeled-13",MCDM_Settings!$F$7,MCDM_Settings!$D$7))</f>
        <v>0</v>
      </c>
      <c r="AI94" s="12">
        <f>IF(IF($D94="Unlabeled-13",MCDM_Settings!$F$8,MCDM_Settings!$D$8)=0,"n.a.",5*COUNTIF(S94:U94,"Y")/IF($D94="Unlabeled-13",MCDM_Settings!$F$8,MCDM_Settings!$D$8))</f>
        <v>3.3333333333333335</v>
      </c>
      <c r="AJ94" s="12">
        <f>IF(IF($D94="Unlabeled-13",MCDM_Settings!$F$8,MCDM_Settings!$D$8)=0,"n.a.",5*(COUNTIF(S94:U94,"Y")+COUNTIF(S94:U94,"U")+COUNTIF(S94:U94,"X"))/IF($D94="Unlabeled-13",MCDM_Settings!$F$8,MCDM_Settings!$D$8))</f>
        <v>5</v>
      </c>
      <c r="AK94" s="13">
        <f>IF(IF($D94="Unlabeled-13",MCDM_Settings!$F$8,MCDM_Settings!$D$8)=0,"n.a.",(COUNTIF(S94:U94,"Y")+COUNTIF(S94:U94,"N"))/IF($D94="Unlabeled-13",MCDM_Settings!$F$8,MCDM_Settings!$D$8))</f>
        <v>0.66666666666666663</v>
      </c>
      <c r="AL94" s="12">
        <f>IF(IF($D94="Unlabeled-13",MCDM_Settings!$F$9,MCDM_Settings!$D$9)=0,"n.a.",5*COUNTIF(V94:W94,"Y")/IF($D94="Unlabeled-13",MCDM_Settings!$F$9,MCDM_Settings!$D$9))</f>
        <v>2.5</v>
      </c>
      <c r="AM94" s="12">
        <f>IF(IF($D94="Unlabeled-13",MCDM_Settings!$F$9,MCDM_Settings!$D$9)=0,"n.a.",5*(COUNTIF(V94:W94,"Y")+COUNTIF(V94:W94,"U")+COUNTIF(V94:W94,"X"))/IF($D94="Unlabeled-13",MCDM_Settings!$F$9,MCDM_Settings!$D$9))</f>
        <v>5</v>
      </c>
      <c r="AN94" s="13">
        <f>IF(IF($D94="Unlabeled-13",MCDM_Settings!$F$9,MCDM_Settings!$D$9)=0,"n.a.",(COUNTIF(V94:W94,"Y")+COUNTIF(V94:W94,"N"))/IF($D94="Unlabeled-13",MCDM_Settings!$F$9,MCDM_Settings!$D$9))</f>
        <v>0.5</v>
      </c>
      <c r="AO94" s="12">
        <f>IF(IF($D94="Unlabeled-13",MCDM_Settings!$F$10,MCDM_Settings!$D$10)=0,"n.a.",5*COUNTIF(X94:Y94,"Y")/IF($D94="Unlabeled-13",MCDM_Settings!$F$10,MCDM_Settings!$D$10))</f>
        <v>2.5</v>
      </c>
      <c r="AP94" s="12">
        <f>IF(IF($D94="Unlabeled-13",MCDM_Settings!$F$10,MCDM_Settings!$D$10)=0,"n.a.",5*(COUNTIF(X94:Y94,"Y")+COUNTIF(X94:Y94,"U")+COUNTIF(X94:Y94,"X"))/IF($D94="Unlabeled-13",MCDM_Settings!$F$10,MCDM_Settings!$D$10))</f>
        <v>5</v>
      </c>
      <c r="AQ94" s="13">
        <f>IF(IF($D94="Unlabeled-13",MCDM_Settings!$F$10,MCDM_Settings!$D$10)=0,"n.a.",(COUNTIF(X94:Y94,"Y")+COUNTIF(X94:Y94,"N"))/IF($D94="Unlabeled-13",MCDM_Settings!$F$10,MCDM_Settings!$D$10))</f>
        <v>0.5</v>
      </c>
      <c r="AR94" s="12">
        <f>IF(IF($D94="Unlabeled-13",MCDM_Settings!$F$11,MCDM_Settings!$D$11)=0,"n.a.",5*COUNTIF(Z94:AB94,"Y")/IF($D94="Unlabeled-13",MCDM_Settings!$F$11,MCDM_Settings!$D$11))</f>
        <v>0</v>
      </c>
      <c r="AS94" s="12">
        <f>IF(IF($D94="Unlabeled-13",MCDM_Settings!$F$11,MCDM_Settings!$D$11)=0,"n.a.",5*(COUNTIF(Z94:AB94,"Y")+COUNTIF(Z94:AB94,"U")+COUNTIF(Z94:AB94,"X"))/IF($D94="Unlabeled-13",MCDM_Settings!$F$11,MCDM_Settings!$D$11))</f>
        <v>5</v>
      </c>
      <c r="AT94" s="13">
        <f>IF(IF($D94="Unlabeled-13",MCDM_Settings!$F$11,MCDM_Settings!$D$11)=0,"n.a.",(COUNTIF(Z94:AB94,"Y")+COUNTIF(Z94:AB94,"N"))/IF($D94="Unlabeled-13",MCDM_Settings!$F$11,MCDM_Settings!$D$11))</f>
        <v>0</v>
      </c>
      <c r="AU94" s="5" t="str">
        <f>IF(AND(INDEX(Manual_Review!$G$6:$G$238,MATCH(A94,Manual_Review!$A$6:$A$238,0))&lt;&gt;"",ISNUMBER(INDEX(Manual_Review!$H$6:$H$238,MATCH(A94,Manual_Review!$A$6:$A$238,0))),INDEX(Manual_Review!$H$6:$H$238,MATCH(A94,Manual_Review!$A$6:$A$238,0))&gt;0,INDEX(Manual_Review!$I$6:$I$238,MATCH(A94,Manual_Review!$A$6:$A$238,0))="Confirmed",INDEX(Manual_Review!$AF$6:$AF$238,MATCH(A94,Manual_Review!$A$6:$A$238,0))&lt;&gt;""),IF(INDEX(Manual_Review!$AA$6:$AA$238,MATCH(A94,Manual_Review!$A$6:$A$238,0))="Pass","Pass",IF(INDEX(Manual_Review!$AA$6:$AA$238,MATCH(A94,Manual_Review!$A$6:$A$238,0))="Fail","Fail","Pending")),"Pending human identity confirmation")</f>
        <v>Pending human identity confirmation</v>
      </c>
      <c r="AV94" s="5" t="str">
        <f>IF(AND(AND(INDEX(Manual_Review!$G$6:$G$238,MATCH(A94,Manual_Review!$A$6:$A$238,0))&lt;&gt;"",ISNUMBER(INDEX(Manual_Review!$H$6:$H$238,MATCH(A94,Manual_Review!$A$6:$A$238,0))),INDEX(Manual_Review!$H$6:$H$238,MATCH(A94,Manual_Review!$A$6:$A$238,0))&gt;0,INDEX(Manual_Review!$I$6:$I$238,MATCH(A94,Manual_Review!$A$6:$A$238,0))="Confirmed",INDEX(Manual_Review!$AF$6:$AF$238,MATCH(A94,Manual_Review!$A$6:$A$238,0))&lt;&gt;""),INDEX(Manual_Review!$AG$6:$AG$238,MATCH(A94,Manual_Review!$A$6:$A$238,0))&lt;&gt;""),IF(INDEX(Manual_Review!$AB$6:$AB$238,MATCH(A94,Manual_Review!$A$6:$A$238,0))="Pass","Pass",IF(INDEX(Manual_Review!$AB$6:$AB$238,MATCH(A94,Manual_Review!$A$6:$A$238,0))="Fail","Fail","Pending")),"Not assessed: define intended task")</f>
        <v>Not assessed: define intended task</v>
      </c>
      <c r="AW94" s="5" t="str">
        <f>IF(AND(AND(INDEX(Manual_Review!$G$6:$G$238,MATCH(A94,Manual_Review!$A$6:$A$238,0))&lt;&gt;"",ISNUMBER(INDEX(Manual_Review!$H$6:$H$238,MATCH(A94,Manual_Review!$A$6:$A$238,0))),INDEX(Manual_Review!$H$6:$H$238,MATCH(A94,Manual_Review!$A$6:$A$238,0))&gt;0,INDEX(Manual_Review!$I$6:$I$238,MATCH(A94,Manual_Review!$A$6:$A$238,0))="Confirmed",INDEX(Manual_Review!$AF$6:$AF$238,MATCH(A94,Manual_Review!$A$6:$A$238,0))&lt;&gt;""),INDEX(Manual_Review!$AG$6:$AG$238,MATCH(A94,Manual_Review!$A$6:$A$238,0))&lt;&gt;""),IF(OR(INDEX(Manual_Review!$AC$6:$AC$238,MATCH(A94,Manual_Review!$A$6:$A$238,0))="Fail",INDEX(Manual_Review!$AD$6:$AD$238,MATCH(A94,Manual_Review!$A$6:$A$238,0))="Fail"),"Fail: rights or retrieval",IF(AND(INDEX(Manual_Review!$AC$6:$AC$238,MATCH(A94,Manual_Review!$A$6:$A$238,0))="Pass",INDEX(Manual_Review!$AD$6:$AD$238,MATCH(A94,Manual_Review!$A$6:$A$238,0))="Pass"),"Pass","Pending rights and retrieval")),"Pending rights and retrieval")</f>
        <v>Pending rights and retrieval</v>
      </c>
      <c r="AX94" s="5" t="str">
        <f>IF(INDEX(Manual_Review!$AG$6:$AG$238,MATCH(A94,Manual_Review!$A$6:$A$238,0))="","N/A: documentation inventory",IF(AND(INDEX(Manual_Review!$G$6:$G$238,MATCH(A94,Manual_Review!$A$6:$A$238,0))&lt;&gt;"",ISNUMBER(INDEX(Manual_Review!$H$6:$H$238,MATCH(A94,Manual_Review!$A$6:$A$238,0))),INDEX(Manual_Review!$H$6:$H$238,MATCH(A94,Manual_Review!$A$6:$A$238,0))&gt;0,INDEX(Manual_Review!$I$6:$I$238,MATCH(A94,Manual_Review!$A$6:$A$238,0))="Confirmed",INDEX(Manual_Review!$AF$6:$AF$238,MATCH(A94,Manual_Review!$A$6:$A$238,0))&lt;&gt;""),IF(INDEX(Manual_Review!$AE$6:$AE$238,MATCH(A94,Manual_Review!$A$6:$A$238,0))="Pass","Pass",IF(INDEX(Manual_Review!$AE$6:$AE$238,MATCH(A94,Manual_Review!$A$6:$A$238,0))="Fail","Fail: benchmark leakage",IF(INDEX(Manual_Review!$AE$6:$AE$238,MATCH(A94,Manual_Review!$A$6:$A$238,0))="N/A","N/A: nonbenchmark task","Pending task-specific leakage check"))),"Pending task-specific leakage check"))</f>
        <v>N/A: documentation inventory</v>
      </c>
      <c r="AY94" s="5" t="str">
        <f>IF(IF(D94="Unlabeled-13",AND(ABS(MCDM_Settings!$D$14-1)&lt;0.0000001,MIN(MCDM_Settings!$E$6:$E$11)&gt;=0,MCDM_Settings!$E$7=0),AND(ABS(MCDM_Settings!$B$14-1)&lt;0.0000001,MIN(MCDM_Settings!$C$6:$C$11)&gt;=0)),"Valid","Check weights")</f>
        <v>Valid</v>
      </c>
      <c r="AZ94" s="5" t="str">
        <f>IF(AND(COUNTIF(MCDM_Checks!$B$6:$B$3733,A94)=16,COUNTIF(Manual_Review!$A$6:$A$238,A94)=1),"16 keys present","Check key count")</f>
        <v>16 keys present</v>
      </c>
    </row>
    <row r="95" spans="1:52">
      <c r="A95" s="5" t="s">
        <v>1090</v>
      </c>
      <c r="B95" s="5" t="s">
        <v>1091</v>
      </c>
      <c r="C95" s="5"/>
      <c r="D95" s="5" t="s">
        <v>118</v>
      </c>
      <c r="E95" s="12">
        <f>IF(OR(AY95&lt;&gt;"Valid",AZ95&lt;&gt;"16 keys present"),"Review settings",20*(IF(ISNUMBER(AC95),AC95*IF($D95="Unlabeled-13",MCDM_Settings!$E$6,MCDM_Settings!$C$6),0)+IF(ISNUMBER(AF95),AF95*IF($D95="Unlabeled-13",MCDM_Settings!$E$7,MCDM_Settings!$C$7),0)+IF(ISNUMBER(AI95),AI95*IF($D95="Unlabeled-13",MCDM_Settings!$E$8,MCDM_Settings!$C$8),0)+IF(ISNUMBER(AL95),AL95*IF($D95="Unlabeled-13",MCDM_Settings!$E$9,MCDM_Settings!$C$9),0)+IF(ISNUMBER(AO95),AO95*IF($D95="Unlabeled-13",MCDM_Settings!$E$10,MCDM_Settings!$C$10),0)+IF(ISNUMBER(AR95),AR95*IF($D95="Unlabeled-13",MCDM_Settings!$E$11,MCDM_Settings!$C$11),0)))</f>
        <v>91.666666666666657</v>
      </c>
      <c r="F95" s="12">
        <f>IF(OR(AY95&lt;&gt;"Valid",AZ95&lt;&gt;"16 keys present"),"Review settings",20*(IF(ISNUMBER(AD95),AD95*IF($D95="Unlabeled-13",MCDM_Settings!$E$6,MCDM_Settings!$C$6),0)+IF(ISNUMBER(AG95),AG95*IF($D95="Unlabeled-13",MCDM_Settings!$E$7,MCDM_Settings!$C$7),0)+IF(ISNUMBER(AJ95),AJ95*IF($D95="Unlabeled-13",MCDM_Settings!$E$8,MCDM_Settings!$C$8),0)+IF(ISNUMBER(AM95),AM95*IF($D95="Unlabeled-13",MCDM_Settings!$E$9,MCDM_Settings!$C$9),0)+IF(ISNUMBER(AP95),AP95*IF($D95="Unlabeled-13",MCDM_Settings!$E$10,MCDM_Settings!$C$10),0)+IF(ISNUMBER(AS95),AS95*IF($D95="Unlabeled-13",MCDM_Settings!$E$11,MCDM_Settings!$C$11),0)))</f>
        <v>99.999999999999986</v>
      </c>
      <c r="G95" s="13">
        <f>IF(OR(AY95&lt;&gt;"Valid",AZ95&lt;&gt;"16 keys present"),"Review settings",1*(IF(ISNUMBER(AE95),AE95*IF($D95="Unlabeled-13",MCDM_Settings!$E$6,MCDM_Settings!$C$6),0)+IF(ISNUMBER(AH95),AH95*IF($D95="Unlabeled-13",MCDM_Settings!$E$7,MCDM_Settings!$C$7),0)+IF(ISNUMBER(AK95),AK95*IF($D95="Unlabeled-13",MCDM_Settings!$E$8,MCDM_Settings!$C$8),0)+IF(ISNUMBER(AN95),AN95*IF($D95="Unlabeled-13",MCDM_Settings!$E$9,MCDM_Settings!$C$9),0)+IF(ISNUMBER(AQ95),AQ95*IF($D95="Unlabeled-13",MCDM_Settings!$E$10,MCDM_Settings!$C$10),0)+IF(ISNUMBER(AT95),AT95*IF($D95="Unlabeled-13",MCDM_Settings!$E$11,MCDM_Settings!$C$11),0)))</f>
        <v>0.91666666666666663</v>
      </c>
      <c r="H95" s="5" t="str">
        <f>INDEX(Manual_Review!$AH$6:$AH$238,MATCH(A95,Manual_Review!$A$6:$A$238,0))</f>
        <v>Not started</v>
      </c>
      <c r="I95" s="5" t="s">
        <v>1101</v>
      </c>
      <c r="J95" s="5" t="s">
        <v>1092</v>
      </c>
      <c r="K95" s="5" t="str">
        <f>HYPERLINK("https://zenodo.org/records/17636238","Dataset")</f>
        <v>Dataset</v>
      </c>
      <c r="L95" s="5" t="str">
        <f>HYPERLINK("#'Manual_Review'!A"&amp;(MATCH("DS-090",Manual_Review!$A$6:$A$238,0)+5),"Enter review")</f>
        <v>Enter review</v>
      </c>
      <c r="M95" s="5" t="str">
        <f>INDEX(MCDM_Checks!$K$6:$K$3733,MATCH(A95&amp;"|"&amp;M$5,MCDM_Checks!$A$6:$A$3733,0))</f>
        <v>Y</v>
      </c>
      <c r="N95" s="5" t="str">
        <f>INDEX(MCDM_Checks!$K$6:$K$3733,MATCH(A95&amp;"|"&amp;N$5,MCDM_Checks!$A$6:$A$3733,0))</f>
        <v>Y</v>
      </c>
      <c r="O95" s="5" t="str">
        <f>INDEX(MCDM_Checks!$K$6:$K$3733,MATCH(A95&amp;"|"&amp;O$5,MCDM_Checks!$A$6:$A$3733,0))</f>
        <v>Y</v>
      </c>
      <c r="P95" s="5" t="str">
        <f>INDEX(MCDM_Checks!$K$6:$K$3733,MATCH(A95&amp;"|"&amp;P$5,MCDM_Checks!$A$6:$A$3733,0))</f>
        <v>Y</v>
      </c>
      <c r="Q95" s="5" t="str">
        <f>INDEX(MCDM_Checks!$K$6:$K$3733,MATCH(A95&amp;"|"&amp;Q$5,MCDM_Checks!$A$6:$A$3733,0))</f>
        <v>Y</v>
      </c>
      <c r="R95" s="5" t="str">
        <f>INDEX(MCDM_Checks!$K$6:$K$3733,MATCH(A95&amp;"|"&amp;R$5,MCDM_Checks!$A$6:$A$3733,0))</f>
        <v>Y</v>
      </c>
      <c r="S95" s="5" t="str">
        <f>INDEX(MCDM_Checks!$K$6:$K$3733,MATCH(A95&amp;"|"&amp;S$5,MCDM_Checks!$A$6:$A$3733,0))</f>
        <v>Y</v>
      </c>
      <c r="T95" s="5" t="str">
        <f>INDEX(MCDM_Checks!$K$6:$K$3733,MATCH(A95&amp;"|"&amp;T$5,MCDM_Checks!$A$6:$A$3733,0))</f>
        <v>Y</v>
      </c>
      <c r="U95" s="5" t="str">
        <f>INDEX(MCDM_Checks!$K$6:$K$3733,MATCH(A95&amp;"|"&amp;U$5,MCDM_Checks!$A$6:$A$3733,0))</f>
        <v>Y</v>
      </c>
      <c r="V95" s="5" t="str">
        <f>INDEX(MCDM_Checks!$K$6:$K$3733,MATCH(A95&amp;"|"&amp;V$5,MCDM_Checks!$A$6:$A$3733,0))</f>
        <v>Y</v>
      </c>
      <c r="W95" s="5" t="str">
        <f>INDEX(MCDM_Checks!$K$6:$K$3733,MATCH(A95&amp;"|"&amp;W$5,MCDM_Checks!$A$6:$A$3733,0))</f>
        <v>U</v>
      </c>
      <c r="X95" s="5" t="str">
        <f>INDEX(MCDM_Checks!$K$6:$K$3733,MATCH(A95&amp;"|"&amp;X$5,MCDM_Checks!$A$6:$A$3733,0))</f>
        <v>Y</v>
      </c>
      <c r="Y95" s="5" t="str">
        <f>INDEX(MCDM_Checks!$K$6:$K$3733,MATCH(A95&amp;"|"&amp;Y$5,MCDM_Checks!$A$6:$A$3733,0))</f>
        <v>Y</v>
      </c>
      <c r="Z95" s="5" t="str">
        <f>INDEX(MCDM_Checks!$K$6:$K$3733,MATCH(A95&amp;"|"&amp;Z$5,MCDM_Checks!$A$6:$A$3733,0))</f>
        <v>Y</v>
      </c>
      <c r="AA95" s="5" t="str">
        <f>INDEX(MCDM_Checks!$K$6:$K$3733,MATCH(A95&amp;"|"&amp;AA$5,MCDM_Checks!$A$6:$A$3733,0))</f>
        <v>Y</v>
      </c>
      <c r="AB95" s="5" t="str">
        <f>INDEX(MCDM_Checks!$K$6:$K$3733,MATCH(A95&amp;"|"&amp;AB$5,MCDM_Checks!$A$6:$A$3733,0))</f>
        <v>Y</v>
      </c>
      <c r="AC95" s="12">
        <f>IF(IF($D95="Unlabeled-13",MCDM_Settings!$F$6,MCDM_Settings!$D$6)=0,"n.a.",5*COUNTIF(M95:O95,"Y")/IF($D95="Unlabeled-13",MCDM_Settings!$F$6,MCDM_Settings!$D$6))</f>
        <v>5</v>
      </c>
      <c r="AD95" s="12">
        <f>IF(IF($D95="Unlabeled-13",MCDM_Settings!$F$6,MCDM_Settings!$D$6)=0,"n.a.",5*(COUNTIF(M95:O95,"Y")+COUNTIF(M95:O95,"U")+COUNTIF(M95:O95,"X"))/IF($D95="Unlabeled-13",MCDM_Settings!$F$6,MCDM_Settings!$D$6))</f>
        <v>5</v>
      </c>
      <c r="AE95" s="13">
        <f>IF(IF($D95="Unlabeled-13",MCDM_Settings!$F$6,MCDM_Settings!$D$6)=0,"n.a.",(COUNTIF(M95:O95,"Y")+COUNTIF(M95:O95,"N"))/IF($D95="Unlabeled-13",MCDM_Settings!$F$6,MCDM_Settings!$D$6))</f>
        <v>1</v>
      </c>
      <c r="AF95" s="12">
        <f>IF(IF($D95="Unlabeled-13",MCDM_Settings!$F$7,MCDM_Settings!$D$7)=0,"n.a.",5*COUNTIF(P95:R95,"Y")/IF($D95="Unlabeled-13",MCDM_Settings!$F$7,MCDM_Settings!$D$7))</f>
        <v>5</v>
      </c>
      <c r="AG95" s="12">
        <f>IF(IF($D95="Unlabeled-13",MCDM_Settings!$F$7,MCDM_Settings!$D$7)=0,"n.a.",5*(COUNTIF(P95:R95,"Y")+COUNTIF(P95:R95,"U")+COUNTIF(P95:R95,"X"))/IF($D95="Unlabeled-13",MCDM_Settings!$F$7,MCDM_Settings!$D$7))</f>
        <v>5</v>
      </c>
      <c r="AH95" s="13">
        <f>IF(IF($D95="Unlabeled-13",MCDM_Settings!$F$7,MCDM_Settings!$D$7)=0,"n.a.",(COUNTIF(P95:R95,"Y")+COUNTIF(P95:R95,"N"))/IF($D95="Unlabeled-13",MCDM_Settings!$F$7,MCDM_Settings!$D$7))</f>
        <v>1</v>
      </c>
      <c r="AI95" s="12">
        <f>IF(IF($D95="Unlabeled-13",MCDM_Settings!$F$8,MCDM_Settings!$D$8)=0,"n.a.",5*COUNTIF(S95:U95,"Y")/IF($D95="Unlabeled-13",MCDM_Settings!$F$8,MCDM_Settings!$D$8))</f>
        <v>5</v>
      </c>
      <c r="AJ95" s="12">
        <f>IF(IF($D95="Unlabeled-13",MCDM_Settings!$F$8,MCDM_Settings!$D$8)=0,"n.a.",5*(COUNTIF(S95:U95,"Y")+COUNTIF(S95:U95,"U")+COUNTIF(S95:U95,"X"))/IF($D95="Unlabeled-13",MCDM_Settings!$F$8,MCDM_Settings!$D$8))</f>
        <v>5</v>
      </c>
      <c r="AK95" s="13">
        <f>IF(IF($D95="Unlabeled-13",MCDM_Settings!$F$8,MCDM_Settings!$D$8)=0,"n.a.",(COUNTIF(S95:U95,"Y")+COUNTIF(S95:U95,"N"))/IF($D95="Unlabeled-13",MCDM_Settings!$F$8,MCDM_Settings!$D$8))</f>
        <v>1</v>
      </c>
      <c r="AL95" s="12">
        <f>IF(IF($D95="Unlabeled-13",MCDM_Settings!$F$9,MCDM_Settings!$D$9)=0,"n.a.",5*COUNTIF(V95:W95,"Y")/IF($D95="Unlabeled-13",MCDM_Settings!$F$9,MCDM_Settings!$D$9))</f>
        <v>2.5</v>
      </c>
      <c r="AM95" s="12">
        <f>IF(IF($D95="Unlabeled-13",MCDM_Settings!$F$9,MCDM_Settings!$D$9)=0,"n.a.",5*(COUNTIF(V95:W95,"Y")+COUNTIF(V95:W95,"U")+COUNTIF(V95:W95,"X"))/IF($D95="Unlabeled-13",MCDM_Settings!$F$9,MCDM_Settings!$D$9))</f>
        <v>5</v>
      </c>
      <c r="AN95" s="13">
        <f>IF(IF($D95="Unlabeled-13",MCDM_Settings!$F$9,MCDM_Settings!$D$9)=0,"n.a.",(COUNTIF(V95:W95,"Y")+COUNTIF(V95:W95,"N"))/IF($D95="Unlabeled-13",MCDM_Settings!$F$9,MCDM_Settings!$D$9))</f>
        <v>0.5</v>
      </c>
      <c r="AO95" s="12">
        <f>IF(IF($D95="Unlabeled-13",MCDM_Settings!$F$10,MCDM_Settings!$D$10)=0,"n.a.",5*COUNTIF(X95:Y95,"Y")/IF($D95="Unlabeled-13",MCDM_Settings!$F$10,MCDM_Settings!$D$10))</f>
        <v>5</v>
      </c>
      <c r="AP95" s="12">
        <f>IF(IF($D95="Unlabeled-13",MCDM_Settings!$F$10,MCDM_Settings!$D$10)=0,"n.a.",5*(COUNTIF(X95:Y95,"Y")+COUNTIF(X95:Y95,"U")+COUNTIF(X95:Y95,"X"))/IF($D95="Unlabeled-13",MCDM_Settings!$F$10,MCDM_Settings!$D$10))</f>
        <v>5</v>
      </c>
      <c r="AQ95" s="13">
        <f>IF(IF($D95="Unlabeled-13",MCDM_Settings!$F$10,MCDM_Settings!$D$10)=0,"n.a.",(COUNTIF(X95:Y95,"Y")+COUNTIF(X95:Y95,"N"))/IF($D95="Unlabeled-13",MCDM_Settings!$F$10,MCDM_Settings!$D$10))</f>
        <v>1</v>
      </c>
      <c r="AR95" s="12">
        <f>IF(IF($D95="Unlabeled-13",MCDM_Settings!$F$11,MCDM_Settings!$D$11)=0,"n.a.",5*COUNTIF(Z95:AB95,"Y")/IF($D95="Unlabeled-13",MCDM_Settings!$F$11,MCDM_Settings!$D$11))</f>
        <v>5</v>
      </c>
      <c r="AS95" s="12">
        <f>IF(IF($D95="Unlabeled-13",MCDM_Settings!$F$11,MCDM_Settings!$D$11)=0,"n.a.",5*(COUNTIF(Z95:AB95,"Y")+COUNTIF(Z95:AB95,"U")+COUNTIF(Z95:AB95,"X"))/IF($D95="Unlabeled-13",MCDM_Settings!$F$11,MCDM_Settings!$D$11))</f>
        <v>5</v>
      </c>
      <c r="AT95" s="13">
        <f>IF(IF($D95="Unlabeled-13",MCDM_Settings!$F$11,MCDM_Settings!$D$11)=0,"n.a.",(COUNTIF(Z95:AB95,"Y")+COUNTIF(Z95:AB95,"N"))/IF($D95="Unlabeled-13",MCDM_Settings!$F$11,MCDM_Settings!$D$11))</f>
        <v>1</v>
      </c>
      <c r="AU95" s="5" t="str">
        <f>IF(AND(INDEX(Manual_Review!$G$6:$G$238,MATCH(A95,Manual_Review!$A$6:$A$238,0))&lt;&gt;"",ISNUMBER(INDEX(Manual_Review!$H$6:$H$238,MATCH(A95,Manual_Review!$A$6:$A$238,0))),INDEX(Manual_Review!$H$6:$H$238,MATCH(A95,Manual_Review!$A$6:$A$238,0))&gt;0,INDEX(Manual_Review!$I$6:$I$238,MATCH(A95,Manual_Review!$A$6:$A$238,0))="Confirmed",INDEX(Manual_Review!$AF$6:$AF$238,MATCH(A95,Manual_Review!$A$6:$A$238,0))&lt;&gt;""),IF(INDEX(Manual_Review!$AA$6:$AA$238,MATCH(A95,Manual_Review!$A$6:$A$238,0))="Pass","Pass",IF(INDEX(Manual_Review!$AA$6:$AA$238,MATCH(A95,Manual_Review!$A$6:$A$238,0))="Fail","Fail","Pending")),"Pending human identity confirmation")</f>
        <v>Pending human identity confirmation</v>
      </c>
      <c r="AV95" s="5" t="str">
        <f>IF(AND(AND(INDEX(Manual_Review!$G$6:$G$238,MATCH(A95,Manual_Review!$A$6:$A$238,0))&lt;&gt;"",ISNUMBER(INDEX(Manual_Review!$H$6:$H$238,MATCH(A95,Manual_Review!$A$6:$A$238,0))),INDEX(Manual_Review!$H$6:$H$238,MATCH(A95,Manual_Review!$A$6:$A$238,0))&gt;0,INDEX(Manual_Review!$I$6:$I$238,MATCH(A95,Manual_Review!$A$6:$A$238,0))="Confirmed",INDEX(Manual_Review!$AF$6:$AF$238,MATCH(A95,Manual_Review!$A$6:$A$238,0))&lt;&gt;""),INDEX(Manual_Review!$AG$6:$AG$238,MATCH(A95,Manual_Review!$A$6:$A$238,0))&lt;&gt;""),IF(INDEX(Manual_Review!$AB$6:$AB$238,MATCH(A95,Manual_Review!$A$6:$A$238,0))="Pass","Pass",IF(INDEX(Manual_Review!$AB$6:$AB$238,MATCH(A95,Manual_Review!$A$6:$A$238,0))="Fail","Fail","Pending")),"Not assessed: define intended task")</f>
        <v>Not assessed: define intended task</v>
      </c>
      <c r="AW95" s="5" t="str">
        <f>IF(AND(AND(INDEX(Manual_Review!$G$6:$G$238,MATCH(A95,Manual_Review!$A$6:$A$238,0))&lt;&gt;"",ISNUMBER(INDEX(Manual_Review!$H$6:$H$238,MATCH(A95,Manual_Review!$A$6:$A$238,0))),INDEX(Manual_Review!$H$6:$H$238,MATCH(A95,Manual_Review!$A$6:$A$238,0))&gt;0,INDEX(Manual_Review!$I$6:$I$238,MATCH(A95,Manual_Review!$A$6:$A$238,0))="Confirmed",INDEX(Manual_Review!$AF$6:$AF$238,MATCH(A95,Manual_Review!$A$6:$A$238,0))&lt;&gt;""),INDEX(Manual_Review!$AG$6:$AG$238,MATCH(A95,Manual_Review!$A$6:$A$238,0))&lt;&gt;""),IF(OR(INDEX(Manual_Review!$AC$6:$AC$238,MATCH(A95,Manual_Review!$A$6:$A$238,0))="Fail",INDEX(Manual_Review!$AD$6:$AD$238,MATCH(A95,Manual_Review!$A$6:$A$238,0))="Fail"),"Fail: rights or retrieval",IF(AND(INDEX(Manual_Review!$AC$6:$AC$238,MATCH(A95,Manual_Review!$A$6:$A$238,0))="Pass",INDEX(Manual_Review!$AD$6:$AD$238,MATCH(A95,Manual_Review!$A$6:$A$238,0))="Pass"),"Pass","Pending rights and retrieval")),"Pending rights and retrieval")</f>
        <v>Pending rights and retrieval</v>
      </c>
      <c r="AX95" s="5" t="str">
        <f>IF(INDEX(Manual_Review!$AG$6:$AG$238,MATCH(A95,Manual_Review!$A$6:$A$238,0))="","N/A: documentation inventory",IF(AND(INDEX(Manual_Review!$G$6:$G$238,MATCH(A95,Manual_Review!$A$6:$A$238,0))&lt;&gt;"",ISNUMBER(INDEX(Manual_Review!$H$6:$H$238,MATCH(A95,Manual_Review!$A$6:$A$238,0))),INDEX(Manual_Review!$H$6:$H$238,MATCH(A95,Manual_Review!$A$6:$A$238,0))&gt;0,INDEX(Manual_Review!$I$6:$I$238,MATCH(A95,Manual_Review!$A$6:$A$238,0))="Confirmed",INDEX(Manual_Review!$AF$6:$AF$238,MATCH(A95,Manual_Review!$A$6:$A$238,0))&lt;&gt;""),IF(INDEX(Manual_Review!$AE$6:$AE$238,MATCH(A95,Manual_Review!$A$6:$A$238,0))="Pass","Pass",IF(INDEX(Manual_Review!$AE$6:$AE$238,MATCH(A95,Manual_Review!$A$6:$A$238,0))="Fail","Fail: benchmark leakage",IF(INDEX(Manual_Review!$AE$6:$AE$238,MATCH(A95,Manual_Review!$A$6:$A$238,0))="N/A","N/A: nonbenchmark task","Pending task-specific leakage check"))),"Pending task-specific leakage check"))</f>
        <v>N/A: documentation inventory</v>
      </c>
      <c r="AY95" s="5" t="str">
        <f>IF(IF(D95="Unlabeled-13",AND(ABS(MCDM_Settings!$D$14-1)&lt;0.0000001,MIN(MCDM_Settings!$E$6:$E$11)&gt;=0,MCDM_Settings!$E$7=0),AND(ABS(MCDM_Settings!$B$14-1)&lt;0.0000001,MIN(MCDM_Settings!$C$6:$C$11)&gt;=0)),"Valid","Check weights")</f>
        <v>Valid</v>
      </c>
      <c r="AZ95" s="5" t="str">
        <f>IF(AND(COUNTIF(MCDM_Checks!$B$6:$B$3733,A95)=16,COUNTIF(Manual_Review!$A$6:$A$238,A95)=1),"16 keys present","Check key count")</f>
        <v>16 keys present</v>
      </c>
    </row>
    <row r="96" spans="1:52">
      <c r="A96" s="5" t="s">
        <v>1105</v>
      </c>
      <c r="B96" s="5" t="s">
        <v>1106</v>
      </c>
      <c r="C96" s="5"/>
      <c r="D96" s="5" t="s">
        <v>118</v>
      </c>
      <c r="E96" s="12">
        <f>IF(OR(AY96&lt;&gt;"Valid",AZ96&lt;&gt;"16 keys present"),"Review settings",20*(IF(ISNUMBER(AC96),AC96*IF($D96="Unlabeled-13",MCDM_Settings!$E$6,MCDM_Settings!$C$6),0)+IF(ISNUMBER(AF96),AF96*IF($D96="Unlabeled-13",MCDM_Settings!$E$7,MCDM_Settings!$C$7),0)+IF(ISNUMBER(AI96),AI96*IF($D96="Unlabeled-13",MCDM_Settings!$E$8,MCDM_Settings!$C$8),0)+IF(ISNUMBER(AL96),AL96*IF($D96="Unlabeled-13",MCDM_Settings!$E$9,MCDM_Settings!$C$9),0)+IF(ISNUMBER(AO96),AO96*IF($D96="Unlabeled-13",MCDM_Settings!$E$10,MCDM_Settings!$C$10),0)+IF(ISNUMBER(AR96),AR96*IF($D96="Unlabeled-13",MCDM_Settings!$E$11,MCDM_Settings!$C$11),0)))</f>
        <v>50</v>
      </c>
      <c r="F96" s="12">
        <f>IF(OR(AY96&lt;&gt;"Valid",AZ96&lt;&gt;"16 keys present"),"Review settings",20*(IF(ISNUMBER(AD96),AD96*IF($D96="Unlabeled-13",MCDM_Settings!$E$6,MCDM_Settings!$C$6),0)+IF(ISNUMBER(AG96),AG96*IF($D96="Unlabeled-13",MCDM_Settings!$E$7,MCDM_Settings!$C$7),0)+IF(ISNUMBER(AJ96),AJ96*IF($D96="Unlabeled-13",MCDM_Settings!$E$8,MCDM_Settings!$C$8),0)+IF(ISNUMBER(AM96),AM96*IF($D96="Unlabeled-13",MCDM_Settings!$E$9,MCDM_Settings!$C$9),0)+IF(ISNUMBER(AP96),AP96*IF($D96="Unlabeled-13",MCDM_Settings!$E$10,MCDM_Settings!$C$10),0)+IF(ISNUMBER(AS96),AS96*IF($D96="Unlabeled-13",MCDM_Settings!$E$11,MCDM_Settings!$C$11),0)))</f>
        <v>99.999999999999986</v>
      </c>
      <c r="G96" s="13">
        <f>IF(OR(AY96&lt;&gt;"Valid",AZ96&lt;&gt;"16 keys present"),"Review settings",1*(IF(ISNUMBER(AE96),AE96*IF($D96="Unlabeled-13",MCDM_Settings!$E$6,MCDM_Settings!$C$6),0)+IF(ISNUMBER(AH96),AH96*IF($D96="Unlabeled-13",MCDM_Settings!$E$7,MCDM_Settings!$C$7),0)+IF(ISNUMBER(AK96),AK96*IF($D96="Unlabeled-13",MCDM_Settings!$E$8,MCDM_Settings!$C$8),0)+IF(ISNUMBER(AN96),AN96*IF($D96="Unlabeled-13",MCDM_Settings!$E$9,MCDM_Settings!$C$9),0)+IF(ISNUMBER(AQ96),AQ96*IF($D96="Unlabeled-13",MCDM_Settings!$E$10,MCDM_Settings!$C$10),0)+IF(ISNUMBER(AT96),AT96*IF($D96="Unlabeled-13",MCDM_Settings!$E$11,MCDM_Settings!$C$11),0)))</f>
        <v>0.5</v>
      </c>
      <c r="H96" s="5" t="str">
        <f>INDEX(Manual_Review!$AH$6:$AH$238,MATCH(A96,Manual_Review!$A$6:$A$238,0))</f>
        <v>Not started</v>
      </c>
      <c r="I96" s="5" t="s">
        <v>128</v>
      </c>
      <c r="J96" s="5" t="s">
        <v>1107</v>
      </c>
      <c r="K96" s="5" t="str">
        <f>HYPERLINK("https://huggingface.co/datasets/fcakyon/crack-instance-segmentation","Dataset")</f>
        <v>Dataset</v>
      </c>
      <c r="L96" s="5" t="str">
        <f>HYPERLINK("#'Manual_Review'!A"&amp;(MATCH("DS-091",Manual_Review!$A$6:$A$238,0)+5),"Enter review")</f>
        <v>Enter review</v>
      </c>
      <c r="M96" s="5" t="str">
        <f>INDEX(MCDM_Checks!$K$6:$K$3733,MATCH(A96&amp;"|"&amp;M$5,MCDM_Checks!$A$6:$A$3733,0))</f>
        <v>Y</v>
      </c>
      <c r="N96" s="5" t="str">
        <f>INDEX(MCDM_Checks!$K$6:$K$3733,MATCH(A96&amp;"|"&amp;N$5,MCDM_Checks!$A$6:$A$3733,0))</f>
        <v>Y</v>
      </c>
      <c r="O96" s="5" t="str">
        <f>INDEX(MCDM_Checks!$K$6:$K$3733,MATCH(A96&amp;"|"&amp;O$5,MCDM_Checks!$A$6:$A$3733,0))</f>
        <v>Y</v>
      </c>
      <c r="P96" s="5" t="str">
        <f>INDEX(MCDM_Checks!$K$6:$K$3733,MATCH(A96&amp;"|"&amp;P$5,MCDM_Checks!$A$6:$A$3733,0))</f>
        <v>Y</v>
      </c>
      <c r="Q96" s="5" t="str">
        <f>INDEX(MCDM_Checks!$K$6:$K$3733,MATCH(A96&amp;"|"&amp;Q$5,MCDM_Checks!$A$6:$A$3733,0))</f>
        <v>Y</v>
      </c>
      <c r="R96" s="5" t="str">
        <f>INDEX(MCDM_Checks!$K$6:$K$3733,MATCH(A96&amp;"|"&amp;R$5,MCDM_Checks!$A$6:$A$3733,0))</f>
        <v>U</v>
      </c>
      <c r="S96" s="5" t="str">
        <f>INDEX(MCDM_Checks!$K$6:$K$3733,MATCH(A96&amp;"|"&amp;S$5,MCDM_Checks!$A$6:$A$3733,0))</f>
        <v>Y</v>
      </c>
      <c r="T96" s="5" t="str">
        <f>INDEX(MCDM_Checks!$K$6:$K$3733,MATCH(A96&amp;"|"&amp;T$5,MCDM_Checks!$A$6:$A$3733,0))</f>
        <v>Y</v>
      </c>
      <c r="U96" s="5" t="str">
        <f>INDEX(MCDM_Checks!$K$6:$K$3733,MATCH(A96&amp;"|"&amp;U$5,MCDM_Checks!$A$6:$A$3733,0))</f>
        <v>Y</v>
      </c>
      <c r="V96" s="5" t="str">
        <f>INDEX(MCDM_Checks!$K$6:$K$3733,MATCH(A96&amp;"|"&amp;V$5,MCDM_Checks!$A$6:$A$3733,0))</f>
        <v>U</v>
      </c>
      <c r="W96" s="5" t="str">
        <f>INDEX(MCDM_Checks!$K$6:$K$3733,MATCH(A96&amp;"|"&amp;W$5,MCDM_Checks!$A$6:$A$3733,0))</f>
        <v>U</v>
      </c>
      <c r="X96" s="5" t="str">
        <f>INDEX(MCDM_Checks!$K$6:$K$3733,MATCH(A96&amp;"|"&amp;X$5,MCDM_Checks!$A$6:$A$3733,0))</f>
        <v>U</v>
      </c>
      <c r="Y96" s="5" t="str">
        <f>INDEX(MCDM_Checks!$K$6:$K$3733,MATCH(A96&amp;"|"&amp;Y$5,MCDM_Checks!$A$6:$A$3733,0))</f>
        <v>U</v>
      </c>
      <c r="Z96" s="5" t="str">
        <f>INDEX(MCDM_Checks!$K$6:$K$3733,MATCH(A96&amp;"|"&amp;Z$5,MCDM_Checks!$A$6:$A$3733,0))</f>
        <v>Y</v>
      </c>
      <c r="AA96" s="5" t="str">
        <f>INDEX(MCDM_Checks!$K$6:$K$3733,MATCH(A96&amp;"|"&amp;AA$5,MCDM_Checks!$A$6:$A$3733,0))</f>
        <v>U</v>
      </c>
      <c r="AB96" s="5" t="str">
        <f>INDEX(MCDM_Checks!$K$6:$K$3733,MATCH(A96&amp;"|"&amp;AB$5,MCDM_Checks!$A$6:$A$3733,0))</f>
        <v>U</v>
      </c>
      <c r="AC96" s="12">
        <f>IF(IF($D96="Unlabeled-13",MCDM_Settings!$F$6,MCDM_Settings!$D$6)=0,"n.a.",5*COUNTIF(M96:O96,"Y")/IF($D96="Unlabeled-13",MCDM_Settings!$F$6,MCDM_Settings!$D$6))</f>
        <v>5</v>
      </c>
      <c r="AD96" s="12">
        <f>IF(IF($D96="Unlabeled-13",MCDM_Settings!$F$6,MCDM_Settings!$D$6)=0,"n.a.",5*(COUNTIF(M96:O96,"Y")+COUNTIF(M96:O96,"U")+COUNTIF(M96:O96,"X"))/IF($D96="Unlabeled-13",MCDM_Settings!$F$6,MCDM_Settings!$D$6))</f>
        <v>5</v>
      </c>
      <c r="AE96" s="13">
        <f>IF(IF($D96="Unlabeled-13",MCDM_Settings!$F$6,MCDM_Settings!$D$6)=0,"n.a.",(COUNTIF(M96:O96,"Y")+COUNTIF(M96:O96,"N"))/IF($D96="Unlabeled-13",MCDM_Settings!$F$6,MCDM_Settings!$D$6))</f>
        <v>1</v>
      </c>
      <c r="AF96" s="12">
        <f>IF(IF($D96="Unlabeled-13",MCDM_Settings!$F$7,MCDM_Settings!$D$7)=0,"n.a.",5*COUNTIF(P96:R96,"Y")/IF($D96="Unlabeled-13",MCDM_Settings!$F$7,MCDM_Settings!$D$7))</f>
        <v>3.3333333333333335</v>
      </c>
      <c r="AG96" s="12">
        <f>IF(IF($D96="Unlabeled-13",MCDM_Settings!$F$7,MCDM_Settings!$D$7)=0,"n.a.",5*(COUNTIF(P96:R96,"Y")+COUNTIF(P96:R96,"U")+COUNTIF(P96:R96,"X"))/IF($D96="Unlabeled-13",MCDM_Settings!$F$7,MCDM_Settings!$D$7))</f>
        <v>5</v>
      </c>
      <c r="AH96" s="13">
        <f>IF(IF($D96="Unlabeled-13",MCDM_Settings!$F$7,MCDM_Settings!$D$7)=0,"n.a.",(COUNTIF(P96:R96,"Y")+COUNTIF(P96:R96,"N"))/IF($D96="Unlabeled-13",MCDM_Settings!$F$7,MCDM_Settings!$D$7))</f>
        <v>0.66666666666666663</v>
      </c>
      <c r="AI96" s="12">
        <f>IF(IF($D96="Unlabeled-13",MCDM_Settings!$F$8,MCDM_Settings!$D$8)=0,"n.a.",5*COUNTIF(S96:U96,"Y")/IF($D96="Unlabeled-13",MCDM_Settings!$F$8,MCDM_Settings!$D$8))</f>
        <v>5</v>
      </c>
      <c r="AJ96" s="12">
        <f>IF(IF($D96="Unlabeled-13",MCDM_Settings!$F$8,MCDM_Settings!$D$8)=0,"n.a.",5*(COUNTIF(S96:U96,"Y")+COUNTIF(S96:U96,"U")+COUNTIF(S96:U96,"X"))/IF($D96="Unlabeled-13",MCDM_Settings!$F$8,MCDM_Settings!$D$8))</f>
        <v>5</v>
      </c>
      <c r="AK96" s="13">
        <f>IF(IF($D96="Unlabeled-13",MCDM_Settings!$F$8,MCDM_Settings!$D$8)=0,"n.a.",(COUNTIF(S96:U96,"Y")+COUNTIF(S96:U96,"N"))/IF($D96="Unlabeled-13",MCDM_Settings!$F$8,MCDM_Settings!$D$8))</f>
        <v>1</v>
      </c>
      <c r="AL96" s="12">
        <f>IF(IF($D96="Unlabeled-13",MCDM_Settings!$F$9,MCDM_Settings!$D$9)=0,"n.a.",5*COUNTIF(V96:W96,"Y")/IF($D96="Unlabeled-13",MCDM_Settings!$F$9,MCDM_Settings!$D$9))</f>
        <v>0</v>
      </c>
      <c r="AM96" s="12">
        <f>IF(IF($D96="Unlabeled-13",MCDM_Settings!$F$9,MCDM_Settings!$D$9)=0,"n.a.",5*(COUNTIF(V96:W96,"Y")+COUNTIF(V96:W96,"U")+COUNTIF(V96:W96,"X"))/IF($D96="Unlabeled-13",MCDM_Settings!$F$9,MCDM_Settings!$D$9))</f>
        <v>5</v>
      </c>
      <c r="AN96" s="13">
        <f>IF(IF($D96="Unlabeled-13",MCDM_Settings!$F$9,MCDM_Settings!$D$9)=0,"n.a.",(COUNTIF(V96:W96,"Y")+COUNTIF(V96:W96,"N"))/IF($D96="Unlabeled-13",MCDM_Settings!$F$9,MCDM_Settings!$D$9))</f>
        <v>0</v>
      </c>
      <c r="AO96" s="12">
        <f>IF(IF($D96="Unlabeled-13",MCDM_Settings!$F$10,MCDM_Settings!$D$10)=0,"n.a.",5*COUNTIF(X96:Y96,"Y")/IF($D96="Unlabeled-13",MCDM_Settings!$F$10,MCDM_Settings!$D$10))</f>
        <v>0</v>
      </c>
      <c r="AP96" s="12">
        <f>IF(IF($D96="Unlabeled-13",MCDM_Settings!$F$10,MCDM_Settings!$D$10)=0,"n.a.",5*(COUNTIF(X96:Y96,"Y")+COUNTIF(X96:Y96,"U")+COUNTIF(X96:Y96,"X"))/IF($D96="Unlabeled-13",MCDM_Settings!$F$10,MCDM_Settings!$D$10))</f>
        <v>5</v>
      </c>
      <c r="AQ96" s="13">
        <f>IF(IF($D96="Unlabeled-13",MCDM_Settings!$F$10,MCDM_Settings!$D$10)=0,"n.a.",(COUNTIF(X96:Y96,"Y")+COUNTIF(X96:Y96,"N"))/IF($D96="Unlabeled-13",MCDM_Settings!$F$10,MCDM_Settings!$D$10))</f>
        <v>0</v>
      </c>
      <c r="AR96" s="12">
        <f>IF(IF($D96="Unlabeled-13",MCDM_Settings!$F$11,MCDM_Settings!$D$11)=0,"n.a.",5*COUNTIF(Z96:AB96,"Y")/IF($D96="Unlabeled-13",MCDM_Settings!$F$11,MCDM_Settings!$D$11))</f>
        <v>1.6666666666666667</v>
      </c>
      <c r="AS96" s="12">
        <f>IF(IF($D96="Unlabeled-13",MCDM_Settings!$F$11,MCDM_Settings!$D$11)=0,"n.a.",5*(COUNTIF(Z96:AB96,"Y")+COUNTIF(Z96:AB96,"U")+COUNTIF(Z96:AB96,"X"))/IF($D96="Unlabeled-13",MCDM_Settings!$F$11,MCDM_Settings!$D$11))</f>
        <v>5</v>
      </c>
      <c r="AT96" s="13">
        <f>IF(IF($D96="Unlabeled-13",MCDM_Settings!$F$11,MCDM_Settings!$D$11)=0,"n.a.",(COUNTIF(Z96:AB96,"Y")+COUNTIF(Z96:AB96,"N"))/IF($D96="Unlabeled-13",MCDM_Settings!$F$11,MCDM_Settings!$D$11))</f>
        <v>0.33333333333333331</v>
      </c>
      <c r="AU96" s="5" t="str">
        <f>IF(AND(INDEX(Manual_Review!$G$6:$G$238,MATCH(A96,Manual_Review!$A$6:$A$238,0))&lt;&gt;"",ISNUMBER(INDEX(Manual_Review!$H$6:$H$238,MATCH(A96,Manual_Review!$A$6:$A$238,0))),INDEX(Manual_Review!$H$6:$H$238,MATCH(A96,Manual_Review!$A$6:$A$238,0))&gt;0,INDEX(Manual_Review!$I$6:$I$238,MATCH(A96,Manual_Review!$A$6:$A$238,0))="Confirmed",INDEX(Manual_Review!$AF$6:$AF$238,MATCH(A96,Manual_Review!$A$6:$A$238,0))&lt;&gt;""),IF(INDEX(Manual_Review!$AA$6:$AA$238,MATCH(A96,Manual_Review!$A$6:$A$238,0))="Pass","Pass",IF(INDEX(Manual_Review!$AA$6:$AA$238,MATCH(A96,Manual_Review!$A$6:$A$238,0))="Fail","Fail","Pending")),"Pending human identity confirmation")</f>
        <v>Pending human identity confirmation</v>
      </c>
      <c r="AV96" s="5" t="str">
        <f>IF(AND(AND(INDEX(Manual_Review!$G$6:$G$238,MATCH(A96,Manual_Review!$A$6:$A$238,0))&lt;&gt;"",ISNUMBER(INDEX(Manual_Review!$H$6:$H$238,MATCH(A96,Manual_Review!$A$6:$A$238,0))),INDEX(Manual_Review!$H$6:$H$238,MATCH(A96,Manual_Review!$A$6:$A$238,0))&gt;0,INDEX(Manual_Review!$I$6:$I$238,MATCH(A96,Manual_Review!$A$6:$A$238,0))="Confirmed",INDEX(Manual_Review!$AF$6:$AF$238,MATCH(A96,Manual_Review!$A$6:$A$238,0))&lt;&gt;""),INDEX(Manual_Review!$AG$6:$AG$238,MATCH(A96,Manual_Review!$A$6:$A$238,0))&lt;&gt;""),IF(INDEX(Manual_Review!$AB$6:$AB$238,MATCH(A96,Manual_Review!$A$6:$A$238,0))="Pass","Pass",IF(INDEX(Manual_Review!$AB$6:$AB$238,MATCH(A96,Manual_Review!$A$6:$A$238,0))="Fail","Fail","Pending")),"Not assessed: define intended task")</f>
        <v>Not assessed: define intended task</v>
      </c>
      <c r="AW96" s="5" t="str">
        <f>IF(AND(AND(INDEX(Manual_Review!$G$6:$G$238,MATCH(A96,Manual_Review!$A$6:$A$238,0))&lt;&gt;"",ISNUMBER(INDEX(Manual_Review!$H$6:$H$238,MATCH(A96,Manual_Review!$A$6:$A$238,0))),INDEX(Manual_Review!$H$6:$H$238,MATCH(A96,Manual_Review!$A$6:$A$238,0))&gt;0,INDEX(Manual_Review!$I$6:$I$238,MATCH(A96,Manual_Review!$A$6:$A$238,0))="Confirmed",INDEX(Manual_Review!$AF$6:$AF$238,MATCH(A96,Manual_Review!$A$6:$A$238,0))&lt;&gt;""),INDEX(Manual_Review!$AG$6:$AG$238,MATCH(A96,Manual_Review!$A$6:$A$238,0))&lt;&gt;""),IF(OR(INDEX(Manual_Review!$AC$6:$AC$238,MATCH(A96,Manual_Review!$A$6:$A$238,0))="Fail",INDEX(Manual_Review!$AD$6:$AD$238,MATCH(A96,Manual_Review!$A$6:$A$238,0))="Fail"),"Fail: rights or retrieval",IF(AND(INDEX(Manual_Review!$AC$6:$AC$238,MATCH(A96,Manual_Review!$A$6:$A$238,0))="Pass",INDEX(Manual_Review!$AD$6:$AD$238,MATCH(A96,Manual_Review!$A$6:$A$238,0))="Pass"),"Pass","Pending rights and retrieval")),"Pending rights and retrieval")</f>
        <v>Pending rights and retrieval</v>
      </c>
      <c r="AX96" s="5" t="str">
        <f>IF(INDEX(Manual_Review!$AG$6:$AG$238,MATCH(A96,Manual_Review!$A$6:$A$238,0))="","N/A: documentation inventory",IF(AND(INDEX(Manual_Review!$G$6:$G$238,MATCH(A96,Manual_Review!$A$6:$A$238,0))&lt;&gt;"",ISNUMBER(INDEX(Manual_Review!$H$6:$H$238,MATCH(A96,Manual_Review!$A$6:$A$238,0))),INDEX(Manual_Review!$H$6:$H$238,MATCH(A96,Manual_Review!$A$6:$A$238,0))&gt;0,INDEX(Manual_Review!$I$6:$I$238,MATCH(A96,Manual_Review!$A$6:$A$238,0))="Confirmed",INDEX(Manual_Review!$AF$6:$AF$238,MATCH(A96,Manual_Review!$A$6:$A$238,0))&lt;&gt;""),IF(INDEX(Manual_Review!$AE$6:$AE$238,MATCH(A96,Manual_Review!$A$6:$A$238,0))="Pass","Pass",IF(INDEX(Manual_Review!$AE$6:$AE$238,MATCH(A96,Manual_Review!$A$6:$A$238,0))="Fail","Fail: benchmark leakage",IF(INDEX(Manual_Review!$AE$6:$AE$238,MATCH(A96,Manual_Review!$A$6:$A$238,0))="N/A","N/A: nonbenchmark task","Pending task-specific leakage check"))),"Pending task-specific leakage check"))</f>
        <v>N/A: documentation inventory</v>
      </c>
      <c r="AY96" s="5" t="str">
        <f>IF(IF(D96="Unlabeled-13",AND(ABS(MCDM_Settings!$D$14-1)&lt;0.0000001,MIN(MCDM_Settings!$E$6:$E$11)&gt;=0,MCDM_Settings!$E$7=0),AND(ABS(MCDM_Settings!$B$14-1)&lt;0.0000001,MIN(MCDM_Settings!$C$6:$C$11)&gt;=0)),"Valid","Check weights")</f>
        <v>Valid</v>
      </c>
      <c r="AZ96" s="5" t="str">
        <f>IF(AND(COUNTIF(MCDM_Checks!$B$6:$B$3733,A96)=16,COUNTIF(Manual_Review!$A$6:$A$238,A96)=1),"16 keys present","Check key count")</f>
        <v>16 keys present</v>
      </c>
    </row>
    <row r="97" spans="1:52">
      <c r="A97" s="5" t="s">
        <v>1114</v>
      </c>
      <c r="B97" s="5" t="s">
        <v>1115</v>
      </c>
      <c r="C97" s="5"/>
      <c r="D97" s="5" t="s">
        <v>118</v>
      </c>
      <c r="E97" s="12">
        <f>IF(OR(AY97&lt;&gt;"Valid",AZ97&lt;&gt;"16 keys present"),"Review settings",20*(IF(ISNUMBER(AC97),AC97*IF($D97="Unlabeled-13",MCDM_Settings!$E$6,MCDM_Settings!$C$6),0)+IF(ISNUMBER(AF97),AF97*IF($D97="Unlabeled-13",MCDM_Settings!$E$7,MCDM_Settings!$C$7),0)+IF(ISNUMBER(AI97),AI97*IF($D97="Unlabeled-13",MCDM_Settings!$E$8,MCDM_Settings!$C$8),0)+IF(ISNUMBER(AL97),AL97*IF($D97="Unlabeled-13",MCDM_Settings!$E$9,MCDM_Settings!$C$9),0)+IF(ISNUMBER(AO97),AO97*IF($D97="Unlabeled-13",MCDM_Settings!$E$10,MCDM_Settings!$C$10),0)+IF(ISNUMBER(AR97),AR97*IF($D97="Unlabeled-13",MCDM_Settings!$E$11,MCDM_Settings!$C$11),0)))</f>
        <v>49.999999999999993</v>
      </c>
      <c r="F97" s="12">
        <f>IF(OR(AY97&lt;&gt;"Valid",AZ97&lt;&gt;"16 keys present"),"Review settings",20*(IF(ISNUMBER(AD97),AD97*IF($D97="Unlabeled-13",MCDM_Settings!$E$6,MCDM_Settings!$C$6),0)+IF(ISNUMBER(AG97),AG97*IF($D97="Unlabeled-13",MCDM_Settings!$E$7,MCDM_Settings!$C$7),0)+IF(ISNUMBER(AJ97),AJ97*IF($D97="Unlabeled-13",MCDM_Settings!$E$8,MCDM_Settings!$C$8),0)+IF(ISNUMBER(AM97),AM97*IF($D97="Unlabeled-13",MCDM_Settings!$E$9,MCDM_Settings!$C$9),0)+IF(ISNUMBER(AP97),AP97*IF($D97="Unlabeled-13",MCDM_Settings!$E$10,MCDM_Settings!$C$10),0)+IF(ISNUMBER(AS97),AS97*IF($D97="Unlabeled-13",MCDM_Settings!$E$11,MCDM_Settings!$C$11),0)))</f>
        <v>99.999999999999986</v>
      </c>
      <c r="G97" s="13">
        <f>IF(OR(AY97&lt;&gt;"Valid",AZ97&lt;&gt;"16 keys present"),"Review settings",1*(IF(ISNUMBER(AE97),AE97*IF($D97="Unlabeled-13",MCDM_Settings!$E$6,MCDM_Settings!$C$6),0)+IF(ISNUMBER(AH97),AH97*IF($D97="Unlabeled-13",MCDM_Settings!$E$7,MCDM_Settings!$C$7),0)+IF(ISNUMBER(AK97),AK97*IF($D97="Unlabeled-13",MCDM_Settings!$E$8,MCDM_Settings!$C$8),0)+IF(ISNUMBER(AN97),AN97*IF($D97="Unlabeled-13",MCDM_Settings!$E$9,MCDM_Settings!$C$9),0)+IF(ISNUMBER(AQ97),AQ97*IF($D97="Unlabeled-13",MCDM_Settings!$E$10,MCDM_Settings!$C$10),0)+IF(ISNUMBER(AT97),AT97*IF($D97="Unlabeled-13",MCDM_Settings!$E$11,MCDM_Settings!$C$11),0)))</f>
        <v>0.5</v>
      </c>
      <c r="H97" s="5" t="str">
        <f>INDEX(Manual_Review!$AH$6:$AH$238,MATCH(A97,Manual_Review!$A$6:$A$238,0))</f>
        <v>Not started</v>
      </c>
      <c r="I97" s="5" t="s">
        <v>128</v>
      </c>
      <c r="J97" s="5" t="s">
        <v>1116</v>
      </c>
      <c r="K97" s="5" t="str">
        <f>HYPERLINK("https://huggingface.co/datasets/Outerview/global-potholes-dataset","Dataset")</f>
        <v>Dataset</v>
      </c>
      <c r="L97" s="5" t="str">
        <f>HYPERLINK("#'Manual_Review'!A"&amp;(MATCH("DS-092",Manual_Review!$A$6:$A$238,0)+5),"Enter review")</f>
        <v>Enter review</v>
      </c>
      <c r="M97" s="5" t="str">
        <f>INDEX(MCDM_Checks!$K$6:$K$3733,MATCH(A97&amp;"|"&amp;M$5,MCDM_Checks!$A$6:$A$3733,0))</f>
        <v>Y</v>
      </c>
      <c r="N97" s="5" t="str">
        <f>INDEX(MCDM_Checks!$K$6:$K$3733,MATCH(A97&amp;"|"&amp;N$5,MCDM_Checks!$A$6:$A$3733,0))</f>
        <v>Y</v>
      </c>
      <c r="O97" s="5" t="str">
        <f>INDEX(MCDM_Checks!$K$6:$K$3733,MATCH(A97&amp;"|"&amp;O$5,MCDM_Checks!$A$6:$A$3733,0))</f>
        <v>Y</v>
      </c>
      <c r="P97" s="5" t="str">
        <f>INDEX(MCDM_Checks!$K$6:$K$3733,MATCH(A97&amp;"|"&amp;P$5,MCDM_Checks!$A$6:$A$3733,0))</f>
        <v>Y</v>
      </c>
      <c r="Q97" s="5" t="str">
        <f>INDEX(MCDM_Checks!$K$6:$K$3733,MATCH(A97&amp;"|"&amp;Q$5,MCDM_Checks!$A$6:$A$3733,0))</f>
        <v>U</v>
      </c>
      <c r="R97" s="5" t="str">
        <f>INDEX(MCDM_Checks!$K$6:$K$3733,MATCH(A97&amp;"|"&amp;R$5,MCDM_Checks!$A$6:$A$3733,0))</f>
        <v>U</v>
      </c>
      <c r="S97" s="5" t="str">
        <f>INDEX(MCDM_Checks!$K$6:$K$3733,MATCH(A97&amp;"|"&amp;S$5,MCDM_Checks!$A$6:$A$3733,0))</f>
        <v>U</v>
      </c>
      <c r="T97" s="5" t="str">
        <f>INDEX(MCDM_Checks!$K$6:$K$3733,MATCH(A97&amp;"|"&amp;T$5,MCDM_Checks!$A$6:$A$3733,0))</f>
        <v>Y</v>
      </c>
      <c r="U97" s="5" t="str">
        <f>INDEX(MCDM_Checks!$K$6:$K$3733,MATCH(A97&amp;"|"&amp;U$5,MCDM_Checks!$A$6:$A$3733,0))</f>
        <v>U</v>
      </c>
      <c r="V97" s="5" t="str">
        <f>INDEX(MCDM_Checks!$K$6:$K$3733,MATCH(A97&amp;"|"&amp;V$5,MCDM_Checks!$A$6:$A$3733,0))</f>
        <v>Y</v>
      </c>
      <c r="W97" s="5" t="str">
        <f>INDEX(MCDM_Checks!$K$6:$K$3733,MATCH(A97&amp;"|"&amp;W$5,MCDM_Checks!$A$6:$A$3733,0))</f>
        <v>U</v>
      </c>
      <c r="X97" s="5" t="str">
        <f>INDEX(MCDM_Checks!$K$6:$K$3733,MATCH(A97&amp;"|"&amp;X$5,MCDM_Checks!$A$6:$A$3733,0))</f>
        <v>U</v>
      </c>
      <c r="Y97" s="5" t="str">
        <f>INDEX(MCDM_Checks!$K$6:$K$3733,MATCH(A97&amp;"|"&amp;Y$5,MCDM_Checks!$A$6:$A$3733,0))</f>
        <v>Y</v>
      </c>
      <c r="Z97" s="5" t="str">
        <f>INDEX(MCDM_Checks!$K$6:$K$3733,MATCH(A97&amp;"|"&amp;Z$5,MCDM_Checks!$A$6:$A$3733,0))</f>
        <v>Y</v>
      </c>
      <c r="AA97" s="5" t="str">
        <f>INDEX(MCDM_Checks!$K$6:$K$3733,MATCH(A97&amp;"|"&amp;AA$5,MCDM_Checks!$A$6:$A$3733,0))</f>
        <v>U</v>
      </c>
      <c r="AB97" s="5" t="str">
        <f>INDEX(MCDM_Checks!$K$6:$K$3733,MATCH(A97&amp;"|"&amp;AB$5,MCDM_Checks!$A$6:$A$3733,0))</f>
        <v>U</v>
      </c>
      <c r="AC97" s="12">
        <f>IF(IF($D97="Unlabeled-13",MCDM_Settings!$F$6,MCDM_Settings!$D$6)=0,"n.a.",5*COUNTIF(M97:O97,"Y")/IF($D97="Unlabeled-13",MCDM_Settings!$F$6,MCDM_Settings!$D$6))</f>
        <v>5</v>
      </c>
      <c r="AD97" s="12">
        <f>IF(IF($D97="Unlabeled-13",MCDM_Settings!$F$6,MCDM_Settings!$D$6)=0,"n.a.",5*(COUNTIF(M97:O97,"Y")+COUNTIF(M97:O97,"U")+COUNTIF(M97:O97,"X"))/IF($D97="Unlabeled-13",MCDM_Settings!$F$6,MCDM_Settings!$D$6))</f>
        <v>5</v>
      </c>
      <c r="AE97" s="13">
        <f>IF(IF($D97="Unlabeled-13",MCDM_Settings!$F$6,MCDM_Settings!$D$6)=0,"n.a.",(COUNTIF(M97:O97,"Y")+COUNTIF(M97:O97,"N"))/IF($D97="Unlabeled-13",MCDM_Settings!$F$6,MCDM_Settings!$D$6))</f>
        <v>1</v>
      </c>
      <c r="AF97" s="12">
        <f>IF(IF($D97="Unlabeled-13",MCDM_Settings!$F$7,MCDM_Settings!$D$7)=0,"n.a.",5*COUNTIF(P97:R97,"Y")/IF($D97="Unlabeled-13",MCDM_Settings!$F$7,MCDM_Settings!$D$7))</f>
        <v>1.6666666666666667</v>
      </c>
      <c r="AG97" s="12">
        <f>IF(IF($D97="Unlabeled-13",MCDM_Settings!$F$7,MCDM_Settings!$D$7)=0,"n.a.",5*(COUNTIF(P97:R97,"Y")+COUNTIF(P97:R97,"U")+COUNTIF(P97:R97,"X"))/IF($D97="Unlabeled-13",MCDM_Settings!$F$7,MCDM_Settings!$D$7))</f>
        <v>5</v>
      </c>
      <c r="AH97" s="13">
        <f>IF(IF($D97="Unlabeled-13",MCDM_Settings!$F$7,MCDM_Settings!$D$7)=0,"n.a.",(COUNTIF(P97:R97,"Y")+COUNTIF(P97:R97,"N"))/IF($D97="Unlabeled-13",MCDM_Settings!$F$7,MCDM_Settings!$D$7))</f>
        <v>0.33333333333333331</v>
      </c>
      <c r="AI97" s="12">
        <f>IF(IF($D97="Unlabeled-13",MCDM_Settings!$F$8,MCDM_Settings!$D$8)=0,"n.a.",5*COUNTIF(S97:U97,"Y")/IF($D97="Unlabeled-13",MCDM_Settings!$F$8,MCDM_Settings!$D$8))</f>
        <v>1.6666666666666667</v>
      </c>
      <c r="AJ97" s="12">
        <f>IF(IF($D97="Unlabeled-13",MCDM_Settings!$F$8,MCDM_Settings!$D$8)=0,"n.a.",5*(COUNTIF(S97:U97,"Y")+COUNTIF(S97:U97,"U")+COUNTIF(S97:U97,"X"))/IF($D97="Unlabeled-13",MCDM_Settings!$F$8,MCDM_Settings!$D$8))</f>
        <v>5</v>
      </c>
      <c r="AK97" s="13">
        <f>IF(IF($D97="Unlabeled-13",MCDM_Settings!$F$8,MCDM_Settings!$D$8)=0,"n.a.",(COUNTIF(S97:U97,"Y")+COUNTIF(S97:U97,"N"))/IF($D97="Unlabeled-13",MCDM_Settings!$F$8,MCDM_Settings!$D$8))</f>
        <v>0.33333333333333331</v>
      </c>
      <c r="AL97" s="12">
        <f>IF(IF($D97="Unlabeled-13",MCDM_Settings!$F$9,MCDM_Settings!$D$9)=0,"n.a.",5*COUNTIF(V97:W97,"Y")/IF($D97="Unlabeled-13",MCDM_Settings!$F$9,MCDM_Settings!$D$9))</f>
        <v>2.5</v>
      </c>
      <c r="AM97" s="12">
        <f>IF(IF($D97="Unlabeled-13",MCDM_Settings!$F$9,MCDM_Settings!$D$9)=0,"n.a.",5*(COUNTIF(V97:W97,"Y")+COUNTIF(V97:W97,"U")+COUNTIF(V97:W97,"X"))/IF($D97="Unlabeled-13",MCDM_Settings!$F$9,MCDM_Settings!$D$9))</f>
        <v>5</v>
      </c>
      <c r="AN97" s="13">
        <f>IF(IF($D97="Unlabeled-13",MCDM_Settings!$F$9,MCDM_Settings!$D$9)=0,"n.a.",(COUNTIF(V97:W97,"Y")+COUNTIF(V97:W97,"N"))/IF($D97="Unlabeled-13",MCDM_Settings!$F$9,MCDM_Settings!$D$9))</f>
        <v>0.5</v>
      </c>
      <c r="AO97" s="12">
        <f>IF(IF($D97="Unlabeled-13",MCDM_Settings!$F$10,MCDM_Settings!$D$10)=0,"n.a.",5*COUNTIF(X97:Y97,"Y")/IF($D97="Unlabeled-13",MCDM_Settings!$F$10,MCDM_Settings!$D$10))</f>
        <v>2.5</v>
      </c>
      <c r="AP97" s="12">
        <f>IF(IF($D97="Unlabeled-13",MCDM_Settings!$F$10,MCDM_Settings!$D$10)=0,"n.a.",5*(COUNTIF(X97:Y97,"Y")+COUNTIF(X97:Y97,"U")+COUNTIF(X97:Y97,"X"))/IF($D97="Unlabeled-13",MCDM_Settings!$F$10,MCDM_Settings!$D$10))</f>
        <v>5</v>
      </c>
      <c r="AQ97" s="13">
        <f>IF(IF($D97="Unlabeled-13",MCDM_Settings!$F$10,MCDM_Settings!$D$10)=0,"n.a.",(COUNTIF(X97:Y97,"Y")+COUNTIF(X97:Y97,"N"))/IF($D97="Unlabeled-13",MCDM_Settings!$F$10,MCDM_Settings!$D$10))</f>
        <v>0.5</v>
      </c>
      <c r="AR97" s="12">
        <f>IF(IF($D97="Unlabeled-13",MCDM_Settings!$F$11,MCDM_Settings!$D$11)=0,"n.a.",5*COUNTIF(Z97:AB97,"Y")/IF($D97="Unlabeled-13",MCDM_Settings!$F$11,MCDM_Settings!$D$11))</f>
        <v>1.6666666666666667</v>
      </c>
      <c r="AS97" s="12">
        <f>IF(IF($D97="Unlabeled-13",MCDM_Settings!$F$11,MCDM_Settings!$D$11)=0,"n.a.",5*(COUNTIF(Z97:AB97,"Y")+COUNTIF(Z97:AB97,"U")+COUNTIF(Z97:AB97,"X"))/IF($D97="Unlabeled-13",MCDM_Settings!$F$11,MCDM_Settings!$D$11))</f>
        <v>5</v>
      </c>
      <c r="AT97" s="13">
        <f>IF(IF($D97="Unlabeled-13",MCDM_Settings!$F$11,MCDM_Settings!$D$11)=0,"n.a.",(COUNTIF(Z97:AB97,"Y")+COUNTIF(Z97:AB97,"N"))/IF($D97="Unlabeled-13",MCDM_Settings!$F$11,MCDM_Settings!$D$11))</f>
        <v>0.33333333333333331</v>
      </c>
      <c r="AU97" s="5" t="str">
        <f>IF(AND(INDEX(Manual_Review!$G$6:$G$238,MATCH(A97,Manual_Review!$A$6:$A$238,0))&lt;&gt;"",ISNUMBER(INDEX(Manual_Review!$H$6:$H$238,MATCH(A97,Manual_Review!$A$6:$A$238,0))),INDEX(Manual_Review!$H$6:$H$238,MATCH(A97,Manual_Review!$A$6:$A$238,0))&gt;0,INDEX(Manual_Review!$I$6:$I$238,MATCH(A97,Manual_Review!$A$6:$A$238,0))="Confirmed",INDEX(Manual_Review!$AF$6:$AF$238,MATCH(A97,Manual_Review!$A$6:$A$238,0))&lt;&gt;""),IF(INDEX(Manual_Review!$AA$6:$AA$238,MATCH(A97,Manual_Review!$A$6:$A$238,0))="Pass","Pass",IF(INDEX(Manual_Review!$AA$6:$AA$238,MATCH(A97,Manual_Review!$A$6:$A$238,0))="Fail","Fail","Pending")),"Pending human identity confirmation")</f>
        <v>Pending human identity confirmation</v>
      </c>
      <c r="AV97" s="5" t="str">
        <f>IF(AND(AND(INDEX(Manual_Review!$G$6:$G$238,MATCH(A97,Manual_Review!$A$6:$A$238,0))&lt;&gt;"",ISNUMBER(INDEX(Manual_Review!$H$6:$H$238,MATCH(A97,Manual_Review!$A$6:$A$238,0))),INDEX(Manual_Review!$H$6:$H$238,MATCH(A97,Manual_Review!$A$6:$A$238,0))&gt;0,INDEX(Manual_Review!$I$6:$I$238,MATCH(A97,Manual_Review!$A$6:$A$238,0))="Confirmed",INDEX(Manual_Review!$AF$6:$AF$238,MATCH(A97,Manual_Review!$A$6:$A$238,0))&lt;&gt;""),INDEX(Manual_Review!$AG$6:$AG$238,MATCH(A97,Manual_Review!$A$6:$A$238,0))&lt;&gt;""),IF(INDEX(Manual_Review!$AB$6:$AB$238,MATCH(A97,Manual_Review!$A$6:$A$238,0))="Pass","Pass",IF(INDEX(Manual_Review!$AB$6:$AB$238,MATCH(A97,Manual_Review!$A$6:$A$238,0))="Fail","Fail","Pending")),"Not assessed: define intended task")</f>
        <v>Not assessed: define intended task</v>
      </c>
      <c r="AW97" s="5" t="str">
        <f>IF(AND(AND(INDEX(Manual_Review!$G$6:$G$238,MATCH(A97,Manual_Review!$A$6:$A$238,0))&lt;&gt;"",ISNUMBER(INDEX(Manual_Review!$H$6:$H$238,MATCH(A97,Manual_Review!$A$6:$A$238,0))),INDEX(Manual_Review!$H$6:$H$238,MATCH(A97,Manual_Review!$A$6:$A$238,0))&gt;0,INDEX(Manual_Review!$I$6:$I$238,MATCH(A97,Manual_Review!$A$6:$A$238,0))="Confirmed",INDEX(Manual_Review!$AF$6:$AF$238,MATCH(A97,Manual_Review!$A$6:$A$238,0))&lt;&gt;""),INDEX(Manual_Review!$AG$6:$AG$238,MATCH(A97,Manual_Review!$A$6:$A$238,0))&lt;&gt;""),IF(OR(INDEX(Manual_Review!$AC$6:$AC$238,MATCH(A97,Manual_Review!$A$6:$A$238,0))="Fail",INDEX(Manual_Review!$AD$6:$AD$238,MATCH(A97,Manual_Review!$A$6:$A$238,0))="Fail"),"Fail: rights or retrieval",IF(AND(INDEX(Manual_Review!$AC$6:$AC$238,MATCH(A97,Manual_Review!$A$6:$A$238,0))="Pass",INDEX(Manual_Review!$AD$6:$AD$238,MATCH(A97,Manual_Review!$A$6:$A$238,0))="Pass"),"Pass","Pending rights and retrieval")),"Pending rights and retrieval")</f>
        <v>Pending rights and retrieval</v>
      </c>
      <c r="AX97" s="5" t="str">
        <f>IF(INDEX(Manual_Review!$AG$6:$AG$238,MATCH(A97,Manual_Review!$A$6:$A$238,0))="","N/A: documentation inventory",IF(AND(INDEX(Manual_Review!$G$6:$G$238,MATCH(A97,Manual_Review!$A$6:$A$238,0))&lt;&gt;"",ISNUMBER(INDEX(Manual_Review!$H$6:$H$238,MATCH(A97,Manual_Review!$A$6:$A$238,0))),INDEX(Manual_Review!$H$6:$H$238,MATCH(A97,Manual_Review!$A$6:$A$238,0))&gt;0,INDEX(Manual_Review!$I$6:$I$238,MATCH(A97,Manual_Review!$A$6:$A$238,0))="Confirmed",INDEX(Manual_Review!$AF$6:$AF$238,MATCH(A97,Manual_Review!$A$6:$A$238,0))&lt;&gt;""),IF(INDEX(Manual_Review!$AE$6:$AE$238,MATCH(A97,Manual_Review!$A$6:$A$238,0))="Pass","Pass",IF(INDEX(Manual_Review!$AE$6:$AE$238,MATCH(A97,Manual_Review!$A$6:$A$238,0))="Fail","Fail: benchmark leakage",IF(INDEX(Manual_Review!$AE$6:$AE$238,MATCH(A97,Manual_Review!$A$6:$A$238,0))="N/A","N/A: nonbenchmark task","Pending task-specific leakage check"))),"Pending task-specific leakage check"))</f>
        <v>N/A: documentation inventory</v>
      </c>
      <c r="AY97" s="5" t="str">
        <f>IF(IF(D97="Unlabeled-13",AND(ABS(MCDM_Settings!$D$14-1)&lt;0.0000001,MIN(MCDM_Settings!$E$6:$E$11)&gt;=0,MCDM_Settings!$E$7=0),AND(ABS(MCDM_Settings!$B$14-1)&lt;0.0000001,MIN(MCDM_Settings!$C$6:$C$11)&gt;=0)),"Valid","Check weights")</f>
        <v>Valid</v>
      </c>
      <c r="AZ97" s="5" t="str">
        <f>IF(AND(COUNTIF(MCDM_Checks!$B$6:$B$3733,A97)=16,COUNTIF(Manual_Review!$A$6:$A$238,A97)=1),"16 keys present","Check key count")</f>
        <v>16 keys present</v>
      </c>
    </row>
    <row r="98" spans="1:52" ht="25.5">
      <c r="A98" s="5" t="s">
        <v>1127</v>
      </c>
      <c r="B98" s="5" t="s">
        <v>1128</v>
      </c>
      <c r="C98" s="5"/>
      <c r="D98" s="5" t="s">
        <v>118</v>
      </c>
      <c r="E98" s="12">
        <f>IF(OR(AY98&lt;&gt;"Valid",AZ98&lt;&gt;"16 keys present"),"Review settings",20*(IF(ISNUMBER(AC98),AC98*IF($D98="Unlabeled-13",MCDM_Settings!$E$6,MCDM_Settings!$C$6),0)+IF(ISNUMBER(AF98),AF98*IF($D98="Unlabeled-13",MCDM_Settings!$E$7,MCDM_Settings!$C$7),0)+IF(ISNUMBER(AI98),AI98*IF($D98="Unlabeled-13",MCDM_Settings!$E$8,MCDM_Settings!$C$8),0)+IF(ISNUMBER(AL98),AL98*IF($D98="Unlabeled-13",MCDM_Settings!$E$9,MCDM_Settings!$C$9),0)+IF(ISNUMBER(AO98),AO98*IF($D98="Unlabeled-13",MCDM_Settings!$E$10,MCDM_Settings!$C$10),0)+IF(ISNUMBER(AR98),AR98*IF($D98="Unlabeled-13",MCDM_Settings!$E$11,MCDM_Settings!$C$11),0)))</f>
        <v>61.111111111111107</v>
      </c>
      <c r="F98" s="12">
        <f>IF(OR(AY98&lt;&gt;"Valid",AZ98&lt;&gt;"16 keys present"),"Review settings",20*(IF(ISNUMBER(AD98),AD98*IF($D98="Unlabeled-13",MCDM_Settings!$E$6,MCDM_Settings!$C$6),0)+IF(ISNUMBER(AG98),AG98*IF($D98="Unlabeled-13",MCDM_Settings!$E$7,MCDM_Settings!$C$7),0)+IF(ISNUMBER(AJ98),AJ98*IF($D98="Unlabeled-13",MCDM_Settings!$E$8,MCDM_Settings!$C$8),0)+IF(ISNUMBER(AM98),AM98*IF($D98="Unlabeled-13",MCDM_Settings!$E$9,MCDM_Settings!$C$9),0)+IF(ISNUMBER(AP98),AP98*IF($D98="Unlabeled-13",MCDM_Settings!$E$10,MCDM_Settings!$C$10),0)+IF(ISNUMBER(AS98),AS98*IF($D98="Unlabeled-13",MCDM_Settings!$E$11,MCDM_Settings!$C$11),0)))</f>
        <v>99.999999999999986</v>
      </c>
      <c r="G98" s="13">
        <f>IF(OR(AY98&lt;&gt;"Valid",AZ98&lt;&gt;"16 keys present"),"Review settings",1*(IF(ISNUMBER(AE98),AE98*IF($D98="Unlabeled-13",MCDM_Settings!$E$6,MCDM_Settings!$C$6),0)+IF(ISNUMBER(AH98),AH98*IF($D98="Unlabeled-13",MCDM_Settings!$E$7,MCDM_Settings!$C$7),0)+IF(ISNUMBER(AK98),AK98*IF($D98="Unlabeled-13",MCDM_Settings!$E$8,MCDM_Settings!$C$8),0)+IF(ISNUMBER(AN98),AN98*IF($D98="Unlabeled-13",MCDM_Settings!$E$9,MCDM_Settings!$C$9),0)+IF(ISNUMBER(AQ98),AQ98*IF($D98="Unlabeled-13",MCDM_Settings!$E$10,MCDM_Settings!$C$10),0)+IF(ISNUMBER(AT98),AT98*IF($D98="Unlabeled-13",MCDM_Settings!$E$11,MCDM_Settings!$C$11),0)))</f>
        <v>0.61111111111111116</v>
      </c>
      <c r="H98" s="5" t="str">
        <f>INDEX(Manual_Review!$AH$6:$AH$238,MATCH(A98,Manual_Review!$A$6:$A$238,0))</f>
        <v>Not started</v>
      </c>
      <c r="I98" s="5" t="s">
        <v>128</v>
      </c>
      <c r="J98" s="5" t="s">
        <v>1129</v>
      </c>
      <c r="K98" s="5" t="str">
        <f>HYPERLINK("https://huggingface.co/datasets/keremberke/pothole-segmentation","Dataset")</f>
        <v>Dataset</v>
      </c>
      <c r="L98" s="5" t="str">
        <f>HYPERLINK("#'Manual_Review'!A"&amp;(MATCH("DS-093",Manual_Review!$A$6:$A$238,0)+5),"Enter review")</f>
        <v>Enter review</v>
      </c>
      <c r="M98" s="5" t="str">
        <f>INDEX(MCDM_Checks!$K$6:$K$3733,MATCH(A98&amp;"|"&amp;M$5,MCDM_Checks!$A$6:$A$3733,0))</f>
        <v>Y</v>
      </c>
      <c r="N98" s="5" t="str">
        <f>INDEX(MCDM_Checks!$K$6:$K$3733,MATCH(A98&amp;"|"&amp;N$5,MCDM_Checks!$A$6:$A$3733,0))</f>
        <v>Y</v>
      </c>
      <c r="O98" s="5" t="str">
        <f>INDEX(MCDM_Checks!$K$6:$K$3733,MATCH(A98&amp;"|"&amp;O$5,MCDM_Checks!$A$6:$A$3733,0))</f>
        <v>Y</v>
      </c>
      <c r="P98" s="5" t="str">
        <f>INDEX(MCDM_Checks!$K$6:$K$3733,MATCH(A98&amp;"|"&amp;P$5,MCDM_Checks!$A$6:$A$3733,0))</f>
        <v>Y</v>
      </c>
      <c r="Q98" s="5" t="str">
        <f>INDEX(MCDM_Checks!$K$6:$K$3733,MATCH(A98&amp;"|"&amp;Q$5,MCDM_Checks!$A$6:$A$3733,0))</f>
        <v>U</v>
      </c>
      <c r="R98" s="5" t="str">
        <f>INDEX(MCDM_Checks!$K$6:$K$3733,MATCH(A98&amp;"|"&amp;R$5,MCDM_Checks!$A$6:$A$3733,0))</f>
        <v>U</v>
      </c>
      <c r="S98" s="5" t="str">
        <f>INDEX(MCDM_Checks!$K$6:$K$3733,MATCH(A98&amp;"|"&amp;S$5,MCDM_Checks!$A$6:$A$3733,0))</f>
        <v>Y</v>
      </c>
      <c r="T98" s="5" t="str">
        <f>INDEX(MCDM_Checks!$K$6:$K$3733,MATCH(A98&amp;"|"&amp;T$5,MCDM_Checks!$A$6:$A$3733,0))</f>
        <v>Y</v>
      </c>
      <c r="U98" s="5" t="str">
        <f>INDEX(MCDM_Checks!$K$6:$K$3733,MATCH(A98&amp;"|"&amp;U$5,MCDM_Checks!$A$6:$A$3733,0))</f>
        <v>U</v>
      </c>
      <c r="V98" s="5" t="str">
        <f>INDEX(MCDM_Checks!$K$6:$K$3733,MATCH(A98&amp;"|"&amp;V$5,MCDM_Checks!$A$6:$A$3733,0))</f>
        <v>Y</v>
      </c>
      <c r="W98" s="5" t="str">
        <f>INDEX(MCDM_Checks!$K$6:$K$3733,MATCH(A98&amp;"|"&amp;W$5,MCDM_Checks!$A$6:$A$3733,0))</f>
        <v>Y</v>
      </c>
      <c r="X98" s="5" t="str">
        <f>INDEX(MCDM_Checks!$K$6:$K$3733,MATCH(A98&amp;"|"&amp;X$5,MCDM_Checks!$A$6:$A$3733,0))</f>
        <v>U</v>
      </c>
      <c r="Y98" s="5" t="str">
        <f>INDEX(MCDM_Checks!$K$6:$K$3733,MATCH(A98&amp;"|"&amp;Y$5,MCDM_Checks!$A$6:$A$3733,0))</f>
        <v>U</v>
      </c>
      <c r="Z98" s="5" t="str">
        <f>INDEX(MCDM_Checks!$K$6:$K$3733,MATCH(A98&amp;"|"&amp;Z$5,MCDM_Checks!$A$6:$A$3733,0))</f>
        <v>Y</v>
      </c>
      <c r="AA98" s="5" t="str">
        <f>INDEX(MCDM_Checks!$K$6:$K$3733,MATCH(A98&amp;"|"&amp;AA$5,MCDM_Checks!$A$6:$A$3733,0))</f>
        <v>Y</v>
      </c>
      <c r="AB98" s="5" t="str">
        <f>INDEX(MCDM_Checks!$K$6:$K$3733,MATCH(A98&amp;"|"&amp;AB$5,MCDM_Checks!$A$6:$A$3733,0))</f>
        <v>U</v>
      </c>
      <c r="AC98" s="12">
        <f>IF(IF($D98="Unlabeled-13",MCDM_Settings!$F$6,MCDM_Settings!$D$6)=0,"n.a.",5*COUNTIF(M98:O98,"Y")/IF($D98="Unlabeled-13",MCDM_Settings!$F$6,MCDM_Settings!$D$6))</f>
        <v>5</v>
      </c>
      <c r="AD98" s="12">
        <f>IF(IF($D98="Unlabeled-13",MCDM_Settings!$F$6,MCDM_Settings!$D$6)=0,"n.a.",5*(COUNTIF(M98:O98,"Y")+COUNTIF(M98:O98,"U")+COUNTIF(M98:O98,"X"))/IF($D98="Unlabeled-13",MCDM_Settings!$F$6,MCDM_Settings!$D$6))</f>
        <v>5</v>
      </c>
      <c r="AE98" s="13">
        <f>IF(IF($D98="Unlabeled-13",MCDM_Settings!$F$6,MCDM_Settings!$D$6)=0,"n.a.",(COUNTIF(M98:O98,"Y")+COUNTIF(M98:O98,"N"))/IF($D98="Unlabeled-13",MCDM_Settings!$F$6,MCDM_Settings!$D$6))</f>
        <v>1</v>
      </c>
      <c r="AF98" s="12">
        <f>IF(IF($D98="Unlabeled-13",MCDM_Settings!$F$7,MCDM_Settings!$D$7)=0,"n.a.",5*COUNTIF(P98:R98,"Y")/IF($D98="Unlabeled-13",MCDM_Settings!$F$7,MCDM_Settings!$D$7))</f>
        <v>1.6666666666666667</v>
      </c>
      <c r="AG98" s="12">
        <f>IF(IF($D98="Unlabeled-13",MCDM_Settings!$F$7,MCDM_Settings!$D$7)=0,"n.a.",5*(COUNTIF(P98:R98,"Y")+COUNTIF(P98:R98,"U")+COUNTIF(P98:R98,"X"))/IF($D98="Unlabeled-13",MCDM_Settings!$F$7,MCDM_Settings!$D$7))</f>
        <v>5</v>
      </c>
      <c r="AH98" s="13">
        <f>IF(IF($D98="Unlabeled-13",MCDM_Settings!$F$7,MCDM_Settings!$D$7)=0,"n.a.",(COUNTIF(P98:R98,"Y")+COUNTIF(P98:R98,"N"))/IF($D98="Unlabeled-13",MCDM_Settings!$F$7,MCDM_Settings!$D$7))</f>
        <v>0.33333333333333331</v>
      </c>
      <c r="AI98" s="12">
        <f>IF(IF($D98="Unlabeled-13",MCDM_Settings!$F$8,MCDM_Settings!$D$8)=0,"n.a.",5*COUNTIF(S98:U98,"Y")/IF($D98="Unlabeled-13",MCDM_Settings!$F$8,MCDM_Settings!$D$8))</f>
        <v>3.3333333333333335</v>
      </c>
      <c r="AJ98" s="12">
        <f>IF(IF($D98="Unlabeled-13",MCDM_Settings!$F$8,MCDM_Settings!$D$8)=0,"n.a.",5*(COUNTIF(S98:U98,"Y")+COUNTIF(S98:U98,"U")+COUNTIF(S98:U98,"X"))/IF($D98="Unlabeled-13",MCDM_Settings!$F$8,MCDM_Settings!$D$8))</f>
        <v>5</v>
      </c>
      <c r="AK98" s="13">
        <f>IF(IF($D98="Unlabeled-13",MCDM_Settings!$F$8,MCDM_Settings!$D$8)=0,"n.a.",(COUNTIF(S98:U98,"Y")+COUNTIF(S98:U98,"N"))/IF($D98="Unlabeled-13",MCDM_Settings!$F$8,MCDM_Settings!$D$8))</f>
        <v>0.66666666666666663</v>
      </c>
      <c r="AL98" s="12">
        <f>IF(IF($D98="Unlabeled-13",MCDM_Settings!$F$9,MCDM_Settings!$D$9)=0,"n.a.",5*COUNTIF(V98:W98,"Y")/IF($D98="Unlabeled-13",MCDM_Settings!$F$9,MCDM_Settings!$D$9))</f>
        <v>5</v>
      </c>
      <c r="AM98" s="12">
        <f>IF(IF($D98="Unlabeled-13",MCDM_Settings!$F$9,MCDM_Settings!$D$9)=0,"n.a.",5*(COUNTIF(V98:W98,"Y")+COUNTIF(V98:W98,"U")+COUNTIF(V98:W98,"X"))/IF($D98="Unlabeled-13",MCDM_Settings!$F$9,MCDM_Settings!$D$9))</f>
        <v>5</v>
      </c>
      <c r="AN98" s="13">
        <f>IF(IF($D98="Unlabeled-13",MCDM_Settings!$F$9,MCDM_Settings!$D$9)=0,"n.a.",(COUNTIF(V98:W98,"Y")+COUNTIF(V98:W98,"N"))/IF($D98="Unlabeled-13",MCDM_Settings!$F$9,MCDM_Settings!$D$9))</f>
        <v>1</v>
      </c>
      <c r="AO98" s="12">
        <f>IF(IF($D98="Unlabeled-13",MCDM_Settings!$F$10,MCDM_Settings!$D$10)=0,"n.a.",5*COUNTIF(X98:Y98,"Y")/IF($D98="Unlabeled-13",MCDM_Settings!$F$10,MCDM_Settings!$D$10))</f>
        <v>0</v>
      </c>
      <c r="AP98" s="12">
        <f>IF(IF($D98="Unlabeled-13",MCDM_Settings!$F$10,MCDM_Settings!$D$10)=0,"n.a.",5*(COUNTIF(X98:Y98,"Y")+COUNTIF(X98:Y98,"U")+COUNTIF(X98:Y98,"X"))/IF($D98="Unlabeled-13",MCDM_Settings!$F$10,MCDM_Settings!$D$10))</f>
        <v>5</v>
      </c>
      <c r="AQ98" s="13">
        <f>IF(IF($D98="Unlabeled-13",MCDM_Settings!$F$10,MCDM_Settings!$D$10)=0,"n.a.",(COUNTIF(X98:Y98,"Y")+COUNTIF(X98:Y98,"N"))/IF($D98="Unlabeled-13",MCDM_Settings!$F$10,MCDM_Settings!$D$10))</f>
        <v>0</v>
      </c>
      <c r="AR98" s="12">
        <f>IF(IF($D98="Unlabeled-13",MCDM_Settings!$F$11,MCDM_Settings!$D$11)=0,"n.a.",5*COUNTIF(Z98:AB98,"Y")/IF($D98="Unlabeled-13",MCDM_Settings!$F$11,MCDM_Settings!$D$11))</f>
        <v>3.3333333333333335</v>
      </c>
      <c r="AS98" s="12">
        <f>IF(IF($D98="Unlabeled-13",MCDM_Settings!$F$11,MCDM_Settings!$D$11)=0,"n.a.",5*(COUNTIF(Z98:AB98,"Y")+COUNTIF(Z98:AB98,"U")+COUNTIF(Z98:AB98,"X"))/IF($D98="Unlabeled-13",MCDM_Settings!$F$11,MCDM_Settings!$D$11))</f>
        <v>5</v>
      </c>
      <c r="AT98" s="13">
        <f>IF(IF($D98="Unlabeled-13",MCDM_Settings!$F$11,MCDM_Settings!$D$11)=0,"n.a.",(COUNTIF(Z98:AB98,"Y")+COUNTIF(Z98:AB98,"N"))/IF($D98="Unlabeled-13",MCDM_Settings!$F$11,MCDM_Settings!$D$11))</f>
        <v>0.66666666666666663</v>
      </c>
      <c r="AU98" s="5" t="str">
        <f>IF(AND(INDEX(Manual_Review!$G$6:$G$238,MATCH(A98,Manual_Review!$A$6:$A$238,0))&lt;&gt;"",ISNUMBER(INDEX(Manual_Review!$H$6:$H$238,MATCH(A98,Manual_Review!$A$6:$A$238,0))),INDEX(Manual_Review!$H$6:$H$238,MATCH(A98,Manual_Review!$A$6:$A$238,0))&gt;0,INDEX(Manual_Review!$I$6:$I$238,MATCH(A98,Manual_Review!$A$6:$A$238,0))="Confirmed",INDEX(Manual_Review!$AF$6:$AF$238,MATCH(A98,Manual_Review!$A$6:$A$238,0))&lt;&gt;""),IF(INDEX(Manual_Review!$AA$6:$AA$238,MATCH(A98,Manual_Review!$A$6:$A$238,0))="Pass","Pass",IF(INDEX(Manual_Review!$AA$6:$AA$238,MATCH(A98,Manual_Review!$A$6:$A$238,0))="Fail","Fail","Pending")),"Pending human identity confirmation")</f>
        <v>Pending human identity confirmation</v>
      </c>
      <c r="AV98" s="5" t="str">
        <f>IF(AND(AND(INDEX(Manual_Review!$G$6:$G$238,MATCH(A98,Manual_Review!$A$6:$A$238,0))&lt;&gt;"",ISNUMBER(INDEX(Manual_Review!$H$6:$H$238,MATCH(A98,Manual_Review!$A$6:$A$238,0))),INDEX(Manual_Review!$H$6:$H$238,MATCH(A98,Manual_Review!$A$6:$A$238,0))&gt;0,INDEX(Manual_Review!$I$6:$I$238,MATCH(A98,Manual_Review!$A$6:$A$238,0))="Confirmed",INDEX(Manual_Review!$AF$6:$AF$238,MATCH(A98,Manual_Review!$A$6:$A$238,0))&lt;&gt;""),INDEX(Manual_Review!$AG$6:$AG$238,MATCH(A98,Manual_Review!$A$6:$A$238,0))&lt;&gt;""),IF(INDEX(Manual_Review!$AB$6:$AB$238,MATCH(A98,Manual_Review!$A$6:$A$238,0))="Pass","Pass",IF(INDEX(Manual_Review!$AB$6:$AB$238,MATCH(A98,Manual_Review!$A$6:$A$238,0))="Fail","Fail","Pending")),"Not assessed: define intended task")</f>
        <v>Not assessed: define intended task</v>
      </c>
      <c r="AW98" s="5" t="str">
        <f>IF(AND(AND(INDEX(Manual_Review!$G$6:$G$238,MATCH(A98,Manual_Review!$A$6:$A$238,0))&lt;&gt;"",ISNUMBER(INDEX(Manual_Review!$H$6:$H$238,MATCH(A98,Manual_Review!$A$6:$A$238,0))),INDEX(Manual_Review!$H$6:$H$238,MATCH(A98,Manual_Review!$A$6:$A$238,0))&gt;0,INDEX(Manual_Review!$I$6:$I$238,MATCH(A98,Manual_Review!$A$6:$A$238,0))="Confirmed",INDEX(Manual_Review!$AF$6:$AF$238,MATCH(A98,Manual_Review!$A$6:$A$238,0))&lt;&gt;""),INDEX(Manual_Review!$AG$6:$AG$238,MATCH(A98,Manual_Review!$A$6:$A$238,0))&lt;&gt;""),IF(OR(INDEX(Manual_Review!$AC$6:$AC$238,MATCH(A98,Manual_Review!$A$6:$A$238,0))="Fail",INDEX(Manual_Review!$AD$6:$AD$238,MATCH(A98,Manual_Review!$A$6:$A$238,0))="Fail"),"Fail: rights or retrieval",IF(AND(INDEX(Manual_Review!$AC$6:$AC$238,MATCH(A98,Manual_Review!$A$6:$A$238,0))="Pass",INDEX(Manual_Review!$AD$6:$AD$238,MATCH(A98,Manual_Review!$A$6:$A$238,0))="Pass"),"Pass","Pending rights and retrieval")),"Pending rights and retrieval")</f>
        <v>Pending rights and retrieval</v>
      </c>
      <c r="AX98" s="5" t="str">
        <f>IF(INDEX(Manual_Review!$AG$6:$AG$238,MATCH(A98,Manual_Review!$A$6:$A$238,0))="","N/A: documentation inventory",IF(AND(INDEX(Manual_Review!$G$6:$G$238,MATCH(A98,Manual_Review!$A$6:$A$238,0))&lt;&gt;"",ISNUMBER(INDEX(Manual_Review!$H$6:$H$238,MATCH(A98,Manual_Review!$A$6:$A$238,0))),INDEX(Manual_Review!$H$6:$H$238,MATCH(A98,Manual_Review!$A$6:$A$238,0))&gt;0,INDEX(Manual_Review!$I$6:$I$238,MATCH(A98,Manual_Review!$A$6:$A$238,0))="Confirmed",INDEX(Manual_Review!$AF$6:$AF$238,MATCH(A98,Manual_Review!$A$6:$A$238,0))&lt;&gt;""),IF(INDEX(Manual_Review!$AE$6:$AE$238,MATCH(A98,Manual_Review!$A$6:$A$238,0))="Pass","Pass",IF(INDEX(Manual_Review!$AE$6:$AE$238,MATCH(A98,Manual_Review!$A$6:$A$238,0))="Fail","Fail: benchmark leakage",IF(INDEX(Manual_Review!$AE$6:$AE$238,MATCH(A98,Manual_Review!$A$6:$A$238,0))="N/A","N/A: nonbenchmark task","Pending task-specific leakage check"))),"Pending task-specific leakage check"))</f>
        <v>N/A: documentation inventory</v>
      </c>
      <c r="AY98" s="5" t="str">
        <f>IF(IF(D98="Unlabeled-13",AND(ABS(MCDM_Settings!$D$14-1)&lt;0.0000001,MIN(MCDM_Settings!$E$6:$E$11)&gt;=0,MCDM_Settings!$E$7=0),AND(ABS(MCDM_Settings!$B$14-1)&lt;0.0000001,MIN(MCDM_Settings!$C$6:$C$11)&gt;=0)),"Valid","Check weights")</f>
        <v>Valid</v>
      </c>
      <c r="AZ98" s="5" t="str">
        <f>IF(AND(COUNTIF(MCDM_Checks!$B$6:$B$3733,A98)=16,COUNTIF(Manual_Review!$A$6:$A$238,A98)=1),"16 keys present","Check key count")</f>
        <v>16 keys present</v>
      </c>
    </row>
    <row r="99" spans="1:52">
      <c r="A99" s="5" t="s">
        <v>1139</v>
      </c>
      <c r="B99" s="5" t="s">
        <v>1140</v>
      </c>
      <c r="C99" s="5"/>
      <c r="D99" s="5" t="s">
        <v>118</v>
      </c>
      <c r="E99" s="12">
        <f>IF(OR(AY99&lt;&gt;"Valid",AZ99&lt;&gt;"16 keys present"),"Review settings",20*(IF(ISNUMBER(AC99),AC99*IF($D99="Unlabeled-13",MCDM_Settings!$E$6,MCDM_Settings!$C$6),0)+IF(ISNUMBER(AF99),AF99*IF($D99="Unlabeled-13",MCDM_Settings!$E$7,MCDM_Settings!$C$7),0)+IF(ISNUMBER(AI99),AI99*IF($D99="Unlabeled-13",MCDM_Settings!$E$8,MCDM_Settings!$C$8),0)+IF(ISNUMBER(AL99),AL99*IF($D99="Unlabeled-13",MCDM_Settings!$E$9,MCDM_Settings!$C$9),0)+IF(ISNUMBER(AO99),AO99*IF($D99="Unlabeled-13",MCDM_Settings!$E$10,MCDM_Settings!$C$10),0)+IF(ISNUMBER(AR99),AR99*IF($D99="Unlabeled-13",MCDM_Settings!$E$11,MCDM_Settings!$C$11),0)))</f>
        <v>55.555555555555557</v>
      </c>
      <c r="F99" s="12">
        <f>IF(OR(AY99&lt;&gt;"Valid",AZ99&lt;&gt;"16 keys present"),"Review settings",20*(IF(ISNUMBER(AD99),AD99*IF($D99="Unlabeled-13",MCDM_Settings!$E$6,MCDM_Settings!$C$6),0)+IF(ISNUMBER(AG99),AG99*IF($D99="Unlabeled-13",MCDM_Settings!$E$7,MCDM_Settings!$C$7),0)+IF(ISNUMBER(AJ99),AJ99*IF($D99="Unlabeled-13",MCDM_Settings!$E$8,MCDM_Settings!$C$8),0)+IF(ISNUMBER(AM99),AM99*IF($D99="Unlabeled-13",MCDM_Settings!$E$9,MCDM_Settings!$C$9),0)+IF(ISNUMBER(AP99),AP99*IF($D99="Unlabeled-13",MCDM_Settings!$E$10,MCDM_Settings!$C$10),0)+IF(ISNUMBER(AS99),AS99*IF($D99="Unlabeled-13",MCDM_Settings!$E$11,MCDM_Settings!$C$11),0)))</f>
        <v>99.999999999999986</v>
      </c>
      <c r="G99" s="13">
        <f>IF(OR(AY99&lt;&gt;"Valid",AZ99&lt;&gt;"16 keys present"),"Review settings",1*(IF(ISNUMBER(AE99),AE99*IF($D99="Unlabeled-13",MCDM_Settings!$E$6,MCDM_Settings!$C$6),0)+IF(ISNUMBER(AH99),AH99*IF($D99="Unlabeled-13",MCDM_Settings!$E$7,MCDM_Settings!$C$7),0)+IF(ISNUMBER(AK99),AK99*IF($D99="Unlabeled-13",MCDM_Settings!$E$8,MCDM_Settings!$C$8),0)+IF(ISNUMBER(AN99),AN99*IF($D99="Unlabeled-13",MCDM_Settings!$E$9,MCDM_Settings!$C$9),0)+IF(ISNUMBER(AQ99),AQ99*IF($D99="Unlabeled-13",MCDM_Settings!$E$10,MCDM_Settings!$C$10),0)+IF(ISNUMBER(AT99),AT99*IF($D99="Unlabeled-13",MCDM_Settings!$E$11,MCDM_Settings!$C$11),0)))</f>
        <v>0.55555555555555547</v>
      </c>
      <c r="H99" s="5" t="str">
        <f>INDEX(Manual_Review!$AH$6:$AH$238,MATCH(A99,Manual_Review!$A$6:$A$238,0))</f>
        <v>Not started</v>
      </c>
      <c r="I99" s="5" t="s">
        <v>128</v>
      </c>
      <c r="J99" s="5" t="s">
        <v>1070</v>
      </c>
      <c r="K99" s="5" t="str">
        <f>HYPERLINK("https://huggingface.co/datasets/manot/pothole-segmentation2","Dataset")</f>
        <v>Dataset</v>
      </c>
      <c r="L99" s="5" t="str">
        <f>HYPERLINK("#'Manual_Review'!A"&amp;(MATCH("DS-094",Manual_Review!$A$6:$A$238,0)+5),"Enter review")</f>
        <v>Enter review</v>
      </c>
      <c r="M99" s="5" t="str">
        <f>INDEX(MCDM_Checks!$K$6:$K$3733,MATCH(A99&amp;"|"&amp;M$5,MCDM_Checks!$A$6:$A$3733,0))</f>
        <v>Y</v>
      </c>
      <c r="N99" s="5" t="str">
        <f>INDEX(MCDM_Checks!$K$6:$K$3733,MATCH(A99&amp;"|"&amp;N$5,MCDM_Checks!$A$6:$A$3733,0))</f>
        <v>Y</v>
      </c>
      <c r="O99" s="5" t="str">
        <f>INDEX(MCDM_Checks!$K$6:$K$3733,MATCH(A99&amp;"|"&amp;O$5,MCDM_Checks!$A$6:$A$3733,0))</f>
        <v>Y</v>
      </c>
      <c r="P99" s="5" t="str">
        <f>INDEX(MCDM_Checks!$K$6:$K$3733,MATCH(A99&amp;"|"&amp;P$5,MCDM_Checks!$A$6:$A$3733,0))</f>
        <v>Y</v>
      </c>
      <c r="Q99" s="5" t="str">
        <f>INDEX(MCDM_Checks!$K$6:$K$3733,MATCH(A99&amp;"|"&amp;Q$5,MCDM_Checks!$A$6:$A$3733,0))</f>
        <v>U</v>
      </c>
      <c r="R99" s="5" t="str">
        <f>INDEX(MCDM_Checks!$K$6:$K$3733,MATCH(A99&amp;"|"&amp;R$5,MCDM_Checks!$A$6:$A$3733,0))</f>
        <v>U</v>
      </c>
      <c r="S99" s="5" t="str">
        <f>INDEX(MCDM_Checks!$K$6:$K$3733,MATCH(A99&amp;"|"&amp;S$5,MCDM_Checks!$A$6:$A$3733,0))</f>
        <v>Y</v>
      </c>
      <c r="T99" s="5" t="str">
        <f>INDEX(MCDM_Checks!$K$6:$K$3733,MATCH(A99&amp;"|"&amp;T$5,MCDM_Checks!$A$6:$A$3733,0))</f>
        <v>Y</v>
      </c>
      <c r="U99" s="5" t="str">
        <f>INDEX(MCDM_Checks!$K$6:$K$3733,MATCH(A99&amp;"|"&amp;U$5,MCDM_Checks!$A$6:$A$3733,0))</f>
        <v>Y</v>
      </c>
      <c r="V99" s="5" t="str">
        <f>INDEX(MCDM_Checks!$K$6:$K$3733,MATCH(A99&amp;"|"&amp;V$5,MCDM_Checks!$A$6:$A$3733,0))</f>
        <v>U</v>
      </c>
      <c r="W99" s="5" t="str">
        <f>INDEX(MCDM_Checks!$K$6:$K$3733,MATCH(A99&amp;"|"&amp;W$5,MCDM_Checks!$A$6:$A$3733,0))</f>
        <v>U</v>
      </c>
      <c r="X99" s="5" t="str">
        <f>INDEX(MCDM_Checks!$K$6:$K$3733,MATCH(A99&amp;"|"&amp;X$5,MCDM_Checks!$A$6:$A$3733,0))</f>
        <v>U</v>
      </c>
      <c r="Y99" s="5" t="str">
        <f>INDEX(MCDM_Checks!$K$6:$K$3733,MATCH(A99&amp;"|"&amp;Y$5,MCDM_Checks!$A$6:$A$3733,0))</f>
        <v>U</v>
      </c>
      <c r="Z99" s="5" t="str">
        <f>INDEX(MCDM_Checks!$K$6:$K$3733,MATCH(A99&amp;"|"&amp;Z$5,MCDM_Checks!$A$6:$A$3733,0))</f>
        <v>Y</v>
      </c>
      <c r="AA99" s="5" t="str">
        <f>INDEX(MCDM_Checks!$K$6:$K$3733,MATCH(A99&amp;"|"&amp;AA$5,MCDM_Checks!$A$6:$A$3733,0))</f>
        <v>Y</v>
      </c>
      <c r="AB99" s="5" t="str">
        <f>INDEX(MCDM_Checks!$K$6:$K$3733,MATCH(A99&amp;"|"&amp;AB$5,MCDM_Checks!$A$6:$A$3733,0))</f>
        <v>Y</v>
      </c>
      <c r="AC99" s="12">
        <f>IF(IF($D99="Unlabeled-13",MCDM_Settings!$F$6,MCDM_Settings!$D$6)=0,"n.a.",5*COUNTIF(M99:O99,"Y")/IF($D99="Unlabeled-13",MCDM_Settings!$F$6,MCDM_Settings!$D$6))</f>
        <v>5</v>
      </c>
      <c r="AD99" s="12">
        <f>IF(IF($D99="Unlabeled-13",MCDM_Settings!$F$6,MCDM_Settings!$D$6)=0,"n.a.",5*(COUNTIF(M99:O99,"Y")+COUNTIF(M99:O99,"U")+COUNTIF(M99:O99,"X"))/IF($D99="Unlabeled-13",MCDM_Settings!$F$6,MCDM_Settings!$D$6))</f>
        <v>5</v>
      </c>
      <c r="AE99" s="13">
        <f>IF(IF($D99="Unlabeled-13",MCDM_Settings!$F$6,MCDM_Settings!$D$6)=0,"n.a.",(COUNTIF(M99:O99,"Y")+COUNTIF(M99:O99,"N"))/IF($D99="Unlabeled-13",MCDM_Settings!$F$6,MCDM_Settings!$D$6))</f>
        <v>1</v>
      </c>
      <c r="AF99" s="12">
        <f>IF(IF($D99="Unlabeled-13",MCDM_Settings!$F$7,MCDM_Settings!$D$7)=0,"n.a.",5*COUNTIF(P99:R99,"Y")/IF($D99="Unlabeled-13",MCDM_Settings!$F$7,MCDM_Settings!$D$7))</f>
        <v>1.6666666666666667</v>
      </c>
      <c r="AG99" s="12">
        <f>IF(IF($D99="Unlabeled-13",MCDM_Settings!$F$7,MCDM_Settings!$D$7)=0,"n.a.",5*(COUNTIF(P99:R99,"Y")+COUNTIF(P99:R99,"U")+COUNTIF(P99:R99,"X"))/IF($D99="Unlabeled-13",MCDM_Settings!$F$7,MCDM_Settings!$D$7))</f>
        <v>5</v>
      </c>
      <c r="AH99" s="13">
        <f>IF(IF($D99="Unlabeled-13",MCDM_Settings!$F$7,MCDM_Settings!$D$7)=0,"n.a.",(COUNTIF(P99:R99,"Y")+COUNTIF(P99:R99,"N"))/IF($D99="Unlabeled-13",MCDM_Settings!$F$7,MCDM_Settings!$D$7))</f>
        <v>0.33333333333333331</v>
      </c>
      <c r="AI99" s="12">
        <f>IF(IF($D99="Unlabeled-13",MCDM_Settings!$F$8,MCDM_Settings!$D$8)=0,"n.a.",5*COUNTIF(S99:U99,"Y")/IF($D99="Unlabeled-13",MCDM_Settings!$F$8,MCDM_Settings!$D$8))</f>
        <v>5</v>
      </c>
      <c r="AJ99" s="12">
        <f>IF(IF($D99="Unlabeled-13",MCDM_Settings!$F$8,MCDM_Settings!$D$8)=0,"n.a.",5*(COUNTIF(S99:U99,"Y")+COUNTIF(S99:U99,"U")+COUNTIF(S99:U99,"X"))/IF($D99="Unlabeled-13",MCDM_Settings!$F$8,MCDM_Settings!$D$8))</f>
        <v>5</v>
      </c>
      <c r="AK99" s="13">
        <f>IF(IF($D99="Unlabeled-13",MCDM_Settings!$F$8,MCDM_Settings!$D$8)=0,"n.a.",(COUNTIF(S99:U99,"Y")+COUNTIF(S99:U99,"N"))/IF($D99="Unlabeled-13",MCDM_Settings!$F$8,MCDM_Settings!$D$8))</f>
        <v>1</v>
      </c>
      <c r="AL99" s="12">
        <f>IF(IF($D99="Unlabeled-13",MCDM_Settings!$F$9,MCDM_Settings!$D$9)=0,"n.a.",5*COUNTIF(V99:W99,"Y")/IF($D99="Unlabeled-13",MCDM_Settings!$F$9,MCDM_Settings!$D$9))</f>
        <v>0</v>
      </c>
      <c r="AM99" s="12">
        <f>IF(IF($D99="Unlabeled-13",MCDM_Settings!$F$9,MCDM_Settings!$D$9)=0,"n.a.",5*(COUNTIF(V99:W99,"Y")+COUNTIF(V99:W99,"U")+COUNTIF(V99:W99,"X"))/IF($D99="Unlabeled-13",MCDM_Settings!$F$9,MCDM_Settings!$D$9))</f>
        <v>5</v>
      </c>
      <c r="AN99" s="13">
        <f>IF(IF($D99="Unlabeled-13",MCDM_Settings!$F$9,MCDM_Settings!$D$9)=0,"n.a.",(COUNTIF(V99:W99,"Y")+COUNTIF(V99:W99,"N"))/IF($D99="Unlabeled-13",MCDM_Settings!$F$9,MCDM_Settings!$D$9))</f>
        <v>0</v>
      </c>
      <c r="AO99" s="12">
        <f>IF(IF($D99="Unlabeled-13",MCDM_Settings!$F$10,MCDM_Settings!$D$10)=0,"n.a.",5*COUNTIF(X99:Y99,"Y")/IF($D99="Unlabeled-13",MCDM_Settings!$F$10,MCDM_Settings!$D$10))</f>
        <v>0</v>
      </c>
      <c r="AP99" s="12">
        <f>IF(IF($D99="Unlabeled-13",MCDM_Settings!$F$10,MCDM_Settings!$D$10)=0,"n.a.",5*(COUNTIF(X99:Y99,"Y")+COUNTIF(X99:Y99,"U")+COUNTIF(X99:Y99,"X"))/IF($D99="Unlabeled-13",MCDM_Settings!$F$10,MCDM_Settings!$D$10))</f>
        <v>5</v>
      </c>
      <c r="AQ99" s="13">
        <f>IF(IF($D99="Unlabeled-13",MCDM_Settings!$F$10,MCDM_Settings!$D$10)=0,"n.a.",(COUNTIF(X99:Y99,"Y")+COUNTIF(X99:Y99,"N"))/IF($D99="Unlabeled-13",MCDM_Settings!$F$10,MCDM_Settings!$D$10))</f>
        <v>0</v>
      </c>
      <c r="AR99" s="12">
        <f>IF(IF($D99="Unlabeled-13",MCDM_Settings!$F$11,MCDM_Settings!$D$11)=0,"n.a.",5*COUNTIF(Z99:AB99,"Y")/IF($D99="Unlabeled-13",MCDM_Settings!$F$11,MCDM_Settings!$D$11))</f>
        <v>5</v>
      </c>
      <c r="AS99" s="12">
        <f>IF(IF($D99="Unlabeled-13",MCDM_Settings!$F$11,MCDM_Settings!$D$11)=0,"n.a.",5*(COUNTIF(Z99:AB99,"Y")+COUNTIF(Z99:AB99,"U")+COUNTIF(Z99:AB99,"X"))/IF($D99="Unlabeled-13",MCDM_Settings!$F$11,MCDM_Settings!$D$11))</f>
        <v>5</v>
      </c>
      <c r="AT99" s="13">
        <f>IF(IF($D99="Unlabeled-13",MCDM_Settings!$F$11,MCDM_Settings!$D$11)=0,"n.a.",(COUNTIF(Z99:AB99,"Y")+COUNTIF(Z99:AB99,"N"))/IF($D99="Unlabeled-13",MCDM_Settings!$F$11,MCDM_Settings!$D$11))</f>
        <v>1</v>
      </c>
      <c r="AU99" s="5" t="str">
        <f>IF(AND(INDEX(Manual_Review!$G$6:$G$238,MATCH(A99,Manual_Review!$A$6:$A$238,0))&lt;&gt;"",ISNUMBER(INDEX(Manual_Review!$H$6:$H$238,MATCH(A99,Manual_Review!$A$6:$A$238,0))),INDEX(Manual_Review!$H$6:$H$238,MATCH(A99,Manual_Review!$A$6:$A$238,0))&gt;0,INDEX(Manual_Review!$I$6:$I$238,MATCH(A99,Manual_Review!$A$6:$A$238,0))="Confirmed",INDEX(Manual_Review!$AF$6:$AF$238,MATCH(A99,Manual_Review!$A$6:$A$238,0))&lt;&gt;""),IF(INDEX(Manual_Review!$AA$6:$AA$238,MATCH(A99,Manual_Review!$A$6:$A$238,0))="Pass","Pass",IF(INDEX(Manual_Review!$AA$6:$AA$238,MATCH(A99,Manual_Review!$A$6:$A$238,0))="Fail","Fail","Pending")),"Pending human identity confirmation")</f>
        <v>Pending human identity confirmation</v>
      </c>
      <c r="AV99" s="5" t="str">
        <f>IF(AND(AND(INDEX(Manual_Review!$G$6:$G$238,MATCH(A99,Manual_Review!$A$6:$A$238,0))&lt;&gt;"",ISNUMBER(INDEX(Manual_Review!$H$6:$H$238,MATCH(A99,Manual_Review!$A$6:$A$238,0))),INDEX(Manual_Review!$H$6:$H$238,MATCH(A99,Manual_Review!$A$6:$A$238,0))&gt;0,INDEX(Manual_Review!$I$6:$I$238,MATCH(A99,Manual_Review!$A$6:$A$238,0))="Confirmed",INDEX(Manual_Review!$AF$6:$AF$238,MATCH(A99,Manual_Review!$A$6:$A$238,0))&lt;&gt;""),INDEX(Manual_Review!$AG$6:$AG$238,MATCH(A99,Manual_Review!$A$6:$A$238,0))&lt;&gt;""),IF(INDEX(Manual_Review!$AB$6:$AB$238,MATCH(A99,Manual_Review!$A$6:$A$238,0))="Pass","Pass",IF(INDEX(Manual_Review!$AB$6:$AB$238,MATCH(A99,Manual_Review!$A$6:$A$238,0))="Fail","Fail","Pending")),"Not assessed: define intended task")</f>
        <v>Not assessed: define intended task</v>
      </c>
      <c r="AW99" s="5" t="str">
        <f>IF(AND(AND(INDEX(Manual_Review!$G$6:$G$238,MATCH(A99,Manual_Review!$A$6:$A$238,0))&lt;&gt;"",ISNUMBER(INDEX(Manual_Review!$H$6:$H$238,MATCH(A99,Manual_Review!$A$6:$A$238,0))),INDEX(Manual_Review!$H$6:$H$238,MATCH(A99,Manual_Review!$A$6:$A$238,0))&gt;0,INDEX(Manual_Review!$I$6:$I$238,MATCH(A99,Manual_Review!$A$6:$A$238,0))="Confirmed",INDEX(Manual_Review!$AF$6:$AF$238,MATCH(A99,Manual_Review!$A$6:$A$238,0))&lt;&gt;""),INDEX(Manual_Review!$AG$6:$AG$238,MATCH(A99,Manual_Review!$A$6:$A$238,0))&lt;&gt;""),IF(OR(INDEX(Manual_Review!$AC$6:$AC$238,MATCH(A99,Manual_Review!$A$6:$A$238,0))="Fail",INDEX(Manual_Review!$AD$6:$AD$238,MATCH(A99,Manual_Review!$A$6:$A$238,0))="Fail"),"Fail: rights or retrieval",IF(AND(INDEX(Manual_Review!$AC$6:$AC$238,MATCH(A99,Manual_Review!$A$6:$A$238,0))="Pass",INDEX(Manual_Review!$AD$6:$AD$238,MATCH(A99,Manual_Review!$A$6:$A$238,0))="Pass"),"Pass","Pending rights and retrieval")),"Pending rights and retrieval")</f>
        <v>Pending rights and retrieval</v>
      </c>
      <c r="AX99" s="5" t="str">
        <f>IF(INDEX(Manual_Review!$AG$6:$AG$238,MATCH(A99,Manual_Review!$A$6:$A$238,0))="","N/A: documentation inventory",IF(AND(INDEX(Manual_Review!$G$6:$G$238,MATCH(A99,Manual_Review!$A$6:$A$238,0))&lt;&gt;"",ISNUMBER(INDEX(Manual_Review!$H$6:$H$238,MATCH(A99,Manual_Review!$A$6:$A$238,0))),INDEX(Manual_Review!$H$6:$H$238,MATCH(A99,Manual_Review!$A$6:$A$238,0))&gt;0,INDEX(Manual_Review!$I$6:$I$238,MATCH(A99,Manual_Review!$A$6:$A$238,0))="Confirmed",INDEX(Manual_Review!$AF$6:$AF$238,MATCH(A99,Manual_Review!$A$6:$A$238,0))&lt;&gt;""),IF(INDEX(Manual_Review!$AE$6:$AE$238,MATCH(A99,Manual_Review!$A$6:$A$238,0))="Pass","Pass",IF(INDEX(Manual_Review!$AE$6:$AE$238,MATCH(A99,Manual_Review!$A$6:$A$238,0))="Fail","Fail: benchmark leakage",IF(INDEX(Manual_Review!$AE$6:$AE$238,MATCH(A99,Manual_Review!$A$6:$A$238,0))="N/A","N/A: nonbenchmark task","Pending task-specific leakage check"))),"Pending task-specific leakage check"))</f>
        <v>N/A: documentation inventory</v>
      </c>
      <c r="AY99" s="5" t="str">
        <f>IF(IF(D99="Unlabeled-13",AND(ABS(MCDM_Settings!$D$14-1)&lt;0.0000001,MIN(MCDM_Settings!$E$6:$E$11)&gt;=0,MCDM_Settings!$E$7=0),AND(ABS(MCDM_Settings!$B$14-1)&lt;0.0000001,MIN(MCDM_Settings!$C$6:$C$11)&gt;=0)),"Valid","Check weights")</f>
        <v>Valid</v>
      </c>
      <c r="AZ99" s="5" t="str">
        <f>IF(AND(COUNTIF(MCDM_Checks!$B$6:$B$3733,A99)=16,COUNTIF(Manual_Review!$A$6:$A$238,A99)=1),"16 keys present","Check key count")</f>
        <v>16 keys present</v>
      </c>
    </row>
    <row r="100" spans="1:52">
      <c r="A100" s="5" t="s">
        <v>1147</v>
      </c>
      <c r="B100" s="5" t="s">
        <v>1148</v>
      </c>
      <c r="C100" s="5"/>
      <c r="D100" s="5" t="s">
        <v>118</v>
      </c>
      <c r="E100" s="12">
        <f>IF(OR(AY100&lt;&gt;"Valid",AZ100&lt;&gt;"16 keys present"),"Review settings",20*(IF(ISNUMBER(AC100),AC100*IF($D100="Unlabeled-13",MCDM_Settings!$E$6,MCDM_Settings!$C$6),0)+IF(ISNUMBER(AF100),AF100*IF($D100="Unlabeled-13",MCDM_Settings!$E$7,MCDM_Settings!$C$7),0)+IF(ISNUMBER(AI100),AI100*IF($D100="Unlabeled-13",MCDM_Settings!$E$8,MCDM_Settings!$C$8),0)+IF(ISNUMBER(AL100),AL100*IF($D100="Unlabeled-13",MCDM_Settings!$E$9,MCDM_Settings!$C$9),0)+IF(ISNUMBER(AO100),AO100*IF($D100="Unlabeled-13",MCDM_Settings!$E$10,MCDM_Settings!$C$10),0)+IF(ISNUMBER(AR100),AR100*IF($D100="Unlabeled-13",MCDM_Settings!$E$11,MCDM_Settings!$C$11),0)))</f>
        <v>58.333333333333343</v>
      </c>
      <c r="F100" s="12">
        <f>IF(OR(AY100&lt;&gt;"Valid",AZ100&lt;&gt;"16 keys present"),"Review settings",20*(IF(ISNUMBER(AD100),AD100*IF($D100="Unlabeled-13",MCDM_Settings!$E$6,MCDM_Settings!$C$6),0)+IF(ISNUMBER(AG100),AG100*IF($D100="Unlabeled-13",MCDM_Settings!$E$7,MCDM_Settings!$C$7),0)+IF(ISNUMBER(AJ100),AJ100*IF($D100="Unlabeled-13",MCDM_Settings!$E$8,MCDM_Settings!$C$8),0)+IF(ISNUMBER(AM100),AM100*IF($D100="Unlabeled-13",MCDM_Settings!$E$9,MCDM_Settings!$C$9),0)+IF(ISNUMBER(AP100),AP100*IF($D100="Unlabeled-13",MCDM_Settings!$E$10,MCDM_Settings!$C$10),0)+IF(ISNUMBER(AS100),AS100*IF($D100="Unlabeled-13",MCDM_Settings!$E$11,MCDM_Settings!$C$11),0)))</f>
        <v>99.999999999999986</v>
      </c>
      <c r="G100" s="13">
        <f>IF(OR(AY100&lt;&gt;"Valid",AZ100&lt;&gt;"16 keys present"),"Review settings",1*(IF(ISNUMBER(AE100),AE100*IF($D100="Unlabeled-13",MCDM_Settings!$E$6,MCDM_Settings!$C$6),0)+IF(ISNUMBER(AH100),AH100*IF($D100="Unlabeled-13",MCDM_Settings!$E$7,MCDM_Settings!$C$7),0)+IF(ISNUMBER(AK100),AK100*IF($D100="Unlabeled-13",MCDM_Settings!$E$8,MCDM_Settings!$C$8),0)+IF(ISNUMBER(AN100),AN100*IF($D100="Unlabeled-13",MCDM_Settings!$E$9,MCDM_Settings!$C$9),0)+IF(ISNUMBER(AQ100),AQ100*IF($D100="Unlabeled-13",MCDM_Settings!$E$10,MCDM_Settings!$C$10),0)+IF(ISNUMBER(AT100),AT100*IF($D100="Unlabeled-13",MCDM_Settings!$E$11,MCDM_Settings!$C$11),0)))</f>
        <v>0.58333333333333326</v>
      </c>
      <c r="H100" s="5" t="str">
        <f>INDEX(Manual_Review!$AH$6:$AH$238,MATCH(A100,Manual_Review!$A$6:$A$238,0))</f>
        <v>Not started</v>
      </c>
      <c r="I100" s="5" t="s">
        <v>128</v>
      </c>
      <c r="J100" s="5" t="s">
        <v>1149</v>
      </c>
      <c r="K100" s="5" t="str">
        <f>HYPERLINK("https://huggingface.co/datasets/TamAko783/n-rdd2024-distilled-frdc","Dataset")</f>
        <v>Dataset</v>
      </c>
      <c r="L100" s="5" t="str">
        <f>HYPERLINK("#'Manual_Review'!A"&amp;(MATCH("DS-095",Manual_Review!$A$6:$A$238,0)+5),"Enter review")</f>
        <v>Enter review</v>
      </c>
      <c r="M100" s="5" t="str">
        <f>INDEX(MCDM_Checks!$K$6:$K$3733,MATCH(A100&amp;"|"&amp;M$5,MCDM_Checks!$A$6:$A$3733,0))</f>
        <v>Y</v>
      </c>
      <c r="N100" s="5" t="str">
        <f>INDEX(MCDM_Checks!$K$6:$K$3733,MATCH(A100&amp;"|"&amp;N$5,MCDM_Checks!$A$6:$A$3733,0))</f>
        <v>Y</v>
      </c>
      <c r="O100" s="5" t="str">
        <f>INDEX(MCDM_Checks!$K$6:$K$3733,MATCH(A100&amp;"|"&amp;O$5,MCDM_Checks!$A$6:$A$3733,0))</f>
        <v>U</v>
      </c>
      <c r="P100" s="5" t="str">
        <f>INDEX(MCDM_Checks!$K$6:$K$3733,MATCH(A100&amp;"|"&amp;P$5,MCDM_Checks!$A$6:$A$3733,0))</f>
        <v>Y</v>
      </c>
      <c r="Q100" s="5" t="str">
        <f>INDEX(MCDM_Checks!$K$6:$K$3733,MATCH(A100&amp;"|"&amp;Q$5,MCDM_Checks!$A$6:$A$3733,0))</f>
        <v>Y</v>
      </c>
      <c r="R100" s="5" t="str">
        <f>INDEX(MCDM_Checks!$K$6:$K$3733,MATCH(A100&amp;"|"&amp;R$5,MCDM_Checks!$A$6:$A$3733,0))</f>
        <v>U</v>
      </c>
      <c r="S100" s="5" t="str">
        <f>INDEX(MCDM_Checks!$K$6:$K$3733,MATCH(A100&amp;"|"&amp;S$5,MCDM_Checks!$A$6:$A$3733,0))</f>
        <v>Y</v>
      </c>
      <c r="T100" s="5" t="str">
        <f>INDEX(MCDM_Checks!$K$6:$K$3733,MATCH(A100&amp;"|"&amp;T$5,MCDM_Checks!$A$6:$A$3733,0))</f>
        <v>Y</v>
      </c>
      <c r="U100" s="5" t="str">
        <f>INDEX(MCDM_Checks!$K$6:$K$3733,MATCH(A100&amp;"|"&amp;U$5,MCDM_Checks!$A$6:$A$3733,0))</f>
        <v>Y</v>
      </c>
      <c r="V100" s="5" t="str">
        <f>INDEX(MCDM_Checks!$K$6:$K$3733,MATCH(A100&amp;"|"&amp;V$5,MCDM_Checks!$A$6:$A$3733,0))</f>
        <v>U</v>
      </c>
      <c r="W100" s="5" t="str">
        <f>INDEX(MCDM_Checks!$K$6:$K$3733,MATCH(A100&amp;"|"&amp;W$5,MCDM_Checks!$A$6:$A$3733,0))</f>
        <v>Y</v>
      </c>
      <c r="X100" s="5" t="str">
        <f>INDEX(MCDM_Checks!$K$6:$K$3733,MATCH(A100&amp;"|"&amp;X$5,MCDM_Checks!$A$6:$A$3733,0))</f>
        <v>U</v>
      </c>
      <c r="Y100" s="5" t="str">
        <f>INDEX(MCDM_Checks!$K$6:$K$3733,MATCH(A100&amp;"|"&amp;Y$5,MCDM_Checks!$A$6:$A$3733,0))</f>
        <v>U</v>
      </c>
      <c r="Z100" s="5" t="str">
        <f>INDEX(MCDM_Checks!$K$6:$K$3733,MATCH(A100&amp;"|"&amp;Z$5,MCDM_Checks!$A$6:$A$3733,0))</f>
        <v>Y</v>
      </c>
      <c r="AA100" s="5" t="str">
        <f>INDEX(MCDM_Checks!$K$6:$K$3733,MATCH(A100&amp;"|"&amp;AA$5,MCDM_Checks!$A$6:$A$3733,0))</f>
        <v>U</v>
      </c>
      <c r="AB100" s="5" t="str">
        <f>INDEX(MCDM_Checks!$K$6:$K$3733,MATCH(A100&amp;"|"&amp;AB$5,MCDM_Checks!$A$6:$A$3733,0))</f>
        <v>Y</v>
      </c>
      <c r="AC100" s="12">
        <f>IF(IF($D100="Unlabeled-13",MCDM_Settings!$F$6,MCDM_Settings!$D$6)=0,"n.a.",5*COUNTIF(M100:O100,"Y")/IF($D100="Unlabeled-13",MCDM_Settings!$F$6,MCDM_Settings!$D$6))</f>
        <v>3.3333333333333335</v>
      </c>
      <c r="AD100" s="12">
        <f>IF(IF($D100="Unlabeled-13",MCDM_Settings!$F$6,MCDM_Settings!$D$6)=0,"n.a.",5*(COUNTIF(M100:O100,"Y")+COUNTIF(M100:O100,"U")+COUNTIF(M100:O100,"X"))/IF($D100="Unlabeled-13",MCDM_Settings!$F$6,MCDM_Settings!$D$6))</f>
        <v>5</v>
      </c>
      <c r="AE100" s="13">
        <f>IF(IF($D100="Unlabeled-13",MCDM_Settings!$F$6,MCDM_Settings!$D$6)=0,"n.a.",(COUNTIF(M100:O100,"Y")+COUNTIF(M100:O100,"N"))/IF($D100="Unlabeled-13",MCDM_Settings!$F$6,MCDM_Settings!$D$6))</f>
        <v>0.66666666666666663</v>
      </c>
      <c r="AF100" s="12">
        <f>IF(IF($D100="Unlabeled-13",MCDM_Settings!$F$7,MCDM_Settings!$D$7)=0,"n.a.",5*COUNTIF(P100:R100,"Y")/IF($D100="Unlabeled-13",MCDM_Settings!$F$7,MCDM_Settings!$D$7))</f>
        <v>3.3333333333333335</v>
      </c>
      <c r="AG100" s="12">
        <f>IF(IF($D100="Unlabeled-13",MCDM_Settings!$F$7,MCDM_Settings!$D$7)=0,"n.a.",5*(COUNTIF(P100:R100,"Y")+COUNTIF(P100:R100,"U")+COUNTIF(P100:R100,"X"))/IF($D100="Unlabeled-13",MCDM_Settings!$F$7,MCDM_Settings!$D$7))</f>
        <v>5</v>
      </c>
      <c r="AH100" s="13">
        <f>IF(IF($D100="Unlabeled-13",MCDM_Settings!$F$7,MCDM_Settings!$D$7)=0,"n.a.",(COUNTIF(P100:R100,"Y")+COUNTIF(P100:R100,"N"))/IF($D100="Unlabeled-13",MCDM_Settings!$F$7,MCDM_Settings!$D$7))</f>
        <v>0.66666666666666663</v>
      </c>
      <c r="AI100" s="12">
        <f>IF(IF($D100="Unlabeled-13",MCDM_Settings!$F$8,MCDM_Settings!$D$8)=0,"n.a.",5*COUNTIF(S100:U100,"Y")/IF($D100="Unlabeled-13",MCDM_Settings!$F$8,MCDM_Settings!$D$8))</f>
        <v>5</v>
      </c>
      <c r="AJ100" s="12">
        <f>IF(IF($D100="Unlabeled-13",MCDM_Settings!$F$8,MCDM_Settings!$D$8)=0,"n.a.",5*(COUNTIF(S100:U100,"Y")+COUNTIF(S100:U100,"U")+COUNTIF(S100:U100,"X"))/IF($D100="Unlabeled-13",MCDM_Settings!$F$8,MCDM_Settings!$D$8))</f>
        <v>5</v>
      </c>
      <c r="AK100" s="13">
        <f>IF(IF($D100="Unlabeled-13",MCDM_Settings!$F$8,MCDM_Settings!$D$8)=0,"n.a.",(COUNTIF(S100:U100,"Y")+COUNTIF(S100:U100,"N"))/IF($D100="Unlabeled-13",MCDM_Settings!$F$8,MCDM_Settings!$D$8))</f>
        <v>1</v>
      </c>
      <c r="AL100" s="12">
        <f>IF(IF($D100="Unlabeled-13",MCDM_Settings!$F$9,MCDM_Settings!$D$9)=0,"n.a.",5*COUNTIF(V100:W100,"Y")/IF($D100="Unlabeled-13",MCDM_Settings!$F$9,MCDM_Settings!$D$9))</f>
        <v>2.5</v>
      </c>
      <c r="AM100" s="12">
        <f>IF(IF($D100="Unlabeled-13",MCDM_Settings!$F$9,MCDM_Settings!$D$9)=0,"n.a.",5*(COUNTIF(V100:W100,"Y")+COUNTIF(V100:W100,"U")+COUNTIF(V100:W100,"X"))/IF($D100="Unlabeled-13",MCDM_Settings!$F$9,MCDM_Settings!$D$9))</f>
        <v>5</v>
      </c>
      <c r="AN100" s="13">
        <f>IF(IF($D100="Unlabeled-13",MCDM_Settings!$F$9,MCDM_Settings!$D$9)=0,"n.a.",(COUNTIF(V100:W100,"Y")+COUNTIF(V100:W100,"N"))/IF($D100="Unlabeled-13",MCDM_Settings!$F$9,MCDM_Settings!$D$9))</f>
        <v>0.5</v>
      </c>
      <c r="AO100" s="12">
        <f>IF(IF($D100="Unlabeled-13",MCDM_Settings!$F$10,MCDM_Settings!$D$10)=0,"n.a.",5*COUNTIF(X100:Y100,"Y")/IF($D100="Unlabeled-13",MCDM_Settings!$F$10,MCDM_Settings!$D$10))</f>
        <v>0</v>
      </c>
      <c r="AP100" s="12">
        <f>IF(IF($D100="Unlabeled-13",MCDM_Settings!$F$10,MCDM_Settings!$D$10)=0,"n.a.",5*(COUNTIF(X100:Y100,"Y")+COUNTIF(X100:Y100,"U")+COUNTIF(X100:Y100,"X"))/IF($D100="Unlabeled-13",MCDM_Settings!$F$10,MCDM_Settings!$D$10))</f>
        <v>5</v>
      </c>
      <c r="AQ100" s="13">
        <f>IF(IF($D100="Unlabeled-13",MCDM_Settings!$F$10,MCDM_Settings!$D$10)=0,"n.a.",(COUNTIF(X100:Y100,"Y")+COUNTIF(X100:Y100,"N"))/IF($D100="Unlabeled-13",MCDM_Settings!$F$10,MCDM_Settings!$D$10))</f>
        <v>0</v>
      </c>
      <c r="AR100" s="12">
        <f>IF(IF($D100="Unlabeled-13",MCDM_Settings!$F$11,MCDM_Settings!$D$11)=0,"n.a.",5*COUNTIF(Z100:AB100,"Y")/IF($D100="Unlabeled-13",MCDM_Settings!$F$11,MCDM_Settings!$D$11))</f>
        <v>3.3333333333333335</v>
      </c>
      <c r="AS100" s="12">
        <f>IF(IF($D100="Unlabeled-13",MCDM_Settings!$F$11,MCDM_Settings!$D$11)=0,"n.a.",5*(COUNTIF(Z100:AB100,"Y")+COUNTIF(Z100:AB100,"U")+COUNTIF(Z100:AB100,"X"))/IF($D100="Unlabeled-13",MCDM_Settings!$F$11,MCDM_Settings!$D$11))</f>
        <v>5</v>
      </c>
      <c r="AT100" s="13">
        <f>IF(IF($D100="Unlabeled-13",MCDM_Settings!$F$11,MCDM_Settings!$D$11)=0,"n.a.",(COUNTIF(Z100:AB100,"Y")+COUNTIF(Z100:AB100,"N"))/IF($D100="Unlabeled-13",MCDM_Settings!$F$11,MCDM_Settings!$D$11))</f>
        <v>0.66666666666666663</v>
      </c>
      <c r="AU100" s="5" t="str">
        <f>IF(AND(INDEX(Manual_Review!$G$6:$G$238,MATCH(A100,Manual_Review!$A$6:$A$238,0))&lt;&gt;"",ISNUMBER(INDEX(Manual_Review!$H$6:$H$238,MATCH(A100,Manual_Review!$A$6:$A$238,0))),INDEX(Manual_Review!$H$6:$H$238,MATCH(A100,Manual_Review!$A$6:$A$238,0))&gt;0,INDEX(Manual_Review!$I$6:$I$238,MATCH(A100,Manual_Review!$A$6:$A$238,0))="Confirmed",INDEX(Manual_Review!$AF$6:$AF$238,MATCH(A100,Manual_Review!$A$6:$A$238,0))&lt;&gt;""),IF(INDEX(Manual_Review!$AA$6:$AA$238,MATCH(A100,Manual_Review!$A$6:$A$238,0))="Pass","Pass",IF(INDEX(Manual_Review!$AA$6:$AA$238,MATCH(A100,Manual_Review!$A$6:$A$238,0))="Fail","Fail","Pending")),"Pending human identity confirmation")</f>
        <v>Pending human identity confirmation</v>
      </c>
      <c r="AV100" s="5" t="str">
        <f>IF(AND(AND(INDEX(Manual_Review!$G$6:$G$238,MATCH(A100,Manual_Review!$A$6:$A$238,0))&lt;&gt;"",ISNUMBER(INDEX(Manual_Review!$H$6:$H$238,MATCH(A100,Manual_Review!$A$6:$A$238,0))),INDEX(Manual_Review!$H$6:$H$238,MATCH(A100,Manual_Review!$A$6:$A$238,0))&gt;0,INDEX(Manual_Review!$I$6:$I$238,MATCH(A100,Manual_Review!$A$6:$A$238,0))="Confirmed",INDEX(Manual_Review!$AF$6:$AF$238,MATCH(A100,Manual_Review!$A$6:$A$238,0))&lt;&gt;""),INDEX(Manual_Review!$AG$6:$AG$238,MATCH(A100,Manual_Review!$A$6:$A$238,0))&lt;&gt;""),IF(INDEX(Manual_Review!$AB$6:$AB$238,MATCH(A100,Manual_Review!$A$6:$A$238,0))="Pass","Pass",IF(INDEX(Manual_Review!$AB$6:$AB$238,MATCH(A100,Manual_Review!$A$6:$A$238,0))="Fail","Fail","Pending")),"Not assessed: define intended task")</f>
        <v>Not assessed: define intended task</v>
      </c>
      <c r="AW100" s="5" t="str">
        <f>IF(AND(AND(INDEX(Manual_Review!$G$6:$G$238,MATCH(A100,Manual_Review!$A$6:$A$238,0))&lt;&gt;"",ISNUMBER(INDEX(Manual_Review!$H$6:$H$238,MATCH(A100,Manual_Review!$A$6:$A$238,0))),INDEX(Manual_Review!$H$6:$H$238,MATCH(A100,Manual_Review!$A$6:$A$238,0))&gt;0,INDEX(Manual_Review!$I$6:$I$238,MATCH(A100,Manual_Review!$A$6:$A$238,0))="Confirmed",INDEX(Manual_Review!$AF$6:$AF$238,MATCH(A100,Manual_Review!$A$6:$A$238,0))&lt;&gt;""),INDEX(Manual_Review!$AG$6:$AG$238,MATCH(A100,Manual_Review!$A$6:$A$238,0))&lt;&gt;""),IF(OR(INDEX(Manual_Review!$AC$6:$AC$238,MATCH(A100,Manual_Review!$A$6:$A$238,0))="Fail",INDEX(Manual_Review!$AD$6:$AD$238,MATCH(A100,Manual_Review!$A$6:$A$238,0))="Fail"),"Fail: rights or retrieval",IF(AND(INDEX(Manual_Review!$AC$6:$AC$238,MATCH(A100,Manual_Review!$A$6:$A$238,0))="Pass",INDEX(Manual_Review!$AD$6:$AD$238,MATCH(A100,Manual_Review!$A$6:$A$238,0))="Pass"),"Pass","Pending rights and retrieval")),"Pending rights and retrieval")</f>
        <v>Pending rights and retrieval</v>
      </c>
      <c r="AX100" s="5" t="str">
        <f>IF(INDEX(Manual_Review!$AG$6:$AG$238,MATCH(A100,Manual_Review!$A$6:$A$238,0))="","N/A: documentation inventory",IF(AND(INDEX(Manual_Review!$G$6:$G$238,MATCH(A100,Manual_Review!$A$6:$A$238,0))&lt;&gt;"",ISNUMBER(INDEX(Manual_Review!$H$6:$H$238,MATCH(A100,Manual_Review!$A$6:$A$238,0))),INDEX(Manual_Review!$H$6:$H$238,MATCH(A100,Manual_Review!$A$6:$A$238,0))&gt;0,INDEX(Manual_Review!$I$6:$I$238,MATCH(A100,Manual_Review!$A$6:$A$238,0))="Confirmed",INDEX(Manual_Review!$AF$6:$AF$238,MATCH(A100,Manual_Review!$A$6:$A$238,0))&lt;&gt;""),IF(INDEX(Manual_Review!$AE$6:$AE$238,MATCH(A100,Manual_Review!$A$6:$A$238,0))="Pass","Pass",IF(INDEX(Manual_Review!$AE$6:$AE$238,MATCH(A100,Manual_Review!$A$6:$A$238,0))="Fail","Fail: benchmark leakage",IF(INDEX(Manual_Review!$AE$6:$AE$238,MATCH(A100,Manual_Review!$A$6:$A$238,0))="N/A","N/A: nonbenchmark task","Pending task-specific leakage check"))),"Pending task-specific leakage check"))</f>
        <v>N/A: documentation inventory</v>
      </c>
      <c r="AY100" s="5" t="str">
        <f>IF(IF(D100="Unlabeled-13",AND(ABS(MCDM_Settings!$D$14-1)&lt;0.0000001,MIN(MCDM_Settings!$E$6:$E$11)&gt;=0,MCDM_Settings!$E$7=0),AND(ABS(MCDM_Settings!$B$14-1)&lt;0.0000001,MIN(MCDM_Settings!$C$6:$C$11)&gt;=0)),"Valid","Check weights")</f>
        <v>Valid</v>
      </c>
      <c r="AZ100" s="5" t="str">
        <f>IF(AND(COUNTIF(MCDM_Checks!$B$6:$B$3733,A100)=16,COUNTIF(Manual_Review!$A$6:$A$238,A100)=1),"16 keys present","Check key count")</f>
        <v>16 keys present</v>
      </c>
    </row>
    <row r="101" spans="1:52" ht="25.5">
      <c r="A101" s="5" t="s">
        <v>39</v>
      </c>
      <c r="B101" s="5" t="s">
        <v>1158</v>
      </c>
      <c r="C101" s="5">
        <v>4</v>
      </c>
      <c r="D101" s="5" t="s">
        <v>118</v>
      </c>
      <c r="E101" s="12">
        <f>IF(OR(AY101&lt;&gt;"Valid",AZ101&lt;&gt;"16 keys present"),"Review settings",20*(IF(ISNUMBER(AC101),AC101*IF($D101="Unlabeled-13",MCDM_Settings!$E$6,MCDM_Settings!$C$6),0)+IF(ISNUMBER(AF101),AF101*IF($D101="Unlabeled-13",MCDM_Settings!$E$7,MCDM_Settings!$C$7),0)+IF(ISNUMBER(AI101),AI101*IF($D101="Unlabeled-13",MCDM_Settings!$E$8,MCDM_Settings!$C$8),0)+IF(ISNUMBER(AL101),AL101*IF($D101="Unlabeled-13",MCDM_Settings!$E$9,MCDM_Settings!$C$9),0)+IF(ISNUMBER(AO101),AO101*IF($D101="Unlabeled-13",MCDM_Settings!$E$10,MCDM_Settings!$C$10),0)+IF(ISNUMBER(AR101),AR101*IF($D101="Unlabeled-13",MCDM_Settings!$E$11,MCDM_Settings!$C$11),0)))</f>
        <v>99.999999999999986</v>
      </c>
      <c r="F101" s="12">
        <f>IF(OR(AY101&lt;&gt;"Valid",AZ101&lt;&gt;"16 keys present"),"Review settings",20*(IF(ISNUMBER(AD101),AD101*IF($D101="Unlabeled-13",MCDM_Settings!$E$6,MCDM_Settings!$C$6),0)+IF(ISNUMBER(AG101),AG101*IF($D101="Unlabeled-13",MCDM_Settings!$E$7,MCDM_Settings!$C$7),0)+IF(ISNUMBER(AJ101),AJ101*IF($D101="Unlabeled-13",MCDM_Settings!$E$8,MCDM_Settings!$C$8),0)+IF(ISNUMBER(AM101),AM101*IF($D101="Unlabeled-13",MCDM_Settings!$E$9,MCDM_Settings!$C$9),0)+IF(ISNUMBER(AP101),AP101*IF($D101="Unlabeled-13",MCDM_Settings!$E$10,MCDM_Settings!$C$10),0)+IF(ISNUMBER(AS101),AS101*IF($D101="Unlabeled-13",MCDM_Settings!$E$11,MCDM_Settings!$C$11),0)))</f>
        <v>99.999999999999986</v>
      </c>
      <c r="G101" s="13">
        <f>IF(OR(AY101&lt;&gt;"Valid",AZ101&lt;&gt;"16 keys present"),"Review settings",1*(IF(ISNUMBER(AE101),AE101*IF($D101="Unlabeled-13",MCDM_Settings!$E$6,MCDM_Settings!$C$6),0)+IF(ISNUMBER(AH101),AH101*IF($D101="Unlabeled-13",MCDM_Settings!$E$7,MCDM_Settings!$C$7),0)+IF(ISNUMBER(AK101),AK101*IF($D101="Unlabeled-13",MCDM_Settings!$E$8,MCDM_Settings!$C$8),0)+IF(ISNUMBER(AN101),AN101*IF($D101="Unlabeled-13",MCDM_Settings!$E$9,MCDM_Settings!$C$9),0)+IF(ISNUMBER(AQ101),AQ101*IF($D101="Unlabeled-13",MCDM_Settings!$E$10,MCDM_Settings!$C$10),0)+IF(ISNUMBER(AT101),AT101*IF($D101="Unlabeled-13",MCDM_Settings!$E$11,MCDM_Settings!$C$11),0)))</f>
        <v>0.99999999999999989</v>
      </c>
      <c r="H101" s="5" t="str">
        <f>INDEX(Manual_Review!$AH$6:$AH$238,MATCH(A101,Manual_Review!$A$6:$A$238,0))</f>
        <v>Not started</v>
      </c>
      <c r="I101" s="5" t="s">
        <v>206</v>
      </c>
      <c r="J101" s="5" t="s">
        <v>44</v>
      </c>
      <c r="K101" s="5" t="str">
        <f>HYPERLINK("https://huggingface.co/datasets/MML-Group/PaveBench","Dataset")</f>
        <v>Dataset</v>
      </c>
      <c r="L101" s="5" t="str">
        <f>HYPERLINK("#'Manual_Review'!A"&amp;(MATCH("DS-096",Manual_Review!$A$6:$A$238,0)+5),"Enter review")</f>
        <v>Enter review</v>
      </c>
      <c r="M101" s="5" t="str">
        <f>INDEX(MCDM_Checks!$K$6:$K$3733,MATCH(A101&amp;"|"&amp;M$5,MCDM_Checks!$A$6:$A$3733,0))</f>
        <v>Y</v>
      </c>
      <c r="N101" s="5" t="str">
        <f>INDEX(MCDM_Checks!$K$6:$K$3733,MATCH(A101&amp;"|"&amp;N$5,MCDM_Checks!$A$6:$A$3733,0))</f>
        <v>Y</v>
      </c>
      <c r="O101" s="5" t="str">
        <f>INDEX(MCDM_Checks!$K$6:$K$3733,MATCH(A101&amp;"|"&amp;O$5,MCDM_Checks!$A$6:$A$3733,0))</f>
        <v>Y</v>
      </c>
      <c r="P101" s="5" t="str">
        <f>INDEX(MCDM_Checks!$K$6:$K$3733,MATCH(A101&amp;"|"&amp;P$5,MCDM_Checks!$A$6:$A$3733,0))</f>
        <v>Y</v>
      </c>
      <c r="Q101" s="5" t="str">
        <f>INDEX(MCDM_Checks!$K$6:$K$3733,MATCH(A101&amp;"|"&amp;Q$5,MCDM_Checks!$A$6:$A$3733,0))</f>
        <v>Y</v>
      </c>
      <c r="R101" s="5" t="str">
        <f>INDEX(MCDM_Checks!$K$6:$K$3733,MATCH(A101&amp;"|"&amp;R$5,MCDM_Checks!$A$6:$A$3733,0))</f>
        <v>Y</v>
      </c>
      <c r="S101" s="5" t="str">
        <f>INDEX(MCDM_Checks!$K$6:$K$3733,MATCH(A101&amp;"|"&amp;S$5,MCDM_Checks!$A$6:$A$3733,0))</f>
        <v>Y</v>
      </c>
      <c r="T101" s="5" t="str">
        <f>INDEX(MCDM_Checks!$K$6:$K$3733,MATCH(A101&amp;"|"&amp;T$5,MCDM_Checks!$A$6:$A$3733,0))</f>
        <v>Y</v>
      </c>
      <c r="U101" s="5" t="str">
        <f>INDEX(MCDM_Checks!$K$6:$K$3733,MATCH(A101&amp;"|"&amp;U$5,MCDM_Checks!$A$6:$A$3733,0))</f>
        <v>Y</v>
      </c>
      <c r="V101" s="5" t="str">
        <f>INDEX(MCDM_Checks!$K$6:$K$3733,MATCH(A101&amp;"|"&amp;V$5,MCDM_Checks!$A$6:$A$3733,0))</f>
        <v>Y</v>
      </c>
      <c r="W101" s="5" t="str">
        <f>INDEX(MCDM_Checks!$K$6:$K$3733,MATCH(A101&amp;"|"&amp;W$5,MCDM_Checks!$A$6:$A$3733,0))</f>
        <v>Y</v>
      </c>
      <c r="X101" s="5" t="str">
        <f>INDEX(MCDM_Checks!$K$6:$K$3733,MATCH(A101&amp;"|"&amp;X$5,MCDM_Checks!$A$6:$A$3733,0))</f>
        <v>Y</v>
      </c>
      <c r="Y101" s="5" t="str">
        <f>INDEX(MCDM_Checks!$K$6:$K$3733,MATCH(A101&amp;"|"&amp;Y$5,MCDM_Checks!$A$6:$A$3733,0))</f>
        <v>Y</v>
      </c>
      <c r="Z101" s="5" t="str">
        <f>INDEX(MCDM_Checks!$K$6:$K$3733,MATCH(A101&amp;"|"&amp;Z$5,MCDM_Checks!$A$6:$A$3733,0))</f>
        <v>Y</v>
      </c>
      <c r="AA101" s="5" t="str">
        <f>INDEX(MCDM_Checks!$K$6:$K$3733,MATCH(A101&amp;"|"&amp;AA$5,MCDM_Checks!$A$6:$A$3733,0))</f>
        <v>Y</v>
      </c>
      <c r="AB101" s="5" t="str">
        <f>INDEX(MCDM_Checks!$K$6:$K$3733,MATCH(A101&amp;"|"&amp;AB$5,MCDM_Checks!$A$6:$A$3733,0))</f>
        <v>Y</v>
      </c>
      <c r="AC101" s="12">
        <f>IF(IF($D101="Unlabeled-13",MCDM_Settings!$F$6,MCDM_Settings!$D$6)=0,"n.a.",5*COUNTIF(M101:O101,"Y")/IF($D101="Unlabeled-13",MCDM_Settings!$F$6,MCDM_Settings!$D$6))</f>
        <v>5</v>
      </c>
      <c r="AD101" s="12">
        <f>IF(IF($D101="Unlabeled-13",MCDM_Settings!$F$6,MCDM_Settings!$D$6)=0,"n.a.",5*(COUNTIF(M101:O101,"Y")+COUNTIF(M101:O101,"U")+COUNTIF(M101:O101,"X"))/IF($D101="Unlabeled-13",MCDM_Settings!$F$6,MCDM_Settings!$D$6))</f>
        <v>5</v>
      </c>
      <c r="AE101" s="13">
        <f>IF(IF($D101="Unlabeled-13",MCDM_Settings!$F$6,MCDM_Settings!$D$6)=0,"n.a.",(COUNTIF(M101:O101,"Y")+COUNTIF(M101:O101,"N"))/IF($D101="Unlabeled-13",MCDM_Settings!$F$6,MCDM_Settings!$D$6))</f>
        <v>1</v>
      </c>
      <c r="AF101" s="12">
        <f>IF(IF($D101="Unlabeled-13",MCDM_Settings!$F$7,MCDM_Settings!$D$7)=0,"n.a.",5*COUNTIF(P101:R101,"Y")/IF($D101="Unlabeled-13",MCDM_Settings!$F$7,MCDM_Settings!$D$7))</f>
        <v>5</v>
      </c>
      <c r="AG101" s="12">
        <f>IF(IF($D101="Unlabeled-13",MCDM_Settings!$F$7,MCDM_Settings!$D$7)=0,"n.a.",5*(COUNTIF(P101:R101,"Y")+COUNTIF(P101:R101,"U")+COUNTIF(P101:R101,"X"))/IF($D101="Unlabeled-13",MCDM_Settings!$F$7,MCDM_Settings!$D$7))</f>
        <v>5</v>
      </c>
      <c r="AH101" s="13">
        <f>IF(IF($D101="Unlabeled-13",MCDM_Settings!$F$7,MCDM_Settings!$D$7)=0,"n.a.",(COUNTIF(P101:R101,"Y")+COUNTIF(P101:R101,"N"))/IF($D101="Unlabeled-13",MCDM_Settings!$F$7,MCDM_Settings!$D$7))</f>
        <v>1</v>
      </c>
      <c r="AI101" s="12">
        <f>IF(IF($D101="Unlabeled-13",MCDM_Settings!$F$8,MCDM_Settings!$D$8)=0,"n.a.",5*COUNTIF(S101:U101,"Y")/IF($D101="Unlabeled-13",MCDM_Settings!$F$8,MCDM_Settings!$D$8))</f>
        <v>5</v>
      </c>
      <c r="AJ101" s="12">
        <f>IF(IF($D101="Unlabeled-13",MCDM_Settings!$F$8,MCDM_Settings!$D$8)=0,"n.a.",5*(COUNTIF(S101:U101,"Y")+COUNTIF(S101:U101,"U")+COUNTIF(S101:U101,"X"))/IF($D101="Unlabeled-13",MCDM_Settings!$F$8,MCDM_Settings!$D$8))</f>
        <v>5</v>
      </c>
      <c r="AK101" s="13">
        <f>IF(IF($D101="Unlabeled-13",MCDM_Settings!$F$8,MCDM_Settings!$D$8)=0,"n.a.",(COUNTIF(S101:U101,"Y")+COUNTIF(S101:U101,"N"))/IF($D101="Unlabeled-13",MCDM_Settings!$F$8,MCDM_Settings!$D$8))</f>
        <v>1</v>
      </c>
      <c r="AL101" s="12">
        <f>IF(IF($D101="Unlabeled-13",MCDM_Settings!$F$9,MCDM_Settings!$D$9)=0,"n.a.",5*COUNTIF(V101:W101,"Y")/IF($D101="Unlabeled-13",MCDM_Settings!$F$9,MCDM_Settings!$D$9))</f>
        <v>5</v>
      </c>
      <c r="AM101" s="12">
        <f>IF(IF($D101="Unlabeled-13",MCDM_Settings!$F$9,MCDM_Settings!$D$9)=0,"n.a.",5*(COUNTIF(V101:W101,"Y")+COUNTIF(V101:W101,"U")+COUNTIF(V101:W101,"X"))/IF($D101="Unlabeled-13",MCDM_Settings!$F$9,MCDM_Settings!$D$9))</f>
        <v>5</v>
      </c>
      <c r="AN101" s="13">
        <f>IF(IF($D101="Unlabeled-13",MCDM_Settings!$F$9,MCDM_Settings!$D$9)=0,"n.a.",(COUNTIF(V101:W101,"Y")+COUNTIF(V101:W101,"N"))/IF($D101="Unlabeled-13",MCDM_Settings!$F$9,MCDM_Settings!$D$9))</f>
        <v>1</v>
      </c>
      <c r="AO101" s="12">
        <f>IF(IF($D101="Unlabeled-13",MCDM_Settings!$F$10,MCDM_Settings!$D$10)=0,"n.a.",5*COUNTIF(X101:Y101,"Y")/IF($D101="Unlabeled-13",MCDM_Settings!$F$10,MCDM_Settings!$D$10))</f>
        <v>5</v>
      </c>
      <c r="AP101" s="12">
        <f>IF(IF($D101="Unlabeled-13",MCDM_Settings!$F$10,MCDM_Settings!$D$10)=0,"n.a.",5*(COUNTIF(X101:Y101,"Y")+COUNTIF(X101:Y101,"U")+COUNTIF(X101:Y101,"X"))/IF($D101="Unlabeled-13",MCDM_Settings!$F$10,MCDM_Settings!$D$10))</f>
        <v>5</v>
      </c>
      <c r="AQ101" s="13">
        <f>IF(IF($D101="Unlabeled-13",MCDM_Settings!$F$10,MCDM_Settings!$D$10)=0,"n.a.",(COUNTIF(X101:Y101,"Y")+COUNTIF(X101:Y101,"N"))/IF($D101="Unlabeled-13",MCDM_Settings!$F$10,MCDM_Settings!$D$10))</f>
        <v>1</v>
      </c>
      <c r="AR101" s="12">
        <f>IF(IF($D101="Unlabeled-13",MCDM_Settings!$F$11,MCDM_Settings!$D$11)=0,"n.a.",5*COUNTIF(Z101:AB101,"Y")/IF($D101="Unlabeled-13",MCDM_Settings!$F$11,MCDM_Settings!$D$11))</f>
        <v>5</v>
      </c>
      <c r="AS101" s="12">
        <f>IF(IF($D101="Unlabeled-13",MCDM_Settings!$F$11,MCDM_Settings!$D$11)=0,"n.a.",5*(COUNTIF(Z101:AB101,"Y")+COUNTIF(Z101:AB101,"U")+COUNTIF(Z101:AB101,"X"))/IF($D101="Unlabeled-13",MCDM_Settings!$F$11,MCDM_Settings!$D$11))</f>
        <v>5</v>
      </c>
      <c r="AT101" s="13">
        <f>IF(IF($D101="Unlabeled-13",MCDM_Settings!$F$11,MCDM_Settings!$D$11)=0,"n.a.",(COUNTIF(Z101:AB101,"Y")+COUNTIF(Z101:AB101,"N"))/IF($D101="Unlabeled-13",MCDM_Settings!$F$11,MCDM_Settings!$D$11))</f>
        <v>1</v>
      </c>
      <c r="AU101" s="5" t="str">
        <f>IF(AND(INDEX(Manual_Review!$G$6:$G$238,MATCH(A101,Manual_Review!$A$6:$A$238,0))&lt;&gt;"",ISNUMBER(INDEX(Manual_Review!$H$6:$H$238,MATCH(A101,Manual_Review!$A$6:$A$238,0))),INDEX(Manual_Review!$H$6:$H$238,MATCH(A101,Manual_Review!$A$6:$A$238,0))&gt;0,INDEX(Manual_Review!$I$6:$I$238,MATCH(A101,Manual_Review!$A$6:$A$238,0))="Confirmed",INDEX(Manual_Review!$AF$6:$AF$238,MATCH(A101,Manual_Review!$A$6:$A$238,0))&lt;&gt;""),IF(INDEX(Manual_Review!$AA$6:$AA$238,MATCH(A101,Manual_Review!$A$6:$A$238,0))="Pass","Pass",IF(INDEX(Manual_Review!$AA$6:$AA$238,MATCH(A101,Manual_Review!$A$6:$A$238,0))="Fail","Fail","Pending")),"Pending human identity confirmation")</f>
        <v>Pending human identity confirmation</v>
      </c>
      <c r="AV101" s="5" t="str">
        <f>IF(AND(AND(INDEX(Manual_Review!$G$6:$G$238,MATCH(A101,Manual_Review!$A$6:$A$238,0))&lt;&gt;"",ISNUMBER(INDEX(Manual_Review!$H$6:$H$238,MATCH(A101,Manual_Review!$A$6:$A$238,0))),INDEX(Manual_Review!$H$6:$H$238,MATCH(A101,Manual_Review!$A$6:$A$238,0))&gt;0,INDEX(Manual_Review!$I$6:$I$238,MATCH(A101,Manual_Review!$A$6:$A$238,0))="Confirmed",INDEX(Manual_Review!$AF$6:$AF$238,MATCH(A101,Manual_Review!$A$6:$A$238,0))&lt;&gt;""),INDEX(Manual_Review!$AG$6:$AG$238,MATCH(A101,Manual_Review!$A$6:$A$238,0))&lt;&gt;""),IF(INDEX(Manual_Review!$AB$6:$AB$238,MATCH(A101,Manual_Review!$A$6:$A$238,0))="Pass","Pass",IF(INDEX(Manual_Review!$AB$6:$AB$238,MATCH(A101,Manual_Review!$A$6:$A$238,0))="Fail","Fail","Pending")),"Not assessed: define intended task")</f>
        <v>Not assessed: define intended task</v>
      </c>
      <c r="AW101" s="5" t="str">
        <f>IF(AND(AND(INDEX(Manual_Review!$G$6:$G$238,MATCH(A101,Manual_Review!$A$6:$A$238,0))&lt;&gt;"",ISNUMBER(INDEX(Manual_Review!$H$6:$H$238,MATCH(A101,Manual_Review!$A$6:$A$238,0))),INDEX(Manual_Review!$H$6:$H$238,MATCH(A101,Manual_Review!$A$6:$A$238,0))&gt;0,INDEX(Manual_Review!$I$6:$I$238,MATCH(A101,Manual_Review!$A$6:$A$238,0))="Confirmed",INDEX(Manual_Review!$AF$6:$AF$238,MATCH(A101,Manual_Review!$A$6:$A$238,0))&lt;&gt;""),INDEX(Manual_Review!$AG$6:$AG$238,MATCH(A101,Manual_Review!$A$6:$A$238,0))&lt;&gt;""),IF(OR(INDEX(Manual_Review!$AC$6:$AC$238,MATCH(A101,Manual_Review!$A$6:$A$238,0))="Fail",INDEX(Manual_Review!$AD$6:$AD$238,MATCH(A101,Manual_Review!$A$6:$A$238,0))="Fail"),"Fail: rights or retrieval",IF(AND(INDEX(Manual_Review!$AC$6:$AC$238,MATCH(A101,Manual_Review!$A$6:$A$238,0))="Pass",INDEX(Manual_Review!$AD$6:$AD$238,MATCH(A101,Manual_Review!$A$6:$A$238,0))="Pass"),"Pass","Pending rights and retrieval")),"Pending rights and retrieval")</f>
        <v>Pending rights and retrieval</v>
      </c>
      <c r="AX101" s="5" t="str">
        <f>IF(INDEX(Manual_Review!$AG$6:$AG$238,MATCH(A101,Manual_Review!$A$6:$A$238,0))="","N/A: documentation inventory",IF(AND(INDEX(Manual_Review!$G$6:$G$238,MATCH(A101,Manual_Review!$A$6:$A$238,0))&lt;&gt;"",ISNUMBER(INDEX(Manual_Review!$H$6:$H$238,MATCH(A101,Manual_Review!$A$6:$A$238,0))),INDEX(Manual_Review!$H$6:$H$238,MATCH(A101,Manual_Review!$A$6:$A$238,0))&gt;0,INDEX(Manual_Review!$I$6:$I$238,MATCH(A101,Manual_Review!$A$6:$A$238,0))="Confirmed",INDEX(Manual_Review!$AF$6:$AF$238,MATCH(A101,Manual_Review!$A$6:$A$238,0))&lt;&gt;""),IF(INDEX(Manual_Review!$AE$6:$AE$238,MATCH(A101,Manual_Review!$A$6:$A$238,0))="Pass","Pass",IF(INDEX(Manual_Review!$AE$6:$AE$238,MATCH(A101,Manual_Review!$A$6:$A$238,0))="Fail","Fail: benchmark leakage",IF(INDEX(Manual_Review!$AE$6:$AE$238,MATCH(A101,Manual_Review!$A$6:$A$238,0))="N/A","N/A: nonbenchmark task","Pending task-specific leakage check"))),"Pending task-specific leakage check"))</f>
        <v>N/A: documentation inventory</v>
      </c>
      <c r="AY101" s="5" t="str">
        <f>IF(IF(D101="Unlabeled-13",AND(ABS(MCDM_Settings!$D$14-1)&lt;0.0000001,MIN(MCDM_Settings!$E$6:$E$11)&gt;=0,MCDM_Settings!$E$7=0),AND(ABS(MCDM_Settings!$B$14-1)&lt;0.0000001,MIN(MCDM_Settings!$C$6:$C$11)&gt;=0)),"Valid","Check weights")</f>
        <v>Valid</v>
      </c>
      <c r="AZ101" s="5" t="str">
        <f>IF(AND(COUNTIF(MCDM_Checks!$B$6:$B$3733,A101)=16,COUNTIF(Manual_Review!$A$6:$A$238,A101)=1),"16 keys present","Check key count")</f>
        <v>16 keys present</v>
      </c>
    </row>
    <row r="102" spans="1:52">
      <c r="A102" s="5" t="s">
        <v>1169</v>
      </c>
      <c r="B102" s="5" t="s">
        <v>1170</v>
      </c>
      <c r="C102" s="5"/>
      <c r="D102" s="5" t="s">
        <v>118</v>
      </c>
      <c r="E102" s="12">
        <f>IF(OR(AY102&lt;&gt;"Valid",AZ102&lt;&gt;"16 keys present"),"Review settings",20*(IF(ISNUMBER(AC102),AC102*IF($D102="Unlabeled-13",MCDM_Settings!$E$6,MCDM_Settings!$C$6),0)+IF(ISNUMBER(AF102),AF102*IF($D102="Unlabeled-13",MCDM_Settings!$E$7,MCDM_Settings!$C$7),0)+IF(ISNUMBER(AI102),AI102*IF($D102="Unlabeled-13",MCDM_Settings!$E$8,MCDM_Settings!$C$8),0)+IF(ISNUMBER(AL102),AL102*IF($D102="Unlabeled-13",MCDM_Settings!$E$9,MCDM_Settings!$C$9),0)+IF(ISNUMBER(AO102),AO102*IF($D102="Unlabeled-13",MCDM_Settings!$E$10,MCDM_Settings!$C$10),0)+IF(ISNUMBER(AR102),AR102*IF($D102="Unlabeled-13",MCDM_Settings!$E$11,MCDM_Settings!$C$11),0)))</f>
        <v>0</v>
      </c>
      <c r="F102" s="12">
        <f>IF(OR(AY102&lt;&gt;"Valid",AZ102&lt;&gt;"16 keys present"),"Review settings",20*(IF(ISNUMBER(AD102),AD102*IF($D102="Unlabeled-13",MCDM_Settings!$E$6,MCDM_Settings!$C$6),0)+IF(ISNUMBER(AG102),AG102*IF($D102="Unlabeled-13",MCDM_Settings!$E$7,MCDM_Settings!$C$7),0)+IF(ISNUMBER(AJ102),AJ102*IF($D102="Unlabeled-13",MCDM_Settings!$E$8,MCDM_Settings!$C$8),0)+IF(ISNUMBER(AM102),AM102*IF($D102="Unlabeled-13",MCDM_Settings!$E$9,MCDM_Settings!$C$9),0)+IF(ISNUMBER(AP102),AP102*IF($D102="Unlabeled-13",MCDM_Settings!$E$10,MCDM_Settings!$C$10),0)+IF(ISNUMBER(AS102),AS102*IF($D102="Unlabeled-13",MCDM_Settings!$E$11,MCDM_Settings!$C$11),0)))</f>
        <v>99.999999999999986</v>
      </c>
      <c r="G102" s="13">
        <f>IF(OR(AY102&lt;&gt;"Valid",AZ102&lt;&gt;"16 keys present"),"Review settings",1*(IF(ISNUMBER(AE102),AE102*IF($D102="Unlabeled-13",MCDM_Settings!$E$6,MCDM_Settings!$C$6),0)+IF(ISNUMBER(AH102),AH102*IF($D102="Unlabeled-13",MCDM_Settings!$E$7,MCDM_Settings!$C$7),0)+IF(ISNUMBER(AK102),AK102*IF($D102="Unlabeled-13",MCDM_Settings!$E$8,MCDM_Settings!$C$8),0)+IF(ISNUMBER(AN102),AN102*IF($D102="Unlabeled-13",MCDM_Settings!$E$9,MCDM_Settings!$C$9),0)+IF(ISNUMBER(AQ102),AQ102*IF($D102="Unlabeled-13",MCDM_Settings!$E$10,MCDM_Settings!$C$10),0)+IF(ISNUMBER(AT102),AT102*IF($D102="Unlabeled-13",MCDM_Settings!$E$11,MCDM_Settings!$C$11),0)))</f>
        <v>0</v>
      </c>
      <c r="H102" s="5" t="str">
        <f>INDEX(Manual_Review!$AH$6:$AH$238,MATCH(A102,Manual_Review!$A$6:$A$238,0))</f>
        <v>Not started</v>
      </c>
      <c r="I102" s="5" t="s">
        <v>128</v>
      </c>
      <c r="J102" s="5" t="s">
        <v>1171</v>
      </c>
      <c r="K102" s="5" t="str">
        <f>HYPERLINK("https://huggingface.co/datasets/Programmer-RD-AI/road-issues-detection-dataset","Dataset")</f>
        <v>Dataset</v>
      </c>
      <c r="L102" s="5" t="str">
        <f>HYPERLINK("#'Manual_Review'!A"&amp;(MATCH("DS-097",Manual_Review!$A$6:$A$238,0)+5),"Enter review")</f>
        <v>Enter review</v>
      </c>
      <c r="M102" s="5" t="str">
        <f>INDEX(MCDM_Checks!$K$6:$K$3733,MATCH(A102&amp;"|"&amp;M$5,MCDM_Checks!$A$6:$A$3733,0))</f>
        <v>U</v>
      </c>
      <c r="N102" s="5" t="str">
        <f>INDEX(MCDM_Checks!$K$6:$K$3733,MATCH(A102&amp;"|"&amp;N$5,MCDM_Checks!$A$6:$A$3733,0))</f>
        <v>U</v>
      </c>
      <c r="O102" s="5" t="str">
        <f>INDEX(MCDM_Checks!$K$6:$K$3733,MATCH(A102&amp;"|"&amp;O$5,MCDM_Checks!$A$6:$A$3733,0))</f>
        <v>U</v>
      </c>
      <c r="P102" s="5" t="str">
        <f>INDEX(MCDM_Checks!$K$6:$K$3733,MATCH(A102&amp;"|"&amp;P$5,MCDM_Checks!$A$6:$A$3733,0))</f>
        <v>U</v>
      </c>
      <c r="Q102" s="5" t="str">
        <f>INDEX(MCDM_Checks!$K$6:$K$3733,MATCH(A102&amp;"|"&amp;Q$5,MCDM_Checks!$A$6:$A$3733,0))</f>
        <v>U</v>
      </c>
      <c r="R102" s="5" t="str">
        <f>INDEX(MCDM_Checks!$K$6:$K$3733,MATCH(A102&amp;"|"&amp;R$5,MCDM_Checks!$A$6:$A$3733,0))</f>
        <v>U</v>
      </c>
      <c r="S102" s="5" t="str">
        <f>INDEX(MCDM_Checks!$K$6:$K$3733,MATCH(A102&amp;"|"&amp;S$5,MCDM_Checks!$A$6:$A$3733,0))</f>
        <v>U</v>
      </c>
      <c r="T102" s="5" t="str">
        <f>INDEX(MCDM_Checks!$K$6:$K$3733,MATCH(A102&amp;"|"&amp;T$5,MCDM_Checks!$A$6:$A$3733,0))</f>
        <v>U</v>
      </c>
      <c r="U102" s="5" t="str">
        <f>INDEX(MCDM_Checks!$K$6:$K$3733,MATCH(A102&amp;"|"&amp;U$5,MCDM_Checks!$A$6:$A$3733,0))</f>
        <v>U</v>
      </c>
      <c r="V102" s="5" t="str">
        <f>INDEX(MCDM_Checks!$K$6:$K$3733,MATCH(A102&amp;"|"&amp;V$5,MCDM_Checks!$A$6:$A$3733,0))</f>
        <v>U</v>
      </c>
      <c r="W102" s="5" t="str">
        <f>INDEX(MCDM_Checks!$K$6:$K$3733,MATCH(A102&amp;"|"&amp;W$5,MCDM_Checks!$A$6:$A$3733,0))</f>
        <v>U</v>
      </c>
      <c r="X102" s="5" t="str">
        <f>INDEX(MCDM_Checks!$K$6:$K$3733,MATCH(A102&amp;"|"&amp;X$5,MCDM_Checks!$A$6:$A$3733,0))</f>
        <v>U</v>
      </c>
      <c r="Y102" s="5" t="str">
        <f>INDEX(MCDM_Checks!$K$6:$K$3733,MATCH(A102&amp;"|"&amp;Y$5,MCDM_Checks!$A$6:$A$3733,0))</f>
        <v>U</v>
      </c>
      <c r="Z102" s="5" t="str">
        <f>INDEX(MCDM_Checks!$K$6:$K$3733,MATCH(A102&amp;"|"&amp;Z$5,MCDM_Checks!$A$6:$A$3733,0))</f>
        <v>U</v>
      </c>
      <c r="AA102" s="5" t="str">
        <f>INDEX(MCDM_Checks!$K$6:$K$3733,MATCH(A102&amp;"|"&amp;AA$5,MCDM_Checks!$A$6:$A$3733,0))</f>
        <v>U</v>
      </c>
      <c r="AB102" s="5" t="str">
        <f>INDEX(MCDM_Checks!$K$6:$K$3733,MATCH(A102&amp;"|"&amp;AB$5,MCDM_Checks!$A$6:$A$3733,0))</f>
        <v>U</v>
      </c>
      <c r="AC102" s="12">
        <f>IF(IF($D102="Unlabeled-13",MCDM_Settings!$F$6,MCDM_Settings!$D$6)=0,"n.a.",5*COUNTIF(M102:O102,"Y")/IF($D102="Unlabeled-13",MCDM_Settings!$F$6,MCDM_Settings!$D$6))</f>
        <v>0</v>
      </c>
      <c r="AD102" s="12">
        <f>IF(IF($D102="Unlabeled-13",MCDM_Settings!$F$6,MCDM_Settings!$D$6)=0,"n.a.",5*(COUNTIF(M102:O102,"Y")+COUNTIF(M102:O102,"U")+COUNTIF(M102:O102,"X"))/IF($D102="Unlabeled-13",MCDM_Settings!$F$6,MCDM_Settings!$D$6))</f>
        <v>5</v>
      </c>
      <c r="AE102" s="13">
        <f>IF(IF($D102="Unlabeled-13",MCDM_Settings!$F$6,MCDM_Settings!$D$6)=0,"n.a.",(COUNTIF(M102:O102,"Y")+COUNTIF(M102:O102,"N"))/IF($D102="Unlabeled-13",MCDM_Settings!$F$6,MCDM_Settings!$D$6))</f>
        <v>0</v>
      </c>
      <c r="AF102" s="12">
        <f>IF(IF($D102="Unlabeled-13",MCDM_Settings!$F$7,MCDM_Settings!$D$7)=0,"n.a.",5*COUNTIF(P102:R102,"Y")/IF($D102="Unlabeled-13",MCDM_Settings!$F$7,MCDM_Settings!$D$7))</f>
        <v>0</v>
      </c>
      <c r="AG102" s="12">
        <f>IF(IF($D102="Unlabeled-13",MCDM_Settings!$F$7,MCDM_Settings!$D$7)=0,"n.a.",5*(COUNTIF(P102:R102,"Y")+COUNTIF(P102:R102,"U")+COUNTIF(P102:R102,"X"))/IF($D102="Unlabeled-13",MCDM_Settings!$F$7,MCDM_Settings!$D$7))</f>
        <v>5</v>
      </c>
      <c r="AH102" s="13">
        <f>IF(IF($D102="Unlabeled-13",MCDM_Settings!$F$7,MCDM_Settings!$D$7)=0,"n.a.",(COUNTIF(P102:R102,"Y")+COUNTIF(P102:R102,"N"))/IF($D102="Unlabeled-13",MCDM_Settings!$F$7,MCDM_Settings!$D$7))</f>
        <v>0</v>
      </c>
      <c r="AI102" s="12">
        <f>IF(IF($D102="Unlabeled-13",MCDM_Settings!$F$8,MCDM_Settings!$D$8)=0,"n.a.",5*COUNTIF(S102:U102,"Y")/IF($D102="Unlabeled-13",MCDM_Settings!$F$8,MCDM_Settings!$D$8))</f>
        <v>0</v>
      </c>
      <c r="AJ102" s="12">
        <f>IF(IF($D102="Unlabeled-13",MCDM_Settings!$F$8,MCDM_Settings!$D$8)=0,"n.a.",5*(COUNTIF(S102:U102,"Y")+COUNTIF(S102:U102,"U")+COUNTIF(S102:U102,"X"))/IF($D102="Unlabeled-13",MCDM_Settings!$F$8,MCDM_Settings!$D$8))</f>
        <v>5</v>
      </c>
      <c r="AK102" s="13">
        <f>IF(IF($D102="Unlabeled-13",MCDM_Settings!$F$8,MCDM_Settings!$D$8)=0,"n.a.",(COUNTIF(S102:U102,"Y")+COUNTIF(S102:U102,"N"))/IF($D102="Unlabeled-13",MCDM_Settings!$F$8,MCDM_Settings!$D$8))</f>
        <v>0</v>
      </c>
      <c r="AL102" s="12">
        <f>IF(IF($D102="Unlabeled-13",MCDM_Settings!$F$9,MCDM_Settings!$D$9)=0,"n.a.",5*COUNTIF(V102:W102,"Y")/IF($D102="Unlabeled-13",MCDM_Settings!$F$9,MCDM_Settings!$D$9))</f>
        <v>0</v>
      </c>
      <c r="AM102" s="12">
        <f>IF(IF($D102="Unlabeled-13",MCDM_Settings!$F$9,MCDM_Settings!$D$9)=0,"n.a.",5*(COUNTIF(V102:W102,"Y")+COUNTIF(V102:W102,"U")+COUNTIF(V102:W102,"X"))/IF($D102="Unlabeled-13",MCDM_Settings!$F$9,MCDM_Settings!$D$9))</f>
        <v>5</v>
      </c>
      <c r="AN102" s="13">
        <f>IF(IF($D102="Unlabeled-13",MCDM_Settings!$F$9,MCDM_Settings!$D$9)=0,"n.a.",(COUNTIF(V102:W102,"Y")+COUNTIF(V102:W102,"N"))/IF($D102="Unlabeled-13",MCDM_Settings!$F$9,MCDM_Settings!$D$9))</f>
        <v>0</v>
      </c>
      <c r="AO102" s="12">
        <f>IF(IF($D102="Unlabeled-13",MCDM_Settings!$F$10,MCDM_Settings!$D$10)=0,"n.a.",5*COUNTIF(X102:Y102,"Y")/IF($D102="Unlabeled-13",MCDM_Settings!$F$10,MCDM_Settings!$D$10))</f>
        <v>0</v>
      </c>
      <c r="AP102" s="12">
        <f>IF(IF($D102="Unlabeled-13",MCDM_Settings!$F$10,MCDM_Settings!$D$10)=0,"n.a.",5*(COUNTIF(X102:Y102,"Y")+COUNTIF(X102:Y102,"U")+COUNTIF(X102:Y102,"X"))/IF($D102="Unlabeled-13",MCDM_Settings!$F$10,MCDM_Settings!$D$10))</f>
        <v>5</v>
      </c>
      <c r="AQ102" s="13">
        <f>IF(IF($D102="Unlabeled-13",MCDM_Settings!$F$10,MCDM_Settings!$D$10)=0,"n.a.",(COUNTIF(X102:Y102,"Y")+COUNTIF(X102:Y102,"N"))/IF($D102="Unlabeled-13",MCDM_Settings!$F$10,MCDM_Settings!$D$10))</f>
        <v>0</v>
      </c>
      <c r="AR102" s="12">
        <f>IF(IF($D102="Unlabeled-13",MCDM_Settings!$F$11,MCDM_Settings!$D$11)=0,"n.a.",5*COUNTIF(Z102:AB102,"Y")/IF($D102="Unlabeled-13",MCDM_Settings!$F$11,MCDM_Settings!$D$11))</f>
        <v>0</v>
      </c>
      <c r="AS102" s="12">
        <f>IF(IF($D102="Unlabeled-13",MCDM_Settings!$F$11,MCDM_Settings!$D$11)=0,"n.a.",5*(COUNTIF(Z102:AB102,"Y")+COUNTIF(Z102:AB102,"U")+COUNTIF(Z102:AB102,"X"))/IF($D102="Unlabeled-13",MCDM_Settings!$F$11,MCDM_Settings!$D$11))</f>
        <v>5</v>
      </c>
      <c r="AT102" s="13">
        <f>IF(IF($D102="Unlabeled-13",MCDM_Settings!$F$11,MCDM_Settings!$D$11)=0,"n.a.",(COUNTIF(Z102:AB102,"Y")+COUNTIF(Z102:AB102,"N"))/IF($D102="Unlabeled-13",MCDM_Settings!$F$11,MCDM_Settings!$D$11))</f>
        <v>0</v>
      </c>
      <c r="AU102" s="5" t="str">
        <f>IF(AND(INDEX(Manual_Review!$G$6:$G$238,MATCH(A102,Manual_Review!$A$6:$A$238,0))&lt;&gt;"",ISNUMBER(INDEX(Manual_Review!$H$6:$H$238,MATCH(A102,Manual_Review!$A$6:$A$238,0))),INDEX(Manual_Review!$H$6:$H$238,MATCH(A102,Manual_Review!$A$6:$A$238,0))&gt;0,INDEX(Manual_Review!$I$6:$I$238,MATCH(A102,Manual_Review!$A$6:$A$238,0))="Confirmed",INDEX(Manual_Review!$AF$6:$AF$238,MATCH(A102,Manual_Review!$A$6:$A$238,0))&lt;&gt;""),IF(INDEX(Manual_Review!$AA$6:$AA$238,MATCH(A102,Manual_Review!$A$6:$A$238,0))="Pass","Pass",IF(INDEX(Manual_Review!$AA$6:$AA$238,MATCH(A102,Manual_Review!$A$6:$A$238,0))="Fail","Fail","Pending")),"Pending human identity confirmation")</f>
        <v>Pending human identity confirmation</v>
      </c>
      <c r="AV102" s="5" t="str">
        <f>IF(AND(AND(INDEX(Manual_Review!$G$6:$G$238,MATCH(A102,Manual_Review!$A$6:$A$238,0))&lt;&gt;"",ISNUMBER(INDEX(Manual_Review!$H$6:$H$238,MATCH(A102,Manual_Review!$A$6:$A$238,0))),INDEX(Manual_Review!$H$6:$H$238,MATCH(A102,Manual_Review!$A$6:$A$238,0))&gt;0,INDEX(Manual_Review!$I$6:$I$238,MATCH(A102,Manual_Review!$A$6:$A$238,0))="Confirmed",INDEX(Manual_Review!$AF$6:$AF$238,MATCH(A102,Manual_Review!$A$6:$A$238,0))&lt;&gt;""),INDEX(Manual_Review!$AG$6:$AG$238,MATCH(A102,Manual_Review!$A$6:$A$238,0))&lt;&gt;""),IF(INDEX(Manual_Review!$AB$6:$AB$238,MATCH(A102,Manual_Review!$A$6:$A$238,0))="Pass","Pass",IF(INDEX(Manual_Review!$AB$6:$AB$238,MATCH(A102,Manual_Review!$A$6:$A$238,0))="Fail","Fail","Pending")),"Not assessed: define intended task")</f>
        <v>Not assessed: define intended task</v>
      </c>
      <c r="AW102" s="5" t="str">
        <f>IF(AND(AND(INDEX(Manual_Review!$G$6:$G$238,MATCH(A102,Manual_Review!$A$6:$A$238,0))&lt;&gt;"",ISNUMBER(INDEX(Manual_Review!$H$6:$H$238,MATCH(A102,Manual_Review!$A$6:$A$238,0))),INDEX(Manual_Review!$H$6:$H$238,MATCH(A102,Manual_Review!$A$6:$A$238,0))&gt;0,INDEX(Manual_Review!$I$6:$I$238,MATCH(A102,Manual_Review!$A$6:$A$238,0))="Confirmed",INDEX(Manual_Review!$AF$6:$AF$238,MATCH(A102,Manual_Review!$A$6:$A$238,0))&lt;&gt;""),INDEX(Manual_Review!$AG$6:$AG$238,MATCH(A102,Manual_Review!$A$6:$A$238,0))&lt;&gt;""),IF(OR(INDEX(Manual_Review!$AC$6:$AC$238,MATCH(A102,Manual_Review!$A$6:$A$238,0))="Fail",INDEX(Manual_Review!$AD$6:$AD$238,MATCH(A102,Manual_Review!$A$6:$A$238,0))="Fail"),"Fail: rights or retrieval",IF(AND(INDEX(Manual_Review!$AC$6:$AC$238,MATCH(A102,Manual_Review!$A$6:$A$238,0))="Pass",INDEX(Manual_Review!$AD$6:$AD$238,MATCH(A102,Manual_Review!$A$6:$A$238,0))="Pass"),"Pass","Pending rights and retrieval")),"Pending rights and retrieval")</f>
        <v>Pending rights and retrieval</v>
      </c>
      <c r="AX102" s="5" t="str">
        <f>IF(INDEX(Manual_Review!$AG$6:$AG$238,MATCH(A102,Manual_Review!$A$6:$A$238,0))="","N/A: documentation inventory",IF(AND(INDEX(Manual_Review!$G$6:$G$238,MATCH(A102,Manual_Review!$A$6:$A$238,0))&lt;&gt;"",ISNUMBER(INDEX(Manual_Review!$H$6:$H$238,MATCH(A102,Manual_Review!$A$6:$A$238,0))),INDEX(Manual_Review!$H$6:$H$238,MATCH(A102,Manual_Review!$A$6:$A$238,0))&gt;0,INDEX(Manual_Review!$I$6:$I$238,MATCH(A102,Manual_Review!$A$6:$A$238,0))="Confirmed",INDEX(Manual_Review!$AF$6:$AF$238,MATCH(A102,Manual_Review!$A$6:$A$238,0))&lt;&gt;""),IF(INDEX(Manual_Review!$AE$6:$AE$238,MATCH(A102,Manual_Review!$A$6:$A$238,0))="Pass","Pass",IF(INDEX(Manual_Review!$AE$6:$AE$238,MATCH(A102,Manual_Review!$A$6:$A$238,0))="Fail","Fail: benchmark leakage",IF(INDEX(Manual_Review!$AE$6:$AE$238,MATCH(A102,Manual_Review!$A$6:$A$238,0))="N/A","N/A: nonbenchmark task","Pending task-specific leakage check"))),"Pending task-specific leakage check"))</f>
        <v>N/A: documentation inventory</v>
      </c>
      <c r="AY102" s="5" t="str">
        <f>IF(IF(D102="Unlabeled-13",AND(ABS(MCDM_Settings!$D$14-1)&lt;0.0000001,MIN(MCDM_Settings!$E$6:$E$11)&gt;=0,MCDM_Settings!$E$7=0),AND(ABS(MCDM_Settings!$B$14-1)&lt;0.0000001,MIN(MCDM_Settings!$C$6:$C$11)&gt;=0)),"Valid","Check weights")</f>
        <v>Valid</v>
      </c>
      <c r="AZ102" s="5" t="str">
        <f>IF(AND(COUNTIF(MCDM_Checks!$B$6:$B$3733,A102)=16,COUNTIF(Manual_Review!$A$6:$A$238,A102)=1),"16 keys present","Check key count")</f>
        <v>16 keys present</v>
      </c>
    </row>
    <row r="103" spans="1:52">
      <c r="A103" s="5" t="s">
        <v>1184</v>
      </c>
      <c r="B103" s="5" t="s">
        <v>1185</v>
      </c>
      <c r="C103" s="5"/>
      <c r="D103" s="5" t="s">
        <v>118</v>
      </c>
      <c r="E103" s="12">
        <f>IF(OR(AY103&lt;&gt;"Valid",AZ103&lt;&gt;"16 keys present"),"Review settings",20*(IF(ISNUMBER(AC103),AC103*IF($D103="Unlabeled-13",MCDM_Settings!$E$6,MCDM_Settings!$C$6),0)+IF(ISNUMBER(AF103),AF103*IF($D103="Unlabeled-13",MCDM_Settings!$E$7,MCDM_Settings!$C$7),0)+IF(ISNUMBER(AI103),AI103*IF($D103="Unlabeled-13",MCDM_Settings!$E$8,MCDM_Settings!$C$8),0)+IF(ISNUMBER(AL103),AL103*IF($D103="Unlabeled-13",MCDM_Settings!$E$9,MCDM_Settings!$C$9),0)+IF(ISNUMBER(AO103),AO103*IF($D103="Unlabeled-13",MCDM_Settings!$E$10,MCDM_Settings!$C$10),0)+IF(ISNUMBER(AR103),AR103*IF($D103="Unlabeled-13",MCDM_Settings!$E$11,MCDM_Settings!$C$11),0)))</f>
        <v>11.111111111111111</v>
      </c>
      <c r="F103" s="12">
        <f>IF(OR(AY103&lt;&gt;"Valid",AZ103&lt;&gt;"16 keys present"),"Review settings",20*(IF(ISNUMBER(AD103),AD103*IF($D103="Unlabeled-13",MCDM_Settings!$E$6,MCDM_Settings!$C$6),0)+IF(ISNUMBER(AG103),AG103*IF($D103="Unlabeled-13",MCDM_Settings!$E$7,MCDM_Settings!$C$7),0)+IF(ISNUMBER(AJ103),AJ103*IF($D103="Unlabeled-13",MCDM_Settings!$E$8,MCDM_Settings!$C$8),0)+IF(ISNUMBER(AM103),AM103*IF($D103="Unlabeled-13",MCDM_Settings!$E$9,MCDM_Settings!$C$9),0)+IF(ISNUMBER(AP103),AP103*IF($D103="Unlabeled-13",MCDM_Settings!$E$10,MCDM_Settings!$C$10),0)+IF(ISNUMBER(AS103),AS103*IF($D103="Unlabeled-13",MCDM_Settings!$E$11,MCDM_Settings!$C$11),0)))</f>
        <v>99.999999999999986</v>
      </c>
      <c r="G103" s="13">
        <f>IF(OR(AY103&lt;&gt;"Valid",AZ103&lt;&gt;"16 keys present"),"Review settings",1*(IF(ISNUMBER(AE103),AE103*IF($D103="Unlabeled-13",MCDM_Settings!$E$6,MCDM_Settings!$C$6),0)+IF(ISNUMBER(AH103),AH103*IF($D103="Unlabeled-13",MCDM_Settings!$E$7,MCDM_Settings!$C$7),0)+IF(ISNUMBER(AK103),AK103*IF($D103="Unlabeled-13",MCDM_Settings!$E$8,MCDM_Settings!$C$8),0)+IF(ISNUMBER(AN103),AN103*IF($D103="Unlabeled-13",MCDM_Settings!$E$9,MCDM_Settings!$C$9),0)+IF(ISNUMBER(AQ103),AQ103*IF($D103="Unlabeled-13",MCDM_Settings!$E$10,MCDM_Settings!$C$10),0)+IF(ISNUMBER(AT103),AT103*IF($D103="Unlabeled-13",MCDM_Settings!$E$11,MCDM_Settings!$C$11),0)))</f>
        <v>0.1111111111111111</v>
      </c>
      <c r="H103" s="5" t="str">
        <f>INDEX(Manual_Review!$AH$6:$AH$238,MATCH(A103,Manual_Review!$A$6:$A$238,0))</f>
        <v>Not started</v>
      </c>
      <c r="I103" s="5" t="s">
        <v>128</v>
      </c>
      <c r="J103" s="5" t="s">
        <v>1083</v>
      </c>
      <c r="K103" s="5" t="str">
        <f>HYPERLINK("https://huggingface.co/datasets/Emanyaser/road-damage-classification","Dataset")</f>
        <v>Dataset</v>
      </c>
      <c r="L103" s="5" t="str">
        <f>HYPERLINK("#'Manual_Review'!A"&amp;(MATCH("DS-098",Manual_Review!$A$6:$A$238,0)+5),"Enter review")</f>
        <v>Enter review</v>
      </c>
      <c r="M103" s="5" t="str">
        <f>INDEX(MCDM_Checks!$K$6:$K$3733,MATCH(A103&amp;"|"&amp;M$5,MCDM_Checks!$A$6:$A$3733,0))</f>
        <v>Y</v>
      </c>
      <c r="N103" s="5" t="str">
        <f>INDEX(MCDM_Checks!$K$6:$K$3733,MATCH(A103&amp;"|"&amp;N$5,MCDM_Checks!$A$6:$A$3733,0))</f>
        <v>Y</v>
      </c>
      <c r="O103" s="5" t="str">
        <f>INDEX(MCDM_Checks!$K$6:$K$3733,MATCH(A103&amp;"|"&amp;O$5,MCDM_Checks!$A$6:$A$3733,0))</f>
        <v>U</v>
      </c>
      <c r="P103" s="5" t="str">
        <f>INDEX(MCDM_Checks!$K$6:$K$3733,MATCH(A103&amp;"|"&amp;P$5,MCDM_Checks!$A$6:$A$3733,0))</f>
        <v>U</v>
      </c>
      <c r="Q103" s="5" t="str">
        <f>INDEX(MCDM_Checks!$K$6:$K$3733,MATCH(A103&amp;"|"&amp;Q$5,MCDM_Checks!$A$6:$A$3733,0))</f>
        <v>U</v>
      </c>
      <c r="R103" s="5" t="str">
        <f>INDEX(MCDM_Checks!$K$6:$K$3733,MATCH(A103&amp;"|"&amp;R$5,MCDM_Checks!$A$6:$A$3733,0))</f>
        <v>U</v>
      </c>
      <c r="S103" s="5" t="str">
        <f>INDEX(MCDM_Checks!$K$6:$K$3733,MATCH(A103&amp;"|"&amp;S$5,MCDM_Checks!$A$6:$A$3733,0))</f>
        <v>U</v>
      </c>
      <c r="T103" s="5" t="str">
        <f>INDEX(MCDM_Checks!$K$6:$K$3733,MATCH(A103&amp;"|"&amp;T$5,MCDM_Checks!$A$6:$A$3733,0))</f>
        <v>U</v>
      </c>
      <c r="U103" s="5" t="str">
        <f>INDEX(MCDM_Checks!$K$6:$K$3733,MATCH(A103&amp;"|"&amp;U$5,MCDM_Checks!$A$6:$A$3733,0))</f>
        <v>U</v>
      </c>
      <c r="V103" s="5" t="str">
        <f>INDEX(MCDM_Checks!$K$6:$K$3733,MATCH(A103&amp;"|"&amp;V$5,MCDM_Checks!$A$6:$A$3733,0))</f>
        <v>U</v>
      </c>
      <c r="W103" s="5" t="str">
        <f>INDEX(MCDM_Checks!$K$6:$K$3733,MATCH(A103&amp;"|"&amp;W$5,MCDM_Checks!$A$6:$A$3733,0))</f>
        <v>U</v>
      </c>
      <c r="X103" s="5" t="str">
        <f>INDEX(MCDM_Checks!$K$6:$K$3733,MATCH(A103&amp;"|"&amp;X$5,MCDM_Checks!$A$6:$A$3733,0))</f>
        <v>U</v>
      </c>
      <c r="Y103" s="5" t="str">
        <f>INDEX(MCDM_Checks!$K$6:$K$3733,MATCH(A103&amp;"|"&amp;Y$5,MCDM_Checks!$A$6:$A$3733,0))</f>
        <v>U</v>
      </c>
      <c r="Z103" s="5" t="str">
        <f>INDEX(MCDM_Checks!$K$6:$K$3733,MATCH(A103&amp;"|"&amp;Z$5,MCDM_Checks!$A$6:$A$3733,0))</f>
        <v>U</v>
      </c>
      <c r="AA103" s="5" t="str">
        <f>INDEX(MCDM_Checks!$K$6:$K$3733,MATCH(A103&amp;"|"&amp;AA$5,MCDM_Checks!$A$6:$A$3733,0))</f>
        <v>U</v>
      </c>
      <c r="AB103" s="5" t="str">
        <f>INDEX(MCDM_Checks!$K$6:$K$3733,MATCH(A103&amp;"|"&amp;AB$5,MCDM_Checks!$A$6:$A$3733,0))</f>
        <v>U</v>
      </c>
      <c r="AC103" s="12">
        <f>IF(IF($D103="Unlabeled-13",MCDM_Settings!$F$6,MCDM_Settings!$D$6)=0,"n.a.",5*COUNTIF(M103:O103,"Y")/IF($D103="Unlabeled-13",MCDM_Settings!$F$6,MCDM_Settings!$D$6))</f>
        <v>3.3333333333333335</v>
      </c>
      <c r="AD103" s="12">
        <f>IF(IF($D103="Unlabeled-13",MCDM_Settings!$F$6,MCDM_Settings!$D$6)=0,"n.a.",5*(COUNTIF(M103:O103,"Y")+COUNTIF(M103:O103,"U")+COUNTIF(M103:O103,"X"))/IF($D103="Unlabeled-13",MCDM_Settings!$F$6,MCDM_Settings!$D$6))</f>
        <v>5</v>
      </c>
      <c r="AE103" s="13">
        <f>IF(IF($D103="Unlabeled-13",MCDM_Settings!$F$6,MCDM_Settings!$D$6)=0,"n.a.",(COUNTIF(M103:O103,"Y")+COUNTIF(M103:O103,"N"))/IF($D103="Unlabeled-13",MCDM_Settings!$F$6,MCDM_Settings!$D$6))</f>
        <v>0.66666666666666663</v>
      </c>
      <c r="AF103" s="12">
        <f>IF(IF($D103="Unlabeled-13",MCDM_Settings!$F$7,MCDM_Settings!$D$7)=0,"n.a.",5*COUNTIF(P103:R103,"Y")/IF($D103="Unlabeled-13",MCDM_Settings!$F$7,MCDM_Settings!$D$7))</f>
        <v>0</v>
      </c>
      <c r="AG103" s="12">
        <f>IF(IF($D103="Unlabeled-13",MCDM_Settings!$F$7,MCDM_Settings!$D$7)=0,"n.a.",5*(COUNTIF(P103:R103,"Y")+COUNTIF(P103:R103,"U")+COUNTIF(P103:R103,"X"))/IF($D103="Unlabeled-13",MCDM_Settings!$F$7,MCDM_Settings!$D$7))</f>
        <v>5</v>
      </c>
      <c r="AH103" s="13">
        <f>IF(IF($D103="Unlabeled-13",MCDM_Settings!$F$7,MCDM_Settings!$D$7)=0,"n.a.",(COUNTIF(P103:R103,"Y")+COUNTIF(P103:R103,"N"))/IF($D103="Unlabeled-13",MCDM_Settings!$F$7,MCDM_Settings!$D$7))</f>
        <v>0</v>
      </c>
      <c r="AI103" s="12">
        <f>IF(IF($D103="Unlabeled-13",MCDM_Settings!$F$8,MCDM_Settings!$D$8)=0,"n.a.",5*COUNTIF(S103:U103,"Y")/IF($D103="Unlabeled-13",MCDM_Settings!$F$8,MCDM_Settings!$D$8))</f>
        <v>0</v>
      </c>
      <c r="AJ103" s="12">
        <f>IF(IF($D103="Unlabeled-13",MCDM_Settings!$F$8,MCDM_Settings!$D$8)=0,"n.a.",5*(COUNTIF(S103:U103,"Y")+COUNTIF(S103:U103,"U")+COUNTIF(S103:U103,"X"))/IF($D103="Unlabeled-13",MCDM_Settings!$F$8,MCDM_Settings!$D$8))</f>
        <v>5</v>
      </c>
      <c r="AK103" s="13">
        <f>IF(IF($D103="Unlabeled-13",MCDM_Settings!$F$8,MCDM_Settings!$D$8)=0,"n.a.",(COUNTIF(S103:U103,"Y")+COUNTIF(S103:U103,"N"))/IF($D103="Unlabeled-13",MCDM_Settings!$F$8,MCDM_Settings!$D$8))</f>
        <v>0</v>
      </c>
      <c r="AL103" s="12">
        <f>IF(IF($D103="Unlabeled-13",MCDM_Settings!$F$9,MCDM_Settings!$D$9)=0,"n.a.",5*COUNTIF(V103:W103,"Y")/IF($D103="Unlabeled-13",MCDM_Settings!$F$9,MCDM_Settings!$D$9))</f>
        <v>0</v>
      </c>
      <c r="AM103" s="12">
        <f>IF(IF($D103="Unlabeled-13",MCDM_Settings!$F$9,MCDM_Settings!$D$9)=0,"n.a.",5*(COUNTIF(V103:W103,"Y")+COUNTIF(V103:W103,"U")+COUNTIF(V103:W103,"X"))/IF($D103="Unlabeled-13",MCDM_Settings!$F$9,MCDM_Settings!$D$9))</f>
        <v>5</v>
      </c>
      <c r="AN103" s="13">
        <f>IF(IF($D103="Unlabeled-13",MCDM_Settings!$F$9,MCDM_Settings!$D$9)=0,"n.a.",(COUNTIF(V103:W103,"Y")+COUNTIF(V103:W103,"N"))/IF($D103="Unlabeled-13",MCDM_Settings!$F$9,MCDM_Settings!$D$9))</f>
        <v>0</v>
      </c>
      <c r="AO103" s="12">
        <f>IF(IF($D103="Unlabeled-13",MCDM_Settings!$F$10,MCDM_Settings!$D$10)=0,"n.a.",5*COUNTIF(X103:Y103,"Y")/IF($D103="Unlabeled-13",MCDM_Settings!$F$10,MCDM_Settings!$D$10))</f>
        <v>0</v>
      </c>
      <c r="AP103" s="12">
        <f>IF(IF($D103="Unlabeled-13",MCDM_Settings!$F$10,MCDM_Settings!$D$10)=0,"n.a.",5*(COUNTIF(X103:Y103,"Y")+COUNTIF(X103:Y103,"U")+COUNTIF(X103:Y103,"X"))/IF($D103="Unlabeled-13",MCDM_Settings!$F$10,MCDM_Settings!$D$10))</f>
        <v>5</v>
      </c>
      <c r="AQ103" s="13">
        <f>IF(IF($D103="Unlabeled-13",MCDM_Settings!$F$10,MCDM_Settings!$D$10)=0,"n.a.",(COUNTIF(X103:Y103,"Y")+COUNTIF(X103:Y103,"N"))/IF($D103="Unlabeled-13",MCDM_Settings!$F$10,MCDM_Settings!$D$10))</f>
        <v>0</v>
      </c>
      <c r="AR103" s="12">
        <f>IF(IF($D103="Unlabeled-13",MCDM_Settings!$F$11,MCDM_Settings!$D$11)=0,"n.a.",5*COUNTIF(Z103:AB103,"Y")/IF($D103="Unlabeled-13",MCDM_Settings!$F$11,MCDM_Settings!$D$11))</f>
        <v>0</v>
      </c>
      <c r="AS103" s="12">
        <f>IF(IF($D103="Unlabeled-13",MCDM_Settings!$F$11,MCDM_Settings!$D$11)=0,"n.a.",5*(COUNTIF(Z103:AB103,"Y")+COUNTIF(Z103:AB103,"U")+COUNTIF(Z103:AB103,"X"))/IF($D103="Unlabeled-13",MCDM_Settings!$F$11,MCDM_Settings!$D$11))</f>
        <v>5</v>
      </c>
      <c r="AT103" s="13">
        <f>IF(IF($D103="Unlabeled-13",MCDM_Settings!$F$11,MCDM_Settings!$D$11)=0,"n.a.",(COUNTIF(Z103:AB103,"Y")+COUNTIF(Z103:AB103,"N"))/IF($D103="Unlabeled-13",MCDM_Settings!$F$11,MCDM_Settings!$D$11))</f>
        <v>0</v>
      </c>
      <c r="AU103" s="5" t="str">
        <f>IF(AND(INDEX(Manual_Review!$G$6:$G$238,MATCH(A103,Manual_Review!$A$6:$A$238,0))&lt;&gt;"",ISNUMBER(INDEX(Manual_Review!$H$6:$H$238,MATCH(A103,Manual_Review!$A$6:$A$238,0))),INDEX(Manual_Review!$H$6:$H$238,MATCH(A103,Manual_Review!$A$6:$A$238,0))&gt;0,INDEX(Manual_Review!$I$6:$I$238,MATCH(A103,Manual_Review!$A$6:$A$238,0))="Confirmed",INDEX(Manual_Review!$AF$6:$AF$238,MATCH(A103,Manual_Review!$A$6:$A$238,0))&lt;&gt;""),IF(INDEX(Manual_Review!$AA$6:$AA$238,MATCH(A103,Manual_Review!$A$6:$A$238,0))="Pass","Pass",IF(INDEX(Manual_Review!$AA$6:$AA$238,MATCH(A103,Manual_Review!$A$6:$A$238,0))="Fail","Fail","Pending")),"Pending human identity confirmation")</f>
        <v>Pending human identity confirmation</v>
      </c>
      <c r="AV103" s="5" t="str">
        <f>IF(AND(AND(INDEX(Manual_Review!$G$6:$G$238,MATCH(A103,Manual_Review!$A$6:$A$238,0))&lt;&gt;"",ISNUMBER(INDEX(Manual_Review!$H$6:$H$238,MATCH(A103,Manual_Review!$A$6:$A$238,0))),INDEX(Manual_Review!$H$6:$H$238,MATCH(A103,Manual_Review!$A$6:$A$238,0))&gt;0,INDEX(Manual_Review!$I$6:$I$238,MATCH(A103,Manual_Review!$A$6:$A$238,0))="Confirmed",INDEX(Manual_Review!$AF$6:$AF$238,MATCH(A103,Manual_Review!$A$6:$A$238,0))&lt;&gt;""),INDEX(Manual_Review!$AG$6:$AG$238,MATCH(A103,Manual_Review!$A$6:$A$238,0))&lt;&gt;""),IF(INDEX(Manual_Review!$AB$6:$AB$238,MATCH(A103,Manual_Review!$A$6:$A$238,0))="Pass","Pass",IF(INDEX(Manual_Review!$AB$6:$AB$238,MATCH(A103,Manual_Review!$A$6:$A$238,0))="Fail","Fail","Pending")),"Not assessed: define intended task")</f>
        <v>Not assessed: define intended task</v>
      </c>
      <c r="AW103" s="5" t="str">
        <f>IF(AND(AND(INDEX(Manual_Review!$G$6:$G$238,MATCH(A103,Manual_Review!$A$6:$A$238,0))&lt;&gt;"",ISNUMBER(INDEX(Manual_Review!$H$6:$H$238,MATCH(A103,Manual_Review!$A$6:$A$238,0))),INDEX(Manual_Review!$H$6:$H$238,MATCH(A103,Manual_Review!$A$6:$A$238,0))&gt;0,INDEX(Manual_Review!$I$6:$I$238,MATCH(A103,Manual_Review!$A$6:$A$238,0))="Confirmed",INDEX(Manual_Review!$AF$6:$AF$238,MATCH(A103,Manual_Review!$A$6:$A$238,0))&lt;&gt;""),INDEX(Manual_Review!$AG$6:$AG$238,MATCH(A103,Manual_Review!$A$6:$A$238,0))&lt;&gt;""),IF(OR(INDEX(Manual_Review!$AC$6:$AC$238,MATCH(A103,Manual_Review!$A$6:$A$238,0))="Fail",INDEX(Manual_Review!$AD$6:$AD$238,MATCH(A103,Manual_Review!$A$6:$A$238,0))="Fail"),"Fail: rights or retrieval",IF(AND(INDEX(Manual_Review!$AC$6:$AC$238,MATCH(A103,Manual_Review!$A$6:$A$238,0))="Pass",INDEX(Manual_Review!$AD$6:$AD$238,MATCH(A103,Manual_Review!$A$6:$A$238,0))="Pass"),"Pass","Pending rights and retrieval")),"Pending rights and retrieval")</f>
        <v>Pending rights and retrieval</v>
      </c>
      <c r="AX103" s="5" t="str">
        <f>IF(INDEX(Manual_Review!$AG$6:$AG$238,MATCH(A103,Manual_Review!$A$6:$A$238,0))="","N/A: documentation inventory",IF(AND(INDEX(Manual_Review!$G$6:$G$238,MATCH(A103,Manual_Review!$A$6:$A$238,0))&lt;&gt;"",ISNUMBER(INDEX(Manual_Review!$H$6:$H$238,MATCH(A103,Manual_Review!$A$6:$A$238,0))),INDEX(Manual_Review!$H$6:$H$238,MATCH(A103,Manual_Review!$A$6:$A$238,0))&gt;0,INDEX(Manual_Review!$I$6:$I$238,MATCH(A103,Manual_Review!$A$6:$A$238,0))="Confirmed",INDEX(Manual_Review!$AF$6:$AF$238,MATCH(A103,Manual_Review!$A$6:$A$238,0))&lt;&gt;""),IF(INDEX(Manual_Review!$AE$6:$AE$238,MATCH(A103,Manual_Review!$A$6:$A$238,0))="Pass","Pass",IF(INDEX(Manual_Review!$AE$6:$AE$238,MATCH(A103,Manual_Review!$A$6:$A$238,0))="Fail","Fail: benchmark leakage",IF(INDEX(Manual_Review!$AE$6:$AE$238,MATCH(A103,Manual_Review!$A$6:$A$238,0))="N/A","N/A: nonbenchmark task","Pending task-specific leakage check"))),"Pending task-specific leakage check"))</f>
        <v>N/A: documentation inventory</v>
      </c>
      <c r="AY103" s="5" t="str">
        <f>IF(IF(D103="Unlabeled-13",AND(ABS(MCDM_Settings!$D$14-1)&lt;0.0000001,MIN(MCDM_Settings!$E$6:$E$11)&gt;=0,MCDM_Settings!$E$7=0),AND(ABS(MCDM_Settings!$B$14-1)&lt;0.0000001,MIN(MCDM_Settings!$C$6:$C$11)&gt;=0)),"Valid","Check weights")</f>
        <v>Valid</v>
      </c>
      <c r="AZ103" s="5" t="str">
        <f>IF(AND(COUNTIF(MCDM_Checks!$B$6:$B$3733,A103)=16,COUNTIF(Manual_Review!$A$6:$A$238,A103)=1),"16 keys present","Check key count")</f>
        <v>16 keys present</v>
      </c>
    </row>
    <row r="104" spans="1:52">
      <c r="A104" s="5" t="s">
        <v>1192</v>
      </c>
      <c r="B104" s="5" t="s">
        <v>1193</v>
      </c>
      <c r="C104" s="5"/>
      <c r="D104" s="5" t="s">
        <v>118</v>
      </c>
      <c r="E104" s="12">
        <f>IF(OR(AY104&lt;&gt;"Valid",AZ104&lt;&gt;"16 keys present"),"Review settings",20*(IF(ISNUMBER(AC104),AC104*IF($D104="Unlabeled-13",MCDM_Settings!$E$6,MCDM_Settings!$C$6),0)+IF(ISNUMBER(AF104),AF104*IF($D104="Unlabeled-13",MCDM_Settings!$E$7,MCDM_Settings!$C$7),0)+IF(ISNUMBER(AI104),AI104*IF($D104="Unlabeled-13",MCDM_Settings!$E$8,MCDM_Settings!$C$8),0)+IF(ISNUMBER(AL104),AL104*IF($D104="Unlabeled-13",MCDM_Settings!$E$9,MCDM_Settings!$C$9),0)+IF(ISNUMBER(AO104),AO104*IF($D104="Unlabeled-13",MCDM_Settings!$E$10,MCDM_Settings!$C$10),0)+IF(ISNUMBER(AR104),AR104*IF($D104="Unlabeled-13",MCDM_Settings!$E$11,MCDM_Settings!$C$11),0)))</f>
        <v>44.444444444444436</v>
      </c>
      <c r="F104" s="12">
        <f>IF(OR(AY104&lt;&gt;"Valid",AZ104&lt;&gt;"16 keys present"),"Review settings",20*(IF(ISNUMBER(AD104),AD104*IF($D104="Unlabeled-13",MCDM_Settings!$E$6,MCDM_Settings!$C$6),0)+IF(ISNUMBER(AG104),AG104*IF($D104="Unlabeled-13",MCDM_Settings!$E$7,MCDM_Settings!$C$7),0)+IF(ISNUMBER(AJ104),AJ104*IF($D104="Unlabeled-13",MCDM_Settings!$E$8,MCDM_Settings!$C$8),0)+IF(ISNUMBER(AM104),AM104*IF($D104="Unlabeled-13",MCDM_Settings!$E$9,MCDM_Settings!$C$9),0)+IF(ISNUMBER(AP104),AP104*IF($D104="Unlabeled-13",MCDM_Settings!$E$10,MCDM_Settings!$C$10),0)+IF(ISNUMBER(AS104),AS104*IF($D104="Unlabeled-13",MCDM_Settings!$E$11,MCDM_Settings!$C$11),0)))</f>
        <v>99.999999999999986</v>
      </c>
      <c r="G104" s="13">
        <f>IF(OR(AY104&lt;&gt;"Valid",AZ104&lt;&gt;"16 keys present"),"Review settings",1*(IF(ISNUMBER(AE104),AE104*IF($D104="Unlabeled-13",MCDM_Settings!$E$6,MCDM_Settings!$C$6),0)+IF(ISNUMBER(AH104),AH104*IF($D104="Unlabeled-13",MCDM_Settings!$E$7,MCDM_Settings!$C$7),0)+IF(ISNUMBER(AK104),AK104*IF($D104="Unlabeled-13",MCDM_Settings!$E$8,MCDM_Settings!$C$8),0)+IF(ISNUMBER(AN104),AN104*IF($D104="Unlabeled-13",MCDM_Settings!$E$9,MCDM_Settings!$C$9),0)+IF(ISNUMBER(AQ104),AQ104*IF($D104="Unlabeled-13",MCDM_Settings!$E$10,MCDM_Settings!$C$10),0)+IF(ISNUMBER(AT104),AT104*IF($D104="Unlabeled-13",MCDM_Settings!$E$11,MCDM_Settings!$C$11),0)))</f>
        <v>0.44444444444444442</v>
      </c>
      <c r="H104" s="5" t="str">
        <f>INDEX(Manual_Review!$AH$6:$AH$238,MATCH(A104,Manual_Review!$A$6:$A$238,0))</f>
        <v>Not started</v>
      </c>
      <c r="I104" s="5" t="s">
        <v>128</v>
      </c>
      <c r="J104" s="5" t="s">
        <v>1194</v>
      </c>
      <c r="K104" s="5" t="str">
        <f>HYPERLINK("https://huggingface.co/datasets/cvtechniques/Road_Damage_Detection_USA","Dataset")</f>
        <v>Dataset</v>
      </c>
      <c r="L104" s="5" t="str">
        <f>HYPERLINK("#'Manual_Review'!A"&amp;(MATCH("DS-099",Manual_Review!$A$6:$A$238,0)+5),"Enter review")</f>
        <v>Enter review</v>
      </c>
      <c r="M104" s="5" t="str">
        <f>INDEX(MCDM_Checks!$K$6:$K$3733,MATCH(A104&amp;"|"&amp;M$5,MCDM_Checks!$A$6:$A$3733,0))</f>
        <v>U</v>
      </c>
      <c r="N104" s="5" t="str">
        <f>INDEX(MCDM_Checks!$K$6:$K$3733,MATCH(A104&amp;"|"&amp;N$5,MCDM_Checks!$A$6:$A$3733,0))</f>
        <v>U</v>
      </c>
      <c r="O104" s="5" t="str">
        <f>INDEX(MCDM_Checks!$K$6:$K$3733,MATCH(A104&amp;"|"&amp;O$5,MCDM_Checks!$A$6:$A$3733,0))</f>
        <v>Y</v>
      </c>
      <c r="P104" s="5" t="str">
        <f>INDEX(MCDM_Checks!$K$6:$K$3733,MATCH(A104&amp;"|"&amp;P$5,MCDM_Checks!$A$6:$A$3733,0))</f>
        <v>Y</v>
      </c>
      <c r="Q104" s="5" t="str">
        <f>INDEX(MCDM_Checks!$K$6:$K$3733,MATCH(A104&amp;"|"&amp;Q$5,MCDM_Checks!$A$6:$A$3733,0))</f>
        <v>Y</v>
      </c>
      <c r="R104" s="5" t="str">
        <f>INDEX(MCDM_Checks!$K$6:$K$3733,MATCH(A104&amp;"|"&amp;R$5,MCDM_Checks!$A$6:$A$3733,0))</f>
        <v>U</v>
      </c>
      <c r="S104" s="5" t="str">
        <f>INDEX(MCDM_Checks!$K$6:$K$3733,MATCH(A104&amp;"|"&amp;S$5,MCDM_Checks!$A$6:$A$3733,0))</f>
        <v>U</v>
      </c>
      <c r="T104" s="5" t="str">
        <f>INDEX(MCDM_Checks!$K$6:$K$3733,MATCH(A104&amp;"|"&amp;T$5,MCDM_Checks!$A$6:$A$3733,0))</f>
        <v>U</v>
      </c>
      <c r="U104" s="5" t="str">
        <f>INDEX(MCDM_Checks!$K$6:$K$3733,MATCH(A104&amp;"|"&amp;U$5,MCDM_Checks!$A$6:$A$3733,0))</f>
        <v>Y</v>
      </c>
      <c r="V104" s="5" t="str">
        <f>INDEX(MCDM_Checks!$K$6:$K$3733,MATCH(A104&amp;"|"&amp;V$5,MCDM_Checks!$A$6:$A$3733,0))</f>
        <v>U</v>
      </c>
      <c r="W104" s="5" t="str">
        <f>INDEX(MCDM_Checks!$K$6:$K$3733,MATCH(A104&amp;"|"&amp;W$5,MCDM_Checks!$A$6:$A$3733,0))</f>
        <v>Y</v>
      </c>
      <c r="X104" s="5" t="str">
        <f>INDEX(MCDM_Checks!$K$6:$K$3733,MATCH(A104&amp;"|"&amp;X$5,MCDM_Checks!$A$6:$A$3733,0))</f>
        <v>U</v>
      </c>
      <c r="Y104" s="5" t="str">
        <f>INDEX(MCDM_Checks!$K$6:$K$3733,MATCH(A104&amp;"|"&amp;Y$5,MCDM_Checks!$A$6:$A$3733,0))</f>
        <v>Y</v>
      </c>
      <c r="Z104" s="5" t="str">
        <f>INDEX(MCDM_Checks!$K$6:$K$3733,MATCH(A104&amp;"|"&amp;Z$5,MCDM_Checks!$A$6:$A$3733,0))</f>
        <v>U</v>
      </c>
      <c r="AA104" s="5" t="str">
        <f>INDEX(MCDM_Checks!$K$6:$K$3733,MATCH(A104&amp;"|"&amp;AA$5,MCDM_Checks!$A$6:$A$3733,0))</f>
        <v>U</v>
      </c>
      <c r="AB104" s="5" t="str">
        <f>INDEX(MCDM_Checks!$K$6:$K$3733,MATCH(A104&amp;"|"&amp;AB$5,MCDM_Checks!$A$6:$A$3733,0))</f>
        <v>Y</v>
      </c>
      <c r="AC104" s="12">
        <f>IF(IF($D104="Unlabeled-13",MCDM_Settings!$F$6,MCDM_Settings!$D$6)=0,"n.a.",5*COUNTIF(M104:O104,"Y")/IF($D104="Unlabeled-13",MCDM_Settings!$F$6,MCDM_Settings!$D$6))</f>
        <v>1.6666666666666667</v>
      </c>
      <c r="AD104" s="12">
        <f>IF(IF($D104="Unlabeled-13",MCDM_Settings!$F$6,MCDM_Settings!$D$6)=0,"n.a.",5*(COUNTIF(M104:O104,"Y")+COUNTIF(M104:O104,"U")+COUNTIF(M104:O104,"X"))/IF($D104="Unlabeled-13",MCDM_Settings!$F$6,MCDM_Settings!$D$6))</f>
        <v>5</v>
      </c>
      <c r="AE104" s="13">
        <f>IF(IF($D104="Unlabeled-13",MCDM_Settings!$F$6,MCDM_Settings!$D$6)=0,"n.a.",(COUNTIF(M104:O104,"Y")+COUNTIF(M104:O104,"N"))/IF($D104="Unlabeled-13",MCDM_Settings!$F$6,MCDM_Settings!$D$6))</f>
        <v>0.33333333333333331</v>
      </c>
      <c r="AF104" s="12">
        <f>IF(IF($D104="Unlabeled-13",MCDM_Settings!$F$7,MCDM_Settings!$D$7)=0,"n.a.",5*COUNTIF(P104:R104,"Y")/IF($D104="Unlabeled-13",MCDM_Settings!$F$7,MCDM_Settings!$D$7))</f>
        <v>3.3333333333333335</v>
      </c>
      <c r="AG104" s="12">
        <f>IF(IF($D104="Unlabeled-13",MCDM_Settings!$F$7,MCDM_Settings!$D$7)=0,"n.a.",5*(COUNTIF(P104:R104,"Y")+COUNTIF(P104:R104,"U")+COUNTIF(P104:R104,"X"))/IF($D104="Unlabeled-13",MCDM_Settings!$F$7,MCDM_Settings!$D$7))</f>
        <v>5</v>
      </c>
      <c r="AH104" s="13">
        <f>IF(IF($D104="Unlabeled-13",MCDM_Settings!$F$7,MCDM_Settings!$D$7)=0,"n.a.",(COUNTIF(P104:R104,"Y")+COUNTIF(P104:R104,"N"))/IF($D104="Unlabeled-13",MCDM_Settings!$F$7,MCDM_Settings!$D$7))</f>
        <v>0.66666666666666663</v>
      </c>
      <c r="AI104" s="12">
        <f>IF(IF($D104="Unlabeled-13",MCDM_Settings!$F$8,MCDM_Settings!$D$8)=0,"n.a.",5*COUNTIF(S104:U104,"Y")/IF($D104="Unlabeled-13",MCDM_Settings!$F$8,MCDM_Settings!$D$8))</f>
        <v>1.6666666666666667</v>
      </c>
      <c r="AJ104" s="12">
        <f>IF(IF($D104="Unlabeled-13",MCDM_Settings!$F$8,MCDM_Settings!$D$8)=0,"n.a.",5*(COUNTIF(S104:U104,"Y")+COUNTIF(S104:U104,"U")+COUNTIF(S104:U104,"X"))/IF($D104="Unlabeled-13",MCDM_Settings!$F$8,MCDM_Settings!$D$8))</f>
        <v>5</v>
      </c>
      <c r="AK104" s="13">
        <f>IF(IF($D104="Unlabeled-13",MCDM_Settings!$F$8,MCDM_Settings!$D$8)=0,"n.a.",(COUNTIF(S104:U104,"Y")+COUNTIF(S104:U104,"N"))/IF($D104="Unlabeled-13",MCDM_Settings!$F$8,MCDM_Settings!$D$8))</f>
        <v>0.33333333333333331</v>
      </c>
      <c r="AL104" s="12">
        <f>IF(IF($D104="Unlabeled-13",MCDM_Settings!$F$9,MCDM_Settings!$D$9)=0,"n.a.",5*COUNTIF(V104:W104,"Y")/IF($D104="Unlabeled-13",MCDM_Settings!$F$9,MCDM_Settings!$D$9))</f>
        <v>2.5</v>
      </c>
      <c r="AM104" s="12">
        <f>IF(IF($D104="Unlabeled-13",MCDM_Settings!$F$9,MCDM_Settings!$D$9)=0,"n.a.",5*(COUNTIF(V104:W104,"Y")+COUNTIF(V104:W104,"U")+COUNTIF(V104:W104,"X"))/IF($D104="Unlabeled-13",MCDM_Settings!$F$9,MCDM_Settings!$D$9))</f>
        <v>5</v>
      </c>
      <c r="AN104" s="13">
        <f>IF(IF($D104="Unlabeled-13",MCDM_Settings!$F$9,MCDM_Settings!$D$9)=0,"n.a.",(COUNTIF(V104:W104,"Y")+COUNTIF(V104:W104,"N"))/IF($D104="Unlabeled-13",MCDM_Settings!$F$9,MCDM_Settings!$D$9))</f>
        <v>0.5</v>
      </c>
      <c r="AO104" s="12">
        <f>IF(IF($D104="Unlabeled-13",MCDM_Settings!$F$10,MCDM_Settings!$D$10)=0,"n.a.",5*COUNTIF(X104:Y104,"Y")/IF($D104="Unlabeled-13",MCDM_Settings!$F$10,MCDM_Settings!$D$10))</f>
        <v>2.5</v>
      </c>
      <c r="AP104" s="12">
        <f>IF(IF($D104="Unlabeled-13",MCDM_Settings!$F$10,MCDM_Settings!$D$10)=0,"n.a.",5*(COUNTIF(X104:Y104,"Y")+COUNTIF(X104:Y104,"U")+COUNTIF(X104:Y104,"X"))/IF($D104="Unlabeled-13",MCDM_Settings!$F$10,MCDM_Settings!$D$10))</f>
        <v>5</v>
      </c>
      <c r="AQ104" s="13">
        <f>IF(IF($D104="Unlabeled-13",MCDM_Settings!$F$10,MCDM_Settings!$D$10)=0,"n.a.",(COUNTIF(X104:Y104,"Y")+COUNTIF(X104:Y104,"N"))/IF($D104="Unlabeled-13",MCDM_Settings!$F$10,MCDM_Settings!$D$10))</f>
        <v>0.5</v>
      </c>
      <c r="AR104" s="12">
        <f>IF(IF($D104="Unlabeled-13",MCDM_Settings!$F$11,MCDM_Settings!$D$11)=0,"n.a.",5*COUNTIF(Z104:AB104,"Y")/IF($D104="Unlabeled-13",MCDM_Settings!$F$11,MCDM_Settings!$D$11))</f>
        <v>1.6666666666666667</v>
      </c>
      <c r="AS104" s="12">
        <f>IF(IF($D104="Unlabeled-13",MCDM_Settings!$F$11,MCDM_Settings!$D$11)=0,"n.a.",5*(COUNTIF(Z104:AB104,"Y")+COUNTIF(Z104:AB104,"U")+COUNTIF(Z104:AB104,"X"))/IF($D104="Unlabeled-13",MCDM_Settings!$F$11,MCDM_Settings!$D$11))</f>
        <v>5</v>
      </c>
      <c r="AT104" s="13">
        <f>IF(IF($D104="Unlabeled-13",MCDM_Settings!$F$11,MCDM_Settings!$D$11)=0,"n.a.",(COUNTIF(Z104:AB104,"Y")+COUNTIF(Z104:AB104,"N"))/IF($D104="Unlabeled-13",MCDM_Settings!$F$11,MCDM_Settings!$D$11))</f>
        <v>0.33333333333333331</v>
      </c>
      <c r="AU104" s="5" t="str">
        <f>IF(AND(INDEX(Manual_Review!$G$6:$G$238,MATCH(A104,Manual_Review!$A$6:$A$238,0))&lt;&gt;"",ISNUMBER(INDEX(Manual_Review!$H$6:$H$238,MATCH(A104,Manual_Review!$A$6:$A$238,0))),INDEX(Manual_Review!$H$6:$H$238,MATCH(A104,Manual_Review!$A$6:$A$238,0))&gt;0,INDEX(Manual_Review!$I$6:$I$238,MATCH(A104,Manual_Review!$A$6:$A$238,0))="Confirmed",INDEX(Manual_Review!$AF$6:$AF$238,MATCH(A104,Manual_Review!$A$6:$A$238,0))&lt;&gt;""),IF(INDEX(Manual_Review!$AA$6:$AA$238,MATCH(A104,Manual_Review!$A$6:$A$238,0))="Pass","Pass",IF(INDEX(Manual_Review!$AA$6:$AA$238,MATCH(A104,Manual_Review!$A$6:$A$238,0))="Fail","Fail","Pending")),"Pending human identity confirmation")</f>
        <v>Pending human identity confirmation</v>
      </c>
      <c r="AV104" s="5" t="str">
        <f>IF(AND(AND(INDEX(Manual_Review!$G$6:$G$238,MATCH(A104,Manual_Review!$A$6:$A$238,0))&lt;&gt;"",ISNUMBER(INDEX(Manual_Review!$H$6:$H$238,MATCH(A104,Manual_Review!$A$6:$A$238,0))),INDEX(Manual_Review!$H$6:$H$238,MATCH(A104,Manual_Review!$A$6:$A$238,0))&gt;0,INDEX(Manual_Review!$I$6:$I$238,MATCH(A104,Manual_Review!$A$6:$A$238,0))="Confirmed",INDEX(Manual_Review!$AF$6:$AF$238,MATCH(A104,Manual_Review!$A$6:$A$238,0))&lt;&gt;""),INDEX(Manual_Review!$AG$6:$AG$238,MATCH(A104,Manual_Review!$A$6:$A$238,0))&lt;&gt;""),IF(INDEX(Manual_Review!$AB$6:$AB$238,MATCH(A104,Manual_Review!$A$6:$A$238,0))="Pass","Pass",IF(INDEX(Manual_Review!$AB$6:$AB$238,MATCH(A104,Manual_Review!$A$6:$A$238,0))="Fail","Fail","Pending")),"Not assessed: define intended task")</f>
        <v>Not assessed: define intended task</v>
      </c>
      <c r="AW104" s="5" t="str">
        <f>IF(AND(AND(INDEX(Manual_Review!$G$6:$G$238,MATCH(A104,Manual_Review!$A$6:$A$238,0))&lt;&gt;"",ISNUMBER(INDEX(Manual_Review!$H$6:$H$238,MATCH(A104,Manual_Review!$A$6:$A$238,0))),INDEX(Manual_Review!$H$6:$H$238,MATCH(A104,Manual_Review!$A$6:$A$238,0))&gt;0,INDEX(Manual_Review!$I$6:$I$238,MATCH(A104,Manual_Review!$A$6:$A$238,0))="Confirmed",INDEX(Manual_Review!$AF$6:$AF$238,MATCH(A104,Manual_Review!$A$6:$A$238,0))&lt;&gt;""),INDEX(Manual_Review!$AG$6:$AG$238,MATCH(A104,Manual_Review!$A$6:$A$238,0))&lt;&gt;""),IF(OR(INDEX(Manual_Review!$AC$6:$AC$238,MATCH(A104,Manual_Review!$A$6:$A$238,0))="Fail",INDEX(Manual_Review!$AD$6:$AD$238,MATCH(A104,Manual_Review!$A$6:$A$238,0))="Fail"),"Fail: rights or retrieval",IF(AND(INDEX(Manual_Review!$AC$6:$AC$238,MATCH(A104,Manual_Review!$A$6:$A$238,0))="Pass",INDEX(Manual_Review!$AD$6:$AD$238,MATCH(A104,Manual_Review!$A$6:$A$238,0))="Pass"),"Pass","Pending rights and retrieval")),"Pending rights and retrieval")</f>
        <v>Pending rights and retrieval</v>
      </c>
      <c r="AX104" s="5" t="str">
        <f>IF(INDEX(Manual_Review!$AG$6:$AG$238,MATCH(A104,Manual_Review!$A$6:$A$238,0))="","N/A: documentation inventory",IF(AND(INDEX(Manual_Review!$G$6:$G$238,MATCH(A104,Manual_Review!$A$6:$A$238,0))&lt;&gt;"",ISNUMBER(INDEX(Manual_Review!$H$6:$H$238,MATCH(A104,Manual_Review!$A$6:$A$238,0))),INDEX(Manual_Review!$H$6:$H$238,MATCH(A104,Manual_Review!$A$6:$A$238,0))&gt;0,INDEX(Manual_Review!$I$6:$I$238,MATCH(A104,Manual_Review!$A$6:$A$238,0))="Confirmed",INDEX(Manual_Review!$AF$6:$AF$238,MATCH(A104,Manual_Review!$A$6:$A$238,0))&lt;&gt;""),IF(INDEX(Manual_Review!$AE$6:$AE$238,MATCH(A104,Manual_Review!$A$6:$A$238,0))="Pass","Pass",IF(INDEX(Manual_Review!$AE$6:$AE$238,MATCH(A104,Manual_Review!$A$6:$A$238,0))="Fail","Fail: benchmark leakage",IF(INDEX(Manual_Review!$AE$6:$AE$238,MATCH(A104,Manual_Review!$A$6:$A$238,0))="N/A","N/A: nonbenchmark task","Pending task-specific leakage check"))),"Pending task-specific leakage check"))</f>
        <v>N/A: documentation inventory</v>
      </c>
      <c r="AY104" s="5" t="str">
        <f>IF(IF(D104="Unlabeled-13",AND(ABS(MCDM_Settings!$D$14-1)&lt;0.0000001,MIN(MCDM_Settings!$E$6:$E$11)&gt;=0,MCDM_Settings!$E$7=0),AND(ABS(MCDM_Settings!$B$14-1)&lt;0.0000001,MIN(MCDM_Settings!$C$6:$C$11)&gt;=0)),"Valid","Check weights")</f>
        <v>Valid</v>
      </c>
      <c r="AZ104" s="5" t="str">
        <f>IF(AND(COUNTIF(MCDM_Checks!$B$6:$B$3733,A104)=16,COUNTIF(Manual_Review!$A$6:$A$238,A104)=1),"16 keys present","Check key count")</f>
        <v>16 keys present</v>
      </c>
    </row>
    <row r="105" spans="1:52" ht="25.5">
      <c r="A105" s="5" t="s">
        <v>1204</v>
      </c>
      <c r="B105" s="5" t="s">
        <v>1205</v>
      </c>
      <c r="C105" s="5"/>
      <c r="D105" s="5" t="s">
        <v>118</v>
      </c>
      <c r="E105" s="12">
        <f>IF(OR(AY105&lt;&gt;"Valid",AZ105&lt;&gt;"16 keys present"),"Review settings",20*(IF(ISNUMBER(AC105),AC105*IF($D105="Unlabeled-13",MCDM_Settings!$E$6,MCDM_Settings!$C$6),0)+IF(ISNUMBER(AF105),AF105*IF($D105="Unlabeled-13",MCDM_Settings!$E$7,MCDM_Settings!$C$7),0)+IF(ISNUMBER(AI105),AI105*IF($D105="Unlabeled-13",MCDM_Settings!$E$8,MCDM_Settings!$C$8),0)+IF(ISNUMBER(AL105),AL105*IF($D105="Unlabeled-13",MCDM_Settings!$E$9,MCDM_Settings!$C$9),0)+IF(ISNUMBER(AO105),AO105*IF($D105="Unlabeled-13",MCDM_Settings!$E$10,MCDM_Settings!$C$10),0)+IF(ISNUMBER(AR105),AR105*IF($D105="Unlabeled-13",MCDM_Settings!$E$11,MCDM_Settings!$C$11),0)))</f>
        <v>75</v>
      </c>
      <c r="F105" s="12">
        <f>IF(OR(AY105&lt;&gt;"Valid",AZ105&lt;&gt;"16 keys present"),"Review settings",20*(IF(ISNUMBER(AD105),AD105*IF($D105="Unlabeled-13",MCDM_Settings!$E$6,MCDM_Settings!$C$6),0)+IF(ISNUMBER(AG105),AG105*IF($D105="Unlabeled-13",MCDM_Settings!$E$7,MCDM_Settings!$C$7),0)+IF(ISNUMBER(AJ105),AJ105*IF($D105="Unlabeled-13",MCDM_Settings!$E$8,MCDM_Settings!$C$8),0)+IF(ISNUMBER(AM105),AM105*IF($D105="Unlabeled-13",MCDM_Settings!$E$9,MCDM_Settings!$C$9),0)+IF(ISNUMBER(AP105),AP105*IF($D105="Unlabeled-13",MCDM_Settings!$E$10,MCDM_Settings!$C$10),0)+IF(ISNUMBER(AS105),AS105*IF($D105="Unlabeled-13",MCDM_Settings!$E$11,MCDM_Settings!$C$11),0)))</f>
        <v>99.999999999999986</v>
      </c>
      <c r="G105" s="13">
        <f>IF(OR(AY105&lt;&gt;"Valid",AZ105&lt;&gt;"16 keys present"),"Review settings",1*(IF(ISNUMBER(AE105),AE105*IF($D105="Unlabeled-13",MCDM_Settings!$E$6,MCDM_Settings!$C$6),0)+IF(ISNUMBER(AH105),AH105*IF($D105="Unlabeled-13",MCDM_Settings!$E$7,MCDM_Settings!$C$7),0)+IF(ISNUMBER(AK105),AK105*IF($D105="Unlabeled-13",MCDM_Settings!$E$8,MCDM_Settings!$C$8),0)+IF(ISNUMBER(AN105),AN105*IF($D105="Unlabeled-13",MCDM_Settings!$E$9,MCDM_Settings!$C$9),0)+IF(ISNUMBER(AQ105),AQ105*IF($D105="Unlabeled-13",MCDM_Settings!$E$10,MCDM_Settings!$C$10),0)+IF(ISNUMBER(AT105),AT105*IF($D105="Unlabeled-13",MCDM_Settings!$E$11,MCDM_Settings!$C$11),0)))</f>
        <v>0.74999999999999989</v>
      </c>
      <c r="H105" s="5" t="str">
        <f>INDEX(Manual_Review!$AH$6:$AH$238,MATCH(A105,Manual_Review!$A$6:$A$238,0))</f>
        <v>Not started</v>
      </c>
      <c r="I105" s="5" t="s">
        <v>182</v>
      </c>
      <c r="J105" s="5" t="s">
        <v>1206</v>
      </c>
      <c r="K105" s="5" t="str">
        <f>HYPERLINK("https://thu-rsxd.com/rscd/","Dataset")</f>
        <v>Dataset</v>
      </c>
      <c r="L105" s="5" t="str">
        <f>HYPERLINK("#'Manual_Review'!A"&amp;(MATCH("DS-100",Manual_Review!$A$6:$A$238,0)+5),"Enter review")</f>
        <v>Enter review</v>
      </c>
      <c r="M105" s="5" t="str">
        <f>INDEX(MCDM_Checks!$K$6:$K$3733,MATCH(A105&amp;"|"&amp;M$5,MCDM_Checks!$A$6:$A$3733,0))</f>
        <v>Y</v>
      </c>
      <c r="N105" s="5" t="str">
        <f>INDEX(MCDM_Checks!$K$6:$K$3733,MATCH(A105&amp;"|"&amp;N$5,MCDM_Checks!$A$6:$A$3733,0))</f>
        <v>Y</v>
      </c>
      <c r="O105" s="5" t="str">
        <f>INDEX(MCDM_Checks!$K$6:$K$3733,MATCH(A105&amp;"|"&amp;O$5,MCDM_Checks!$A$6:$A$3733,0))</f>
        <v>Y</v>
      </c>
      <c r="P105" s="5" t="str">
        <f>INDEX(MCDM_Checks!$K$6:$K$3733,MATCH(A105&amp;"|"&amp;P$5,MCDM_Checks!$A$6:$A$3733,0))</f>
        <v>Y</v>
      </c>
      <c r="Q105" s="5" t="str">
        <f>INDEX(MCDM_Checks!$K$6:$K$3733,MATCH(A105&amp;"|"&amp;Q$5,MCDM_Checks!$A$6:$A$3733,0))</f>
        <v>U</v>
      </c>
      <c r="R105" s="5" t="str">
        <f>INDEX(MCDM_Checks!$K$6:$K$3733,MATCH(A105&amp;"|"&amp;R$5,MCDM_Checks!$A$6:$A$3733,0))</f>
        <v>U</v>
      </c>
      <c r="S105" s="5" t="str">
        <f>INDEX(MCDM_Checks!$K$6:$K$3733,MATCH(A105&amp;"|"&amp;S$5,MCDM_Checks!$A$6:$A$3733,0))</f>
        <v>U</v>
      </c>
      <c r="T105" s="5" t="str">
        <f>INDEX(MCDM_Checks!$K$6:$K$3733,MATCH(A105&amp;"|"&amp;T$5,MCDM_Checks!$A$6:$A$3733,0))</f>
        <v>Y</v>
      </c>
      <c r="U105" s="5" t="str">
        <f>INDEX(MCDM_Checks!$K$6:$K$3733,MATCH(A105&amp;"|"&amp;U$5,MCDM_Checks!$A$6:$A$3733,0))</f>
        <v>Y</v>
      </c>
      <c r="V105" s="5" t="str">
        <f>INDEX(MCDM_Checks!$K$6:$K$3733,MATCH(A105&amp;"|"&amp;V$5,MCDM_Checks!$A$6:$A$3733,0))</f>
        <v>Y</v>
      </c>
      <c r="W105" s="5" t="str">
        <f>INDEX(MCDM_Checks!$K$6:$K$3733,MATCH(A105&amp;"|"&amp;W$5,MCDM_Checks!$A$6:$A$3733,0))</f>
        <v>U</v>
      </c>
      <c r="X105" s="5" t="str">
        <f>INDEX(MCDM_Checks!$K$6:$K$3733,MATCH(A105&amp;"|"&amp;X$5,MCDM_Checks!$A$6:$A$3733,0))</f>
        <v>Y</v>
      </c>
      <c r="Y105" s="5" t="str">
        <f>INDEX(MCDM_Checks!$K$6:$K$3733,MATCH(A105&amp;"|"&amp;Y$5,MCDM_Checks!$A$6:$A$3733,0))</f>
        <v>Y</v>
      </c>
      <c r="Z105" s="5" t="str">
        <f>INDEX(MCDM_Checks!$K$6:$K$3733,MATCH(A105&amp;"|"&amp;Z$5,MCDM_Checks!$A$6:$A$3733,0))</f>
        <v>Y</v>
      </c>
      <c r="AA105" s="5" t="str">
        <f>INDEX(MCDM_Checks!$K$6:$K$3733,MATCH(A105&amp;"|"&amp;AA$5,MCDM_Checks!$A$6:$A$3733,0))</f>
        <v>Y</v>
      </c>
      <c r="AB105" s="5" t="str">
        <f>INDEX(MCDM_Checks!$K$6:$K$3733,MATCH(A105&amp;"|"&amp;AB$5,MCDM_Checks!$A$6:$A$3733,0))</f>
        <v>Y</v>
      </c>
      <c r="AC105" s="12">
        <f>IF(IF($D105="Unlabeled-13",MCDM_Settings!$F$6,MCDM_Settings!$D$6)=0,"n.a.",5*COUNTIF(M105:O105,"Y")/IF($D105="Unlabeled-13",MCDM_Settings!$F$6,MCDM_Settings!$D$6))</f>
        <v>5</v>
      </c>
      <c r="AD105" s="12">
        <f>IF(IF($D105="Unlabeled-13",MCDM_Settings!$F$6,MCDM_Settings!$D$6)=0,"n.a.",5*(COUNTIF(M105:O105,"Y")+COUNTIF(M105:O105,"U")+COUNTIF(M105:O105,"X"))/IF($D105="Unlabeled-13",MCDM_Settings!$F$6,MCDM_Settings!$D$6))</f>
        <v>5</v>
      </c>
      <c r="AE105" s="13">
        <f>IF(IF($D105="Unlabeled-13",MCDM_Settings!$F$6,MCDM_Settings!$D$6)=0,"n.a.",(COUNTIF(M105:O105,"Y")+COUNTIF(M105:O105,"N"))/IF($D105="Unlabeled-13",MCDM_Settings!$F$6,MCDM_Settings!$D$6))</f>
        <v>1</v>
      </c>
      <c r="AF105" s="12">
        <f>IF(IF($D105="Unlabeled-13",MCDM_Settings!$F$7,MCDM_Settings!$D$7)=0,"n.a.",5*COUNTIF(P105:R105,"Y")/IF($D105="Unlabeled-13",MCDM_Settings!$F$7,MCDM_Settings!$D$7))</f>
        <v>1.6666666666666667</v>
      </c>
      <c r="AG105" s="12">
        <f>IF(IF($D105="Unlabeled-13",MCDM_Settings!$F$7,MCDM_Settings!$D$7)=0,"n.a.",5*(COUNTIF(P105:R105,"Y")+COUNTIF(P105:R105,"U")+COUNTIF(P105:R105,"X"))/IF($D105="Unlabeled-13",MCDM_Settings!$F$7,MCDM_Settings!$D$7))</f>
        <v>5</v>
      </c>
      <c r="AH105" s="13">
        <f>IF(IF($D105="Unlabeled-13",MCDM_Settings!$F$7,MCDM_Settings!$D$7)=0,"n.a.",(COUNTIF(P105:R105,"Y")+COUNTIF(P105:R105,"N"))/IF($D105="Unlabeled-13",MCDM_Settings!$F$7,MCDM_Settings!$D$7))</f>
        <v>0.33333333333333331</v>
      </c>
      <c r="AI105" s="12">
        <f>IF(IF($D105="Unlabeled-13",MCDM_Settings!$F$8,MCDM_Settings!$D$8)=0,"n.a.",5*COUNTIF(S105:U105,"Y")/IF($D105="Unlabeled-13",MCDM_Settings!$F$8,MCDM_Settings!$D$8))</f>
        <v>3.3333333333333335</v>
      </c>
      <c r="AJ105" s="12">
        <f>IF(IF($D105="Unlabeled-13",MCDM_Settings!$F$8,MCDM_Settings!$D$8)=0,"n.a.",5*(COUNTIF(S105:U105,"Y")+COUNTIF(S105:U105,"U")+COUNTIF(S105:U105,"X"))/IF($D105="Unlabeled-13",MCDM_Settings!$F$8,MCDM_Settings!$D$8))</f>
        <v>5</v>
      </c>
      <c r="AK105" s="13">
        <f>IF(IF($D105="Unlabeled-13",MCDM_Settings!$F$8,MCDM_Settings!$D$8)=0,"n.a.",(COUNTIF(S105:U105,"Y")+COUNTIF(S105:U105,"N"))/IF($D105="Unlabeled-13",MCDM_Settings!$F$8,MCDM_Settings!$D$8))</f>
        <v>0.66666666666666663</v>
      </c>
      <c r="AL105" s="12">
        <f>IF(IF($D105="Unlabeled-13",MCDM_Settings!$F$9,MCDM_Settings!$D$9)=0,"n.a.",5*COUNTIF(V105:W105,"Y")/IF($D105="Unlabeled-13",MCDM_Settings!$F$9,MCDM_Settings!$D$9))</f>
        <v>2.5</v>
      </c>
      <c r="AM105" s="12">
        <f>IF(IF($D105="Unlabeled-13",MCDM_Settings!$F$9,MCDM_Settings!$D$9)=0,"n.a.",5*(COUNTIF(V105:W105,"Y")+COUNTIF(V105:W105,"U")+COUNTIF(V105:W105,"X"))/IF($D105="Unlabeled-13",MCDM_Settings!$F$9,MCDM_Settings!$D$9))</f>
        <v>5</v>
      </c>
      <c r="AN105" s="13">
        <f>IF(IF($D105="Unlabeled-13",MCDM_Settings!$F$9,MCDM_Settings!$D$9)=0,"n.a.",(COUNTIF(V105:W105,"Y")+COUNTIF(V105:W105,"N"))/IF($D105="Unlabeled-13",MCDM_Settings!$F$9,MCDM_Settings!$D$9))</f>
        <v>0.5</v>
      </c>
      <c r="AO105" s="12">
        <f>IF(IF($D105="Unlabeled-13",MCDM_Settings!$F$10,MCDM_Settings!$D$10)=0,"n.a.",5*COUNTIF(X105:Y105,"Y")/IF($D105="Unlabeled-13",MCDM_Settings!$F$10,MCDM_Settings!$D$10))</f>
        <v>5</v>
      </c>
      <c r="AP105" s="12">
        <f>IF(IF($D105="Unlabeled-13",MCDM_Settings!$F$10,MCDM_Settings!$D$10)=0,"n.a.",5*(COUNTIF(X105:Y105,"Y")+COUNTIF(X105:Y105,"U")+COUNTIF(X105:Y105,"X"))/IF($D105="Unlabeled-13",MCDM_Settings!$F$10,MCDM_Settings!$D$10))</f>
        <v>5</v>
      </c>
      <c r="AQ105" s="13">
        <f>IF(IF($D105="Unlabeled-13",MCDM_Settings!$F$10,MCDM_Settings!$D$10)=0,"n.a.",(COUNTIF(X105:Y105,"Y")+COUNTIF(X105:Y105,"N"))/IF($D105="Unlabeled-13",MCDM_Settings!$F$10,MCDM_Settings!$D$10))</f>
        <v>1</v>
      </c>
      <c r="AR105" s="12">
        <f>IF(IF($D105="Unlabeled-13",MCDM_Settings!$F$11,MCDM_Settings!$D$11)=0,"n.a.",5*COUNTIF(Z105:AB105,"Y")/IF($D105="Unlabeled-13",MCDM_Settings!$F$11,MCDM_Settings!$D$11))</f>
        <v>5</v>
      </c>
      <c r="AS105" s="12">
        <f>IF(IF($D105="Unlabeled-13",MCDM_Settings!$F$11,MCDM_Settings!$D$11)=0,"n.a.",5*(COUNTIF(Z105:AB105,"Y")+COUNTIF(Z105:AB105,"U")+COUNTIF(Z105:AB105,"X"))/IF($D105="Unlabeled-13",MCDM_Settings!$F$11,MCDM_Settings!$D$11))</f>
        <v>5</v>
      </c>
      <c r="AT105" s="13">
        <f>IF(IF($D105="Unlabeled-13",MCDM_Settings!$F$11,MCDM_Settings!$D$11)=0,"n.a.",(COUNTIF(Z105:AB105,"Y")+COUNTIF(Z105:AB105,"N"))/IF($D105="Unlabeled-13",MCDM_Settings!$F$11,MCDM_Settings!$D$11))</f>
        <v>1</v>
      </c>
      <c r="AU105" s="5" t="str">
        <f>IF(AND(INDEX(Manual_Review!$G$6:$G$238,MATCH(A105,Manual_Review!$A$6:$A$238,0))&lt;&gt;"",ISNUMBER(INDEX(Manual_Review!$H$6:$H$238,MATCH(A105,Manual_Review!$A$6:$A$238,0))),INDEX(Manual_Review!$H$6:$H$238,MATCH(A105,Manual_Review!$A$6:$A$238,0))&gt;0,INDEX(Manual_Review!$I$6:$I$238,MATCH(A105,Manual_Review!$A$6:$A$238,0))="Confirmed",INDEX(Manual_Review!$AF$6:$AF$238,MATCH(A105,Manual_Review!$A$6:$A$238,0))&lt;&gt;""),IF(INDEX(Manual_Review!$AA$6:$AA$238,MATCH(A105,Manual_Review!$A$6:$A$238,0))="Pass","Pass",IF(INDEX(Manual_Review!$AA$6:$AA$238,MATCH(A105,Manual_Review!$A$6:$A$238,0))="Fail","Fail","Pending")),"Pending human identity confirmation")</f>
        <v>Pending human identity confirmation</v>
      </c>
      <c r="AV105" s="5" t="str">
        <f>IF(AND(AND(INDEX(Manual_Review!$G$6:$G$238,MATCH(A105,Manual_Review!$A$6:$A$238,0))&lt;&gt;"",ISNUMBER(INDEX(Manual_Review!$H$6:$H$238,MATCH(A105,Manual_Review!$A$6:$A$238,0))),INDEX(Manual_Review!$H$6:$H$238,MATCH(A105,Manual_Review!$A$6:$A$238,0))&gt;0,INDEX(Manual_Review!$I$6:$I$238,MATCH(A105,Manual_Review!$A$6:$A$238,0))="Confirmed",INDEX(Manual_Review!$AF$6:$AF$238,MATCH(A105,Manual_Review!$A$6:$A$238,0))&lt;&gt;""),INDEX(Manual_Review!$AG$6:$AG$238,MATCH(A105,Manual_Review!$A$6:$A$238,0))&lt;&gt;""),IF(INDEX(Manual_Review!$AB$6:$AB$238,MATCH(A105,Manual_Review!$A$6:$A$238,0))="Pass","Pass",IF(INDEX(Manual_Review!$AB$6:$AB$238,MATCH(A105,Manual_Review!$A$6:$A$238,0))="Fail","Fail","Pending")),"Not assessed: define intended task")</f>
        <v>Not assessed: define intended task</v>
      </c>
      <c r="AW105" s="5" t="str">
        <f>IF(AND(AND(INDEX(Manual_Review!$G$6:$G$238,MATCH(A105,Manual_Review!$A$6:$A$238,0))&lt;&gt;"",ISNUMBER(INDEX(Manual_Review!$H$6:$H$238,MATCH(A105,Manual_Review!$A$6:$A$238,0))),INDEX(Manual_Review!$H$6:$H$238,MATCH(A105,Manual_Review!$A$6:$A$238,0))&gt;0,INDEX(Manual_Review!$I$6:$I$238,MATCH(A105,Manual_Review!$A$6:$A$238,0))="Confirmed",INDEX(Manual_Review!$AF$6:$AF$238,MATCH(A105,Manual_Review!$A$6:$A$238,0))&lt;&gt;""),INDEX(Manual_Review!$AG$6:$AG$238,MATCH(A105,Manual_Review!$A$6:$A$238,0))&lt;&gt;""),IF(OR(INDEX(Manual_Review!$AC$6:$AC$238,MATCH(A105,Manual_Review!$A$6:$A$238,0))="Fail",INDEX(Manual_Review!$AD$6:$AD$238,MATCH(A105,Manual_Review!$A$6:$A$238,0))="Fail"),"Fail: rights or retrieval",IF(AND(INDEX(Manual_Review!$AC$6:$AC$238,MATCH(A105,Manual_Review!$A$6:$A$238,0))="Pass",INDEX(Manual_Review!$AD$6:$AD$238,MATCH(A105,Manual_Review!$A$6:$A$238,0))="Pass"),"Pass","Pending rights and retrieval")),"Pending rights and retrieval")</f>
        <v>Pending rights and retrieval</v>
      </c>
      <c r="AX105" s="5" t="str">
        <f>IF(INDEX(Manual_Review!$AG$6:$AG$238,MATCH(A105,Manual_Review!$A$6:$A$238,0))="","N/A: documentation inventory",IF(AND(INDEX(Manual_Review!$G$6:$G$238,MATCH(A105,Manual_Review!$A$6:$A$238,0))&lt;&gt;"",ISNUMBER(INDEX(Manual_Review!$H$6:$H$238,MATCH(A105,Manual_Review!$A$6:$A$238,0))),INDEX(Manual_Review!$H$6:$H$238,MATCH(A105,Manual_Review!$A$6:$A$238,0))&gt;0,INDEX(Manual_Review!$I$6:$I$238,MATCH(A105,Manual_Review!$A$6:$A$238,0))="Confirmed",INDEX(Manual_Review!$AF$6:$AF$238,MATCH(A105,Manual_Review!$A$6:$A$238,0))&lt;&gt;""),IF(INDEX(Manual_Review!$AE$6:$AE$238,MATCH(A105,Manual_Review!$A$6:$A$238,0))="Pass","Pass",IF(INDEX(Manual_Review!$AE$6:$AE$238,MATCH(A105,Manual_Review!$A$6:$A$238,0))="Fail","Fail: benchmark leakage",IF(INDEX(Manual_Review!$AE$6:$AE$238,MATCH(A105,Manual_Review!$A$6:$A$238,0))="N/A","N/A: nonbenchmark task","Pending task-specific leakage check"))),"Pending task-specific leakage check"))</f>
        <v>N/A: documentation inventory</v>
      </c>
      <c r="AY105" s="5" t="str">
        <f>IF(IF(D105="Unlabeled-13",AND(ABS(MCDM_Settings!$D$14-1)&lt;0.0000001,MIN(MCDM_Settings!$E$6:$E$11)&gt;=0,MCDM_Settings!$E$7=0),AND(ABS(MCDM_Settings!$B$14-1)&lt;0.0000001,MIN(MCDM_Settings!$C$6:$C$11)&gt;=0)),"Valid","Check weights")</f>
        <v>Valid</v>
      </c>
      <c r="AZ105" s="5" t="str">
        <f>IF(AND(COUNTIF(MCDM_Checks!$B$6:$B$3733,A105)=16,COUNTIF(Manual_Review!$A$6:$A$238,A105)=1),"16 keys present","Check key count")</f>
        <v>16 keys present</v>
      </c>
    </row>
    <row r="106" spans="1:52">
      <c r="A106" s="5" t="s">
        <v>1221</v>
      </c>
      <c r="B106" s="5" t="s">
        <v>1222</v>
      </c>
      <c r="C106" s="5"/>
      <c r="D106" s="5" t="s">
        <v>118</v>
      </c>
      <c r="E106" s="12">
        <f>IF(OR(AY106&lt;&gt;"Valid",AZ106&lt;&gt;"16 keys present"),"Review settings",20*(IF(ISNUMBER(AC106),AC106*IF($D106="Unlabeled-13",MCDM_Settings!$E$6,MCDM_Settings!$C$6),0)+IF(ISNUMBER(AF106),AF106*IF($D106="Unlabeled-13",MCDM_Settings!$E$7,MCDM_Settings!$C$7),0)+IF(ISNUMBER(AI106),AI106*IF($D106="Unlabeled-13",MCDM_Settings!$E$8,MCDM_Settings!$C$8),0)+IF(ISNUMBER(AL106),AL106*IF($D106="Unlabeled-13",MCDM_Settings!$E$9,MCDM_Settings!$C$9),0)+IF(ISNUMBER(AO106),AO106*IF($D106="Unlabeled-13",MCDM_Settings!$E$10,MCDM_Settings!$C$10),0)+IF(ISNUMBER(AR106),AR106*IF($D106="Unlabeled-13",MCDM_Settings!$E$11,MCDM_Settings!$C$11),0)))</f>
        <v>19.444444444444443</v>
      </c>
      <c r="F106" s="12">
        <f>IF(OR(AY106&lt;&gt;"Valid",AZ106&lt;&gt;"16 keys present"),"Review settings",20*(IF(ISNUMBER(AD106),AD106*IF($D106="Unlabeled-13",MCDM_Settings!$E$6,MCDM_Settings!$C$6),0)+IF(ISNUMBER(AG106),AG106*IF($D106="Unlabeled-13",MCDM_Settings!$E$7,MCDM_Settings!$C$7),0)+IF(ISNUMBER(AJ106),AJ106*IF($D106="Unlabeled-13",MCDM_Settings!$E$8,MCDM_Settings!$C$8),0)+IF(ISNUMBER(AM106),AM106*IF($D106="Unlabeled-13",MCDM_Settings!$E$9,MCDM_Settings!$C$9),0)+IF(ISNUMBER(AP106),AP106*IF($D106="Unlabeled-13",MCDM_Settings!$E$10,MCDM_Settings!$C$10),0)+IF(ISNUMBER(AS106),AS106*IF($D106="Unlabeled-13",MCDM_Settings!$E$11,MCDM_Settings!$C$11),0)))</f>
        <v>99.999999999999986</v>
      </c>
      <c r="G106" s="13">
        <f>IF(OR(AY106&lt;&gt;"Valid",AZ106&lt;&gt;"16 keys present"),"Review settings",1*(IF(ISNUMBER(AE106),AE106*IF($D106="Unlabeled-13",MCDM_Settings!$E$6,MCDM_Settings!$C$6),0)+IF(ISNUMBER(AH106),AH106*IF($D106="Unlabeled-13",MCDM_Settings!$E$7,MCDM_Settings!$C$7),0)+IF(ISNUMBER(AK106),AK106*IF($D106="Unlabeled-13",MCDM_Settings!$E$8,MCDM_Settings!$C$8),0)+IF(ISNUMBER(AN106),AN106*IF($D106="Unlabeled-13",MCDM_Settings!$E$9,MCDM_Settings!$C$9),0)+IF(ISNUMBER(AQ106),AQ106*IF($D106="Unlabeled-13",MCDM_Settings!$E$10,MCDM_Settings!$C$10),0)+IF(ISNUMBER(AT106),AT106*IF($D106="Unlabeled-13",MCDM_Settings!$E$11,MCDM_Settings!$C$11),0)))</f>
        <v>0.19444444444444442</v>
      </c>
      <c r="H106" s="5" t="str">
        <f>INDEX(Manual_Review!$AH$6:$AH$238,MATCH(A106,Manual_Review!$A$6:$A$238,0))</f>
        <v>Not started</v>
      </c>
      <c r="I106" s="5" t="s">
        <v>128</v>
      </c>
      <c r="J106" s="5" t="s">
        <v>1223</v>
      </c>
      <c r="K106" s="5" t="str">
        <f>HYPERLINK("https://huggingface.co/datasets/Ryukijano/Pothole-detection-Yolov8","Dataset")</f>
        <v>Dataset</v>
      </c>
      <c r="L106" s="5" t="str">
        <f>HYPERLINK("#'Manual_Review'!A"&amp;(MATCH("DS-101",Manual_Review!$A$6:$A$238,0)+5),"Enter review")</f>
        <v>Enter review</v>
      </c>
      <c r="M106" s="5" t="str">
        <f>INDEX(MCDM_Checks!$K$6:$K$3733,MATCH(A106&amp;"|"&amp;M$5,MCDM_Checks!$A$6:$A$3733,0))</f>
        <v>Y</v>
      </c>
      <c r="N106" s="5" t="str">
        <f>INDEX(MCDM_Checks!$K$6:$K$3733,MATCH(A106&amp;"|"&amp;N$5,MCDM_Checks!$A$6:$A$3733,0))</f>
        <v>Y</v>
      </c>
      <c r="O106" s="5" t="str">
        <f>INDEX(MCDM_Checks!$K$6:$K$3733,MATCH(A106&amp;"|"&amp;O$5,MCDM_Checks!$A$6:$A$3733,0))</f>
        <v>U</v>
      </c>
      <c r="P106" s="5" t="str">
        <f>INDEX(MCDM_Checks!$K$6:$K$3733,MATCH(A106&amp;"|"&amp;P$5,MCDM_Checks!$A$6:$A$3733,0))</f>
        <v>U</v>
      </c>
      <c r="Q106" s="5" t="str">
        <f>INDEX(MCDM_Checks!$K$6:$K$3733,MATCH(A106&amp;"|"&amp;Q$5,MCDM_Checks!$A$6:$A$3733,0))</f>
        <v>U</v>
      </c>
      <c r="R106" s="5" t="str">
        <f>INDEX(MCDM_Checks!$K$6:$K$3733,MATCH(A106&amp;"|"&amp;R$5,MCDM_Checks!$A$6:$A$3733,0))</f>
        <v>U</v>
      </c>
      <c r="S106" s="5" t="str">
        <f>INDEX(MCDM_Checks!$K$6:$K$3733,MATCH(A106&amp;"|"&amp;S$5,MCDM_Checks!$A$6:$A$3733,0))</f>
        <v>U</v>
      </c>
      <c r="T106" s="5" t="str">
        <f>INDEX(MCDM_Checks!$K$6:$K$3733,MATCH(A106&amp;"|"&amp;T$5,MCDM_Checks!$A$6:$A$3733,0))</f>
        <v>U</v>
      </c>
      <c r="U106" s="5" t="str">
        <f>INDEX(MCDM_Checks!$K$6:$K$3733,MATCH(A106&amp;"|"&amp;U$5,MCDM_Checks!$A$6:$A$3733,0))</f>
        <v>U</v>
      </c>
      <c r="V106" s="5" t="str">
        <f>INDEX(MCDM_Checks!$K$6:$K$3733,MATCH(A106&amp;"|"&amp;V$5,MCDM_Checks!$A$6:$A$3733,0))</f>
        <v>Y</v>
      </c>
      <c r="W106" s="5" t="str">
        <f>INDEX(MCDM_Checks!$K$6:$K$3733,MATCH(A106&amp;"|"&amp;W$5,MCDM_Checks!$A$6:$A$3733,0))</f>
        <v>U</v>
      </c>
      <c r="X106" s="5" t="str">
        <f>INDEX(MCDM_Checks!$K$6:$K$3733,MATCH(A106&amp;"|"&amp;X$5,MCDM_Checks!$A$6:$A$3733,0))</f>
        <v>U</v>
      </c>
      <c r="Y106" s="5" t="str">
        <f>INDEX(MCDM_Checks!$K$6:$K$3733,MATCH(A106&amp;"|"&amp;Y$5,MCDM_Checks!$A$6:$A$3733,0))</f>
        <v>U</v>
      </c>
      <c r="Z106" s="5" t="str">
        <f>INDEX(MCDM_Checks!$K$6:$K$3733,MATCH(A106&amp;"|"&amp;Z$5,MCDM_Checks!$A$6:$A$3733,0))</f>
        <v>U</v>
      </c>
      <c r="AA106" s="5" t="str">
        <f>INDEX(MCDM_Checks!$K$6:$K$3733,MATCH(A106&amp;"|"&amp;AA$5,MCDM_Checks!$A$6:$A$3733,0))</f>
        <v>U</v>
      </c>
      <c r="AB106" s="5" t="str">
        <f>INDEX(MCDM_Checks!$K$6:$K$3733,MATCH(A106&amp;"|"&amp;AB$5,MCDM_Checks!$A$6:$A$3733,0))</f>
        <v>U</v>
      </c>
      <c r="AC106" s="12">
        <f>IF(IF($D106="Unlabeled-13",MCDM_Settings!$F$6,MCDM_Settings!$D$6)=0,"n.a.",5*COUNTIF(M106:O106,"Y")/IF($D106="Unlabeled-13",MCDM_Settings!$F$6,MCDM_Settings!$D$6))</f>
        <v>3.3333333333333335</v>
      </c>
      <c r="AD106" s="12">
        <f>IF(IF($D106="Unlabeled-13",MCDM_Settings!$F$6,MCDM_Settings!$D$6)=0,"n.a.",5*(COUNTIF(M106:O106,"Y")+COUNTIF(M106:O106,"U")+COUNTIF(M106:O106,"X"))/IF($D106="Unlabeled-13",MCDM_Settings!$F$6,MCDM_Settings!$D$6))</f>
        <v>5</v>
      </c>
      <c r="AE106" s="13">
        <f>IF(IF($D106="Unlabeled-13",MCDM_Settings!$F$6,MCDM_Settings!$D$6)=0,"n.a.",(COUNTIF(M106:O106,"Y")+COUNTIF(M106:O106,"N"))/IF($D106="Unlabeled-13",MCDM_Settings!$F$6,MCDM_Settings!$D$6))</f>
        <v>0.66666666666666663</v>
      </c>
      <c r="AF106" s="12">
        <f>IF(IF($D106="Unlabeled-13",MCDM_Settings!$F$7,MCDM_Settings!$D$7)=0,"n.a.",5*COUNTIF(P106:R106,"Y")/IF($D106="Unlabeled-13",MCDM_Settings!$F$7,MCDM_Settings!$D$7))</f>
        <v>0</v>
      </c>
      <c r="AG106" s="12">
        <f>IF(IF($D106="Unlabeled-13",MCDM_Settings!$F$7,MCDM_Settings!$D$7)=0,"n.a.",5*(COUNTIF(P106:R106,"Y")+COUNTIF(P106:R106,"U")+COUNTIF(P106:R106,"X"))/IF($D106="Unlabeled-13",MCDM_Settings!$F$7,MCDM_Settings!$D$7))</f>
        <v>5</v>
      </c>
      <c r="AH106" s="13">
        <f>IF(IF($D106="Unlabeled-13",MCDM_Settings!$F$7,MCDM_Settings!$D$7)=0,"n.a.",(COUNTIF(P106:R106,"Y")+COUNTIF(P106:R106,"N"))/IF($D106="Unlabeled-13",MCDM_Settings!$F$7,MCDM_Settings!$D$7))</f>
        <v>0</v>
      </c>
      <c r="AI106" s="12">
        <f>IF(IF($D106="Unlabeled-13",MCDM_Settings!$F$8,MCDM_Settings!$D$8)=0,"n.a.",5*COUNTIF(S106:U106,"Y")/IF($D106="Unlabeled-13",MCDM_Settings!$F$8,MCDM_Settings!$D$8))</f>
        <v>0</v>
      </c>
      <c r="AJ106" s="12">
        <f>IF(IF($D106="Unlabeled-13",MCDM_Settings!$F$8,MCDM_Settings!$D$8)=0,"n.a.",5*(COUNTIF(S106:U106,"Y")+COUNTIF(S106:U106,"U")+COUNTIF(S106:U106,"X"))/IF($D106="Unlabeled-13",MCDM_Settings!$F$8,MCDM_Settings!$D$8))</f>
        <v>5</v>
      </c>
      <c r="AK106" s="13">
        <f>IF(IF($D106="Unlabeled-13",MCDM_Settings!$F$8,MCDM_Settings!$D$8)=0,"n.a.",(COUNTIF(S106:U106,"Y")+COUNTIF(S106:U106,"N"))/IF($D106="Unlabeled-13",MCDM_Settings!$F$8,MCDM_Settings!$D$8))</f>
        <v>0</v>
      </c>
      <c r="AL106" s="12">
        <f>IF(IF($D106="Unlabeled-13",MCDM_Settings!$F$9,MCDM_Settings!$D$9)=0,"n.a.",5*COUNTIF(V106:W106,"Y")/IF($D106="Unlabeled-13",MCDM_Settings!$F$9,MCDM_Settings!$D$9))</f>
        <v>2.5</v>
      </c>
      <c r="AM106" s="12">
        <f>IF(IF($D106="Unlabeled-13",MCDM_Settings!$F$9,MCDM_Settings!$D$9)=0,"n.a.",5*(COUNTIF(V106:W106,"Y")+COUNTIF(V106:W106,"U")+COUNTIF(V106:W106,"X"))/IF($D106="Unlabeled-13",MCDM_Settings!$F$9,MCDM_Settings!$D$9))</f>
        <v>5</v>
      </c>
      <c r="AN106" s="13">
        <f>IF(IF($D106="Unlabeled-13",MCDM_Settings!$F$9,MCDM_Settings!$D$9)=0,"n.a.",(COUNTIF(V106:W106,"Y")+COUNTIF(V106:W106,"N"))/IF($D106="Unlabeled-13",MCDM_Settings!$F$9,MCDM_Settings!$D$9))</f>
        <v>0.5</v>
      </c>
      <c r="AO106" s="12">
        <f>IF(IF($D106="Unlabeled-13",MCDM_Settings!$F$10,MCDM_Settings!$D$10)=0,"n.a.",5*COUNTIF(X106:Y106,"Y")/IF($D106="Unlabeled-13",MCDM_Settings!$F$10,MCDM_Settings!$D$10))</f>
        <v>0</v>
      </c>
      <c r="AP106" s="12">
        <f>IF(IF($D106="Unlabeled-13",MCDM_Settings!$F$10,MCDM_Settings!$D$10)=0,"n.a.",5*(COUNTIF(X106:Y106,"Y")+COUNTIF(X106:Y106,"U")+COUNTIF(X106:Y106,"X"))/IF($D106="Unlabeled-13",MCDM_Settings!$F$10,MCDM_Settings!$D$10))</f>
        <v>5</v>
      </c>
      <c r="AQ106" s="13">
        <f>IF(IF($D106="Unlabeled-13",MCDM_Settings!$F$10,MCDM_Settings!$D$10)=0,"n.a.",(COUNTIF(X106:Y106,"Y")+COUNTIF(X106:Y106,"N"))/IF($D106="Unlabeled-13",MCDM_Settings!$F$10,MCDM_Settings!$D$10))</f>
        <v>0</v>
      </c>
      <c r="AR106" s="12">
        <f>IF(IF($D106="Unlabeled-13",MCDM_Settings!$F$11,MCDM_Settings!$D$11)=0,"n.a.",5*COUNTIF(Z106:AB106,"Y")/IF($D106="Unlabeled-13",MCDM_Settings!$F$11,MCDM_Settings!$D$11))</f>
        <v>0</v>
      </c>
      <c r="AS106" s="12">
        <f>IF(IF($D106="Unlabeled-13",MCDM_Settings!$F$11,MCDM_Settings!$D$11)=0,"n.a.",5*(COUNTIF(Z106:AB106,"Y")+COUNTIF(Z106:AB106,"U")+COUNTIF(Z106:AB106,"X"))/IF($D106="Unlabeled-13",MCDM_Settings!$F$11,MCDM_Settings!$D$11))</f>
        <v>5</v>
      </c>
      <c r="AT106" s="13">
        <f>IF(IF($D106="Unlabeled-13",MCDM_Settings!$F$11,MCDM_Settings!$D$11)=0,"n.a.",(COUNTIF(Z106:AB106,"Y")+COUNTIF(Z106:AB106,"N"))/IF($D106="Unlabeled-13",MCDM_Settings!$F$11,MCDM_Settings!$D$11))</f>
        <v>0</v>
      </c>
      <c r="AU106" s="5" t="str">
        <f>IF(AND(INDEX(Manual_Review!$G$6:$G$238,MATCH(A106,Manual_Review!$A$6:$A$238,0))&lt;&gt;"",ISNUMBER(INDEX(Manual_Review!$H$6:$H$238,MATCH(A106,Manual_Review!$A$6:$A$238,0))),INDEX(Manual_Review!$H$6:$H$238,MATCH(A106,Manual_Review!$A$6:$A$238,0))&gt;0,INDEX(Manual_Review!$I$6:$I$238,MATCH(A106,Manual_Review!$A$6:$A$238,0))="Confirmed",INDEX(Manual_Review!$AF$6:$AF$238,MATCH(A106,Manual_Review!$A$6:$A$238,0))&lt;&gt;""),IF(INDEX(Manual_Review!$AA$6:$AA$238,MATCH(A106,Manual_Review!$A$6:$A$238,0))="Pass","Pass",IF(INDEX(Manual_Review!$AA$6:$AA$238,MATCH(A106,Manual_Review!$A$6:$A$238,0))="Fail","Fail","Pending")),"Pending human identity confirmation")</f>
        <v>Pending human identity confirmation</v>
      </c>
      <c r="AV106" s="5" t="str">
        <f>IF(AND(AND(INDEX(Manual_Review!$G$6:$G$238,MATCH(A106,Manual_Review!$A$6:$A$238,0))&lt;&gt;"",ISNUMBER(INDEX(Manual_Review!$H$6:$H$238,MATCH(A106,Manual_Review!$A$6:$A$238,0))),INDEX(Manual_Review!$H$6:$H$238,MATCH(A106,Manual_Review!$A$6:$A$238,0))&gt;0,INDEX(Manual_Review!$I$6:$I$238,MATCH(A106,Manual_Review!$A$6:$A$238,0))="Confirmed",INDEX(Manual_Review!$AF$6:$AF$238,MATCH(A106,Manual_Review!$A$6:$A$238,0))&lt;&gt;""),INDEX(Manual_Review!$AG$6:$AG$238,MATCH(A106,Manual_Review!$A$6:$A$238,0))&lt;&gt;""),IF(INDEX(Manual_Review!$AB$6:$AB$238,MATCH(A106,Manual_Review!$A$6:$A$238,0))="Pass","Pass",IF(INDEX(Manual_Review!$AB$6:$AB$238,MATCH(A106,Manual_Review!$A$6:$A$238,0))="Fail","Fail","Pending")),"Not assessed: define intended task")</f>
        <v>Not assessed: define intended task</v>
      </c>
      <c r="AW106" s="5" t="str">
        <f>IF(AND(AND(INDEX(Manual_Review!$G$6:$G$238,MATCH(A106,Manual_Review!$A$6:$A$238,0))&lt;&gt;"",ISNUMBER(INDEX(Manual_Review!$H$6:$H$238,MATCH(A106,Manual_Review!$A$6:$A$238,0))),INDEX(Manual_Review!$H$6:$H$238,MATCH(A106,Manual_Review!$A$6:$A$238,0))&gt;0,INDEX(Manual_Review!$I$6:$I$238,MATCH(A106,Manual_Review!$A$6:$A$238,0))="Confirmed",INDEX(Manual_Review!$AF$6:$AF$238,MATCH(A106,Manual_Review!$A$6:$A$238,0))&lt;&gt;""),INDEX(Manual_Review!$AG$6:$AG$238,MATCH(A106,Manual_Review!$A$6:$A$238,0))&lt;&gt;""),IF(OR(INDEX(Manual_Review!$AC$6:$AC$238,MATCH(A106,Manual_Review!$A$6:$A$238,0))="Fail",INDEX(Manual_Review!$AD$6:$AD$238,MATCH(A106,Manual_Review!$A$6:$A$238,0))="Fail"),"Fail: rights or retrieval",IF(AND(INDEX(Manual_Review!$AC$6:$AC$238,MATCH(A106,Manual_Review!$A$6:$A$238,0))="Pass",INDEX(Manual_Review!$AD$6:$AD$238,MATCH(A106,Manual_Review!$A$6:$A$238,0))="Pass"),"Pass","Pending rights and retrieval")),"Pending rights and retrieval")</f>
        <v>Pending rights and retrieval</v>
      </c>
      <c r="AX106" s="5" t="str">
        <f>IF(INDEX(Manual_Review!$AG$6:$AG$238,MATCH(A106,Manual_Review!$A$6:$A$238,0))="","N/A: documentation inventory",IF(AND(INDEX(Manual_Review!$G$6:$G$238,MATCH(A106,Manual_Review!$A$6:$A$238,0))&lt;&gt;"",ISNUMBER(INDEX(Manual_Review!$H$6:$H$238,MATCH(A106,Manual_Review!$A$6:$A$238,0))),INDEX(Manual_Review!$H$6:$H$238,MATCH(A106,Manual_Review!$A$6:$A$238,0))&gt;0,INDEX(Manual_Review!$I$6:$I$238,MATCH(A106,Manual_Review!$A$6:$A$238,0))="Confirmed",INDEX(Manual_Review!$AF$6:$AF$238,MATCH(A106,Manual_Review!$A$6:$A$238,0))&lt;&gt;""),IF(INDEX(Manual_Review!$AE$6:$AE$238,MATCH(A106,Manual_Review!$A$6:$A$238,0))="Pass","Pass",IF(INDEX(Manual_Review!$AE$6:$AE$238,MATCH(A106,Manual_Review!$A$6:$A$238,0))="Fail","Fail: benchmark leakage",IF(INDEX(Manual_Review!$AE$6:$AE$238,MATCH(A106,Manual_Review!$A$6:$A$238,0))="N/A","N/A: nonbenchmark task","Pending task-specific leakage check"))),"Pending task-specific leakage check"))</f>
        <v>N/A: documentation inventory</v>
      </c>
      <c r="AY106" s="5" t="str">
        <f>IF(IF(D106="Unlabeled-13",AND(ABS(MCDM_Settings!$D$14-1)&lt;0.0000001,MIN(MCDM_Settings!$E$6:$E$11)&gt;=0,MCDM_Settings!$E$7=0),AND(ABS(MCDM_Settings!$B$14-1)&lt;0.0000001,MIN(MCDM_Settings!$C$6:$C$11)&gt;=0)),"Valid","Check weights")</f>
        <v>Valid</v>
      </c>
      <c r="AZ106" s="5" t="str">
        <f>IF(AND(COUNTIF(MCDM_Checks!$B$6:$B$3733,A106)=16,COUNTIF(Manual_Review!$A$6:$A$238,A106)=1),"16 keys present","Check key count")</f>
        <v>16 keys present</v>
      </c>
    </row>
    <row r="107" spans="1:52" ht="25.5">
      <c r="A107" s="5" t="s">
        <v>1232</v>
      </c>
      <c r="B107" s="5" t="s">
        <v>1233</v>
      </c>
      <c r="C107" s="5"/>
      <c r="D107" s="5" t="s">
        <v>118</v>
      </c>
      <c r="E107" s="12">
        <f>IF(OR(AY107&lt;&gt;"Valid",AZ107&lt;&gt;"16 keys present"),"Review settings",20*(IF(ISNUMBER(AC107),AC107*IF($D107="Unlabeled-13",MCDM_Settings!$E$6,MCDM_Settings!$C$6),0)+IF(ISNUMBER(AF107),AF107*IF($D107="Unlabeled-13",MCDM_Settings!$E$7,MCDM_Settings!$C$7),0)+IF(ISNUMBER(AI107),AI107*IF($D107="Unlabeled-13",MCDM_Settings!$E$8,MCDM_Settings!$C$8),0)+IF(ISNUMBER(AL107),AL107*IF($D107="Unlabeled-13",MCDM_Settings!$E$9,MCDM_Settings!$C$9),0)+IF(ISNUMBER(AO107),AO107*IF($D107="Unlabeled-13",MCDM_Settings!$E$10,MCDM_Settings!$C$10),0)+IF(ISNUMBER(AR107),AR107*IF($D107="Unlabeled-13",MCDM_Settings!$E$11,MCDM_Settings!$C$11),0)))</f>
        <v>27.777777777777779</v>
      </c>
      <c r="F107" s="12">
        <f>IF(OR(AY107&lt;&gt;"Valid",AZ107&lt;&gt;"16 keys present"),"Review settings",20*(IF(ISNUMBER(AD107),AD107*IF($D107="Unlabeled-13",MCDM_Settings!$E$6,MCDM_Settings!$C$6),0)+IF(ISNUMBER(AG107),AG107*IF($D107="Unlabeled-13",MCDM_Settings!$E$7,MCDM_Settings!$C$7),0)+IF(ISNUMBER(AJ107),AJ107*IF($D107="Unlabeled-13",MCDM_Settings!$E$8,MCDM_Settings!$C$8),0)+IF(ISNUMBER(AM107),AM107*IF($D107="Unlabeled-13",MCDM_Settings!$E$9,MCDM_Settings!$C$9),0)+IF(ISNUMBER(AP107),AP107*IF($D107="Unlabeled-13",MCDM_Settings!$E$10,MCDM_Settings!$C$10),0)+IF(ISNUMBER(AS107),AS107*IF($D107="Unlabeled-13",MCDM_Settings!$E$11,MCDM_Settings!$C$11),0)))</f>
        <v>99.999999999999986</v>
      </c>
      <c r="G107" s="13">
        <f>IF(OR(AY107&lt;&gt;"Valid",AZ107&lt;&gt;"16 keys present"),"Review settings",1*(IF(ISNUMBER(AE107),AE107*IF($D107="Unlabeled-13",MCDM_Settings!$E$6,MCDM_Settings!$C$6),0)+IF(ISNUMBER(AH107),AH107*IF($D107="Unlabeled-13",MCDM_Settings!$E$7,MCDM_Settings!$C$7),0)+IF(ISNUMBER(AK107),AK107*IF($D107="Unlabeled-13",MCDM_Settings!$E$8,MCDM_Settings!$C$8),0)+IF(ISNUMBER(AN107),AN107*IF($D107="Unlabeled-13",MCDM_Settings!$E$9,MCDM_Settings!$C$9),0)+IF(ISNUMBER(AQ107),AQ107*IF($D107="Unlabeled-13",MCDM_Settings!$E$10,MCDM_Settings!$C$10),0)+IF(ISNUMBER(AT107),AT107*IF($D107="Unlabeled-13",MCDM_Settings!$E$11,MCDM_Settings!$C$11),0)))</f>
        <v>0.27777777777777779</v>
      </c>
      <c r="H107" s="5" t="str">
        <f>INDEX(Manual_Review!$AH$6:$AH$238,MATCH(A107,Manual_Review!$A$6:$A$238,0))</f>
        <v>Not started</v>
      </c>
      <c r="I107" s="5" t="s">
        <v>128</v>
      </c>
      <c r="J107" s="5" t="s">
        <v>1234</v>
      </c>
      <c r="K107" s="5" t="str">
        <f>HYPERLINK("https://zenodo.org/records/10100129","Dataset")</f>
        <v>Dataset</v>
      </c>
      <c r="L107" s="5" t="str">
        <f>HYPERLINK("#'Manual_Review'!A"&amp;(MATCH("DS-102",Manual_Review!$A$6:$A$238,0)+5),"Enter review")</f>
        <v>Enter review</v>
      </c>
      <c r="M107" s="5" t="str">
        <f>INDEX(MCDM_Checks!$K$6:$K$3733,MATCH(A107&amp;"|"&amp;M$5,MCDM_Checks!$A$6:$A$3733,0))</f>
        <v>Y</v>
      </c>
      <c r="N107" s="5" t="str">
        <f>INDEX(MCDM_Checks!$K$6:$K$3733,MATCH(A107&amp;"|"&amp;N$5,MCDM_Checks!$A$6:$A$3733,0))</f>
        <v>Y</v>
      </c>
      <c r="O107" s="5" t="str">
        <f>INDEX(MCDM_Checks!$K$6:$K$3733,MATCH(A107&amp;"|"&amp;O$5,MCDM_Checks!$A$6:$A$3733,0))</f>
        <v>Y</v>
      </c>
      <c r="P107" s="5" t="str">
        <f>INDEX(MCDM_Checks!$K$6:$K$3733,MATCH(A107&amp;"|"&amp;P$5,MCDM_Checks!$A$6:$A$3733,0))</f>
        <v>U</v>
      </c>
      <c r="Q107" s="5" t="str">
        <f>INDEX(MCDM_Checks!$K$6:$K$3733,MATCH(A107&amp;"|"&amp;Q$5,MCDM_Checks!$A$6:$A$3733,0))</f>
        <v>U</v>
      </c>
      <c r="R107" s="5" t="str">
        <f>INDEX(MCDM_Checks!$K$6:$K$3733,MATCH(A107&amp;"|"&amp;R$5,MCDM_Checks!$A$6:$A$3733,0))</f>
        <v>U</v>
      </c>
      <c r="S107" s="5" t="str">
        <f>INDEX(MCDM_Checks!$K$6:$K$3733,MATCH(A107&amp;"|"&amp;S$5,MCDM_Checks!$A$6:$A$3733,0))</f>
        <v>U</v>
      </c>
      <c r="T107" s="5" t="str">
        <f>INDEX(MCDM_Checks!$K$6:$K$3733,MATCH(A107&amp;"|"&amp;T$5,MCDM_Checks!$A$6:$A$3733,0))</f>
        <v>Y</v>
      </c>
      <c r="U107" s="5" t="str">
        <f>INDEX(MCDM_Checks!$K$6:$K$3733,MATCH(A107&amp;"|"&amp;U$5,MCDM_Checks!$A$6:$A$3733,0))</f>
        <v>U</v>
      </c>
      <c r="V107" s="5" t="str">
        <f>INDEX(MCDM_Checks!$K$6:$K$3733,MATCH(A107&amp;"|"&amp;V$5,MCDM_Checks!$A$6:$A$3733,0))</f>
        <v>U</v>
      </c>
      <c r="W107" s="5" t="str">
        <f>INDEX(MCDM_Checks!$K$6:$K$3733,MATCH(A107&amp;"|"&amp;W$5,MCDM_Checks!$A$6:$A$3733,0))</f>
        <v>U</v>
      </c>
      <c r="X107" s="5" t="str">
        <f>INDEX(MCDM_Checks!$K$6:$K$3733,MATCH(A107&amp;"|"&amp;X$5,MCDM_Checks!$A$6:$A$3733,0))</f>
        <v>U</v>
      </c>
      <c r="Y107" s="5" t="str">
        <f>INDEX(MCDM_Checks!$K$6:$K$3733,MATCH(A107&amp;"|"&amp;Y$5,MCDM_Checks!$A$6:$A$3733,0))</f>
        <v>U</v>
      </c>
      <c r="Z107" s="5" t="str">
        <f>INDEX(MCDM_Checks!$K$6:$K$3733,MATCH(A107&amp;"|"&amp;Z$5,MCDM_Checks!$A$6:$A$3733,0))</f>
        <v>U</v>
      </c>
      <c r="AA107" s="5" t="str">
        <f>INDEX(MCDM_Checks!$K$6:$K$3733,MATCH(A107&amp;"|"&amp;AA$5,MCDM_Checks!$A$6:$A$3733,0))</f>
        <v>Y</v>
      </c>
      <c r="AB107" s="5" t="str">
        <f>INDEX(MCDM_Checks!$K$6:$K$3733,MATCH(A107&amp;"|"&amp;AB$5,MCDM_Checks!$A$6:$A$3733,0))</f>
        <v>U</v>
      </c>
      <c r="AC107" s="12">
        <f>IF(IF($D107="Unlabeled-13",MCDM_Settings!$F$6,MCDM_Settings!$D$6)=0,"n.a.",5*COUNTIF(M107:O107,"Y")/IF($D107="Unlabeled-13",MCDM_Settings!$F$6,MCDM_Settings!$D$6))</f>
        <v>5</v>
      </c>
      <c r="AD107" s="12">
        <f>IF(IF($D107="Unlabeled-13",MCDM_Settings!$F$6,MCDM_Settings!$D$6)=0,"n.a.",5*(COUNTIF(M107:O107,"Y")+COUNTIF(M107:O107,"U")+COUNTIF(M107:O107,"X"))/IF($D107="Unlabeled-13",MCDM_Settings!$F$6,MCDM_Settings!$D$6))</f>
        <v>5</v>
      </c>
      <c r="AE107" s="13">
        <f>IF(IF($D107="Unlabeled-13",MCDM_Settings!$F$6,MCDM_Settings!$D$6)=0,"n.a.",(COUNTIF(M107:O107,"Y")+COUNTIF(M107:O107,"N"))/IF($D107="Unlabeled-13",MCDM_Settings!$F$6,MCDM_Settings!$D$6))</f>
        <v>1</v>
      </c>
      <c r="AF107" s="12">
        <f>IF(IF($D107="Unlabeled-13",MCDM_Settings!$F$7,MCDM_Settings!$D$7)=0,"n.a.",5*COUNTIF(P107:R107,"Y")/IF($D107="Unlabeled-13",MCDM_Settings!$F$7,MCDM_Settings!$D$7))</f>
        <v>0</v>
      </c>
      <c r="AG107" s="12">
        <f>IF(IF($D107="Unlabeled-13",MCDM_Settings!$F$7,MCDM_Settings!$D$7)=0,"n.a.",5*(COUNTIF(P107:R107,"Y")+COUNTIF(P107:R107,"U")+COUNTIF(P107:R107,"X"))/IF($D107="Unlabeled-13",MCDM_Settings!$F$7,MCDM_Settings!$D$7))</f>
        <v>5</v>
      </c>
      <c r="AH107" s="13">
        <f>IF(IF($D107="Unlabeled-13",MCDM_Settings!$F$7,MCDM_Settings!$D$7)=0,"n.a.",(COUNTIF(P107:R107,"Y")+COUNTIF(P107:R107,"N"))/IF($D107="Unlabeled-13",MCDM_Settings!$F$7,MCDM_Settings!$D$7))</f>
        <v>0</v>
      </c>
      <c r="AI107" s="12">
        <f>IF(IF($D107="Unlabeled-13",MCDM_Settings!$F$8,MCDM_Settings!$D$8)=0,"n.a.",5*COUNTIF(S107:U107,"Y")/IF($D107="Unlabeled-13",MCDM_Settings!$F$8,MCDM_Settings!$D$8))</f>
        <v>1.6666666666666667</v>
      </c>
      <c r="AJ107" s="12">
        <f>IF(IF($D107="Unlabeled-13",MCDM_Settings!$F$8,MCDM_Settings!$D$8)=0,"n.a.",5*(COUNTIF(S107:U107,"Y")+COUNTIF(S107:U107,"U")+COUNTIF(S107:U107,"X"))/IF($D107="Unlabeled-13",MCDM_Settings!$F$8,MCDM_Settings!$D$8))</f>
        <v>5</v>
      </c>
      <c r="AK107" s="13">
        <f>IF(IF($D107="Unlabeled-13",MCDM_Settings!$F$8,MCDM_Settings!$D$8)=0,"n.a.",(COUNTIF(S107:U107,"Y")+COUNTIF(S107:U107,"N"))/IF($D107="Unlabeled-13",MCDM_Settings!$F$8,MCDM_Settings!$D$8))</f>
        <v>0.33333333333333331</v>
      </c>
      <c r="AL107" s="12">
        <f>IF(IF($D107="Unlabeled-13",MCDM_Settings!$F$9,MCDM_Settings!$D$9)=0,"n.a.",5*COUNTIF(V107:W107,"Y")/IF($D107="Unlabeled-13",MCDM_Settings!$F$9,MCDM_Settings!$D$9))</f>
        <v>0</v>
      </c>
      <c r="AM107" s="12">
        <f>IF(IF($D107="Unlabeled-13",MCDM_Settings!$F$9,MCDM_Settings!$D$9)=0,"n.a.",5*(COUNTIF(V107:W107,"Y")+COUNTIF(V107:W107,"U")+COUNTIF(V107:W107,"X"))/IF($D107="Unlabeled-13",MCDM_Settings!$F$9,MCDM_Settings!$D$9))</f>
        <v>5</v>
      </c>
      <c r="AN107" s="13">
        <f>IF(IF($D107="Unlabeled-13",MCDM_Settings!$F$9,MCDM_Settings!$D$9)=0,"n.a.",(COUNTIF(V107:W107,"Y")+COUNTIF(V107:W107,"N"))/IF($D107="Unlabeled-13",MCDM_Settings!$F$9,MCDM_Settings!$D$9))</f>
        <v>0</v>
      </c>
      <c r="AO107" s="12">
        <f>IF(IF($D107="Unlabeled-13",MCDM_Settings!$F$10,MCDM_Settings!$D$10)=0,"n.a.",5*COUNTIF(X107:Y107,"Y")/IF($D107="Unlabeled-13",MCDM_Settings!$F$10,MCDM_Settings!$D$10))</f>
        <v>0</v>
      </c>
      <c r="AP107" s="12">
        <f>IF(IF($D107="Unlabeled-13",MCDM_Settings!$F$10,MCDM_Settings!$D$10)=0,"n.a.",5*(COUNTIF(X107:Y107,"Y")+COUNTIF(X107:Y107,"U")+COUNTIF(X107:Y107,"X"))/IF($D107="Unlabeled-13",MCDM_Settings!$F$10,MCDM_Settings!$D$10))</f>
        <v>5</v>
      </c>
      <c r="AQ107" s="13">
        <f>IF(IF($D107="Unlabeled-13",MCDM_Settings!$F$10,MCDM_Settings!$D$10)=0,"n.a.",(COUNTIF(X107:Y107,"Y")+COUNTIF(X107:Y107,"N"))/IF($D107="Unlabeled-13",MCDM_Settings!$F$10,MCDM_Settings!$D$10))</f>
        <v>0</v>
      </c>
      <c r="AR107" s="12">
        <f>IF(IF($D107="Unlabeled-13",MCDM_Settings!$F$11,MCDM_Settings!$D$11)=0,"n.a.",5*COUNTIF(Z107:AB107,"Y")/IF($D107="Unlabeled-13",MCDM_Settings!$F$11,MCDM_Settings!$D$11))</f>
        <v>1.6666666666666667</v>
      </c>
      <c r="AS107" s="12">
        <f>IF(IF($D107="Unlabeled-13",MCDM_Settings!$F$11,MCDM_Settings!$D$11)=0,"n.a.",5*(COUNTIF(Z107:AB107,"Y")+COUNTIF(Z107:AB107,"U")+COUNTIF(Z107:AB107,"X"))/IF($D107="Unlabeled-13",MCDM_Settings!$F$11,MCDM_Settings!$D$11))</f>
        <v>5</v>
      </c>
      <c r="AT107" s="13">
        <f>IF(IF($D107="Unlabeled-13",MCDM_Settings!$F$11,MCDM_Settings!$D$11)=0,"n.a.",(COUNTIF(Z107:AB107,"Y")+COUNTIF(Z107:AB107,"N"))/IF($D107="Unlabeled-13",MCDM_Settings!$F$11,MCDM_Settings!$D$11))</f>
        <v>0.33333333333333331</v>
      </c>
      <c r="AU107" s="5" t="str">
        <f>IF(AND(INDEX(Manual_Review!$G$6:$G$238,MATCH(A107,Manual_Review!$A$6:$A$238,0))&lt;&gt;"",ISNUMBER(INDEX(Manual_Review!$H$6:$H$238,MATCH(A107,Manual_Review!$A$6:$A$238,0))),INDEX(Manual_Review!$H$6:$H$238,MATCH(A107,Manual_Review!$A$6:$A$238,0))&gt;0,INDEX(Manual_Review!$I$6:$I$238,MATCH(A107,Manual_Review!$A$6:$A$238,0))="Confirmed",INDEX(Manual_Review!$AF$6:$AF$238,MATCH(A107,Manual_Review!$A$6:$A$238,0))&lt;&gt;""),IF(INDEX(Manual_Review!$AA$6:$AA$238,MATCH(A107,Manual_Review!$A$6:$A$238,0))="Pass","Pass",IF(INDEX(Manual_Review!$AA$6:$AA$238,MATCH(A107,Manual_Review!$A$6:$A$238,0))="Fail","Fail","Pending")),"Pending human identity confirmation")</f>
        <v>Pending human identity confirmation</v>
      </c>
      <c r="AV107" s="5" t="str">
        <f>IF(AND(AND(INDEX(Manual_Review!$G$6:$G$238,MATCH(A107,Manual_Review!$A$6:$A$238,0))&lt;&gt;"",ISNUMBER(INDEX(Manual_Review!$H$6:$H$238,MATCH(A107,Manual_Review!$A$6:$A$238,0))),INDEX(Manual_Review!$H$6:$H$238,MATCH(A107,Manual_Review!$A$6:$A$238,0))&gt;0,INDEX(Manual_Review!$I$6:$I$238,MATCH(A107,Manual_Review!$A$6:$A$238,0))="Confirmed",INDEX(Manual_Review!$AF$6:$AF$238,MATCH(A107,Manual_Review!$A$6:$A$238,0))&lt;&gt;""),INDEX(Manual_Review!$AG$6:$AG$238,MATCH(A107,Manual_Review!$A$6:$A$238,0))&lt;&gt;""),IF(INDEX(Manual_Review!$AB$6:$AB$238,MATCH(A107,Manual_Review!$A$6:$A$238,0))="Pass","Pass",IF(INDEX(Manual_Review!$AB$6:$AB$238,MATCH(A107,Manual_Review!$A$6:$A$238,0))="Fail","Fail","Pending")),"Not assessed: define intended task")</f>
        <v>Not assessed: define intended task</v>
      </c>
      <c r="AW107" s="5" t="str">
        <f>IF(AND(AND(INDEX(Manual_Review!$G$6:$G$238,MATCH(A107,Manual_Review!$A$6:$A$238,0))&lt;&gt;"",ISNUMBER(INDEX(Manual_Review!$H$6:$H$238,MATCH(A107,Manual_Review!$A$6:$A$238,0))),INDEX(Manual_Review!$H$6:$H$238,MATCH(A107,Manual_Review!$A$6:$A$238,0))&gt;0,INDEX(Manual_Review!$I$6:$I$238,MATCH(A107,Manual_Review!$A$6:$A$238,0))="Confirmed",INDEX(Manual_Review!$AF$6:$AF$238,MATCH(A107,Manual_Review!$A$6:$A$238,0))&lt;&gt;""),INDEX(Manual_Review!$AG$6:$AG$238,MATCH(A107,Manual_Review!$A$6:$A$238,0))&lt;&gt;""),IF(OR(INDEX(Manual_Review!$AC$6:$AC$238,MATCH(A107,Manual_Review!$A$6:$A$238,0))="Fail",INDEX(Manual_Review!$AD$6:$AD$238,MATCH(A107,Manual_Review!$A$6:$A$238,0))="Fail"),"Fail: rights or retrieval",IF(AND(INDEX(Manual_Review!$AC$6:$AC$238,MATCH(A107,Manual_Review!$A$6:$A$238,0))="Pass",INDEX(Manual_Review!$AD$6:$AD$238,MATCH(A107,Manual_Review!$A$6:$A$238,0))="Pass"),"Pass","Pending rights and retrieval")),"Pending rights and retrieval")</f>
        <v>Pending rights and retrieval</v>
      </c>
      <c r="AX107" s="5" t="str">
        <f>IF(INDEX(Manual_Review!$AG$6:$AG$238,MATCH(A107,Manual_Review!$A$6:$A$238,0))="","N/A: documentation inventory",IF(AND(INDEX(Manual_Review!$G$6:$G$238,MATCH(A107,Manual_Review!$A$6:$A$238,0))&lt;&gt;"",ISNUMBER(INDEX(Manual_Review!$H$6:$H$238,MATCH(A107,Manual_Review!$A$6:$A$238,0))),INDEX(Manual_Review!$H$6:$H$238,MATCH(A107,Manual_Review!$A$6:$A$238,0))&gt;0,INDEX(Manual_Review!$I$6:$I$238,MATCH(A107,Manual_Review!$A$6:$A$238,0))="Confirmed",INDEX(Manual_Review!$AF$6:$AF$238,MATCH(A107,Manual_Review!$A$6:$A$238,0))&lt;&gt;""),IF(INDEX(Manual_Review!$AE$6:$AE$238,MATCH(A107,Manual_Review!$A$6:$A$238,0))="Pass","Pass",IF(INDEX(Manual_Review!$AE$6:$AE$238,MATCH(A107,Manual_Review!$A$6:$A$238,0))="Fail","Fail: benchmark leakage",IF(INDEX(Manual_Review!$AE$6:$AE$238,MATCH(A107,Manual_Review!$A$6:$A$238,0))="N/A","N/A: nonbenchmark task","Pending task-specific leakage check"))),"Pending task-specific leakage check"))</f>
        <v>N/A: documentation inventory</v>
      </c>
      <c r="AY107" s="5" t="str">
        <f>IF(IF(D107="Unlabeled-13",AND(ABS(MCDM_Settings!$D$14-1)&lt;0.0000001,MIN(MCDM_Settings!$E$6:$E$11)&gt;=0,MCDM_Settings!$E$7=0),AND(ABS(MCDM_Settings!$B$14-1)&lt;0.0000001,MIN(MCDM_Settings!$C$6:$C$11)&gt;=0)),"Valid","Check weights")</f>
        <v>Valid</v>
      </c>
      <c r="AZ107" s="5" t="str">
        <f>IF(AND(COUNTIF(MCDM_Checks!$B$6:$B$3733,A107)=16,COUNTIF(Manual_Review!$A$6:$A$238,A107)=1),"16 keys present","Check key count")</f>
        <v>16 keys present</v>
      </c>
    </row>
    <row r="108" spans="1:52">
      <c r="A108" s="5" t="s">
        <v>1244</v>
      </c>
      <c r="B108" s="5" t="s">
        <v>1245</v>
      </c>
      <c r="C108" s="5"/>
      <c r="D108" s="5" t="s">
        <v>118</v>
      </c>
      <c r="E108" s="12">
        <f>IF(OR(AY108&lt;&gt;"Valid",AZ108&lt;&gt;"16 keys present"),"Review settings",20*(IF(ISNUMBER(AC108),AC108*IF($D108="Unlabeled-13",MCDM_Settings!$E$6,MCDM_Settings!$C$6),0)+IF(ISNUMBER(AF108),AF108*IF($D108="Unlabeled-13",MCDM_Settings!$E$7,MCDM_Settings!$C$7),0)+IF(ISNUMBER(AI108),AI108*IF($D108="Unlabeled-13",MCDM_Settings!$E$8,MCDM_Settings!$C$8),0)+IF(ISNUMBER(AL108),AL108*IF($D108="Unlabeled-13",MCDM_Settings!$E$9,MCDM_Settings!$C$9),0)+IF(ISNUMBER(AO108),AO108*IF($D108="Unlabeled-13",MCDM_Settings!$E$10,MCDM_Settings!$C$10),0)+IF(ISNUMBER(AR108),AR108*IF($D108="Unlabeled-13",MCDM_Settings!$E$11,MCDM_Settings!$C$11),0)))</f>
        <v>38.888888888888886</v>
      </c>
      <c r="F108" s="12">
        <f>IF(OR(AY108&lt;&gt;"Valid",AZ108&lt;&gt;"16 keys present"),"Review settings",20*(IF(ISNUMBER(AD108),AD108*IF($D108="Unlabeled-13",MCDM_Settings!$E$6,MCDM_Settings!$C$6),0)+IF(ISNUMBER(AG108),AG108*IF($D108="Unlabeled-13",MCDM_Settings!$E$7,MCDM_Settings!$C$7),0)+IF(ISNUMBER(AJ108),AJ108*IF($D108="Unlabeled-13",MCDM_Settings!$E$8,MCDM_Settings!$C$8),0)+IF(ISNUMBER(AM108),AM108*IF($D108="Unlabeled-13",MCDM_Settings!$E$9,MCDM_Settings!$C$9),0)+IF(ISNUMBER(AP108),AP108*IF($D108="Unlabeled-13",MCDM_Settings!$E$10,MCDM_Settings!$C$10),0)+IF(ISNUMBER(AS108),AS108*IF($D108="Unlabeled-13",MCDM_Settings!$E$11,MCDM_Settings!$C$11),0)))</f>
        <v>99.999999999999986</v>
      </c>
      <c r="G108" s="13">
        <f>IF(OR(AY108&lt;&gt;"Valid",AZ108&lt;&gt;"16 keys present"),"Review settings",1*(IF(ISNUMBER(AE108),AE108*IF($D108="Unlabeled-13",MCDM_Settings!$E$6,MCDM_Settings!$C$6),0)+IF(ISNUMBER(AH108),AH108*IF($D108="Unlabeled-13",MCDM_Settings!$E$7,MCDM_Settings!$C$7),0)+IF(ISNUMBER(AK108),AK108*IF($D108="Unlabeled-13",MCDM_Settings!$E$8,MCDM_Settings!$C$8),0)+IF(ISNUMBER(AN108),AN108*IF($D108="Unlabeled-13",MCDM_Settings!$E$9,MCDM_Settings!$C$9),0)+IF(ISNUMBER(AQ108),AQ108*IF($D108="Unlabeled-13",MCDM_Settings!$E$10,MCDM_Settings!$C$10),0)+IF(ISNUMBER(AT108),AT108*IF($D108="Unlabeled-13",MCDM_Settings!$E$11,MCDM_Settings!$C$11),0)))</f>
        <v>0.38888888888888884</v>
      </c>
      <c r="H108" s="5" t="str">
        <f>INDEX(Manual_Review!$AH$6:$AH$238,MATCH(A108,Manual_Review!$A$6:$A$238,0))</f>
        <v>Not started</v>
      </c>
      <c r="I108" s="5" t="s">
        <v>128</v>
      </c>
      <c r="J108" s="5" t="s">
        <v>1070</v>
      </c>
      <c r="K108" s="5" t="str">
        <f>HYPERLINK("https://huggingface.co/datasets/taroii/pothole-detection","Dataset")</f>
        <v>Dataset</v>
      </c>
      <c r="L108" s="5" t="str">
        <f>HYPERLINK("#'Manual_Review'!A"&amp;(MATCH("DS-103",Manual_Review!$A$6:$A$238,0)+5),"Enter review")</f>
        <v>Enter review</v>
      </c>
      <c r="M108" s="5" t="str">
        <f>INDEX(MCDM_Checks!$K$6:$K$3733,MATCH(A108&amp;"|"&amp;M$5,MCDM_Checks!$A$6:$A$3733,0))</f>
        <v>Y</v>
      </c>
      <c r="N108" s="5" t="str">
        <f>INDEX(MCDM_Checks!$K$6:$K$3733,MATCH(A108&amp;"|"&amp;N$5,MCDM_Checks!$A$6:$A$3733,0))</f>
        <v>Y</v>
      </c>
      <c r="O108" s="5" t="str">
        <f>INDEX(MCDM_Checks!$K$6:$K$3733,MATCH(A108&amp;"|"&amp;O$5,MCDM_Checks!$A$6:$A$3733,0))</f>
        <v>U</v>
      </c>
      <c r="P108" s="5" t="str">
        <f>INDEX(MCDM_Checks!$K$6:$K$3733,MATCH(A108&amp;"|"&amp;P$5,MCDM_Checks!$A$6:$A$3733,0))</f>
        <v>Y</v>
      </c>
      <c r="Q108" s="5" t="str">
        <f>INDEX(MCDM_Checks!$K$6:$K$3733,MATCH(A108&amp;"|"&amp;Q$5,MCDM_Checks!$A$6:$A$3733,0))</f>
        <v>U</v>
      </c>
      <c r="R108" s="5" t="str">
        <f>INDEX(MCDM_Checks!$K$6:$K$3733,MATCH(A108&amp;"|"&amp;R$5,MCDM_Checks!$A$6:$A$3733,0))</f>
        <v>U</v>
      </c>
      <c r="S108" s="5" t="str">
        <f>INDEX(MCDM_Checks!$K$6:$K$3733,MATCH(A108&amp;"|"&amp;S$5,MCDM_Checks!$A$6:$A$3733,0))</f>
        <v>Y</v>
      </c>
      <c r="T108" s="5" t="str">
        <f>INDEX(MCDM_Checks!$K$6:$K$3733,MATCH(A108&amp;"|"&amp;T$5,MCDM_Checks!$A$6:$A$3733,0))</f>
        <v>U</v>
      </c>
      <c r="U108" s="5" t="str">
        <f>INDEX(MCDM_Checks!$K$6:$K$3733,MATCH(A108&amp;"|"&amp;U$5,MCDM_Checks!$A$6:$A$3733,0))</f>
        <v>U</v>
      </c>
      <c r="V108" s="5" t="str">
        <f>INDEX(MCDM_Checks!$K$6:$K$3733,MATCH(A108&amp;"|"&amp;V$5,MCDM_Checks!$A$6:$A$3733,0))</f>
        <v>Y</v>
      </c>
      <c r="W108" s="5" t="str">
        <f>INDEX(MCDM_Checks!$K$6:$K$3733,MATCH(A108&amp;"|"&amp;W$5,MCDM_Checks!$A$6:$A$3733,0))</f>
        <v>Y</v>
      </c>
      <c r="X108" s="5" t="str">
        <f>INDEX(MCDM_Checks!$K$6:$K$3733,MATCH(A108&amp;"|"&amp;X$5,MCDM_Checks!$A$6:$A$3733,0))</f>
        <v>U</v>
      </c>
      <c r="Y108" s="5" t="str">
        <f>INDEX(MCDM_Checks!$K$6:$K$3733,MATCH(A108&amp;"|"&amp;Y$5,MCDM_Checks!$A$6:$A$3733,0))</f>
        <v>U</v>
      </c>
      <c r="Z108" s="5" t="str">
        <f>INDEX(MCDM_Checks!$K$6:$K$3733,MATCH(A108&amp;"|"&amp;Z$5,MCDM_Checks!$A$6:$A$3733,0))</f>
        <v>U</v>
      </c>
      <c r="AA108" s="5" t="str">
        <f>INDEX(MCDM_Checks!$K$6:$K$3733,MATCH(A108&amp;"|"&amp;AA$5,MCDM_Checks!$A$6:$A$3733,0))</f>
        <v>U</v>
      </c>
      <c r="AB108" s="5" t="str">
        <f>INDEX(MCDM_Checks!$K$6:$K$3733,MATCH(A108&amp;"|"&amp;AB$5,MCDM_Checks!$A$6:$A$3733,0))</f>
        <v>U</v>
      </c>
      <c r="AC108" s="12">
        <f>IF(IF($D108="Unlabeled-13",MCDM_Settings!$F$6,MCDM_Settings!$D$6)=0,"n.a.",5*COUNTIF(M108:O108,"Y")/IF($D108="Unlabeled-13",MCDM_Settings!$F$6,MCDM_Settings!$D$6))</f>
        <v>3.3333333333333335</v>
      </c>
      <c r="AD108" s="12">
        <f>IF(IF($D108="Unlabeled-13",MCDM_Settings!$F$6,MCDM_Settings!$D$6)=0,"n.a.",5*(COUNTIF(M108:O108,"Y")+COUNTIF(M108:O108,"U")+COUNTIF(M108:O108,"X"))/IF($D108="Unlabeled-13",MCDM_Settings!$F$6,MCDM_Settings!$D$6))</f>
        <v>5</v>
      </c>
      <c r="AE108" s="13">
        <f>IF(IF($D108="Unlabeled-13",MCDM_Settings!$F$6,MCDM_Settings!$D$6)=0,"n.a.",(COUNTIF(M108:O108,"Y")+COUNTIF(M108:O108,"N"))/IF($D108="Unlabeled-13",MCDM_Settings!$F$6,MCDM_Settings!$D$6))</f>
        <v>0.66666666666666663</v>
      </c>
      <c r="AF108" s="12">
        <f>IF(IF($D108="Unlabeled-13",MCDM_Settings!$F$7,MCDM_Settings!$D$7)=0,"n.a.",5*COUNTIF(P108:R108,"Y")/IF($D108="Unlabeled-13",MCDM_Settings!$F$7,MCDM_Settings!$D$7))</f>
        <v>1.6666666666666667</v>
      </c>
      <c r="AG108" s="12">
        <f>IF(IF($D108="Unlabeled-13",MCDM_Settings!$F$7,MCDM_Settings!$D$7)=0,"n.a.",5*(COUNTIF(P108:R108,"Y")+COUNTIF(P108:R108,"U")+COUNTIF(P108:R108,"X"))/IF($D108="Unlabeled-13",MCDM_Settings!$F$7,MCDM_Settings!$D$7))</f>
        <v>5</v>
      </c>
      <c r="AH108" s="13">
        <f>IF(IF($D108="Unlabeled-13",MCDM_Settings!$F$7,MCDM_Settings!$D$7)=0,"n.a.",(COUNTIF(P108:R108,"Y")+COUNTIF(P108:R108,"N"))/IF($D108="Unlabeled-13",MCDM_Settings!$F$7,MCDM_Settings!$D$7))</f>
        <v>0.33333333333333331</v>
      </c>
      <c r="AI108" s="12">
        <f>IF(IF($D108="Unlabeled-13",MCDM_Settings!$F$8,MCDM_Settings!$D$8)=0,"n.a.",5*COUNTIF(S108:U108,"Y")/IF($D108="Unlabeled-13",MCDM_Settings!$F$8,MCDM_Settings!$D$8))</f>
        <v>1.6666666666666667</v>
      </c>
      <c r="AJ108" s="12">
        <f>IF(IF($D108="Unlabeled-13",MCDM_Settings!$F$8,MCDM_Settings!$D$8)=0,"n.a.",5*(COUNTIF(S108:U108,"Y")+COUNTIF(S108:U108,"U")+COUNTIF(S108:U108,"X"))/IF($D108="Unlabeled-13",MCDM_Settings!$F$8,MCDM_Settings!$D$8))</f>
        <v>5</v>
      </c>
      <c r="AK108" s="13">
        <f>IF(IF($D108="Unlabeled-13",MCDM_Settings!$F$8,MCDM_Settings!$D$8)=0,"n.a.",(COUNTIF(S108:U108,"Y")+COUNTIF(S108:U108,"N"))/IF($D108="Unlabeled-13",MCDM_Settings!$F$8,MCDM_Settings!$D$8))</f>
        <v>0.33333333333333331</v>
      </c>
      <c r="AL108" s="12">
        <f>IF(IF($D108="Unlabeled-13",MCDM_Settings!$F$9,MCDM_Settings!$D$9)=0,"n.a.",5*COUNTIF(V108:W108,"Y")/IF($D108="Unlabeled-13",MCDM_Settings!$F$9,MCDM_Settings!$D$9))</f>
        <v>5</v>
      </c>
      <c r="AM108" s="12">
        <f>IF(IF($D108="Unlabeled-13",MCDM_Settings!$F$9,MCDM_Settings!$D$9)=0,"n.a.",5*(COUNTIF(V108:W108,"Y")+COUNTIF(V108:W108,"U")+COUNTIF(V108:W108,"X"))/IF($D108="Unlabeled-13",MCDM_Settings!$F$9,MCDM_Settings!$D$9))</f>
        <v>5</v>
      </c>
      <c r="AN108" s="13">
        <f>IF(IF($D108="Unlabeled-13",MCDM_Settings!$F$9,MCDM_Settings!$D$9)=0,"n.a.",(COUNTIF(V108:W108,"Y")+COUNTIF(V108:W108,"N"))/IF($D108="Unlabeled-13",MCDM_Settings!$F$9,MCDM_Settings!$D$9))</f>
        <v>1</v>
      </c>
      <c r="AO108" s="12">
        <f>IF(IF($D108="Unlabeled-13",MCDM_Settings!$F$10,MCDM_Settings!$D$10)=0,"n.a.",5*COUNTIF(X108:Y108,"Y")/IF($D108="Unlabeled-13",MCDM_Settings!$F$10,MCDM_Settings!$D$10))</f>
        <v>0</v>
      </c>
      <c r="AP108" s="12">
        <f>IF(IF($D108="Unlabeled-13",MCDM_Settings!$F$10,MCDM_Settings!$D$10)=0,"n.a.",5*(COUNTIF(X108:Y108,"Y")+COUNTIF(X108:Y108,"U")+COUNTIF(X108:Y108,"X"))/IF($D108="Unlabeled-13",MCDM_Settings!$F$10,MCDM_Settings!$D$10))</f>
        <v>5</v>
      </c>
      <c r="AQ108" s="13">
        <f>IF(IF($D108="Unlabeled-13",MCDM_Settings!$F$10,MCDM_Settings!$D$10)=0,"n.a.",(COUNTIF(X108:Y108,"Y")+COUNTIF(X108:Y108,"N"))/IF($D108="Unlabeled-13",MCDM_Settings!$F$10,MCDM_Settings!$D$10))</f>
        <v>0</v>
      </c>
      <c r="AR108" s="12">
        <f>IF(IF($D108="Unlabeled-13",MCDM_Settings!$F$11,MCDM_Settings!$D$11)=0,"n.a.",5*COUNTIF(Z108:AB108,"Y")/IF($D108="Unlabeled-13",MCDM_Settings!$F$11,MCDM_Settings!$D$11))</f>
        <v>0</v>
      </c>
      <c r="AS108" s="12">
        <f>IF(IF($D108="Unlabeled-13",MCDM_Settings!$F$11,MCDM_Settings!$D$11)=0,"n.a.",5*(COUNTIF(Z108:AB108,"Y")+COUNTIF(Z108:AB108,"U")+COUNTIF(Z108:AB108,"X"))/IF($D108="Unlabeled-13",MCDM_Settings!$F$11,MCDM_Settings!$D$11))</f>
        <v>5</v>
      </c>
      <c r="AT108" s="13">
        <f>IF(IF($D108="Unlabeled-13",MCDM_Settings!$F$11,MCDM_Settings!$D$11)=0,"n.a.",(COUNTIF(Z108:AB108,"Y")+COUNTIF(Z108:AB108,"N"))/IF($D108="Unlabeled-13",MCDM_Settings!$F$11,MCDM_Settings!$D$11))</f>
        <v>0</v>
      </c>
      <c r="AU108" s="5" t="str">
        <f>IF(AND(INDEX(Manual_Review!$G$6:$G$238,MATCH(A108,Manual_Review!$A$6:$A$238,0))&lt;&gt;"",ISNUMBER(INDEX(Manual_Review!$H$6:$H$238,MATCH(A108,Manual_Review!$A$6:$A$238,0))),INDEX(Manual_Review!$H$6:$H$238,MATCH(A108,Manual_Review!$A$6:$A$238,0))&gt;0,INDEX(Manual_Review!$I$6:$I$238,MATCH(A108,Manual_Review!$A$6:$A$238,0))="Confirmed",INDEX(Manual_Review!$AF$6:$AF$238,MATCH(A108,Manual_Review!$A$6:$A$238,0))&lt;&gt;""),IF(INDEX(Manual_Review!$AA$6:$AA$238,MATCH(A108,Manual_Review!$A$6:$A$238,0))="Pass","Pass",IF(INDEX(Manual_Review!$AA$6:$AA$238,MATCH(A108,Manual_Review!$A$6:$A$238,0))="Fail","Fail","Pending")),"Pending human identity confirmation")</f>
        <v>Pending human identity confirmation</v>
      </c>
      <c r="AV108" s="5" t="str">
        <f>IF(AND(AND(INDEX(Manual_Review!$G$6:$G$238,MATCH(A108,Manual_Review!$A$6:$A$238,0))&lt;&gt;"",ISNUMBER(INDEX(Manual_Review!$H$6:$H$238,MATCH(A108,Manual_Review!$A$6:$A$238,0))),INDEX(Manual_Review!$H$6:$H$238,MATCH(A108,Manual_Review!$A$6:$A$238,0))&gt;0,INDEX(Manual_Review!$I$6:$I$238,MATCH(A108,Manual_Review!$A$6:$A$238,0))="Confirmed",INDEX(Manual_Review!$AF$6:$AF$238,MATCH(A108,Manual_Review!$A$6:$A$238,0))&lt;&gt;""),INDEX(Manual_Review!$AG$6:$AG$238,MATCH(A108,Manual_Review!$A$6:$A$238,0))&lt;&gt;""),IF(INDEX(Manual_Review!$AB$6:$AB$238,MATCH(A108,Manual_Review!$A$6:$A$238,0))="Pass","Pass",IF(INDEX(Manual_Review!$AB$6:$AB$238,MATCH(A108,Manual_Review!$A$6:$A$238,0))="Fail","Fail","Pending")),"Not assessed: define intended task")</f>
        <v>Not assessed: define intended task</v>
      </c>
      <c r="AW108" s="5" t="str">
        <f>IF(AND(AND(INDEX(Manual_Review!$G$6:$G$238,MATCH(A108,Manual_Review!$A$6:$A$238,0))&lt;&gt;"",ISNUMBER(INDEX(Manual_Review!$H$6:$H$238,MATCH(A108,Manual_Review!$A$6:$A$238,0))),INDEX(Manual_Review!$H$6:$H$238,MATCH(A108,Manual_Review!$A$6:$A$238,0))&gt;0,INDEX(Manual_Review!$I$6:$I$238,MATCH(A108,Manual_Review!$A$6:$A$238,0))="Confirmed",INDEX(Manual_Review!$AF$6:$AF$238,MATCH(A108,Manual_Review!$A$6:$A$238,0))&lt;&gt;""),INDEX(Manual_Review!$AG$6:$AG$238,MATCH(A108,Manual_Review!$A$6:$A$238,0))&lt;&gt;""),IF(OR(INDEX(Manual_Review!$AC$6:$AC$238,MATCH(A108,Manual_Review!$A$6:$A$238,0))="Fail",INDEX(Manual_Review!$AD$6:$AD$238,MATCH(A108,Manual_Review!$A$6:$A$238,0))="Fail"),"Fail: rights or retrieval",IF(AND(INDEX(Manual_Review!$AC$6:$AC$238,MATCH(A108,Manual_Review!$A$6:$A$238,0))="Pass",INDEX(Manual_Review!$AD$6:$AD$238,MATCH(A108,Manual_Review!$A$6:$A$238,0))="Pass"),"Pass","Pending rights and retrieval")),"Pending rights and retrieval")</f>
        <v>Pending rights and retrieval</v>
      </c>
      <c r="AX108" s="5" t="str">
        <f>IF(INDEX(Manual_Review!$AG$6:$AG$238,MATCH(A108,Manual_Review!$A$6:$A$238,0))="","N/A: documentation inventory",IF(AND(INDEX(Manual_Review!$G$6:$G$238,MATCH(A108,Manual_Review!$A$6:$A$238,0))&lt;&gt;"",ISNUMBER(INDEX(Manual_Review!$H$6:$H$238,MATCH(A108,Manual_Review!$A$6:$A$238,0))),INDEX(Manual_Review!$H$6:$H$238,MATCH(A108,Manual_Review!$A$6:$A$238,0))&gt;0,INDEX(Manual_Review!$I$6:$I$238,MATCH(A108,Manual_Review!$A$6:$A$238,0))="Confirmed",INDEX(Manual_Review!$AF$6:$AF$238,MATCH(A108,Manual_Review!$A$6:$A$238,0))&lt;&gt;""),IF(INDEX(Manual_Review!$AE$6:$AE$238,MATCH(A108,Manual_Review!$A$6:$A$238,0))="Pass","Pass",IF(INDEX(Manual_Review!$AE$6:$AE$238,MATCH(A108,Manual_Review!$A$6:$A$238,0))="Fail","Fail: benchmark leakage",IF(INDEX(Manual_Review!$AE$6:$AE$238,MATCH(A108,Manual_Review!$A$6:$A$238,0))="N/A","N/A: nonbenchmark task","Pending task-specific leakage check"))),"Pending task-specific leakage check"))</f>
        <v>N/A: documentation inventory</v>
      </c>
      <c r="AY108" s="5" t="str">
        <f>IF(IF(D108="Unlabeled-13",AND(ABS(MCDM_Settings!$D$14-1)&lt;0.0000001,MIN(MCDM_Settings!$E$6:$E$11)&gt;=0,MCDM_Settings!$E$7=0),AND(ABS(MCDM_Settings!$B$14-1)&lt;0.0000001,MIN(MCDM_Settings!$C$6:$C$11)&gt;=0)),"Valid","Check weights")</f>
        <v>Valid</v>
      </c>
      <c r="AZ108" s="5" t="str">
        <f>IF(AND(COUNTIF(MCDM_Checks!$B$6:$B$3733,A108)=16,COUNTIF(Manual_Review!$A$6:$A$238,A108)=1),"16 keys present","Check key count")</f>
        <v>16 keys present</v>
      </c>
    </row>
    <row r="109" spans="1:52">
      <c r="A109" s="5" t="s">
        <v>1250</v>
      </c>
      <c r="B109" s="5" t="s">
        <v>1251</v>
      </c>
      <c r="C109" s="5"/>
      <c r="D109" s="5" t="s">
        <v>118</v>
      </c>
      <c r="E109" s="12">
        <f>IF(OR(AY109&lt;&gt;"Valid",AZ109&lt;&gt;"16 keys present"),"Review settings",20*(IF(ISNUMBER(AC109),AC109*IF($D109="Unlabeled-13",MCDM_Settings!$E$6,MCDM_Settings!$C$6),0)+IF(ISNUMBER(AF109),AF109*IF($D109="Unlabeled-13",MCDM_Settings!$E$7,MCDM_Settings!$C$7),0)+IF(ISNUMBER(AI109),AI109*IF($D109="Unlabeled-13",MCDM_Settings!$E$8,MCDM_Settings!$C$8),0)+IF(ISNUMBER(AL109),AL109*IF($D109="Unlabeled-13",MCDM_Settings!$E$9,MCDM_Settings!$C$9),0)+IF(ISNUMBER(AO109),AO109*IF($D109="Unlabeled-13",MCDM_Settings!$E$10,MCDM_Settings!$C$10),0)+IF(ISNUMBER(AR109),AR109*IF($D109="Unlabeled-13",MCDM_Settings!$E$11,MCDM_Settings!$C$11),0)))</f>
        <v>86.111111111111114</v>
      </c>
      <c r="F109" s="12">
        <f>IF(OR(AY109&lt;&gt;"Valid",AZ109&lt;&gt;"16 keys present"),"Review settings",20*(IF(ISNUMBER(AD109),AD109*IF($D109="Unlabeled-13",MCDM_Settings!$E$6,MCDM_Settings!$C$6),0)+IF(ISNUMBER(AG109),AG109*IF($D109="Unlabeled-13",MCDM_Settings!$E$7,MCDM_Settings!$C$7),0)+IF(ISNUMBER(AJ109),AJ109*IF($D109="Unlabeled-13",MCDM_Settings!$E$8,MCDM_Settings!$C$8),0)+IF(ISNUMBER(AM109),AM109*IF($D109="Unlabeled-13",MCDM_Settings!$E$9,MCDM_Settings!$C$9),0)+IF(ISNUMBER(AP109),AP109*IF($D109="Unlabeled-13",MCDM_Settings!$E$10,MCDM_Settings!$C$10),0)+IF(ISNUMBER(AS109),AS109*IF($D109="Unlabeled-13",MCDM_Settings!$E$11,MCDM_Settings!$C$11),0)))</f>
        <v>99.999999999999986</v>
      </c>
      <c r="G109" s="13">
        <f>IF(OR(AY109&lt;&gt;"Valid",AZ109&lt;&gt;"16 keys present"),"Review settings",1*(IF(ISNUMBER(AE109),AE109*IF($D109="Unlabeled-13",MCDM_Settings!$E$6,MCDM_Settings!$C$6),0)+IF(ISNUMBER(AH109),AH109*IF($D109="Unlabeled-13",MCDM_Settings!$E$7,MCDM_Settings!$C$7),0)+IF(ISNUMBER(AK109),AK109*IF($D109="Unlabeled-13",MCDM_Settings!$E$8,MCDM_Settings!$C$8),0)+IF(ISNUMBER(AN109),AN109*IF($D109="Unlabeled-13",MCDM_Settings!$E$9,MCDM_Settings!$C$9),0)+IF(ISNUMBER(AQ109),AQ109*IF($D109="Unlabeled-13",MCDM_Settings!$E$10,MCDM_Settings!$C$10),0)+IF(ISNUMBER(AT109),AT109*IF($D109="Unlabeled-13",MCDM_Settings!$E$11,MCDM_Settings!$C$11),0)))</f>
        <v>0.86111111111111116</v>
      </c>
      <c r="H109" s="5" t="str">
        <f>INDEX(Manual_Review!$AH$6:$AH$238,MATCH(A109,Manual_Review!$A$6:$A$238,0))</f>
        <v>Not started</v>
      </c>
      <c r="I109" s="5" t="s">
        <v>128</v>
      </c>
      <c r="J109" s="5" t="s">
        <v>1252</v>
      </c>
      <c r="K109" s="5" t="str">
        <f>HYPERLINK("https://huggingface.co/datasets/TamAko783/Unified_Road_Defect_Dataset","Dataset")</f>
        <v>Dataset</v>
      </c>
      <c r="L109" s="5" t="str">
        <f>HYPERLINK("#'Manual_Review'!A"&amp;(MATCH("DS-104",Manual_Review!$A$6:$A$238,0)+5),"Enter review")</f>
        <v>Enter review</v>
      </c>
      <c r="M109" s="5" t="str">
        <f>INDEX(MCDM_Checks!$K$6:$K$3733,MATCH(A109&amp;"|"&amp;M$5,MCDM_Checks!$A$6:$A$3733,0))</f>
        <v>Y</v>
      </c>
      <c r="N109" s="5" t="str">
        <f>INDEX(MCDM_Checks!$K$6:$K$3733,MATCH(A109&amp;"|"&amp;N$5,MCDM_Checks!$A$6:$A$3733,0))</f>
        <v>Y</v>
      </c>
      <c r="O109" s="5" t="str">
        <f>INDEX(MCDM_Checks!$K$6:$K$3733,MATCH(A109&amp;"|"&amp;O$5,MCDM_Checks!$A$6:$A$3733,0))</f>
        <v>Y</v>
      </c>
      <c r="P109" s="5" t="str">
        <f>INDEX(MCDM_Checks!$K$6:$K$3733,MATCH(A109&amp;"|"&amp;P$5,MCDM_Checks!$A$6:$A$3733,0))</f>
        <v>Y</v>
      </c>
      <c r="Q109" s="5" t="str">
        <f>INDEX(MCDM_Checks!$K$6:$K$3733,MATCH(A109&amp;"|"&amp;Q$5,MCDM_Checks!$A$6:$A$3733,0))</f>
        <v>Y</v>
      </c>
      <c r="R109" s="5" t="str">
        <f>INDEX(MCDM_Checks!$K$6:$K$3733,MATCH(A109&amp;"|"&amp;R$5,MCDM_Checks!$A$6:$A$3733,0))</f>
        <v>Y</v>
      </c>
      <c r="S109" s="5" t="str">
        <f>INDEX(MCDM_Checks!$K$6:$K$3733,MATCH(A109&amp;"|"&amp;S$5,MCDM_Checks!$A$6:$A$3733,0))</f>
        <v>Y</v>
      </c>
      <c r="T109" s="5" t="str">
        <f>INDEX(MCDM_Checks!$K$6:$K$3733,MATCH(A109&amp;"|"&amp;T$5,MCDM_Checks!$A$6:$A$3733,0))</f>
        <v>Y</v>
      </c>
      <c r="U109" s="5" t="str">
        <f>INDEX(MCDM_Checks!$K$6:$K$3733,MATCH(A109&amp;"|"&amp;U$5,MCDM_Checks!$A$6:$A$3733,0))</f>
        <v>Y</v>
      </c>
      <c r="V109" s="5" t="str">
        <f>INDEX(MCDM_Checks!$K$6:$K$3733,MATCH(A109&amp;"|"&amp;V$5,MCDM_Checks!$A$6:$A$3733,0))</f>
        <v>Y</v>
      </c>
      <c r="W109" s="5" t="str">
        <f>INDEX(MCDM_Checks!$K$6:$K$3733,MATCH(A109&amp;"|"&amp;W$5,MCDM_Checks!$A$6:$A$3733,0))</f>
        <v>Y</v>
      </c>
      <c r="X109" s="5" t="str">
        <f>INDEX(MCDM_Checks!$K$6:$K$3733,MATCH(A109&amp;"|"&amp;X$5,MCDM_Checks!$A$6:$A$3733,0))</f>
        <v>U</v>
      </c>
      <c r="Y109" s="5" t="str">
        <f>INDEX(MCDM_Checks!$K$6:$K$3733,MATCH(A109&amp;"|"&amp;Y$5,MCDM_Checks!$A$6:$A$3733,0))</f>
        <v>Y</v>
      </c>
      <c r="Z109" s="5" t="str">
        <f>INDEX(MCDM_Checks!$K$6:$K$3733,MATCH(A109&amp;"|"&amp;Z$5,MCDM_Checks!$A$6:$A$3733,0))</f>
        <v>Y</v>
      </c>
      <c r="AA109" s="5" t="str">
        <f>INDEX(MCDM_Checks!$K$6:$K$3733,MATCH(A109&amp;"|"&amp;AA$5,MCDM_Checks!$A$6:$A$3733,0))</f>
        <v>U</v>
      </c>
      <c r="AB109" s="5" t="str">
        <f>INDEX(MCDM_Checks!$K$6:$K$3733,MATCH(A109&amp;"|"&amp;AB$5,MCDM_Checks!$A$6:$A$3733,0))</f>
        <v>Y</v>
      </c>
      <c r="AC109" s="12">
        <f>IF(IF($D109="Unlabeled-13",MCDM_Settings!$F$6,MCDM_Settings!$D$6)=0,"n.a.",5*COUNTIF(M109:O109,"Y")/IF($D109="Unlabeled-13",MCDM_Settings!$F$6,MCDM_Settings!$D$6))</f>
        <v>5</v>
      </c>
      <c r="AD109" s="12">
        <f>IF(IF($D109="Unlabeled-13",MCDM_Settings!$F$6,MCDM_Settings!$D$6)=0,"n.a.",5*(COUNTIF(M109:O109,"Y")+COUNTIF(M109:O109,"U")+COUNTIF(M109:O109,"X"))/IF($D109="Unlabeled-13",MCDM_Settings!$F$6,MCDM_Settings!$D$6))</f>
        <v>5</v>
      </c>
      <c r="AE109" s="13">
        <f>IF(IF($D109="Unlabeled-13",MCDM_Settings!$F$6,MCDM_Settings!$D$6)=0,"n.a.",(COUNTIF(M109:O109,"Y")+COUNTIF(M109:O109,"N"))/IF($D109="Unlabeled-13",MCDM_Settings!$F$6,MCDM_Settings!$D$6))</f>
        <v>1</v>
      </c>
      <c r="AF109" s="12">
        <f>IF(IF($D109="Unlabeled-13",MCDM_Settings!$F$7,MCDM_Settings!$D$7)=0,"n.a.",5*COUNTIF(P109:R109,"Y")/IF($D109="Unlabeled-13",MCDM_Settings!$F$7,MCDM_Settings!$D$7))</f>
        <v>5</v>
      </c>
      <c r="AG109" s="12">
        <f>IF(IF($D109="Unlabeled-13",MCDM_Settings!$F$7,MCDM_Settings!$D$7)=0,"n.a.",5*(COUNTIF(P109:R109,"Y")+COUNTIF(P109:R109,"U")+COUNTIF(P109:R109,"X"))/IF($D109="Unlabeled-13",MCDM_Settings!$F$7,MCDM_Settings!$D$7))</f>
        <v>5</v>
      </c>
      <c r="AH109" s="13">
        <f>IF(IF($D109="Unlabeled-13",MCDM_Settings!$F$7,MCDM_Settings!$D$7)=0,"n.a.",(COUNTIF(P109:R109,"Y")+COUNTIF(P109:R109,"N"))/IF($D109="Unlabeled-13",MCDM_Settings!$F$7,MCDM_Settings!$D$7))</f>
        <v>1</v>
      </c>
      <c r="AI109" s="12">
        <f>IF(IF($D109="Unlabeled-13",MCDM_Settings!$F$8,MCDM_Settings!$D$8)=0,"n.a.",5*COUNTIF(S109:U109,"Y")/IF($D109="Unlabeled-13",MCDM_Settings!$F$8,MCDM_Settings!$D$8))</f>
        <v>5</v>
      </c>
      <c r="AJ109" s="12">
        <f>IF(IF($D109="Unlabeled-13",MCDM_Settings!$F$8,MCDM_Settings!$D$8)=0,"n.a.",5*(COUNTIF(S109:U109,"Y")+COUNTIF(S109:U109,"U")+COUNTIF(S109:U109,"X"))/IF($D109="Unlabeled-13",MCDM_Settings!$F$8,MCDM_Settings!$D$8))</f>
        <v>5</v>
      </c>
      <c r="AK109" s="13">
        <f>IF(IF($D109="Unlabeled-13",MCDM_Settings!$F$8,MCDM_Settings!$D$8)=0,"n.a.",(COUNTIF(S109:U109,"Y")+COUNTIF(S109:U109,"N"))/IF($D109="Unlabeled-13",MCDM_Settings!$F$8,MCDM_Settings!$D$8))</f>
        <v>1</v>
      </c>
      <c r="AL109" s="12">
        <f>IF(IF($D109="Unlabeled-13",MCDM_Settings!$F$9,MCDM_Settings!$D$9)=0,"n.a.",5*COUNTIF(V109:W109,"Y")/IF($D109="Unlabeled-13",MCDM_Settings!$F$9,MCDM_Settings!$D$9))</f>
        <v>5</v>
      </c>
      <c r="AM109" s="12">
        <f>IF(IF($D109="Unlabeled-13",MCDM_Settings!$F$9,MCDM_Settings!$D$9)=0,"n.a.",5*(COUNTIF(V109:W109,"Y")+COUNTIF(V109:W109,"U")+COUNTIF(V109:W109,"X"))/IF($D109="Unlabeled-13",MCDM_Settings!$F$9,MCDM_Settings!$D$9))</f>
        <v>5</v>
      </c>
      <c r="AN109" s="13">
        <f>IF(IF($D109="Unlabeled-13",MCDM_Settings!$F$9,MCDM_Settings!$D$9)=0,"n.a.",(COUNTIF(V109:W109,"Y")+COUNTIF(V109:W109,"N"))/IF($D109="Unlabeled-13",MCDM_Settings!$F$9,MCDM_Settings!$D$9))</f>
        <v>1</v>
      </c>
      <c r="AO109" s="12">
        <f>IF(IF($D109="Unlabeled-13",MCDM_Settings!$F$10,MCDM_Settings!$D$10)=0,"n.a.",5*COUNTIF(X109:Y109,"Y")/IF($D109="Unlabeled-13",MCDM_Settings!$F$10,MCDM_Settings!$D$10))</f>
        <v>2.5</v>
      </c>
      <c r="AP109" s="12">
        <f>IF(IF($D109="Unlabeled-13",MCDM_Settings!$F$10,MCDM_Settings!$D$10)=0,"n.a.",5*(COUNTIF(X109:Y109,"Y")+COUNTIF(X109:Y109,"U")+COUNTIF(X109:Y109,"X"))/IF($D109="Unlabeled-13",MCDM_Settings!$F$10,MCDM_Settings!$D$10))</f>
        <v>5</v>
      </c>
      <c r="AQ109" s="13">
        <f>IF(IF($D109="Unlabeled-13",MCDM_Settings!$F$10,MCDM_Settings!$D$10)=0,"n.a.",(COUNTIF(X109:Y109,"Y")+COUNTIF(X109:Y109,"N"))/IF($D109="Unlabeled-13",MCDM_Settings!$F$10,MCDM_Settings!$D$10))</f>
        <v>0.5</v>
      </c>
      <c r="AR109" s="12">
        <f>IF(IF($D109="Unlabeled-13",MCDM_Settings!$F$11,MCDM_Settings!$D$11)=0,"n.a.",5*COUNTIF(Z109:AB109,"Y")/IF($D109="Unlabeled-13",MCDM_Settings!$F$11,MCDM_Settings!$D$11))</f>
        <v>3.3333333333333335</v>
      </c>
      <c r="AS109" s="12">
        <f>IF(IF($D109="Unlabeled-13",MCDM_Settings!$F$11,MCDM_Settings!$D$11)=0,"n.a.",5*(COUNTIF(Z109:AB109,"Y")+COUNTIF(Z109:AB109,"U")+COUNTIF(Z109:AB109,"X"))/IF($D109="Unlabeled-13",MCDM_Settings!$F$11,MCDM_Settings!$D$11))</f>
        <v>5</v>
      </c>
      <c r="AT109" s="13">
        <f>IF(IF($D109="Unlabeled-13",MCDM_Settings!$F$11,MCDM_Settings!$D$11)=0,"n.a.",(COUNTIF(Z109:AB109,"Y")+COUNTIF(Z109:AB109,"N"))/IF($D109="Unlabeled-13",MCDM_Settings!$F$11,MCDM_Settings!$D$11))</f>
        <v>0.66666666666666663</v>
      </c>
      <c r="AU109" s="5" t="str">
        <f>IF(AND(INDEX(Manual_Review!$G$6:$G$238,MATCH(A109,Manual_Review!$A$6:$A$238,0))&lt;&gt;"",ISNUMBER(INDEX(Manual_Review!$H$6:$H$238,MATCH(A109,Manual_Review!$A$6:$A$238,0))),INDEX(Manual_Review!$H$6:$H$238,MATCH(A109,Manual_Review!$A$6:$A$238,0))&gt;0,INDEX(Manual_Review!$I$6:$I$238,MATCH(A109,Manual_Review!$A$6:$A$238,0))="Confirmed",INDEX(Manual_Review!$AF$6:$AF$238,MATCH(A109,Manual_Review!$A$6:$A$238,0))&lt;&gt;""),IF(INDEX(Manual_Review!$AA$6:$AA$238,MATCH(A109,Manual_Review!$A$6:$A$238,0))="Pass","Pass",IF(INDEX(Manual_Review!$AA$6:$AA$238,MATCH(A109,Manual_Review!$A$6:$A$238,0))="Fail","Fail","Pending")),"Pending human identity confirmation")</f>
        <v>Pending human identity confirmation</v>
      </c>
      <c r="AV109" s="5" t="str">
        <f>IF(AND(AND(INDEX(Manual_Review!$G$6:$G$238,MATCH(A109,Manual_Review!$A$6:$A$238,0))&lt;&gt;"",ISNUMBER(INDEX(Manual_Review!$H$6:$H$238,MATCH(A109,Manual_Review!$A$6:$A$238,0))),INDEX(Manual_Review!$H$6:$H$238,MATCH(A109,Manual_Review!$A$6:$A$238,0))&gt;0,INDEX(Manual_Review!$I$6:$I$238,MATCH(A109,Manual_Review!$A$6:$A$238,0))="Confirmed",INDEX(Manual_Review!$AF$6:$AF$238,MATCH(A109,Manual_Review!$A$6:$A$238,0))&lt;&gt;""),INDEX(Manual_Review!$AG$6:$AG$238,MATCH(A109,Manual_Review!$A$6:$A$238,0))&lt;&gt;""),IF(INDEX(Manual_Review!$AB$6:$AB$238,MATCH(A109,Manual_Review!$A$6:$A$238,0))="Pass","Pass",IF(INDEX(Manual_Review!$AB$6:$AB$238,MATCH(A109,Manual_Review!$A$6:$A$238,0))="Fail","Fail","Pending")),"Not assessed: define intended task")</f>
        <v>Not assessed: define intended task</v>
      </c>
      <c r="AW109" s="5" t="str">
        <f>IF(AND(AND(INDEX(Manual_Review!$G$6:$G$238,MATCH(A109,Manual_Review!$A$6:$A$238,0))&lt;&gt;"",ISNUMBER(INDEX(Manual_Review!$H$6:$H$238,MATCH(A109,Manual_Review!$A$6:$A$238,0))),INDEX(Manual_Review!$H$6:$H$238,MATCH(A109,Manual_Review!$A$6:$A$238,0))&gt;0,INDEX(Manual_Review!$I$6:$I$238,MATCH(A109,Manual_Review!$A$6:$A$238,0))="Confirmed",INDEX(Manual_Review!$AF$6:$AF$238,MATCH(A109,Manual_Review!$A$6:$A$238,0))&lt;&gt;""),INDEX(Manual_Review!$AG$6:$AG$238,MATCH(A109,Manual_Review!$A$6:$A$238,0))&lt;&gt;""),IF(OR(INDEX(Manual_Review!$AC$6:$AC$238,MATCH(A109,Manual_Review!$A$6:$A$238,0))="Fail",INDEX(Manual_Review!$AD$6:$AD$238,MATCH(A109,Manual_Review!$A$6:$A$238,0))="Fail"),"Fail: rights or retrieval",IF(AND(INDEX(Manual_Review!$AC$6:$AC$238,MATCH(A109,Manual_Review!$A$6:$A$238,0))="Pass",INDEX(Manual_Review!$AD$6:$AD$238,MATCH(A109,Manual_Review!$A$6:$A$238,0))="Pass"),"Pass","Pending rights and retrieval")),"Pending rights and retrieval")</f>
        <v>Pending rights and retrieval</v>
      </c>
      <c r="AX109" s="5" t="str">
        <f>IF(INDEX(Manual_Review!$AG$6:$AG$238,MATCH(A109,Manual_Review!$A$6:$A$238,0))="","N/A: documentation inventory",IF(AND(INDEX(Manual_Review!$G$6:$G$238,MATCH(A109,Manual_Review!$A$6:$A$238,0))&lt;&gt;"",ISNUMBER(INDEX(Manual_Review!$H$6:$H$238,MATCH(A109,Manual_Review!$A$6:$A$238,0))),INDEX(Manual_Review!$H$6:$H$238,MATCH(A109,Manual_Review!$A$6:$A$238,0))&gt;0,INDEX(Manual_Review!$I$6:$I$238,MATCH(A109,Manual_Review!$A$6:$A$238,0))="Confirmed",INDEX(Manual_Review!$AF$6:$AF$238,MATCH(A109,Manual_Review!$A$6:$A$238,0))&lt;&gt;""),IF(INDEX(Manual_Review!$AE$6:$AE$238,MATCH(A109,Manual_Review!$A$6:$A$238,0))="Pass","Pass",IF(INDEX(Manual_Review!$AE$6:$AE$238,MATCH(A109,Manual_Review!$A$6:$A$238,0))="Fail","Fail: benchmark leakage",IF(INDEX(Manual_Review!$AE$6:$AE$238,MATCH(A109,Manual_Review!$A$6:$A$238,0))="N/A","N/A: nonbenchmark task","Pending task-specific leakage check"))),"Pending task-specific leakage check"))</f>
        <v>N/A: documentation inventory</v>
      </c>
      <c r="AY109" s="5" t="str">
        <f>IF(IF(D109="Unlabeled-13",AND(ABS(MCDM_Settings!$D$14-1)&lt;0.0000001,MIN(MCDM_Settings!$E$6:$E$11)&gt;=0,MCDM_Settings!$E$7=0),AND(ABS(MCDM_Settings!$B$14-1)&lt;0.0000001,MIN(MCDM_Settings!$C$6:$C$11)&gt;=0)),"Valid","Check weights")</f>
        <v>Valid</v>
      </c>
      <c r="AZ109" s="5" t="str">
        <f>IF(AND(COUNTIF(MCDM_Checks!$B$6:$B$3733,A109)=16,COUNTIF(Manual_Review!$A$6:$A$238,A109)=1),"16 keys present","Check key count")</f>
        <v>16 keys present</v>
      </c>
    </row>
    <row r="110" spans="1:52">
      <c r="A110" s="5" t="s">
        <v>1261</v>
      </c>
      <c r="B110" s="5" t="s">
        <v>1262</v>
      </c>
      <c r="C110" s="5"/>
      <c r="D110" s="5" t="s">
        <v>118</v>
      </c>
      <c r="E110" s="12">
        <f>IF(OR(AY110&lt;&gt;"Valid",AZ110&lt;&gt;"16 keys present"),"Review settings",20*(IF(ISNUMBER(AC110),AC110*IF($D110="Unlabeled-13",MCDM_Settings!$E$6,MCDM_Settings!$C$6),0)+IF(ISNUMBER(AF110),AF110*IF($D110="Unlabeled-13",MCDM_Settings!$E$7,MCDM_Settings!$C$7),0)+IF(ISNUMBER(AI110),AI110*IF($D110="Unlabeled-13",MCDM_Settings!$E$8,MCDM_Settings!$C$8),0)+IF(ISNUMBER(AL110),AL110*IF($D110="Unlabeled-13",MCDM_Settings!$E$9,MCDM_Settings!$C$9),0)+IF(ISNUMBER(AO110),AO110*IF($D110="Unlabeled-13",MCDM_Settings!$E$10,MCDM_Settings!$C$10),0)+IF(ISNUMBER(AR110),AR110*IF($D110="Unlabeled-13",MCDM_Settings!$E$11,MCDM_Settings!$C$11),0)))</f>
        <v>66.666666666666657</v>
      </c>
      <c r="F110" s="12">
        <f>IF(OR(AY110&lt;&gt;"Valid",AZ110&lt;&gt;"16 keys present"),"Review settings",20*(IF(ISNUMBER(AD110),AD110*IF($D110="Unlabeled-13",MCDM_Settings!$E$6,MCDM_Settings!$C$6),0)+IF(ISNUMBER(AG110),AG110*IF($D110="Unlabeled-13",MCDM_Settings!$E$7,MCDM_Settings!$C$7),0)+IF(ISNUMBER(AJ110),AJ110*IF($D110="Unlabeled-13",MCDM_Settings!$E$8,MCDM_Settings!$C$8),0)+IF(ISNUMBER(AM110),AM110*IF($D110="Unlabeled-13",MCDM_Settings!$E$9,MCDM_Settings!$C$9),0)+IF(ISNUMBER(AP110),AP110*IF($D110="Unlabeled-13",MCDM_Settings!$E$10,MCDM_Settings!$C$10),0)+IF(ISNUMBER(AS110),AS110*IF($D110="Unlabeled-13",MCDM_Settings!$E$11,MCDM_Settings!$C$11),0)))</f>
        <v>99.999999999999986</v>
      </c>
      <c r="G110" s="13">
        <f>IF(OR(AY110&lt;&gt;"Valid",AZ110&lt;&gt;"16 keys present"),"Review settings",1*(IF(ISNUMBER(AE110),AE110*IF($D110="Unlabeled-13",MCDM_Settings!$E$6,MCDM_Settings!$C$6),0)+IF(ISNUMBER(AH110),AH110*IF($D110="Unlabeled-13",MCDM_Settings!$E$7,MCDM_Settings!$C$7),0)+IF(ISNUMBER(AK110),AK110*IF($D110="Unlabeled-13",MCDM_Settings!$E$8,MCDM_Settings!$C$8),0)+IF(ISNUMBER(AN110),AN110*IF($D110="Unlabeled-13",MCDM_Settings!$E$9,MCDM_Settings!$C$9),0)+IF(ISNUMBER(AQ110),AQ110*IF($D110="Unlabeled-13",MCDM_Settings!$E$10,MCDM_Settings!$C$10),0)+IF(ISNUMBER(AT110),AT110*IF($D110="Unlabeled-13",MCDM_Settings!$E$11,MCDM_Settings!$C$11),0)))</f>
        <v>0.66666666666666652</v>
      </c>
      <c r="H110" s="5" t="str">
        <f>INDEX(Manual_Review!$AH$6:$AH$238,MATCH(A110,Manual_Review!$A$6:$A$238,0))</f>
        <v>Not started</v>
      </c>
      <c r="I110" s="5" t="s">
        <v>128</v>
      </c>
      <c r="J110" s="5" t="s">
        <v>1263</v>
      </c>
      <c r="K110" s="5" t="str">
        <f>HYPERLINK("https://huggingface.co/datasets/TamAko783/Unified_Road_Defect_FRDC_Pseudolabeled_v2","Dataset")</f>
        <v>Dataset</v>
      </c>
      <c r="L110" s="5" t="str">
        <f>HYPERLINK("#'Manual_Review'!A"&amp;(MATCH("DS-105",Manual_Review!$A$6:$A$238,0)+5),"Enter review")</f>
        <v>Enter review</v>
      </c>
      <c r="M110" s="5" t="str">
        <f>INDEX(MCDM_Checks!$K$6:$K$3733,MATCH(A110&amp;"|"&amp;M$5,MCDM_Checks!$A$6:$A$3733,0))</f>
        <v>Y</v>
      </c>
      <c r="N110" s="5" t="str">
        <f>INDEX(MCDM_Checks!$K$6:$K$3733,MATCH(A110&amp;"|"&amp;N$5,MCDM_Checks!$A$6:$A$3733,0))</f>
        <v>Y</v>
      </c>
      <c r="O110" s="5" t="str">
        <f>INDEX(MCDM_Checks!$K$6:$K$3733,MATCH(A110&amp;"|"&amp;O$5,MCDM_Checks!$A$6:$A$3733,0))</f>
        <v>U</v>
      </c>
      <c r="P110" s="5" t="str">
        <f>INDEX(MCDM_Checks!$K$6:$K$3733,MATCH(A110&amp;"|"&amp;P$5,MCDM_Checks!$A$6:$A$3733,0))</f>
        <v>Y</v>
      </c>
      <c r="Q110" s="5" t="str">
        <f>INDEX(MCDM_Checks!$K$6:$K$3733,MATCH(A110&amp;"|"&amp;Q$5,MCDM_Checks!$A$6:$A$3733,0))</f>
        <v>Y</v>
      </c>
      <c r="R110" s="5" t="str">
        <f>INDEX(MCDM_Checks!$K$6:$K$3733,MATCH(A110&amp;"|"&amp;R$5,MCDM_Checks!$A$6:$A$3733,0))</f>
        <v>U</v>
      </c>
      <c r="S110" s="5" t="str">
        <f>INDEX(MCDM_Checks!$K$6:$K$3733,MATCH(A110&amp;"|"&amp;S$5,MCDM_Checks!$A$6:$A$3733,0))</f>
        <v>Y</v>
      </c>
      <c r="T110" s="5" t="str">
        <f>INDEX(MCDM_Checks!$K$6:$K$3733,MATCH(A110&amp;"|"&amp;T$5,MCDM_Checks!$A$6:$A$3733,0))</f>
        <v>Y</v>
      </c>
      <c r="U110" s="5" t="str">
        <f>INDEX(MCDM_Checks!$K$6:$K$3733,MATCH(A110&amp;"|"&amp;U$5,MCDM_Checks!$A$6:$A$3733,0))</f>
        <v>Y</v>
      </c>
      <c r="V110" s="5" t="str">
        <f>INDEX(MCDM_Checks!$K$6:$K$3733,MATCH(A110&amp;"|"&amp;V$5,MCDM_Checks!$A$6:$A$3733,0))</f>
        <v>Y</v>
      </c>
      <c r="W110" s="5" t="str">
        <f>INDEX(MCDM_Checks!$K$6:$K$3733,MATCH(A110&amp;"|"&amp;W$5,MCDM_Checks!$A$6:$A$3733,0))</f>
        <v>Y</v>
      </c>
      <c r="X110" s="5" t="str">
        <f>INDEX(MCDM_Checks!$K$6:$K$3733,MATCH(A110&amp;"|"&amp;X$5,MCDM_Checks!$A$6:$A$3733,0))</f>
        <v>U</v>
      </c>
      <c r="Y110" s="5" t="str">
        <f>INDEX(MCDM_Checks!$K$6:$K$3733,MATCH(A110&amp;"|"&amp;Y$5,MCDM_Checks!$A$6:$A$3733,0))</f>
        <v>U</v>
      </c>
      <c r="Z110" s="5" t="str">
        <f>INDEX(MCDM_Checks!$K$6:$K$3733,MATCH(A110&amp;"|"&amp;Z$5,MCDM_Checks!$A$6:$A$3733,0))</f>
        <v>Y</v>
      </c>
      <c r="AA110" s="5" t="str">
        <f>INDEX(MCDM_Checks!$K$6:$K$3733,MATCH(A110&amp;"|"&amp;AA$5,MCDM_Checks!$A$6:$A$3733,0))</f>
        <v>U</v>
      </c>
      <c r="AB110" s="5" t="str">
        <f>INDEX(MCDM_Checks!$K$6:$K$3733,MATCH(A110&amp;"|"&amp;AB$5,MCDM_Checks!$A$6:$A$3733,0))</f>
        <v>Y</v>
      </c>
      <c r="AC110" s="12">
        <f>IF(IF($D110="Unlabeled-13",MCDM_Settings!$F$6,MCDM_Settings!$D$6)=0,"n.a.",5*COUNTIF(M110:O110,"Y")/IF($D110="Unlabeled-13",MCDM_Settings!$F$6,MCDM_Settings!$D$6))</f>
        <v>3.3333333333333335</v>
      </c>
      <c r="AD110" s="12">
        <f>IF(IF($D110="Unlabeled-13",MCDM_Settings!$F$6,MCDM_Settings!$D$6)=0,"n.a.",5*(COUNTIF(M110:O110,"Y")+COUNTIF(M110:O110,"U")+COUNTIF(M110:O110,"X"))/IF($D110="Unlabeled-13",MCDM_Settings!$F$6,MCDM_Settings!$D$6))</f>
        <v>5</v>
      </c>
      <c r="AE110" s="13">
        <f>IF(IF($D110="Unlabeled-13",MCDM_Settings!$F$6,MCDM_Settings!$D$6)=0,"n.a.",(COUNTIF(M110:O110,"Y")+COUNTIF(M110:O110,"N"))/IF($D110="Unlabeled-13",MCDM_Settings!$F$6,MCDM_Settings!$D$6))</f>
        <v>0.66666666666666663</v>
      </c>
      <c r="AF110" s="12">
        <f>IF(IF($D110="Unlabeled-13",MCDM_Settings!$F$7,MCDM_Settings!$D$7)=0,"n.a.",5*COUNTIF(P110:R110,"Y")/IF($D110="Unlabeled-13",MCDM_Settings!$F$7,MCDM_Settings!$D$7))</f>
        <v>3.3333333333333335</v>
      </c>
      <c r="AG110" s="12">
        <f>IF(IF($D110="Unlabeled-13",MCDM_Settings!$F$7,MCDM_Settings!$D$7)=0,"n.a.",5*(COUNTIF(P110:R110,"Y")+COUNTIF(P110:R110,"U")+COUNTIF(P110:R110,"X"))/IF($D110="Unlabeled-13",MCDM_Settings!$F$7,MCDM_Settings!$D$7))</f>
        <v>5</v>
      </c>
      <c r="AH110" s="13">
        <f>IF(IF($D110="Unlabeled-13",MCDM_Settings!$F$7,MCDM_Settings!$D$7)=0,"n.a.",(COUNTIF(P110:R110,"Y")+COUNTIF(P110:R110,"N"))/IF($D110="Unlabeled-13",MCDM_Settings!$F$7,MCDM_Settings!$D$7))</f>
        <v>0.66666666666666663</v>
      </c>
      <c r="AI110" s="12">
        <f>IF(IF($D110="Unlabeled-13",MCDM_Settings!$F$8,MCDM_Settings!$D$8)=0,"n.a.",5*COUNTIF(S110:U110,"Y")/IF($D110="Unlabeled-13",MCDM_Settings!$F$8,MCDM_Settings!$D$8))</f>
        <v>5</v>
      </c>
      <c r="AJ110" s="12">
        <f>IF(IF($D110="Unlabeled-13",MCDM_Settings!$F$8,MCDM_Settings!$D$8)=0,"n.a.",5*(COUNTIF(S110:U110,"Y")+COUNTIF(S110:U110,"U")+COUNTIF(S110:U110,"X"))/IF($D110="Unlabeled-13",MCDM_Settings!$F$8,MCDM_Settings!$D$8))</f>
        <v>5</v>
      </c>
      <c r="AK110" s="13">
        <f>IF(IF($D110="Unlabeled-13",MCDM_Settings!$F$8,MCDM_Settings!$D$8)=0,"n.a.",(COUNTIF(S110:U110,"Y")+COUNTIF(S110:U110,"N"))/IF($D110="Unlabeled-13",MCDM_Settings!$F$8,MCDM_Settings!$D$8))</f>
        <v>1</v>
      </c>
      <c r="AL110" s="12">
        <f>IF(IF($D110="Unlabeled-13",MCDM_Settings!$F$9,MCDM_Settings!$D$9)=0,"n.a.",5*COUNTIF(V110:W110,"Y")/IF($D110="Unlabeled-13",MCDM_Settings!$F$9,MCDM_Settings!$D$9))</f>
        <v>5</v>
      </c>
      <c r="AM110" s="12">
        <f>IF(IF($D110="Unlabeled-13",MCDM_Settings!$F$9,MCDM_Settings!$D$9)=0,"n.a.",5*(COUNTIF(V110:W110,"Y")+COUNTIF(V110:W110,"U")+COUNTIF(V110:W110,"X"))/IF($D110="Unlabeled-13",MCDM_Settings!$F$9,MCDM_Settings!$D$9))</f>
        <v>5</v>
      </c>
      <c r="AN110" s="13">
        <f>IF(IF($D110="Unlabeled-13",MCDM_Settings!$F$9,MCDM_Settings!$D$9)=0,"n.a.",(COUNTIF(V110:W110,"Y")+COUNTIF(V110:W110,"N"))/IF($D110="Unlabeled-13",MCDM_Settings!$F$9,MCDM_Settings!$D$9))</f>
        <v>1</v>
      </c>
      <c r="AO110" s="12">
        <f>IF(IF($D110="Unlabeled-13",MCDM_Settings!$F$10,MCDM_Settings!$D$10)=0,"n.a.",5*COUNTIF(X110:Y110,"Y")/IF($D110="Unlabeled-13",MCDM_Settings!$F$10,MCDM_Settings!$D$10))</f>
        <v>0</v>
      </c>
      <c r="AP110" s="12">
        <f>IF(IF($D110="Unlabeled-13",MCDM_Settings!$F$10,MCDM_Settings!$D$10)=0,"n.a.",5*(COUNTIF(X110:Y110,"Y")+COUNTIF(X110:Y110,"U")+COUNTIF(X110:Y110,"X"))/IF($D110="Unlabeled-13",MCDM_Settings!$F$10,MCDM_Settings!$D$10))</f>
        <v>5</v>
      </c>
      <c r="AQ110" s="13">
        <f>IF(IF($D110="Unlabeled-13",MCDM_Settings!$F$10,MCDM_Settings!$D$10)=0,"n.a.",(COUNTIF(X110:Y110,"Y")+COUNTIF(X110:Y110,"N"))/IF($D110="Unlabeled-13",MCDM_Settings!$F$10,MCDM_Settings!$D$10))</f>
        <v>0</v>
      </c>
      <c r="AR110" s="12">
        <f>IF(IF($D110="Unlabeled-13",MCDM_Settings!$F$11,MCDM_Settings!$D$11)=0,"n.a.",5*COUNTIF(Z110:AB110,"Y")/IF($D110="Unlabeled-13",MCDM_Settings!$F$11,MCDM_Settings!$D$11))</f>
        <v>3.3333333333333335</v>
      </c>
      <c r="AS110" s="12">
        <f>IF(IF($D110="Unlabeled-13",MCDM_Settings!$F$11,MCDM_Settings!$D$11)=0,"n.a.",5*(COUNTIF(Z110:AB110,"Y")+COUNTIF(Z110:AB110,"U")+COUNTIF(Z110:AB110,"X"))/IF($D110="Unlabeled-13",MCDM_Settings!$F$11,MCDM_Settings!$D$11))</f>
        <v>5</v>
      </c>
      <c r="AT110" s="13">
        <f>IF(IF($D110="Unlabeled-13",MCDM_Settings!$F$11,MCDM_Settings!$D$11)=0,"n.a.",(COUNTIF(Z110:AB110,"Y")+COUNTIF(Z110:AB110,"N"))/IF($D110="Unlabeled-13",MCDM_Settings!$F$11,MCDM_Settings!$D$11))</f>
        <v>0.66666666666666663</v>
      </c>
      <c r="AU110" s="5" t="str">
        <f>IF(AND(INDEX(Manual_Review!$G$6:$G$238,MATCH(A110,Manual_Review!$A$6:$A$238,0))&lt;&gt;"",ISNUMBER(INDEX(Manual_Review!$H$6:$H$238,MATCH(A110,Manual_Review!$A$6:$A$238,0))),INDEX(Manual_Review!$H$6:$H$238,MATCH(A110,Manual_Review!$A$6:$A$238,0))&gt;0,INDEX(Manual_Review!$I$6:$I$238,MATCH(A110,Manual_Review!$A$6:$A$238,0))="Confirmed",INDEX(Manual_Review!$AF$6:$AF$238,MATCH(A110,Manual_Review!$A$6:$A$238,0))&lt;&gt;""),IF(INDEX(Manual_Review!$AA$6:$AA$238,MATCH(A110,Manual_Review!$A$6:$A$238,0))="Pass","Pass",IF(INDEX(Manual_Review!$AA$6:$AA$238,MATCH(A110,Manual_Review!$A$6:$A$238,0))="Fail","Fail","Pending")),"Pending human identity confirmation")</f>
        <v>Pending human identity confirmation</v>
      </c>
      <c r="AV110" s="5" t="str">
        <f>IF(AND(AND(INDEX(Manual_Review!$G$6:$G$238,MATCH(A110,Manual_Review!$A$6:$A$238,0))&lt;&gt;"",ISNUMBER(INDEX(Manual_Review!$H$6:$H$238,MATCH(A110,Manual_Review!$A$6:$A$238,0))),INDEX(Manual_Review!$H$6:$H$238,MATCH(A110,Manual_Review!$A$6:$A$238,0))&gt;0,INDEX(Manual_Review!$I$6:$I$238,MATCH(A110,Manual_Review!$A$6:$A$238,0))="Confirmed",INDEX(Manual_Review!$AF$6:$AF$238,MATCH(A110,Manual_Review!$A$6:$A$238,0))&lt;&gt;""),INDEX(Manual_Review!$AG$6:$AG$238,MATCH(A110,Manual_Review!$A$6:$A$238,0))&lt;&gt;""),IF(INDEX(Manual_Review!$AB$6:$AB$238,MATCH(A110,Manual_Review!$A$6:$A$238,0))="Pass","Pass",IF(INDEX(Manual_Review!$AB$6:$AB$238,MATCH(A110,Manual_Review!$A$6:$A$238,0))="Fail","Fail","Pending")),"Not assessed: define intended task")</f>
        <v>Not assessed: define intended task</v>
      </c>
      <c r="AW110" s="5" t="str">
        <f>IF(AND(AND(INDEX(Manual_Review!$G$6:$G$238,MATCH(A110,Manual_Review!$A$6:$A$238,0))&lt;&gt;"",ISNUMBER(INDEX(Manual_Review!$H$6:$H$238,MATCH(A110,Manual_Review!$A$6:$A$238,0))),INDEX(Manual_Review!$H$6:$H$238,MATCH(A110,Manual_Review!$A$6:$A$238,0))&gt;0,INDEX(Manual_Review!$I$6:$I$238,MATCH(A110,Manual_Review!$A$6:$A$238,0))="Confirmed",INDEX(Manual_Review!$AF$6:$AF$238,MATCH(A110,Manual_Review!$A$6:$A$238,0))&lt;&gt;""),INDEX(Manual_Review!$AG$6:$AG$238,MATCH(A110,Manual_Review!$A$6:$A$238,0))&lt;&gt;""),IF(OR(INDEX(Manual_Review!$AC$6:$AC$238,MATCH(A110,Manual_Review!$A$6:$A$238,0))="Fail",INDEX(Manual_Review!$AD$6:$AD$238,MATCH(A110,Manual_Review!$A$6:$A$238,0))="Fail"),"Fail: rights or retrieval",IF(AND(INDEX(Manual_Review!$AC$6:$AC$238,MATCH(A110,Manual_Review!$A$6:$A$238,0))="Pass",INDEX(Manual_Review!$AD$6:$AD$238,MATCH(A110,Manual_Review!$A$6:$A$238,0))="Pass"),"Pass","Pending rights and retrieval")),"Pending rights and retrieval")</f>
        <v>Pending rights and retrieval</v>
      </c>
      <c r="AX110" s="5" t="str">
        <f>IF(INDEX(Manual_Review!$AG$6:$AG$238,MATCH(A110,Manual_Review!$A$6:$A$238,0))="","N/A: documentation inventory",IF(AND(INDEX(Manual_Review!$G$6:$G$238,MATCH(A110,Manual_Review!$A$6:$A$238,0))&lt;&gt;"",ISNUMBER(INDEX(Manual_Review!$H$6:$H$238,MATCH(A110,Manual_Review!$A$6:$A$238,0))),INDEX(Manual_Review!$H$6:$H$238,MATCH(A110,Manual_Review!$A$6:$A$238,0))&gt;0,INDEX(Manual_Review!$I$6:$I$238,MATCH(A110,Manual_Review!$A$6:$A$238,0))="Confirmed",INDEX(Manual_Review!$AF$6:$AF$238,MATCH(A110,Manual_Review!$A$6:$A$238,0))&lt;&gt;""),IF(INDEX(Manual_Review!$AE$6:$AE$238,MATCH(A110,Manual_Review!$A$6:$A$238,0))="Pass","Pass",IF(INDEX(Manual_Review!$AE$6:$AE$238,MATCH(A110,Manual_Review!$A$6:$A$238,0))="Fail","Fail: benchmark leakage",IF(INDEX(Manual_Review!$AE$6:$AE$238,MATCH(A110,Manual_Review!$A$6:$A$238,0))="N/A","N/A: nonbenchmark task","Pending task-specific leakage check"))),"Pending task-specific leakage check"))</f>
        <v>N/A: documentation inventory</v>
      </c>
      <c r="AY110" s="5" t="str">
        <f>IF(IF(D110="Unlabeled-13",AND(ABS(MCDM_Settings!$D$14-1)&lt;0.0000001,MIN(MCDM_Settings!$E$6:$E$11)&gt;=0,MCDM_Settings!$E$7=0),AND(ABS(MCDM_Settings!$B$14-1)&lt;0.0000001,MIN(MCDM_Settings!$C$6:$C$11)&gt;=0)),"Valid","Check weights")</f>
        <v>Valid</v>
      </c>
      <c r="AZ110" s="5" t="str">
        <f>IF(AND(COUNTIF(MCDM_Checks!$B$6:$B$3733,A110)=16,COUNTIF(Manual_Review!$A$6:$A$238,A110)=1),"16 keys present","Check key count")</f>
        <v>16 keys present</v>
      </c>
    </row>
    <row r="111" spans="1:52">
      <c r="A111" s="5" t="s">
        <v>1270</v>
      </c>
      <c r="B111" s="5" t="s">
        <v>1271</v>
      </c>
      <c r="C111" s="5"/>
      <c r="D111" s="5" t="s">
        <v>118</v>
      </c>
      <c r="E111" s="12">
        <f>IF(OR(AY111&lt;&gt;"Valid",AZ111&lt;&gt;"16 keys present"),"Review settings",20*(IF(ISNUMBER(AC111),AC111*IF($D111="Unlabeled-13",MCDM_Settings!$E$6,MCDM_Settings!$C$6),0)+IF(ISNUMBER(AF111),AF111*IF($D111="Unlabeled-13",MCDM_Settings!$E$7,MCDM_Settings!$C$7),0)+IF(ISNUMBER(AI111),AI111*IF($D111="Unlabeled-13",MCDM_Settings!$E$8,MCDM_Settings!$C$8),0)+IF(ISNUMBER(AL111),AL111*IF($D111="Unlabeled-13",MCDM_Settings!$E$9,MCDM_Settings!$C$9),0)+IF(ISNUMBER(AO111),AO111*IF($D111="Unlabeled-13",MCDM_Settings!$E$10,MCDM_Settings!$C$10),0)+IF(ISNUMBER(AR111),AR111*IF($D111="Unlabeled-13",MCDM_Settings!$E$11,MCDM_Settings!$C$11),0)))</f>
        <v>19.444444444444443</v>
      </c>
      <c r="F111" s="12">
        <f>IF(OR(AY111&lt;&gt;"Valid",AZ111&lt;&gt;"16 keys present"),"Review settings",20*(IF(ISNUMBER(AD111),AD111*IF($D111="Unlabeled-13",MCDM_Settings!$E$6,MCDM_Settings!$C$6),0)+IF(ISNUMBER(AG111),AG111*IF($D111="Unlabeled-13",MCDM_Settings!$E$7,MCDM_Settings!$C$7),0)+IF(ISNUMBER(AJ111),AJ111*IF($D111="Unlabeled-13",MCDM_Settings!$E$8,MCDM_Settings!$C$8),0)+IF(ISNUMBER(AM111),AM111*IF($D111="Unlabeled-13",MCDM_Settings!$E$9,MCDM_Settings!$C$9),0)+IF(ISNUMBER(AP111),AP111*IF($D111="Unlabeled-13",MCDM_Settings!$E$10,MCDM_Settings!$C$10),0)+IF(ISNUMBER(AS111),AS111*IF($D111="Unlabeled-13",MCDM_Settings!$E$11,MCDM_Settings!$C$11),0)))</f>
        <v>99.999999999999986</v>
      </c>
      <c r="G111" s="13">
        <f>IF(OR(AY111&lt;&gt;"Valid",AZ111&lt;&gt;"16 keys present"),"Review settings",1*(IF(ISNUMBER(AE111),AE111*IF($D111="Unlabeled-13",MCDM_Settings!$E$6,MCDM_Settings!$C$6),0)+IF(ISNUMBER(AH111),AH111*IF($D111="Unlabeled-13",MCDM_Settings!$E$7,MCDM_Settings!$C$7),0)+IF(ISNUMBER(AK111),AK111*IF($D111="Unlabeled-13",MCDM_Settings!$E$8,MCDM_Settings!$C$8),0)+IF(ISNUMBER(AN111),AN111*IF($D111="Unlabeled-13",MCDM_Settings!$E$9,MCDM_Settings!$C$9),0)+IF(ISNUMBER(AQ111),AQ111*IF($D111="Unlabeled-13",MCDM_Settings!$E$10,MCDM_Settings!$C$10),0)+IF(ISNUMBER(AT111),AT111*IF($D111="Unlabeled-13",MCDM_Settings!$E$11,MCDM_Settings!$C$11),0)))</f>
        <v>0.19444444444444442</v>
      </c>
      <c r="H111" s="5" t="str">
        <f>INDEX(Manual_Review!$AH$6:$AH$238,MATCH(A111,Manual_Review!$A$6:$A$238,0))</f>
        <v>Not started</v>
      </c>
      <c r="I111" s="5" t="s">
        <v>128</v>
      </c>
      <c r="J111" s="5" t="s">
        <v>1272</v>
      </c>
      <c r="K111" s="5" t="str">
        <f>HYPERLINK("https://huggingface.co/datasets/varcoder/crack-segmentation-dataset","Dataset")</f>
        <v>Dataset</v>
      </c>
      <c r="L111" s="5" t="str">
        <f>HYPERLINK("#'Manual_Review'!A"&amp;(MATCH("DS-106",Manual_Review!$A$6:$A$238,0)+5),"Enter review")</f>
        <v>Enter review</v>
      </c>
      <c r="M111" s="5" t="str">
        <f>INDEX(MCDM_Checks!$K$6:$K$3733,MATCH(A111&amp;"|"&amp;M$5,MCDM_Checks!$A$6:$A$3733,0))</f>
        <v>Y</v>
      </c>
      <c r="N111" s="5" t="str">
        <f>INDEX(MCDM_Checks!$K$6:$K$3733,MATCH(A111&amp;"|"&amp;N$5,MCDM_Checks!$A$6:$A$3733,0))</f>
        <v>Y</v>
      </c>
      <c r="O111" s="5" t="str">
        <f>INDEX(MCDM_Checks!$K$6:$K$3733,MATCH(A111&amp;"|"&amp;O$5,MCDM_Checks!$A$6:$A$3733,0))</f>
        <v>U</v>
      </c>
      <c r="P111" s="5" t="str">
        <f>INDEX(MCDM_Checks!$K$6:$K$3733,MATCH(A111&amp;"|"&amp;P$5,MCDM_Checks!$A$6:$A$3733,0))</f>
        <v>U</v>
      </c>
      <c r="Q111" s="5" t="str">
        <f>INDEX(MCDM_Checks!$K$6:$K$3733,MATCH(A111&amp;"|"&amp;Q$5,MCDM_Checks!$A$6:$A$3733,0))</f>
        <v>U</v>
      </c>
      <c r="R111" s="5" t="str">
        <f>INDEX(MCDM_Checks!$K$6:$K$3733,MATCH(A111&amp;"|"&amp;R$5,MCDM_Checks!$A$6:$A$3733,0))</f>
        <v>U</v>
      </c>
      <c r="S111" s="5" t="str">
        <f>INDEX(MCDM_Checks!$K$6:$K$3733,MATCH(A111&amp;"|"&amp;S$5,MCDM_Checks!$A$6:$A$3733,0))</f>
        <v>U</v>
      </c>
      <c r="T111" s="5" t="str">
        <f>INDEX(MCDM_Checks!$K$6:$K$3733,MATCH(A111&amp;"|"&amp;T$5,MCDM_Checks!$A$6:$A$3733,0))</f>
        <v>U</v>
      </c>
      <c r="U111" s="5" t="str">
        <f>INDEX(MCDM_Checks!$K$6:$K$3733,MATCH(A111&amp;"|"&amp;U$5,MCDM_Checks!$A$6:$A$3733,0))</f>
        <v>U</v>
      </c>
      <c r="V111" s="5" t="str">
        <f>INDEX(MCDM_Checks!$K$6:$K$3733,MATCH(A111&amp;"|"&amp;V$5,MCDM_Checks!$A$6:$A$3733,0))</f>
        <v>Y</v>
      </c>
      <c r="W111" s="5" t="str">
        <f>INDEX(MCDM_Checks!$K$6:$K$3733,MATCH(A111&amp;"|"&amp;W$5,MCDM_Checks!$A$6:$A$3733,0))</f>
        <v>U</v>
      </c>
      <c r="X111" s="5" t="str">
        <f>INDEX(MCDM_Checks!$K$6:$K$3733,MATCH(A111&amp;"|"&amp;X$5,MCDM_Checks!$A$6:$A$3733,0))</f>
        <v>U</v>
      </c>
      <c r="Y111" s="5" t="str">
        <f>INDEX(MCDM_Checks!$K$6:$K$3733,MATCH(A111&amp;"|"&amp;Y$5,MCDM_Checks!$A$6:$A$3733,0))</f>
        <v>U</v>
      </c>
      <c r="Z111" s="5" t="str">
        <f>INDEX(MCDM_Checks!$K$6:$K$3733,MATCH(A111&amp;"|"&amp;Z$5,MCDM_Checks!$A$6:$A$3733,0))</f>
        <v>U</v>
      </c>
      <c r="AA111" s="5" t="str">
        <f>INDEX(MCDM_Checks!$K$6:$K$3733,MATCH(A111&amp;"|"&amp;AA$5,MCDM_Checks!$A$6:$A$3733,0))</f>
        <v>U</v>
      </c>
      <c r="AB111" s="5" t="str">
        <f>INDEX(MCDM_Checks!$K$6:$K$3733,MATCH(A111&amp;"|"&amp;AB$5,MCDM_Checks!$A$6:$A$3733,0))</f>
        <v>U</v>
      </c>
      <c r="AC111" s="12">
        <f>IF(IF($D111="Unlabeled-13",MCDM_Settings!$F$6,MCDM_Settings!$D$6)=0,"n.a.",5*COUNTIF(M111:O111,"Y")/IF($D111="Unlabeled-13",MCDM_Settings!$F$6,MCDM_Settings!$D$6))</f>
        <v>3.3333333333333335</v>
      </c>
      <c r="AD111" s="12">
        <f>IF(IF($D111="Unlabeled-13",MCDM_Settings!$F$6,MCDM_Settings!$D$6)=0,"n.a.",5*(COUNTIF(M111:O111,"Y")+COUNTIF(M111:O111,"U")+COUNTIF(M111:O111,"X"))/IF($D111="Unlabeled-13",MCDM_Settings!$F$6,MCDM_Settings!$D$6))</f>
        <v>5</v>
      </c>
      <c r="AE111" s="13">
        <f>IF(IF($D111="Unlabeled-13",MCDM_Settings!$F$6,MCDM_Settings!$D$6)=0,"n.a.",(COUNTIF(M111:O111,"Y")+COUNTIF(M111:O111,"N"))/IF($D111="Unlabeled-13",MCDM_Settings!$F$6,MCDM_Settings!$D$6))</f>
        <v>0.66666666666666663</v>
      </c>
      <c r="AF111" s="12">
        <f>IF(IF($D111="Unlabeled-13",MCDM_Settings!$F$7,MCDM_Settings!$D$7)=0,"n.a.",5*COUNTIF(P111:R111,"Y")/IF($D111="Unlabeled-13",MCDM_Settings!$F$7,MCDM_Settings!$D$7))</f>
        <v>0</v>
      </c>
      <c r="AG111" s="12">
        <f>IF(IF($D111="Unlabeled-13",MCDM_Settings!$F$7,MCDM_Settings!$D$7)=0,"n.a.",5*(COUNTIF(P111:R111,"Y")+COUNTIF(P111:R111,"U")+COUNTIF(P111:R111,"X"))/IF($D111="Unlabeled-13",MCDM_Settings!$F$7,MCDM_Settings!$D$7))</f>
        <v>5</v>
      </c>
      <c r="AH111" s="13">
        <f>IF(IF($D111="Unlabeled-13",MCDM_Settings!$F$7,MCDM_Settings!$D$7)=0,"n.a.",(COUNTIF(P111:R111,"Y")+COUNTIF(P111:R111,"N"))/IF($D111="Unlabeled-13",MCDM_Settings!$F$7,MCDM_Settings!$D$7))</f>
        <v>0</v>
      </c>
      <c r="AI111" s="12">
        <f>IF(IF($D111="Unlabeled-13",MCDM_Settings!$F$8,MCDM_Settings!$D$8)=0,"n.a.",5*COUNTIF(S111:U111,"Y")/IF($D111="Unlabeled-13",MCDM_Settings!$F$8,MCDM_Settings!$D$8))</f>
        <v>0</v>
      </c>
      <c r="AJ111" s="12">
        <f>IF(IF($D111="Unlabeled-13",MCDM_Settings!$F$8,MCDM_Settings!$D$8)=0,"n.a.",5*(COUNTIF(S111:U111,"Y")+COUNTIF(S111:U111,"U")+COUNTIF(S111:U111,"X"))/IF($D111="Unlabeled-13",MCDM_Settings!$F$8,MCDM_Settings!$D$8))</f>
        <v>5</v>
      </c>
      <c r="AK111" s="13">
        <f>IF(IF($D111="Unlabeled-13",MCDM_Settings!$F$8,MCDM_Settings!$D$8)=0,"n.a.",(COUNTIF(S111:U111,"Y")+COUNTIF(S111:U111,"N"))/IF($D111="Unlabeled-13",MCDM_Settings!$F$8,MCDM_Settings!$D$8))</f>
        <v>0</v>
      </c>
      <c r="AL111" s="12">
        <f>IF(IF($D111="Unlabeled-13",MCDM_Settings!$F$9,MCDM_Settings!$D$9)=0,"n.a.",5*COUNTIF(V111:W111,"Y")/IF($D111="Unlabeled-13",MCDM_Settings!$F$9,MCDM_Settings!$D$9))</f>
        <v>2.5</v>
      </c>
      <c r="AM111" s="12">
        <f>IF(IF($D111="Unlabeled-13",MCDM_Settings!$F$9,MCDM_Settings!$D$9)=0,"n.a.",5*(COUNTIF(V111:W111,"Y")+COUNTIF(V111:W111,"U")+COUNTIF(V111:W111,"X"))/IF($D111="Unlabeled-13",MCDM_Settings!$F$9,MCDM_Settings!$D$9))</f>
        <v>5</v>
      </c>
      <c r="AN111" s="13">
        <f>IF(IF($D111="Unlabeled-13",MCDM_Settings!$F$9,MCDM_Settings!$D$9)=0,"n.a.",(COUNTIF(V111:W111,"Y")+COUNTIF(V111:W111,"N"))/IF($D111="Unlabeled-13",MCDM_Settings!$F$9,MCDM_Settings!$D$9))</f>
        <v>0.5</v>
      </c>
      <c r="AO111" s="12">
        <f>IF(IF($D111="Unlabeled-13",MCDM_Settings!$F$10,MCDM_Settings!$D$10)=0,"n.a.",5*COUNTIF(X111:Y111,"Y")/IF($D111="Unlabeled-13",MCDM_Settings!$F$10,MCDM_Settings!$D$10))</f>
        <v>0</v>
      </c>
      <c r="AP111" s="12">
        <f>IF(IF($D111="Unlabeled-13",MCDM_Settings!$F$10,MCDM_Settings!$D$10)=0,"n.a.",5*(COUNTIF(X111:Y111,"Y")+COUNTIF(X111:Y111,"U")+COUNTIF(X111:Y111,"X"))/IF($D111="Unlabeled-13",MCDM_Settings!$F$10,MCDM_Settings!$D$10))</f>
        <v>5</v>
      </c>
      <c r="AQ111" s="13">
        <f>IF(IF($D111="Unlabeled-13",MCDM_Settings!$F$10,MCDM_Settings!$D$10)=0,"n.a.",(COUNTIF(X111:Y111,"Y")+COUNTIF(X111:Y111,"N"))/IF($D111="Unlabeled-13",MCDM_Settings!$F$10,MCDM_Settings!$D$10))</f>
        <v>0</v>
      </c>
      <c r="AR111" s="12">
        <f>IF(IF($D111="Unlabeled-13",MCDM_Settings!$F$11,MCDM_Settings!$D$11)=0,"n.a.",5*COUNTIF(Z111:AB111,"Y")/IF($D111="Unlabeled-13",MCDM_Settings!$F$11,MCDM_Settings!$D$11))</f>
        <v>0</v>
      </c>
      <c r="AS111" s="12">
        <f>IF(IF($D111="Unlabeled-13",MCDM_Settings!$F$11,MCDM_Settings!$D$11)=0,"n.a.",5*(COUNTIF(Z111:AB111,"Y")+COUNTIF(Z111:AB111,"U")+COUNTIF(Z111:AB111,"X"))/IF($D111="Unlabeled-13",MCDM_Settings!$F$11,MCDM_Settings!$D$11))</f>
        <v>5</v>
      </c>
      <c r="AT111" s="13">
        <f>IF(IF($D111="Unlabeled-13",MCDM_Settings!$F$11,MCDM_Settings!$D$11)=0,"n.a.",(COUNTIF(Z111:AB111,"Y")+COUNTIF(Z111:AB111,"N"))/IF($D111="Unlabeled-13",MCDM_Settings!$F$11,MCDM_Settings!$D$11))</f>
        <v>0</v>
      </c>
      <c r="AU111" s="5" t="str">
        <f>IF(AND(INDEX(Manual_Review!$G$6:$G$238,MATCH(A111,Manual_Review!$A$6:$A$238,0))&lt;&gt;"",ISNUMBER(INDEX(Manual_Review!$H$6:$H$238,MATCH(A111,Manual_Review!$A$6:$A$238,0))),INDEX(Manual_Review!$H$6:$H$238,MATCH(A111,Manual_Review!$A$6:$A$238,0))&gt;0,INDEX(Manual_Review!$I$6:$I$238,MATCH(A111,Manual_Review!$A$6:$A$238,0))="Confirmed",INDEX(Manual_Review!$AF$6:$AF$238,MATCH(A111,Manual_Review!$A$6:$A$238,0))&lt;&gt;""),IF(INDEX(Manual_Review!$AA$6:$AA$238,MATCH(A111,Manual_Review!$A$6:$A$238,0))="Pass","Pass",IF(INDEX(Manual_Review!$AA$6:$AA$238,MATCH(A111,Manual_Review!$A$6:$A$238,0))="Fail","Fail","Pending")),"Pending human identity confirmation")</f>
        <v>Pending human identity confirmation</v>
      </c>
      <c r="AV111" s="5" t="str">
        <f>IF(AND(AND(INDEX(Manual_Review!$G$6:$G$238,MATCH(A111,Manual_Review!$A$6:$A$238,0))&lt;&gt;"",ISNUMBER(INDEX(Manual_Review!$H$6:$H$238,MATCH(A111,Manual_Review!$A$6:$A$238,0))),INDEX(Manual_Review!$H$6:$H$238,MATCH(A111,Manual_Review!$A$6:$A$238,0))&gt;0,INDEX(Manual_Review!$I$6:$I$238,MATCH(A111,Manual_Review!$A$6:$A$238,0))="Confirmed",INDEX(Manual_Review!$AF$6:$AF$238,MATCH(A111,Manual_Review!$A$6:$A$238,0))&lt;&gt;""),INDEX(Manual_Review!$AG$6:$AG$238,MATCH(A111,Manual_Review!$A$6:$A$238,0))&lt;&gt;""),IF(INDEX(Manual_Review!$AB$6:$AB$238,MATCH(A111,Manual_Review!$A$6:$A$238,0))="Pass","Pass",IF(INDEX(Manual_Review!$AB$6:$AB$238,MATCH(A111,Manual_Review!$A$6:$A$238,0))="Fail","Fail","Pending")),"Not assessed: define intended task")</f>
        <v>Not assessed: define intended task</v>
      </c>
      <c r="AW111" s="5" t="str">
        <f>IF(AND(AND(INDEX(Manual_Review!$G$6:$G$238,MATCH(A111,Manual_Review!$A$6:$A$238,0))&lt;&gt;"",ISNUMBER(INDEX(Manual_Review!$H$6:$H$238,MATCH(A111,Manual_Review!$A$6:$A$238,0))),INDEX(Manual_Review!$H$6:$H$238,MATCH(A111,Manual_Review!$A$6:$A$238,0))&gt;0,INDEX(Manual_Review!$I$6:$I$238,MATCH(A111,Manual_Review!$A$6:$A$238,0))="Confirmed",INDEX(Manual_Review!$AF$6:$AF$238,MATCH(A111,Manual_Review!$A$6:$A$238,0))&lt;&gt;""),INDEX(Manual_Review!$AG$6:$AG$238,MATCH(A111,Manual_Review!$A$6:$A$238,0))&lt;&gt;""),IF(OR(INDEX(Manual_Review!$AC$6:$AC$238,MATCH(A111,Manual_Review!$A$6:$A$238,0))="Fail",INDEX(Manual_Review!$AD$6:$AD$238,MATCH(A111,Manual_Review!$A$6:$A$238,0))="Fail"),"Fail: rights or retrieval",IF(AND(INDEX(Manual_Review!$AC$6:$AC$238,MATCH(A111,Manual_Review!$A$6:$A$238,0))="Pass",INDEX(Manual_Review!$AD$6:$AD$238,MATCH(A111,Manual_Review!$A$6:$A$238,0))="Pass"),"Pass","Pending rights and retrieval")),"Pending rights and retrieval")</f>
        <v>Pending rights and retrieval</v>
      </c>
      <c r="AX111" s="5" t="str">
        <f>IF(INDEX(Manual_Review!$AG$6:$AG$238,MATCH(A111,Manual_Review!$A$6:$A$238,0))="","N/A: documentation inventory",IF(AND(INDEX(Manual_Review!$G$6:$G$238,MATCH(A111,Manual_Review!$A$6:$A$238,0))&lt;&gt;"",ISNUMBER(INDEX(Manual_Review!$H$6:$H$238,MATCH(A111,Manual_Review!$A$6:$A$238,0))),INDEX(Manual_Review!$H$6:$H$238,MATCH(A111,Manual_Review!$A$6:$A$238,0))&gt;0,INDEX(Manual_Review!$I$6:$I$238,MATCH(A111,Manual_Review!$A$6:$A$238,0))="Confirmed",INDEX(Manual_Review!$AF$6:$AF$238,MATCH(A111,Manual_Review!$A$6:$A$238,0))&lt;&gt;""),IF(INDEX(Manual_Review!$AE$6:$AE$238,MATCH(A111,Manual_Review!$A$6:$A$238,0))="Pass","Pass",IF(INDEX(Manual_Review!$AE$6:$AE$238,MATCH(A111,Manual_Review!$A$6:$A$238,0))="Fail","Fail: benchmark leakage",IF(INDEX(Manual_Review!$AE$6:$AE$238,MATCH(A111,Manual_Review!$A$6:$A$238,0))="N/A","N/A: nonbenchmark task","Pending task-specific leakage check"))),"Pending task-specific leakage check"))</f>
        <v>N/A: documentation inventory</v>
      </c>
      <c r="AY111" s="5" t="str">
        <f>IF(IF(D111="Unlabeled-13",AND(ABS(MCDM_Settings!$D$14-1)&lt;0.0000001,MIN(MCDM_Settings!$E$6:$E$11)&gt;=0,MCDM_Settings!$E$7=0),AND(ABS(MCDM_Settings!$B$14-1)&lt;0.0000001,MIN(MCDM_Settings!$C$6:$C$11)&gt;=0)),"Valid","Check weights")</f>
        <v>Valid</v>
      </c>
      <c r="AZ111" s="5" t="str">
        <f>IF(AND(COUNTIF(MCDM_Checks!$B$6:$B$3733,A111)=16,COUNTIF(Manual_Review!$A$6:$A$238,A111)=1),"16 keys present","Check key count")</f>
        <v>16 keys present</v>
      </c>
    </row>
    <row r="112" spans="1:52" ht="38.25">
      <c r="A112" s="5" t="s">
        <v>1280</v>
      </c>
      <c r="B112" s="5" t="s">
        <v>1281</v>
      </c>
      <c r="C112" s="5"/>
      <c r="D112" s="5" t="s">
        <v>118</v>
      </c>
      <c r="E112" s="12">
        <f>IF(OR(AY112&lt;&gt;"Valid",AZ112&lt;&gt;"16 keys present"),"Review settings",20*(IF(ISNUMBER(AC112),AC112*IF($D112="Unlabeled-13",MCDM_Settings!$E$6,MCDM_Settings!$C$6),0)+IF(ISNUMBER(AF112),AF112*IF($D112="Unlabeled-13",MCDM_Settings!$E$7,MCDM_Settings!$C$7),0)+IF(ISNUMBER(AI112),AI112*IF($D112="Unlabeled-13",MCDM_Settings!$E$8,MCDM_Settings!$C$8),0)+IF(ISNUMBER(AL112),AL112*IF($D112="Unlabeled-13",MCDM_Settings!$E$9,MCDM_Settings!$C$9),0)+IF(ISNUMBER(AO112),AO112*IF($D112="Unlabeled-13",MCDM_Settings!$E$10,MCDM_Settings!$C$10),0)+IF(ISNUMBER(AR112),AR112*IF($D112="Unlabeled-13",MCDM_Settings!$E$11,MCDM_Settings!$C$11),0)))</f>
        <v>16.666666666666664</v>
      </c>
      <c r="F112" s="12">
        <f>IF(OR(AY112&lt;&gt;"Valid",AZ112&lt;&gt;"16 keys present"),"Review settings",20*(IF(ISNUMBER(AD112),AD112*IF($D112="Unlabeled-13",MCDM_Settings!$E$6,MCDM_Settings!$C$6),0)+IF(ISNUMBER(AG112),AG112*IF($D112="Unlabeled-13",MCDM_Settings!$E$7,MCDM_Settings!$C$7),0)+IF(ISNUMBER(AJ112),AJ112*IF($D112="Unlabeled-13",MCDM_Settings!$E$8,MCDM_Settings!$C$8),0)+IF(ISNUMBER(AM112),AM112*IF($D112="Unlabeled-13",MCDM_Settings!$E$9,MCDM_Settings!$C$9),0)+IF(ISNUMBER(AP112),AP112*IF($D112="Unlabeled-13",MCDM_Settings!$E$10,MCDM_Settings!$C$10),0)+IF(ISNUMBER(AS112),AS112*IF($D112="Unlabeled-13",MCDM_Settings!$E$11,MCDM_Settings!$C$11),0)))</f>
        <v>99.999999999999986</v>
      </c>
      <c r="G112" s="13">
        <f>IF(OR(AY112&lt;&gt;"Valid",AZ112&lt;&gt;"16 keys present"),"Review settings",1*(IF(ISNUMBER(AE112),AE112*IF($D112="Unlabeled-13",MCDM_Settings!$E$6,MCDM_Settings!$C$6),0)+IF(ISNUMBER(AH112),AH112*IF($D112="Unlabeled-13",MCDM_Settings!$E$7,MCDM_Settings!$C$7),0)+IF(ISNUMBER(AK112),AK112*IF($D112="Unlabeled-13",MCDM_Settings!$E$8,MCDM_Settings!$C$8),0)+IF(ISNUMBER(AN112),AN112*IF($D112="Unlabeled-13",MCDM_Settings!$E$9,MCDM_Settings!$C$9),0)+IF(ISNUMBER(AQ112),AQ112*IF($D112="Unlabeled-13",MCDM_Settings!$E$10,MCDM_Settings!$C$10),0)+IF(ISNUMBER(AT112),AT112*IF($D112="Unlabeled-13",MCDM_Settings!$E$11,MCDM_Settings!$C$11),0)))</f>
        <v>0.16666666666666666</v>
      </c>
      <c r="H112" s="5" t="str">
        <f>INDEX(Manual_Review!$AH$6:$AH$238,MATCH(A112,Manual_Review!$A$6:$A$238,0))</f>
        <v>Not started</v>
      </c>
      <c r="I112" s="5" t="s">
        <v>128</v>
      </c>
      <c r="J112" s="5" t="s">
        <v>121</v>
      </c>
      <c r="K112" s="5" t="str">
        <f>HYPERLINK("https://zenodo.org/records/18241476","Dataset")</f>
        <v>Dataset</v>
      </c>
      <c r="L112" s="5" t="str">
        <f>HYPERLINK("#'Manual_Review'!A"&amp;(MATCH("DS-107",Manual_Review!$A$6:$A$238,0)+5),"Enter review")</f>
        <v>Enter review</v>
      </c>
      <c r="M112" s="5" t="str">
        <f>INDEX(MCDM_Checks!$K$6:$K$3733,MATCH(A112&amp;"|"&amp;M$5,MCDM_Checks!$A$6:$A$3733,0))</f>
        <v>Y</v>
      </c>
      <c r="N112" s="5" t="str">
        <f>INDEX(MCDM_Checks!$K$6:$K$3733,MATCH(A112&amp;"|"&amp;N$5,MCDM_Checks!$A$6:$A$3733,0))</f>
        <v>Y</v>
      </c>
      <c r="O112" s="5" t="str">
        <f>INDEX(MCDM_Checks!$K$6:$K$3733,MATCH(A112&amp;"|"&amp;O$5,MCDM_Checks!$A$6:$A$3733,0))</f>
        <v>Y</v>
      </c>
      <c r="P112" s="5" t="str">
        <f>INDEX(MCDM_Checks!$K$6:$K$3733,MATCH(A112&amp;"|"&amp;P$5,MCDM_Checks!$A$6:$A$3733,0))</f>
        <v>U</v>
      </c>
      <c r="Q112" s="5" t="str">
        <f>INDEX(MCDM_Checks!$K$6:$K$3733,MATCH(A112&amp;"|"&amp;Q$5,MCDM_Checks!$A$6:$A$3733,0))</f>
        <v>U</v>
      </c>
      <c r="R112" s="5" t="str">
        <f>INDEX(MCDM_Checks!$K$6:$K$3733,MATCH(A112&amp;"|"&amp;R$5,MCDM_Checks!$A$6:$A$3733,0))</f>
        <v>U</v>
      </c>
      <c r="S112" s="5" t="str">
        <f>INDEX(MCDM_Checks!$K$6:$K$3733,MATCH(A112&amp;"|"&amp;S$5,MCDM_Checks!$A$6:$A$3733,0))</f>
        <v>U</v>
      </c>
      <c r="T112" s="5" t="str">
        <f>INDEX(MCDM_Checks!$K$6:$K$3733,MATCH(A112&amp;"|"&amp;T$5,MCDM_Checks!$A$6:$A$3733,0))</f>
        <v>U</v>
      </c>
      <c r="U112" s="5" t="str">
        <f>INDEX(MCDM_Checks!$K$6:$K$3733,MATCH(A112&amp;"|"&amp;U$5,MCDM_Checks!$A$6:$A$3733,0))</f>
        <v>U</v>
      </c>
      <c r="V112" s="5" t="str">
        <f>INDEX(MCDM_Checks!$K$6:$K$3733,MATCH(A112&amp;"|"&amp;V$5,MCDM_Checks!$A$6:$A$3733,0))</f>
        <v>U</v>
      </c>
      <c r="W112" s="5" t="str">
        <f>INDEX(MCDM_Checks!$K$6:$K$3733,MATCH(A112&amp;"|"&amp;W$5,MCDM_Checks!$A$6:$A$3733,0))</f>
        <v>U</v>
      </c>
      <c r="X112" s="5" t="str">
        <f>INDEX(MCDM_Checks!$K$6:$K$3733,MATCH(A112&amp;"|"&amp;X$5,MCDM_Checks!$A$6:$A$3733,0))</f>
        <v>U</v>
      </c>
      <c r="Y112" s="5" t="str">
        <f>INDEX(MCDM_Checks!$K$6:$K$3733,MATCH(A112&amp;"|"&amp;Y$5,MCDM_Checks!$A$6:$A$3733,0))</f>
        <v>U</v>
      </c>
      <c r="Z112" s="5" t="str">
        <f>INDEX(MCDM_Checks!$K$6:$K$3733,MATCH(A112&amp;"|"&amp;Z$5,MCDM_Checks!$A$6:$A$3733,0))</f>
        <v>U</v>
      </c>
      <c r="AA112" s="5" t="str">
        <f>INDEX(MCDM_Checks!$K$6:$K$3733,MATCH(A112&amp;"|"&amp;AA$5,MCDM_Checks!$A$6:$A$3733,0))</f>
        <v>U</v>
      </c>
      <c r="AB112" s="5" t="str">
        <f>INDEX(MCDM_Checks!$K$6:$K$3733,MATCH(A112&amp;"|"&amp;AB$5,MCDM_Checks!$A$6:$A$3733,0))</f>
        <v>U</v>
      </c>
      <c r="AC112" s="12">
        <f>IF(IF($D112="Unlabeled-13",MCDM_Settings!$F$6,MCDM_Settings!$D$6)=0,"n.a.",5*COUNTIF(M112:O112,"Y")/IF($D112="Unlabeled-13",MCDM_Settings!$F$6,MCDM_Settings!$D$6))</f>
        <v>5</v>
      </c>
      <c r="AD112" s="12">
        <f>IF(IF($D112="Unlabeled-13",MCDM_Settings!$F$6,MCDM_Settings!$D$6)=0,"n.a.",5*(COUNTIF(M112:O112,"Y")+COUNTIF(M112:O112,"U")+COUNTIF(M112:O112,"X"))/IF($D112="Unlabeled-13",MCDM_Settings!$F$6,MCDM_Settings!$D$6))</f>
        <v>5</v>
      </c>
      <c r="AE112" s="13">
        <f>IF(IF($D112="Unlabeled-13",MCDM_Settings!$F$6,MCDM_Settings!$D$6)=0,"n.a.",(COUNTIF(M112:O112,"Y")+COUNTIF(M112:O112,"N"))/IF($D112="Unlabeled-13",MCDM_Settings!$F$6,MCDM_Settings!$D$6))</f>
        <v>1</v>
      </c>
      <c r="AF112" s="12">
        <f>IF(IF($D112="Unlabeled-13",MCDM_Settings!$F$7,MCDM_Settings!$D$7)=0,"n.a.",5*COUNTIF(P112:R112,"Y")/IF($D112="Unlabeled-13",MCDM_Settings!$F$7,MCDM_Settings!$D$7))</f>
        <v>0</v>
      </c>
      <c r="AG112" s="12">
        <f>IF(IF($D112="Unlabeled-13",MCDM_Settings!$F$7,MCDM_Settings!$D$7)=0,"n.a.",5*(COUNTIF(P112:R112,"Y")+COUNTIF(P112:R112,"U")+COUNTIF(P112:R112,"X"))/IF($D112="Unlabeled-13",MCDM_Settings!$F$7,MCDM_Settings!$D$7))</f>
        <v>5</v>
      </c>
      <c r="AH112" s="13">
        <f>IF(IF($D112="Unlabeled-13",MCDM_Settings!$F$7,MCDM_Settings!$D$7)=0,"n.a.",(COUNTIF(P112:R112,"Y")+COUNTIF(P112:R112,"N"))/IF($D112="Unlabeled-13",MCDM_Settings!$F$7,MCDM_Settings!$D$7))</f>
        <v>0</v>
      </c>
      <c r="AI112" s="12">
        <f>IF(IF($D112="Unlabeled-13",MCDM_Settings!$F$8,MCDM_Settings!$D$8)=0,"n.a.",5*COUNTIF(S112:U112,"Y")/IF($D112="Unlabeled-13",MCDM_Settings!$F$8,MCDM_Settings!$D$8))</f>
        <v>0</v>
      </c>
      <c r="AJ112" s="12">
        <f>IF(IF($D112="Unlabeled-13",MCDM_Settings!$F$8,MCDM_Settings!$D$8)=0,"n.a.",5*(COUNTIF(S112:U112,"Y")+COUNTIF(S112:U112,"U")+COUNTIF(S112:U112,"X"))/IF($D112="Unlabeled-13",MCDM_Settings!$F$8,MCDM_Settings!$D$8))</f>
        <v>5</v>
      </c>
      <c r="AK112" s="13">
        <f>IF(IF($D112="Unlabeled-13",MCDM_Settings!$F$8,MCDM_Settings!$D$8)=0,"n.a.",(COUNTIF(S112:U112,"Y")+COUNTIF(S112:U112,"N"))/IF($D112="Unlabeled-13",MCDM_Settings!$F$8,MCDM_Settings!$D$8))</f>
        <v>0</v>
      </c>
      <c r="AL112" s="12">
        <f>IF(IF($D112="Unlabeled-13",MCDM_Settings!$F$9,MCDM_Settings!$D$9)=0,"n.a.",5*COUNTIF(V112:W112,"Y")/IF($D112="Unlabeled-13",MCDM_Settings!$F$9,MCDM_Settings!$D$9))</f>
        <v>0</v>
      </c>
      <c r="AM112" s="12">
        <f>IF(IF($D112="Unlabeled-13",MCDM_Settings!$F$9,MCDM_Settings!$D$9)=0,"n.a.",5*(COUNTIF(V112:W112,"Y")+COUNTIF(V112:W112,"U")+COUNTIF(V112:W112,"X"))/IF($D112="Unlabeled-13",MCDM_Settings!$F$9,MCDM_Settings!$D$9))</f>
        <v>5</v>
      </c>
      <c r="AN112" s="13">
        <f>IF(IF($D112="Unlabeled-13",MCDM_Settings!$F$9,MCDM_Settings!$D$9)=0,"n.a.",(COUNTIF(V112:W112,"Y")+COUNTIF(V112:W112,"N"))/IF($D112="Unlabeled-13",MCDM_Settings!$F$9,MCDM_Settings!$D$9))</f>
        <v>0</v>
      </c>
      <c r="AO112" s="12">
        <f>IF(IF($D112="Unlabeled-13",MCDM_Settings!$F$10,MCDM_Settings!$D$10)=0,"n.a.",5*COUNTIF(X112:Y112,"Y")/IF($D112="Unlabeled-13",MCDM_Settings!$F$10,MCDM_Settings!$D$10))</f>
        <v>0</v>
      </c>
      <c r="AP112" s="12">
        <f>IF(IF($D112="Unlabeled-13",MCDM_Settings!$F$10,MCDM_Settings!$D$10)=0,"n.a.",5*(COUNTIF(X112:Y112,"Y")+COUNTIF(X112:Y112,"U")+COUNTIF(X112:Y112,"X"))/IF($D112="Unlabeled-13",MCDM_Settings!$F$10,MCDM_Settings!$D$10))</f>
        <v>5</v>
      </c>
      <c r="AQ112" s="13">
        <f>IF(IF($D112="Unlabeled-13",MCDM_Settings!$F$10,MCDM_Settings!$D$10)=0,"n.a.",(COUNTIF(X112:Y112,"Y")+COUNTIF(X112:Y112,"N"))/IF($D112="Unlabeled-13",MCDM_Settings!$F$10,MCDM_Settings!$D$10))</f>
        <v>0</v>
      </c>
      <c r="AR112" s="12">
        <f>IF(IF($D112="Unlabeled-13",MCDM_Settings!$F$11,MCDM_Settings!$D$11)=0,"n.a.",5*COUNTIF(Z112:AB112,"Y")/IF($D112="Unlabeled-13",MCDM_Settings!$F$11,MCDM_Settings!$D$11))</f>
        <v>0</v>
      </c>
      <c r="AS112" s="12">
        <f>IF(IF($D112="Unlabeled-13",MCDM_Settings!$F$11,MCDM_Settings!$D$11)=0,"n.a.",5*(COUNTIF(Z112:AB112,"Y")+COUNTIF(Z112:AB112,"U")+COUNTIF(Z112:AB112,"X"))/IF($D112="Unlabeled-13",MCDM_Settings!$F$11,MCDM_Settings!$D$11))</f>
        <v>5</v>
      </c>
      <c r="AT112" s="13">
        <f>IF(IF($D112="Unlabeled-13",MCDM_Settings!$F$11,MCDM_Settings!$D$11)=0,"n.a.",(COUNTIF(Z112:AB112,"Y")+COUNTIF(Z112:AB112,"N"))/IF($D112="Unlabeled-13",MCDM_Settings!$F$11,MCDM_Settings!$D$11))</f>
        <v>0</v>
      </c>
      <c r="AU112" s="5" t="str">
        <f>IF(AND(INDEX(Manual_Review!$G$6:$G$238,MATCH(A112,Manual_Review!$A$6:$A$238,0))&lt;&gt;"",ISNUMBER(INDEX(Manual_Review!$H$6:$H$238,MATCH(A112,Manual_Review!$A$6:$A$238,0))),INDEX(Manual_Review!$H$6:$H$238,MATCH(A112,Manual_Review!$A$6:$A$238,0))&gt;0,INDEX(Manual_Review!$I$6:$I$238,MATCH(A112,Manual_Review!$A$6:$A$238,0))="Confirmed",INDEX(Manual_Review!$AF$6:$AF$238,MATCH(A112,Manual_Review!$A$6:$A$238,0))&lt;&gt;""),IF(INDEX(Manual_Review!$AA$6:$AA$238,MATCH(A112,Manual_Review!$A$6:$A$238,0))="Pass","Pass",IF(INDEX(Manual_Review!$AA$6:$AA$238,MATCH(A112,Manual_Review!$A$6:$A$238,0))="Fail","Fail","Pending")),"Pending human identity confirmation")</f>
        <v>Pending human identity confirmation</v>
      </c>
      <c r="AV112" s="5" t="str">
        <f>IF(AND(AND(INDEX(Manual_Review!$G$6:$G$238,MATCH(A112,Manual_Review!$A$6:$A$238,0))&lt;&gt;"",ISNUMBER(INDEX(Manual_Review!$H$6:$H$238,MATCH(A112,Manual_Review!$A$6:$A$238,0))),INDEX(Manual_Review!$H$6:$H$238,MATCH(A112,Manual_Review!$A$6:$A$238,0))&gt;0,INDEX(Manual_Review!$I$6:$I$238,MATCH(A112,Manual_Review!$A$6:$A$238,0))="Confirmed",INDEX(Manual_Review!$AF$6:$AF$238,MATCH(A112,Manual_Review!$A$6:$A$238,0))&lt;&gt;""),INDEX(Manual_Review!$AG$6:$AG$238,MATCH(A112,Manual_Review!$A$6:$A$238,0))&lt;&gt;""),IF(INDEX(Manual_Review!$AB$6:$AB$238,MATCH(A112,Manual_Review!$A$6:$A$238,0))="Pass","Pass",IF(INDEX(Manual_Review!$AB$6:$AB$238,MATCH(A112,Manual_Review!$A$6:$A$238,0))="Fail","Fail","Pending")),"Not assessed: define intended task")</f>
        <v>Not assessed: define intended task</v>
      </c>
      <c r="AW112" s="5" t="str">
        <f>IF(AND(AND(INDEX(Manual_Review!$G$6:$G$238,MATCH(A112,Manual_Review!$A$6:$A$238,0))&lt;&gt;"",ISNUMBER(INDEX(Manual_Review!$H$6:$H$238,MATCH(A112,Manual_Review!$A$6:$A$238,0))),INDEX(Manual_Review!$H$6:$H$238,MATCH(A112,Manual_Review!$A$6:$A$238,0))&gt;0,INDEX(Manual_Review!$I$6:$I$238,MATCH(A112,Manual_Review!$A$6:$A$238,0))="Confirmed",INDEX(Manual_Review!$AF$6:$AF$238,MATCH(A112,Manual_Review!$A$6:$A$238,0))&lt;&gt;""),INDEX(Manual_Review!$AG$6:$AG$238,MATCH(A112,Manual_Review!$A$6:$A$238,0))&lt;&gt;""),IF(OR(INDEX(Manual_Review!$AC$6:$AC$238,MATCH(A112,Manual_Review!$A$6:$A$238,0))="Fail",INDEX(Manual_Review!$AD$6:$AD$238,MATCH(A112,Manual_Review!$A$6:$A$238,0))="Fail"),"Fail: rights or retrieval",IF(AND(INDEX(Manual_Review!$AC$6:$AC$238,MATCH(A112,Manual_Review!$A$6:$A$238,0))="Pass",INDEX(Manual_Review!$AD$6:$AD$238,MATCH(A112,Manual_Review!$A$6:$A$238,0))="Pass"),"Pass","Pending rights and retrieval")),"Pending rights and retrieval")</f>
        <v>Pending rights and retrieval</v>
      </c>
      <c r="AX112" s="5" t="str">
        <f>IF(INDEX(Manual_Review!$AG$6:$AG$238,MATCH(A112,Manual_Review!$A$6:$A$238,0))="","N/A: documentation inventory",IF(AND(INDEX(Manual_Review!$G$6:$G$238,MATCH(A112,Manual_Review!$A$6:$A$238,0))&lt;&gt;"",ISNUMBER(INDEX(Manual_Review!$H$6:$H$238,MATCH(A112,Manual_Review!$A$6:$A$238,0))),INDEX(Manual_Review!$H$6:$H$238,MATCH(A112,Manual_Review!$A$6:$A$238,0))&gt;0,INDEX(Manual_Review!$I$6:$I$238,MATCH(A112,Manual_Review!$A$6:$A$238,0))="Confirmed",INDEX(Manual_Review!$AF$6:$AF$238,MATCH(A112,Manual_Review!$A$6:$A$238,0))&lt;&gt;""),IF(INDEX(Manual_Review!$AE$6:$AE$238,MATCH(A112,Manual_Review!$A$6:$A$238,0))="Pass","Pass",IF(INDEX(Manual_Review!$AE$6:$AE$238,MATCH(A112,Manual_Review!$A$6:$A$238,0))="Fail","Fail: benchmark leakage",IF(INDEX(Manual_Review!$AE$6:$AE$238,MATCH(A112,Manual_Review!$A$6:$A$238,0))="N/A","N/A: nonbenchmark task","Pending task-specific leakage check"))),"Pending task-specific leakage check"))</f>
        <v>N/A: documentation inventory</v>
      </c>
      <c r="AY112" s="5" t="str">
        <f>IF(IF(D112="Unlabeled-13",AND(ABS(MCDM_Settings!$D$14-1)&lt;0.0000001,MIN(MCDM_Settings!$E$6:$E$11)&gt;=0,MCDM_Settings!$E$7=0),AND(ABS(MCDM_Settings!$B$14-1)&lt;0.0000001,MIN(MCDM_Settings!$C$6:$C$11)&gt;=0)),"Valid","Check weights")</f>
        <v>Valid</v>
      </c>
      <c r="AZ112" s="5" t="str">
        <f>IF(AND(COUNTIF(MCDM_Checks!$B$6:$B$3733,A112)=16,COUNTIF(Manual_Review!$A$6:$A$238,A112)=1),"16 keys present","Check key count")</f>
        <v>16 keys present</v>
      </c>
    </row>
    <row r="113" spans="1:52" ht="25.5">
      <c r="A113" s="5" t="s">
        <v>1289</v>
      </c>
      <c r="B113" s="5" t="s">
        <v>1290</v>
      </c>
      <c r="C113" s="5"/>
      <c r="D113" s="5" t="s">
        <v>118</v>
      </c>
      <c r="E113" s="12">
        <f>IF(OR(AY113&lt;&gt;"Valid",AZ113&lt;&gt;"16 keys present"),"Review settings",20*(IF(ISNUMBER(AC113),AC113*IF($D113="Unlabeled-13",MCDM_Settings!$E$6,MCDM_Settings!$C$6),0)+IF(ISNUMBER(AF113),AF113*IF($D113="Unlabeled-13",MCDM_Settings!$E$7,MCDM_Settings!$C$7),0)+IF(ISNUMBER(AI113),AI113*IF($D113="Unlabeled-13",MCDM_Settings!$E$8,MCDM_Settings!$C$8),0)+IF(ISNUMBER(AL113),AL113*IF($D113="Unlabeled-13",MCDM_Settings!$E$9,MCDM_Settings!$C$9),0)+IF(ISNUMBER(AO113),AO113*IF($D113="Unlabeled-13",MCDM_Settings!$E$10,MCDM_Settings!$C$10),0)+IF(ISNUMBER(AR113),AR113*IF($D113="Unlabeled-13",MCDM_Settings!$E$11,MCDM_Settings!$C$11),0)))</f>
        <v>69.444444444444443</v>
      </c>
      <c r="F113" s="12">
        <f>IF(OR(AY113&lt;&gt;"Valid",AZ113&lt;&gt;"16 keys present"),"Review settings",20*(IF(ISNUMBER(AD113),AD113*IF($D113="Unlabeled-13",MCDM_Settings!$E$6,MCDM_Settings!$C$6),0)+IF(ISNUMBER(AG113),AG113*IF($D113="Unlabeled-13",MCDM_Settings!$E$7,MCDM_Settings!$C$7),0)+IF(ISNUMBER(AJ113),AJ113*IF($D113="Unlabeled-13",MCDM_Settings!$E$8,MCDM_Settings!$C$8),0)+IF(ISNUMBER(AM113),AM113*IF($D113="Unlabeled-13",MCDM_Settings!$E$9,MCDM_Settings!$C$9),0)+IF(ISNUMBER(AP113),AP113*IF($D113="Unlabeled-13",MCDM_Settings!$E$10,MCDM_Settings!$C$10),0)+IF(ISNUMBER(AS113),AS113*IF($D113="Unlabeled-13",MCDM_Settings!$E$11,MCDM_Settings!$C$11),0)))</f>
        <v>99.999999999999986</v>
      </c>
      <c r="G113" s="13">
        <f>IF(OR(AY113&lt;&gt;"Valid",AZ113&lt;&gt;"16 keys present"),"Review settings",1*(IF(ISNUMBER(AE113),AE113*IF($D113="Unlabeled-13",MCDM_Settings!$E$6,MCDM_Settings!$C$6),0)+IF(ISNUMBER(AH113),AH113*IF($D113="Unlabeled-13",MCDM_Settings!$E$7,MCDM_Settings!$C$7),0)+IF(ISNUMBER(AK113),AK113*IF($D113="Unlabeled-13",MCDM_Settings!$E$8,MCDM_Settings!$C$8),0)+IF(ISNUMBER(AN113),AN113*IF($D113="Unlabeled-13",MCDM_Settings!$E$9,MCDM_Settings!$C$9),0)+IF(ISNUMBER(AQ113),AQ113*IF($D113="Unlabeled-13",MCDM_Settings!$E$10,MCDM_Settings!$C$10),0)+IF(ISNUMBER(AT113),AT113*IF($D113="Unlabeled-13",MCDM_Settings!$E$11,MCDM_Settings!$C$11),0)))</f>
        <v>0.69444444444444453</v>
      </c>
      <c r="H113" s="5" t="str">
        <f>INDEX(Manual_Review!$AH$6:$AH$238,MATCH(A113,Manual_Review!$A$6:$A$238,0))</f>
        <v>Not started</v>
      </c>
      <c r="I113" s="5" t="s">
        <v>128</v>
      </c>
      <c r="J113" s="5" t="s">
        <v>121</v>
      </c>
      <c r="K113" s="5" t="str">
        <f>HYPERLINK("https://zenodo.org/records/20040434","Dataset")</f>
        <v>Dataset</v>
      </c>
      <c r="L113" s="5" t="str">
        <f>HYPERLINK("#'Manual_Review'!A"&amp;(MATCH("DS-108",Manual_Review!$A$6:$A$238,0)+5),"Enter review")</f>
        <v>Enter review</v>
      </c>
      <c r="M113" s="5" t="str">
        <f>INDEX(MCDM_Checks!$K$6:$K$3733,MATCH(A113&amp;"|"&amp;M$5,MCDM_Checks!$A$6:$A$3733,0))</f>
        <v>Y</v>
      </c>
      <c r="N113" s="5" t="str">
        <f>INDEX(MCDM_Checks!$K$6:$K$3733,MATCH(A113&amp;"|"&amp;N$5,MCDM_Checks!$A$6:$A$3733,0))</f>
        <v>Y</v>
      </c>
      <c r="O113" s="5" t="str">
        <f>INDEX(MCDM_Checks!$K$6:$K$3733,MATCH(A113&amp;"|"&amp;O$5,MCDM_Checks!$A$6:$A$3733,0))</f>
        <v>Y</v>
      </c>
      <c r="P113" s="5" t="str">
        <f>INDEX(MCDM_Checks!$K$6:$K$3733,MATCH(A113&amp;"|"&amp;P$5,MCDM_Checks!$A$6:$A$3733,0))</f>
        <v>Y</v>
      </c>
      <c r="Q113" s="5" t="str">
        <f>INDEX(MCDM_Checks!$K$6:$K$3733,MATCH(A113&amp;"|"&amp;Q$5,MCDM_Checks!$A$6:$A$3733,0))</f>
        <v>Y</v>
      </c>
      <c r="R113" s="5" t="str">
        <f>INDEX(MCDM_Checks!$K$6:$K$3733,MATCH(A113&amp;"|"&amp;R$5,MCDM_Checks!$A$6:$A$3733,0))</f>
        <v>U</v>
      </c>
      <c r="S113" s="5" t="str">
        <f>INDEX(MCDM_Checks!$K$6:$K$3733,MATCH(A113&amp;"|"&amp;S$5,MCDM_Checks!$A$6:$A$3733,0))</f>
        <v>U</v>
      </c>
      <c r="T113" s="5" t="str">
        <f>INDEX(MCDM_Checks!$K$6:$K$3733,MATCH(A113&amp;"|"&amp;T$5,MCDM_Checks!$A$6:$A$3733,0))</f>
        <v>Y</v>
      </c>
      <c r="U113" s="5" t="str">
        <f>INDEX(MCDM_Checks!$K$6:$K$3733,MATCH(A113&amp;"|"&amp;U$5,MCDM_Checks!$A$6:$A$3733,0))</f>
        <v>Y</v>
      </c>
      <c r="V113" s="5" t="str">
        <f>INDEX(MCDM_Checks!$K$6:$K$3733,MATCH(A113&amp;"|"&amp;V$5,MCDM_Checks!$A$6:$A$3733,0))</f>
        <v>Y</v>
      </c>
      <c r="W113" s="5" t="str">
        <f>INDEX(MCDM_Checks!$K$6:$K$3733,MATCH(A113&amp;"|"&amp;W$5,MCDM_Checks!$A$6:$A$3733,0))</f>
        <v>Y</v>
      </c>
      <c r="X113" s="5" t="str">
        <f>INDEX(MCDM_Checks!$K$6:$K$3733,MATCH(A113&amp;"|"&amp;X$5,MCDM_Checks!$A$6:$A$3733,0))</f>
        <v>U</v>
      </c>
      <c r="Y113" s="5" t="str">
        <f>INDEX(MCDM_Checks!$K$6:$K$3733,MATCH(A113&amp;"|"&amp;Y$5,MCDM_Checks!$A$6:$A$3733,0))</f>
        <v>Y</v>
      </c>
      <c r="Z113" s="5" t="str">
        <f>INDEX(MCDM_Checks!$K$6:$K$3733,MATCH(A113&amp;"|"&amp;Z$5,MCDM_Checks!$A$6:$A$3733,0))</f>
        <v>Y</v>
      </c>
      <c r="AA113" s="5" t="str">
        <f>INDEX(MCDM_Checks!$K$6:$K$3733,MATCH(A113&amp;"|"&amp;AA$5,MCDM_Checks!$A$6:$A$3733,0))</f>
        <v>U</v>
      </c>
      <c r="AB113" s="5" t="str">
        <f>INDEX(MCDM_Checks!$K$6:$K$3733,MATCH(A113&amp;"|"&amp;AB$5,MCDM_Checks!$A$6:$A$3733,0))</f>
        <v>U</v>
      </c>
      <c r="AC113" s="12">
        <f>IF(IF($D113="Unlabeled-13",MCDM_Settings!$F$6,MCDM_Settings!$D$6)=0,"n.a.",5*COUNTIF(M113:O113,"Y")/IF($D113="Unlabeled-13",MCDM_Settings!$F$6,MCDM_Settings!$D$6))</f>
        <v>5</v>
      </c>
      <c r="AD113" s="12">
        <f>IF(IF($D113="Unlabeled-13",MCDM_Settings!$F$6,MCDM_Settings!$D$6)=0,"n.a.",5*(COUNTIF(M113:O113,"Y")+COUNTIF(M113:O113,"U")+COUNTIF(M113:O113,"X"))/IF($D113="Unlabeled-13",MCDM_Settings!$F$6,MCDM_Settings!$D$6))</f>
        <v>5</v>
      </c>
      <c r="AE113" s="13">
        <f>IF(IF($D113="Unlabeled-13",MCDM_Settings!$F$6,MCDM_Settings!$D$6)=0,"n.a.",(COUNTIF(M113:O113,"Y")+COUNTIF(M113:O113,"N"))/IF($D113="Unlabeled-13",MCDM_Settings!$F$6,MCDM_Settings!$D$6))</f>
        <v>1</v>
      </c>
      <c r="AF113" s="12">
        <f>IF(IF($D113="Unlabeled-13",MCDM_Settings!$F$7,MCDM_Settings!$D$7)=0,"n.a.",5*COUNTIF(P113:R113,"Y")/IF($D113="Unlabeled-13",MCDM_Settings!$F$7,MCDM_Settings!$D$7))</f>
        <v>3.3333333333333335</v>
      </c>
      <c r="AG113" s="12">
        <f>IF(IF($D113="Unlabeled-13",MCDM_Settings!$F$7,MCDM_Settings!$D$7)=0,"n.a.",5*(COUNTIF(P113:R113,"Y")+COUNTIF(P113:R113,"U")+COUNTIF(P113:R113,"X"))/IF($D113="Unlabeled-13",MCDM_Settings!$F$7,MCDM_Settings!$D$7))</f>
        <v>5</v>
      </c>
      <c r="AH113" s="13">
        <f>IF(IF($D113="Unlabeled-13",MCDM_Settings!$F$7,MCDM_Settings!$D$7)=0,"n.a.",(COUNTIF(P113:R113,"Y")+COUNTIF(P113:R113,"N"))/IF($D113="Unlabeled-13",MCDM_Settings!$F$7,MCDM_Settings!$D$7))</f>
        <v>0.66666666666666663</v>
      </c>
      <c r="AI113" s="12">
        <f>IF(IF($D113="Unlabeled-13",MCDM_Settings!$F$8,MCDM_Settings!$D$8)=0,"n.a.",5*COUNTIF(S113:U113,"Y")/IF($D113="Unlabeled-13",MCDM_Settings!$F$8,MCDM_Settings!$D$8))</f>
        <v>3.3333333333333335</v>
      </c>
      <c r="AJ113" s="12">
        <f>IF(IF($D113="Unlabeled-13",MCDM_Settings!$F$8,MCDM_Settings!$D$8)=0,"n.a.",5*(COUNTIF(S113:U113,"Y")+COUNTIF(S113:U113,"U")+COUNTIF(S113:U113,"X"))/IF($D113="Unlabeled-13",MCDM_Settings!$F$8,MCDM_Settings!$D$8))</f>
        <v>5</v>
      </c>
      <c r="AK113" s="13">
        <f>IF(IF($D113="Unlabeled-13",MCDM_Settings!$F$8,MCDM_Settings!$D$8)=0,"n.a.",(COUNTIF(S113:U113,"Y")+COUNTIF(S113:U113,"N"))/IF($D113="Unlabeled-13",MCDM_Settings!$F$8,MCDM_Settings!$D$8))</f>
        <v>0.66666666666666663</v>
      </c>
      <c r="AL113" s="12">
        <f>IF(IF($D113="Unlabeled-13",MCDM_Settings!$F$9,MCDM_Settings!$D$9)=0,"n.a.",5*COUNTIF(V113:W113,"Y")/IF($D113="Unlabeled-13",MCDM_Settings!$F$9,MCDM_Settings!$D$9))</f>
        <v>5</v>
      </c>
      <c r="AM113" s="12">
        <f>IF(IF($D113="Unlabeled-13",MCDM_Settings!$F$9,MCDM_Settings!$D$9)=0,"n.a.",5*(COUNTIF(V113:W113,"Y")+COUNTIF(V113:W113,"U")+COUNTIF(V113:W113,"X"))/IF($D113="Unlabeled-13",MCDM_Settings!$F$9,MCDM_Settings!$D$9))</f>
        <v>5</v>
      </c>
      <c r="AN113" s="13">
        <f>IF(IF($D113="Unlabeled-13",MCDM_Settings!$F$9,MCDM_Settings!$D$9)=0,"n.a.",(COUNTIF(V113:W113,"Y")+COUNTIF(V113:W113,"N"))/IF($D113="Unlabeled-13",MCDM_Settings!$F$9,MCDM_Settings!$D$9))</f>
        <v>1</v>
      </c>
      <c r="AO113" s="12">
        <f>IF(IF($D113="Unlabeled-13",MCDM_Settings!$F$10,MCDM_Settings!$D$10)=0,"n.a.",5*COUNTIF(X113:Y113,"Y")/IF($D113="Unlabeled-13",MCDM_Settings!$F$10,MCDM_Settings!$D$10))</f>
        <v>2.5</v>
      </c>
      <c r="AP113" s="12">
        <f>IF(IF($D113="Unlabeled-13",MCDM_Settings!$F$10,MCDM_Settings!$D$10)=0,"n.a.",5*(COUNTIF(X113:Y113,"Y")+COUNTIF(X113:Y113,"U")+COUNTIF(X113:Y113,"X"))/IF($D113="Unlabeled-13",MCDM_Settings!$F$10,MCDM_Settings!$D$10))</f>
        <v>5</v>
      </c>
      <c r="AQ113" s="13">
        <f>IF(IF($D113="Unlabeled-13",MCDM_Settings!$F$10,MCDM_Settings!$D$10)=0,"n.a.",(COUNTIF(X113:Y113,"Y")+COUNTIF(X113:Y113,"N"))/IF($D113="Unlabeled-13",MCDM_Settings!$F$10,MCDM_Settings!$D$10))</f>
        <v>0.5</v>
      </c>
      <c r="AR113" s="12">
        <f>IF(IF($D113="Unlabeled-13",MCDM_Settings!$F$11,MCDM_Settings!$D$11)=0,"n.a.",5*COUNTIF(Z113:AB113,"Y")/IF($D113="Unlabeled-13",MCDM_Settings!$F$11,MCDM_Settings!$D$11))</f>
        <v>1.6666666666666667</v>
      </c>
      <c r="AS113" s="12">
        <f>IF(IF($D113="Unlabeled-13",MCDM_Settings!$F$11,MCDM_Settings!$D$11)=0,"n.a.",5*(COUNTIF(Z113:AB113,"Y")+COUNTIF(Z113:AB113,"U")+COUNTIF(Z113:AB113,"X"))/IF($D113="Unlabeled-13",MCDM_Settings!$F$11,MCDM_Settings!$D$11))</f>
        <v>5</v>
      </c>
      <c r="AT113" s="13">
        <f>IF(IF($D113="Unlabeled-13",MCDM_Settings!$F$11,MCDM_Settings!$D$11)=0,"n.a.",(COUNTIF(Z113:AB113,"Y")+COUNTIF(Z113:AB113,"N"))/IF($D113="Unlabeled-13",MCDM_Settings!$F$11,MCDM_Settings!$D$11))</f>
        <v>0.33333333333333331</v>
      </c>
      <c r="AU113" s="5" t="str">
        <f>IF(AND(INDEX(Manual_Review!$G$6:$G$238,MATCH(A113,Manual_Review!$A$6:$A$238,0))&lt;&gt;"",ISNUMBER(INDEX(Manual_Review!$H$6:$H$238,MATCH(A113,Manual_Review!$A$6:$A$238,0))),INDEX(Manual_Review!$H$6:$H$238,MATCH(A113,Manual_Review!$A$6:$A$238,0))&gt;0,INDEX(Manual_Review!$I$6:$I$238,MATCH(A113,Manual_Review!$A$6:$A$238,0))="Confirmed",INDEX(Manual_Review!$AF$6:$AF$238,MATCH(A113,Manual_Review!$A$6:$A$238,0))&lt;&gt;""),IF(INDEX(Manual_Review!$AA$6:$AA$238,MATCH(A113,Manual_Review!$A$6:$A$238,0))="Pass","Pass",IF(INDEX(Manual_Review!$AA$6:$AA$238,MATCH(A113,Manual_Review!$A$6:$A$238,0))="Fail","Fail","Pending")),"Pending human identity confirmation")</f>
        <v>Pending human identity confirmation</v>
      </c>
      <c r="AV113" s="5" t="str">
        <f>IF(AND(AND(INDEX(Manual_Review!$G$6:$G$238,MATCH(A113,Manual_Review!$A$6:$A$238,0))&lt;&gt;"",ISNUMBER(INDEX(Manual_Review!$H$6:$H$238,MATCH(A113,Manual_Review!$A$6:$A$238,0))),INDEX(Manual_Review!$H$6:$H$238,MATCH(A113,Manual_Review!$A$6:$A$238,0))&gt;0,INDEX(Manual_Review!$I$6:$I$238,MATCH(A113,Manual_Review!$A$6:$A$238,0))="Confirmed",INDEX(Manual_Review!$AF$6:$AF$238,MATCH(A113,Manual_Review!$A$6:$A$238,0))&lt;&gt;""),INDEX(Manual_Review!$AG$6:$AG$238,MATCH(A113,Manual_Review!$A$6:$A$238,0))&lt;&gt;""),IF(INDEX(Manual_Review!$AB$6:$AB$238,MATCH(A113,Manual_Review!$A$6:$A$238,0))="Pass","Pass",IF(INDEX(Manual_Review!$AB$6:$AB$238,MATCH(A113,Manual_Review!$A$6:$A$238,0))="Fail","Fail","Pending")),"Not assessed: define intended task")</f>
        <v>Not assessed: define intended task</v>
      </c>
      <c r="AW113" s="5" t="str">
        <f>IF(AND(AND(INDEX(Manual_Review!$G$6:$G$238,MATCH(A113,Manual_Review!$A$6:$A$238,0))&lt;&gt;"",ISNUMBER(INDEX(Manual_Review!$H$6:$H$238,MATCH(A113,Manual_Review!$A$6:$A$238,0))),INDEX(Manual_Review!$H$6:$H$238,MATCH(A113,Manual_Review!$A$6:$A$238,0))&gt;0,INDEX(Manual_Review!$I$6:$I$238,MATCH(A113,Manual_Review!$A$6:$A$238,0))="Confirmed",INDEX(Manual_Review!$AF$6:$AF$238,MATCH(A113,Manual_Review!$A$6:$A$238,0))&lt;&gt;""),INDEX(Manual_Review!$AG$6:$AG$238,MATCH(A113,Manual_Review!$A$6:$A$238,0))&lt;&gt;""),IF(OR(INDEX(Manual_Review!$AC$6:$AC$238,MATCH(A113,Manual_Review!$A$6:$A$238,0))="Fail",INDEX(Manual_Review!$AD$6:$AD$238,MATCH(A113,Manual_Review!$A$6:$A$238,0))="Fail"),"Fail: rights or retrieval",IF(AND(INDEX(Manual_Review!$AC$6:$AC$238,MATCH(A113,Manual_Review!$A$6:$A$238,0))="Pass",INDEX(Manual_Review!$AD$6:$AD$238,MATCH(A113,Manual_Review!$A$6:$A$238,0))="Pass"),"Pass","Pending rights and retrieval")),"Pending rights and retrieval")</f>
        <v>Pending rights and retrieval</v>
      </c>
      <c r="AX113" s="5" t="str">
        <f>IF(INDEX(Manual_Review!$AG$6:$AG$238,MATCH(A113,Manual_Review!$A$6:$A$238,0))="","N/A: documentation inventory",IF(AND(INDEX(Manual_Review!$G$6:$G$238,MATCH(A113,Manual_Review!$A$6:$A$238,0))&lt;&gt;"",ISNUMBER(INDEX(Manual_Review!$H$6:$H$238,MATCH(A113,Manual_Review!$A$6:$A$238,0))),INDEX(Manual_Review!$H$6:$H$238,MATCH(A113,Manual_Review!$A$6:$A$238,0))&gt;0,INDEX(Manual_Review!$I$6:$I$238,MATCH(A113,Manual_Review!$A$6:$A$238,0))="Confirmed",INDEX(Manual_Review!$AF$6:$AF$238,MATCH(A113,Manual_Review!$A$6:$A$238,0))&lt;&gt;""),IF(INDEX(Manual_Review!$AE$6:$AE$238,MATCH(A113,Manual_Review!$A$6:$A$238,0))="Pass","Pass",IF(INDEX(Manual_Review!$AE$6:$AE$238,MATCH(A113,Manual_Review!$A$6:$A$238,0))="Fail","Fail: benchmark leakage",IF(INDEX(Manual_Review!$AE$6:$AE$238,MATCH(A113,Manual_Review!$A$6:$A$238,0))="N/A","N/A: nonbenchmark task","Pending task-specific leakage check"))),"Pending task-specific leakage check"))</f>
        <v>N/A: documentation inventory</v>
      </c>
      <c r="AY113" s="5" t="str">
        <f>IF(IF(D113="Unlabeled-13",AND(ABS(MCDM_Settings!$D$14-1)&lt;0.0000001,MIN(MCDM_Settings!$E$6:$E$11)&gt;=0,MCDM_Settings!$E$7=0),AND(ABS(MCDM_Settings!$B$14-1)&lt;0.0000001,MIN(MCDM_Settings!$C$6:$C$11)&gt;=0)),"Valid","Check weights")</f>
        <v>Valid</v>
      </c>
      <c r="AZ113" s="5" t="str">
        <f>IF(AND(COUNTIF(MCDM_Checks!$B$6:$B$3733,A113)=16,COUNTIF(Manual_Review!$A$6:$A$238,A113)=1),"16 keys present","Check key count")</f>
        <v>16 keys present</v>
      </c>
    </row>
    <row r="114" spans="1:52" ht="25.5">
      <c r="A114" s="5" t="s">
        <v>1299</v>
      </c>
      <c r="B114" s="5" t="s">
        <v>1300</v>
      </c>
      <c r="C114" s="5"/>
      <c r="D114" s="5" t="s">
        <v>118</v>
      </c>
      <c r="E114" s="12">
        <f>IF(OR(AY114&lt;&gt;"Valid",AZ114&lt;&gt;"16 keys present"),"Review settings",20*(IF(ISNUMBER(AC114),AC114*IF($D114="Unlabeled-13",MCDM_Settings!$E$6,MCDM_Settings!$C$6),0)+IF(ISNUMBER(AF114),AF114*IF($D114="Unlabeled-13",MCDM_Settings!$E$7,MCDM_Settings!$C$7),0)+IF(ISNUMBER(AI114),AI114*IF($D114="Unlabeled-13",MCDM_Settings!$E$8,MCDM_Settings!$C$8),0)+IF(ISNUMBER(AL114),AL114*IF($D114="Unlabeled-13",MCDM_Settings!$E$9,MCDM_Settings!$C$9),0)+IF(ISNUMBER(AO114),AO114*IF($D114="Unlabeled-13",MCDM_Settings!$E$10,MCDM_Settings!$C$10),0)+IF(ISNUMBER(AR114),AR114*IF($D114="Unlabeled-13",MCDM_Settings!$E$11,MCDM_Settings!$C$11),0)))</f>
        <v>66.666666666666657</v>
      </c>
      <c r="F114" s="12">
        <f>IF(OR(AY114&lt;&gt;"Valid",AZ114&lt;&gt;"16 keys present"),"Review settings",20*(IF(ISNUMBER(AD114),AD114*IF($D114="Unlabeled-13",MCDM_Settings!$E$6,MCDM_Settings!$C$6),0)+IF(ISNUMBER(AG114),AG114*IF($D114="Unlabeled-13",MCDM_Settings!$E$7,MCDM_Settings!$C$7),0)+IF(ISNUMBER(AJ114),AJ114*IF($D114="Unlabeled-13",MCDM_Settings!$E$8,MCDM_Settings!$C$8),0)+IF(ISNUMBER(AM114),AM114*IF($D114="Unlabeled-13",MCDM_Settings!$E$9,MCDM_Settings!$C$9),0)+IF(ISNUMBER(AP114),AP114*IF($D114="Unlabeled-13",MCDM_Settings!$E$10,MCDM_Settings!$C$10),0)+IF(ISNUMBER(AS114),AS114*IF($D114="Unlabeled-13",MCDM_Settings!$E$11,MCDM_Settings!$C$11),0)))</f>
        <v>99.999999999999986</v>
      </c>
      <c r="G114" s="13">
        <f>IF(OR(AY114&lt;&gt;"Valid",AZ114&lt;&gt;"16 keys present"),"Review settings",1*(IF(ISNUMBER(AE114),AE114*IF($D114="Unlabeled-13",MCDM_Settings!$E$6,MCDM_Settings!$C$6),0)+IF(ISNUMBER(AH114),AH114*IF($D114="Unlabeled-13",MCDM_Settings!$E$7,MCDM_Settings!$C$7),0)+IF(ISNUMBER(AK114),AK114*IF($D114="Unlabeled-13",MCDM_Settings!$E$8,MCDM_Settings!$C$8),0)+IF(ISNUMBER(AN114),AN114*IF($D114="Unlabeled-13",MCDM_Settings!$E$9,MCDM_Settings!$C$9),0)+IF(ISNUMBER(AQ114),AQ114*IF($D114="Unlabeled-13",MCDM_Settings!$E$10,MCDM_Settings!$C$10),0)+IF(ISNUMBER(AT114),AT114*IF($D114="Unlabeled-13",MCDM_Settings!$E$11,MCDM_Settings!$C$11),0)))</f>
        <v>0.66666666666666663</v>
      </c>
      <c r="H114" s="5" t="str">
        <f>INDEX(Manual_Review!$AH$6:$AH$238,MATCH(A114,Manual_Review!$A$6:$A$238,0))</f>
        <v>Not started</v>
      </c>
      <c r="I114" s="5" t="s">
        <v>128</v>
      </c>
      <c r="J114" s="5" t="s">
        <v>1301</v>
      </c>
      <c r="K114" s="5" t="str">
        <f>HYPERLINK("https://zenodo.org/records/18735883","Dataset")</f>
        <v>Dataset</v>
      </c>
      <c r="L114" s="5" t="str">
        <f>HYPERLINK("#'Manual_Review'!A"&amp;(MATCH("DS-109",Manual_Review!$A$6:$A$238,0)+5),"Enter review")</f>
        <v>Enter review</v>
      </c>
      <c r="M114" s="5" t="str">
        <f>INDEX(MCDM_Checks!$K$6:$K$3733,MATCH(A114&amp;"|"&amp;M$5,MCDM_Checks!$A$6:$A$3733,0))</f>
        <v>Y</v>
      </c>
      <c r="N114" s="5" t="str">
        <f>INDEX(MCDM_Checks!$K$6:$K$3733,MATCH(A114&amp;"|"&amp;N$5,MCDM_Checks!$A$6:$A$3733,0))</f>
        <v>Y</v>
      </c>
      <c r="O114" s="5" t="str">
        <f>INDEX(MCDM_Checks!$K$6:$K$3733,MATCH(A114&amp;"|"&amp;O$5,MCDM_Checks!$A$6:$A$3733,0))</f>
        <v>Y</v>
      </c>
      <c r="P114" s="5" t="str">
        <f>INDEX(MCDM_Checks!$K$6:$K$3733,MATCH(A114&amp;"|"&amp;P$5,MCDM_Checks!$A$6:$A$3733,0))</f>
        <v>Y</v>
      </c>
      <c r="Q114" s="5" t="str">
        <f>INDEX(MCDM_Checks!$K$6:$K$3733,MATCH(A114&amp;"|"&amp;Q$5,MCDM_Checks!$A$6:$A$3733,0))</f>
        <v>U</v>
      </c>
      <c r="R114" s="5" t="str">
        <f>INDEX(MCDM_Checks!$K$6:$K$3733,MATCH(A114&amp;"|"&amp;R$5,MCDM_Checks!$A$6:$A$3733,0))</f>
        <v>Y</v>
      </c>
      <c r="S114" s="5" t="str">
        <f>INDEX(MCDM_Checks!$K$6:$K$3733,MATCH(A114&amp;"|"&amp;S$5,MCDM_Checks!$A$6:$A$3733,0))</f>
        <v>U</v>
      </c>
      <c r="T114" s="5" t="str">
        <f>INDEX(MCDM_Checks!$K$6:$K$3733,MATCH(A114&amp;"|"&amp;T$5,MCDM_Checks!$A$6:$A$3733,0))</f>
        <v>Y</v>
      </c>
      <c r="U114" s="5" t="str">
        <f>INDEX(MCDM_Checks!$K$6:$K$3733,MATCH(A114&amp;"|"&amp;U$5,MCDM_Checks!$A$6:$A$3733,0))</f>
        <v>U</v>
      </c>
      <c r="V114" s="5" t="str">
        <f>INDEX(MCDM_Checks!$K$6:$K$3733,MATCH(A114&amp;"|"&amp;V$5,MCDM_Checks!$A$6:$A$3733,0))</f>
        <v>Y</v>
      </c>
      <c r="W114" s="5" t="str">
        <f>INDEX(MCDM_Checks!$K$6:$K$3733,MATCH(A114&amp;"|"&amp;W$5,MCDM_Checks!$A$6:$A$3733,0))</f>
        <v>Y</v>
      </c>
      <c r="X114" s="5" t="str">
        <f>INDEX(MCDM_Checks!$K$6:$K$3733,MATCH(A114&amp;"|"&amp;X$5,MCDM_Checks!$A$6:$A$3733,0))</f>
        <v>Y</v>
      </c>
      <c r="Y114" s="5" t="str">
        <f>INDEX(MCDM_Checks!$K$6:$K$3733,MATCH(A114&amp;"|"&amp;Y$5,MCDM_Checks!$A$6:$A$3733,0))</f>
        <v>Y</v>
      </c>
      <c r="Z114" s="5" t="str">
        <f>INDEX(MCDM_Checks!$K$6:$K$3733,MATCH(A114&amp;"|"&amp;Z$5,MCDM_Checks!$A$6:$A$3733,0))</f>
        <v>U</v>
      </c>
      <c r="AA114" s="5" t="str">
        <f>INDEX(MCDM_Checks!$K$6:$K$3733,MATCH(A114&amp;"|"&amp;AA$5,MCDM_Checks!$A$6:$A$3733,0))</f>
        <v>U</v>
      </c>
      <c r="AB114" s="5" t="str">
        <f>INDEX(MCDM_Checks!$K$6:$K$3733,MATCH(A114&amp;"|"&amp;AB$5,MCDM_Checks!$A$6:$A$3733,0))</f>
        <v>U</v>
      </c>
      <c r="AC114" s="12">
        <f>IF(IF($D114="Unlabeled-13",MCDM_Settings!$F$6,MCDM_Settings!$D$6)=0,"n.a.",5*COUNTIF(M114:O114,"Y")/IF($D114="Unlabeled-13",MCDM_Settings!$F$6,MCDM_Settings!$D$6))</f>
        <v>5</v>
      </c>
      <c r="AD114" s="12">
        <f>IF(IF($D114="Unlabeled-13",MCDM_Settings!$F$6,MCDM_Settings!$D$6)=0,"n.a.",5*(COUNTIF(M114:O114,"Y")+COUNTIF(M114:O114,"U")+COUNTIF(M114:O114,"X"))/IF($D114="Unlabeled-13",MCDM_Settings!$F$6,MCDM_Settings!$D$6))</f>
        <v>5</v>
      </c>
      <c r="AE114" s="13">
        <f>IF(IF($D114="Unlabeled-13",MCDM_Settings!$F$6,MCDM_Settings!$D$6)=0,"n.a.",(COUNTIF(M114:O114,"Y")+COUNTIF(M114:O114,"N"))/IF($D114="Unlabeled-13",MCDM_Settings!$F$6,MCDM_Settings!$D$6))</f>
        <v>1</v>
      </c>
      <c r="AF114" s="12">
        <f>IF(IF($D114="Unlabeled-13",MCDM_Settings!$F$7,MCDM_Settings!$D$7)=0,"n.a.",5*COUNTIF(P114:R114,"Y")/IF($D114="Unlabeled-13",MCDM_Settings!$F$7,MCDM_Settings!$D$7))</f>
        <v>3.3333333333333335</v>
      </c>
      <c r="AG114" s="12">
        <f>IF(IF($D114="Unlabeled-13",MCDM_Settings!$F$7,MCDM_Settings!$D$7)=0,"n.a.",5*(COUNTIF(P114:R114,"Y")+COUNTIF(P114:R114,"U")+COUNTIF(P114:R114,"X"))/IF($D114="Unlabeled-13",MCDM_Settings!$F$7,MCDM_Settings!$D$7))</f>
        <v>5</v>
      </c>
      <c r="AH114" s="13">
        <f>IF(IF($D114="Unlabeled-13",MCDM_Settings!$F$7,MCDM_Settings!$D$7)=0,"n.a.",(COUNTIF(P114:R114,"Y")+COUNTIF(P114:R114,"N"))/IF($D114="Unlabeled-13",MCDM_Settings!$F$7,MCDM_Settings!$D$7))</f>
        <v>0.66666666666666663</v>
      </c>
      <c r="AI114" s="12">
        <f>IF(IF($D114="Unlabeled-13",MCDM_Settings!$F$8,MCDM_Settings!$D$8)=0,"n.a.",5*COUNTIF(S114:U114,"Y")/IF($D114="Unlabeled-13",MCDM_Settings!$F$8,MCDM_Settings!$D$8))</f>
        <v>1.6666666666666667</v>
      </c>
      <c r="AJ114" s="12">
        <f>IF(IF($D114="Unlabeled-13",MCDM_Settings!$F$8,MCDM_Settings!$D$8)=0,"n.a.",5*(COUNTIF(S114:U114,"Y")+COUNTIF(S114:U114,"U")+COUNTIF(S114:U114,"X"))/IF($D114="Unlabeled-13",MCDM_Settings!$F$8,MCDM_Settings!$D$8))</f>
        <v>5</v>
      </c>
      <c r="AK114" s="13">
        <f>IF(IF($D114="Unlabeled-13",MCDM_Settings!$F$8,MCDM_Settings!$D$8)=0,"n.a.",(COUNTIF(S114:U114,"Y")+COUNTIF(S114:U114,"N"))/IF($D114="Unlabeled-13",MCDM_Settings!$F$8,MCDM_Settings!$D$8))</f>
        <v>0.33333333333333331</v>
      </c>
      <c r="AL114" s="12">
        <f>IF(IF($D114="Unlabeled-13",MCDM_Settings!$F$9,MCDM_Settings!$D$9)=0,"n.a.",5*COUNTIF(V114:W114,"Y")/IF($D114="Unlabeled-13",MCDM_Settings!$F$9,MCDM_Settings!$D$9))</f>
        <v>5</v>
      </c>
      <c r="AM114" s="12">
        <f>IF(IF($D114="Unlabeled-13",MCDM_Settings!$F$9,MCDM_Settings!$D$9)=0,"n.a.",5*(COUNTIF(V114:W114,"Y")+COUNTIF(V114:W114,"U")+COUNTIF(V114:W114,"X"))/IF($D114="Unlabeled-13",MCDM_Settings!$F$9,MCDM_Settings!$D$9))</f>
        <v>5</v>
      </c>
      <c r="AN114" s="13">
        <f>IF(IF($D114="Unlabeled-13",MCDM_Settings!$F$9,MCDM_Settings!$D$9)=0,"n.a.",(COUNTIF(V114:W114,"Y")+COUNTIF(V114:W114,"N"))/IF($D114="Unlabeled-13",MCDM_Settings!$F$9,MCDM_Settings!$D$9))</f>
        <v>1</v>
      </c>
      <c r="AO114" s="12">
        <f>IF(IF($D114="Unlabeled-13",MCDM_Settings!$F$10,MCDM_Settings!$D$10)=0,"n.a.",5*COUNTIF(X114:Y114,"Y")/IF($D114="Unlabeled-13",MCDM_Settings!$F$10,MCDM_Settings!$D$10))</f>
        <v>5</v>
      </c>
      <c r="AP114" s="12">
        <f>IF(IF($D114="Unlabeled-13",MCDM_Settings!$F$10,MCDM_Settings!$D$10)=0,"n.a.",5*(COUNTIF(X114:Y114,"Y")+COUNTIF(X114:Y114,"U")+COUNTIF(X114:Y114,"X"))/IF($D114="Unlabeled-13",MCDM_Settings!$F$10,MCDM_Settings!$D$10))</f>
        <v>5</v>
      </c>
      <c r="AQ114" s="13">
        <f>IF(IF($D114="Unlabeled-13",MCDM_Settings!$F$10,MCDM_Settings!$D$10)=0,"n.a.",(COUNTIF(X114:Y114,"Y")+COUNTIF(X114:Y114,"N"))/IF($D114="Unlabeled-13",MCDM_Settings!$F$10,MCDM_Settings!$D$10))</f>
        <v>1</v>
      </c>
      <c r="AR114" s="12">
        <f>IF(IF($D114="Unlabeled-13",MCDM_Settings!$F$11,MCDM_Settings!$D$11)=0,"n.a.",5*COUNTIF(Z114:AB114,"Y")/IF($D114="Unlabeled-13",MCDM_Settings!$F$11,MCDM_Settings!$D$11))</f>
        <v>0</v>
      </c>
      <c r="AS114" s="12">
        <f>IF(IF($D114="Unlabeled-13",MCDM_Settings!$F$11,MCDM_Settings!$D$11)=0,"n.a.",5*(COUNTIF(Z114:AB114,"Y")+COUNTIF(Z114:AB114,"U")+COUNTIF(Z114:AB114,"X"))/IF($D114="Unlabeled-13",MCDM_Settings!$F$11,MCDM_Settings!$D$11))</f>
        <v>5</v>
      </c>
      <c r="AT114" s="13">
        <f>IF(IF($D114="Unlabeled-13",MCDM_Settings!$F$11,MCDM_Settings!$D$11)=0,"n.a.",(COUNTIF(Z114:AB114,"Y")+COUNTIF(Z114:AB114,"N"))/IF($D114="Unlabeled-13",MCDM_Settings!$F$11,MCDM_Settings!$D$11))</f>
        <v>0</v>
      </c>
      <c r="AU114" s="5" t="str">
        <f>IF(AND(INDEX(Manual_Review!$G$6:$G$238,MATCH(A114,Manual_Review!$A$6:$A$238,0))&lt;&gt;"",ISNUMBER(INDEX(Manual_Review!$H$6:$H$238,MATCH(A114,Manual_Review!$A$6:$A$238,0))),INDEX(Manual_Review!$H$6:$H$238,MATCH(A114,Manual_Review!$A$6:$A$238,0))&gt;0,INDEX(Manual_Review!$I$6:$I$238,MATCH(A114,Manual_Review!$A$6:$A$238,0))="Confirmed",INDEX(Manual_Review!$AF$6:$AF$238,MATCH(A114,Manual_Review!$A$6:$A$238,0))&lt;&gt;""),IF(INDEX(Manual_Review!$AA$6:$AA$238,MATCH(A114,Manual_Review!$A$6:$A$238,0))="Pass","Pass",IF(INDEX(Manual_Review!$AA$6:$AA$238,MATCH(A114,Manual_Review!$A$6:$A$238,0))="Fail","Fail","Pending")),"Pending human identity confirmation")</f>
        <v>Pending human identity confirmation</v>
      </c>
      <c r="AV114" s="5" t="str">
        <f>IF(AND(AND(INDEX(Manual_Review!$G$6:$G$238,MATCH(A114,Manual_Review!$A$6:$A$238,0))&lt;&gt;"",ISNUMBER(INDEX(Manual_Review!$H$6:$H$238,MATCH(A114,Manual_Review!$A$6:$A$238,0))),INDEX(Manual_Review!$H$6:$H$238,MATCH(A114,Manual_Review!$A$6:$A$238,0))&gt;0,INDEX(Manual_Review!$I$6:$I$238,MATCH(A114,Manual_Review!$A$6:$A$238,0))="Confirmed",INDEX(Manual_Review!$AF$6:$AF$238,MATCH(A114,Manual_Review!$A$6:$A$238,0))&lt;&gt;""),INDEX(Manual_Review!$AG$6:$AG$238,MATCH(A114,Manual_Review!$A$6:$A$238,0))&lt;&gt;""),IF(INDEX(Manual_Review!$AB$6:$AB$238,MATCH(A114,Manual_Review!$A$6:$A$238,0))="Pass","Pass",IF(INDEX(Manual_Review!$AB$6:$AB$238,MATCH(A114,Manual_Review!$A$6:$A$238,0))="Fail","Fail","Pending")),"Not assessed: define intended task")</f>
        <v>Not assessed: define intended task</v>
      </c>
      <c r="AW114" s="5" t="str">
        <f>IF(AND(AND(INDEX(Manual_Review!$G$6:$G$238,MATCH(A114,Manual_Review!$A$6:$A$238,0))&lt;&gt;"",ISNUMBER(INDEX(Manual_Review!$H$6:$H$238,MATCH(A114,Manual_Review!$A$6:$A$238,0))),INDEX(Manual_Review!$H$6:$H$238,MATCH(A114,Manual_Review!$A$6:$A$238,0))&gt;0,INDEX(Manual_Review!$I$6:$I$238,MATCH(A114,Manual_Review!$A$6:$A$238,0))="Confirmed",INDEX(Manual_Review!$AF$6:$AF$238,MATCH(A114,Manual_Review!$A$6:$A$238,0))&lt;&gt;""),INDEX(Manual_Review!$AG$6:$AG$238,MATCH(A114,Manual_Review!$A$6:$A$238,0))&lt;&gt;""),IF(OR(INDEX(Manual_Review!$AC$6:$AC$238,MATCH(A114,Manual_Review!$A$6:$A$238,0))="Fail",INDEX(Manual_Review!$AD$6:$AD$238,MATCH(A114,Manual_Review!$A$6:$A$238,0))="Fail"),"Fail: rights or retrieval",IF(AND(INDEX(Manual_Review!$AC$6:$AC$238,MATCH(A114,Manual_Review!$A$6:$A$238,0))="Pass",INDEX(Manual_Review!$AD$6:$AD$238,MATCH(A114,Manual_Review!$A$6:$A$238,0))="Pass"),"Pass","Pending rights and retrieval")),"Pending rights and retrieval")</f>
        <v>Pending rights and retrieval</v>
      </c>
      <c r="AX114" s="5" t="str">
        <f>IF(INDEX(Manual_Review!$AG$6:$AG$238,MATCH(A114,Manual_Review!$A$6:$A$238,0))="","N/A: documentation inventory",IF(AND(INDEX(Manual_Review!$G$6:$G$238,MATCH(A114,Manual_Review!$A$6:$A$238,0))&lt;&gt;"",ISNUMBER(INDEX(Manual_Review!$H$6:$H$238,MATCH(A114,Manual_Review!$A$6:$A$238,0))),INDEX(Manual_Review!$H$6:$H$238,MATCH(A114,Manual_Review!$A$6:$A$238,0))&gt;0,INDEX(Manual_Review!$I$6:$I$238,MATCH(A114,Manual_Review!$A$6:$A$238,0))="Confirmed",INDEX(Manual_Review!$AF$6:$AF$238,MATCH(A114,Manual_Review!$A$6:$A$238,0))&lt;&gt;""),IF(INDEX(Manual_Review!$AE$6:$AE$238,MATCH(A114,Manual_Review!$A$6:$A$238,0))="Pass","Pass",IF(INDEX(Manual_Review!$AE$6:$AE$238,MATCH(A114,Manual_Review!$A$6:$A$238,0))="Fail","Fail: benchmark leakage",IF(INDEX(Manual_Review!$AE$6:$AE$238,MATCH(A114,Manual_Review!$A$6:$A$238,0))="N/A","N/A: nonbenchmark task","Pending task-specific leakage check"))),"Pending task-specific leakage check"))</f>
        <v>N/A: documentation inventory</v>
      </c>
      <c r="AY114" s="5" t="str">
        <f>IF(IF(D114="Unlabeled-13",AND(ABS(MCDM_Settings!$D$14-1)&lt;0.0000001,MIN(MCDM_Settings!$E$6:$E$11)&gt;=0,MCDM_Settings!$E$7=0),AND(ABS(MCDM_Settings!$B$14-1)&lt;0.0000001,MIN(MCDM_Settings!$C$6:$C$11)&gt;=0)),"Valid","Check weights")</f>
        <v>Valid</v>
      </c>
      <c r="AZ114" s="5" t="str">
        <f>IF(AND(COUNTIF(MCDM_Checks!$B$6:$B$3733,A114)=16,COUNTIF(Manual_Review!$A$6:$A$238,A114)=1),"16 keys present","Check key count")</f>
        <v>16 keys present</v>
      </c>
    </row>
    <row r="115" spans="1:52" ht="25.5">
      <c r="A115" s="5" t="s">
        <v>1311</v>
      </c>
      <c r="B115" s="5" t="s">
        <v>1312</v>
      </c>
      <c r="C115" s="5"/>
      <c r="D115" s="5" t="s">
        <v>118</v>
      </c>
      <c r="E115" s="12">
        <f>IF(OR(AY115&lt;&gt;"Valid",AZ115&lt;&gt;"16 keys present"),"Review settings",20*(IF(ISNUMBER(AC115),AC115*IF($D115="Unlabeled-13",MCDM_Settings!$E$6,MCDM_Settings!$C$6),0)+IF(ISNUMBER(AF115),AF115*IF($D115="Unlabeled-13",MCDM_Settings!$E$7,MCDM_Settings!$C$7),0)+IF(ISNUMBER(AI115),AI115*IF($D115="Unlabeled-13",MCDM_Settings!$E$8,MCDM_Settings!$C$8),0)+IF(ISNUMBER(AL115),AL115*IF($D115="Unlabeled-13",MCDM_Settings!$E$9,MCDM_Settings!$C$9),0)+IF(ISNUMBER(AO115),AO115*IF($D115="Unlabeled-13",MCDM_Settings!$E$10,MCDM_Settings!$C$10),0)+IF(ISNUMBER(AR115),AR115*IF($D115="Unlabeled-13",MCDM_Settings!$E$11,MCDM_Settings!$C$11),0)))</f>
        <v>91.666666666666657</v>
      </c>
      <c r="F115" s="12">
        <f>IF(OR(AY115&lt;&gt;"Valid",AZ115&lt;&gt;"16 keys present"),"Review settings",20*(IF(ISNUMBER(AD115),AD115*IF($D115="Unlabeled-13",MCDM_Settings!$E$6,MCDM_Settings!$C$6),0)+IF(ISNUMBER(AG115),AG115*IF($D115="Unlabeled-13",MCDM_Settings!$E$7,MCDM_Settings!$C$7),0)+IF(ISNUMBER(AJ115),AJ115*IF($D115="Unlabeled-13",MCDM_Settings!$E$8,MCDM_Settings!$C$8),0)+IF(ISNUMBER(AM115),AM115*IF($D115="Unlabeled-13",MCDM_Settings!$E$9,MCDM_Settings!$C$9),0)+IF(ISNUMBER(AP115),AP115*IF($D115="Unlabeled-13",MCDM_Settings!$E$10,MCDM_Settings!$C$10),0)+IF(ISNUMBER(AS115),AS115*IF($D115="Unlabeled-13",MCDM_Settings!$E$11,MCDM_Settings!$C$11),0)))</f>
        <v>99.999999999999986</v>
      </c>
      <c r="G115" s="13">
        <f>IF(OR(AY115&lt;&gt;"Valid",AZ115&lt;&gt;"16 keys present"),"Review settings",1*(IF(ISNUMBER(AE115),AE115*IF($D115="Unlabeled-13",MCDM_Settings!$E$6,MCDM_Settings!$C$6),0)+IF(ISNUMBER(AH115),AH115*IF($D115="Unlabeled-13",MCDM_Settings!$E$7,MCDM_Settings!$C$7),0)+IF(ISNUMBER(AK115),AK115*IF($D115="Unlabeled-13",MCDM_Settings!$E$8,MCDM_Settings!$C$8),0)+IF(ISNUMBER(AN115),AN115*IF($D115="Unlabeled-13",MCDM_Settings!$E$9,MCDM_Settings!$C$9),0)+IF(ISNUMBER(AQ115),AQ115*IF($D115="Unlabeled-13",MCDM_Settings!$E$10,MCDM_Settings!$C$10),0)+IF(ISNUMBER(AT115),AT115*IF($D115="Unlabeled-13",MCDM_Settings!$E$11,MCDM_Settings!$C$11),0)))</f>
        <v>0.91666666666666663</v>
      </c>
      <c r="H115" s="5" t="str">
        <f>INDEX(Manual_Review!$AH$6:$AH$238,MATCH(A115,Manual_Review!$A$6:$A$238,0))</f>
        <v>Not started</v>
      </c>
      <c r="I115" s="5" t="s">
        <v>128</v>
      </c>
      <c r="J115" s="5" t="s">
        <v>121</v>
      </c>
      <c r="K115" s="5" t="str">
        <f>HYPERLINK("https://zenodo.org/records/16291115","Dataset")</f>
        <v>Dataset</v>
      </c>
      <c r="L115" s="5" t="str">
        <f>HYPERLINK("#'Manual_Review'!A"&amp;(MATCH("DS-110",Manual_Review!$A$6:$A$238,0)+5),"Enter review")</f>
        <v>Enter review</v>
      </c>
      <c r="M115" s="5" t="str">
        <f>INDEX(MCDM_Checks!$K$6:$K$3733,MATCH(A115&amp;"|"&amp;M$5,MCDM_Checks!$A$6:$A$3733,0))</f>
        <v>Y</v>
      </c>
      <c r="N115" s="5" t="str">
        <f>INDEX(MCDM_Checks!$K$6:$K$3733,MATCH(A115&amp;"|"&amp;N$5,MCDM_Checks!$A$6:$A$3733,0))</f>
        <v>Y</v>
      </c>
      <c r="O115" s="5" t="str">
        <f>INDEX(MCDM_Checks!$K$6:$K$3733,MATCH(A115&amp;"|"&amp;O$5,MCDM_Checks!$A$6:$A$3733,0))</f>
        <v>Y</v>
      </c>
      <c r="P115" s="5" t="str">
        <f>INDEX(MCDM_Checks!$K$6:$K$3733,MATCH(A115&amp;"|"&amp;P$5,MCDM_Checks!$A$6:$A$3733,0))</f>
        <v>Y</v>
      </c>
      <c r="Q115" s="5" t="str">
        <f>INDEX(MCDM_Checks!$K$6:$K$3733,MATCH(A115&amp;"|"&amp;Q$5,MCDM_Checks!$A$6:$A$3733,0))</f>
        <v>Y</v>
      </c>
      <c r="R115" s="5" t="str">
        <f>INDEX(MCDM_Checks!$K$6:$K$3733,MATCH(A115&amp;"|"&amp;R$5,MCDM_Checks!$A$6:$A$3733,0))</f>
        <v>Y</v>
      </c>
      <c r="S115" s="5" t="str">
        <f>INDEX(MCDM_Checks!$K$6:$K$3733,MATCH(A115&amp;"|"&amp;S$5,MCDM_Checks!$A$6:$A$3733,0))</f>
        <v>Y</v>
      </c>
      <c r="T115" s="5" t="str">
        <f>INDEX(MCDM_Checks!$K$6:$K$3733,MATCH(A115&amp;"|"&amp;T$5,MCDM_Checks!$A$6:$A$3733,0))</f>
        <v>Y</v>
      </c>
      <c r="U115" s="5" t="str">
        <f>INDEX(MCDM_Checks!$K$6:$K$3733,MATCH(A115&amp;"|"&amp;U$5,MCDM_Checks!$A$6:$A$3733,0))</f>
        <v>Y</v>
      </c>
      <c r="V115" s="5" t="str">
        <f>INDEX(MCDM_Checks!$K$6:$K$3733,MATCH(A115&amp;"|"&amp;V$5,MCDM_Checks!$A$6:$A$3733,0))</f>
        <v>U</v>
      </c>
      <c r="W115" s="5" t="str">
        <f>INDEX(MCDM_Checks!$K$6:$K$3733,MATCH(A115&amp;"|"&amp;W$5,MCDM_Checks!$A$6:$A$3733,0))</f>
        <v>Y</v>
      </c>
      <c r="X115" s="5" t="str">
        <f>INDEX(MCDM_Checks!$K$6:$K$3733,MATCH(A115&amp;"|"&amp;X$5,MCDM_Checks!$A$6:$A$3733,0))</f>
        <v>Y</v>
      </c>
      <c r="Y115" s="5" t="str">
        <f>INDEX(MCDM_Checks!$K$6:$K$3733,MATCH(A115&amp;"|"&amp;Y$5,MCDM_Checks!$A$6:$A$3733,0))</f>
        <v>Y</v>
      </c>
      <c r="Z115" s="5" t="str">
        <f>INDEX(MCDM_Checks!$K$6:$K$3733,MATCH(A115&amp;"|"&amp;Z$5,MCDM_Checks!$A$6:$A$3733,0))</f>
        <v>Y</v>
      </c>
      <c r="AA115" s="5" t="str">
        <f>INDEX(MCDM_Checks!$K$6:$K$3733,MATCH(A115&amp;"|"&amp;AA$5,MCDM_Checks!$A$6:$A$3733,0))</f>
        <v>Y</v>
      </c>
      <c r="AB115" s="5" t="str">
        <f>INDEX(MCDM_Checks!$K$6:$K$3733,MATCH(A115&amp;"|"&amp;AB$5,MCDM_Checks!$A$6:$A$3733,0))</f>
        <v>Y</v>
      </c>
      <c r="AC115" s="12">
        <f>IF(IF($D115="Unlabeled-13",MCDM_Settings!$F$6,MCDM_Settings!$D$6)=0,"n.a.",5*COUNTIF(M115:O115,"Y")/IF($D115="Unlabeled-13",MCDM_Settings!$F$6,MCDM_Settings!$D$6))</f>
        <v>5</v>
      </c>
      <c r="AD115" s="12">
        <f>IF(IF($D115="Unlabeled-13",MCDM_Settings!$F$6,MCDM_Settings!$D$6)=0,"n.a.",5*(COUNTIF(M115:O115,"Y")+COUNTIF(M115:O115,"U")+COUNTIF(M115:O115,"X"))/IF($D115="Unlabeled-13",MCDM_Settings!$F$6,MCDM_Settings!$D$6))</f>
        <v>5</v>
      </c>
      <c r="AE115" s="13">
        <f>IF(IF($D115="Unlabeled-13",MCDM_Settings!$F$6,MCDM_Settings!$D$6)=0,"n.a.",(COUNTIF(M115:O115,"Y")+COUNTIF(M115:O115,"N"))/IF($D115="Unlabeled-13",MCDM_Settings!$F$6,MCDM_Settings!$D$6))</f>
        <v>1</v>
      </c>
      <c r="AF115" s="12">
        <f>IF(IF($D115="Unlabeled-13",MCDM_Settings!$F$7,MCDM_Settings!$D$7)=0,"n.a.",5*COUNTIF(P115:R115,"Y")/IF($D115="Unlabeled-13",MCDM_Settings!$F$7,MCDM_Settings!$D$7))</f>
        <v>5</v>
      </c>
      <c r="AG115" s="12">
        <f>IF(IF($D115="Unlabeled-13",MCDM_Settings!$F$7,MCDM_Settings!$D$7)=0,"n.a.",5*(COUNTIF(P115:R115,"Y")+COUNTIF(P115:R115,"U")+COUNTIF(P115:R115,"X"))/IF($D115="Unlabeled-13",MCDM_Settings!$F$7,MCDM_Settings!$D$7))</f>
        <v>5</v>
      </c>
      <c r="AH115" s="13">
        <f>IF(IF($D115="Unlabeled-13",MCDM_Settings!$F$7,MCDM_Settings!$D$7)=0,"n.a.",(COUNTIF(P115:R115,"Y")+COUNTIF(P115:R115,"N"))/IF($D115="Unlabeled-13",MCDM_Settings!$F$7,MCDM_Settings!$D$7))</f>
        <v>1</v>
      </c>
      <c r="AI115" s="12">
        <f>IF(IF($D115="Unlabeled-13",MCDM_Settings!$F$8,MCDM_Settings!$D$8)=0,"n.a.",5*COUNTIF(S115:U115,"Y")/IF($D115="Unlabeled-13",MCDM_Settings!$F$8,MCDM_Settings!$D$8))</f>
        <v>5</v>
      </c>
      <c r="AJ115" s="12">
        <f>IF(IF($D115="Unlabeled-13",MCDM_Settings!$F$8,MCDM_Settings!$D$8)=0,"n.a.",5*(COUNTIF(S115:U115,"Y")+COUNTIF(S115:U115,"U")+COUNTIF(S115:U115,"X"))/IF($D115="Unlabeled-13",MCDM_Settings!$F$8,MCDM_Settings!$D$8))</f>
        <v>5</v>
      </c>
      <c r="AK115" s="13">
        <f>IF(IF($D115="Unlabeled-13",MCDM_Settings!$F$8,MCDM_Settings!$D$8)=0,"n.a.",(COUNTIF(S115:U115,"Y")+COUNTIF(S115:U115,"N"))/IF($D115="Unlabeled-13",MCDM_Settings!$F$8,MCDM_Settings!$D$8))</f>
        <v>1</v>
      </c>
      <c r="AL115" s="12">
        <f>IF(IF($D115="Unlabeled-13",MCDM_Settings!$F$9,MCDM_Settings!$D$9)=0,"n.a.",5*COUNTIF(V115:W115,"Y")/IF($D115="Unlabeled-13",MCDM_Settings!$F$9,MCDM_Settings!$D$9))</f>
        <v>2.5</v>
      </c>
      <c r="AM115" s="12">
        <f>IF(IF($D115="Unlabeled-13",MCDM_Settings!$F$9,MCDM_Settings!$D$9)=0,"n.a.",5*(COUNTIF(V115:W115,"Y")+COUNTIF(V115:W115,"U")+COUNTIF(V115:W115,"X"))/IF($D115="Unlabeled-13",MCDM_Settings!$F$9,MCDM_Settings!$D$9))</f>
        <v>5</v>
      </c>
      <c r="AN115" s="13">
        <f>IF(IF($D115="Unlabeled-13",MCDM_Settings!$F$9,MCDM_Settings!$D$9)=0,"n.a.",(COUNTIF(V115:W115,"Y")+COUNTIF(V115:W115,"N"))/IF($D115="Unlabeled-13",MCDM_Settings!$F$9,MCDM_Settings!$D$9))</f>
        <v>0.5</v>
      </c>
      <c r="AO115" s="12">
        <f>IF(IF($D115="Unlabeled-13",MCDM_Settings!$F$10,MCDM_Settings!$D$10)=0,"n.a.",5*COUNTIF(X115:Y115,"Y")/IF($D115="Unlabeled-13",MCDM_Settings!$F$10,MCDM_Settings!$D$10))</f>
        <v>5</v>
      </c>
      <c r="AP115" s="12">
        <f>IF(IF($D115="Unlabeled-13",MCDM_Settings!$F$10,MCDM_Settings!$D$10)=0,"n.a.",5*(COUNTIF(X115:Y115,"Y")+COUNTIF(X115:Y115,"U")+COUNTIF(X115:Y115,"X"))/IF($D115="Unlabeled-13",MCDM_Settings!$F$10,MCDM_Settings!$D$10))</f>
        <v>5</v>
      </c>
      <c r="AQ115" s="13">
        <f>IF(IF($D115="Unlabeled-13",MCDM_Settings!$F$10,MCDM_Settings!$D$10)=0,"n.a.",(COUNTIF(X115:Y115,"Y")+COUNTIF(X115:Y115,"N"))/IF($D115="Unlabeled-13",MCDM_Settings!$F$10,MCDM_Settings!$D$10))</f>
        <v>1</v>
      </c>
      <c r="AR115" s="12">
        <f>IF(IF($D115="Unlabeled-13",MCDM_Settings!$F$11,MCDM_Settings!$D$11)=0,"n.a.",5*COUNTIF(Z115:AB115,"Y")/IF($D115="Unlabeled-13",MCDM_Settings!$F$11,MCDM_Settings!$D$11))</f>
        <v>5</v>
      </c>
      <c r="AS115" s="12">
        <f>IF(IF($D115="Unlabeled-13",MCDM_Settings!$F$11,MCDM_Settings!$D$11)=0,"n.a.",5*(COUNTIF(Z115:AB115,"Y")+COUNTIF(Z115:AB115,"U")+COUNTIF(Z115:AB115,"X"))/IF($D115="Unlabeled-13",MCDM_Settings!$F$11,MCDM_Settings!$D$11))</f>
        <v>5</v>
      </c>
      <c r="AT115" s="13">
        <f>IF(IF($D115="Unlabeled-13",MCDM_Settings!$F$11,MCDM_Settings!$D$11)=0,"n.a.",(COUNTIF(Z115:AB115,"Y")+COUNTIF(Z115:AB115,"N"))/IF($D115="Unlabeled-13",MCDM_Settings!$F$11,MCDM_Settings!$D$11))</f>
        <v>1</v>
      </c>
      <c r="AU115" s="5" t="str">
        <f>IF(AND(INDEX(Manual_Review!$G$6:$G$238,MATCH(A115,Manual_Review!$A$6:$A$238,0))&lt;&gt;"",ISNUMBER(INDEX(Manual_Review!$H$6:$H$238,MATCH(A115,Manual_Review!$A$6:$A$238,0))),INDEX(Manual_Review!$H$6:$H$238,MATCH(A115,Manual_Review!$A$6:$A$238,0))&gt;0,INDEX(Manual_Review!$I$6:$I$238,MATCH(A115,Manual_Review!$A$6:$A$238,0))="Confirmed",INDEX(Manual_Review!$AF$6:$AF$238,MATCH(A115,Manual_Review!$A$6:$A$238,0))&lt;&gt;""),IF(INDEX(Manual_Review!$AA$6:$AA$238,MATCH(A115,Manual_Review!$A$6:$A$238,0))="Pass","Pass",IF(INDEX(Manual_Review!$AA$6:$AA$238,MATCH(A115,Manual_Review!$A$6:$A$238,0))="Fail","Fail","Pending")),"Pending human identity confirmation")</f>
        <v>Pending human identity confirmation</v>
      </c>
      <c r="AV115" s="5" t="str">
        <f>IF(AND(AND(INDEX(Manual_Review!$G$6:$G$238,MATCH(A115,Manual_Review!$A$6:$A$238,0))&lt;&gt;"",ISNUMBER(INDEX(Manual_Review!$H$6:$H$238,MATCH(A115,Manual_Review!$A$6:$A$238,0))),INDEX(Manual_Review!$H$6:$H$238,MATCH(A115,Manual_Review!$A$6:$A$238,0))&gt;0,INDEX(Manual_Review!$I$6:$I$238,MATCH(A115,Manual_Review!$A$6:$A$238,0))="Confirmed",INDEX(Manual_Review!$AF$6:$AF$238,MATCH(A115,Manual_Review!$A$6:$A$238,0))&lt;&gt;""),INDEX(Manual_Review!$AG$6:$AG$238,MATCH(A115,Manual_Review!$A$6:$A$238,0))&lt;&gt;""),IF(INDEX(Manual_Review!$AB$6:$AB$238,MATCH(A115,Manual_Review!$A$6:$A$238,0))="Pass","Pass",IF(INDEX(Manual_Review!$AB$6:$AB$238,MATCH(A115,Manual_Review!$A$6:$A$238,0))="Fail","Fail","Pending")),"Not assessed: define intended task")</f>
        <v>Not assessed: define intended task</v>
      </c>
      <c r="AW115" s="5" t="str">
        <f>IF(AND(AND(INDEX(Manual_Review!$G$6:$G$238,MATCH(A115,Manual_Review!$A$6:$A$238,0))&lt;&gt;"",ISNUMBER(INDEX(Manual_Review!$H$6:$H$238,MATCH(A115,Manual_Review!$A$6:$A$238,0))),INDEX(Manual_Review!$H$6:$H$238,MATCH(A115,Manual_Review!$A$6:$A$238,0))&gt;0,INDEX(Manual_Review!$I$6:$I$238,MATCH(A115,Manual_Review!$A$6:$A$238,0))="Confirmed",INDEX(Manual_Review!$AF$6:$AF$238,MATCH(A115,Manual_Review!$A$6:$A$238,0))&lt;&gt;""),INDEX(Manual_Review!$AG$6:$AG$238,MATCH(A115,Manual_Review!$A$6:$A$238,0))&lt;&gt;""),IF(OR(INDEX(Manual_Review!$AC$6:$AC$238,MATCH(A115,Manual_Review!$A$6:$A$238,0))="Fail",INDEX(Manual_Review!$AD$6:$AD$238,MATCH(A115,Manual_Review!$A$6:$A$238,0))="Fail"),"Fail: rights or retrieval",IF(AND(INDEX(Manual_Review!$AC$6:$AC$238,MATCH(A115,Manual_Review!$A$6:$A$238,0))="Pass",INDEX(Manual_Review!$AD$6:$AD$238,MATCH(A115,Manual_Review!$A$6:$A$238,0))="Pass"),"Pass","Pending rights and retrieval")),"Pending rights and retrieval")</f>
        <v>Pending rights and retrieval</v>
      </c>
      <c r="AX115" s="5" t="str">
        <f>IF(INDEX(Manual_Review!$AG$6:$AG$238,MATCH(A115,Manual_Review!$A$6:$A$238,0))="","N/A: documentation inventory",IF(AND(INDEX(Manual_Review!$G$6:$G$238,MATCH(A115,Manual_Review!$A$6:$A$238,0))&lt;&gt;"",ISNUMBER(INDEX(Manual_Review!$H$6:$H$238,MATCH(A115,Manual_Review!$A$6:$A$238,0))),INDEX(Manual_Review!$H$6:$H$238,MATCH(A115,Manual_Review!$A$6:$A$238,0))&gt;0,INDEX(Manual_Review!$I$6:$I$238,MATCH(A115,Manual_Review!$A$6:$A$238,0))="Confirmed",INDEX(Manual_Review!$AF$6:$AF$238,MATCH(A115,Manual_Review!$A$6:$A$238,0))&lt;&gt;""),IF(INDEX(Manual_Review!$AE$6:$AE$238,MATCH(A115,Manual_Review!$A$6:$A$238,0))="Pass","Pass",IF(INDEX(Manual_Review!$AE$6:$AE$238,MATCH(A115,Manual_Review!$A$6:$A$238,0))="Fail","Fail: benchmark leakage",IF(INDEX(Manual_Review!$AE$6:$AE$238,MATCH(A115,Manual_Review!$A$6:$A$238,0))="N/A","N/A: nonbenchmark task","Pending task-specific leakage check"))),"Pending task-specific leakage check"))</f>
        <v>N/A: documentation inventory</v>
      </c>
      <c r="AY115" s="5" t="str">
        <f>IF(IF(D115="Unlabeled-13",AND(ABS(MCDM_Settings!$D$14-1)&lt;0.0000001,MIN(MCDM_Settings!$E$6:$E$11)&gt;=0,MCDM_Settings!$E$7=0),AND(ABS(MCDM_Settings!$B$14-1)&lt;0.0000001,MIN(MCDM_Settings!$C$6:$C$11)&gt;=0)),"Valid","Check weights")</f>
        <v>Valid</v>
      </c>
      <c r="AZ115" s="5" t="str">
        <f>IF(AND(COUNTIF(MCDM_Checks!$B$6:$B$3733,A115)=16,COUNTIF(Manual_Review!$A$6:$A$238,A115)=1),"16 keys present","Check key count")</f>
        <v>16 keys present</v>
      </c>
    </row>
    <row r="116" spans="1:52" ht="25.5">
      <c r="A116" s="5" t="s">
        <v>1320</v>
      </c>
      <c r="B116" s="5" t="s">
        <v>1321</v>
      </c>
      <c r="C116" s="5"/>
      <c r="D116" s="5" t="s">
        <v>118</v>
      </c>
      <c r="E116" s="12">
        <f>IF(OR(AY116&lt;&gt;"Valid",AZ116&lt;&gt;"16 keys present"),"Review settings",20*(IF(ISNUMBER(AC116),AC116*IF($D116="Unlabeled-13",MCDM_Settings!$E$6,MCDM_Settings!$C$6),0)+IF(ISNUMBER(AF116),AF116*IF($D116="Unlabeled-13",MCDM_Settings!$E$7,MCDM_Settings!$C$7),0)+IF(ISNUMBER(AI116),AI116*IF($D116="Unlabeled-13",MCDM_Settings!$E$8,MCDM_Settings!$C$8),0)+IF(ISNUMBER(AL116),AL116*IF($D116="Unlabeled-13",MCDM_Settings!$E$9,MCDM_Settings!$C$9),0)+IF(ISNUMBER(AO116),AO116*IF($D116="Unlabeled-13",MCDM_Settings!$E$10,MCDM_Settings!$C$10),0)+IF(ISNUMBER(AR116),AR116*IF($D116="Unlabeled-13",MCDM_Settings!$E$11,MCDM_Settings!$C$11),0)))</f>
        <v>55.555555555555557</v>
      </c>
      <c r="F116" s="12">
        <f>IF(OR(AY116&lt;&gt;"Valid",AZ116&lt;&gt;"16 keys present"),"Review settings",20*(IF(ISNUMBER(AD116),AD116*IF($D116="Unlabeled-13",MCDM_Settings!$E$6,MCDM_Settings!$C$6),0)+IF(ISNUMBER(AG116),AG116*IF($D116="Unlabeled-13",MCDM_Settings!$E$7,MCDM_Settings!$C$7),0)+IF(ISNUMBER(AJ116),AJ116*IF($D116="Unlabeled-13",MCDM_Settings!$E$8,MCDM_Settings!$C$8),0)+IF(ISNUMBER(AM116),AM116*IF($D116="Unlabeled-13",MCDM_Settings!$E$9,MCDM_Settings!$C$9),0)+IF(ISNUMBER(AP116),AP116*IF($D116="Unlabeled-13",MCDM_Settings!$E$10,MCDM_Settings!$C$10),0)+IF(ISNUMBER(AS116),AS116*IF($D116="Unlabeled-13",MCDM_Settings!$E$11,MCDM_Settings!$C$11),0)))</f>
        <v>99.999999999999986</v>
      </c>
      <c r="G116" s="13">
        <f>IF(OR(AY116&lt;&gt;"Valid",AZ116&lt;&gt;"16 keys present"),"Review settings",1*(IF(ISNUMBER(AE116),AE116*IF($D116="Unlabeled-13",MCDM_Settings!$E$6,MCDM_Settings!$C$6),0)+IF(ISNUMBER(AH116),AH116*IF($D116="Unlabeled-13",MCDM_Settings!$E$7,MCDM_Settings!$C$7),0)+IF(ISNUMBER(AK116),AK116*IF($D116="Unlabeled-13",MCDM_Settings!$E$8,MCDM_Settings!$C$8),0)+IF(ISNUMBER(AN116),AN116*IF($D116="Unlabeled-13",MCDM_Settings!$E$9,MCDM_Settings!$C$9),0)+IF(ISNUMBER(AQ116),AQ116*IF($D116="Unlabeled-13",MCDM_Settings!$E$10,MCDM_Settings!$C$10),0)+IF(ISNUMBER(AT116),AT116*IF($D116="Unlabeled-13",MCDM_Settings!$E$11,MCDM_Settings!$C$11),0)))</f>
        <v>0.55555555555555558</v>
      </c>
      <c r="H116" s="5" t="str">
        <f>INDEX(Manual_Review!$AH$6:$AH$238,MATCH(A116,Manual_Review!$A$6:$A$238,0))</f>
        <v>Not started</v>
      </c>
      <c r="I116" s="5" t="s">
        <v>206</v>
      </c>
      <c r="J116" s="5" t="s">
        <v>1322</v>
      </c>
      <c r="K116" s="5" t="str">
        <f>HYPERLINK("https://zenodo.org/records/18704114","Dataset")</f>
        <v>Dataset</v>
      </c>
      <c r="L116" s="5" t="str">
        <f>HYPERLINK("#'Manual_Review'!A"&amp;(MATCH("DS-111",Manual_Review!$A$6:$A$238,0)+5),"Enter review")</f>
        <v>Enter review</v>
      </c>
      <c r="M116" s="5" t="str">
        <f>INDEX(MCDM_Checks!$K$6:$K$3733,MATCH(A116&amp;"|"&amp;M$5,MCDM_Checks!$A$6:$A$3733,0))</f>
        <v>Y</v>
      </c>
      <c r="N116" s="5" t="str">
        <f>INDEX(MCDM_Checks!$K$6:$K$3733,MATCH(A116&amp;"|"&amp;N$5,MCDM_Checks!$A$6:$A$3733,0))</f>
        <v>Y</v>
      </c>
      <c r="O116" s="5" t="str">
        <f>INDEX(MCDM_Checks!$K$6:$K$3733,MATCH(A116&amp;"|"&amp;O$5,MCDM_Checks!$A$6:$A$3733,0))</f>
        <v>U</v>
      </c>
      <c r="P116" s="5" t="str">
        <f>INDEX(MCDM_Checks!$K$6:$K$3733,MATCH(A116&amp;"|"&amp;P$5,MCDM_Checks!$A$6:$A$3733,0))</f>
        <v>Y</v>
      </c>
      <c r="Q116" s="5" t="str">
        <f>INDEX(MCDM_Checks!$K$6:$K$3733,MATCH(A116&amp;"|"&amp;Q$5,MCDM_Checks!$A$6:$A$3733,0))</f>
        <v>U</v>
      </c>
      <c r="R116" s="5" t="str">
        <f>INDEX(MCDM_Checks!$K$6:$K$3733,MATCH(A116&amp;"|"&amp;R$5,MCDM_Checks!$A$6:$A$3733,0))</f>
        <v>U</v>
      </c>
      <c r="S116" s="5" t="str">
        <f>INDEX(MCDM_Checks!$K$6:$K$3733,MATCH(A116&amp;"|"&amp;S$5,MCDM_Checks!$A$6:$A$3733,0))</f>
        <v>U</v>
      </c>
      <c r="T116" s="5" t="str">
        <f>INDEX(MCDM_Checks!$K$6:$K$3733,MATCH(A116&amp;"|"&amp;T$5,MCDM_Checks!$A$6:$A$3733,0))</f>
        <v>Y</v>
      </c>
      <c r="U116" s="5" t="str">
        <f>INDEX(MCDM_Checks!$K$6:$K$3733,MATCH(A116&amp;"|"&amp;U$5,MCDM_Checks!$A$6:$A$3733,0))</f>
        <v>Y</v>
      </c>
      <c r="V116" s="5" t="str">
        <f>INDEX(MCDM_Checks!$K$6:$K$3733,MATCH(A116&amp;"|"&amp;V$5,MCDM_Checks!$A$6:$A$3733,0))</f>
        <v>Y</v>
      </c>
      <c r="W116" s="5" t="str">
        <f>INDEX(MCDM_Checks!$K$6:$K$3733,MATCH(A116&amp;"|"&amp;W$5,MCDM_Checks!$A$6:$A$3733,0))</f>
        <v>U</v>
      </c>
      <c r="X116" s="5" t="str">
        <f>INDEX(MCDM_Checks!$K$6:$K$3733,MATCH(A116&amp;"|"&amp;X$5,MCDM_Checks!$A$6:$A$3733,0))</f>
        <v>U</v>
      </c>
      <c r="Y116" s="5" t="str">
        <f>INDEX(MCDM_Checks!$K$6:$K$3733,MATCH(A116&amp;"|"&amp;Y$5,MCDM_Checks!$A$6:$A$3733,0))</f>
        <v>Y</v>
      </c>
      <c r="Z116" s="5" t="str">
        <f>INDEX(MCDM_Checks!$K$6:$K$3733,MATCH(A116&amp;"|"&amp;Z$5,MCDM_Checks!$A$6:$A$3733,0))</f>
        <v>Y</v>
      </c>
      <c r="AA116" s="5" t="str">
        <f>INDEX(MCDM_Checks!$K$6:$K$3733,MATCH(A116&amp;"|"&amp;AA$5,MCDM_Checks!$A$6:$A$3733,0))</f>
        <v>U</v>
      </c>
      <c r="AB116" s="5" t="str">
        <f>INDEX(MCDM_Checks!$K$6:$K$3733,MATCH(A116&amp;"|"&amp;AB$5,MCDM_Checks!$A$6:$A$3733,0))</f>
        <v>Y</v>
      </c>
      <c r="AC116" s="12">
        <f>IF(IF($D116="Unlabeled-13",MCDM_Settings!$F$6,MCDM_Settings!$D$6)=0,"n.a.",5*COUNTIF(M116:O116,"Y")/IF($D116="Unlabeled-13",MCDM_Settings!$F$6,MCDM_Settings!$D$6))</f>
        <v>3.3333333333333335</v>
      </c>
      <c r="AD116" s="12">
        <f>IF(IF($D116="Unlabeled-13",MCDM_Settings!$F$6,MCDM_Settings!$D$6)=0,"n.a.",5*(COUNTIF(M116:O116,"Y")+COUNTIF(M116:O116,"U")+COUNTIF(M116:O116,"X"))/IF($D116="Unlabeled-13",MCDM_Settings!$F$6,MCDM_Settings!$D$6))</f>
        <v>5</v>
      </c>
      <c r="AE116" s="13">
        <f>IF(IF($D116="Unlabeled-13",MCDM_Settings!$F$6,MCDM_Settings!$D$6)=0,"n.a.",(COUNTIF(M116:O116,"Y")+COUNTIF(M116:O116,"N"))/IF($D116="Unlabeled-13",MCDM_Settings!$F$6,MCDM_Settings!$D$6))</f>
        <v>0.66666666666666663</v>
      </c>
      <c r="AF116" s="12">
        <f>IF(IF($D116="Unlabeled-13",MCDM_Settings!$F$7,MCDM_Settings!$D$7)=0,"n.a.",5*COUNTIF(P116:R116,"Y")/IF($D116="Unlabeled-13",MCDM_Settings!$F$7,MCDM_Settings!$D$7))</f>
        <v>1.6666666666666667</v>
      </c>
      <c r="AG116" s="12">
        <f>IF(IF($D116="Unlabeled-13",MCDM_Settings!$F$7,MCDM_Settings!$D$7)=0,"n.a.",5*(COUNTIF(P116:R116,"Y")+COUNTIF(P116:R116,"U")+COUNTIF(P116:R116,"X"))/IF($D116="Unlabeled-13",MCDM_Settings!$F$7,MCDM_Settings!$D$7))</f>
        <v>5</v>
      </c>
      <c r="AH116" s="13">
        <f>IF(IF($D116="Unlabeled-13",MCDM_Settings!$F$7,MCDM_Settings!$D$7)=0,"n.a.",(COUNTIF(P116:R116,"Y")+COUNTIF(P116:R116,"N"))/IF($D116="Unlabeled-13",MCDM_Settings!$F$7,MCDM_Settings!$D$7))</f>
        <v>0.33333333333333331</v>
      </c>
      <c r="AI116" s="12">
        <f>IF(IF($D116="Unlabeled-13",MCDM_Settings!$F$8,MCDM_Settings!$D$8)=0,"n.a.",5*COUNTIF(S116:U116,"Y")/IF($D116="Unlabeled-13",MCDM_Settings!$F$8,MCDM_Settings!$D$8))</f>
        <v>3.3333333333333335</v>
      </c>
      <c r="AJ116" s="12">
        <f>IF(IF($D116="Unlabeled-13",MCDM_Settings!$F$8,MCDM_Settings!$D$8)=0,"n.a.",5*(COUNTIF(S116:U116,"Y")+COUNTIF(S116:U116,"U")+COUNTIF(S116:U116,"X"))/IF($D116="Unlabeled-13",MCDM_Settings!$F$8,MCDM_Settings!$D$8))</f>
        <v>5</v>
      </c>
      <c r="AK116" s="13">
        <f>IF(IF($D116="Unlabeled-13",MCDM_Settings!$F$8,MCDM_Settings!$D$8)=0,"n.a.",(COUNTIF(S116:U116,"Y")+COUNTIF(S116:U116,"N"))/IF($D116="Unlabeled-13",MCDM_Settings!$F$8,MCDM_Settings!$D$8))</f>
        <v>0.66666666666666663</v>
      </c>
      <c r="AL116" s="12">
        <f>IF(IF($D116="Unlabeled-13",MCDM_Settings!$F$9,MCDM_Settings!$D$9)=0,"n.a.",5*COUNTIF(V116:W116,"Y")/IF($D116="Unlabeled-13",MCDM_Settings!$F$9,MCDM_Settings!$D$9))</f>
        <v>2.5</v>
      </c>
      <c r="AM116" s="12">
        <f>IF(IF($D116="Unlabeled-13",MCDM_Settings!$F$9,MCDM_Settings!$D$9)=0,"n.a.",5*(COUNTIF(V116:W116,"Y")+COUNTIF(V116:W116,"U")+COUNTIF(V116:W116,"X"))/IF($D116="Unlabeled-13",MCDM_Settings!$F$9,MCDM_Settings!$D$9))</f>
        <v>5</v>
      </c>
      <c r="AN116" s="13">
        <f>IF(IF($D116="Unlabeled-13",MCDM_Settings!$F$9,MCDM_Settings!$D$9)=0,"n.a.",(COUNTIF(V116:W116,"Y")+COUNTIF(V116:W116,"N"))/IF($D116="Unlabeled-13",MCDM_Settings!$F$9,MCDM_Settings!$D$9))</f>
        <v>0.5</v>
      </c>
      <c r="AO116" s="12">
        <f>IF(IF($D116="Unlabeled-13",MCDM_Settings!$F$10,MCDM_Settings!$D$10)=0,"n.a.",5*COUNTIF(X116:Y116,"Y")/IF($D116="Unlabeled-13",MCDM_Settings!$F$10,MCDM_Settings!$D$10))</f>
        <v>2.5</v>
      </c>
      <c r="AP116" s="12">
        <f>IF(IF($D116="Unlabeled-13",MCDM_Settings!$F$10,MCDM_Settings!$D$10)=0,"n.a.",5*(COUNTIF(X116:Y116,"Y")+COUNTIF(X116:Y116,"U")+COUNTIF(X116:Y116,"X"))/IF($D116="Unlabeled-13",MCDM_Settings!$F$10,MCDM_Settings!$D$10))</f>
        <v>5</v>
      </c>
      <c r="AQ116" s="13">
        <f>IF(IF($D116="Unlabeled-13",MCDM_Settings!$F$10,MCDM_Settings!$D$10)=0,"n.a.",(COUNTIF(X116:Y116,"Y")+COUNTIF(X116:Y116,"N"))/IF($D116="Unlabeled-13",MCDM_Settings!$F$10,MCDM_Settings!$D$10))</f>
        <v>0.5</v>
      </c>
      <c r="AR116" s="12">
        <f>IF(IF($D116="Unlabeled-13",MCDM_Settings!$F$11,MCDM_Settings!$D$11)=0,"n.a.",5*COUNTIF(Z116:AB116,"Y")/IF($D116="Unlabeled-13",MCDM_Settings!$F$11,MCDM_Settings!$D$11))</f>
        <v>3.3333333333333335</v>
      </c>
      <c r="AS116" s="12">
        <f>IF(IF($D116="Unlabeled-13",MCDM_Settings!$F$11,MCDM_Settings!$D$11)=0,"n.a.",5*(COUNTIF(Z116:AB116,"Y")+COUNTIF(Z116:AB116,"U")+COUNTIF(Z116:AB116,"X"))/IF($D116="Unlabeled-13",MCDM_Settings!$F$11,MCDM_Settings!$D$11))</f>
        <v>5</v>
      </c>
      <c r="AT116" s="13">
        <f>IF(IF($D116="Unlabeled-13",MCDM_Settings!$F$11,MCDM_Settings!$D$11)=0,"n.a.",(COUNTIF(Z116:AB116,"Y")+COUNTIF(Z116:AB116,"N"))/IF($D116="Unlabeled-13",MCDM_Settings!$F$11,MCDM_Settings!$D$11))</f>
        <v>0.66666666666666663</v>
      </c>
      <c r="AU116" s="5" t="str">
        <f>IF(AND(INDEX(Manual_Review!$G$6:$G$238,MATCH(A116,Manual_Review!$A$6:$A$238,0))&lt;&gt;"",ISNUMBER(INDEX(Manual_Review!$H$6:$H$238,MATCH(A116,Manual_Review!$A$6:$A$238,0))),INDEX(Manual_Review!$H$6:$H$238,MATCH(A116,Manual_Review!$A$6:$A$238,0))&gt;0,INDEX(Manual_Review!$I$6:$I$238,MATCH(A116,Manual_Review!$A$6:$A$238,0))="Confirmed",INDEX(Manual_Review!$AF$6:$AF$238,MATCH(A116,Manual_Review!$A$6:$A$238,0))&lt;&gt;""),IF(INDEX(Manual_Review!$AA$6:$AA$238,MATCH(A116,Manual_Review!$A$6:$A$238,0))="Pass","Pass",IF(INDEX(Manual_Review!$AA$6:$AA$238,MATCH(A116,Manual_Review!$A$6:$A$238,0))="Fail","Fail","Pending")),"Pending human identity confirmation")</f>
        <v>Pending human identity confirmation</v>
      </c>
      <c r="AV116" s="5" t="str">
        <f>IF(AND(AND(INDEX(Manual_Review!$G$6:$G$238,MATCH(A116,Manual_Review!$A$6:$A$238,0))&lt;&gt;"",ISNUMBER(INDEX(Manual_Review!$H$6:$H$238,MATCH(A116,Manual_Review!$A$6:$A$238,0))),INDEX(Manual_Review!$H$6:$H$238,MATCH(A116,Manual_Review!$A$6:$A$238,0))&gt;0,INDEX(Manual_Review!$I$6:$I$238,MATCH(A116,Manual_Review!$A$6:$A$238,0))="Confirmed",INDEX(Manual_Review!$AF$6:$AF$238,MATCH(A116,Manual_Review!$A$6:$A$238,0))&lt;&gt;""),INDEX(Manual_Review!$AG$6:$AG$238,MATCH(A116,Manual_Review!$A$6:$A$238,0))&lt;&gt;""),IF(INDEX(Manual_Review!$AB$6:$AB$238,MATCH(A116,Manual_Review!$A$6:$A$238,0))="Pass","Pass",IF(INDEX(Manual_Review!$AB$6:$AB$238,MATCH(A116,Manual_Review!$A$6:$A$238,0))="Fail","Fail","Pending")),"Not assessed: define intended task")</f>
        <v>Not assessed: define intended task</v>
      </c>
      <c r="AW116" s="5" t="str">
        <f>IF(AND(AND(INDEX(Manual_Review!$G$6:$G$238,MATCH(A116,Manual_Review!$A$6:$A$238,0))&lt;&gt;"",ISNUMBER(INDEX(Manual_Review!$H$6:$H$238,MATCH(A116,Manual_Review!$A$6:$A$238,0))),INDEX(Manual_Review!$H$6:$H$238,MATCH(A116,Manual_Review!$A$6:$A$238,0))&gt;0,INDEX(Manual_Review!$I$6:$I$238,MATCH(A116,Manual_Review!$A$6:$A$238,0))="Confirmed",INDEX(Manual_Review!$AF$6:$AF$238,MATCH(A116,Manual_Review!$A$6:$A$238,0))&lt;&gt;""),INDEX(Manual_Review!$AG$6:$AG$238,MATCH(A116,Manual_Review!$A$6:$A$238,0))&lt;&gt;""),IF(OR(INDEX(Manual_Review!$AC$6:$AC$238,MATCH(A116,Manual_Review!$A$6:$A$238,0))="Fail",INDEX(Manual_Review!$AD$6:$AD$238,MATCH(A116,Manual_Review!$A$6:$A$238,0))="Fail"),"Fail: rights or retrieval",IF(AND(INDEX(Manual_Review!$AC$6:$AC$238,MATCH(A116,Manual_Review!$A$6:$A$238,0))="Pass",INDEX(Manual_Review!$AD$6:$AD$238,MATCH(A116,Manual_Review!$A$6:$A$238,0))="Pass"),"Pass","Pending rights and retrieval")),"Pending rights and retrieval")</f>
        <v>Pending rights and retrieval</v>
      </c>
      <c r="AX116" s="5" t="str">
        <f>IF(INDEX(Manual_Review!$AG$6:$AG$238,MATCH(A116,Manual_Review!$A$6:$A$238,0))="","N/A: documentation inventory",IF(AND(INDEX(Manual_Review!$G$6:$G$238,MATCH(A116,Manual_Review!$A$6:$A$238,0))&lt;&gt;"",ISNUMBER(INDEX(Manual_Review!$H$6:$H$238,MATCH(A116,Manual_Review!$A$6:$A$238,0))),INDEX(Manual_Review!$H$6:$H$238,MATCH(A116,Manual_Review!$A$6:$A$238,0))&gt;0,INDEX(Manual_Review!$I$6:$I$238,MATCH(A116,Manual_Review!$A$6:$A$238,0))="Confirmed",INDEX(Manual_Review!$AF$6:$AF$238,MATCH(A116,Manual_Review!$A$6:$A$238,0))&lt;&gt;""),IF(INDEX(Manual_Review!$AE$6:$AE$238,MATCH(A116,Manual_Review!$A$6:$A$238,0))="Pass","Pass",IF(INDEX(Manual_Review!$AE$6:$AE$238,MATCH(A116,Manual_Review!$A$6:$A$238,0))="Fail","Fail: benchmark leakage",IF(INDEX(Manual_Review!$AE$6:$AE$238,MATCH(A116,Manual_Review!$A$6:$A$238,0))="N/A","N/A: nonbenchmark task","Pending task-specific leakage check"))),"Pending task-specific leakage check"))</f>
        <v>N/A: documentation inventory</v>
      </c>
      <c r="AY116" s="5" t="str">
        <f>IF(IF(D116="Unlabeled-13",AND(ABS(MCDM_Settings!$D$14-1)&lt;0.0000001,MIN(MCDM_Settings!$E$6:$E$11)&gt;=0,MCDM_Settings!$E$7=0),AND(ABS(MCDM_Settings!$B$14-1)&lt;0.0000001,MIN(MCDM_Settings!$C$6:$C$11)&gt;=0)),"Valid","Check weights")</f>
        <v>Valid</v>
      </c>
      <c r="AZ116" s="5" t="str">
        <f>IF(AND(COUNTIF(MCDM_Checks!$B$6:$B$3733,A116)=16,COUNTIF(Manual_Review!$A$6:$A$238,A116)=1),"16 keys present","Check key count")</f>
        <v>16 keys present</v>
      </c>
    </row>
    <row r="117" spans="1:52" ht="25.5">
      <c r="A117" s="5" t="s">
        <v>1334</v>
      </c>
      <c r="B117" s="5" t="s">
        <v>1335</v>
      </c>
      <c r="C117" s="5"/>
      <c r="D117" s="5" t="s">
        <v>1336</v>
      </c>
      <c r="E117" s="12">
        <f>IF(OR(AY117&lt;&gt;"Valid",AZ117&lt;&gt;"16 keys present"),"Review settings",20*(IF(ISNUMBER(AC117),AC117*IF($D117="Unlabeled-13",MCDM_Settings!$E$6,MCDM_Settings!$C$6),0)+IF(ISNUMBER(AF117),AF117*IF($D117="Unlabeled-13",MCDM_Settings!$E$7,MCDM_Settings!$C$7),0)+IF(ISNUMBER(AI117),AI117*IF($D117="Unlabeled-13",MCDM_Settings!$E$8,MCDM_Settings!$C$8),0)+IF(ISNUMBER(AL117),AL117*IF($D117="Unlabeled-13",MCDM_Settings!$E$9,MCDM_Settings!$C$9),0)+IF(ISNUMBER(AO117),AO117*IF($D117="Unlabeled-13",MCDM_Settings!$E$10,MCDM_Settings!$C$10),0)+IF(ISNUMBER(AR117),AR117*IF($D117="Unlabeled-13",MCDM_Settings!$E$11,MCDM_Settings!$C$11),0)))</f>
        <v>60.000000000000007</v>
      </c>
      <c r="F117" s="12">
        <f>IF(OR(AY117&lt;&gt;"Valid",AZ117&lt;&gt;"16 keys present"),"Review settings",20*(IF(ISNUMBER(AD117),AD117*IF($D117="Unlabeled-13",MCDM_Settings!$E$6,MCDM_Settings!$C$6),0)+IF(ISNUMBER(AG117),AG117*IF($D117="Unlabeled-13",MCDM_Settings!$E$7,MCDM_Settings!$C$7),0)+IF(ISNUMBER(AJ117),AJ117*IF($D117="Unlabeled-13",MCDM_Settings!$E$8,MCDM_Settings!$C$8),0)+IF(ISNUMBER(AM117),AM117*IF($D117="Unlabeled-13",MCDM_Settings!$E$9,MCDM_Settings!$C$9),0)+IF(ISNUMBER(AP117),AP117*IF($D117="Unlabeled-13",MCDM_Settings!$E$10,MCDM_Settings!$C$10),0)+IF(ISNUMBER(AS117),AS117*IF($D117="Unlabeled-13",MCDM_Settings!$E$11,MCDM_Settings!$C$11),0)))</f>
        <v>100</v>
      </c>
      <c r="G117" s="13">
        <f>IF(OR(AY117&lt;&gt;"Valid",AZ117&lt;&gt;"16 keys present"),"Review settings",1*(IF(ISNUMBER(AE117),AE117*IF($D117="Unlabeled-13",MCDM_Settings!$E$6,MCDM_Settings!$C$6),0)+IF(ISNUMBER(AH117),AH117*IF($D117="Unlabeled-13",MCDM_Settings!$E$7,MCDM_Settings!$C$7),0)+IF(ISNUMBER(AK117),AK117*IF($D117="Unlabeled-13",MCDM_Settings!$E$8,MCDM_Settings!$C$8),0)+IF(ISNUMBER(AN117),AN117*IF($D117="Unlabeled-13",MCDM_Settings!$E$9,MCDM_Settings!$C$9),0)+IF(ISNUMBER(AQ117),AQ117*IF($D117="Unlabeled-13",MCDM_Settings!$E$10,MCDM_Settings!$C$10),0)+IF(ISNUMBER(AT117),AT117*IF($D117="Unlabeled-13",MCDM_Settings!$E$11,MCDM_Settings!$C$11),0)))</f>
        <v>0.60000000000000009</v>
      </c>
      <c r="H117" s="5" t="str">
        <f>INDEX(Manual_Review!$AH$6:$AH$238,MATCH(A117,Manual_Review!$A$6:$A$238,0))</f>
        <v>Not started</v>
      </c>
      <c r="I117" s="5" t="s">
        <v>128</v>
      </c>
      <c r="J117" s="5" t="s">
        <v>1337</v>
      </c>
      <c r="K117" s="5" t="str">
        <f>HYPERLINK("https://zenodo.org/records/3383693","Dataset")</f>
        <v>Dataset</v>
      </c>
      <c r="L117" s="5" t="str">
        <f>HYPERLINK("#'Manual_Review'!A"&amp;(MATCH("DS-112",Manual_Review!$A$6:$A$238,0)+5),"Enter review")</f>
        <v>Enter review</v>
      </c>
      <c r="M117" s="5" t="str">
        <f>INDEX(MCDM_Checks!$K$6:$K$3733,MATCH(A117&amp;"|"&amp;M$5,MCDM_Checks!$A$6:$A$3733,0))</f>
        <v>Y</v>
      </c>
      <c r="N117" s="5" t="str">
        <f>INDEX(MCDM_Checks!$K$6:$K$3733,MATCH(A117&amp;"|"&amp;N$5,MCDM_Checks!$A$6:$A$3733,0))</f>
        <v>Y</v>
      </c>
      <c r="O117" s="5" t="str">
        <f>INDEX(MCDM_Checks!$K$6:$K$3733,MATCH(A117&amp;"|"&amp;O$5,MCDM_Checks!$A$6:$A$3733,0))</f>
        <v>Y</v>
      </c>
      <c r="P117" s="5" t="str">
        <f>INDEX(MCDM_Checks!$K$6:$K$3733,MATCH(A117&amp;"|"&amp;P$5,MCDM_Checks!$A$6:$A$3733,0))</f>
        <v>N/A</v>
      </c>
      <c r="Q117" s="5" t="str">
        <f>INDEX(MCDM_Checks!$K$6:$K$3733,MATCH(A117&amp;"|"&amp;Q$5,MCDM_Checks!$A$6:$A$3733,0))</f>
        <v>N/A</v>
      </c>
      <c r="R117" s="5" t="str">
        <f>INDEX(MCDM_Checks!$K$6:$K$3733,MATCH(A117&amp;"|"&amp;R$5,MCDM_Checks!$A$6:$A$3733,0))</f>
        <v>N/A</v>
      </c>
      <c r="S117" s="5" t="str">
        <f>INDEX(MCDM_Checks!$K$6:$K$3733,MATCH(A117&amp;"|"&amp;S$5,MCDM_Checks!$A$6:$A$3733,0))</f>
        <v>U</v>
      </c>
      <c r="T117" s="5" t="str">
        <f>INDEX(MCDM_Checks!$K$6:$K$3733,MATCH(A117&amp;"|"&amp;T$5,MCDM_Checks!$A$6:$A$3733,0))</f>
        <v>Y</v>
      </c>
      <c r="U117" s="5" t="str">
        <f>INDEX(MCDM_Checks!$K$6:$K$3733,MATCH(A117&amp;"|"&amp;U$5,MCDM_Checks!$A$6:$A$3733,0))</f>
        <v>Y</v>
      </c>
      <c r="V117" s="5" t="str">
        <f>INDEX(MCDM_Checks!$K$6:$K$3733,MATCH(A117&amp;"|"&amp;V$5,MCDM_Checks!$A$6:$A$3733,0))</f>
        <v>U</v>
      </c>
      <c r="W117" s="5" t="str">
        <f>INDEX(MCDM_Checks!$K$6:$K$3733,MATCH(A117&amp;"|"&amp;W$5,MCDM_Checks!$A$6:$A$3733,0))</f>
        <v>U</v>
      </c>
      <c r="X117" s="5" t="str">
        <f>INDEX(MCDM_Checks!$K$6:$K$3733,MATCH(A117&amp;"|"&amp;X$5,MCDM_Checks!$A$6:$A$3733,0))</f>
        <v>Y</v>
      </c>
      <c r="Y117" s="5" t="str">
        <f>INDEX(MCDM_Checks!$K$6:$K$3733,MATCH(A117&amp;"|"&amp;Y$5,MCDM_Checks!$A$6:$A$3733,0))</f>
        <v>Y</v>
      </c>
      <c r="Z117" s="5" t="str">
        <f>INDEX(MCDM_Checks!$K$6:$K$3733,MATCH(A117&amp;"|"&amp;Z$5,MCDM_Checks!$A$6:$A$3733,0))</f>
        <v>Y</v>
      </c>
      <c r="AA117" s="5" t="str">
        <f>INDEX(MCDM_Checks!$K$6:$K$3733,MATCH(A117&amp;"|"&amp;AA$5,MCDM_Checks!$A$6:$A$3733,0))</f>
        <v>U</v>
      </c>
      <c r="AB117" s="5" t="str">
        <f>INDEX(MCDM_Checks!$K$6:$K$3733,MATCH(A117&amp;"|"&amp;AB$5,MCDM_Checks!$A$6:$A$3733,0))</f>
        <v>U</v>
      </c>
      <c r="AC117" s="12">
        <f>IF(IF($D117="Unlabeled-13",MCDM_Settings!$F$6,MCDM_Settings!$D$6)=0,"n.a.",5*COUNTIF(M117:O117,"Y")/IF($D117="Unlabeled-13",MCDM_Settings!$F$6,MCDM_Settings!$D$6))</f>
        <v>5</v>
      </c>
      <c r="AD117" s="12">
        <f>IF(IF($D117="Unlabeled-13",MCDM_Settings!$F$6,MCDM_Settings!$D$6)=0,"n.a.",5*(COUNTIF(M117:O117,"Y")+COUNTIF(M117:O117,"U")+COUNTIF(M117:O117,"X"))/IF($D117="Unlabeled-13",MCDM_Settings!$F$6,MCDM_Settings!$D$6))</f>
        <v>5</v>
      </c>
      <c r="AE117" s="13">
        <f>IF(IF($D117="Unlabeled-13",MCDM_Settings!$F$6,MCDM_Settings!$D$6)=0,"n.a.",(COUNTIF(M117:O117,"Y")+COUNTIF(M117:O117,"N"))/IF($D117="Unlabeled-13",MCDM_Settings!$F$6,MCDM_Settings!$D$6))</f>
        <v>1</v>
      </c>
      <c r="AF117" s="12" t="str">
        <f>IF(IF($D117="Unlabeled-13",MCDM_Settings!$F$7,MCDM_Settings!$D$7)=0,"n.a.",5*COUNTIF(P117:R117,"Y")/IF($D117="Unlabeled-13",MCDM_Settings!$F$7,MCDM_Settings!$D$7))</f>
        <v>n.a.</v>
      </c>
      <c r="AG117" s="12" t="str">
        <f>IF(IF($D117="Unlabeled-13",MCDM_Settings!$F$7,MCDM_Settings!$D$7)=0,"n.a.",5*(COUNTIF(P117:R117,"Y")+COUNTIF(P117:R117,"U")+COUNTIF(P117:R117,"X"))/IF($D117="Unlabeled-13",MCDM_Settings!$F$7,MCDM_Settings!$D$7))</f>
        <v>n.a.</v>
      </c>
      <c r="AH117" s="13" t="str">
        <f>IF(IF($D117="Unlabeled-13",MCDM_Settings!$F$7,MCDM_Settings!$D$7)=0,"n.a.",(COUNTIF(P117:R117,"Y")+COUNTIF(P117:R117,"N"))/IF($D117="Unlabeled-13",MCDM_Settings!$F$7,MCDM_Settings!$D$7))</f>
        <v>n.a.</v>
      </c>
      <c r="AI117" s="12">
        <f>IF(IF($D117="Unlabeled-13",MCDM_Settings!$F$8,MCDM_Settings!$D$8)=0,"n.a.",5*COUNTIF(S117:U117,"Y")/IF($D117="Unlabeled-13",MCDM_Settings!$F$8,MCDM_Settings!$D$8))</f>
        <v>3.3333333333333335</v>
      </c>
      <c r="AJ117" s="12">
        <f>IF(IF($D117="Unlabeled-13",MCDM_Settings!$F$8,MCDM_Settings!$D$8)=0,"n.a.",5*(COUNTIF(S117:U117,"Y")+COUNTIF(S117:U117,"U")+COUNTIF(S117:U117,"X"))/IF($D117="Unlabeled-13",MCDM_Settings!$F$8,MCDM_Settings!$D$8))</f>
        <v>5</v>
      </c>
      <c r="AK117" s="13">
        <f>IF(IF($D117="Unlabeled-13",MCDM_Settings!$F$8,MCDM_Settings!$D$8)=0,"n.a.",(COUNTIF(S117:U117,"Y")+COUNTIF(S117:U117,"N"))/IF($D117="Unlabeled-13",MCDM_Settings!$F$8,MCDM_Settings!$D$8))</f>
        <v>0.66666666666666663</v>
      </c>
      <c r="AL117" s="12">
        <f>IF(IF($D117="Unlabeled-13",MCDM_Settings!$F$9,MCDM_Settings!$D$9)=0,"n.a.",5*COUNTIF(V117:W117,"Y")/IF($D117="Unlabeled-13",MCDM_Settings!$F$9,MCDM_Settings!$D$9))</f>
        <v>0</v>
      </c>
      <c r="AM117" s="12">
        <f>IF(IF($D117="Unlabeled-13",MCDM_Settings!$F$9,MCDM_Settings!$D$9)=0,"n.a.",5*(COUNTIF(V117:W117,"Y")+COUNTIF(V117:W117,"U")+COUNTIF(V117:W117,"X"))/IF($D117="Unlabeled-13",MCDM_Settings!$F$9,MCDM_Settings!$D$9))</f>
        <v>5</v>
      </c>
      <c r="AN117" s="13">
        <f>IF(IF($D117="Unlabeled-13",MCDM_Settings!$F$9,MCDM_Settings!$D$9)=0,"n.a.",(COUNTIF(V117:W117,"Y")+COUNTIF(V117:W117,"N"))/IF($D117="Unlabeled-13",MCDM_Settings!$F$9,MCDM_Settings!$D$9))</f>
        <v>0</v>
      </c>
      <c r="AO117" s="12">
        <f>IF(IF($D117="Unlabeled-13",MCDM_Settings!$F$10,MCDM_Settings!$D$10)=0,"n.a.",5*COUNTIF(X117:Y117,"Y")/IF($D117="Unlabeled-13",MCDM_Settings!$F$10,MCDM_Settings!$D$10))</f>
        <v>5</v>
      </c>
      <c r="AP117" s="12">
        <f>IF(IF($D117="Unlabeled-13",MCDM_Settings!$F$10,MCDM_Settings!$D$10)=0,"n.a.",5*(COUNTIF(X117:Y117,"Y")+COUNTIF(X117:Y117,"U")+COUNTIF(X117:Y117,"X"))/IF($D117="Unlabeled-13",MCDM_Settings!$F$10,MCDM_Settings!$D$10))</f>
        <v>5</v>
      </c>
      <c r="AQ117" s="13">
        <f>IF(IF($D117="Unlabeled-13",MCDM_Settings!$F$10,MCDM_Settings!$D$10)=0,"n.a.",(COUNTIF(X117:Y117,"Y")+COUNTIF(X117:Y117,"N"))/IF($D117="Unlabeled-13",MCDM_Settings!$F$10,MCDM_Settings!$D$10))</f>
        <v>1</v>
      </c>
      <c r="AR117" s="12">
        <f>IF(IF($D117="Unlabeled-13",MCDM_Settings!$F$11,MCDM_Settings!$D$11)=0,"n.a.",5*COUNTIF(Z117:AB117,"Y")/IF($D117="Unlabeled-13",MCDM_Settings!$F$11,MCDM_Settings!$D$11))</f>
        <v>1.6666666666666667</v>
      </c>
      <c r="AS117" s="12">
        <f>IF(IF($D117="Unlabeled-13",MCDM_Settings!$F$11,MCDM_Settings!$D$11)=0,"n.a.",5*(COUNTIF(Z117:AB117,"Y")+COUNTIF(Z117:AB117,"U")+COUNTIF(Z117:AB117,"X"))/IF($D117="Unlabeled-13",MCDM_Settings!$F$11,MCDM_Settings!$D$11))</f>
        <v>5</v>
      </c>
      <c r="AT117" s="13">
        <f>IF(IF($D117="Unlabeled-13",MCDM_Settings!$F$11,MCDM_Settings!$D$11)=0,"n.a.",(COUNTIF(Z117:AB117,"Y")+COUNTIF(Z117:AB117,"N"))/IF($D117="Unlabeled-13",MCDM_Settings!$F$11,MCDM_Settings!$D$11))</f>
        <v>0.33333333333333331</v>
      </c>
      <c r="AU117" s="5" t="str">
        <f>IF(AND(INDEX(Manual_Review!$G$6:$G$238,MATCH(A117,Manual_Review!$A$6:$A$238,0))&lt;&gt;"",ISNUMBER(INDEX(Manual_Review!$H$6:$H$238,MATCH(A117,Manual_Review!$A$6:$A$238,0))),INDEX(Manual_Review!$H$6:$H$238,MATCH(A117,Manual_Review!$A$6:$A$238,0))&gt;0,INDEX(Manual_Review!$I$6:$I$238,MATCH(A117,Manual_Review!$A$6:$A$238,0))="Confirmed",INDEX(Manual_Review!$AF$6:$AF$238,MATCH(A117,Manual_Review!$A$6:$A$238,0))&lt;&gt;""),IF(INDEX(Manual_Review!$AA$6:$AA$238,MATCH(A117,Manual_Review!$A$6:$A$238,0))="Pass","Pass",IF(INDEX(Manual_Review!$AA$6:$AA$238,MATCH(A117,Manual_Review!$A$6:$A$238,0))="Fail","Fail","Pending")),"Pending human identity confirmation")</f>
        <v>Pending human identity confirmation</v>
      </c>
      <c r="AV117" s="5" t="str">
        <f>IF(AND(AND(INDEX(Manual_Review!$G$6:$G$238,MATCH(A117,Manual_Review!$A$6:$A$238,0))&lt;&gt;"",ISNUMBER(INDEX(Manual_Review!$H$6:$H$238,MATCH(A117,Manual_Review!$A$6:$A$238,0))),INDEX(Manual_Review!$H$6:$H$238,MATCH(A117,Manual_Review!$A$6:$A$238,0))&gt;0,INDEX(Manual_Review!$I$6:$I$238,MATCH(A117,Manual_Review!$A$6:$A$238,0))="Confirmed",INDEX(Manual_Review!$AF$6:$AF$238,MATCH(A117,Manual_Review!$A$6:$A$238,0))&lt;&gt;""),INDEX(Manual_Review!$AG$6:$AG$238,MATCH(A117,Manual_Review!$A$6:$A$238,0))&lt;&gt;""),IF(INDEX(Manual_Review!$AB$6:$AB$238,MATCH(A117,Manual_Review!$A$6:$A$238,0))="Pass","Pass",IF(INDEX(Manual_Review!$AB$6:$AB$238,MATCH(A117,Manual_Review!$A$6:$A$238,0))="Fail","Fail","Pending")),"Not assessed: define intended task")</f>
        <v>Not assessed: define intended task</v>
      </c>
      <c r="AW117" s="5" t="str">
        <f>IF(AND(AND(INDEX(Manual_Review!$G$6:$G$238,MATCH(A117,Manual_Review!$A$6:$A$238,0))&lt;&gt;"",ISNUMBER(INDEX(Manual_Review!$H$6:$H$238,MATCH(A117,Manual_Review!$A$6:$A$238,0))),INDEX(Manual_Review!$H$6:$H$238,MATCH(A117,Manual_Review!$A$6:$A$238,0))&gt;0,INDEX(Manual_Review!$I$6:$I$238,MATCH(A117,Manual_Review!$A$6:$A$238,0))="Confirmed",INDEX(Manual_Review!$AF$6:$AF$238,MATCH(A117,Manual_Review!$A$6:$A$238,0))&lt;&gt;""),INDEX(Manual_Review!$AG$6:$AG$238,MATCH(A117,Manual_Review!$A$6:$A$238,0))&lt;&gt;""),IF(OR(INDEX(Manual_Review!$AC$6:$AC$238,MATCH(A117,Manual_Review!$A$6:$A$238,0))="Fail",INDEX(Manual_Review!$AD$6:$AD$238,MATCH(A117,Manual_Review!$A$6:$A$238,0))="Fail"),"Fail: rights or retrieval",IF(AND(INDEX(Manual_Review!$AC$6:$AC$238,MATCH(A117,Manual_Review!$A$6:$A$238,0))="Pass",INDEX(Manual_Review!$AD$6:$AD$238,MATCH(A117,Manual_Review!$A$6:$A$238,0))="Pass"),"Pass","Pending rights and retrieval")),"Pending rights and retrieval")</f>
        <v>Pending rights and retrieval</v>
      </c>
      <c r="AX117" s="5" t="str">
        <f>IF(INDEX(Manual_Review!$AG$6:$AG$238,MATCH(A117,Manual_Review!$A$6:$A$238,0))="","N/A: documentation inventory",IF(AND(INDEX(Manual_Review!$G$6:$G$238,MATCH(A117,Manual_Review!$A$6:$A$238,0))&lt;&gt;"",ISNUMBER(INDEX(Manual_Review!$H$6:$H$238,MATCH(A117,Manual_Review!$A$6:$A$238,0))),INDEX(Manual_Review!$H$6:$H$238,MATCH(A117,Manual_Review!$A$6:$A$238,0))&gt;0,INDEX(Manual_Review!$I$6:$I$238,MATCH(A117,Manual_Review!$A$6:$A$238,0))="Confirmed",INDEX(Manual_Review!$AF$6:$AF$238,MATCH(A117,Manual_Review!$A$6:$A$238,0))&lt;&gt;""),IF(INDEX(Manual_Review!$AE$6:$AE$238,MATCH(A117,Manual_Review!$A$6:$A$238,0))="Pass","Pass",IF(INDEX(Manual_Review!$AE$6:$AE$238,MATCH(A117,Manual_Review!$A$6:$A$238,0))="Fail","Fail: benchmark leakage",IF(INDEX(Manual_Review!$AE$6:$AE$238,MATCH(A117,Manual_Review!$A$6:$A$238,0))="N/A","N/A: nonbenchmark task","Pending task-specific leakage check"))),"Pending task-specific leakage check"))</f>
        <v>N/A: documentation inventory</v>
      </c>
      <c r="AY117" s="5" t="str">
        <f>IF(IF(D117="Unlabeled-13",AND(ABS(MCDM_Settings!$D$14-1)&lt;0.0000001,MIN(MCDM_Settings!$E$6:$E$11)&gt;=0,MCDM_Settings!$E$7=0),AND(ABS(MCDM_Settings!$B$14-1)&lt;0.0000001,MIN(MCDM_Settings!$C$6:$C$11)&gt;=0)),"Valid","Check weights")</f>
        <v>Valid</v>
      </c>
      <c r="AZ117" s="5" t="str">
        <f>IF(AND(COUNTIF(MCDM_Checks!$B$6:$B$3733,A117)=16,COUNTIF(Manual_Review!$A$6:$A$238,A117)=1),"16 keys present","Check key count")</f>
        <v>16 keys present</v>
      </c>
    </row>
    <row r="118" spans="1:52" ht="38.25">
      <c r="A118" s="5" t="s">
        <v>1345</v>
      </c>
      <c r="B118" s="5" t="s">
        <v>1346</v>
      </c>
      <c r="C118" s="5"/>
      <c r="D118" s="5" t="s">
        <v>118</v>
      </c>
      <c r="E118" s="12">
        <f>IF(OR(AY118&lt;&gt;"Valid",AZ118&lt;&gt;"16 keys present"),"Review settings",20*(IF(ISNUMBER(AC118),AC118*IF($D118="Unlabeled-13",MCDM_Settings!$E$6,MCDM_Settings!$C$6),0)+IF(ISNUMBER(AF118),AF118*IF($D118="Unlabeled-13",MCDM_Settings!$E$7,MCDM_Settings!$C$7),0)+IF(ISNUMBER(AI118),AI118*IF($D118="Unlabeled-13",MCDM_Settings!$E$8,MCDM_Settings!$C$8),0)+IF(ISNUMBER(AL118),AL118*IF($D118="Unlabeled-13",MCDM_Settings!$E$9,MCDM_Settings!$C$9),0)+IF(ISNUMBER(AO118),AO118*IF($D118="Unlabeled-13",MCDM_Settings!$E$10,MCDM_Settings!$C$10),0)+IF(ISNUMBER(AR118),AR118*IF($D118="Unlabeled-13",MCDM_Settings!$E$11,MCDM_Settings!$C$11),0)))</f>
        <v>41.666666666666657</v>
      </c>
      <c r="F118" s="12">
        <f>IF(OR(AY118&lt;&gt;"Valid",AZ118&lt;&gt;"16 keys present"),"Review settings",20*(IF(ISNUMBER(AD118),AD118*IF($D118="Unlabeled-13",MCDM_Settings!$E$6,MCDM_Settings!$C$6),0)+IF(ISNUMBER(AG118),AG118*IF($D118="Unlabeled-13",MCDM_Settings!$E$7,MCDM_Settings!$C$7),0)+IF(ISNUMBER(AJ118),AJ118*IF($D118="Unlabeled-13",MCDM_Settings!$E$8,MCDM_Settings!$C$8),0)+IF(ISNUMBER(AM118),AM118*IF($D118="Unlabeled-13",MCDM_Settings!$E$9,MCDM_Settings!$C$9),0)+IF(ISNUMBER(AP118),AP118*IF($D118="Unlabeled-13",MCDM_Settings!$E$10,MCDM_Settings!$C$10),0)+IF(ISNUMBER(AS118),AS118*IF($D118="Unlabeled-13",MCDM_Settings!$E$11,MCDM_Settings!$C$11),0)))</f>
        <v>99.999999999999986</v>
      </c>
      <c r="G118" s="13">
        <f>IF(OR(AY118&lt;&gt;"Valid",AZ118&lt;&gt;"16 keys present"),"Review settings",1*(IF(ISNUMBER(AE118),AE118*IF($D118="Unlabeled-13",MCDM_Settings!$E$6,MCDM_Settings!$C$6),0)+IF(ISNUMBER(AH118),AH118*IF($D118="Unlabeled-13",MCDM_Settings!$E$7,MCDM_Settings!$C$7),0)+IF(ISNUMBER(AK118),AK118*IF($D118="Unlabeled-13",MCDM_Settings!$E$8,MCDM_Settings!$C$8),0)+IF(ISNUMBER(AN118),AN118*IF($D118="Unlabeled-13",MCDM_Settings!$E$9,MCDM_Settings!$C$9),0)+IF(ISNUMBER(AQ118),AQ118*IF($D118="Unlabeled-13",MCDM_Settings!$E$10,MCDM_Settings!$C$10),0)+IF(ISNUMBER(AT118),AT118*IF($D118="Unlabeled-13",MCDM_Settings!$E$11,MCDM_Settings!$C$11),0)))</f>
        <v>0.41666666666666663</v>
      </c>
      <c r="H118" s="5" t="str">
        <f>INDEX(Manual_Review!$AH$6:$AH$238,MATCH(A118,Manual_Review!$A$6:$A$238,0))</f>
        <v>Not started</v>
      </c>
      <c r="I118" s="5" t="s">
        <v>128</v>
      </c>
      <c r="J118" s="5" t="s">
        <v>121</v>
      </c>
      <c r="K118" s="5" t="str">
        <f>HYPERLINK("https://zenodo.org/records/11625865","Dataset")</f>
        <v>Dataset</v>
      </c>
      <c r="L118" s="5" t="str">
        <f>HYPERLINK("#'Manual_Review'!A"&amp;(MATCH("DS-113",Manual_Review!$A$6:$A$238,0)+5),"Enter review")</f>
        <v>Enter review</v>
      </c>
      <c r="M118" s="5" t="str">
        <f>INDEX(MCDM_Checks!$K$6:$K$3733,MATCH(A118&amp;"|"&amp;M$5,MCDM_Checks!$A$6:$A$3733,0))</f>
        <v>Y</v>
      </c>
      <c r="N118" s="5" t="str">
        <f>INDEX(MCDM_Checks!$K$6:$K$3733,MATCH(A118&amp;"|"&amp;N$5,MCDM_Checks!$A$6:$A$3733,0))</f>
        <v>Y</v>
      </c>
      <c r="O118" s="5" t="str">
        <f>INDEX(MCDM_Checks!$K$6:$K$3733,MATCH(A118&amp;"|"&amp;O$5,MCDM_Checks!$A$6:$A$3733,0))</f>
        <v>Y</v>
      </c>
      <c r="P118" s="5" t="str">
        <f>INDEX(MCDM_Checks!$K$6:$K$3733,MATCH(A118&amp;"|"&amp;P$5,MCDM_Checks!$A$6:$A$3733,0))</f>
        <v>U</v>
      </c>
      <c r="Q118" s="5" t="str">
        <f>INDEX(MCDM_Checks!$K$6:$K$3733,MATCH(A118&amp;"|"&amp;Q$5,MCDM_Checks!$A$6:$A$3733,0))</f>
        <v>U</v>
      </c>
      <c r="R118" s="5" t="str">
        <f>INDEX(MCDM_Checks!$K$6:$K$3733,MATCH(A118&amp;"|"&amp;R$5,MCDM_Checks!$A$6:$A$3733,0))</f>
        <v>U</v>
      </c>
      <c r="S118" s="5" t="str">
        <f>INDEX(MCDM_Checks!$K$6:$K$3733,MATCH(A118&amp;"|"&amp;S$5,MCDM_Checks!$A$6:$A$3733,0))</f>
        <v>Y</v>
      </c>
      <c r="T118" s="5" t="str">
        <f>INDEX(MCDM_Checks!$K$6:$K$3733,MATCH(A118&amp;"|"&amp;T$5,MCDM_Checks!$A$6:$A$3733,0))</f>
        <v>Y</v>
      </c>
      <c r="U118" s="5" t="str">
        <f>INDEX(MCDM_Checks!$K$6:$K$3733,MATCH(A118&amp;"|"&amp;U$5,MCDM_Checks!$A$6:$A$3733,0))</f>
        <v>U</v>
      </c>
      <c r="V118" s="5" t="str">
        <f>INDEX(MCDM_Checks!$K$6:$K$3733,MATCH(A118&amp;"|"&amp;V$5,MCDM_Checks!$A$6:$A$3733,0))</f>
        <v>U</v>
      </c>
      <c r="W118" s="5" t="str">
        <f>INDEX(MCDM_Checks!$K$6:$K$3733,MATCH(A118&amp;"|"&amp;W$5,MCDM_Checks!$A$6:$A$3733,0))</f>
        <v>U</v>
      </c>
      <c r="X118" s="5" t="str">
        <f>INDEX(MCDM_Checks!$K$6:$K$3733,MATCH(A118&amp;"|"&amp;X$5,MCDM_Checks!$A$6:$A$3733,0))</f>
        <v>U</v>
      </c>
      <c r="Y118" s="5" t="str">
        <f>INDEX(MCDM_Checks!$K$6:$K$3733,MATCH(A118&amp;"|"&amp;Y$5,MCDM_Checks!$A$6:$A$3733,0))</f>
        <v>Y</v>
      </c>
      <c r="Z118" s="5" t="str">
        <f>INDEX(MCDM_Checks!$K$6:$K$3733,MATCH(A118&amp;"|"&amp;Z$5,MCDM_Checks!$A$6:$A$3733,0))</f>
        <v>U</v>
      </c>
      <c r="AA118" s="5" t="str">
        <f>INDEX(MCDM_Checks!$K$6:$K$3733,MATCH(A118&amp;"|"&amp;AA$5,MCDM_Checks!$A$6:$A$3733,0))</f>
        <v>U</v>
      </c>
      <c r="AB118" s="5" t="str">
        <f>INDEX(MCDM_Checks!$K$6:$K$3733,MATCH(A118&amp;"|"&amp;AB$5,MCDM_Checks!$A$6:$A$3733,0))</f>
        <v>Y</v>
      </c>
      <c r="AC118" s="12">
        <f>IF(IF($D118="Unlabeled-13",MCDM_Settings!$F$6,MCDM_Settings!$D$6)=0,"n.a.",5*COUNTIF(M118:O118,"Y")/IF($D118="Unlabeled-13",MCDM_Settings!$F$6,MCDM_Settings!$D$6))</f>
        <v>5</v>
      </c>
      <c r="AD118" s="12">
        <f>IF(IF($D118="Unlabeled-13",MCDM_Settings!$F$6,MCDM_Settings!$D$6)=0,"n.a.",5*(COUNTIF(M118:O118,"Y")+COUNTIF(M118:O118,"U")+COUNTIF(M118:O118,"X"))/IF($D118="Unlabeled-13",MCDM_Settings!$F$6,MCDM_Settings!$D$6))</f>
        <v>5</v>
      </c>
      <c r="AE118" s="13">
        <f>IF(IF($D118="Unlabeled-13",MCDM_Settings!$F$6,MCDM_Settings!$D$6)=0,"n.a.",(COUNTIF(M118:O118,"Y")+COUNTIF(M118:O118,"N"))/IF($D118="Unlabeled-13",MCDM_Settings!$F$6,MCDM_Settings!$D$6))</f>
        <v>1</v>
      </c>
      <c r="AF118" s="12">
        <f>IF(IF($D118="Unlabeled-13",MCDM_Settings!$F$7,MCDM_Settings!$D$7)=0,"n.a.",5*COUNTIF(P118:R118,"Y")/IF($D118="Unlabeled-13",MCDM_Settings!$F$7,MCDM_Settings!$D$7))</f>
        <v>0</v>
      </c>
      <c r="AG118" s="12">
        <f>IF(IF($D118="Unlabeled-13",MCDM_Settings!$F$7,MCDM_Settings!$D$7)=0,"n.a.",5*(COUNTIF(P118:R118,"Y")+COUNTIF(P118:R118,"U")+COUNTIF(P118:R118,"X"))/IF($D118="Unlabeled-13",MCDM_Settings!$F$7,MCDM_Settings!$D$7))</f>
        <v>5</v>
      </c>
      <c r="AH118" s="13">
        <f>IF(IF($D118="Unlabeled-13",MCDM_Settings!$F$7,MCDM_Settings!$D$7)=0,"n.a.",(COUNTIF(P118:R118,"Y")+COUNTIF(P118:R118,"N"))/IF($D118="Unlabeled-13",MCDM_Settings!$F$7,MCDM_Settings!$D$7))</f>
        <v>0</v>
      </c>
      <c r="AI118" s="12">
        <f>IF(IF($D118="Unlabeled-13",MCDM_Settings!$F$8,MCDM_Settings!$D$8)=0,"n.a.",5*COUNTIF(S118:U118,"Y")/IF($D118="Unlabeled-13",MCDM_Settings!$F$8,MCDM_Settings!$D$8))</f>
        <v>3.3333333333333335</v>
      </c>
      <c r="AJ118" s="12">
        <f>IF(IF($D118="Unlabeled-13",MCDM_Settings!$F$8,MCDM_Settings!$D$8)=0,"n.a.",5*(COUNTIF(S118:U118,"Y")+COUNTIF(S118:U118,"U")+COUNTIF(S118:U118,"X"))/IF($D118="Unlabeled-13",MCDM_Settings!$F$8,MCDM_Settings!$D$8))</f>
        <v>5</v>
      </c>
      <c r="AK118" s="13">
        <f>IF(IF($D118="Unlabeled-13",MCDM_Settings!$F$8,MCDM_Settings!$D$8)=0,"n.a.",(COUNTIF(S118:U118,"Y")+COUNTIF(S118:U118,"N"))/IF($D118="Unlabeled-13",MCDM_Settings!$F$8,MCDM_Settings!$D$8))</f>
        <v>0.66666666666666663</v>
      </c>
      <c r="AL118" s="12">
        <f>IF(IF($D118="Unlabeled-13",MCDM_Settings!$F$9,MCDM_Settings!$D$9)=0,"n.a.",5*COUNTIF(V118:W118,"Y")/IF($D118="Unlabeled-13",MCDM_Settings!$F$9,MCDM_Settings!$D$9))</f>
        <v>0</v>
      </c>
      <c r="AM118" s="12">
        <f>IF(IF($D118="Unlabeled-13",MCDM_Settings!$F$9,MCDM_Settings!$D$9)=0,"n.a.",5*(COUNTIF(V118:W118,"Y")+COUNTIF(V118:W118,"U")+COUNTIF(V118:W118,"X"))/IF($D118="Unlabeled-13",MCDM_Settings!$F$9,MCDM_Settings!$D$9))</f>
        <v>5</v>
      </c>
      <c r="AN118" s="13">
        <f>IF(IF($D118="Unlabeled-13",MCDM_Settings!$F$9,MCDM_Settings!$D$9)=0,"n.a.",(COUNTIF(V118:W118,"Y")+COUNTIF(V118:W118,"N"))/IF($D118="Unlabeled-13",MCDM_Settings!$F$9,MCDM_Settings!$D$9))</f>
        <v>0</v>
      </c>
      <c r="AO118" s="12">
        <f>IF(IF($D118="Unlabeled-13",MCDM_Settings!$F$10,MCDM_Settings!$D$10)=0,"n.a.",5*COUNTIF(X118:Y118,"Y")/IF($D118="Unlabeled-13",MCDM_Settings!$F$10,MCDM_Settings!$D$10))</f>
        <v>2.5</v>
      </c>
      <c r="AP118" s="12">
        <f>IF(IF($D118="Unlabeled-13",MCDM_Settings!$F$10,MCDM_Settings!$D$10)=0,"n.a.",5*(COUNTIF(X118:Y118,"Y")+COUNTIF(X118:Y118,"U")+COUNTIF(X118:Y118,"X"))/IF($D118="Unlabeled-13",MCDM_Settings!$F$10,MCDM_Settings!$D$10))</f>
        <v>5</v>
      </c>
      <c r="AQ118" s="13">
        <f>IF(IF($D118="Unlabeled-13",MCDM_Settings!$F$10,MCDM_Settings!$D$10)=0,"n.a.",(COUNTIF(X118:Y118,"Y")+COUNTIF(X118:Y118,"N"))/IF($D118="Unlabeled-13",MCDM_Settings!$F$10,MCDM_Settings!$D$10))</f>
        <v>0.5</v>
      </c>
      <c r="AR118" s="12">
        <f>IF(IF($D118="Unlabeled-13",MCDM_Settings!$F$11,MCDM_Settings!$D$11)=0,"n.a.",5*COUNTIF(Z118:AB118,"Y")/IF($D118="Unlabeled-13",MCDM_Settings!$F$11,MCDM_Settings!$D$11))</f>
        <v>1.6666666666666667</v>
      </c>
      <c r="AS118" s="12">
        <f>IF(IF($D118="Unlabeled-13",MCDM_Settings!$F$11,MCDM_Settings!$D$11)=0,"n.a.",5*(COUNTIF(Z118:AB118,"Y")+COUNTIF(Z118:AB118,"U")+COUNTIF(Z118:AB118,"X"))/IF($D118="Unlabeled-13",MCDM_Settings!$F$11,MCDM_Settings!$D$11))</f>
        <v>5</v>
      </c>
      <c r="AT118" s="13">
        <f>IF(IF($D118="Unlabeled-13",MCDM_Settings!$F$11,MCDM_Settings!$D$11)=0,"n.a.",(COUNTIF(Z118:AB118,"Y")+COUNTIF(Z118:AB118,"N"))/IF($D118="Unlabeled-13",MCDM_Settings!$F$11,MCDM_Settings!$D$11))</f>
        <v>0.33333333333333331</v>
      </c>
      <c r="AU118" s="5" t="str">
        <f>IF(AND(INDEX(Manual_Review!$G$6:$G$238,MATCH(A118,Manual_Review!$A$6:$A$238,0))&lt;&gt;"",ISNUMBER(INDEX(Manual_Review!$H$6:$H$238,MATCH(A118,Manual_Review!$A$6:$A$238,0))),INDEX(Manual_Review!$H$6:$H$238,MATCH(A118,Manual_Review!$A$6:$A$238,0))&gt;0,INDEX(Manual_Review!$I$6:$I$238,MATCH(A118,Manual_Review!$A$6:$A$238,0))="Confirmed",INDEX(Manual_Review!$AF$6:$AF$238,MATCH(A118,Manual_Review!$A$6:$A$238,0))&lt;&gt;""),IF(INDEX(Manual_Review!$AA$6:$AA$238,MATCH(A118,Manual_Review!$A$6:$A$238,0))="Pass","Pass",IF(INDEX(Manual_Review!$AA$6:$AA$238,MATCH(A118,Manual_Review!$A$6:$A$238,0))="Fail","Fail","Pending")),"Pending human identity confirmation")</f>
        <v>Pending human identity confirmation</v>
      </c>
      <c r="AV118" s="5" t="str">
        <f>IF(AND(AND(INDEX(Manual_Review!$G$6:$G$238,MATCH(A118,Manual_Review!$A$6:$A$238,0))&lt;&gt;"",ISNUMBER(INDEX(Manual_Review!$H$6:$H$238,MATCH(A118,Manual_Review!$A$6:$A$238,0))),INDEX(Manual_Review!$H$6:$H$238,MATCH(A118,Manual_Review!$A$6:$A$238,0))&gt;0,INDEX(Manual_Review!$I$6:$I$238,MATCH(A118,Manual_Review!$A$6:$A$238,0))="Confirmed",INDEX(Manual_Review!$AF$6:$AF$238,MATCH(A118,Manual_Review!$A$6:$A$238,0))&lt;&gt;""),INDEX(Manual_Review!$AG$6:$AG$238,MATCH(A118,Manual_Review!$A$6:$A$238,0))&lt;&gt;""),IF(INDEX(Manual_Review!$AB$6:$AB$238,MATCH(A118,Manual_Review!$A$6:$A$238,0))="Pass","Pass",IF(INDEX(Manual_Review!$AB$6:$AB$238,MATCH(A118,Manual_Review!$A$6:$A$238,0))="Fail","Fail","Pending")),"Not assessed: define intended task")</f>
        <v>Not assessed: define intended task</v>
      </c>
      <c r="AW118" s="5" t="str">
        <f>IF(AND(AND(INDEX(Manual_Review!$G$6:$G$238,MATCH(A118,Manual_Review!$A$6:$A$238,0))&lt;&gt;"",ISNUMBER(INDEX(Manual_Review!$H$6:$H$238,MATCH(A118,Manual_Review!$A$6:$A$238,0))),INDEX(Manual_Review!$H$6:$H$238,MATCH(A118,Manual_Review!$A$6:$A$238,0))&gt;0,INDEX(Manual_Review!$I$6:$I$238,MATCH(A118,Manual_Review!$A$6:$A$238,0))="Confirmed",INDEX(Manual_Review!$AF$6:$AF$238,MATCH(A118,Manual_Review!$A$6:$A$238,0))&lt;&gt;""),INDEX(Manual_Review!$AG$6:$AG$238,MATCH(A118,Manual_Review!$A$6:$A$238,0))&lt;&gt;""),IF(OR(INDEX(Manual_Review!$AC$6:$AC$238,MATCH(A118,Manual_Review!$A$6:$A$238,0))="Fail",INDEX(Manual_Review!$AD$6:$AD$238,MATCH(A118,Manual_Review!$A$6:$A$238,0))="Fail"),"Fail: rights or retrieval",IF(AND(INDEX(Manual_Review!$AC$6:$AC$238,MATCH(A118,Manual_Review!$A$6:$A$238,0))="Pass",INDEX(Manual_Review!$AD$6:$AD$238,MATCH(A118,Manual_Review!$A$6:$A$238,0))="Pass"),"Pass","Pending rights and retrieval")),"Pending rights and retrieval")</f>
        <v>Pending rights and retrieval</v>
      </c>
      <c r="AX118" s="5" t="str">
        <f>IF(INDEX(Manual_Review!$AG$6:$AG$238,MATCH(A118,Manual_Review!$A$6:$A$238,0))="","N/A: documentation inventory",IF(AND(INDEX(Manual_Review!$G$6:$G$238,MATCH(A118,Manual_Review!$A$6:$A$238,0))&lt;&gt;"",ISNUMBER(INDEX(Manual_Review!$H$6:$H$238,MATCH(A118,Manual_Review!$A$6:$A$238,0))),INDEX(Manual_Review!$H$6:$H$238,MATCH(A118,Manual_Review!$A$6:$A$238,0))&gt;0,INDEX(Manual_Review!$I$6:$I$238,MATCH(A118,Manual_Review!$A$6:$A$238,0))="Confirmed",INDEX(Manual_Review!$AF$6:$AF$238,MATCH(A118,Manual_Review!$A$6:$A$238,0))&lt;&gt;""),IF(INDEX(Manual_Review!$AE$6:$AE$238,MATCH(A118,Manual_Review!$A$6:$A$238,0))="Pass","Pass",IF(INDEX(Manual_Review!$AE$6:$AE$238,MATCH(A118,Manual_Review!$A$6:$A$238,0))="Fail","Fail: benchmark leakage",IF(INDEX(Manual_Review!$AE$6:$AE$238,MATCH(A118,Manual_Review!$A$6:$A$238,0))="N/A","N/A: nonbenchmark task","Pending task-specific leakage check"))),"Pending task-specific leakage check"))</f>
        <v>N/A: documentation inventory</v>
      </c>
      <c r="AY118" s="5" t="str">
        <f>IF(IF(D118="Unlabeled-13",AND(ABS(MCDM_Settings!$D$14-1)&lt;0.0000001,MIN(MCDM_Settings!$E$6:$E$11)&gt;=0,MCDM_Settings!$E$7=0),AND(ABS(MCDM_Settings!$B$14-1)&lt;0.0000001,MIN(MCDM_Settings!$C$6:$C$11)&gt;=0)),"Valid","Check weights")</f>
        <v>Valid</v>
      </c>
      <c r="AZ118" s="5" t="str">
        <f>IF(AND(COUNTIF(MCDM_Checks!$B$6:$B$3733,A118)=16,COUNTIF(Manual_Review!$A$6:$A$238,A118)=1),"16 keys present","Check key count")</f>
        <v>16 keys present</v>
      </c>
    </row>
    <row r="119" spans="1:52" ht="38.25">
      <c r="A119" s="5" t="s">
        <v>1354</v>
      </c>
      <c r="B119" s="5" t="s">
        <v>1355</v>
      </c>
      <c r="C119" s="5"/>
      <c r="D119" s="5" t="s">
        <v>118</v>
      </c>
      <c r="E119" s="12">
        <f>IF(OR(AY119&lt;&gt;"Valid",AZ119&lt;&gt;"16 keys present"),"Review settings",20*(IF(ISNUMBER(AC119),AC119*IF($D119="Unlabeled-13",MCDM_Settings!$E$6,MCDM_Settings!$C$6),0)+IF(ISNUMBER(AF119),AF119*IF($D119="Unlabeled-13",MCDM_Settings!$E$7,MCDM_Settings!$C$7),0)+IF(ISNUMBER(AI119),AI119*IF($D119="Unlabeled-13",MCDM_Settings!$E$8,MCDM_Settings!$C$8),0)+IF(ISNUMBER(AL119),AL119*IF($D119="Unlabeled-13",MCDM_Settings!$E$9,MCDM_Settings!$C$9),0)+IF(ISNUMBER(AO119),AO119*IF($D119="Unlabeled-13",MCDM_Settings!$E$10,MCDM_Settings!$C$10),0)+IF(ISNUMBER(AR119),AR119*IF($D119="Unlabeled-13",MCDM_Settings!$E$11,MCDM_Settings!$C$11),0)))</f>
        <v>47.222222222222221</v>
      </c>
      <c r="F119" s="12">
        <f>IF(OR(AY119&lt;&gt;"Valid",AZ119&lt;&gt;"16 keys present"),"Review settings",20*(IF(ISNUMBER(AD119),AD119*IF($D119="Unlabeled-13",MCDM_Settings!$E$6,MCDM_Settings!$C$6),0)+IF(ISNUMBER(AG119),AG119*IF($D119="Unlabeled-13",MCDM_Settings!$E$7,MCDM_Settings!$C$7),0)+IF(ISNUMBER(AJ119),AJ119*IF($D119="Unlabeled-13",MCDM_Settings!$E$8,MCDM_Settings!$C$8),0)+IF(ISNUMBER(AM119),AM119*IF($D119="Unlabeled-13",MCDM_Settings!$E$9,MCDM_Settings!$C$9),0)+IF(ISNUMBER(AP119),AP119*IF($D119="Unlabeled-13",MCDM_Settings!$E$10,MCDM_Settings!$C$10),0)+IF(ISNUMBER(AS119),AS119*IF($D119="Unlabeled-13",MCDM_Settings!$E$11,MCDM_Settings!$C$11),0)))</f>
        <v>99.999999999999986</v>
      </c>
      <c r="G119" s="13">
        <f>IF(OR(AY119&lt;&gt;"Valid",AZ119&lt;&gt;"16 keys present"),"Review settings",1*(IF(ISNUMBER(AE119),AE119*IF($D119="Unlabeled-13",MCDM_Settings!$E$6,MCDM_Settings!$C$6),0)+IF(ISNUMBER(AH119),AH119*IF($D119="Unlabeled-13",MCDM_Settings!$E$7,MCDM_Settings!$C$7),0)+IF(ISNUMBER(AK119),AK119*IF($D119="Unlabeled-13",MCDM_Settings!$E$8,MCDM_Settings!$C$8),0)+IF(ISNUMBER(AN119),AN119*IF($D119="Unlabeled-13",MCDM_Settings!$E$9,MCDM_Settings!$C$9),0)+IF(ISNUMBER(AQ119),AQ119*IF($D119="Unlabeled-13",MCDM_Settings!$E$10,MCDM_Settings!$C$10),0)+IF(ISNUMBER(AT119),AT119*IF($D119="Unlabeled-13",MCDM_Settings!$E$11,MCDM_Settings!$C$11),0)))</f>
        <v>0.47222222222222221</v>
      </c>
      <c r="H119" s="5" t="str">
        <f>INDEX(Manual_Review!$AH$6:$AH$238,MATCH(A119,Manual_Review!$A$6:$A$238,0))</f>
        <v>Not started</v>
      </c>
      <c r="I119" s="5" t="s">
        <v>128</v>
      </c>
      <c r="J119" s="5" t="s">
        <v>121</v>
      </c>
      <c r="K119" s="5" t="str">
        <f>HYPERLINK("https://zenodo.org/records/11625820","Dataset")</f>
        <v>Dataset</v>
      </c>
      <c r="L119" s="5" t="str">
        <f>HYPERLINK("#'Manual_Review'!A"&amp;(MATCH("DS-114",Manual_Review!$A$6:$A$238,0)+5),"Enter review")</f>
        <v>Enter review</v>
      </c>
      <c r="M119" s="5" t="str">
        <f>INDEX(MCDM_Checks!$K$6:$K$3733,MATCH(A119&amp;"|"&amp;M$5,MCDM_Checks!$A$6:$A$3733,0))</f>
        <v>Y</v>
      </c>
      <c r="N119" s="5" t="str">
        <f>INDEX(MCDM_Checks!$K$6:$K$3733,MATCH(A119&amp;"|"&amp;N$5,MCDM_Checks!$A$6:$A$3733,0))</f>
        <v>Y</v>
      </c>
      <c r="O119" s="5" t="str">
        <f>INDEX(MCDM_Checks!$K$6:$K$3733,MATCH(A119&amp;"|"&amp;O$5,MCDM_Checks!$A$6:$A$3733,0))</f>
        <v>Y</v>
      </c>
      <c r="P119" s="5" t="str">
        <f>INDEX(MCDM_Checks!$K$6:$K$3733,MATCH(A119&amp;"|"&amp;P$5,MCDM_Checks!$A$6:$A$3733,0))</f>
        <v>Y</v>
      </c>
      <c r="Q119" s="5" t="str">
        <f>INDEX(MCDM_Checks!$K$6:$K$3733,MATCH(A119&amp;"|"&amp;Q$5,MCDM_Checks!$A$6:$A$3733,0))</f>
        <v>U</v>
      </c>
      <c r="R119" s="5" t="str">
        <f>INDEX(MCDM_Checks!$K$6:$K$3733,MATCH(A119&amp;"|"&amp;R$5,MCDM_Checks!$A$6:$A$3733,0))</f>
        <v>U</v>
      </c>
      <c r="S119" s="5" t="str">
        <f>INDEX(MCDM_Checks!$K$6:$K$3733,MATCH(A119&amp;"|"&amp;S$5,MCDM_Checks!$A$6:$A$3733,0))</f>
        <v>Y</v>
      </c>
      <c r="T119" s="5" t="str">
        <f>INDEX(MCDM_Checks!$K$6:$K$3733,MATCH(A119&amp;"|"&amp;T$5,MCDM_Checks!$A$6:$A$3733,0))</f>
        <v>Y</v>
      </c>
      <c r="U119" s="5" t="str">
        <f>INDEX(MCDM_Checks!$K$6:$K$3733,MATCH(A119&amp;"|"&amp;U$5,MCDM_Checks!$A$6:$A$3733,0))</f>
        <v>U</v>
      </c>
      <c r="V119" s="5" t="str">
        <f>INDEX(MCDM_Checks!$K$6:$K$3733,MATCH(A119&amp;"|"&amp;V$5,MCDM_Checks!$A$6:$A$3733,0))</f>
        <v>U</v>
      </c>
      <c r="W119" s="5" t="str">
        <f>INDEX(MCDM_Checks!$K$6:$K$3733,MATCH(A119&amp;"|"&amp;W$5,MCDM_Checks!$A$6:$A$3733,0))</f>
        <v>U</v>
      </c>
      <c r="X119" s="5" t="str">
        <f>INDEX(MCDM_Checks!$K$6:$K$3733,MATCH(A119&amp;"|"&amp;X$5,MCDM_Checks!$A$6:$A$3733,0))</f>
        <v>U</v>
      </c>
      <c r="Y119" s="5" t="str">
        <f>INDEX(MCDM_Checks!$K$6:$K$3733,MATCH(A119&amp;"|"&amp;Y$5,MCDM_Checks!$A$6:$A$3733,0))</f>
        <v>Y</v>
      </c>
      <c r="Z119" s="5" t="str">
        <f>INDEX(MCDM_Checks!$K$6:$K$3733,MATCH(A119&amp;"|"&amp;Z$5,MCDM_Checks!$A$6:$A$3733,0))</f>
        <v>U</v>
      </c>
      <c r="AA119" s="5" t="str">
        <f>INDEX(MCDM_Checks!$K$6:$K$3733,MATCH(A119&amp;"|"&amp;AA$5,MCDM_Checks!$A$6:$A$3733,0))</f>
        <v>U</v>
      </c>
      <c r="AB119" s="5" t="str">
        <f>INDEX(MCDM_Checks!$K$6:$K$3733,MATCH(A119&amp;"|"&amp;AB$5,MCDM_Checks!$A$6:$A$3733,0))</f>
        <v>Y</v>
      </c>
      <c r="AC119" s="12">
        <f>IF(IF($D119="Unlabeled-13",MCDM_Settings!$F$6,MCDM_Settings!$D$6)=0,"n.a.",5*COUNTIF(M119:O119,"Y")/IF($D119="Unlabeled-13",MCDM_Settings!$F$6,MCDM_Settings!$D$6))</f>
        <v>5</v>
      </c>
      <c r="AD119" s="12">
        <f>IF(IF($D119="Unlabeled-13",MCDM_Settings!$F$6,MCDM_Settings!$D$6)=0,"n.a.",5*(COUNTIF(M119:O119,"Y")+COUNTIF(M119:O119,"U")+COUNTIF(M119:O119,"X"))/IF($D119="Unlabeled-13",MCDM_Settings!$F$6,MCDM_Settings!$D$6))</f>
        <v>5</v>
      </c>
      <c r="AE119" s="13">
        <f>IF(IF($D119="Unlabeled-13",MCDM_Settings!$F$6,MCDM_Settings!$D$6)=0,"n.a.",(COUNTIF(M119:O119,"Y")+COUNTIF(M119:O119,"N"))/IF($D119="Unlabeled-13",MCDM_Settings!$F$6,MCDM_Settings!$D$6))</f>
        <v>1</v>
      </c>
      <c r="AF119" s="12">
        <f>IF(IF($D119="Unlabeled-13",MCDM_Settings!$F$7,MCDM_Settings!$D$7)=0,"n.a.",5*COUNTIF(P119:R119,"Y")/IF($D119="Unlabeled-13",MCDM_Settings!$F$7,MCDM_Settings!$D$7))</f>
        <v>1.6666666666666667</v>
      </c>
      <c r="AG119" s="12">
        <f>IF(IF($D119="Unlabeled-13",MCDM_Settings!$F$7,MCDM_Settings!$D$7)=0,"n.a.",5*(COUNTIF(P119:R119,"Y")+COUNTIF(P119:R119,"U")+COUNTIF(P119:R119,"X"))/IF($D119="Unlabeled-13",MCDM_Settings!$F$7,MCDM_Settings!$D$7))</f>
        <v>5</v>
      </c>
      <c r="AH119" s="13">
        <f>IF(IF($D119="Unlabeled-13",MCDM_Settings!$F$7,MCDM_Settings!$D$7)=0,"n.a.",(COUNTIF(P119:R119,"Y")+COUNTIF(P119:R119,"N"))/IF($D119="Unlabeled-13",MCDM_Settings!$F$7,MCDM_Settings!$D$7))</f>
        <v>0.33333333333333331</v>
      </c>
      <c r="AI119" s="12">
        <f>IF(IF($D119="Unlabeled-13",MCDM_Settings!$F$8,MCDM_Settings!$D$8)=0,"n.a.",5*COUNTIF(S119:U119,"Y")/IF($D119="Unlabeled-13",MCDM_Settings!$F$8,MCDM_Settings!$D$8))</f>
        <v>3.3333333333333335</v>
      </c>
      <c r="AJ119" s="12">
        <f>IF(IF($D119="Unlabeled-13",MCDM_Settings!$F$8,MCDM_Settings!$D$8)=0,"n.a.",5*(COUNTIF(S119:U119,"Y")+COUNTIF(S119:U119,"U")+COUNTIF(S119:U119,"X"))/IF($D119="Unlabeled-13",MCDM_Settings!$F$8,MCDM_Settings!$D$8))</f>
        <v>5</v>
      </c>
      <c r="AK119" s="13">
        <f>IF(IF($D119="Unlabeled-13",MCDM_Settings!$F$8,MCDM_Settings!$D$8)=0,"n.a.",(COUNTIF(S119:U119,"Y")+COUNTIF(S119:U119,"N"))/IF($D119="Unlabeled-13",MCDM_Settings!$F$8,MCDM_Settings!$D$8))</f>
        <v>0.66666666666666663</v>
      </c>
      <c r="AL119" s="12">
        <f>IF(IF($D119="Unlabeled-13",MCDM_Settings!$F$9,MCDM_Settings!$D$9)=0,"n.a.",5*COUNTIF(V119:W119,"Y")/IF($D119="Unlabeled-13",MCDM_Settings!$F$9,MCDM_Settings!$D$9))</f>
        <v>0</v>
      </c>
      <c r="AM119" s="12">
        <f>IF(IF($D119="Unlabeled-13",MCDM_Settings!$F$9,MCDM_Settings!$D$9)=0,"n.a.",5*(COUNTIF(V119:W119,"Y")+COUNTIF(V119:W119,"U")+COUNTIF(V119:W119,"X"))/IF($D119="Unlabeled-13",MCDM_Settings!$F$9,MCDM_Settings!$D$9))</f>
        <v>5</v>
      </c>
      <c r="AN119" s="13">
        <f>IF(IF($D119="Unlabeled-13",MCDM_Settings!$F$9,MCDM_Settings!$D$9)=0,"n.a.",(COUNTIF(V119:W119,"Y")+COUNTIF(V119:W119,"N"))/IF($D119="Unlabeled-13",MCDM_Settings!$F$9,MCDM_Settings!$D$9))</f>
        <v>0</v>
      </c>
      <c r="AO119" s="12">
        <f>IF(IF($D119="Unlabeled-13",MCDM_Settings!$F$10,MCDM_Settings!$D$10)=0,"n.a.",5*COUNTIF(X119:Y119,"Y")/IF($D119="Unlabeled-13",MCDM_Settings!$F$10,MCDM_Settings!$D$10))</f>
        <v>2.5</v>
      </c>
      <c r="AP119" s="12">
        <f>IF(IF($D119="Unlabeled-13",MCDM_Settings!$F$10,MCDM_Settings!$D$10)=0,"n.a.",5*(COUNTIF(X119:Y119,"Y")+COUNTIF(X119:Y119,"U")+COUNTIF(X119:Y119,"X"))/IF($D119="Unlabeled-13",MCDM_Settings!$F$10,MCDM_Settings!$D$10))</f>
        <v>5</v>
      </c>
      <c r="AQ119" s="13">
        <f>IF(IF($D119="Unlabeled-13",MCDM_Settings!$F$10,MCDM_Settings!$D$10)=0,"n.a.",(COUNTIF(X119:Y119,"Y")+COUNTIF(X119:Y119,"N"))/IF($D119="Unlabeled-13",MCDM_Settings!$F$10,MCDM_Settings!$D$10))</f>
        <v>0.5</v>
      </c>
      <c r="AR119" s="12">
        <f>IF(IF($D119="Unlabeled-13",MCDM_Settings!$F$11,MCDM_Settings!$D$11)=0,"n.a.",5*COUNTIF(Z119:AB119,"Y")/IF($D119="Unlabeled-13",MCDM_Settings!$F$11,MCDM_Settings!$D$11))</f>
        <v>1.6666666666666667</v>
      </c>
      <c r="AS119" s="12">
        <f>IF(IF($D119="Unlabeled-13",MCDM_Settings!$F$11,MCDM_Settings!$D$11)=0,"n.a.",5*(COUNTIF(Z119:AB119,"Y")+COUNTIF(Z119:AB119,"U")+COUNTIF(Z119:AB119,"X"))/IF($D119="Unlabeled-13",MCDM_Settings!$F$11,MCDM_Settings!$D$11))</f>
        <v>5</v>
      </c>
      <c r="AT119" s="13">
        <f>IF(IF($D119="Unlabeled-13",MCDM_Settings!$F$11,MCDM_Settings!$D$11)=0,"n.a.",(COUNTIF(Z119:AB119,"Y")+COUNTIF(Z119:AB119,"N"))/IF($D119="Unlabeled-13",MCDM_Settings!$F$11,MCDM_Settings!$D$11))</f>
        <v>0.33333333333333331</v>
      </c>
      <c r="AU119" s="5" t="str">
        <f>IF(AND(INDEX(Manual_Review!$G$6:$G$238,MATCH(A119,Manual_Review!$A$6:$A$238,0))&lt;&gt;"",ISNUMBER(INDEX(Manual_Review!$H$6:$H$238,MATCH(A119,Manual_Review!$A$6:$A$238,0))),INDEX(Manual_Review!$H$6:$H$238,MATCH(A119,Manual_Review!$A$6:$A$238,0))&gt;0,INDEX(Manual_Review!$I$6:$I$238,MATCH(A119,Manual_Review!$A$6:$A$238,0))="Confirmed",INDEX(Manual_Review!$AF$6:$AF$238,MATCH(A119,Manual_Review!$A$6:$A$238,0))&lt;&gt;""),IF(INDEX(Manual_Review!$AA$6:$AA$238,MATCH(A119,Manual_Review!$A$6:$A$238,0))="Pass","Pass",IF(INDEX(Manual_Review!$AA$6:$AA$238,MATCH(A119,Manual_Review!$A$6:$A$238,0))="Fail","Fail","Pending")),"Pending human identity confirmation")</f>
        <v>Pending human identity confirmation</v>
      </c>
      <c r="AV119" s="5" t="str">
        <f>IF(AND(AND(INDEX(Manual_Review!$G$6:$G$238,MATCH(A119,Manual_Review!$A$6:$A$238,0))&lt;&gt;"",ISNUMBER(INDEX(Manual_Review!$H$6:$H$238,MATCH(A119,Manual_Review!$A$6:$A$238,0))),INDEX(Manual_Review!$H$6:$H$238,MATCH(A119,Manual_Review!$A$6:$A$238,0))&gt;0,INDEX(Manual_Review!$I$6:$I$238,MATCH(A119,Manual_Review!$A$6:$A$238,0))="Confirmed",INDEX(Manual_Review!$AF$6:$AF$238,MATCH(A119,Manual_Review!$A$6:$A$238,0))&lt;&gt;""),INDEX(Manual_Review!$AG$6:$AG$238,MATCH(A119,Manual_Review!$A$6:$A$238,0))&lt;&gt;""),IF(INDEX(Manual_Review!$AB$6:$AB$238,MATCH(A119,Manual_Review!$A$6:$A$238,0))="Pass","Pass",IF(INDEX(Manual_Review!$AB$6:$AB$238,MATCH(A119,Manual_Review!$A$6:$A$238,0))="Fail","Fail","Pending")),"Not assessed: define intended task")</f>
        <v>Not assessed: define intended task</v>
      </c>
      <c r="AW119" s="5" t="str">
        <f>IF(AND(AND(INDEX(Manual_Review!$G$6:$G$238,MATCH(A119,Manual_Review!$A$6:$A$238,0))&lt;&gt;"",ISNUMBER(INDEX(Manual_Review!$H$6:$H$238,MATCH(A119,Manual_Review!$A$6:$A$238,0))),INDEX(Manual_Review!$H$6:$H$238,MATCH(A119,Manual_Review!$A$6:$A$238,0))&gt;0,INDEX(Manual_Review!$I$6:$I$238,MATCH(A119,Manual_Review!$A$6:$A$238,0))="Confirmed",INDEX(Manual_Review!$AF$6:$AF$238,MATCH(A119,Manual_Review!$A$6:$A$238,0))&lt;&gt;""),INDEX(Manual_Review!$AG$6:$AG$238,MATCH(A119,Manual_Review!$A$6:$A$238,0))&lt;&gt;""),IF(OR(INDEX(Manual_Review!$AC$6:$AC$238,MATCH(A119,Manual_Review!$A$6:$A$238,0))="Fail",INDEX(Manual_Review!$AD$6:$AD$238,MATCH(A119,Manual_Review!$A$6:$A$238,0))="Fail"),"Fail: rights or retrieval",IF(AND(INDEX(Manual_Review!$AC$6:$AC$238,MATCH(A119,Manual_Review!$A$6:$A$238,0))="Pass",INDEX(Manual_Review!$AD$6:$AD$238,MATCH(A119,Manual_Review!$A$6:$A$238,0))="Pass"),"Pass","Pending rights and retrieval")),"Pending rights and retrieval")</f>
        <v>Pending rights and retrieval</v>
      </c>
      <c r="AX119" s="5" t="str">
        <f>IF(INDEX(Manual_Review!$AG$6:$AG$238,MATCH(A119,Manual_Review!$A$6:$A$238,0))="","N/A: documentation inventory",IF(AND(INDEX(Manual_Review!$G$6:$G$238,MATCH(A119,Manual_Review!$A$6:$A$238,0))&lt;&gt;"",ISNUMBER(INDEX(Manual_Review!$H$6:$H$238,MATCH(A119,Manual_Review!$A$6:$A$238,0))),INDEX(Manual_Review!$H$6:$H$238,MATCH(A119,Manual_Review!$A$6:$A$238,0))&gt;0,INDEX(Manual_Review!$I$6:$I$238,MATCH(A119,Manual_Review!$A$6:$A$238,0))="Confirmed",INDEX(Manual_Review!$AF$6:$AF$238,MATCH(A119,Manual_Review!$A$6:$A$238,0))&lt;&gt;""),IF(INDEX(Manual_Review!$AE$6:$AE$238,MATCH(A119,Manual_Review!$A$6:$A$238,0))="Pass","Pass",IF(INDEX(Manual_Review!$AE$6:$AE$238,MATCH(A119,Manual_Review!$A$6:$A$238,0))="Fail","Fail: benchmark leakage",IF(INDEX(Manual_Review!$AE$6:$AE$238,MATCH(A119,Manual_Review!$A$6:$A$238,0))="N/A","N/A: nonbenchmark task","Pending task-specific leakage check"))),"Pending task-specific leakage check"))</f>
        <v>N/A: documentation inventory</v>
      </c>
      <c r="AY119" s="5" t="str">
        <f>IF(IF(D119="Unlabeled-13",AND(ABS(MCDM_Settings!$D$14-1)&lt;0.0000001,MIN(MCDM_Settings!$E$6:$E$11)&gt;=0,MCDM_Settings!$E$7=0),AND(ABS(MCDM_Settings!$B$14-1)&lt;0.0000001,MIN(MCDM_Settings!$C$6:$C$11)&gt;=0)),"Valid","Check weights")</f>
        <v>Valid</v>
      </c>
      <c r="AZ119" s="5" t="str">
        <f>IF(AND(COUNTIF(MCDM_Checks!$B$6:$B$3733,A119)=16,COUNTIF(Manual_Review!$A$6:$A$238,A119)=1),"16 keys present","Check key count")</f>
        <v>16 keys present</v>
      </c>
    </row>
    <row r="120" spans="1:52">
      <c r="A120" s="5" t="s">
        <v>1359</v>
      </c>
      <c r="B120" s="5" t="s">
        <v>1360</v>
      </c>
      <c r="C120" s="5"/>
      <c r="D120" s="5" t="s">
        <v>118</v>
      </c>
      <c r="E120" s="12">
        <f>IF(OR(AY120&lt;&gt;"Valid",AZ120&lt;&gt;"16 keys present"),"Review settings",20*(IF(ISNUMBER(AC120),AC120*IF($D120="Unlabeled-13",MCDM_Settings!$E$6,MCDM_Settings!$C$6),0)+IF(ISNUMBER(AF120),AF120*IF($D120="Unlabeled-13",MCDM_Settings!$E$7,MCDM_Settings!$C$7),0)+IF(ISNUMBER(AI120),AI120*IF($D120="Unlabeled-13",MCDM_Settings!$E$8,MCDM_Settings!$C$8),0)+IF(ISNUMBER(AL120),AL120*IF($D120="Unlabeled-13",MCDM_Settings!$E$9,MCDM_Settings!$C$9),0)+IF(ISNUMBER(AO120),AO120*IF($D120="Unlabeled-13",MCDM_Settings!$E$10,MCDM_Settings!$C$10),0)+IF(ISNUMBER(AR120),AR120*IF($D120="Unlabeled-13",MCDM_Settings!$E$11,MCDM_Settings!$C$11),0)))</f>
        <v>0</v>
      </c>
      <c r="F120" s="12">
        <f>IF(OR(AY120&lt;&gt;"Valid",AZ120&lt;&gt;"16 keys present"),"Review settings",20*(IF(ISNUMBER(AD120),AD120*IF($D120="Unlabeled-13",MCDM_Settings!$E$6,MCDM_Settings!$C$6),0)+IF(ISNUMBER(AG120),AG120*IF($D120="Unlabeled-13",MCDM_Settings!$E$7,MCDM_Settings!$C$7),0)+IF(ISNUMBER(AJ120),AJ120*IF($D120="Unlabeled-13",MCDM_Settings!$E$8,MCDM_Settings!$C$8),0)+IF(ISNUMBER(AM120),AM120*IF($D120="Unlabeled-13",MCDM_Settings!$E$9,MCDM_Settings!$C$9),0)+IF(ISNUMBER(AP120),AP120*IF($D120="Unlabeled-13",MCDM_Settings!$E$10,MCDM_Settings!$C$10),0)+IF(ISNUMBER(AS120),AS120*IF($D120="Unlabeled-13",MCDM_Settings!$E$11,MCDM_Settings!$C$11),0)))</f>
        <v>99.999999999999986</v>
      </c>
      <c r="G120" s="13">
        <f>IF(OR(AY120&lt;&gt;"Valid",AZ120&lt;&gt;"16 keys present"),"Review settings",1*(IF(ISNUMBER(AE120),AE120*IF($D120="Unlabeled-13",MCDM_Settings!$E$6,MCDM_Settings!$C$6),0)+IF(ISNUMBER(AH120),AH120*IF($D120="Unlabeled-13",MCDM_Settings!$E$7,MCDM_Settings!$C$7),0)+IF(ISNUMBER(AK120),AK120*IF($D120="Unlabeled-13",MCDM_Settings!$E$8,MCDM_Settings!$C$8),0)+IF(ISNUMBER(AN120),AN120*IF($D120="Unlabeled-13",MCDM_Settings!$E$9,MCDM_Settings!$C$9),0)+IF(ISNUMBER(AQ120),AQ120*IF($D120="Unlabeled-13",MCDM_Settings!$E$10,MCDM_Settings!$C$10),0)+IF(ISNUMBER(AT120),AT120*IF($D120="Unlabeled-13",MCDM_Settings!$E$11,MCDM_Settings!$C$11),0)))</f>
        <v>0</v>
      </c>
      <c r="H120" s="5" t="str">
        <f>INDEX(Manual_Review!$AH$6:$AH$238,MATCH(A120,Manual_Review!$A$6:$A$238,0))</f>
        <v>Not started</v>
      </c>
      <c r="I120" s="5" t="s">
        <v>128</v>
      </c>
      <c r="J120" s="5" t="s">
        <v>121</v>
      </c>
      <c r="K120" s="5" t="str">
        <f>HYPERLINK("https://zenodo.org/records/20454801","Dataset")</f>
        <v>Dataset</v>
      </c>
      <c r="L120" s="5" t="str">
        <f>HYPERLINK("#'Manual_Review'!A"&amp;(MATCH("DS-115",Manual_Review!$A$6:$A$238,0)+5),"Enter review")</f>
        <v>Enter review</v>
      </c>
      <c r="M120" s="5" t="str">
        <f>INDEX(MCDM_Checks!$K$6:$K$3733,MATCH(A120&amp;"|"&amp;M$5,MCDM_Checks!$A$6:$A$3733,0))</f>
        <v>U</v>
      </c>
      <c r="N120" s="5" t="str">
        <f>INDEX(MCDM_Checks!$K$6:$K$3733,MATCH(A120&amp;"|"&amp;N$5,MCDM_Checks!$A$6:$A$3733,0))</f>
        <v>U</v>
      </c>
      <c r="O120" s="5" t="str">
        <f>INDEX(MCDM_Checks!$K$6:$K$3733,MATCH(A120&amp;"|"&amp;O$5,MCDM_Checks!$A$6:$A$3733,0))</f>
        <v>U</v>
      </c>
      <c r="P120" s="5" t="str">
        <f>INDEX(MCDM_Checks!$K$6:$K$3733,MATCH(A120&amp;"|"&amp;P$5,MCDM_Checks!$A$6:$A$3733,0))</f>
        <v>U</v>
      </c>
      <c r="Q120" s="5" t="str">
        <f>INDEX(MCDM_Checks!$K$6:$K$3733,MATCH(A120&amp;"|"&amp;Q$5,MCDM_Checks!$A$6:$A$3733,0))</f>
        <v>U</v>
      </c>
      <c r="R120" s="5" t="str">
        <f>INDEX(MCDM_Checks!$K$6:$K$3733,MATCH(A120&amp;"|"&amp;R$5,MCDM_Checks!$A$6:$A$3733,0))</f>
        <v>U</v>
      </c>
      <c r="S120" s="5" t="str">
        <f>INDEX(MCDM_Checks!$K$6:$K$3733,MATCH(A120&amp;"|"&amp;S$5,MCDM_Checks!$A$6:$A$3733,0))</f>
        <v>U</v>
      </c>
      <c r="T120" s="5" t="str">
        <f>INDEX(MCDM_Checks!$K$6:$K$3733,MATCH(A120&amp;"|"&amp;T$5,MCDM_Checks!$A$6:$A$3733,0))</f>
        <v>U</v>
      </c>
      <c r="U120" s="5" t="str">
        <f>INDEX(MCDM_Checks!$K$6:$K$3733,MATCH(A120&amp;"|"&amp;U$5,MCDM_Checks!$A$6:$A$3733,0))</f>
        <v>U</v>
      </c>
      <c r="V120" s="5" t="str">
        <f>INDEX(MCDM_Checks!$K$6:$K$3733,MATCH(A120&amp;"|"&amp;V$5,MCDM_Checks!$A$6:$A$3733,0))</f>
        <v>U</v>
      </c>
      <c r="W120" s="5" t="str">
        <f>INDEX(MCDM_Checks!$K$6:$K$3733,MATCH(A120&amp;"|"&amp;W$5,MCDM_Checks!$A$6:$A$3733,0))</f>
        <v>U</v>
      </c>
      <c r="X120" s="5" t="str">
        <f>INDEX(MCDM_Checks!$K$6:$K$3733,MATCH(A120&amp;"|"&amp;X$5,MCDM_Checks!$A$6:$A$3733,0))</f>
        <v>U</v>
      </c>
      <c r="Y120" s="5" t="str">
        <f>INDEX(MCDM_Checks!$K$6:$K$3733,MATCH(A120&amp;"|"&amp;Y$5,MCDM_Checks!$A$6:$A$3733,0))</f>
        <v>U</v>
      </c>
      <c r="Z120" s="5" t="str">
        <f>INDEX(MCDM_Checks!$K$6:$K$3733,MATCH(A120&amp;"|"&amp;Z$5,MCDM_Checks!$A$6:$A$3733,0))</f>
        <v>U</v>
      </c>
      <c r="AA120" s="5" t="str">
        <f>INDEX(MCDM_Checks!$K$6:$K$3733,MATCH(A120&amp;"|"&amp;AA$5,MCDM_Checks!$A$6:$A$3733,0))</f>
        <v>U</v>
      </c>
      <c r="AB120" s="5" t="str">
        <f>INDEX(MCDM_Checks!$K$6:$K$3733,MATCH(A120&amp;"|"&amp;AB$5,MCDM_Checks!$A$6:$A$3733,0))</f>
        <v>U</v>
      </c>
      <c r="AC120" s="12">
        <f>IF(IF($D120="Unlabeled-13",MCDM_Settings!$F$6,MCDM_Settings!$D$6)=0,"n.a.",5*COUNTIF(M120:O120,"Y")/IF($D120="Unlabeled-13",MCDM_Settings!$F$6,MCDM_Settings!$D$6))</f>
        <v>0</v>
      </c>
      <c r="AD120" s="12">
        <f>IF(IF($D120="Unlabeled-13",MCDM_Settings!$F$6,MCDM_Settings!$D$6)=0,"n.a.",5*(COUNTIF(M120:O120,"Y")+COUNTIF(M120:O120,"U")+COUNTIF(M120:O120,"X"))/IF($D120="Unlabeled-13",MCDM_Settings!$F$6,MCDM_Settings!$D$6))</f>
        <v>5</v>
      </c>
      <c r="AE120" s="13">
        <f>IF(IF($D120="Unlabeled-13",MCDM_Settings!$F$6,MCDM_Settings!$D$6)=0,"n.a.",(COUNTIF(M120:O120,"Y")+COUNTIF(M120:O120,"N"))/IF($D120="Unlabeled-13",MCDM_Settings!$F$6,MCDM_Settings!$D$6))</f>
        <v>0</v>
      </c>
      <c r="AF120" s="12">
        <f>IF(IF($D120="Unlabeled-13",MCDM_Settings!$F$7,MCDM_Settings!$D$7)=0,"n.a.",5*COUNTIF(P120:R120,"Y")/IF($D120="Unlabeled-13",MCDM_Settings!$F$7,MCDM_Settings!$D$7))</f>
        <v>0</v>
      </c>
      <c r="AG120" s="12">
        <f>IF(IF($D120="Unlabeled-13",MCDM_Settings!$F$7,MCDM_Settings!$D$7)=0,"n.a.",5*(COUNTIF(P120:R120,"Y")+COUNTIF(P120:R120,"U")+COUNTIF(P120:R120,"X"))/IF($D120="Unlabeled-13",MCDM_Settings!$F$7,MCDM_Settings!$D$7))</f>
        <v>5</v>
      </c>
      <c r="AH120" s="13">
        <f>IF(IF($D120="Unlabeled-13",MCDM_Settings!$F$7,MCDM_Settings!$D$7)=0,"n.a.",(COUNTIF(P120:R120,"Y")+COUNTIF(P120:R120,"N"))/IF($D120="Unlabeled-13",MCDM_Settings!$F$7,MCDM_Settings!$D$7))</f>
        <v>0</v>
      </c>
      <c r="AI120" s="12">
        <f>IF(IF($D120="Unlabeled-13",MCDM_Settings!$F$8,MCDM_Settings!$D$8)=0,"n.a.",5*COUNTIF(S120:U120,"Y")/IF($D120="Unlabeled-13",MCDM_Settings!$F$8,MCDM_Settings!$D$8))</f>
        <v>0</v>
      </c>
      <c r="AJ120" s="12">
        <f>IF(IF($D120="Unlabeled-13",MCDM_Settings!$F$8,MCDM_Settings!$D$8)=0,"n.a.",5*(COUNTIF(S120:U120,"Y")+COUNTIF(S120:U120,"U")+COUNTIF(S120:U120,"X"))/IF($D120="Unlabeled-13",MCDM_Settings!$F$8,MCDM_Settings!$D$8))</f>
        <v>5</v>
      </c>
      <c r="AK120" s="13">
        <f>IF(IF($D120="Unlabeled-13",MCDM_Settings!$F$8,MCDM_Settings!$D$8)=0,"n.a.",(COUNTIF(S120:U120,"Y")+COUNTIF(S120:U120,"N"))/IF($D120="Unlabeled-13",MCDM_Settings!$F$8,MCDM_Settings!$D$8))</f>
        <v>0</v>
      </c>
      <c r="AL120" s="12">
        <f>IF(IF($D120="Unlabeled-13",MCDM_Settings!$F$9,MCDM_Settings!$D$9)=0,"n.a.",5*COUNTIF(V120:W120,"Y")/IF($D120="Unlabeled-13",MCDM_Settings!$F$9,MCDM_Settings!$D$9))</f>
        <v>0</v>
      </c>
      <c r="AM120" s="12">
        <f>IF(IF($D120="Unlabeled-13",MCDM_Settings!$F$9,MCDM_Settings!$D$9)=0,"n.a.",5*(COUNTIF(V120:W120,"Y")+COUNTIF(V120:W120,"U")+COUNTIF(V120:W120,"X"))/IF($D120="Unlabeled-13",MCDM_Settings!$F$9,MCDM_Settings!$D$9))</f>
        <v>5</v>
      </c>
      <c r="AN120" s="13">
        <f>IF(IF($D120="Unlabeled-13",MCDM_Settings!$F$9,MCDM_Settings!$D$9)=0,"n.a.",(COUNTIF(V120:W120,"Y")+COUNTIF(V120:W120,"N"))/IF($D120="Unlabeled-13",MCDM_Settings!$F$9,MCDM_Settings!$D$9))</f>
        <v>0</v>
      </c>
      <c r="AO120" s="12">
        <f>IF(IF($D120="Unlabeled-13",MCDM_Settings!$F$10,MCDM_Settings!$D$10)=0,"n.a.",5*COUNTIF(X120:Y120,"Y")/IF($D120="Unlabeled-13",MCDM_Settings!$F$10,MCDM_Settings!$D$10))</f>
        <v>0</v>
      </c>
      <c r="AP120" s="12">
        <f>IF(IF($D120="Unlabeled-13",MCDM_Settings!$F$10,MCDM_Settings!$D$10)=0,"n.a.",5*(COUNTIF(X120:Y120,"Y")+COUNTIF(X120:Y120,"U")+COUNTIF(X120:Y120,"X"))/IF($D120="Unlabeled-13",MCDM_Settings!$F$10,MCDM_Settings!$D$10))</f>
        <v>5</v>
      </c>
      <c r="AQ120" s="13">
        <f>IF(IF($D120="Unlabeled-13",MCDM_Settings!$F$10,MCDM_Settings!$D$10)=0,"n.a.",(COUNTIF(X120:Y120,"Y")+COUNTIF(X120:Y120,"N"))/IF($D120="Unlabeled-13",MCDM_Settings!$F$10,MCDM_Settings!$D$10))</f>
        <v>0</v>
      </c>
      <c r="AR120" s="12">
        <f>IF(IF($D120="Unlabeled-13",MCDM_Settings!$F$11,MCDM_Settings!$D$11)=0,"n.a.",5*COUNTIF(Z120:AB120,"Y")/IF($D120="Unlabeled-13",MCDM_Settings!$F$11,MCDM_Settings!$D$11))</f>
        <v>0</v>
      </c>
      <c r="AS120" s="12">
        <f>IF(IF($D120="Unlabeled-13",MCDM_Settings!$F$11,MCDM_Settings!$D$11)=0,"n.a.",5*(COUNTIF(Z120:AB120,"Y")+COUNTIF(Z120:AB120,"U")+COUNTIF(Z120:AB120,"X"))/IF($D120="Unlabeled-13",MCDM_Settings!$F$11,MCDM_Settings!$D$11))</f>
        <v>5</v>
      </c>
      <c r="AT120" s="13">
        <f>IF(IF($D120="Unlabeled-13",MCDM_Settings!$F$11,MCDM_Settings!$D$11)=0,"n.a.",(COUNTIF(Z120:AB120,"Y")+COUNTIF(Z120:AB120,"N"))/IF($D120="Unlabeled-13",MCDM_Settings!$F$11,MCDM_Settings!$D$11))</f>
        <v>0</v>
      </c>
      <c r="AU120" s="5" t="str">
        <f>IF(AND(INDEX(Manual_Review!$G$6:$G$238,MATCH(A120,Manual_Review!$A$6:$A$238,0))&lt;&gt;"",ISNUMBER(INDEX(Manual_Review!$H$6:$H$238,MATCH(A120,Manual_Review!$A$6:$A$238,0))),INDEX(Manual_Review!$H$6:$H$238,MATCH(A120,Manual_Review!$A$6:$A$238,0))&gt;0,INDEX(Manual_Review!$I$6:$I$238,MATCH(A120,Manual_Review!$A$6:$A$238,0))="Confirmed",INDEX(Manual_Review!$AF$6:$AF$238,MATCH(A120,Manual_Review!$A$6:$A$238,0))&lt;&gt;""),IF(INDEX(Manual_Review!$AA$6:$AA$238,MATCH(A120,Manual_Review!$A$6:$A$238,0))="Pass","Pass",IF(INDEX(Manual_Review!$AA$6:$AA$238,MATCH(A120,Manual_Review!$A$6:$A$238,0))="Fail","Fail","Pending")),"Pending human identity confirmation")</f>
        <v>Pending human identity confirmation</v>
      </c>
      <c r="AV120" s="5" t="str">
        <f>IF(AND(AND(INDEX(Manual_Review!$G$6:$G$238,MATCH(A120,Manual_Review!$A$6:$A$238,0))&lt;&gt;"",ISNUMBER(INDEX(Manual_Review!$H$6:$H$238,MATCH(A120,Manual_Review!$A$6:$A$238,0))),INDEX(Manual_Review!$H$6:$H$238,MATCH(A120,Manual_Review!$A$6:$A$238,0))&gt;0,INDEX(Manual_Review!$I$6:$I$238,MATCH(A120,Manual_Review!$A$6:$A$238,0))="Confirmed",INDEX(Manual_Review!$AF$6:$AF$238,MATCH(A120,Manual_Review!$A$6:$A$238,0))&lt;&gt;""),INDEX(Manual_Review!$AG$6:$AG$238,MATCH(A120,Manual_Review!$A$6:$A$238,0))&lt;&gt;""),IF(INDEX(Manual_Review!$AB$6:$AB$238,MATCH(A120,Manual_Review!$A$6:$A$238,0))="Pass","Pass",IF(INDEX(Manual_Review!$AB$6:$AB$238,MATCH(A120,Manual_Review!$A$6:$A$238,0))="Fail","Fail","Pending")),"Not assessed: define intended task")</f>
        <v>Not assessed: define intended task</v>
      </c>
      <c r="AW120" s="5" t="str">
        <f>IF(AND(AND(INDEX(Manual_Review!$G$6:$G$238,MATCH(A120,Manual_Review!$A$6:$A$238,0))&lt;&gt;"",ISNUMBER(INDEX(Manual_Review!$H$6:$H$238,MATCH(A120,Manual_Review!$A$6:$A$238,0))),INDEX(Manual_Review!$H$6:$H$238,MATCH(A120,Manual_Review!$A$6:$A$238,0))&gt;0,INDEX(Manual_Review!$I$6:$I$238,MATCH(A120,Manual_Review!$A$6:$A$238,0))="Confirmed",INDEX(Manual_Review!$AF$6:$AF$238,MATCH(A120,Manual_Review!$A$6:$A$238,0))&lt;&gt;""),INDEX(Manual_Review!$AG$6:$AG$238,MATCH(A120,Manual_Review!$A$6:$A$238,0))&lt;&gt;""),IF(OR(INDEX(Manual_Review!$AC$6:$AC$238,MATCH(A120,Manual_Review!$A$6:$A$238,0))="Fail",INDEX(Manual_Review!$AD$6:$AD$238,MATCH(A120,Manual_Review!$A$6:$A$238,0))="Fail"),"Fail: rights or retrieval",IF(AND(INDEX(Manual_Review!$AC$6:$AC$238,MATCH(A120,Manual_Review!$A$6:$A$238,0))="Pass",INDEX(Manual_Review!$AD$6:$AD$238,MATCH(A120,Manual_Review!$A$6:$A$238,0))="Pass"),"Pass","Pending rights and retrieval")),"Pending rights and retrieval")</f>
        <v>Pending rights and retrieval</v>
      </c>
      <c r="AX120" s="5" t="str">
        <f>IF(INDEX(Manual_Review!$AG$6:$AG$238,MATCH(A120,Manual_Review!$A$6:$A$238,0))="","N/A: documentation inventory",IF(AND(INDEX(Manual_Review!$G$6:$G$238,MATCH(A120,Manual_Review!$A$6:$A$238,0))&lt;&gt;"",ISNUMBER(INDEX(Manual_Review!$H$6:$H$238,MATCH(A120,Manual_Review!$A$6:$A$238,0))),INDEX(Manual_Review!$H$6:$H$238,MATCH(A120,Manual_Review!$A$6:$A$238,0))&gt;0,INDEX(Manual_Review!$I$6:$I$238,MATCH(A120,Manual_Review!$A$6:$A$238,0))="Confirmed",INDEX(Manual_Review!$AF$6:$AF$238,MATCH(A120,Manual_Review!$A$6:$A$238,0))&lt;&gt;""),IF(INDEX(Manual_Review!$AE$6:$AE$238,MATCH(A120,Manual_Review!$A$6:$A$238,0))="Pass","Pass",IF(INDEX(Manual_Review!$AE$6:$AE$238,MATCH(A120,Manual_Review!$A$6:$A$238,0))="Fail","Fail: benchmark leakage",IF(INDEX(Manual_Review!$AE$6:$AE$238,MATCH(A120,Manual_Review!$A$6:$A$238,0))="N/A","N/A: nonbenchmark task","Pending task-specific leakage check"))),"Pending task-specific leakage check"))</f>
        <v>N/A: documentation inventory</v>
      </c>
      <c r="AY120" s="5" t="str">
        <f>IF(IF(D120="Unlabeled-13",AND(ABS(MCDM_Settings!$D$14-1)&lt;0.0000001,MIN(MCDM_Settings!$E$6:$E$11)&gt;=0,MCDM_Settings!$E$7=0),AND(ABS(MCDM_Settings!$B$14-1)&lt;0.0000001,MIN(MCDM_Settings!$C$6:$C$11)&gt;=0)),"Valid","Check weights")</f>
        <v>Valid</v>
      </c>
      <c r="AZ120" s="5" t="str">
        <f>IF(AND(COUNTIF(MCDM_Checks!$B$6:$B$3733,A120)=16,COUNTIF(Manual_Review!$A$6:$A$238,A120)=1),"16 keys present","Check key count")</f>
        <v>16 keys present</v>
      </c>
    </row>
    <row r="121" spans="1:52" ht="38.25">
      <c r="A121" s="5" t="s">
        <v>1369</v>
      </c>
      <c r="B121" s="5" t="s">
        <v>1370</v>
      </c>
      <c r="C121" s="5"/>
      <c r="D121" s="5" t="s">
        <v>118</v>
      </c>
      <c r="E121" s="12">
        <f>IF(OR(AY121&lt;&gt;"Valid",AZ121&lt;&gt;"16 keys present"),"Review settings",20*(IF(ISNUMBER(AC121),AC121*IF($D121="Unlabeled-13",MCDM_Settings!$E$6,MCDM_Settings!$C$6),0)+IF(ISNUMBER(AF121),AF121*IF($D121="Unlabeled-13",MCDM_Settings!$E$7,MCDM_Settings!$C$7),0)+IF(ISNUMBER(AI121),AI121*IF($D121="Unlabeled-13",MCDM_Settings!$E$8,MCDM_Settings!$C$8),0)+IF(ISNUMBER(AL121),AL121*IF($D121="Unlabeled-13",MCDM_Settings!$E$9,MCDM_Settings!$C$9),0)+IF(ISNUMBER(AO121),AO121*IF($D121="Unlabeled-13",MCDM_Settings!$E$10,MCDM_Settings!$C$10),0)+IF(ISNUMBER(AR121),AR121*IF($D121="Unlabeled-13",MCDM_Settings!$E$11,MCDM_Settings!$C$11),0)))</f>
        <v>50</v>
      </c>
      <c r="F121" s="12">
        <f>IF(OR(AY121&lt;&gt;"Valid",AZ121&lt;&gt;"16 keys present"),"Review settings",20*(IF(ISNUMBER(AD121),AD121*IF($D121="Unlabeled-13",MCDM_Settings!$E$6,MCDM_Settings!$C$6),0)+IF(ISNUMBER(AG121),AG121*IF($D121="Unlabeled-13",MCDM_Settings!$E$7,MCDM_Settings!$C$7),0)+IF(ISNUMBER(AJ121),AJ121*IF($D121="Unlabeled-13",MCDM_Settings!$E$8,MCDM_Settings!$C$8),0)+IF(ISNUMBER(AM121),AM121*IF($D121="Unlabeled-13",MCDM_Settings!$E$9,MCDM_Settings!$C$9),0)+IF(ISNUMBER(AP121),AP121*IF($D121="Unlabeled-13",MCDM_Settings!$E$10,MCDM_Settings!$C$10),0)+IF(ISNUMBER(AS121),AS121*IF($D121="Unlabeled-13",MCDM_Settings!$E$11,MCDM_Settings!$C$11),0)))</f>
        <v>99.999999999999986</v>
      </c>
      <c r="G121" s="13">
        <f>IF(OR(AY121&lt;&gt;"Valid",AZ121&lt;&gt;"16 keys present"),"Review settings",1*(IF(ISNUMBER(AE121),AE121*IF($D121="Unlabeled-13",MCDM_Settings!$E$6,MCDM_Settings!$C$6),0)+IF(ISNUMBER(AH121),AH121*IF($D121="Unlabeled-13",MCDM_Settings!$E$7,MCDM_Settings!$C$7),0)+IF(ISNUMBER(AK121),AK121*IF($D121="Unlabeled-13",MCDM_Settings!$E$8,MCDM_Settings!$C$8),0)+IF(ISNUMBER(AN121),AN121*IF($D121="Unlabeled-13",MCDM_Settings!$E$9,MCDM_Settings!$C$9),0)+IF(ISNUMBER(AQ121),AQ121*IF($D121="Unlabeled-13",MCDM_Settings!$E$10,MCDM_Settings!$C$10),0)+IF(ISNUMBER(AT121),AT121*IF($D121="Unlabeled-13",MCDM_Settings!$E$11,MCDM_Settings!$C$11),0)))</f>
        <v>0.5</v>
      </c>
      <c r="H121" s="5" t="str">
        <f>INDEX(Manual_Review!$AH$6:$AH$238,MATCH(A121,Manual_Review!$A$6:$A$238,0))</f>
        <v>Not started</v>
      </c>
      <c r="I121" s="5" t="s">
        <v>128</v>
      </c>
      <c r="J121" s="5" t="s">
        <v>1371</v>
      </c>
      <c r="K121" s="5" t="str">
        <f>HYPERLINK("https://zenodo.org/records/18072573","Dataset")</f>
        <v>Dataset</v>
      </c>
      <c r="L121" s="5" t="str">
        <f>HYPERLINK("#'Manual_Review'!A"&amp;(MATCH("DS-116",Manual_Review!$A$6:$A$238,0)+5),"Enter review")</f>
        <v>Enter review</v>
      </c>
      <c r="M121" s="5" t="str">
        <f>INDEX(MCDM_Checks!$K$6:$K$3733,MATCH(A121&amp;"|"&amp;M$5,MCDM_Checks!$A$6:$A$3733,0))</f>
        <v>Y</v>
      </c>
      <c r="N121" s="5" t="str">
        <f>INDEX(MCDM_Checks!$K$6:$K$3733,MATCH(A121&amp;"|"&amp;N$5,MCDM_Checks!$A$6:$A$3733,0))</f>
        <v>Y</v>
      </c>
      <c r="O121" s="5" t="str">
        <f>INDEX(MCDM_Checks!$K$6:$K$3733,MATCH(A121&amp;"|"&amp;O$5,MCDM_Checks!$A$6:$A$3733,0))</f>
        <v>Y</v>
      </c>
      <c r="P121" s="5" t="str">
        <f>INDEX(MCDM_Checks!$K$6:$K$3733,MATCH(A121&amp;"|"&amp;P$5,MCDM_Checks!$A$6:$A$3733,0))</f>
        <v>Y</v>
      </c>
      <c r="Q121" s="5" t="str">
        <f>INDEX(MCDM_Checks!$K$6:$K$3733,MATCH(A121&amp;"|"&amp;Q$5,MCDM_Checks!$A$6:$A$3733,0))</f>
        <v>U</v>
      </c>
      <c r="R121" s="5" t="str">
        <f>INDEX(MCDM_Checks!$K$6:$K$3733,MATCH(A121&amp;"|"&amp;R$5,MCDM_Checks!$A$6:$A$3733,0))</f>
        <v>U</v>
      </c>
      <c r="S121" s="5" t="str">
        <f>INDEX(MCDM_Checks!$K$6:$K$3733,MATCH(A121&amp;"|"&amp;S$5,MCDM_Checks!$A$6:$A$3733,0))</f>
        <v>U</v>
      </c>
      <c r="T121" s="5" t="str">
        <f>INDEX(MCDM_Checks!$K$6:$K$3733,MATCH(A121&amp;"|"&amp;T$5,MCDM_Checks!$A$6:$A$3733,0))</f>
        <v>Y</v>
      </c>
      <c r="U121" s="5" t="str">
        <f>INDEX(MCDM_Checks!$K$6:$K$3733,MATCH(A121&amp;"|"&amp;U$5,MCDM_Checks!$A$6:$A$3733,0))</f>
        <v>U</v>
      </c>
      <c r="V121" s="5" t="str">
        <f>INDEX(MCDM_Checks!$K$6:$K$3733,MATCH(A121&amp;"|"&amp;V$5,MCDM_Checks!$A$6:$A$3733,0))</f>
        <v>X</v>
      </c>
      <c r="W121" s="5" t="str">
        <f>INDEX(MCDM_Checks!$K$6:$K$3733,MATCH(A121&amp;"|"&amp;W$5,MCDM_Checks!$A$6:$A$3733,0))</f>
        <v>U</v>
      </c>
      <c r="X121" s="5" t="str">
        <f>INDEX(MCDM_Checks!$K$6:$K$3733,MATCH(A121&amp;"|"&amp;X$5,MCDM_Checks!$A$6:$A$3733,0))</f>
        <v>Y</v>
      </c>
      <c r="Y121" s="5" t="str">
        <f>INDEX(MCDM_Checks!$K$6:$K$3733,MATCH(A121&amp;"|"&amp;Y$5,MCDM_Checks!$A$6:$A$3733,0))</f>
        <v>Y</v>
      </c>
      <c r="Z121" s="5" t="str">
        <f>INDEX(MCDM_Checks!$K$6:$K$3733,MATCH(A121&amp;"|"&amp;Z$5,MCDM_Checks!$A$6:$A$3733,0))</f>
        <v>Y</v>
      </c>
      <c r="AA121" s="5" t="str">
        <f>INDEX(MCDM_Checks!$K$6:$K$3733,MATCH(A121&amp;"|"&amp;AA$5,MCDM_Checks!$A$6:$A$3733,0))</f>
        <v>U</v>
      </c>
      <c r="AB121" s="5" t="str">
        <f>INDEX(MCDM_Checks!$K$6:$K$3733,MATCH(A121&amp;"|"&amp;AB$5,MCDM_Checks!$A$6:$A$3733,0))</f>
        <v>U</v>
      </c>
      <c r="AC121" s="12">
        <f>IF(IF($D121="Unlabeled-13",MCDM_Settings!$F$6,MCDM_Settings!$D$6)=0,"n.a.",5*COUNTIF(M121:O121,"Y")/IF($D121="Unlabeled-13",MCDM_Settings!$F$6,MCDM_Settings!$D$6))</f>
        <v>5</v>
      </c>
      <c r="AD121" s="12">
        <f>IF(IF($D121="Unlabeled-13",MCDM_Settings!$F$6,MCDM_Settings!$D$6)=0,"n.a.",5*(COUNTIF(M121:O121,"Y")+COUNTIF(M121:O121,"U")+COUNTIF(M121:O121,"X"))/IF($D121="Unlabeled-13",MCDM_Settings!$F$6,MCDM_Settings!$D$6))</f>
        <v>5</v>
      </c>
      <c r="AE121" s="13">
        <f>IF(IF($D121="Unlabeled-13",MCDM_Settings!$F$6,MCDM_Settings!$D$6)=0,"n.a.",(COUNTIF(M121:O121,"Y")+COUNTIF(M121:O121,"N"))/IF($D121="Unlabeled-13",MCDM_Settings!$F$6,MCDM_Settings!$D$6))</f>
        <v>1</v>
      </c>
      <c r="AF121" s="12">
        <f>IF(IF($D121="Unlabeled-13",MCDM_Settings!$F$7,MCDM_Settings!$D$7)=0,"n.a.",5*COUNTIF(P121:R121,"Y")/IF($D121="Unlabeled-13",MCDM_Settings!$F$7,MCDM_Settings!$D$7))</f>
        <v>1.6666666666666667</v>
      </c>
      <c r="AG121" s="12">
        <f>IF(IF($D121="Unlabeled-13",MCDM_Settings!$F$7,MCDM_Settings!$D$7)=0,"n.a.",5*(COUNTIF(P121:R121,"Y")+COUNTIF(P121:R121,"U")+COUNTIF(P121:R121,"X"))/IF($D121="Unlabeled-13",MCDM_Settings!$F$7,MCDM_Settings!$D$7))</f>
        <v>5</v>
      </c>
      <c r="AH121" s="13">
        <f>IF(IF($D121="Unlabeled-13",MCDM_Settings!$F$7,MCDM_Settings!$D$7)=0,"n.a.",(COUNTIF(P121:R121,"Y")+COUNTIF(P121:R121,"N"))/IF($D121="Unlabeled-13",MCDM_Settings!$F$7,MCDM_Settings!$D$7))</f>
        <v>0.33333333333333331</v>
      </c>
      <c r="AI121" s="12">
        <f>IF(IF($D121="Unlabeled-13",MCDM_Settings!$F$8,MCDM_Settings!$D$8)=0,"n.a.",5*COUNTIF(S121:U121,"Y")/IF($D121="Unlabeled-13",MCDM_Settings!$F$8,MCDM_Settings!$D$8))</f>
        <v>1.6666666666666667</v>
      </c>
      <c r="AJ121" s="12">
        <f>IF(IF($D121="Unlabeled-13",MCDM_Settings!$F$8,MCDM_Settings!$D$8)=0,"n.a.",5*(COUNTIF(S121:U121,"Y")+COUNTIF(S121:U121,"U")+COUNTIF(S121:U121,"X"))/IF($D121="Unlabeled-13",MCDM_Settings!$F$8,MCDM_Settings!$D$8))</f>
        <v>5</v>
      </c>
      <c r="AK121" s="13">
        <f>IF(IF($D121="Unlabeled-13",MCDM_Settings!$F$8,MCDM_Settings!$D$8)=0,"n.a.",(COUNTIF(S121:U121,"Y")+COUNTIF(S121:U121,"N"))/IF($D121="Unlabeled-13",MCDM_Settings!$F$8,MCDM_Settings!$D$8))</f>
        <v>0.33333333333333331</v>
      </c>
      <c r="AL121" s="12">
        <f>IF(IF($D121="Unlabeled-13",MCDM_Settings!$F$9,MCDM_Settings!$D$9)=0,"n.a.",5*COUNTIF(V121:W121,"Y")/IF($D121="Unlabeled-13",MCDM_Settings!$F$9,MCDM_Settings!$D$9))</f>
        <v>0</v>
      </c>
      <c r="AM121" s="12">
        <f>IF(IF($D121="Unlabeled-13",MCDM_Settings!$F$9,MCDM_Settings!$D$9)=0,"n.a.",5*(COUNTIF(V121:W121,"Y")+COUNTIF(V121:W121,"U")+COUNTIF(V121:W121,"X"))/IF($D121="Unlabeled-13",MCDM_Settings!$F$9,MCDM_Settings!$D$9))</f>
        <v>5</v>
      </c>
      <c r="AN121" s="13">
        <f>IF(IF($D121="Unlabeled-13",MCDM_Settings!$F$9,MCDM_Settings!$D$9)=0,"n.a.",(COUNTIF(V121:W121,"Y")+COUNTIF(V121:W121,"N"))/IF($D121="Unlabeled-13",MCDM_Settings!$F$9,MCDM_Settings!$D$9))</f>
        <v>0</v>
      </c>
      <c r="AO121" s="12">
        <f>IF(IF($D121="Unlabeled-13",MCDM_Settings!$F$10,MCDM_Settings!$D$10)=0,"n.a.",5*COUNTIF(X121:Y121,"Y")/IF($D121="Unlabeled-13",MCDM_Settings!$F$10,MCDM_Settings!$D$10))</f>
        <v>5</v>
      </c>
      <c r="AP121" s="12">
        <f>IF(IF($D121="Unlabeled-13",MCDM_Settings!$F$10,MCDM_Settings!$D$10)=0,"n.a.",5*(COUNTIF(X121:Y121,"Y")+COUNTIF(X121:Y121,"U")+COUNTIF(X121:Y121,"X"))/IF($D121="Unlabeled-13",MCDM_Settings!$F$10,MCDM_Settings!$D$10))</f>
        <v>5</v>
      </c>
      <c r="AQ121" s="13">
        <f>IF(IF($D121="Unlabeled-13",MCDM_Settings!$F$10,MCDM_Settings!$D$10)=0,"n.a.",(COUNTIF(X121:Y121,"Y")+COUNTIF(X121:Y121,"N"))/IF($D121="Unlabeled-13",MCDM_Settings!$F$10,MCDM_Settings!$D$10))</f>
        <v>1</v>
      </c>
      <c r="AR121" s="12">
        <f>IF(IF($D121="Unlabeled-13",MCDM_Settings!$F$11,MCDM_Settings!$D$11)=0,"n.a.",5*COUNTIF(Z121:AB121,"Y")/IF($D121="Unlabeled-13",MCDM_Settings!$F$11,MCDM_Settings!$D$11))</f>
        <v>1.6666666666666667</v>
      </c>
      <c r="AS121" s="12">
        <f>IF(IF($D121="Unlabeled-13",MCDM_Settings!$F$11,MCDM_Settings!$D$11)=0,"n.a.",5*(COUNTIF(Z121:AB121,"Y")+COUNTIF(Z121:AB121,"U")+COUNTIF(Z121:AB121,"X"))/IF($D121="Unlabeled-13",MCDM_Settings!$F$11,MCDM_Settings!$D$11))</f>
        <v>5</v>
      </c>
      <c r="AT121" s="13">
        <f>IF(IF($D121="Unlabeled-13",MCDM_Settings!$F$11,MCDM_Settings!$D$11)=0,"n.a.",(COUNTIF(Z121:AB121,"Y")+COUNTIF(Z121:AB121,"N"))/IF($D121="Unlabeled-13",MCDM_Settings!$F$11,MCDM_Settings!$D$11))</f>
        <v>0.33333333333333331</v>
      </c>
      <c r="AU121" s="5" t="str">
        <f>IF(AND(INDEX(Manual_Review!$G$6:$G$238,MATCH(A121,Manual_Review!$A$6:$A$238,0))&lt;&gt;"",ISNUMBER(INDEX(Manual_Review!$H$6:$H$238,MATCH(A121,Manual_Review!$A$6:$A$238,0))),INDEX(Manual_Review!$H$6:$H$238,MATCH(A121,Manual_Review!$A$6:$A$238,0))&gt;0,INDEX(Manual_Review!$I$6:$I$238,MATCH(A121,Manual_Review!$A$6:$A$238,0))="Confirmed",INDEX(Manual_Review!$AF$6:$AF$238,MATCH(A121,Manual_Review!$A$6:$A$238,0))&lt;&gt;""),IF(INDEX(Manual_Review!$AA$6:$AA$238,MATCH(A121,Manual_Review!$A$6:$A$238,0))="Pass","Pass",IF(INDEX(Manual_Review!$AA$6:$AA$238,MATCH(A121,Manual_Review!$A$6:$A$238,0))="Fail","Fail","Pending")),"Pending human identity confirmation")</f>
        <v>Pending human identity confirmation</v>
      </c>
      <c r="AV121" s="5" t="str">
        <f>IF(AND(AND(INDEX(Manual_Review!$G$6:$G$238,MATCH(A121,Manual_Review!$A$6:$A$238,0))&lt;&gt;"",ISNUMBER(INDEX(Manual_Review!$H$6:$H$238,MATCH(A121,Manual_Review!$A$6:$A$238,0))),INDEX(Manual_Review!$H$6:$H$238,MATCH(A121,Manual_Review!$A$6:$A$238,0))&gt;0,INDEX(Manual_Review!$I$6:$I$238,MATCH(A121,Manual_Review!$A$6:$A$238,0))="Confirmed",INDEX(Manual_Review!$AF$6:$AF$238,MATCH(A121,Manual_Review!$A$6:$A$238,0))&lt;&gt;""),INDEX(Manual_Review!$AG$6:$AG$238,MATCH(A121,Manual_Review!$A$6:$A$238,0))&lt;&gt;""),IF(INDEX(Manual_Review!$AB$6:$AB$238,MATCH(A121,Manual_Review!$A$6:$A$238,0))="Pass","Pass",IF(INDEX(Manual_Review!$AB$6:$AB$238,MATCH(A121,Manual_Review!$A$6:$A$238,0))="Fail","Fail","Pending")),"Not assessed: define intended task")</f>
        <v>Not assessed: define intended task</v>
      </c>
      <c r="AW121" s="5" t="str">
        <f>IF(AND(AND(INDEX(Manual_Review!$G$6:$G$238,MATCH(A121,Manual_Review!$A$6:$A$238,0))&lt;&gt;"",ISNUMBER(INDEX(Manual_Review!$H$6:$H$238,MATCH(A121,Manual_Review!$A$6:$A$238,0))),INDEX(Manual_Review!$H$6:$H$238,MATCH(A121,Manual_Review!$A$6:$A$238,0))&gt;0,INDEX(Manual_Review!$I$6:$I$238,MATCH(A121,Manual_Review!$A$6:$A$238,0))="Confirmed",INDEX(Manual_Review!$AF$6:$AF$238,MATCH(A121,Manual_Review!$A$6:$A$238,0))&lt;&gt;""),INDEX(Manual_Review!$AG$6:$AG$238,MATCH(A121,Manual_Review!$A$6:$A$238,0))&lt;&gt;""),IF(OR(INDEX(Manual_Review!$AC$6:$AC$238,MATCH(A121,Manual_Review!$A$6:$A$238,0))="Fail",INDEX(Manual_Review!$AD$6:$AD$238,MATCH(A121,Manual_Review!$A$6:$A$238,0))="Fail"),"Fail: rights or retrieval",IF(AND(INDEX(Manual_Review!$AC$6:$AC$238,MATCH(A121,Manual_Review!$A$6:$A$238,0))="Pass",INDEX(Manual_Review!$AD$6:$AD$238,MATCH(A121,Manual_Review!$A$6:$A$238,0))="Pass"),"Pass","Pending rights and retrieval")),"Pending rights and retrieval")</f>
        <v>Pending rights and retrieval</v>
      </c>
      <c r="AX121" s="5" t="str">
        <f>IF(INDEX(Manual_Review!$AG$6:$AG$238,MATCH(A121,Manual_Review!$A$6:$A$238,0))="","N/A: documentation inventory",IF(AND(INDEX(Manual_Review!$G$6:$G$238,MATCH(A121,Manual_Review!$A$6:$A$238,0))&lt;&gt;"",ISNUMBER(INDEX(Manual_Review!$H$6:$H$238,MATCH(A121,Manual_Review!$A$6:$A$238,0))),INDEX(Manual_Review!$H$6:$H$238,MATCH(A121,Manual_Review!$A$6:$A$238,0))&gt;0,INDEX(Manual_Review!$I$6:$I$238,MATCH(A121,Manual_Review!$A$6:$A$238,0))="Confirmed",INDEX(Manual_Review!$AF$6:$AF$238,MATCH(A121,Manual_Review!$A$6:$A$238,0))&lt;&gt;""),IF(INDEX(Manual_Review!$AE$6:$AE$238,MATCH(A121,Manual_Review!$A$6:$A$238,0))="Pass","Pass",IF(INDEX(Manual_Review!$AE$6:$AE$238,MATCH(A121,Manual_Review!$A$6:$A$238,0))="Fail","Fail: benchmark leakage",IF(INDEX(Manual_Review!$AE$6:$AE$238,MATCH(A121,Manual_Review!$A$6:$A$238,0))="N/A","N/A: nonbenchmark task","Pending task-specific leakage check"))),"Pending task-specific leakage check"))</f>
        <v>N/A: documentation inventory</v>
      </c>
      <c r="AY121" s="5" t="str">
        <f>IF(IF(D121="Unlabeled-13",AND(ABS(MCDM_Settings!$D$14-1)&lt;0.0000001,MIN(MCDM_Settings!$E$6:$E$11)&gt;=0,MCDM_Settings!$E$7=0),AND(ABS(MCDM_Settings!$B$14-1)&lt;0.0000001,MIN(MCDM_Settings!$C$6:$C$11)&gt;=0)),"Valid","Check weights")</f>
        <v>Valid</v>
      </c>
      <c r="AZ121" s="5" t="str">
        <f>IF(AND(COUNTIF(MCDM_Checks!$B$6:$B$3733,A121)=16,COUNTIF(Manual_Review!$A$6:$A$238,A121)=1),"16 keys present","Check key count")</f>
        <v>16 keys present</v>
      </c>
    </row>
    <row r="122" spans="1:52" ht="38.25">
      <c r="A122" s="5" t="s">
        <v>1379</v>
      </c>
      <c r="B122" s="5" t="s">
        <v>1380</v>
      </c>
      <c r="C122" s="5"/>
      <c r="D122" s="5" t="s">
        <v>118</v>
      </c>
      <c r="E122" s="12">
        <f>IF(OR(AY122&lt;&gt;"Valid",AZ122&lt;&gt;"16 keys present"),"Review settings",20*(IF(ISNUMBER(AC122),AC122*IF($D122="Unlabeled-13",MCDM_Settings!$E$6,MCDM_Settings!$C$6),0)+IF(ISNUMBER(AF122),AF122*IF($D122="Unlabeled-13",MCDM_Settings!$E$7,MCDM_Settings!$C$7),0)+IF(ISNUMBER(AI122),AI122*IF($D122="Unlabeled-13",MCDM_Settings!$E$8,MCDM_Settings!$C$8),0)+IF(ISNUMBER(AL122),AL122*IF($D122="Unlabeled-13",MCDM_Settings!$E$9,MCDM_Settings!$C$9),0)+IF(ISNUMBER(AO122),AO122*IF($D122="Unlabeled-13",MCDM_Settings!$E$10,MCDM_Settings!$C$10),0)+IF(ISNUMBER(AR122),AR122*IF($D122="Unlabeled-13",MCDM_Settings!$E$11,MCDM_Settings!$C$11),0)))</f>
        <v>50</v>
      </c>
      <c r="F122" s="12">
        <f>IF(OR(AY122&lt;&gt;"Valid",AZ122&lt;&gt;"16 keys present"),"Review settings",20*(IF(ISNUMBER(AD122),AD122*IF($D122="Unlabeled-13",MCDM_Settings!$E$6,MCDM_Settings!$C$6),0)+IF(ISNUMBER(AG122),AG122*IF($D122="Unlabeled-13",MCDM_Settings!$E$7,MCDM_Settings!$C$7),0)+IF(ISNUMBER(AJ122),AJ122*IF($D122="Unlabeled-13",MCDM_Settings!$E$8,MCDM_Settings!$C$8),0)+IF(ISNUMBER(AM122),AM122*IF($D122="Unlabeled-13",MCDM_Settings!$E$9,MCDM_Settings!$C$9),0)+IF(ISNUMBER(AP122),AP122*IF($D122="Unlabeled-13",MCDM_Settings!$E$10,MCDM_Settings!$C$10),0)+IF(ISNUMBER(AS122),AS122*IF($D122="Unlabeled-13",MCDM_Settings!$E$11,MCDM_Settings!$C$11),0)))</f>
        <v>99.999999999999986</v>
      </c>
      <c r="G122" s="13">
        <f>IF(OR(AY122&lt;&gt;"Valid",AZ122&lt;&gt;"16 keys present"),"Review settings",1*(IF(ISNUMBER(AE122),AE122*IF($D122="Unlabeled-13",MCDM_Settings!$E$6,MCDM_Settings!$C$6),0)+IF(ISNUMBER(AH122),AH122*IF($D122="Unlabeled-13",MCDM_Settings!$E$7,MCDM_Settings!$C$7),0)+IF(ISNUMBER(AK122),AK122*IF($D122="Unlabeled-13",MCDM_Settings!$E$8,MCDM_Settings!$C$8),0)+IF(ISNUMBER(AN122),AN122*IF($D122="Unlabeled-13",MCDM_Settings!$E$9,MCDM_Settings!$C$9),0)+IF(ISNUMBER(AQ122),AQ122*IF($D122="Unlabeled-13",MCDM_Settings!$E$10,MCDM_Settings!$C$10),0)+IF(ISNUMBER(AT122),AT122*IF($D122="Unlabeled-13",MCDM_Settings!$E$11,MCDM_Settings!$C$11),0)))</f>
        <v>0.5</v>
      </c>
      <c r="H122" s="5" t="str">
        <f>INDEX(Manual_Review!$AH$6:$AH$238,MATCH(A122,Manual_Review!$A$6:$A$238,0))</f>
        <v>Not started</v>
      </c>
      <c r="I122" s="5" t="s">
        <v>128</v>
      </c>
      <c r="J122" s="5" t="s">
        <v>1381</v>
      </c>
      <c r="K122" s="5" t="str">
        <f>HYPERLINK("https://zenodo.org/records/18114226","Dataset")</f>
        <v>Dataset</v>
      </c>
      <c r="L122" s="5" t="str">
        <f>HYPERLINK("#'Manual_Review'!A"&amp;(MATCH("DS-117",Manual_Review!$A$6:$A$238,0)+5),"Enter review")</f>
        <v>Enter review</v>
      </c>
      <c r="M122" s="5" t="str">
        <f>INDEX(MCDM_Checks!$K$6:$K$3733,MATCH(A122&amp;"|"&amp;M$5,MCDM_Checks!$A$6:$A$3733,0))</f>
        <v>Y</v>
      </c>
      <c r="N122" s="5" t="str">
        <f>INDEX(MCDM_Checks!$K$6:$K$3733,MATCH(A122&amp;"|"&amp;N$5,MCDM_Checks!$A$6:$A$3733,0))</f>
        <v>Y</v>
      </c>
      <c r="O122" s="5" t="str">
        <f>INDEX(MCDM_Checks!$K$6:$K$3733,MATCH(A122&amp;"|"&amp;O$5,MCDM_Checks!$A$6:$A$3733,0))</f>
        <v>Y</v>
      </c>
      <c r="P122" s="5" t="str">
        <f>INDEX(MCDM_Checks!$K$6:$K$3733,MATCH(A122&amp;"|"&amp;P$5,MCDM_Checks!$A$6:$A$3733,0))</f>
        <v>Y</v>
      </c>
      <c r="Q122" s="5" t="str">
        <f>INDEX(MCDM_Checks!$K$6:$K$3733,MATCH(A122&amp;"|"&amp;Q$5,MCDM_Checks!$A$6:$A$3733,0))</f>
        <v>U</v>
      </c>
      <c r="R122" s="5" t="str">
        <f>INDEX(MCDM_Checks!$K$6:$K$3733,MATCH(A122&amp;"|"&amp;R$5,MCDM_Checks!$A$6:$A$3733,0))</f>
        <v>U</v>
      </c>
      <c r="S122" s="5" t="str">
        <f>INDEX(MCDM_Checks!$K$6:$K$3733,MATCH(A122&amp;"|"&amp;S$5,MCDM_Checks!$A$6:$A$3733,0))</f>
        <v>U</v>
      </c>
      <c r="T122" s="5" t="str">
        <f>INDEX(MCDM_Checks!$K$6:$K$3733,MATCH(A122&amp;"|"&amp;T$5,MCDM_Checks!$A$6:$A$3733,0))</f>
        <v>Y</v>
      </c>
      <c r="U122" s="5" t="str">
        <f>INDEX(MCDM_Checks!$K$6:$K$3733,MATCH(A122&amp;"|"&amp;U$5,MCDM_Checks!$A$6:$A$3733,0))</f>
        <v>U</v>
      </c>
      <c r="V122" s="5" t="str">
        <f>INDEX(MCDM_Checks!$K$6:$K$3733,MATCH(A122&amp;"|"&amp;V$5,MCDM_Checks!$A$6:$A$3733,0))</f>
        <v>X</v>
      </c>
      <c r="W122" s="5" t="str">
        <f>INDEX(MCDM_Checks!$K$6:$K$3733,MATCH(A122&amp;"|"&amp;W$5,MCDM_Checks!$A$6:$A$3733,0))</f>
        <v>U</v>
      </c>
      <c r="X122" s="5" t="str">
        <f>INDEX(MCDM_Checks!$K$6:$K$3733,MATCH(A122&amp;"|"&amp;X$5,MCDM_Checks!$A$6:$A$3733,0))</f>
        <v>Y</v>
      </c>
      <c r="Y122" s="5" t="str">
        <f>INDEX(MCDM_Checks!$K$6:$K$3733,MATCH(A122&amp;"|"&amp;Y$5,MCDM_Checks!$A$6:$A$3733,0))</f>
        <v>Y</v>
      </c>
      <c r="Z122" s="5" t="str">
        <f>INDEX(MCDM_Checks!$K$6:$K$3733,MATCH(A122&amp;"|"&amp;Z$5,MCDM_Checks!$A$6:$A$3733,0))</f>
        <v>Y</v>
      </c>
      <c r="AA122" s="5" t="str">
        <f>INDEX(MCDM_Checks!$K$6:$K$3733,MATCH(A122&amp;"|"&amp;AA$5,MCDM_Checks!$A$6:$A$3733,0))</f>
        <v>U</v>
      </c>
      <c r="AB122" s="5" t="str">
        <f>INDEX(MCDM_Checks!$K$6:$K$3733,MATCH(A122&amp;"|"&amp;AB$5,MCDM_Checks!$A$6:$A$3733,0))</f>
        <v>U</v>
      </c>
      <c r="AC122" s="12">
        <f>IF(IF($D122="Unlabeled-13",MCDM_Settings!$F$6,MCDM_Settings!$D$6)=0,"n.a.",5*COUNTIF(M122:O122,"Y")/IF($D122="Unlabeled-13",MCDM_Settings!$F$6,MCDM_Settings!$D$6))</f>
        <v>5</v>
      </c>
      <c r="AD122" s="12">
        <f>IF(IF($D122="Unlabeled-13",MCDM_Settings!$F$6,MCDM_Settings!$D$6)=0,"n.a.",5*(COUNTIF(M122:O122,"Y")+COUNTIF(M122:O122,"U")+COUNTIF(M122:O122,"X"))/IF($D122="Unlabeled-13",MCDM_Settings!$F$6,MCDM_Settings!$D$6))</f>
        <v>5</v>
      </c>
      <c r="AE122" s="13">
        <f>IF(IF($D122="Unlabeled-13",MCDM_Settings!$F$6,MCDM_Settings!$D$6)=0,"n.a.",(COUNTIF(M122:O122,"Y")+COUNTIF(M122:O122,"N"))/IF($D122="Unlabeled-13",MCDM_Settings!$F$6,MCDM_Settings!$D$6))</f>
        <v>1</v>
      </c>
      <c r="AF122" s="12">
        <f>IF(IF($D122="Unlabeled-13",MCDM_Settings!$F$7,MCDM_Settings!$D$7)=0,"n.a.",5*COUNTIF(P122:R122,"Y")/IF($D122="Unlabeled-13",MCDM_Settings!$F$7,MCDM_Settings!$D$7))</f>
        <v>1.6666666666666667</v>
      </c>
      <c r="AG122" s="12">
        <f>IF(IF($D122="Unlabeled-13",MCDM_Settings!$F$7,MCDM_Settings!$D$7)=0,"n.a.",5*(COUNTIF(P122:R122,"Y")+COUNTIF(P122:R122,"U")+COUNTIF(P122:R122,"X"))/IF($D122="Unlabeled-13",MCDM_Settings!$F$7,MCDM_Settings!$D$7))</f>
        <v>5</v>
      </c>
      <c r="AH122" s="13">
        <f>IF(IF($D122="Unlabeled-13",MCDM_Settings!$F$7,MCDM_Settings!$D$7)=0,"n.a.",(COUNTIF(P122:R122,"Y")+COUNTIF(P122:R122,"N"))/IF($D122="Unlabeled-13",MCDM_Settings!$F$7,MCDM_Settings!$D$7))</f>
        <v>0.33333333333333331</v>
      </c>
      <c r="AI122" s="12">
        <f>IF(IF($D122="Unlabeled-13",MCDM_Settings!$F$8,MCDM_Settings!$D$8)=0,"n.a.",5*COUNTIF(S122:U122,"Y")/IF($D122="Unlabeled-13",MCDM_Settings!$F$8,MCDM_Settings!$D$8))</f>
        <v>1.6666666666666667</v>
      </c>
      <c r="AJ122" s="12">
        <f>IF(IF($D122="Unlabeled-13",MCDM_Settings!$F$8,MCDM_Settings!$D$8)=0,"n.a.",5*(COUNTIF(S122:U122,"Y")+COUNTIF(S122:U122,"U")+COUNTIF(S122:U122,"X"))/IF($D122="Unlabeled-13",MCDM_Settings!$F$8,MCDM_Settings!$D$8))</f>
        <v>5</v>
      </c>
      <c r="AK122" s="13">
        <f>IF(IF($D122="Unlabeled-13",MCDM_Settings!$F$8,MCDM_Settings!$D$8)=0,"n.a.",(COUNTIF(S122:U122,"Y")+COUNTIF(S122:U122,"N"))/IF($D122="Unlabeled-13",MCDM_Settings!$F$8,MCDM_Settings!$D$8))</f>
        <v>0.33333333333333331</v>
      </c>
      <c r="AL122" s="12">
        <f>IF(IF($D122="Unlabeled-13",MCDM_Settings!$F$9,MCDM_Settings!$D$9)=0,"n.a.",5*COUNTIF(V122:W122,"Y")/IF($D122="Unlabeled-13",MCDM_Settings!$F$9,MCDM_Settings!$D$9))</f>
        <v>0</v>
      </c>
      <c r="AM122" s="12">
        <f>IF(IF($D122="Unlabeled-13",MCDM_Settings!$F$9,MCDM_Settings!$D$9)=0,"n.a.",5*(COUNTIF(V122:W122,"Y")+COUNTIF(V122:W122,"U")+COUNTIF(V122:W122,"X"))/IF($D122="Unlabeled-13",MCDM_Settings!$F$9,MCDM_Settings!$D$9))</f>
        <v>5</v>
      </c>
      <c r="AN122" s="13">
        <f>IF(IF($D122="Unlabeled-13",MCDM_Settings!$F$9,MCDM_Settings!$D$9)=0,"n.a.",(COUNTIF(V122:W122,"Y")+COUNTIF(V122:W122,"N"))/IF($D122="Unlabeled-13",MCDM_Settings!$F$9,MCDM_Settings!$D$9))</f>
        <v>0</v>
      </c>
      <c r="AO122" s="12">
        <f>IF(IF($D122="Unlabeled-13",MCDM_Settings!$F$10,MCDM_Settings!$D$10)=0,"n.a.",5*COUNTIF(X122:Y122,"Y")/IF($D122="Unlabeled-13",MCDM_Settings!$F$10,MCDM_Settings!$D$10))</f>
        <v>5</v>
      </c>
      <c r="AP122" s="12">
        <f>IF(IF($D122="Unlabeled-13",MCDM_Settings!$F$10,MCDM_Settings!$D$10)=0,"n.a.",5*(COUNTIF(X122:Y122,"Y")+COUNTIF(X122:Y122,"U")+COUNTIF(X122:Y122,"X"))/IF($D122="Unlabeled-13",MCDM_Settings!$F$10,MCDM_Settings!$D$10))</f>
        <v>5</v>
      </c>
      <c r="AQ122" s="13">
        <f>IF(IF($D122="Unlabeled-13",MCDM_Settings!$F$10,MCDM_Settings!$D$10)=0,"n.a.",(COUNTIF(X122:Y122,"Y")+COUNTIF(X122:Y122,"N"))/IF($D122="Unlabeled-13",MCDM_Settings!$F$10,MCDM_Settings!$D$10))</f>
        <v>1</v>
      </c>
      <c r="AR122" s="12">
        <f>IF(IF($D122="Unlabeled-13",MCDM_Settings!$F$11,MCDM_Settings!$D$11)=0,"n.a.",5*COUNTIF(Z122:AB122,"Y")/IF($D122="Unlabeled-13",MCDM_Settings!$F$11,MCDM_Settings!$D$11))</f>
        <v>1.6666666666666667</v>
      </c>
      <c r="AS122" s="12">
        <f>IF(IF($D122="Unlabeled-13",MCDM_Settings!$F$11,MCDM_Settings!$D$11)=0,"n.a.",5*(COUNTIF(Z122:AB122,"Y")+COUNTIF(Z122:AB122,"U")+COUNTIF(Z122:AB122,"X"))/IF($D122="Unlabeled-13",MCDM_Settings!$F$11,MCDM_Settings!$D$11))</f>
        <v>5</v>
      </c>
      <c r="AT122" s="13">
        <f>IF(IF($D122="Unlabeled-13",MCDM_Settings!$F$11,MCDM_Settings!$D$11)=0,"n.a.",(COUNTIF(Z122:AB122,"Y")+COUNTIF(Z122:AB122,"N"))/IF($D122="Unlabeled-13",MCDM_Settings!$F$11,MCDM_Settings!$D$11))</f>
        <v>0.33333333333333331</v>
      </c>
      <c r="AU122" s="5" t="str">
        <f>IF(AND(INDEX(Manual_Review!$G$6:$G$238,MATCH(A122,Manual_Review!$A$6:$A$238,0))&lt;&gt;"",ISNUMBER(INDEX(Manual_Review!$H$6:$H$238,MATCH(A122,Manual_Review!$A$6:$A$238,0))),INDEX(Manual_Review!$H$6:$H$238,MATCH(A122,Manual_Review!$A$6:$A$238,0))&gt;0,INDEX(Manual_Review!$I$6:$I$238,MATCH(A122,Manual_Review!$A$6:$A$238,0))="Confirmed",INDEX(Manual_Review!$AF$6:$AF$238,MATCH(A122,Manual_Review!$A$6:$A$238,0))&lt;&gt;""),IF(INDEX(Manual_Review!$AA$6:$AA$238,MATCH(A122,Manual_Review!$A$6:$A$238,0))="Pass","Pass",IF(INDEX(Manual_Review!$AA$6:$AA$238,MATCH(A122,Manual_Review!$A$6:$A$238,0))="Fail","Fail","Pending")),"Pending human identity confirmation")</f>
        <v>Pending human identity confirmation</v>
      </c>
      <c r="AV122" s="5" t="str">
        <f>IF(AND(AND(INDEX(Manual_Review!$G$6:$G$238,MATCH(A122,Manual_Review!$A$6:$A$238,0))&lt;&gt;"",ISNUMBER(INDEX(Manual_Review!$H$6:$H$238,MATCH(A122,Manual_Review!$A$6:$A$238,0))),INDEX(Manual_Review!$H$6:$H$238,MATCH(A122,Manual_Review!$A$6:$A$238,0))&gt;0,INDEX(Manual_Review!$I$6:$I$238,MATCH(A122,Manual_Review!$A$6:$A$238,0))="Confirmed",INDEX(Manual_Review!$AF$6:$AF$238,MATCH(A122,Manual_Review!$A$6:$A$238,0))&lt;&gt;""),INDEX(Manual_Review!$AG$6:$AG$238,MATCH(A122,Manual_Review!$A$6:$A$238,0))&lt;&gt;""),IF(INDEX(Manual_Review!$AB$6:$AB$238,MATCH(A122,Manual_Review!$A$6:$A$238,0))="Pass","Pass",IF(INDEX(Manual_Review!$AB$6:$AB$238,MATCH(A122,Manual_Review!$A$6:$A$238,0))="Fail","Fail","Pending")),"Not assessed: define intended task")</f>
        <v>Not assessed: define intended task</v>
      </c>
      <c r="AW122" s="5" t="str">
        <f>IF(AND(AND(INDEX(Manual_Review!$G$6:$G$238,MATCH(A122,Manual_Review!$A$6:$A$238,0))&lt;&gt;"",ISNUMBER(INDEX(Manual_Review!$H$6:$H$238,MATCH(A122,Manual_Review!$A$6:$A$238,0))),INDEX(Manual_Review!$H$6:$H$238,MATCH(A122,Manual_Review!$A$6:$A$238,0))&gt;0,INDEX(Manual_Review!$I$6:$I$238,MATCH(A122,Manual_Review!$A$6:$A$238,0))="Confirmed",INDEX(Manual_Review!$AF$6:$AF$238,MATCH(A122,Manual_Review!$A$6:$A$238,0))&lt;&gt;""),INDEX(Manual_Review!$AG$6:$AG$238,MATCH(A122,Manual_Review!$A$6:$A$238,0))&lt;&gt;""),IF(OR(INDEX(Manual_Review!$AC$6:$AC$238,MATCH(A122,Manual_Review!$A$6:$A$238,0))="Fail",INDEX(Manual_Review!$AD$6:$AD$238,MATCH(A122,Manual_Review!$A$6:$A$238,0))="Fail"),"Fail: rights or retrieval",IF(AND(INDEX(Manual_Review!$AC$6:$AC$238,MATCH(A122,Manual_Review!$A$6:$A$238,0))="Pass",INDEX(Manual_Review!$AD$6:$AD$238,MATCH(A122,Manual_Review!$A$6:$A$238,0))="Pass"),"Pass","Pending rights and retrieval")),"Pending rights and retrieval")</f>
        <v>Pending rights and retrieval</v>
      </c>
      <c r="AX122" s="5" t="str">
        <f>IF(INDEX(Manual_Review!$AG$6:$AG$238,MATCH(A122,Manual_Review!$A$6:$A$238,0))="","N/A: documentation inventory",IF(AND(INDEX(Manual_Review!$G$6:$G$238,MATCH(A122,Manual_Review!$A$6:$A$238,0))&lt;&gt;"",ISNUMBER(INDEX(Manual_Review!$H$6:$H$238,MATCH(A122,Manual_Review!$A$6:$A$238,0))),INDEX(Manual_Review!$H$6:$H$238,MATCH(A122,Manual_Review!$A$6:$A$238,0))&gt;0,INDEX(Manual_Review!$I$6:$I$238,MATCH(A122,Manual_Review!$A$6:$A$238,0))="Confirmed",INDEX(Manual_Review!$AF$6:$AF$238,MATCH(A122,Manual_Review!$A$6:$A$238,0))&lt;&gt;""),IF(INDEX(Manual_Review!$AE$6:$AE$238,MATCH(A122,Manual_Review!$A$6:$A$238,0))="Pass","Pass",IF(INDEX(Manual_Review!$AE$6:$AE$238,MATCH(A122,Manual_Review!$A$6:$A$238,0))="Fail","Fail: benchmark leakage",IF(INDEX(Manual_Review!$AE$6:$AE$238,MATCH(A122,Manual_Review!$A$6:$A$238,0))="N/A","N/A: nonbenchmark task","Pending task-specific leakage check"))),"Pending task-specific leakage check"))</f>
        <v>N/A: documentation inventory</v>
      </c>
      <c r="AY122" s="5" t="str">
        <f>IF(IF(D122="Unlabeled-13",AND(ABS(MCDM_Settings!$D$14-1)&lt;0.0000001,MIN(MCDM_Settings!$E$6:$E$11)&gt;=0,MCDM_Settings!$E$7=0),AND(ABS(MCDM_Settings!$B$14-1)&lt;0.0000001,MIN(MCDM_Settings!$C$6:$C$11)&gt;=0)),"Valid","Check weights")</f>
        <v>Valid</v>
      </c>
      <c r="AZ122" s="5" t="str">
        <f>IF(AND(COUNTIF(MCDM_Checks!$B$6:$B$3733,A122)=16,COUNTIF(Manual_Review!$A$6:$A$238,A122)=1),"16 keys present","Check key count")</f>
        <v>16 keys present</v>
      </c>
    </row>
    <row r="123" spans="1:52">
      <c r="A123" s="5" t="s">
        <v>1385</v>
      </c>
      <c r="B123" s="5" t="s">
        <v>1386</v>
      </c>
      <c r="C123" s="5"/>
      <c r="D123" s="5" t="s">
        <v>118</v>
      </c>
      <c r="E123" s="12">
        <f>IF(OR(AY123&lt;&gt;"Valid",AZ123&lt;&gt;"16 keys present"),"Review settings",20*(IF(ISNUMBER(AC123),AC123*IF($D123="Unlabeled-13",MCDM_Settings!$E$6,MCDM_Settings!$C$6),0)+IF(ISNUMBER(AF123),AF123*IF($D123="Unlabeled-13",MCDM_Settings!$E$7,MCDM_Settings!$C$7),0)+IF(ISNUMBER(AI123),AI123*IF($D123="Unlabeled-13",MCDM_Settings!$E$8,MCDM_Settings!$C$8),0)+IF(ISNUMBER(AL123),AL123*IF($D123="Unlabeled-13",MCDM_Settings!$E$9,MCDM_Settings!$C$9),0)+IF(ISNUMBER(AO123),AO123*IF($D123="Unlabeled-13",MCDM_Settings!$E$10,MCDM_Settings!$C$10),0)+IF(ISNUMBER(AR123),AR123*IF($D123="Unlabeled-13",MCDM_Settings!$E$11,MCDM_Settings!$C$11),0)))</f>
        <v>55.555555555555557</v>
      </c>
      <c r="F123" s="12">
        <f>IF(OR(AY123&lt;&gt;"Valid",AZ123&lt;&gt;"16 keys present"),"Review settings",20*(IF(ISNUMBER(AD123),AD123*IF($D123="Unlabeled-13",MCDM_Settings!$E$6,MCDM_Settings!$C$6),0)+IF(ISNUMBER(AG123),AG123*IF($D123="Unlabeled-13",MCDM_Settings!$E$7,MCDM_Settings!$C$7),0)+IF(ISNUMBER(AJ123),AJ123*IF($D123="Unlabeled-13",MCDM_Settings!$E$8,MCDM_Settings!$C$8),0)+IF(ISNUMBER(AM123),AM123*IF($D123="Unlabeled-13",MCDM_Settings!$E$9,MCDM_Settings!$C$9),0)+IF(ISNUMBER(AP123),AP123*IF($D123="Unlabeled-13",MCDM_Settings!$E$10,MCDM_Settings!$C$10),0)+IF(ISNUMBER(AS123),AS123*IF($D123="Unlabeled-13",MCDM_Settings!$E$11,MCDM_Settings!$C$11),0)))</f>
        <v>99.999999999999986</v>
      </c>
      <c r="G123" s="13">
        <f>IF(OR(AY123&lt;&gt;"Valid",AZ123&lt;&gt;"16 keys present"),"Review settings",1*(IF(ISNUMBER(AE123),AE123*IF($D123="Unlabeled-13",MCDM_Settings!$E$6,MCDM_Settings!$C$6),0)+IF(ISNUMBER(AH123),AH123*IF($D123="Unlabeled-13",MCDM_Settings!$E$7,MCDM_Settings!$C$7),0)+IF(ISNUMBER(AK123),AK123*IF($D123="Unlabeled-13",MCDM_Settings!$E$8,MCDM_Settings!$C$8),0)+IF(ISNUMBER(AN123),AN123*IF($D123="Unlabeled-13",MCDM_Settings!$E$9,MCDM_Settings!$C$9),0)+IF(ISNUMBER(AQ123),AQ123*IF($D123="Unlabeled-13",MCDM_Settings!$E$10,MCDM_Settings!$C$10),0)+IF(ISNUMBER(AT123),AT123*IF($D123="Unlabeled-13",MCDM_Settings!$E$11,MCDM_Settings!$C$11),0)))</f>
        <v>0.55555555555555558</v>
      </c>
      <c r="H123" s="5" t="str">
        <f>INDEX(Manual_Review!$AH$6:$AH$238,MATCH(A123,Manual_Review!$A$6:$A$238,0))</f>
        <v>Not started</v>
      </c>
      <c r="I123" s="5" t="s">
        <v>128</v>
      </c>
      <c r="J123" s="5" t="s">
        <v>121</v>
      </c>
      <c r="K123" s="5" t="str">
        <f>HYPERLINK("https://zenodo.org/records/17189667","Dataset")</f>
        <v>Dataset</v>
      </c>
      <c r="L123" s="5" t="str">
        <f>HYPERLINK("#'Manual_Review'!A"&amp;(MATCH("DS-118",Manual_Review!$A$6:$A$238,0)+5),"Enter review")</f>
        <v>Enter review</v>
      </c>
      <c r="M123" s="5" t="str">
        <f>INDEX(MCDM_Checks!$K$6:$K$3733,MATCH(A123&amp;"|"&amp;M$5,MCDM_Checks!$A$6:$A$3733,0))</f>
        <v>Y</v>
      </c>
      <c r="N123" s="5" t="str">
        <f>INDEX(MCDM_Checks!$K$6:$K$3733,MATCH(A123&amp;"|"&amp;N$5,MCDM_Checks!$A$6:$A$3733,0))</f>
        <v>Y</v>
      </c>
      <c r="O123" s="5" t="str">
        <f>INDEX(MCDM_Checks!$K$6:$K$3733,MATCH(A123&amp;"|"&amp;O$5,MCDM_Checks!$A$6:$A$3733,0))</f>
        <v>Y</v>
      </c>
      <c r="P123" s="5" t="str">
        <f>INDEX(MCDM_Checks!$K$6:$K$3733,MATCH(A123&amp;"|"&amp;P$5,MCDM_Checks!$A$6:$A$3733,0))</f>
        <v>U</v>
      </c>
      <c r="Q123" s="5" t="str">
        <f>INDEX(MCDM_Checks!$K$6:$K$3733,MATCH(A123&amp;"|"&amp;Q$5,MCDM_Checks!$A$6:$A$3733,0))</f>
        <v>U</v>
      </c>
      <c r="R123" s="5" t="str">
        <f>INDEX(MCDM_Checks!$K$6:$K$3733,MATCH(A123&amp;"|"&amp;R$5,MCDM_Checks!$A$6:$A$3733,0))</f>
        <v>U</v>
      </c>
      <c r="S123" s="5" t="str">
        <f>INDEX(MCDM_Checks!$K$6:$K$3733,MATCH(A123&amp;"|"&amp;S$5,MCDM_Checks!$A$6:$A$3733,0))</f>
        <v>U</v>
      </c>
      <c r="T123" s="5" t="str">
        <f>INDEX(MCDM_Checks!$K$6:$K$3733,MATCH(A123&amp;"|"&amp;T$5,MCDM_Checks!$A$6:$A$3733,0))</f>
        <v>Y</v>
      </c>
      <c r="U123" s="5" t="str">
        <f>INDEX(MCDM_Checks!$K$6:$K$3733,MATCH(A123&amp;"|"&amp;U$5,MCDM_Checks!$A$6:$A$3733,0))</f>
        <v>Y</v>
      </c>
      <c r="V123" s="5" t="str">
        <f>INDEX(MCDM_Checks!$K$6:$K$3733,MATCH(A123&amp;"|"&amp;V$5,MCDM_Checks!$A$6:$A$3733,0))</f>
        <v>U</v>
      </c>
      <c r="W123" s="5" t="str">
        <f>INDEX(MCDM_Checks!$K$6:$K$3733,MATCH(A123&amp;"|"&amp;W$5,MCDM_Checks!$A$6:$A$3733,0))</f>
        <v>U</v>
      </c>
      <c r="X123" s="5" t="str">
        <f>INDEX(MCDM_Checks!$K$6:$K$3733,MATCH(A123&amp;"|"&amp;X$5,MCDM_Checks!$A$6:$A$3733,0))</f>
        <v>Y</v>
      </c>
      <c r="Y123" s="5" t="str">
        <f>INDEX(MCDM_Checks!$K$6:$K$3733,MATCH(A123&amp;"|"&amp;Y$5,MCDM_Checks!$A$6:$A$3733,0))</f>
        <v>Y</v>
      </c>
      <c r="Z123" s="5" t="str">
        <f>INDEX(MCDM_Checks!$K$6:$K$3733,MATCH(A123&amp;"|"&amp;Z$5,MCDM_Checks!$A$6:$A$3733,0))</f>
        <v>Y</v>
      </c>
      <c r="AA123" s="5" t="str">
        <f>INDEX(MCDM_Checks!$K$6:$K$3733,MATCH(A123&amp;"|"&amp;AA$5,MCDM_Checks!$A$6:$A$3733,0))</f>
        <v>U</v>
      </c>
      <c r="AB123" s="5" t="str">
        <f>INDEX(MCDM_Checks!$K$6:$K$3733,MATCH(A123&amp;"|"&amp;AB$5,MCDM_Checks!$A$6:$A$3733,0))</f>
        <v>Y</v>
      </c>
      <c r="AC123" s="12">
        <f>IF(IF($D123="Unlabeled-13",MCDM_Settings!$F$6,MCDM_Settings!$D$6)=0,"n.a.",5*COUNTIF(M123:O123,"Y")/IF($D123="Unlabeled-13",MCDM_Settings!$F$6,MCDM_Settings!$D$6))</f>
        <v>5</v>
      </c>
      <c r="AD123" s="12">
        <f>IF(IF($D123="Unlabeled-13",MCDM_Settings!$F$6,MCDM_Settings!$D$6)=0,"n.a.",5*(COUNTIF(M123:O123,"Y")+COUNTIF(M123:O123,"U")+COUNTIF(M123:O123,"X"))/IF($D123="Unlabeled-13",MCDM_Settings!$F$6,MCDM_Settings!$D$6))</f>
        <v>5</v>
      </c>
      <c r="AE123" s="13">
        <f>IF(IF($D123="Unlabeled-13",MCDM_Settings!$F$6,MCDM_Settings!$D$6)=0,"n.a.",(COUNTIF(M123:O123,"Y")+COUNTIF(M123:O123,"N"))/IF($D123="Unlabeled-13",MCDM_Settings!$F$6,MCDM_Settings!$D$6))</f>
        <v>1</v>
      </c>
      <c r="AF123" s="12">
        <f>IF(IF($D123="Unlabeled-13",MCDM_Settings!$F$7,MCDM_Settings!$D$7)=0,"n.a.",5*COUNTIF(P123:R123,"Y")/IF($D123="Unlabeled-13",MCDM_Settings!$F$7,MCDM_Settings!$D$7))</f>
        <v>0</v>
      </c>
      <c r="AG123" s="12">
        <f>IF(IF($D123="Unlabeled-13",MCDM_Settings!$F$7,MCDM_Settings!$D$7)=0,"n.a.",5*(COUNTIF(P123:R123,"Y")+COUNTIF(P123:R123,"U")+COUNTIF(P123:R123,"X"))/IF($D123="Unlabeled-13",MCDM_Settings!$F$7,MCDM_Settings!$D$7))</f>
        <v>5</v>
      </c>
      <c r="AH123" s="13">
        <f>IF(IF($D123="Unlabeled-13",MCDM_Settings!$F$7,MCDM_Settings!$D$7)=0,"n.a.",(COUNTIF(P123:R123,"Y")+COUNTIF(P123:R123,"N"))/IF($D123="Unlabeled-13",MCDM_Settings!$F$7,MCDM_Settings!$D$7))</f>
        <v>0</v>
      </c>
      <c r="AI123" s="12">
        <f>IF(IF($D123="Unlabeled-13",MCDM_Settings!$F$8,MCDM_Settings!$D$8)=0,"n.a.",5*COUNTIF(S123:U123,"Y")/IF($D123="Unlabeled-13",MCDM_Settings!$F$8,MCDM_Settings!$D$8))</f>
        <v>3.3333333333333335</v>
      </c>
      <c r="AJ123" s="12">
        <f>IF(IF($D123="Unlabeled-13",MCDM_Settings!$F$8,MCDM_Settings!$D$8)=0,"n.a.",5*(COUNTIF(S123:U123,"Y")+COUNTIF(S123:U123,"U")+COUNTIF(S123:U123,"X"))/IF($D123="Unlabeled-13",MCDM_Settings!$F$8,MCDM_Settings!$D$8))</f>
        <v>5</v>
      </c>
      <c r="AK123" s="13">
        <f>IF(IF($D123="Unlabeled-13",MCDM_Settings!$F$8,MCDM_Settings!$D$8)=0,"n.a.",(COUNTIF(S123:U123,"Y")+COUNTIF(S123:U123,"N"))/IF($D123="Unlabeled-13",MCDM_Settings!$F$8,MCDM_Settings!$D$8))</f>
        <v>0.66666666666666663</v>
      </c>
      <c r="AL123" s="12">
        <f>IF(IF($D123="Unlabeled-13",MCDM_Settings!$F$9,MCDM_Settings!$D$9)=0,"n.a.",5*COUNTIF(V123:W123,"Y")/IF($D123="Unlabeled-13",MCDM_Settings!$F$9,MCDM_Settings!$D$9))</f>
        <v>0</v>
      </c>
      <c r="AM123" s="12">
        <f>IF(IF($D123="Unlabeled-13",MCDM_Settings!$F$9,MCDM_Settings!$D$9)=0,"n.a.",5*(COUNTIF(V123:W123,"Y")+COUNTIF(V123:W123,"U")+COUNTIF(V123:W123,"X"))/IF($D123="Unlabeled-13",MCDM_Settings!$F$9,MCDM_Settings!$D$9))</f>
        <v>5</v>
      </c>
      <c r="AN123" s="13">
        <f>IF(IF($D123="Unlabeled-13",MCDM_Settings!$F$9,MCDM_Settings!$D$9)=0,"n.a.",(COUNTIF(V123:W123,"Y")+COUNTIF(V123:W123,"N"))/IF($D123="Unlabeled-13",MCDM_Settings!$F$9,MCDM_Settings!$D$9))</f>
        <v>0</v>
      </c>
      <c r="AO123" s="12">
        <f>IF(IF($D123="Unlabeled-13",MCDM_Settings!$F$10,MCDM_Settings!$D$10)=0,"n.a.",5*COUNTIF(X123:Y123,"Y")/IF($D123="Unlabeled-13",MCDM_Settings!$F$10,MCDM_Settings!$D$10))</f>
        <v>5</v>
      </c>
      <c r="AP123" s="12">
        <f>IF(IF($D123="Unlabeled-13",MCDM_Settings!$F$10,MCDM_Settings!$D$10)=0,"n.a.",5*(COUNTIF(X123:Y123,"Y")+COUNTIF(X123:Y123,"U")+COUNTIF(X123:Y123,"X"))/IF($D123="Unlabeled-13",MCDM_Settings!$F$10,MCDM_Settings!$D$10))</f>
        <v>5</v>
      </c>
      <c r="AQ123" s="13">
        <f>IF(IF($D123="Unlabeled-13",MCDM_Settings!$F$10,MCDM_Settings!$D$10)=0,"n.a.",(COUNTIF(X123:Y123,"Y")+COUNTIF(X123:Y123,"N"))/IF($D123="Unlabeled-13",MCDM_Settings!$F$10,MCDM_Settings!$D$10))</f>
        <v>1</v>
      </c>
      <c r="AR123" s="12">
        <f>IF(IF($D123="Unlabeled-13",MCDM_Settings!$F$11,MCDM_Settings!$D$11)=0,"n.a.",5*COUNTIF(Z123:AB123,"Y")/IF($D123="Unlabeled-13",MCDM_Settings!$F$11,MCDM_Settings!$D$11))</f>
        <v>3.3333333333333335</v>
      </c>
      <c r="AS123" s="12">
        <f>IF(IF($D123="Unlabeled-13",MCDM_Settings!$F$11,MCDM_Settings!$D$11)=0,"n.a.",5*(COUNTIF(Z123:AB123,"Y")+COUNTIF(Z123:AB123,"U")+COUNTIF(Z123:AB123,"X"))/IF($D123="Unlabeled-13",MCDM_Settings!$F$11,MCDM_Settings!$D$11))</f>
        <v>5</v>
      </c>
      <c r="AT123" s="13">
        <f>IF(IF($D123="Unlabeled-13",MCDM_Settings!$F$11,MCDM_Settings!$D$11)=0,"n.a.",(COUNTIF(Z123:AB123,"Y")+COUNTIF(Z123:AB123,"N"))/IF($D123="Unlabeled-13",MCDM_Settings!$F$11,MCDM_Settings!$D$11))</f>
        <v>0.66666666666666663</v>
      </c>
      <c r="AU123" s="5" t="str">
        <f>IF(AND(INDEX(Manual_Review!$G$6:$G$238,MATCH(A123,Manual_Review!$A$6:$A$238,0))&lt;&gt;"",ISNUMBER(INDEX(Manual_Review!$H$6:$H$238,MATCH(A123,Manual_Review!$A$6:$A$238,0))),INDEX(Manual_Review!$H$6:$H$238,MATCH(A123,Manual_Review!$A$6:$A$238,0))&gt;0,INDEX(Manual_Review!$I$6:$I$238,MATCH(A123,Manual_Review!$A$6:$A$238,0))="Confirmed",INDEX(Manual_Review!$AF$6:$AF$238,MATCH(A123,Manual_Review!$A$6:$A$238,0))&lt;&gt;""),IF(INDEX(Manual_Review!$AA$6:$AA$238,MATCH(A123,Manual_Review!$A$6:$A$238,0))="Pass","Pass",IF(INDEX(Manual_Review!$AA$6:$AA$238,MATCH(A123,Manual_Review!$A$6:$A$238,0))="Fail","Fail","Pending")),"Pending human identity confirmation")</f>
        <v>Pending human identity confirmation</v>
      </c>
      <c r="AV123" s="5" t="str">
        <f>IF(AND(AND(INDEX(Manual_Review!$G$6:$G$238,MATCH(A123,Manual_Review!$A$6:$A$238,0))&lt;&gt;"",ISNUMBER(INDEX(Manual_Review!$H$6:$H$238,MATCH(A123,Manual_Review!$A$6:$A$238,0))),INDEX(Manual_Review!$H$6:$H$238,MATCH(A123,Manual_Review!$A$6:$A$238,0))&gt;0,INDEX(Manual_Review!$I$6:$I$238,MATCH(A123,Manual_Review!$A$6:$A$238,0))="Confirmed",INDEX(Manual_Review!$AF$6:$AF$238,MATCH(A123,Manual_Review!$A$6:$A$238,0))&lt;&gt;""),INDEX(Manual_Review!$AG$6:$AG$238,MATCH(A123,Manual_Review!$A$6:$A$238,0))&lt;&gt;""),IF(INDEX(Manual_Review!$AB$6:$AB$238,MATCH(A123,Manual_Review!$A$6:$A$238,0))="Pass","Pass",IF(INDEX(Manual_Review!$AB$6:$AB$238,MATCH(A123,Manual_Review!$A$6:$A$238,0))="Fail","Fail","Pending")),"Not assessed: define intended task")</f>
        <v>Not assessed: define intended task</v>
      </c>
      <c r="AW123" s="5" t="str">
        <f>IF(AND(AND(INDEX(Manual_Review!$G$6:$G$238,MATCH(A123,Manual_Review!$A$6:$A$238,0))&lt;&gt;"",ISNUMBER(INDEX(Manual_Review!$H$6:$H$238,MATCH(A123,Manual_Review!$A$6:$A$238,0))),INDEX(Manual_Review!$H$6:$H$238,MATCH(A123,Manual_Review!$A$6:$A$238,0))&gt;0,INDEX(Manual_Review!$I$6:$I$238,MATCH(A123,Manual_Review!$A$6:$A$238,0))="Confirmed",INDEX(Manual_Review!$AF$6:$AF$238,MATCH(A123,Manual_Review!$A$6:$A$238,0))&lt;&gt;""),INDEX(Manual_Review!$AG$6:$AG$238,MATCH(A123,Manual_Review!$A$6:$A$238,0))&lt;&gt;""),IF(OR(INDEX(Manual_Review!$AC$6:$AC$238,MATCH(A123,Manual_Review!$A$6:$A$238,0))="Fail",INDEX(Manual_Review!$AD$6:$AD$238,MATCH(A123,Manual_Review!$A$6:$A$238,0))="Fail"),"Fail: rights or retrieval",IF(AND(INDEX(Manual_Review!$AC$6:$AC$238,MATCH(A123,Manual_Review!$A$6:$A$238,0))="Pass",INDEX(Manual_Review!$AD$6:$AD$238,MATCH(A123,Manual_Review!$A$6:$A$238,0))="Pass"),"Pass","Pending rights and retrieval")),"Pending rights and retrieval")</f>
        <v>Pending rights and retrieval</v>
      </c>
      <c r="AX123" s="5" t="str">
        <f>IF(INDEX(Manual_Review!$AG$6:$AG$238,MATCH(A123,Manual_Review!$A$6:$A$238,0))="","N/A: documentation inventory",IF(AND(INDEX(Manual_Review!$G$6:$G$238,MATCH(A123,Manual_Review!$A$6:$A$238,0))&lt;&gt;"",ISNUMBER(INDEX(Manual_Review!$H$6:$H$238,MATCH(A123,Manual_Review!$A$6:$A$238,0))),INDEX(Manual_Review!$H$6:$H$238,MATCH(A123,Manual_Review!$A$6:$A$238,0))&gt;0,INDEX(Manual_Review!$I$6:$I$238,MATCH(A123,Manual_Review!$A$6:$A$238,0))="Confirmed",INDEX(Manual_Review!$AF$6:$AF$238,MATCH(A123,Manual_Review!$A$6:$A$238,0))&lt;&gt;""),IF(INDEX(Manual_Review!$AE$6:$AE$238,MATCH(A123,Manual_Review!$A$6:$A$238,0))="Pass","Pass",IF(INDEX(Manual_Review!$AE$6:$AE$238,MATCH(A123,Manual_Review!$A$6:$A$238,0))="Fail","Fail: benchmark leakage",IF(INDEX(Manual_Review!$AE$6:$AE$238,MATCH(A123,Manual_Review!$A$6:$A$238,0))="N/A","N/A: nonbenchmark task","Pending task-specific leakage check"))),"Pending task-specific leakage check"))</f>
        <v>N/A: documentation inventory</v>
      </c>
      <c r="AY123" s="5" t="str">
        <f>IF(IF(D123="Unlabeled-13",AND(ABS(MCDM_Settings!$D$14-1)&lt;0.0000001,MIN(MCDM_Settings!$E$6:$E$11)&gt;=0,MCDM_Settings!$E$7=0),AND(ABS(MCDM_Settings!$B$14-1)&lt;0.0000001,MIN(MCDM_Settings!$C$6:$C$11)&gt;=0)),"Valid","Check weights")</f>
        <v>Valid</v>
      </c>
      <c r="AZ123" s="5" t="str">
        <f>IF(AND(COUNTIF(MCDM_Checks!$B$6:$B$3733,A123)=16,COUNTIF(Manual_Review!$A$6:$A$238,A123)=1),"16 keys present","Check key count")</f>
        <v>16 keys present</v>
      </c>
    </row>
    <row r="124" spans="1:52" ht="25.5">
      <c r="A124" s="5" t="s">
        <v>1394</v>
      </c>
      <c r="B124" s="5" t="s">
        <v>1395</v>
      </c>
      <c r="C124" s="5"/>
      <c r="D124" s="5" t="s">
        <v>118</v>
      </c>
      <c r="E124" s="12">
        <f>IF(OR(AY124&lt;&gt;"Valid",AZ124&lt;&gt;"16 keys present"),"Review settings",20*(IF(ISNUMBER(AC124),AC124*IF($D124="Unlabeled-13",MCDM_Settings!$E$6,MCDM_Settings!$C$6),0)+IF(ISNUMBER(AF124),AF124*IF($D124="Unlabeled-13",MCDM_Settings!$E$7,MCDM_Settings!$C$7),0)+IF(ISNUMBER(AI124),AI124*IF($D124="Unlabeled-13",MCDM_Settings!$E$8,MCDM_Settings!$C$8),0)+IF(ISNUMBER(AL124),AL124*IF($D124="Unlabeled-13",MCDM_Settings!$E$9,MCDM_Settings!$C$9),0)+IF(ISNUMBER(AO124),AO124*IF($D124="Unlabeled-13",MCDM_Settings!$E$10,MCDM_Settings!$C$10),0)+IF(ISNUMBER(AR124),AR124*IF($D124="Unlabeled-13",MCDM_Settings!$E$11,MCDM_Settings!$C$11),0)))</f>
        <v>61.111111111111107</v>
      </c>
      <c r="F124" s="12">
        <f>IF(OR(AY124&lt;&gt;"Valid",AZ124&lt;&gt;"16 keys present"),"Review settings",20*(IF(ISNUMBER(AD124),AD124*IF($D124="Unlabeled-13",MCDM_Settings!$E$6,MCDM_Settings!$C$6),0)+IF(ISNUMBER(AG124),AG124*IF($D124="Unlabeled-13",MCDM_Settings!$E$7,MCDM_Settings!$C$7),0)+IF(ISNUMBER(AJ124),AJ124*IF($D124="Unlabeled-13",MCDM_Settings!$E$8,MCDM_Settings!$C$8),0)+IF(ISNUMBER(AM124),AM124*IF($D124="Unlabeled-13",MCDM_Settings!$E$9,MCDM_Settings!$C$9),0)+IF(ISNUMBER(AP124),AP124*IF($D124="Unlabeled-13",MCDM_Settings!$E$10,MCDM_Settings!$C$10),0)+IF(ISNUMBER(AS124),AS124*IF($D124="Unlabeled-13",MCDM_Settings!$E$11,MCDM_Settings!$C$11),0)))</f>
        <v>99.999999999999986</v>
      </c>
      <c r="G124" s="13">
        <f>IF(OR(AY124&lt;&gt;"Valid",AZ124&lt;&gt;"16 keys present"),"Review settings",1*(IF(ISNUMBER(AE124),AE124*IF($D124="Unlabeled-13",MCDM_Settings!$E$6,MCDM_Settings!$C$6),0)+IF(ISNUMBER(AH124),AH124*IF($D124="Unlabeled-13",MCDM_Settings!$E$7,MCDM_Settings!$C$7),0)+IF(ISNUMBER(AK124),AK124*IF($D124="Unlabeled-13",MCDM_Settings!$E$8,MCDM_Settings!$C$8),0)+IF(ISNUMBER(AN124),AN124*IF($D124="Unlabeled-13",MCDM_Settings!$E$9,MCDM_Settings!$C$9),0)+IF(ISNUMBER(AQ124),AQ124*IF($D124="Unlabeled-13",MCDM_Settings!$E$10,MCDM_Settings!$C$10),0)+IF(ISNUMBER(AT124),AT124*IF($D124="Unlabeled-13",MCDM_Settings!$E$11,MCDM_Settings!$C$11),0)))</f>
        <v>0.61111111111111105</v>
      </c>
      <c r="H124" s="5" t="str">
        <f>INDEX(Manual_Review!$AH$6:$AH$238,MATCH(A124,Manual_Review!$A$6:$A$238,0))</f>
        <v>Not started</v>
      </c>
      <c r="I124" s="5" t="s">
        <v>128</v>
      </c>
      <c r="J124" s="5" t="s">
        <v>119</v>
      </c>
      <c r="K124" s="5" t="str">
        <f>HYPERLINK("https://zenodo.org/records/6383044","Dataset")</f>
        <v>Dataset</v>
      </c>
      <c r="L124" s="5" t="str">
        <f>HYPERLINK("#'Manual_Review'!A"&amp;(MATCH("DS-119",Manual_Review!$A$6:$A$238,0)+5),"Enter review")</f>
        <v>Enter review</v>
      </c>
      <c r="M124" s="5" t="str">
        <f>INDEX(MCDM_Checks!$K$6:$K$3733,MATCH(A124&amp;"|"&amp;M$5,MCDM_Checks!$A$6:$A$3733,0))</f>
        <v>Y</v>
      </c>
      <c r="N124" s="5" t="str">
        <f>INDEX(MCDM_Checks!$K$6:$K$3733,MATCH(A124&amp;"|"&amp;N$5,MCDM_Checks!$A$6:$A$3733,0))</f>
        <v>Y</v>
      </c>
      <c r="O124" s="5" t="str">
        <f>INDEX(MCDM_Checks!$K$6:$K$3733,MATCH(A124&amp;"|"&amp;O$5,MCDM_Checks!$A$6:$A$3733,0))</f>
        <v>Y</v>
      </c>
      <c r="P124" s="5" t="str">
        <f>INDEX(MCDM_Checks!$K$6:$K$3733,MATCH(A124&amp;"|"&amp;P$5,MCDM_Checks!$A$6:$A$3733,0))</f>
        <v>Y</v>
      </c>
      <c r="Q124" s="5" t="str">
        <f>INDEX(MCDM_Checks!$K$6:$K$3733,MATCH(A124&amp;"|"&amp;Q$5,MCDM_Checks!$A$6:$A$3733,0))</f>
        <v>U</v>
      </c>
      <c r="R124" s="5" t="str">
        <f>INDEX(MCDM_Checks!$K$6:$K$3733,MATCH(A124&amp;"|"&amp;R$5,MCDM_Checks!$A$6:$A$3733,0))</f>
        <v>U</v>
      </c>
      <c r="S124" s="5" t="str">
        <f>INDEX(MCDM_Checks!$K$6:$K$3733,MATCH(A124&amp;"|"&amp;S$5,MCDM_Checks!$A$6:$A$3733,0))</f>
        <v>U</v>
      </c>
      <c r="T124" s="5" t="str">
        <f>INDEX(MCDM_Checks!$K$6:$K$3733,MATCH(A124&amp;"|"&amp;T$5,MCDM_Checks!$A$6:$A$3733,0))</f>
        <v>Y</v>
      </c>
      <c r="U124" s="5" t="str">
        <f>INDEX(MCDM_Checks!$K$6:$K$3733,MATCH(A124&amp;"|"&amp;U$5,MCDM_Checks!$A$6:$A$3733,0))</f>
        <v>U</v>
      </c>
      <c r="V124" s="5" t="str">
        <f>INDEX(MCDM_Checks!$K$6:$K$3733,MATCH(A124&amp;"|"&amp;V$5,MCDM_Checks!$A$6:$A$3733,0))</f>
        <v>Y</v>
      </c>
      <c r="W124" s="5" t="str">
        <f>INDEX(MCDM_Checks!$K$6:$K$3733,MATCH(A124&amp;"|"&amp;W$5,MCDM_Checks!$A$6:$A$3733,0))</f>
        <v>U</v>
      </c>
      <c r="X124" s="5" t="str">
        <f>INDEX(MCDM_Checks!$K$6:$K$3733,MATCH(A124&amp;"|"&amp;X$5,MCDM_Checks!$A$6:$A$3733,0))</f>
        <v>U</v>
      </c>
      <c r="Y124" s="5" t="str">
        <f>INDEX(MCDM_Checks!$K$6:$K$3733,MATCH(A124&amp;"|"&amp;Y$5,MCDM_Checks!$A$6:$A$3733,0))</f>
        <v>Y</v>
      </c>
      <c r="Z124" s="5" t="str">
        <f>INDEX(MCDM_Checks!$K$6:$K$3733,MATCH(A124&amp;"|"&amp;Z$5,MCDM_Checks!$A$6:$A$3733,0))</f>
        <v>Y</v>
      </c>
      <c r="AA124" s="5" t="str">
        <f>INDEX(MCDM_Checks!$K$6:$K$3733,MATCH(A124&amp;"|"&amp;AA$5,MCDM_Checks!$A$6:$A$3733,0))</f>
        <v>Y</v>
      </c>
      <c r="AB124" s="5" t="str">
        <f>INDEX(MCDM_Checks!$K$6:$K$3733,MATCH(A124&amp;"|"&amp;AB$5,MCDM_Checks!$A$6:$A$3733,0))</f>
        <v>Y</v>
      </c>
      <c r="AC124" s="12">
        <f>IF(IF($D124="Unlabeled-13",MCDM_Settings!$F$6,MCDM_Settings!$D$6)=0,"n.a.",5*COUNTIF(M124:O124,"Y")/IF($D124="Unlabeled-13",MCDM_Settings!$F$6,MCDM_Settings!$D$6))</f>
        <v>5</v>
      </c>
      <c r="AD124" s="12">
        <f>IF(IF($D124="Unlabeled-13",MCDM_Settings!$F$6,MCDM_Settings!$D$6)=0,"n.a.",5*(COUNTIF(M124:O124,"Y")+COUNTIF(M124:O124,"U")+COUNTIF(M124:O124,"X"))/IF($D124="Unlabeled-13",MCDM_Settings!$F$6,MCDM_Settings!$D$6))</f>
        <v>5</v>
      </c>
      <c r="AE124" s="13">
        <f>IF(IF($D124="Unlabeled-13",MCDM_Settings!$F$6,MCDM_Settings!$D$6)=0,"n.a.",(COUNTIF(M124:O124,"Y")+COUNTIF(M124:O124,"N"))/IF($D124="Unlabeled-13",MCDM_Settings!$F$6,MCDM_Settings!$D$6))</f>
        <v>1</v>
      </c>
      <c r="AF124" s="12">
        <f>IF(IF($D124="Unlabeled-13",MCDM_Settings!$F$7,MCDM_Settings!$D$7)=0,"n.a.",5*COUNTIF(P124:R124,"Y")/IF($D124="Unlabeled-13",MCDM_Settings!$F$7,MCDM_Settings!$D$7))</f>
        <v>1.6666666666666667</v>
      </c>
      <c r="AG124" s="12">
        <f>IF(IF($D124="Unlabeled-13",MCDM_Settings!$F$7,MCDM_Settings!$D$7)=0,"n.a.",5*(COUNTIF(P124:R124,"Y")+COUNTIF(P124:R124,"U")+COUNTIF(P124:R124,"X"))/IF($D124="Unlabeled-13",MCDM_Settings!$F$7,MCDM_Settings!$D$7))</f>
        <v>5</v>
      </c>
      <c r="AH124" s="13">
        <f>IF(IF($D124="Unlabeled-13",MCDM_Settings!$F$7,MCDM_Settings!$D$7)=0,"n.a.",(COUNTIF(P124:R124,"Y")+COUNTIF(P124:R124,"N"))/IF($D124="Unlabeled-13",MCDM_Settings!$F$7,MCDM_Settings!$D$7))</f>
        <v>0.33333333333333331</v>
      </c>
      <c r="AI124" s="12">
        <f>IF(IF($D124="Unlabeled-13",MCDM_Settings!$F$8,MCDM_Settings!$D$8)=0,"n.a.",5*COUNTIF(S124:U124,"Y")/IF($D124="Unlabeled-13",MCDM_Settings!$F$8,MCDM_Settings!$D$8))</f>
        <v>1.6666666666666667</v>
      </c>
      <c r="AJ124" s="12">
        <f>IF(IF($D124="Unlabeled-13",MCDM_Settings!$F$8,MCDM_Settings!$D$8)=0,"n.a.",5*(COUNTIF(S124:U124,"Y")+COUNTIF(S124:U124,"U")+COUNTIF(S124:U124,"X"))/IF($D124="Unlabeled-13",MCDM_Settings!$F$8,MCDM_Settings!$D$8))</f>
        <v>5</v>
      </c>
      <c r="AK124" s="13">
        <f>IF(IF($D124="Unlabeled-13",MCDM_Settings!$F$8,MCDM_Settings!$D$8)=0,"n.a.",(COUNTIF(S124:U124,"Y")+COUNTIF(S124:U124,"N"))/IF($D124="Unlabeled-13",MCDM_Settings!$F$8,MCDM_Settings!$D$8))</f>
        <v>0.33333333333333331</v>
      </c>
      <c r="AL124" s="12">
        <f>IF(IF($D124="Unlabeled-13",MCDM_Settings!$F$9,MCDM_Settings!$D$9)=0,"n.a.",5*COUNTIF(V124:W124,"Y")/IF($D124="Unlabeled-13",MCDM_Settings!$F$9,MCDM_Settings!$D$9))</f>
        <v>2.5</v>
      </c>
      <c r="AM124" s="12">
        <f>IF(IF($D124="Unlabeled-13",MCDM_Settings!$F$9,MCDM_Settings!$D$9)=0,"n.a.",5*(COUNTIF(V124:W124,"Y")+COUNTIF(V124:W124,"U")+COUNTIF(V124:W124,"X"))/IF($D124="Unlabeled-13",MCDM_Settings!$F$9,MCDM_Settings!$D$9))</f>
        <v>5</v>
      </c>
      <c r="AN124" s="13">
        <f>IF(IF($D124="Unlabeled-13",MCDM_Settings!$F$9,MCDM_Settings!$D$9)=0,"n.a.",(COUNTIF(V124:W124,"Y")+COUNTIF(V124:W124,"N"))/IF($D124="Unlabeled-13",MCDM_Settings!$F$9,MCDM_Settings!$D$9))</f>
        <v>0.5</v>
      </c>
      <c r="AO124" s="12">
        <f>IF(IF($D124="Unlabeled-13",MCDM_Settings!$F$10,MCDM_Settings!$D$10)=0,"n.a.",5*COUNTIF(X124:Y124,"Y")/IF($D124="Unlabeled-13",MCDM_Settings!$F$10,MCDM_Settings!$D$10))</f>
        <v>2.5</v>
      </c>
      <c r="AP124" s="12">
        <f>IF(IF($D124="Unlabeled-13",MCDM_Settings!$F$10,MCDM_Settings!$D$10)=0,"n.a.",5*(COUNTIF(X124:Y124,"Y")+COUNTIF(X124:Y124,"U")+COUNTIF(X124:Y124,"X"))/IF($D124="Unlabeled-13",MCDM_Settings!$F$10,MCDM_Settings!$D$10))</f>
        <v>5</v>
      </c>
      <c r="AQ124" s="13">
        <f>IF(IF($D124="Unlabeled-13",MCDM_Settings!$F$10,MCDM_Settings!$D$10)=0,"n.a.",(COUNTIF(X124:Y124,"Y")+COUNTIF(X124:Y124,"N"))/IF($D124="Unlabeled-13",MCDM_Settings!$F$10,MCDM_Settings!$D$10))</f>
        <v>0.5</v>
      </c>
      <c r="AR124" s="12">
        <f>IF(IF($D124="Unlabeled-13",MCDM_Settings!$F$11,MCDM_Settings!$D$11)=0,"n.a.",5*COUNTIF(Z124:AB124,"Y")/IF($D124="Unlabeled-13",MCDM_Settings!$F$11,MCDM_Settings!$D$11))</f>
        <v>5</v>
      </c>
      <c r="AS124" s="12">
        <f>IF(IF($D124="Unlabeled-13",MCDM_Settings!$F$11,MCDM_Settings!$D$11)=0,"n.a.",5*(COUNTIF(Z124:AB124,"Y")+COUNTIF(Z124:AB124,"U")+COUNTIF(Z124:AB124,"X"))/IF($D124="Unlabeled-13",MCDM_Settings!$F$11,MCDM_Settings!$D$11))</f>
        <v>5</v>
      </c>
      <c r="AT124" s="13">
        <f>IF(IF($D124="Unlabeled-13",MCDM_Settings!$F$11,MCDM_Settings!$D$11)=0,"n.a.",(COUNTIF(Z124:AB124,"Y")+COUNTIF(Z124:AB124,"N"))/IF($D124="Unlabeled-13",MCDM_Settings!$F$11,MCDM_Settings!$D$11))</f>
        <v>1</v>
      </c>
      <c r="AU124" s="5" t="str">
        <f>IF(AND(INDEX(Manual_Review!$G$6:$G$238,MATCH(A124,Manual_Review!$A$6:$A$238,0))&lt;&gt;"",ISNUMBER(INDEX(Manual_Review!$H$6:$H$238,MATCH(A124,Manual_Review!$A$6:$A$238,0))),INDEX(Manual_Review!$H$6:$H$238,MATCH(A124,Manual_Review!$A$6:$A$238,0))&gt;0,INDEX(Manual_Review!$I$6:$I$238,MATCH(A124,Manual_Review!$A$6:$A$238,0))="Confirmed",INDEX(Manual_Review!$AF$6:$AF$238,MATCH(A124,Manual_Review!$A$6:$A$238,0))&lt;&gt;""),IF(INDEX(Manual_Review!$AA$6:$AA$238,MATCH(A124,Manual_Review!$A$6:$A$238,0))="Pass","Pass",IF(INDEX(Manual_Review!$AA$6:$AA$238,MATCH(A124,Manual_Review!$A$6:$A$238,0))="Fail","Fail","Pending")),"Pending human identity confirmation")</f>
        <v>Pending human identity confirmation</v>
      </c>
      <c r="AV124" s="5" t="str">
        <f>IF(AND(AND(INDEX(Manual_Review!$G$6:$G$238,MATCH(A124,Manual_Review!$A$6:$A$238,0))&lt;&gt;"",ISNUMBER(INDEX(Manual_Review!$H$6:$H$238,MATCH(A124,Manual_Review!$A$6:$A$238,0))),INDEX(Manual_Review!$H$6:$H$238,MATCH(A124,Manual_Review!$A$6:$A$238,0))&gt;0,INDEX(Manual_Review!$I$6:$I$238,MATCH(A124,Manual_Review!$A$6:$A$238,0))="Confirmed",INDEX(Manual_Review!$AF$6:$AF$238,MATCH(A124,Manual_Review!$A$6:$A$238,0))&lt;&gt;""),INDEX(Manual_Review!$AG$6:$AG$238,MATCH(A124,Manual_Review!$A$6:$A$238,0))&lt;&gt;""),IF(INDEX(Manual_Review!$AB$6:$AB$238,MATCH(A124,Manual_Review!$A$6:$A$238,0))="Pass","Pass",IF(INDEX(Manual_Review!$AB$6:$AB$238,MATCH(A124,Manual_Review!$A$6:$A$238,0))="Fail","Fail","Pending")),"Not assessed: define intended task")</f>
        <v>Not assessed: define intended task</v>
      </c>
      <c r="AW124" s="5" t="str">
        <f>IF(AND(AND(INDEX(Manual_Review!$G$6:$G$238,MATCH(A124,Manual_Review!$A$6:$A$238,0))&lt;&gt;"",ISNUMBER(INDEX(Manual_Review!$H$6:$H$238,MATCH(A124,Manual_Review!$A$6:$A$238,0))),INDEX(Manual_Review!$H$6:$H$238,MATCH(A124,Manual_Review!$A$6:$A$238,0))&gt;0,INDEX(Manual_Review!$I$6:$I$238,MATCH(A124,Manual_Review!$A$6:$A$238,0))="Confirmed",INDEX(Manual_Review!$AF$6:$AF$238,MATCH(A124,Manual_Review!$A$6:$A$238,0))&lt;&gt;""),INDEX(Manual_Review!$AG$6:$AG$238,MATCH(A124,Manual_Review!$A$6:$A$238,0))&lt;&gt;""),IF(OR(INDEX(Manual_Review!$AC$6:$AC$238,MATCH(A124,Manual_Review!$A$6:$A$238,0))="Fail",INDEX(Manual_Review!$AD$6:$AD$238,MATCH(A124,Manual_Review!$A$6:$A$238,0))="Fail"),"Fail: rights or retrieval",IF(AND(INDEX(Manual_Review!$AC$6:$AC$238,MATCH(A124,Manual_Review!$A$6:$A$238,0))="Pass",INDEX(Manual_Review!$AD$6:$AD$238,MATCH(A124,Manual_Review!$A$6:$A$238,0))="Pass"),"Pass","Pending rights and retrieval")),"Pending rights and retrieval")</f>
        <v>Pending rights and retrieval</v>
      </c>
      <c r="AX124" s="5" t="str">
        <f>IF(INDEX(Manual_Review!$AG$6:$AG$238,MATCH(A124,Manual_Review!$A$6:$A$238,0))="","N/A: documentation inventory",IF(AND(INDEX(Manual_Review!$G$6:$G$238,MATCH(A124,Manual_Review!$A$6:$A$238,0))&lt;&gt;"",ISNUMBER(INDEX(Manual_Review!$H$6:$H$238,MATCH(A124,Manual_Review!$A$6:$A$238,0))),INDEX(Manual_Review!$H$6:$H$238,MATCH(A124,Manual_Review!$A$6:$A$238,0))&gt;0,INDEX(Manual_Review!$I$6:$I$238,MATCH(A124,Manual_Review!$A$6:$A$238,0))="Confirmed",INDEX(Manual_Review!$AF$6:$AF$238,MATCH(A124,Manual_Review!$A$6:$A$238,0))&lt;&gt;""),IF(INDEX(Manual_Review!$AE$6:$AE$238,MATCH(A124,Manual_Review!$A$6:$A$238,0))="Pass","Pass",IF(INDEX(Manual_Review!$AE$6:$AE$238,MATCH(A124,Manual_Review!$A$6:$A$238,0))="Fail","Fail: benchmark leakage",IF(INDEX(Manual_Review!$AE$6:$AE$238,MATCH(A124,Manual_Review!$A$6:$A$238,0))="N/A","N/A: nonbenchmark task","Pending task-specific leakage check"))),"Pending task-specific leakage check"))</f>
        <v>N/A: documentation inventory</v>
      </c>
      <c r="AY124" s="5" t="str">
        <f>IF(IF(D124="Unlabeled-13",AND(ABS(MCDM_Settings!$D$14-1)&lt;0.0000001,MIN(MCDM_Settings!$E$6:$E$11)&gt;=0,MCDM_Settings!$E$7=0),AND(ABS(MCDM_Settings!$B$14-1)&lt;0.0000001,MIN(MCDM_Settings!$C$6:$C$11)&gt;=0)),"Valid","Check weights")</f>
        <v>Valid</v>
      </c>
      <c r="AZ124" s="5" t="str">
        <f>IF(AND(COUNTIF(MCDM_Checks!$B$6:$B$3733,A124)=16,COUNTIF(Manual_Review!$A$6:$A$238,A124)=1),"16 keys present","Check key count")</f>
        <v>16 keys present</v>
      </c>
    </row>
    <row r="125" spans="1:52" ht="38.25">
      <c r="A125" s="5" t="s">
        <v>1405</v>
      </c>
      <c r="B125" s="5" t="s">
        <v>1406</v>
      </c>
      <c r="C125" s="5"/>
      <c r="D125" s="5" t="s">
        <v>118</v>
      </c>
      <c r="E125" s="12">
        <f>IF(OR(AY125&lt;&gt;"Valid",AZ125&lt;&gt;"16 keys present"),"Review settings",20*(IF(ISNUMBER(AC125),AC125*IF($D125="Unlabeled-13",MCDM_Settings!$E$6,MCDM_Settings!$C$6),0)+IF(ISNUMBER(AF125),AF125*IF($D125="Unlabeled-13",MCDM_Settings!$E$7,MCDM_Settings!$C$7),0)+IF(ISNUMBER(AI125),AI125*IF($D125="Unlabeled-13",MCDM_Settings!$E$8,MCDM_Settings!$C$8),0)+IF(ISNUMBER(AL125),AL125*IF($D125="Unlabeled-13",MCDM_Settings!$E$9,MCDM_Settings!$C$9),0)+IF(ISNUMBER(AO125),AO125*IF($D125="Unlabeled-13",MCDM_Settings!$E$10,MCDM_Settings!$C$10),0)+IF(ISNUMBER(AR125),AR125*IF($D125="Unlabeled-13",MCDM_Settings!$E$11,MCDM_Settings!$C$11),0)))</f>
        <v>0</v>
      </c>
      <c r="F125" s="12">
        <f>IF(OR(AY125&lt;&gt;"Valid",AZ125&lt;&gt;"16 keys present"),"Review settings",20*(IF(ISNUMBER(AD125),AD125*IF($D125="Unlabeled-13",MCDM_Settings!$E$6,MCDM_Settings!$C$6),0)+IF(ISNUMBER(AG125),AG125*IF($D125="Unlabeled-13",MCDM_Settings!$E$7,MCDM_Settings!$C$7),0)+IF(ISNUMBER(AJ125),AJ125*IF($D125="Unlabeled-13",MCDM_Settings!$E$8,MCDM_Settings!$C$8),0)+IF(ISNUMBER(AM125),AM125*IF($D125="Unlabeled-13",MCDM_Settings!$E$9,MCDM_Settings!$C$9),0)+IF(ISNUMBER(AP125),AP125*IF($D125="Unlabeled-13",MCDM_Settings!$E$10,MCDM_Settings!$C$10),0)+IF(ISNUMBER(AS125),AS125*IF($D125="Unlabeled-13",MCDM_Settings!$E$11,MCDM_Settings!$C$11),0)))</f>
        <v>99.999999999999986</v>
      </c>
      <c r="G125" s="13">
        <f>IF(OR(AY125&lt;&gt;"Valid",AZ125&lt;&gt;"16 keys present"),"Review settings",1*(IF(ISNUMBER(AE125),AE125*IF($D125="Unlabeled-13",MCDM_Settings!$E$6,MCDM_Settings!$C$6),0)+IF(ISNUMBER(AH125),AH125*IF($D125="Unlabeled-13",MCDM_Settings!$E$7,MCDM_Settings!$C$7),0)+IF(ISNUMBER(AK125),AK125*IF($D125="Unlabeled-13",MCDM_Settings!$E$8,MCDM_Settings!$C$8),0)+IF(ISNUMBER(AN125),AN125*IF($D125="Unlabeled-13",MCDM_Settings!$E$9,MCDM_Settings!$C$9),0)+IF(ISNUMBER(AQ125),AQ125*IF($D125="Unlabeled-13",MCDM_Settings!$E$10,MCDM_Settings!$C$10),0)+IF(ISNUMBER(AT125),AT125*IF($D125="Unlabeled-13",MCDM_Settings!$E$11,MCDM_Settings!$C$11),0)))</f>
        <v>0</v>
      </c>
      <c r="H125" s="5" t="str">
        <f>INDEX(Manual_Review!$AH$6:$AH$238,MATCH(A125,Manual_Review!$A$6:$A$238,0))</f>
        <v>Not started</v>
      </c>
      <c r="I125" s="5" t="s">
        <v>128</v>
      </c>
      <c r="J125" s="5" t="s">
        <v>1407</v>
      </c>
      <c r="K125" s="5" t="str">
        <f>HYPERLINK("https://zenodo.org/records/20727180","Dataset")</f>
        <v>Dataset</v>
      </c>
      <c r="L125" s="5" t="str">
        <f>HYPERLINK("#'Manual_Review'!A"&amp;(MATCH("DS-120",Manual_Review!$A$6:$A$238,0)+5),"Enter review")</f>
        <v>Enter review</v>
      </c>
      <c r="M125" s="5" t="str">
        <f>INDEX(MCDM_Checks!$K$6:$K$3733,MATCH(A125&amp;"|"&amp;M$5,MCDM_Checks!$A$6:$A$3733,0))</f>
        <v>U</v>
      </c>
      <c r="N125" s="5" t="str">
        <f>INDEX(MCDM_Checks!$K$6:$K$3733,MATCH(A125&amp;"|"&amp;N$5,MCDM_Checks!$A$6:$A$3733,0))</f>
        <v>U</v>
      </c>
      <c r="O125" s="5" t="str">
        <f>INDEX(MCDM_Checks!$K$6:$K$3733,MATCH(A125&amp;"|"&amp;O$5,MCDM_Checks!$A$6:$A$3733,0))</f>
        <v>U</v>
      </c>
      <c r="P125" s="5" t="str">
        <f>INDEX(MCDM_Checks!$K$6:$K$3733,MATCH(A125&amp;"|"&amp;P$5,MCDM_Checks!$A$6:$A$3733,0))</f>
        <v>U</v>
      </c>
      <c r="Q125" s="5" t="str">
        <f>INDEX(MCDM_Checks!$K$6:$K$3733,MATCH(A125&amp;"|"&amp;Q$5,MCDM_Checks!$A$6:$A$3733,0))</f>
        <v>U</v>
      </c>
      <c r="R125" s="5" t="str">
        <f>INDEX(MCDM_Checks!$K$6:$K$3733,MATCH(A125&amp;"|"&amp;R$5,MCDM_Checks!$A$6:$A$3733,0))</f>
        <v>U</v>
      </c>
      <c r="S125" s="5" t="str">
        <f>INDEX(MCDM_Checks!$K$6:$K$3733,MATCH(A125&amp;"|"&amp;S$5,MCDM_Checks!$A$6:$A$3733,0))</f>
        <v>U</v>
      </c>
      <c r="T125" s="5" t="str">
        <f>INDEX(MCDM_Checks!$K$6:$K$3733,MATCH(A125&amp;"|"&amp;T$5,MCDM_Checks!$A$6:$A$3733,0))</f>
        <v>U</v>
      </c>
      <c r="U125" s="5" t="str">
        <f>INDEX(MCDM_Checks!$K$6:$K$3733,MATCH(A125&amp;"|"&amp;U$5,MCDM_Checks!$A$6:$A$3733,0))</f>
        <v>U</v>
      </c>
      <c r="V125" s="5" t="str">
        <f>INDEX(MCDM_Checks!$K$6:$K$3733,MATCH(A125&amp;"|"&amp;V$5,MCDM_Checks!$A$6:$A$3733,0))</f>
        <v>U</v>
      </c>
      <c r="W125" s="5" t="str">
        <f>INDEX(MCDM_Checks!$K$6:$K$3733,MATCH(A125&amp;"|"&amp;W$5,MCDM_Checks!$A$6:$A$3733,0))</f>
        <v>U</v>
      </c>
      <c r="X125" s="5" t="str">
        <f>INDEX(MCDM_Checks!$K$6:$K$3733,MATCH(A125&amp;"|"&amp;X$5,MCDM_Checks!$A$6:$A$3733,0))</f>
        <v>U</v>
      </c>
      <c r="Y125" s="5" t="str">
        <f>INDEX(MCDM_Checks!$K$6:$K$3733,MATCH(A125&amp;"|"&amp;Y$5,MCDM_Checks!$A$6:$A$3733,0))</f>
        <v>U</v>
      </c>
      <c r="Z125" s="5" t="str">
        <f>INDEX(MCDM_Checks!$K$6:$K$3733,MATCH(A125&amp;"|"&amp;Z$5,MCDM_Checks!$A$6:$A$3733,0))</f>
        <v>U</v>
      </c>
      <c r="AA125" s="5" t="str">
        <f>INDEX(MCDM_Checks!$K$6:$K$3733,MATCH(A125&amp;"|"&amp;AA$5,MCDM_Checks!$A$6:$A$3733,0))</f>
        <v>U</v>
      </c>
      <c r="AB125" s="5" t="str">
        <f>INDEX(MCDM_Checks!$K$6:$K$3733,MATCH(A125&amp;"|"&amp;AB$5,MCDM_Checks!$A$6:$A$3733,0))</f>
        <v>U</v>
      </c>
      <c r="AC125" s="12">
        <f>IF(IF($D125="Unlabeled-13",MCDM_Settings!$F$6,MCDM_Settings!$D$6)=0,"n.a.",5*COUNTIF(M125:O125,"Y")/IF($D125="Unlabeled-13",MCDM_Settings!$F$6,MCDM_Settings!$D$6))</f>
        <v>0</v>
      </c>
      <c r="AD125" s="12">
        <f>IF(IF($D125="Unlabeled-13",MCDM_Settings!$F$6,MCDM_Settings!$D$6)=0,"n.a.",5*(COUNTIF(M125:O125,"Y")+COUNTIF(M125:O125,"U")+COUNTIF(M125:O125,"X"))/IF($D125="Unlabeled-13",MCDM_Settings!$F$6,MCDM_Settings!$D$6))</f>
        <v>5</v>
      </c>
      <c r="AE125" s="13">
        <f>IF(IF($D125="Unlabeled-13",MCDM_Settings!$F$6,MCDM_Settings!$D$6)=0,"n.a.",(COUNTIF(M125:O125,"Y")+COUNTIF(M125:O125,"N"))/IF($D125="Unlabeled-13",MCDM_Settings!$F$6,MCDM_Settings!$D$6))</f>
        <v>0</v>
      </c>
      <c r="AF125" s="12">
        <f>IF(IF($D125="Unlabeled-13",MCDM_Settings!$F$7,MCDM_Settings!$D$7)=0,"n.a.",5*COUNTIF(P125:R125,"Y")/IF($D125="Unlabeled-13",MCDM_Settings!$F$7,MCDM_Settings!$D$7))</f>
        <v>0</v>
      </c>
      <c r="AG125" s="12">
        <f>IF(IF($D125="Unlabeled-13",MCDM_Settings!$F$7,MCDM_Settings!$D$7)=0,"n.a.",5*(COUNTIF(P125:R125,"Y")+COUNTIF(P125:R125,"U")+COUNTIF(P125:R125,"X"))/IF($D125="Unlabeled-13",MCDM_Settings!$F$7,MCDM_Settings!$D$7))</f>
        <v>5</v>
      </c>
      <c r="AH125" s="13">
        <f>IF(IF($D125="Unlabeled-13",MCDM_Settings!$F$7,MCDM_Settings!$D$7)=0,"n.a.",(COUNTIF(P125:R125,"Y")+COUNTIF(P125:R125,"N"))/IF($D125="Unlabeled-13",MCDM_Settings!$F$7,MCDM_Settings!$D$7))</f>
        <v>0</v>
      </c>
      <c r="AI125" s="12">
        <f>IF(IF($D125="Unlabeled-13",MCDM_Settings!$F$8,MCDM_Settings!$D$8)=0,"n.a.",5*COUNTIF(S125:U125,"Y")/IF($D125="Unlabeled-13",MCDM_Settings!$F$8,MCDM_Settings!$D$8))</f>
        <v>0</v>
      </c>
      <c r="AJ125" s="12">
        <f>IF(IF($D125="Unlabeled-13",MCDM_Settings!$F$8,MCDM_Settings!$D$8)=0,"n.a.",5*(COUNTIF(S125:U125,"Y")+COUNTIF(S125:U125,"U")+COUNTIF(S125:U125,"X"))/IF($D125="Unlabeled-13",MCDM_Settings!$F$8,MCDM_Settings!$D$8))</f>
        <v>5</v>
      </c>
      <c r="AK125" s="13">
        <f>IF(IF($D125="Unlabeled-13",MCDM_Settings!$F$8,MCDM_Settings!$D$8)=0,"n.a.",(COUNTIF(S125:U125,"Y")+COUNTIF(S125:U125,"N"))/IF($D125="Unlabeled-13",MCDM_Settings!$F$8,MCDM_Settings!$D$8))</f>
        <v>0</v>
      </c>
      <c r="AL125" s="12">
        <f>IF(IF($D125="Unlabeled-13",MCDM_Settings!$F$9,MCDM_Settings!$D$9)=0,"n.a.",5*COUNTIF(V125:W125,"Y")/IF($D125="Unlabeled-13",MCDM_Settings!$F$9,MCDM_Settings!$D$9))</f>
        <v>0</v>
      </c>
      <c r="AM125" s="12">
        <f>IF(IF($D125="Unlabeled-13",MCDM_Settings!$F$9,MCDM_Settings!$D$9)=0,"n.a.",5*(COUNTIF(V125:W125,"Y")+COUNTIF(V125:W125,"U")+COUNTIF(V125:W125,"X"))/IF($D125="Unlabeled-13",MCDM_Settings!$F$9,MCDM_Settings!$D$9))</f>
        <v>5</v>
      </c>
      <c r="AN125" s="13">
        <f>IF(IF($D125="Unlabeled-13",MCDM_Settings!$F$9,MCDM_Settings!$D$9)=0,"n.a.",(COUNTIF(V125:W125,"Y")+COUNTIF(V125:W125,"N"))/IF($D125="Unlabeled-13",MCDM_Settings!$F$9,MCDM_Settings!$D$9))</f>
        <v>0</v>
      </c>
      <c r="AO125" s="12">
        <f>IF(IF($D125="Unlabeled-13",MCDM_Settings!$F$10,MCDM_Settings!$D$10)=0,"n.a.",5*COUNTIF(X125:Y125,"Y")/IF($D125="Unlabeled-13",MCDM_Settings!$F$10,MCDM_Settings!$D$10))</f>
        <v>0</v>
      </c>
      <c r="AP125" s="12">
        <f>IF(IF($D125="Unlabeled-13",MCDM_Settings!$F$10,MCDM_Settings!$D$10)=0,"n.a.",5*(COUNTIF(X125:Y125,"Y")+COUNTIF(X125:Y125,"U")+COUNTIF(X125:Y125,"X"))/IF($D125="Unlabeled-13",MCDM_Settings!$F$10,MCDM_Settings!$D$10))</f>
        <v>5</v>
      </c>
      <c r="AQ125" s="13">
        <f>IF(IF($D125="Unlabeled-13",MCDM_Settings!$F$10,MCDM_Settings!$D$10)=0,"n.a.",(COUNTIF(X125:Y125,"Y")+COUNTIF(X125:Y125,"N"))/IF($D125="Unlabeled-13",MCDM_Settings!$F$10,MCDM_Settings!$D$10))</f>
        <v>0</v>
      </c>
      <c r="AR125" s="12">
        <f>IF(IF($D125="Unlabeled-13",MCDM_Settings!$F$11,MCDM_Settings!$D$11)=0,"n.a.",5*COUNTIF(Z125:AB125,"Y")/IF($D125="Unlabeled-13",MCDM_Settings!$F$11,MCDM_Settings!$D$11))</f>
        <v>0</v>
      </c>
      <c r="AS125" s="12">
        <f>IF(IF($D125="Unlabeled-13",MCDM_Settings!$F$11,MCDM_Settings!$D$11)=0,"n.a.",5*(COUNTIF(Z125:AB125,"Y")+COUNTIF(Z125:AB125,"U")+COUNTIF(Z125:AB125,"X"))/IF($D125="Unlabeled-13",MCDM_Settings!$F$11,MCDM_Settings!$D$11))</f>
        <v>5</v>
      </c>
      <c r="AT125" s="13">
        <f>IF(IF($D125="Unlabeled-13",MCDM_Settings!$F$11,MCDM_Settings!$D$11)=0,"n.a.",(COUNTIF(Z125:AB125,"Y")+COUNTIF(Z125:AB125,"N"))/IF($D125="Unlabeled-13",MCDM_Settings!$F$11,MCDM_Settings!$D$11))</f>
        <v>0</v>
      </c>
      <c r="AU125" s="5" t="str">
        <f>IF(AND(INDEX(Manual_Review!$G$6:$G$238,MATCH(A125,Manual_Review!$A$6:$A$238,0))&lt;&gt;"",ISNUMBER(INDEX(Manual_Review!$H$6:$H$238,MATCH(A125,Manual_Review!$A$6:$A$238,0))),INDEX(Manual_Review!$H$6:$H$238,MATCH(A125,Manual_Review!$A$6:$A$238,0))&gt;0,INDEX(Manual_Review!$I$6:$I$238,MATCH(A125,Manual_Review!$A$6:$A$238,0))="Confirmed",INDEX(Manual_Review!$AF$6:$AF$238,MATCH(A125,Manual_Review!$A$6:$A$238,0))&lt;&gt;""),IF(INDEX(Manual_Review!$AA$6:$AA$238,MATCH(A125,Manual_Review!$A$6:$A$238,0))="Pass","Pass",IF(INDEX(Manual_Review!$AA$6:$AA$238,MATCH(A125,Manual_Review!$A$6:$A$238,0))="Fail","Fail","Pending")),"Pending human identity confirmation")</f>
        <v>Pending human identity confirmation</v>
      </c>
      <c r="AV125" s="5" t="str">
        <f>IF(AND(AND(INDEX(Manual_Review!$G$6:$G$238,MATCH(A125,Manual_Review!$A$6:$A$238,0))&lt;&gt;"",ISNUMBER(INDEX(Manual_Review!$H$6:$H$238,MATCH(A125,Manual_Review!$A$6:$A$238,0))),INDEX(Manual_Review!$H$6:$H$238,MATCH(A125,Manual_Review!$A$6:$A$238,0))&gt;0,INDEX(Manual_Review!$I$6:$I$238,MATCH(A125,Manual_Review!$A$6:$A$238,0))="Confirmed",INDEX(Manual_Review!$AF$6:$AF$238,MATCH(A125,Manual_Review!$A$6:$A$238,0))&lt;&gt;""),INDEX(Manual_Review!$AG$6:$AG$238,MATCH(A125,Manual_Review!$A$6:$A$238,0))&lt;&gt;""),IF(INDEX(Manual_Review!$AB$6:$AB$238,MATCH(A125,Manual_Review!$A$6:$A$238,0))="Pass","Pass",IF(INDEX(Manual_Review!$AB$6:$AB$238,MATCH(A125,Manual_Review!$A$6:$A$238,0))="Fail","Fail","Pending")),"Not assessed: define intended task")</f>
        <v>Not assessed: define intended task</v>
      </c>
      <c r="AW125" s="5" t="str">
        <f>IF(AND(AND(INDEX(Manual_Review!$G$6:$G$238,MATCH(A125,Manual_Review!$A$6:$A$238,0))&lt;&gt;"",ISNUMBER(INDEX(Manual_Review!$H$6:$H$238,MATCH(A125,Manual_Review!$A$6:$A$238,0))),INDEX(Manual_Review!$H$6:$H$238,MATCH(A125,Manual_Review!$A$6:$A$238,0))&gt;0,INDEX(Manual_Review!$I$6:$I$238,MATCH(A125,Manual_Review!$A$6:$A$238,0))="Confirmed",INDEX(Manual_Review!$AF$6:$AF$238,MATCH(A125,Manual_Review!$A$6:$A$238,0))&lt;&gt;""),INDEX(Manual_Review!$AG$6:$AG$238,MATCH(A125,Manual_Review!$A$6:$A$238,0))&lt;&gt;""),IF(OR(INDEX(Manual_Review!$AC$6:$AC$238,MATCH(A125,Manual_Review!$A$6:$A$238,0))="Fail",INDEX(Manual_Review!$AD$6:$AD$238,MATCH(A125,Manual_Review!$A$6:$A$238,0))="Fail"),"Fail: rights or retrieval",IF(AND(INDEX(Manual_Review!$AC$6:$AC$238,MATCH(A125,Manual_Review!$A$6:$A$238,0))="Pass",INDEX(Manual_Review!$AD$6:$AD$238,MATCH(A125,Manual_Review!$A$6:$A$238,0))="Pass"),"Pass","Pending rights and retrieval")),"Pending rights and retrieval")</f>
        <v>Pending rights and retrieval</v>
      </c>
      <c r="AX125" s="5" t="str">
        <f>IF(INDEX(Manual_Review!$AG$6:$AG$238,MATCH(A125,Manual_Review!$A$6:$A$238,0))="","N/A: documentation inventory",IF(AND(INDEX(Manual_Review!$G$6:$G$238,MATCH(A125,Manual_Review!$A$6:$A$238,0))&lt;&gt;"",ISNUMBER(INDEX(Manual_Review!$H$6:$H$238,MATCH(A125,Manual_Review!$A$6:$A$238,0))),INDEX(Manual_Review!$H$6:$H$238,MATCH(A125,Manual_Review!$A$6:$A$238,0))&gt;0,INDEX(Manual_Review!$I$6:$I$238,MATCH(A125,Manual_Review!$A$6:$A$238,0))="Confirmed",INDEX(Manual_Review!$AF$6:$AF$238,MATCH(A125,Manual_Review!$A$6:$A$238,0))&lt;&gt;""),IF(INDEX(Manual_Review!$AE$6:$AE$238,MATCH(A125,Manual_Review!$A$6:$A$238,0))="Pass","Pass",IF(INDEX(Manual_Review!$AE$6:$AE$238,MATCH(A125,Manual_Review!$A$6:$A$238,0))="Fail","Fail: benchmark leakage",IF(INDEX(Manual_Review!$AE$6:$AE$238,MATCH(A125,Manual_Review!$A$6:$A$238,0))="N/A","N/A: nonbenchmark task","Pending task-specific leakage check"))),"Pending task-specific leakage check"))</f>
        <v>N/A: documentation inventory</v>
      </c>
      <c r="AY125" s="5" t="str">
        <f>IF(IF(D125="Unlabeled-13",AND(ABS(MCDM_Settings!$D$14-1)&lt;0.0000001,MIN(MCDM_Settings!$E$6:$E$11)&gt;=0,MCDM_Settings!$E$7=0),AND(ABS(MCDM_Settings!$B$14-1)&lt;0.0000001,MIN(MCDM_Settings!$C$6:$C$11)&gt;=0)),"Valid","Check weights")</f>
        <v>Valid</v>
      </c>
      <c r="AZ125" s="5" t="str">
        <f>IF(AND(COUNTIF(MCDM_Checks!$B$6:$B$3733,A125)=16,COUNTIF(Manual_Review!$A$6:$A$238,A125)=1),"16 keys present","Check key count")</f>
        <v>16 keys present</v>
      </c>
    </row>
    <row r="126" spans="1:52">
      <c r="A126" s="5" t="s">
        <v>1416</v>
      </c>
      <c r="B126" s="5" t="s">
        <v>1417</v>
      </c>
      <c r="C126" s="5"/>
      <c r="D126" s="5" t="s">
        <v>118</v>
      </c>
      <c r="E126" s="12">
        <f>IF(OR(AY126&lt;&gt;"Valid",AZ126&lt;&gt;"16 keys present"),"Review settings",20*(IF(ISNUMBER(AC126),AC126*IF($D126="Unlabeled-13",MCDM_Settings!$E$6,MCDM_Settings!$C$6),0)+IF(ISNUMBER(AF126),AF126*IF($D126="Unlabeled-13",MCDM_Settings!$E$7,MCDM_Settings!$C$7),0)+IF(ISNUMBER(AI126),AI126*IF($D126="Unlabeled-13",MCDM_Settings!$E$8,MCDM_Settings!$C$8),0)+IF(ISNUMBER(AL126),AL126*IF($D126="Unlabeled-13",MCDM_Settings!$E$9,MCDM_Settings!$C$9),0)+IF(ISNUMBER(AO126),AO126*IF($D126="Unlabeled-13",MCDM_Settings!$E$10,MCDM_Settings!$C$10),0)+IF(ISNUMBER(AR126),AR126*IF($D126="Unlabeled-13",MCDM_Settings!$E$11,MCDM_Settings!$C$11),0)))</f>
        <v>49.999999999999993</v>
      </c>
      <c r="F126" s="12">
        <f>IF(OR(AY126&lt;&gt;"Valid",AZ126&lt;&gt;"16 keys present"),"Review settings",20*(IF(ISNUMBER(AD126),AD126*IF($D126="Unlabeled-13",MCDM_Settings!$E$6,MCDM_Settings!$C$6),0)+IF(ISNUMBER(AG126),AG126*IF($D126="Unlabeled-13",MCDM_Settings!$E$7,MCDM_Settings!$C$7),0)+IF(ISNUMBER(AJ126),AJ126*IF($D126="Unlabeled-13",MCDM_Settings!$E$8,MCDM_Settings!$C$8),0)+IF(ISNUMBER(AM126),AM126*IF($D126="Unlabeled-13",MCDM_Settings!$E$9,MCDM_Settings!$C$9),0)+IF(ISNUMBER(AP126),AP126*IF($D126="Unlabeled-13",MCDM_Settings!$E$10,MCDM_Settings!$C$10),0)+IF(ISNUMBER(AS126),AS126*IF($D126="Unlabeled-13",MCDM_Settings!$E$11,MCDM_Settings!$C$11),0)))</f>
        <v>99.999999999999986</v>
      </c>
      <c r="G126" s="13">
        <f>IF(OR(AY126&lt;&gt;"Valid",AZ126&lt;&gt;"16 keys present"),"Review settings",1*(IF(ISNUMBER(AE126),AE126*IF($D126="Unlabeled-13",MCDM_Settings!$E$6,MCDM_Settings!$C$6),0)+IF(ISNUMBER(AH126),AH126*IF($D126="Unlabeled-13",MCDM_Settings!$E$7,MCDM_Settings!$C$7),0)+IF(ISNUMBER(AK126),AK126*IF($D126="Unlabeled-13",MCDM_Settings!$E$8,MCDM_Settings!$C$8),0)+IF(ISNUMBER(AN126),AN126*IF($D126="Unlabeled-13",MCDM_Settings!$E$9,MCDM_Settings!$C$9),0)+IF(ISNUMBER(AQ126),AQ126*IF($D126="Unlabeled-13",MCDM_Settings!$E$10,MCDM_Settings!$C$10),0)+IF(ISNUMBER(AT126),AT126*IF($D126="Unlabeled-13",MCDM_Settings!$E$11,MCDM_Settings!$C$11),0)))</f>
        <v>0.5</v>
      </c>
      <c r="H126" s="5" t="str">
        <f>INDEX(Manual_Review!$AH$6:$AH$238,MATCH(A126,Manual_Review!$A$6:$A$238,0))</f>
        <v>Not started</v>
      </c>
      <c r="I126" s="5" t="s">
        <v>128</v>
      </c>
      <c r="J126" s="5" t="s">
        <v>1407</v>
      </c>
      <c r="K126" s="5" t="str">
        <f>HYPERLINK("https://zenodo.org/records/21370736","Dataset")</f>
        <v>Dataset</v>
      </c>
      <c r="L126" s="5" t="str">
        <f>HYPERLINK("#'Manual_Review'!A"&amp;(MATCH("DS-121",Manual_Review!$A$6:$A$238,0)+5),"Enter review")</f>
        <v>Enter review</v>
      </c>
      <c r="M126" s="5" t="str">
        <f>INDEX(MCDM_Checks!$K$6:$K$3733,MATCH(A126&amp;"|"&amp;M$5,MCDM_Checks!$A$6:$A$3733,0))</f>
        <v>Y</v>
      </c>
      <c r="N126" s="5" t="str">
        <f>INDEX(MCDM_Checks!$K$6:$K$3733,MATCH(A126&amp;"|"&amp;N$5,MCDM_Checks!$A$6:$A$3733,0))</f>
        <v>Y</v>
      </c>
      <c r="O126" s="5" t="str">
        <f>INDEX(MCDM_Checks!$K$6:$K$3733,MATCH(A126&amp;"|"&amp;O$5,MCDM_Checks!$A$6:$A$3733,0))</f>
        <v>Y</v>
      </c>
      <c r="P126" s="5" t="str">
        <f>INDEX(MCDM_Checks!$K$6:$K$3733,MATCH(A126&amp;"|"&amp;P$5,MCDM_Checks!$A$6:$A$3733,0))</f>
        <v>U</v>
      </c>
      <c r="Q126" s="5" t="str">
        <f>INDEX(MCDM_Checks!$K$6:$K$3733,MATCH(A126&amp;"|"&amp;Q$5,MCDM_Checks!$A$6:$A$3733,0))</f>
        <v>U</v>
      </c>
      <c r="R126" s="5" t="str">
        <f>INDEX(MCDM_Checks!$K$6:$K$3733,MATCH(A126&amp;"|"&amp;R$5,MCDM_Checks!$A$6:$A$3733,0))</f>
        <v>U</v>
      </c>
      <c r="S126" s="5" t="str">
        <f>INDEX(MCDM_Checks!$K$6:$K$3733,MATCH(A126&amp;"|"&amp;S$5,MCDM_Checks!$A$6:$A$3733,0))</f>
        <v>U</v>
      </c>
      <c r="T126" s="5" t="str">
        <f>INDEX(MCDM_Checks!$K$6:$K$3733,MATCH(A126&amp;"|"&amp;T$5,MCDM_Checks!$A$6:$A$3733,0))</f>
        <v>Y</v>
      </c>
      <c r="U126" s="5" t="str">
        <f>INDEX(MCDM_Checks!$K$6:$K$3733,MATCH(A126&amp;"|"&amp;U$5,MCDM_Checks!$A$6:$A$3733,0))</f>
        <v>Y</v>
      </c>
      <c r="V126" s="5" t="str">
        <f>INDEX(MCDM_Checks!$K$6:$K$3733,MATCH(A126&amp;"|"&amp;V$5,MCDM_Checks!$A$6:$A$3733,0))</f>
        <v>U</v>
      </c>
      <c r="W126" s="5" t="str">
        <f>INDEX(MCDM_Checks!$K$6:$K$3733,MATCH(A126&amp;"|"&amp;W$5,MCDM_Checks!$A$6:$A$3733,0))</f>
        <v>Y</v>
      </c>
      <c r="X126" s="5" t="str">
        <f>INDEX(MCDM_Checks!$K$6:$K$3733,MATCH(A126&amp;"|"&amp;X$5,MCDM_Checks!$A$6:$A$3733,0))</f>
        <v>U</v>
      </c>
      <c r="Y126" s="5" t="str">
        <f>INDEX(MCDM_Checks!$K$6:$K$3733,MATCH(A126&amp;"|"&amp;Y$5,MCDM_Checks!$A$6:$A$3733,0))</f>
        <v>Y</v>
      </c>
      <c r="Z126" s="5" t="str">
        <f>INDEX(MCDM_Checks!$K$6:$K$3733,MATCH(A126&amp;"|"&amp;Z$5,MCDM_Checks!$A$6:$A$3733,0))</f>
        <v>Y</v>
      </c>
      <c r="AA126" s="5" t="str">
        <f>INDEX(MCDM_Checks!$K$6:$K$3733,MATCH(A126&amp;"|"&amp;AA$5,MCDM_Checks!$A$6:$A$3733,0))</f>
        <v>U</v>
      </c>
      <c r="AB126" s="5" t="str">
        <f>INDEX(MCDM_Checks!$K$6:$K$3733,MATCH(A126&amp;"|"&amp;AB$5,MCDM_Checks!$A$6:$A$3733,0))</f>
        <v>U</v>
      </c>
      <c r="AC126" s="12">
        <f>IF(IF($D126="Unlabeled-13",MCDM_Settings!$F$6,MCDM_Settings!$D$6)=0,"n.a.",5*COUNTIF(M126:O126,"Y")/IF($D126="Unlabeled-13",MCDM_Settings!$F$6,MCDM_Settings!$D$6))</f>
        <v>5</v>
      </c>
      <c r="AD126" s="12">
        <f>IF(IF($D126="Unlabeled-13",MCDM_Settings!$F$6,MCDM_Settings!$D$6)=0,"n.a.",5*(COUNTIF(M126:O126,"Y")+COUNTIF(M126:O126,"U")+COUNTIF(M126:O126,"X"))/IF($D126="Unlabeled-13",MCDM_Settings!$F$6,MCDM_Settings!$D$6))</f>
        <v>5</v>
      </c>
      <c r="AE126" s="13">
        <f>IF(IF($D126="Unlabeled-13",MCDM_Settings!$F$6,MCDM_Settings!$D$6)=0,"n.a.",(COUNTIF(M126:O126,"Y")+COUNTIF(M126:O126,"N"))/IF($D126="Unlabeled-13",MCDM_Settings!$F$6,MCDM_Settings!$D$6))</f>
        <v>1</v>
      </c>
      <c r="AF126" s="12">
        <f>IF(IF($D126="Unlabeled-13",MCDM_Settings!$F$7,MCDM_Settings!$D$7)=0,"n.a.",5*COUNTIF(P126:R126,"Y")/IF($D126="Unlabeled-13",MCDM_Settings!$F$7,MCDM_Settings!$D$7))</f>
        <v>0</v>
      </c>
      <c r="AG126" s="12">
        <f>IF(IF($D126="Unlabeled-13",MCDM_Settings!$F$7,MCDM_Settings!$D$7)=0,"n.a.",5*(COUNTIF(P126:R126,"Y")+COUNTIF(P126:R126,"U")+COUNTIF(P126:R126,"X"))/IF($D126="Unlabeled-13",MCDM_Settings!$F$7,MCDM_Settings!$D$7))</f>
        <v>5</v>
      </c>
      <c r="AH126" s="13">
        <f>IF(IF($D126="Unlabeled-13",MCDM_Settings!$F$7,MCDM_Settings!$D$7)=0,"n.a.",(COUNTIF(P126:R126,"Y")+COUNTIF(P126:R126,"N"))/IF($D126="Unlabeled-13",MCDM_Settings!$F$7,MCDM_Settings!$D$7))</f>
        <v>0</v>
      </c>
      <c r="AI126" s="12">
        <f>IF(IF($D126="Unlabeled-13",MCDM_Settings!$F$8,MCDM_Settings!$D$8)=0,"n.a.",5*COUNTIF(S126:U126,"Y")/IF($D126="Unlabeled-13",MCDM_Settings!$F$8,MCDM_Settings!$D$8))</f>
        <v>3.3333333333333335</v>
      </c>
      <c r="AJ126" s="12">
        <f>IF(IF($D126="Unlabeled-13",MCDM_Settings!$F$8,MCDM_Settings!$D$8)=0,"n.a.",5*(COUNTIF(S126:U126,"Y")+COUNTIF(S126:U126,"U")+COUNTIF(S126:U126,"X"))/IF($D126="Unlabeled-13",MCDM_Settings!$F$8,MCDM_Settings!$D$8))</f>
        <v>5</v>
      </c>
      <c r="AK126" s="13">
        <f>IF(IF($D126="Unlabeled-13",MCDM_Settings!$F$8,MCDM_Settings!$D$8)=0,"n.a.",(COUNTIF(S126:U126,"Y")+COUNTIF(S126:U126,"N"))/IF($D126="Unlabeled-13",MCDM_Settings!$F$8,MCDM_Settings!$D$8))</f>
        <v>0.66666666666666663</v>
      </c>
      <c r="AL126" s="12">
        <f>IF(IF($D126="Unlabeled-13",MCDM_Settings!$F$9,MCDM_Settings!$D$9)=0,"n.a.",5*COUNTIF(V126:W126,"Y")/IF($D126="Unlabeled-13",MCDM_Settings!$F$9,MCDM_Settings!$D$9))</f>
        <v>2.5</v>
      </c>
      <c r="AM126" s="12">
        <f>IF(IF($D126="Unlabeled-13",MCDM_Settings!$F$9,MCDM_Settings!$D$9)=0,"n.a.",5*(COUNTIF(V126:W126,"Y")+COUNTIF(V126:W126,"U")+COUNTIF(V126:W126,"X"))/IF($D126="Unlabeled-13",MCDM_Settings!$F$9,MCDM_Settings!$D$9))</f>
        <v>5</v>
      </c>
      <c r="AN126" s="13">
        <f>IF(IF($D126="Unlabeled-13",MCDM_Settings!$F$9,MCDM_Settings!$D$9)=0,"n.a.",(COUNTIF(V126:W126,"Y")+COUNTIF(V126:W126,"N"))/IF($D126="Unlabeled-13",MCDM_Settings!$F$9,MCDM_Settings!$D$9))</f>
        <v>0.5</v>
      </c>
      <c r="AO126" s="12">
        <f>IF(IF($D126="Unlabeled-13",MCDM_Settings!$F$10,MCDM_Settings!$D$10)=0,"n.a.",5*COUNTIF(X126:Y126,"Y")/IF($D126="Unlabeled-13",MCDM_Settings!$F$10,MCDM_Settings!$D$10))</f>
        <v>2.5</v>
      </c>
      <c r="AP126" s="12">
        <f>IF(IF($D126="Unlabeled-13",MCDM_Settings!$F$10,MCDM_Settings!$D$10)=0,"n.a.",5*(COUNTIF(X126:Y126,"Y")+COUNTIF(X126:Y126,"U")+COUNTIF(X126:Y126,"X"))/IF($D126="Unlabeled-13",MCDM_Settings!$F$10,MCDM_Settings!$D$10))</f>
        <v>5</v>
      </c>
      <c r="AQ126" s="13">
        <f>IF(IF($D126="Unlabeled-13",MCDM_Settings!$F$10,MCDM_Settings!$D$10)=0,"n.a.",(COUNTIF(X126:Y126,"Y")+COUNTIF(X126:Y126,"N"))/IF($D126="Unlabeled-13",MCDM_Settings!$F$10,MCDM_Settings!$D$10))</f>
        <v>0.5</v>
      </c>
      <c r="AR126" s="12">
        <f>IF(IF($D126="Unlabeled-13",MCDM_Settings!$F$11,MCDM_Settings!$D$11)=0,"n.a.",5*COUNTIF(Z126:AB126,"Y")/IF($D126="Unlabeled-13",MCDM_Settings!$F$11,MCDM_Settings!$D$11))</f>
        <v>1.6666666666666667</v>
      </c>
      <c r="AS126" s="12">
        <f>IF(IF($D126="Unlabeled-13",MCDM_Settings!$F$11,MCDM_Settings!$D$11)=0,"n.a.",5*(COUNTIF(Z126:AB126,"Y")+COUNTIF(Z126:AB126,"U")+COUNTIF(Z126:AB126,"X"))/IF($D126="Unlabeled-13",MCDM_Settings!$F$11,MCDM_Settings!$D$11))</f>
        <v>5</v>
      </c>
      <c r="AT126" s="13">
        <f>IF(IF($D126="Unlabeled-13",MCDM_Settings!$F$11,MCDM_Settings!$D$11)=0,"n.a.",(COUNTIF(Z126:AB126,"Y")+COUNTIF(Z126:AB126,"N"))/IF($D126="Unlabeled-13",MCDM_Settings!$F$11,MCDM_Settings!$D$11))</f>
        <v>0.33333333333333331</v>
      </c>
      <c r="AU126" s="5" t="str">
        <f>IF(AND(INDEX(Manual_Review!$G$6:$G$238,MATCH(A126,Manual_Review!$A$6:$A$238,0))&lt;&gt;"",ISNUMBER(INDEX(Manual_Review!$H$6:$H$238,MATCH(A126,Manual_Review!$A$6:$A$238,0))),INDEX(Manual_Review!$H$6:$H$238,MATCH(A126,Manual_Review!$A$6:$A$238,0))&gt;0,INDEX(Manual_Review!$I$6:$I$238,MATCH(A126,Manual_Review!$A$6:$A$238,0))="Confirmed",INDEX(Manual_Review!$AF$6:$AF$238,MATCH(A126,Manual_Review!$A$6:$A$238,0))&lt;&gt;""),IF(INDEX(Manual_Review!$AA$6:$AA$238,MATCH(A126,Manual_Review!$A$6:$A$238,0))="Pass","Pass",IF(INDEX(Manual_Review!$AA$6:$AA$238,MATCH(A126,Manual_Review!$A$6:$A$238,0))="Fail","Fail","Pending")),"Pending human identity confirmation")</f>
        <v>Pending human identity confirmation</v>
      </c>
      <c r="AV126" s="5" t="str">
        <f>IF(AND(AND(INDEX(Manual_Review!$G$6:$G$238,MATCH(A126,Manual_Review!$A$6:$A$238,0))&lt;&gt;"",ISNUMBER(INDEX(Manual_Review!$H$6:$H$238,MATCH(A126,Manual_Review!$A$6:$A$238,0))),INDEX(Manual_Review!$H$6:$H$238,MATCH(A126,Manual_Review!$A$6:$A$238,0))&gt;0,INDEX(Manual_Review!$I$6:$I$238,MATCH(A126,Manual_Review!$A$6:$A$238,0))="Confirmed",INDEX(Manual_Review!$AF$6:$AF$238,MATCH(A126,Manual_Review!$A$6:$A$238,0))&lt;&gt;""),INDEX(Manual_Review!$AG$6:$AG$238,MATCH(A126,Manual_Review!$A$6:$A$238,0))&lt;&gt;""),IF(INDEX(Manual_Review!$AB$6:$AB$238,MATCH(A126,Manual_Review!$A$6:$A$238,0))="Pass","Pass",IF(INDEX(Manual_Review!$AB$6:$AB$238,MATCH(A126,Manual_Review!$A$6:$A$238,0))="Fail","Fail","Pending")),"Not assessed: define intended task")</f>
        <v>Not assessed: define intended task</v>
      </c>
      <c r="AW126" s="5" t="str">
        <f>IF(AND(AND(INDEX(Manual_Review!$G$6:$G$238,MATCH(A126,Manual_Review!$A$6:$A$238,0))&lt;&gt;"",ISNUMBER(INDEX(Manual_Review!$H$6:$H$238,MATCH(A126,Manual_Review!$A$6:$A$238,0))),INDEX(Manual_Review!$H$6:$H$238,MATCH(A126,Manual_Review!$A$6:$A$238,0))&gt;0,INDEX(Manual_Review!$I$6:$I$238,MATCH(A126,Manual_Review!$A$6:$A$238,0))="Confirmed",INDEX(Manual_Review!$AF$6:$AF$238,MATCH(A126,Manual_Review!$A$6:$A$238,0))&lt;&gt;""),INDEX(Manual_Review!$AG$6:$AG$238,MATCH(A126,Manual_Review!$A$6:$A$238,0))&lt;&gt;""),IF(OR(INDEX(Manual_Review!$AC$6:$AC$238,MATCH(A126,Manual_Review!$A$6:$A$238,0))="Fail",INDEX(Manual_Review!$AD$6:$AD$238,MATCH(A126,Manual_Review!$A$6:$A$238,0))="Fail"),"Fail: rights or retrieval",IF(AND(INDEX(Manual_Review!$AC$6:$AC$238,MATCH(A126,Manual_Review!$A$6:$A$238,0))="Pass",INDEX(Manual_Review!$AD$6:$AD$238,MATCH(A126,Manual_Review!$A$6:$A$238,0))="Pass"),"Pass","Pending rights and retrieval")),"Pending rights and retrieval")</f>
        <v>Pending rights and retrieval</v>
      </c>
      <c r="AX126" s="5" t="str">
        <f>IF(INDEX(Manual_Review!$AG$6:$AG$238,MATCH(A126,Manual_Review!$A$6:$A$238,0))="","N/A: documentation inventory",IF(AND(INDEX(Manual_Review!$G$6:$G$238,MATCH(A126,Manual_Review!$A$6:$A$238,0))&lt;&gt;"",ISNUMBER(INDEX(Manual_Review!$H$6:$H$238,MATCH(A126,Manual_Review!$A$6:$A$238,0))),INDEX(Manual_Review!$H$6:$H$238,MATCH(A126,Manual_Review!$A$6:$A$238,0))&gt;0,INDEX(Manual_Review!$I$6:$I$238,MATCH(A126,Manual_Review!$A$6:$A$238,0))="Confirmed",INDEX(Manual_Review!$AF$6:$AF$238,MATCH(A126,Manual_Review!$A$6:$A$238,0))&lt;&gt;""),IF(INDEX(Manual_Review!$AE$6:$AE$238,MATCH(A126,Manual_Review!$A$6:$A$238,0))="Pass","Pass",IF(INDEX(Manual_Review!$AE$6:$AE$238,MATCH(A126,Manual_Review!$A$6:$A$238,0))="Fail","Fail: benchmark leakage",IF(INDEX(Manual_Review!$AE$6:$AE$238,MATCH(A126,Manual_Review!$A$6:$A$238,0))="N/A","N/A: nonbenchmark task","Pending task-specific leakage check"))),"Pending task-specific leakage check"))</f>
        <v>N/A: documentation inventory</v>
      </c>
      <c r="AY126" s="5" t="str">
        <f>IF(IF(D126="Unlabeled-13",AND(ABS(MCDM_Settings!$D$14-1)&lt;0.0000001,MIN(MCDM_Settings!$E$6:$E$11)&gt;=0,MCDM_Settings!$E$7=0),AND(ABS(MCDM_Settings!$B$14-1)&lt;0.0000001,MIN(MCDM_Settings!$C$6:$C$11)&gt;=0)),"Valid","Check weights")</f>
        <v>Valid</v>
      </c>
      <c r="AZ126" s="5" t="str">
        <f>IF(AND(COUNTIF(MCDM_Checks!$B$6:$B$3733,A126)=16,COUNTIF(Manual_Review!$A$6:$A$238,A126)=1),"16 keys present","Check key count")</f>
        <v>16 keys present</v>
      </c>
    </row>
    <row r="127" spans="1:52" ht="25.5">
      <c r="A127" s="5" t="s">
        <v>1427</v>
      </c>
      <c r="B127" s="5" t="s">
        <v>1428</v>
      </c>
      <c r="C127" s="5"/>
      <c r="D127" s="5" t="s">
        <v>118</v>
      </c>
      <c r="E127" s="12">
        <f>IF(OR(AY127&lt;&gt;"Valid",AZ127&lt;&gt;"16 keys present"),"Review settings",20*(IF(ISNUMBER(AC127),AC127*IF($D127="Unlabeled-13",MCDM_Settings!$E$6,MCDM_Settings!$C$6),0)+IF(ISNUMBER(AF127),AF127*IF($D127="Unlabeled-13",MCDM_Settings!$E$7,MCDM_Settings!$C$7),0)+IF(ISNUMBER(AI127),AI127*IF($D127="Unlabeled-13",MCDM_Settings!$E$8,MCDM_Settings!$C$8),0)+IF(ISNUMBER(AL127),AL127*IF($D127="Unlabeled-13",MCDM_Settings!$E$9,MCDM_Settings!$C$9),0)+IF(ISNUMBER(AO127),AO127*IF($D127="Unlabeled-13",MCDM_Settings!$E$10,MCDM_Settings!$C$10),0)+IF(ISNUMBER(AR127),AR127*IF($D127="Unlabeled-13",MCDM_Settings!$E$11,MCDM_Settings!$C$11),0)))</f>
        <v>63.888888888888893</v>
      </c>
      <c r="F127" s="12">
        <f>IF(OR(AY127&lt;&gt;"Valid",AZ127&lt;&gt;"16 keys present"),"Review settings",20*(IF(ISNUMBER(AD127),AD127*IF($D127="Unlabeled-13",MCDM_Settings!$E$6,MCDM_Settings!$C$6),0)+IF(ISNUMBER(AG127),AG127*IF($D127="Unlabeled-13",MCDM_Settings!$E$7,MCDM_Settings!$C$7),0)+IF(ISNUMBER(AJ127),AJ127*IF($D127="Unlabeled-13",MCDM_Settings!$E$8,MCDM_Settings!$C$8),0)+IF(ISNUMBER(AM127),AM127*IF($D127="Unlabeled-13",MCDM_Settings!$E$9,MCDM_Settings!$C$9),0)+IF(ISNUMBER(AP127),AP127*IF($D127="Unlabeled-13",MCDM_Settings!$E$10,MCDM_Settings!$C$10),0)+IF(ISNUMBER(AS127),AS127*IF($D127="Unlabeled-13",MCDM_Settings!$E$11,MCDM_Settings!$C$11),0)))</f>
        <v>99.999999999999986</v>
      </c>
      <c r="G127" s="13">
        <f>IF(OR(AY127&lt;&gt;"Valid",AZ127&lt;&gt;"16 keys present"),"Review settings",1*(IF(ISNUMBER(AE127),AE127*IF($D127="Unlabeled-13",MCDM_Settings!$E$6,MCDM_Settings!$C$6),0)+IF(ISNUMBER(AH127),AH127*IF($D127="Unlabeled-13",MCDM_Settings!$E$7,MCDM_Settings!$C$7),0)+IF(ISNUMBER(AK127),AK127*IF($D127="Unlabeled-13",MCDM_Settings!$E$8,MCDM_Settings!$C$8),0)+IF(ISNUMBER(AN127),AN127*IF($D127="Unlabeled-13",MCDM_Settings!$E$9,MCDM_Settings!$C$9),0)+IF(ISNUMBER(AQ127),AQ127*IF($D127="Unlabeled-13",MCDM_Settings!$E$10,MCDM_Settings!$C$10),0)+IF(ISNUMBER(AT127),AT127*IF($D127="Unlabeled-13",MCDM_Settings!$E$11,MCDM_Settings!$C$11),0)))</f>
        <v>0.63888888888888884</v>
      </c>
      <c r="H127" s="5" t="str">
        <f>INDEX(Manual_Review!$AH$6:$AH$238,MATCH(A127,Manual_Review!$A$6:$A$238,0))</f>
        <v>Not started</v>
      </c>
      <c r="I127" s="5" t="s">
        <v>128</v>
      </c>
      <c r="J127" s="5" t="s">
        <v>1429</v>
      </c>
      <c r="K127" s="5" t="str">
        <f>HYPERLINK("https://zenodo.org/records/21167531","Dataset")</f>
        <v>Dataset</v>
      </c>
      <c r="L127" s="5" t="str">
        <f>HYPERLINK("#'Manual_Review'!A"&amp;(MATCH("DS-122",Manual_Review!$A$6:$A$238,0)+5),"Enter review")</f>
        <v>Enter review</v>
      </c>
      <c r="M127" s="5" t="str">
        <f>INDEX(MCDM_Checks!$K$6:$K$3733,MATCH(A127&amp;"|"&amp;M$5,MCDM_Checks!$A$6:$A$3733,0))</f>
        <v>Y</v>
      </c>
      <c r="N127" s="5" t="str">
        <f>INDEX(MCDM_Checks!$K$6:$K$3733,MATCH(A127&amp;"|"&amp;N$5,MCDM_Checks!$A$6:$A$3733,0))</f>
        <v>Y</v>
      </c>
      <c r="O127" s="5" t="str">
        <f>INDEX(MCDM_Checks!$K$6:$K$3733,MATCH(A127&amp;"|"&amp;O$5,MCDM_Checks!$A$6:$A$3733,0))</f>
        <v>Y</v>
      </c>
      <c r="P127" s="5" t="str">
        <f>INDEX(MCDM_Checks!$K$6:$K$3733,MATCH(A127&amp;"|"&amp;P$5,MCDM_Checks!$A$6:$A$3733,0))</f>
        <v>Y</v>
      </c>
      <c r="Q127" s="5" t="str">
        <f>INDEX(MCDM_Checks!$K$6:$K$3733,MATCH(A127&amp;"|"&amp;Q$5,MCDM_Checks!$A$6:$A$3733,0))</f>
        <v>Y</v>
      </c>
      <c r="R127" s="5" t="str">
        <f>INDEX(MCDM_Checks!$K$6:$K$3733,MATCH(A127&amp;"|"&amp;R$5,MCDM_Checks!$A$6:$A$3733,0))</f>
        <v>Y</v>
      </c>
      <c r="S127" s="5" t="str">
        <f>INDEX(MCDM_Checks!$K$6:$K$3733,MATCH(A127&amp;"|"&amp;S$5,MCDM_Checks!$A$6:$A$3733,0))</f>
        <v>Y</v>
      </c>
      <c r="T127" s="5" t="str">
        <f>INDEX(MCDM_Checks!$K$6:$K$3733,MATCH(A127&amp;"|"&amp;T$5,MCDM_Checks!$A$6:$A$3733,0))</f>
        <v>Y</v>
      </c>
      <c r="U127" s="5" t="str">
        <f>INDEX(MCDM_Checks!$K$6:$K$3733,MATCH(A127&amp;"|"&amp;U$5,MCDM_Checks!$A$6:$A$3733,0))</f>
        <v>U</v>
      </c>
      <c r="V127" s="5" t="str">
        <f>INDEX(MCDM_Checks!$K$6:$K$3733,MATCH(A127&amp;"|"&amp;V$5,MCDM_Checks!$A$6:$A$3733,0))</f>
        <v>X</v>
      </c>
      <c r="W127" s="5" t="str">
        <f>INDEX(MCDM_Checks!$K$6:$K$3733,MATCH(A127&amp;"|"&amp;W$5,MCDM_Checks!$A$6:$A$3733,0))</f>
        <v>U</v>
      </c>
      <c r="X127" s="5" t="str">
        <f>INDEX(MCDM_Checks!$K$6:$K$3733,MATCH(A127&amp;"|"&amp;X$5,MCDM_Checks!$A$6:$A$3733,0))</f>
        <v>Y</v>
      </c>
      <c r="Y127" s="5" t="str">
        <f>INDEX(MCDM_Checks!$K$6:$K$3733,MATCH(A127&amp;"|"&amp;Y$5,MCDM_Checks!$A$6:$A$3733,0))</f>
        <v>U</v>
      </c>
      <c r="Z127" s="5" t="str">
        <f>INDEX(MCDM_Checks!$K$6:$K$3733,MATCH(A127&amp;"|"&amp;Z$5,MCDM_Checks!$A$6:$A$3733,0))</f>
        <v>Y</v>
      </c>
      <c r="AA127" s="5" t="str">
        <f>INDEX(MCDM_Checks!$K$6:$K$3733,MATCH(A127&amp;"|"&amp;AA$5,MCDM_Checks!$A$6:$A$3733,0))</f>
        <v>U</v>
      </c>
      <c r="AB127" s="5" t="str">
        <f>INDEX(MCDM_Checks!$K$6:$K$3733,MATCH(A127&amp;"|"&amp;AB$5,MCDM_Checks!$A$6:$A$3733,0))</f>
        <v>Y</v>
      </c>
      <c r="AC127" s="12">
        <f>IF(IF($D127="Unlabeled-13",MCDM_Settings!$F$6,MCDM_Settings!$D$6)=0,"n.a.",5*COUNTIF(M127:O127,"Y")/IF($D127="Unlabeled-13",MCDM_Settings!$F$6,MCDM_Settings!$D$6))</f>
        <v>5</v>
      </c>
      <c r="AD127" s="12">
        <f>IF(IF($D127="Unlabeled-13",MCDM_Settings!$F$6,MCDM_Settings!$D$6)=0,"n.a.",5*(COUNTIF(M127:O127,"Y")+COUNTIF(M127:O127,"U")+COUNTIF(M127:O127,"X"))/IF($D127="Unlabeled-13",MCDM_Settings!$F$6,MCDM_Settings!$D$6))</f>
        <v>5</v>
      </c>
      <c r="AE127" s="13">
        <f>IF(IF($D127="Unlabeled-13",MCDM_Settings!$F$6,MCDM_Settings!$D$6)=0,"n.a.",(COUNTIF(M127:O127,"Y")+COUNTIF(M127:O127,"N"))/IF($D127="Unlabeled-13",MCDM_Settings!$F$6,MCDM_Settings!$D$6))</f>
        <v>1</v>
      </c>
      <c r="AF127" s="12">
        <f>IF(IF($D127="Unlabeled-13",MCDM_Settings!$F$7,MCDM_Settings!$D$7)=0,"n.a.",5*COUNTIF(P127:R127,"Y")/IF($D127="Unlabeled-13",MCDM_Settings!$F$7,MCDM_Settings!$D$7))</f>
        <v>5</v>
      </c>
      <c r="AG127" s="12">
        <f>IF(IF($D127="Unlabeled-13",MCDM_Settings!$F$7,MCDM_Settings!$D$7)=0,"n.a.",5*(COUNTIF(P127:R127,"Y")+COUNTIF(P127:R127,"U")+COUNTIF(P127:R127,"X"))/IF($D127="Unlabeled-13",MCDM_Settings!$F$7,MCDM_Settings!$D$7))</f>
        <v>5</v>
      </c>
      <c r="AH127" s="13">
        <f>IF(IF($D127="Unlabeled-13",MCDM_Settings!$F$7,MCDM_Settings!$D$7)=0,"n.a.",(COUNTIF(P127:R127,"Y")+COUNTIF(P127:R127,"N"))/IF($D127="Unlabeled-13",MCDM_Settings!$F$7,MCDM_Settings!$D$7))</f>
        <v>1</v>
      </c>
      <c r="AI127" s="12">
        <f>IF(IF($D127="Unlabeled-13",MCDM_Settings!$F$8,MCDM_Settings!$D$8)=0,"n.a.",5*COUNTIF(S127:U127,"Y")/IF($D127="Unlabeled-13",MCDM_Settings!$F$8,MCDM_Settings!$D$8))</f>
        <v>3.3333333333333335</v>
      </c>
      <c r="AJ127" s="12">
        <f>IF(IF($D127="Unlabeled-13",MCDM_Settings!$F$8,MCDM_Settings!$D$8)=0,"n.a.",5*(COUNTIF(S127:U127,"Y")+COUNTIF(S127:U127,"U")+COUNTIF(S127:U127,"X"))/IF($D127="Unlabeled-13",MCDM_Settings!$F$8,MCDM_Settings!$D$8))</f>
        <v>5</v>
      </c>
      <c r="AK127" s="13">
        <f>IF(IF($D127="Unlabeled-13",MCDM_Settings!$F$8,MCDM_Settings!$D$8)=0,"n.a.",(COUNTIF(S127:U127,"Y")+COUNTIF(S127:U127,"N"))/IF($D127="Unlabeled-13",MCDM_Settings!$F$8,MCDM_Settings!$D$8))</f>
        <v>0.66666666666666663</v>
      </c>
      <c r="AL127" s="12">
        <f>IF(IF($D127="Unlabeled-13",MCDM_Settings!$F$9,MCDM_Settings!$D$9)=0,"n.a.",5*COUNTIF(V127:W127,"Y")/IF($D127="Unlabeled-13",MCDM_Settings!$F$9,MCDM_Settings!$D$9))</f>
        <v>0</v>
      </c>
      <c r="AM127" s="12">
        <f>IF(IF($D127="Unlabeled-13",MCDM_Settings!$F$9,MCDM_Settings!$D$9)=0,"n.a.",5*(COUNTIF(V127:W127,"Y")+COUNTIF(V127:W127,"U")+COUNTIF(V127:W127,"X"))/IF($D127="Unlabeled-13",MCDM_Settings!$F$9,MCDM_Settings!$D$9))</f>
        <v>5</v>
      </c>
      <c r="AN127" s="13">
        <f>IF(IF($D127="Unlabeled-13",MCDM_Settings!$F$9,MCDM_Settings!$D$9)=0,"n.a.",(COUNTIF(V127:W127,"Y")+COUNTIF(V127:W127,"N"))/IF($D127="Unlabeled-13",MCDM_Settings!$F$9,MCDM_Settings!$D$9))</f>
        <v>0</v>
      </c>
      <c r="AO127" s="12">
        <f>IF(IF($D127="Unlabeled-13",MCDM_Settings!$F$10,MCDM_Settings!$D$10)=0,"n.a.",5*COUNTIF(X127:Y127,"Y")/IF($D127="Unlabeled-13",MCDM_Settings!$F$10,MCDM_Settings!$D$10))</f>
        <v>2.5</v>
      </c>
      <c r="AP127" s="12">
        <f>IF(IF($D127="Unlabeled-13",MCDM_Settings!$F$10,MCDM_Settings!$D$10)=0,"n.a.",5*(COUNTIF(X127:Y127,"Y")+COUNTIF(X127:Y127,"U")+COUNTIF(X127:Y127,"X"))/IF($D127="Unlabeled-13",MCDM_Settings!$F$10,MCDM_Settings!$D$10))</f>
        <v>5</v>
      </c>
      <c r="AQ127" s="13">
        <f>IF(IF($D127="Unlabeled-13",MCDM_Settings!$F$10,MCDM_Settings!$D$10)=0,"n.a.",(COUNTIF(X127:Y127,"Y")+COUNTIF(X127:Y127,"N"))/IF($D127="Unlabeled-13",MCDM_Settings!$F$10,MCDM_Settings!$D$10))</f>
        <v>0.5</v>
      </c>
      <c r="AR127" s="12">
        <f>IF(IF($D127="Unlabeled-13",MCDM_Settings!$F$11,MCDM_Settings!$D$11)=0,"n.a.",5*COUNTIF(Z127:AB127,"Y")/IF($D127="Unlabeled-13",MCDM_Settings!$F$11,MCDM_Settings!$D$11))</f>
        <v>3.3333333333333335</v>
      </c>
      <c r="AS127" s="12">
        <f>IF(IF($D127="Unlabeled-13",MCDM_Settings!$F$11,MCDM_Settings!$D$11)=0,"n.a.",5*(COUNTIF(Z127:AB127,"Y")+COUNTIF(Z127:AB127,"U")+COUNTIF(Z127:AB127,"X"))/IF($D127="Unlabeled-13",MCDM_Settings!$F$11,MCDM_Settings!$D$11))</f>
        <v>5</v>
      </c>
      <c r="AT127" s="13">
        <f>IF(IF($D127="Unlabeled-13",MCDM_Settings!$F$11,MCDM_Settings!$D$11)=0,"n.a.",(COUNTIF(Z127:AB127,"Y")+COUNTIF(Z127:AB127,"N"))/IF($D127="Unlabeled-13",MCDM_Settings!$F$11,MCDM_Settings!$D$11))</f>
        <v>0.66666666666666663</v>
      </c>
      <c r="AU127" s="5" t="str">
        <f>IF(AND(INDEX(Manual_Review!$G$6:$G$238,MATCH(A127,Manual_Review!$A$6:$A$238,0))&lt;&gt;"",ISNUMBER(INDEX(Manual_Review!$H$6:$H$238,MATCH(A127,Manual_Review!$A$6:$A$238,0))),INDEX(Manual_Review!$H$6:$H$238,MATCH(A127,Manual_Review!$A$6:$A$238,0))&gt;0,INDEX(Manual_Review!$I$6:$I$238,MATCH(A127,Manual_Review!$A$6:$A$238,0))="Confirmed",INDEX(Manual_Review!$AF$6:$AF$238,MATCH(A127,Manual_Review!$A$6:$A$238,0))&lt;&gt;""),IF(INDEX(Manual_Review!$AA$6:$AA$238,MATCH(A127,Manual_Review!$A$6:$A$238,0))="Pass","Pass",IF(INDEX(Manual_Review!$AA$6:$AA$238,MATCH(A127,Manual_Review!$A$6:$A$238,0))="Fail","Fail","Pending")),"Pending human identity confirmation")</f>
        <v>Pending human identity confirmation</v>
      </c>
      <c r="AV127" s="5" t="str">
        <f>IF(AND(AND(INDEX(Manual_Review!$G$6:$G$238,MATCH(A127,Manual_Review!$A$6:$A$238,0))&lt;&gt;"",ISNUMBER(INDEX(Manual_Review!$H$6:$H$238,MATCH(A127,Manual_Review!$A$6:$A$238,0))),INDEX(Manual_Review!$H$6:$H$238,MATCH(A127,Manual_Review!$A$6:$A$238,0))&gt;0,INDEX(Manual_Review!$I$6:$I$238,MATCH(A127,Manual_Review!$A$6:$A$238,0))="Confirmed",INDEX(Manual_Review!$AF$6:$AF$238,MATCH(A127,Manual_Review!$A$6:$A$238,0))&lt;&gt;""),INDEX(Manual_Review!$AG$6:$AG$238,MATCH(A127,Manual_Review!$A$6:$A$238,0))&lt;&gt;""),IF(INDEX(Manual_Review!$AB$6:$AB$238,MATCH(A127,Manual_Review!$A$6:$A$238,0))="Pass","Pass",IF(INDEX(Manual_Review!$AB$6:$AB$238,MATCH(A127,Manual_Review!$A$6:$A$238,0))="Fail","Fail","Pending")),"Not assessed: define intended task")</f>
        <v>Not assessed: define intended task</v>
      </c>
      <c r="AW127" s="5" t="str">
        <f>IF(AND(AND(INDEX(Manual_Review!$G$6:$G$238,MATCH(A127,Manual_Review!$A$6:$A$238,0))&lt;&gt;"",ISNUMBER(INDEX(Manual_Review!$H$6:$H$238,MATCH(A127,Manual_Review!$A$6:$A$238,0))),INDEX(Manual_Review!$H$6:$H$238,MATCH(A127,Manual_Review!$A$6:$A$238,0))&gt;0,INDEX(Manual_Review!$I$6:$I$238,MATCH(A127,Manual_Review!$A$6:$A$238,0))="Confirmed",INDEX(Manual_Review!$AF$6:$AF$238,MATCH(A127,Manual_Review!$A$6:$A$238,0))&lt;&gt;""),INDEX(Manual_Review!$AG$6:$AG$238,MATCH(A127,Manual_Review!$A$6:$A$238,0))&lt;&gt;""),IF(OR(INDEX(Manual_Review!$AC$6:$AC$238,MATCH(A127,Manual_Review!$A$6:$A$238,0))="Fail",INDEX(Manual_Review!$AD$6:$AD$238,MATCH(A127,Manual_Review!$A$6:$A$238,0))="Fail"),"Fail: rights or retrieval",IF(AND(INDEX(Manual_Review!$AC$6:$AC$238,MATCH(A127,Manual_Review!$A$6:$A$238,0))="Pass",INDEX(Manual_Review!$AD$6:$AD$238,MATCH(A127,Manual_Review!$A$6:$A$238,0))="Pass"),"Pass","Pending rights and retrieval")),"Pending rights and retrieval")</f>
        <v>Pending rights and retrieval</v>
      </c>
      <c r="AX127" s="5" t="str">
        <f>IF(INDEX(Manual_Review!$AG$6:$AG$238,MATCH(A127,Manual_Review!$A$6:$A$238,0))="","N/A: documentation inventory",IF(AND(INDEX(Manual_Review!$G$6:$G$238,MATCH(A127,Manual_Review!$A$6:$A$238,0))&lt;&gt;"",ISNUMBER(INDEX(Manual_Review!$H$6:$H$238,MATCH(A127,Manual_Review!$A$6:$A$238,0))),INDEX(Manual_Review!$H$6:$H$238,MATCH(A127,Manual_Review!$A$6:$A$238,0))&gt;0,INDEX(Manual_Review!$I$6:$I$238,MATCH(A127,Manual_Review!$A$6:$A$238,0))="Confirmed",INDEX(Manual_Review!$AF$6:$AF$238,MATCH(A127,Manual_Review!$A$6:$A$238,0))&lt;&gt;""),IF(INDEX(Manual_Review!$AE$6:$AE$238,MATCH(A127,Manual_Review!$A$6:$A$238,0))="Pass","Pass",IF(INDEX(Manual_Review!$AE$6:$AE$238,MATCH(A127,Manual_Review!$A$6:$A$238,0))="Fail","Fail: benchmark leakage",IF(INDEX(Manual_Review!$AE$6:$AE$238,MATCH(A127,Manual_Review!$A$6:$A$238,0))="N/A","N/A: nonbenchmark task","Pending task-specific leakage check"))),"Pending task-specific leakage check"))</f>
        <v>N/A: documentation inventory</v>
      </c>
      <c r="AY127" s="5" t="str">
        <f>IF(IF(D127="Unlabeled-13",AND(ABS(MCDM_Settings!$D$14-1)&lt;0.0000001,MIN(MCDM_Settings!$E$6:$E$11)&gt;=0,MCDM_Settings!$E$7=0),AND(ABS(MCDM_Settings!$B$14-1)&lt;0.0000001,MIN(MCDM_Settings!$C$6:$C$11)&gt;=0)),"Valid","Check weights")</f>
        <v>Valid</v>
      </c>
      <c r="AZ127" s="5" t="str">
        <f>IF(AND(COUNTIF(MCDM_Checks!$B$6:$B$3733,A127)=16,COUNTIF(Manual_Review!$A$6:$A$238,A127)=1),"16 keys present","Check key count")</f>
        <v>16 keys present</v>
      </c>
    </row>
    <row r="128" spans="1:52">
      <c r="A128" s="5" t="s">
        <v>1439</v>
      </c>
      <c r="B128" s="5" t="s">
        <v>1440</v>
      </c>
      <c r="C128" s="5"/>
      <c r="D128" s="5" t="s">
        <v>118</v>
      </c>
      <c r="E128" s="12">
        <f>IF(OR(AY128&lt;&gt;"Valid",AZ128&lt;&gt;"16 keys present"),"Review settings",20*(IF(ISNUMBER(AC128),AC128*IF($D128="Unlabeled-13",MCDM_Settings!$E$6,MCDM_Settings!$C$6),0)+IF(ISNUMBER(AF128),AF128*IF($D128="Unlabeled-13",MCDM_Settings!$E$7,MCDM_Settings!$C$7),0)+IF(ISNUMBER(AI128),AI128*IF($D128="Unlabeled-13",MCDM_Settings!$E$8,MCDM_Settings!$C$8),0)+IF(ISNUMBER(AL128),AL128*IF($D128="Unlabeled-13",MCDM_Settings!$E$9,MCDM_Settings!$C$9),0)+IF(ISNUMBER(AO128),AO128*IF($D128="Unlabeled-13",MCDM_Settings!$E$10,MCDM_Settings!$C$10),0)+IF(ISNUMBER(AR128),AR128*IF($D128="Unlabeled-13",MCDM_Settings!$E$11,MCDM_Settings!$C$11),0)))</f>
        <v>30.555555555555554</v>
      </c>
      <c r="F128" s="12">
        <f>IF(OR(AY128&lt;&gt;"Valid",AZ128&lt;&gt;"16 keys present"),"Review settings",20*(IF(ISNUMBER(AD128),AD128*IF($D128="Unlabeled-13",MCDM_Settings!$E$6,MCDM_Settings!$C$6),0)+IF(ISNUMBER(AG128),AG128*IF($D128="Unlabeled-13",MCDM_Settings!$E$7,MCDM_Settings!$C$7),0)+IF(ISNUMBER(AJ128),AJ128*IF($D128="Unlabeled-13",MCDM_Settings!$E$8,MCDM_Settings!$C$8),0)+IF(ISNUMBER(AM128),AM128*IF($D128="Unlabeled-13",MCDM_Settings!$E$9,MCDM_Settings!$C$9),0)+IF(ISNUMBER(AP128),AP128*IF($D128="Unlabeled-13",MCDM_Settings!$E$10,MCDM_Settings!$C$10),0)+IF(ISNUMBER(AS128),AS128*IF($D128="Unlabeled-13",MCDM_Settings!$E$11,MCDM_Settings!$C$11),0)))</f>
        <v>99.999999999999986</v>
      </c>
      <c r="G128" s="13">
        <f>IF(OR(AY128&lt;&gt;"Valid",AZ128&lt;&gt;"16 keys present"),"Review settings",1*(IF(ISNUMBER(AE128),AE128*IF($D128="Unlabeled-13",MCDM_Settings!$E$6,MCDM_Settings!$C$6),0)+IF(ISNUMBER(AH128),AH128*IF($D128="Unlabeled-13",MCDM_Settings!$E$7,MCDM_Settings!$C$7),0)+IF(ISNUMBER(AK128),AK128*IF($D128="Unlabeled-13",MCDM_Settings!$E$8,MCDM_Settings!$C$8),0)+IF(ISNUMBER(AN128),AN128*IF($D128="Unlabeled-13",MCDM_Settings!$E$9,MCDM_Settings!$C$9),0)+IF(ISNUMBER(AQ128),AQ128*IF($D128="Unlabeled-13",MCDM_Settings!$E$10,MCDM_Settings!$C$10),0)+IF(ISNUMBER(AT128),AT128*IF($D128="Unlabeled-13",MCDM_Settings!$E$11,MCDM_Settings!$C$11),0)))</f>
        <v>0.30555555555555552</v>
      </c>
      <c r="H128" s="5" t="str">
        <f>INDEX(Manual_Review!$AH$6:$AH$238,MATCH(A128,Manual_Review!$A$6:$A$238,0))</f>
        <v>Not started</v>
      </c>
      <c r="I128" s="5" t="s">
        <v>128</v>
      </c>
      <c r="J128" s="5" t="s">
        <v>119</v>
      </c>
      <c r="K128" s="5" t="str">
        <f>HYPERLINK("https://zenodo.org/records/7795975","Dataset")</f>
        <v>Dataset</v>
      </c>
      <c r="L128" s="5" t="str">
        <f>HYPERLINK("#'Manual_Review'!A"&amp;(MATCH("DS-123",Manual_Review!$A$6:$A$238,0)+5),"Enter review")</f>
        <v>Enter review</v>
      </c>
      <c r="M128" s="5" t="str">
        <f>INDEX(MCDM_Checks!$K$6:$K$3733,MATCH(A128&amp;"|"&amp;M$5,MCDM_Checks!$A$6:$A$3733,0))</f>
        <v>Y</v>
      </c>
      <c r="N128" s="5" t="str">
        <f>INDEX(MCDM_Checks!$K$6:$K$3733,MATCH(A128&amp;"|"&amp;N$5,MCDM_Checks!$A$6:$A$3733,0))</f>
        <v>Y</v>
      </c>
      <c r="O128" s="5" t="str">
        <f>INDEX(MCDM_Checks!$K$6:$K$3733,MATCH(A128&amp;"|"&amp;O$5,MCDM_Checks!$A$6:$A$3733,0))</f>
        <v>U</v>
      </c>
      <c r="P128" s="5" t="str">
        <f>INDEX(MCDM_Checks!$K$6:$K$3733,MATCH(A128&amp;"|"&amp;P$5,MCDM_Checks!$A$6:$A$3733,0))</f>
        <v>Y</v>
      </c>
      <c r="Q128" s="5" t="str">
        <f>INDEX(MCDM_Checks!$K$6:$K$3733,MATCH(A128&amp;"|"&amp;Q$5,MCDM_Checks!$A$6:$A$3733,0))</f>
        <v>U</v>
      </c>
      <c r="R128" s="5" t="str">
        <f>INDEX(MCDM_Checks!$K$6:$K$3733,MATCH(A128&amp;"|"&amp;R$5,MCDM_Checks!$A$6:$A$3733,0))</f>
        <v>U</v>
      </c>
      <c r="S128" s="5" t="str">
        <f>INDEX(MCDM_Checks!$K$6:$K$3733,MATCH(A128&amp;"|"&amp;S$5,MCDM_Checks!$A$6:$A$3733,0))</f>
        <v>U</v>
      </c>
      <c r="T128" s="5" t="str">
        <f>INDEX(MCDM_Checks!$K$6:$K$3733,MATCH(A128&amp;"|"&amp;T$5,MCDM_Checks!$A$6:$A$3733,0))</f>
        <v>Y</v>
      </c>
      <c r="U128" s="5" t="str">
        <f>INDEX(MCDM_Checks!$K$6:$K$3733,MATCH(A128&amp;"|"&amp;U$5,MCDM_Checks!$A$6:$A$3733,0))</f>
        <v>U</v>
      </c>
      <c r="V128" s="5" t="str">
        <f>INDEX(MCDM_Checks!$K$6:$K$3733,MATCH(A128&amp;"|"&amp;V$5,MCDM_Checks!$A$6:$A$3733,0))</f>
        <v>U</v>
      </c>
      <c r="W128" s="5" t="str">
        <f>INDEX(MCDM_Checks!$K$6:$K$3733,MATCH(A128&amp;"|"&amp;W$5,MCDM_Checks!$A$6:$A$3733,0))</f>
        <v>U</v>
      </c>
      <c r="X128" s="5" t="str">
        <f>INDEX(MCDM_Checks!$K$6:$K$3733,MATCH(A128&amp;"|"&amp;X$5,MCDM_Checks!$A$6:$A$3733,0))</f>
        <v>Y</v>
      </c>
      <c r="Y128" s="5" t="str">
        <f>INDEX(MCDM_Checks!$K$6:$K$3733,MATCH(A128&amp;"|"&amp;Y$5,MCDM_Checks!$A$6:$A$3733,0))</f>
        <v>U</v>
      </c>
      <c r="Z128" s="5" t="str">
        <f>INDEX(MCDM_Checks!$K$6:$K$3733,MATCH(A128&amp;"|"&amp;Z$5,MCDM_Checks!$A$6:$A$3733,0))</f>
        <v>U</v>
      </c>
      <c r="AA128" s="5" t="str">
        <f>INDEX(MCDM_Checks!$K$6:$K$3733,MATCH(A128&amp;"|"&amp;AA$5,MCDM_Checks!$A$6:$A$3733,0))</f>
        <v>U</v>
      </c>
      <c r="AB128" s="5" t="str">
        <f>INDEX(MCDM_Checks!$K$6:$K$3733,MATCH(A128&amp;"|"&amp;AB$5,MCDM_Checks!$A$6:$A$3733,0))</f>
        <v>U</v>
      </c>
      <c r="AC128" s="12">
        <f>IF(IF($D128="Unlabeled-13",MCDM_Settings!$F$6,MCDM_Settings!$D$6)=0,"n.a.",5*COUNTIF(M128:O128,"Y")/IF($D128="Unlabeled-13",MCDM_Settings!$F$6,MCDM_Settings!$D$6))</f>
        <v>3.3333333333333335</v>
      </c>
      <c r="AD128" s="12">
        <f>IF(IF($D128="Unlabeled-13",MCDM_Settings!$F$6,MCDM_Settings!$D$6)=0,"n.a.",5*(COUNTIF(M128:O128,"Y")+COUNTIF(M128:O128,"U")+COUNTIF(M128:O128,"X"))/IF($D128="Unlabeled-13",MCDM_Settings!$F$6,MCDM_Settings!$D$6))</f>
        <v>5</v>
      </c>
      <c r="AE128" s="13">
        <f>IF(IF($D128="Unlabeled-13",MCDM_Settings!$F$6,MCDM_Settings!$D$6)=0,"n.a.",(COUNTIF(M128:O128,"Y")+COUNTIF(M128:O128,"N"))/IF($D128="Unlabeled-13",MCDM_Settings!$F$6,MCDM_Settings!$D$6))</f>
        <v>0.66666666666666663</v>
      </c>
      <c r="AF128" s="12">
        <f>IF(IF($D128="Unlabeled-13",MCDM_Settings!$F$7,MCDM_Settings!$D$7)=0,"n.a.",5*COUNTIF(P128:R128,"Y")/IF($D128="Unlabeled-13",MCDM_Settings!$F$7,MCDM_Settings!$D$7))</f>
        <v>1.6666666666666667</v>
      </c>
      <c r="AG128" s="12">
        <f>IF(IF($D128="Unlabeled-13",MCDM_Settings!$F$7,MCDM_Settings!$D$7)=0,"n.a.",5*(COUNTIF(P128:R128,"Y")+COUNTIF(P128:R128,"U")+COUNTIF(P128:R128,"X"))/IF($D128="Unlabeled-13",MCDM_Settings!$F$7,MCDM_Settings!$D$7))</f>
        <v>5</v>
      </c>
      <c r="AH128" s="13">
        <f>IF(IF($D128="Unlabeled-13",MCDM_Settings!$F$7,MCDM_Settings!$D$7)=0,"n.a.",(COUNTIF(P128:R128,"Y")+COUNTIF(P128:R128,"N"))/IF($D128="Unlabeled-13",MCDM_Settings!$F$7,MCDM_Settings!$D$7))</f>
        <v>0.33333333333333331</v>
      </c>
      <c r="AI128" s="12">
        <f>IF(IF($D128="Unlabeled-13",MCDM_Settings!$F$8,MCDM_Settings!$D$8)=0,"n.a.",5*COUNTIF(S128:U128,"Y")/IF($D128="Unlabeled-13",MCDM_Settings!$F$8,MCDM_Settings!$D$8))</f>
        <v>1.6666666666666667</v>
      </c>
      <c r="AJ128" s="12">
        <f>IF(IF($D128="Unlabeled-13",MCDM_Settings!$F$8,MCDM_Settings!$D$8)=0,"n.a.",5*(COUNTIF(S128:U128,"Y")+COUNTIF(S128:U128,"U")+COUNTIF(S128:U128,"X"))/IF($D128="Unlabeled-13",MCDM_Settings!$F$8,MCDM_Settings!$D$8))</f>
        <v>5</v>
      </c>
      <c r="AK128" s="13">
        <f>IF(IF($D128="Unlabeled-13",MCDM_Settings!$F$8,MCDM_Settings!$D$8)=0,"n.a.",(COUNTIF(S128:U128,"Y")+COUNTIF(S128:U128,"N"))/IF($D128="Unlabeled-13",MCDM_Settings!$F$8,MCDM_Settings!$D$8))</f>
        <v>0.33333333333333331</v>
      </c>
      <c r="AL128" s="12">
        <f>IF(IF($D128="Unlabeled-13",MCDM_Settings!$F$9,MCDM_Settings!$D$9)=0,"n.a.",5*COUNTIF(V128:W128,"Y")/IF($D128="Unlabeled-13",MCDM_Settings!$F$9,MCDM_Settings!$D$9))</f>
        <v>0</v>
      </c>
      <c r="AM128" s="12">
        <f>IF(IF($D128="Unlabeled-13",MCDM_Settings!$F$9,MCDM_Settings!$D$9)=0,"n.a.",5*(COUNTIF(V128:W128,"Y")+COUNTIF(V128:W128,"U")+COUNTIF(V128:W128,"X"))/IF($D128="Unlabeled-13",MCDM_Settings!$F$9,MCDM_Settings!$D$9))</f>
        <v>5</v>
      </c>
      <c r="AN128" s="13">
        <f>IF(IF($D128="Unlabeled-13",MCDM_Settings!$F$9,MCDM_Settings!$D$9)=0,"n.a.",(COUNTIF(V128:W128,"Y")+COUNTIF(V128:W128,"N"))/IF($D128="Unlabeled-13",MCDM_Settings!$F$9,MCDM_Settings!$D$9))</f>
        <v>0</v>
      </c>
      <c r="AO128" s="12">
        <f>IF(IF($D128="Unlabeled-13",MCDM_Settings!$F$10,MCDM_Settings!$D$10)=0,"n.a.",5*COUNTIF(X128:Y128,"Y")/IF($D128="Unlabeled-13",MCDM_Settings!$F$10,MCDM_Settings!$D$10))</f>
        <v>2.5</v>
      </c>
      <c r="AP128" s="12">
        <f>IF(IF($D128="Unlabeled-13",MCDM_Settings!$F$10,MCDM_Settings!$D$10)=0,"n.a.",5*(COUNTIF(X128:Y128,"Y")+COUNTIF(X128:Y128,"U")+COUNTIF(X128:Y128,"X"))/IF($D128="Unlabeled-13",MCDM_Settings!$F$10,MCDM_Settings!$D$10))</f>
        <v>5</v>
      </c>
      <c r="AQ128" s="13">
        <f>IF(IF($D128="Unlabeled-13",MCDM_Settings!$F$10,MCDM_Settings!$D$10)=0,"n.a.",(COUNTIF(X128:Y128,"Y")+COUNTIF(X128:Y128,"N"))/IF($D128="Unlabeled-13",MCDM_Settings!$F$10,MCDM_Settings!$D$10))</f>
        <v>0.5</v>
      </c>
      <c r="AR128" s="12">
        <f>IF(IF($D128="Unlabeled-13",MCDM_Settings!$F$11,MCDM_Settings!$D$11)=0,"n.a.",5*COUNTIF(Z128:AB128,"Y")/IF($D128="Unlabeled-13",MCDM_Settings!$F$11,MCDM_Settings!$D$11))</f>
        <v>0</v>
      </c>
      <c r="AS128" s="12">
        <f>IF(IF($D128="Unlabeled-13",MCDM_Settings!$F$11,MCDM_Settings!$D$11)=0,"n.a.",5*(COUNTIF(Z128:AB128,"Y")+COUNTIF(Z128:AB128,"U")+COUNTIF(Z128:AB128,"X"))/IF($D128="Unlabeled-13",MCDM_Settings!$F$11,MCDM_Settings!$D$11))</f>
        <v>5</v>
      </c>
      <c r="AT128" s="13">
        <f>IF(IF($D128="Unlabeled-13",MCDM_Settings!$F$11,MCDM_Settings!$D$11)=0,"n.a.",(COUNTIF(Z128:AB128,"Y")+COUNTIF(Z128:AB128,"N"))/IF($D128="Unlabeled-13",MCDM_Settings!$F$11,MCDM_Settings!$D$11))</f>
        <v>0</v>
      </c>
      <c r="AU128" s="5" t="str">
        <f>IF(AND(INDEX(Manual_Review!$G$6:$G$238,MATCH(A128,Manual_Review!$A$6:$A$238,0))&lt;&gt;"",ISNUMBER(INDEX(Manual_Review!$H$6:$H$238,MATCH(A128,Manual_Review!$A$6:$A$238,0))),INDEX(Manual_Review!$H$6:$H$238,MATCH(A128,Manual_Review!$A$6:$A$238,0))&gt;0,INDEX(Manual_Review!$I$6:$I$238,MATCH(A128,Manual_Review!$A$6:$A$238,0))="Confirmed",INDEX(Manual_Review!$AF$6:$AF$238,MATCH(A128,Manual_Review!$A$6:$A$238,0))&lt;&gt;""),IF(INDEX(Manual_Review!$AA$6:$AA$238,MATCH(A128,Manual_Review!$A$6:$A$238,0))="Pass","Pass",IF(INDEX(Manual_Review!$AA$6:$AA$238,MATCH(A128,Manual_Review!$A$6:$A$238,0))="Fail","Fail","Pending")),"Pending human identity confirmation")</f>
        <v>Pending human identity confirmation</v>
      </c>
      <c r="AV128" s="5" t="str">
        <f>IF(AND(AND(INDEX(Manual_Review!$G$6:$G$238,MATCH(A128,Manual_Review!$A$6:$A$238,0))&lt;&gt;"",ISNUMBER(INDEX(Manual_Review!$H$6:$H$238,MATCH(A128,Manual_Review!$A$6:$A$238,0))),INDEX(Manual_Review!$H$6:$H$238,MATCH(A128,Manual_Review!$A$6:$A$238,0))&gt;0,INDEX(Manual_Review!$I$6:$I$238,MATCH(A128,Manual_Review!$A$6:$A$238,0))="Confirmed",INDEX(Manual_Review!$AF$6:$AF$238,MATCH(A128,Manual_Review!$A$6:$A$238,0))&lt;&gt;""),INDEX(Manual_Review!$AG$6:$AG$238,MATCH(A128,Manual_Review!$A$6:$A$238,0))&lt;&gt;""),IF(INDEX(Manual_Review!$AB$6:$AB$238,MATCH(A128,Manual_Review!$A$6:$A$238,0))="Pass","Pass",IF(INDEX(Manual_Review!$AB$6:$AB$238,MATCH(A128,Manual_Review!$A$6:$A$238,0))="Fail","Fail","Pending")),"Not assessed: define intended task")</f>
        <v>Not assessed: define intended task</v>
      </c>
      <c r="AW128" s="5" t="str">
        <f>IF(AND(AND(INDEX(Manual_Review!$G$6:$G$238,MATCH(A128,Manual_Review!$A$6:$A$238,0))&lt;&gt;"",ISNUMBER(INDEX(Manual_Review!$H$6:$H$238,MATCH(A128,Manual_Review!$A$6:$A$238,0))),INDEX(Manual_Review!$H$6:$H$238,MATCH(A128,Manual_Review!$A$6:$A$238,0))&gt;0,INDEX(Manual_Review!$I$6:$I$238,MATCH(A128,Manual_Review!$A$6:$A$238,0))="Confirmed",INDEX(Manual_Review!$AF$6:$AF$238,MATCH(A128,Manual_Review!$A$6:$A$238,0))&lt;&gt;""),INDEX(Manual_Review!$AG$6:$AG$238,MATCH(A128,Manual_Review!$A$6:$A$238,0))&lt;&gt;""),IF(OR(INDEX(Manual_Review!$AC$6:$AC$238,MATCH(A128,Manual_Review!$A$6:$A$238,0))="Fail",INDEX(Manual_Review!$AD$6:$AD$238,MATCH(A128,Manual_Review!$A$6:$A$238,0))="Fail"),"Fail: rights or retrieval",IF(AND(INDEX(Manual_Review!$AC$6:$AC$238,MATCH(A128,Manual_Review!$A$6:$A$238,0))="Pass",INDEX(Manual_Review!$AD$6:$AD$238,MATCH(A128,Manual_Review!$A$6:$A$238,0))="Pass"),"Pass","Pending rights and retrieval")),"Pending rights and retrieval")</f>
        <v>Pending rights and retrieval</v>
      </c>
      <c r="AX128" s="5" t="str">
        <f>IF(INDEX(Manual_Review!$AG$6:$AG$238,MATCH(A128,Manual_Review!$A$6:$A$238,0))="","N/A: documentation inventory",IF(AND(INDEX(Manual_Review!$G$6:$G$238,MATCH(A128,Manual_Review!$A$6:$A$238,0))&lt;&gt;"",ISNUMBER(INDEX(Manual_Review!$H$6:$H$238,MATCH(A128,Manual_Review!$A$6:$A$238,0))),INDEX(Manual_Review!$H$6:$H$238,MATCH(A128,Manual_Review!$A$6:$A$238,0))&gt;0,INDEX(Manual_Review!$I$6:$I$238,MATCH(A128,Manual_Review!$A$6:$A$238,0))="Confirmed",INDEX(Manual_Review!$AF$6:$AF$238,MATCH(A128,Manual_Review!$A$6:$A$238,0))&lt;&gt;""),IF(INDEX(Manual_Review!$AE$6:$AE$238,MATCH(A128,Manual_Review!$A$6:$A$238,0))="Pass","Pass",IF(INDEX(Manual_Review!$AE$6:$AE$238,MATCH(A128,Manual_Review!$A$6:$A$238,0))="Fail","Fail: benchmark leakage",IF(INDEX(Manual_Review!$AE$6:$AE$238,MATCH(A128,Manual_Review!$A$6:$A$238,0))="N/A","N/A: nonbenchmark task","Pending task-specific leakage check"))),"Pending task-specific leakage check"))</f>
        <v>N/A: documentation inventory</v>
      </c>
      <c r="AY128" s="5" t="str">
        <f>IF(IF(D128="Unlabeled-13",AND(ABS(MCDM_Settings!$D$14-1)&lt;0.0000001,MIN(MCDM_Settings!$E$6:$E$11)&gt;=0,MCDM_Settings!$E$7=0),AND(ABS(MCDM_Settings!$B$14-1)&lt;0.0000001,MIN(MCDM_Settings!$C$6:$C$11)&gt;=0)),"Valid","Check weights")</f>
        <v>Valid</v>
      </c>
      <c r="AZ128" s="5" t="str">
        <f>IF(AND(COUNTIF(MCDM_Checks!$B$6:$B$3733,A128)=16,COUNTIF(Manual_Review!$A$6:$A$238,A128)=1),"16 keys present","Check key count")</f>
        <v>16 keys present</v>
      </c>
    </row>
    <row r="129" spans="1:52" ht="25.5">
      <c r="A129" s="5" t="s">
        <v>1450</v>
      </c>
      <c r="B129" s="5" t="s">
        <v>1451</v>
      </c>
      <c r="C129" s="5"/>
      <c r="D129" s="5" t="s">
        <v>118</v>
      </c>
      <c r="E129" s="12">
        <f>IF(OR(AY129&lt;&gt;"Valid",AZ129&lt;&gt;"16 keys present"),"Review settings",20*(IF(ISNUMBER(AC129),AC129*IF($D129="Unlabeled-13",MCDM_Settings!$E$6,MCDM_Settings!$C$6),0)+IF(ISNUMBER(AF129),AF129*IF($D129="Unlabeled-13",MCDM_Settings!$E$7,MCDM_Settings!$C$7),0)+IF(ISNUMBER(AI129),AI129*IF($D129="Unlabeled-13",MCDM_Settings!$E$8,MCDM_Settings!$C$8),0)+IF(ISNUMBER(AL129),AL129*IF($D129="Unlabeled-13",MCDM_Settings!$E$9,MCDM_Settings!$C$9),0)+IF(ISNUMBER(AO129),AO129*IF($D129="Unlabeled-13",MCDM_Settings!$E$10,MCDM_Settings!$C$10),0)+IF(ISNUMBER(AR129),AR129*IF($D129="Unlabeled-13",MCDM_Settings!$E$11,MCDM_Settings!$C$11),0)))</f>
        <v>58.333333333333321</v>
      </c>
      <c r="F129" s="12">
        <f>IF(OR(AY129&lt;&gt;"Valid",AZ129&lt;&gt;"16 keys present"),"Review settings",20*(IF(ISNUMBER(AD129),AD129*IF($D129="Unlabeled-13",MCDM_Settings!$E$6,MCDM_Settings!$C$6),0)+IF(ISNUMBER(AG129),AG129*IF($D129="Unlabeled-13",MCDM_Settings!$E$7,MCDM_Settings!$C$7),0)+IF(ISNUMBER(AJ129),AJ129*IF($D129="Unlabeled-13",MCDM_Settings!$E$8,MCDM_Settings!$C$8),0)+IF(ISNUMBER(AM129),AM129*IF($D129="Unlabeled-13",MCDM_Settings!$E$9,MCDM_Settings!$C$9),0)+IF(ISNUMBER(AP129),AP129*IF($D129="Unlabeled-13",MCDM_Settings!$E$10,MCDM_Settings!$C$10),0)+IF(ISNUMBER(AS129),AS129*IF($D129="Unlabeled-13",MCDM_Settings!$E$11,MCDM_Settings!$C$11),0)))</f>
        <v>99.999999999999986</v>
      </c>
      <c r="G129" s="13">
        <f>IF(OR(AY129&lt;&gt;"Valid",AZ129&lt;&gt;"16 keys present"),"Review settings",1*(IF(ISNUMBER(AE129),AE129*IF($D129="Unlabeled-13",MCDM_Settings!$E$6,MCDM_Settings!$C$6),0)+IF(ISNUMBER(AH129),AH129*IF($D129="Unlabeled-13",MCDM_Settings!$E$7,MCDM_Settings!$C$7),0)+IF(ISNUMBER(AK129),AK129*IF($D129="Unlabeled-13",MCDM_Settings!$E$8,MCDM_Settings!$C$8),0)+IF(ISNUMBER(AN129),AN129*IF($D129="Unlabeled-13",MCDM_Settings!$E$9,MCDM_Settings!$C$9),0)+IF(ISNUMBER(AQ129),AQ129*IF($D129="Unlabeled-13",MCDM_Settings!$E$10,MCDM_Settings!$C$10),0)+IF(ISNUMBER(AT129),AT129*IF($D129="Unlabeled-13",MCDM_Settings!$E$11,MCDM_Settings!$C$11),0)))</f>
        <v>0.58333333333333337</v>
      </c>
      <c r="H129" s="5" t="str">
        <f>INDEX(Manual_Review!$AH$6:$AH$238,MATCH(A129,Manual_Review!$A$6:$A$238,0))</f>
        <v>Not started</v>
      </c>
      <c r="I129" s="5" t="s">
        <v>128</v>
      </c>
      <c r="J129" s="5" t="s">
        <v>1452</v>
      </c>
      <c r="K129" s="5" t="str">
        <f>HYPERLINK("https://zenodo.org/records/19267189","Dataset")</f>
        <v>Dataset</v>
      </c>
      <c r="L129" s="5" t="str">
        <f>HYPERLINK("#'Manual_Review'!A"&amp;(MATCH("DS-124",Manual_Review!$A$6:$A$238,0)+5),"Enter review")</f>
        <v>Enter review</v>
      </c>
      <c r="M129" s="5" t="str">
        <f>INDEX(MCDM_Checks!$K$6:$K$3733,MATCH(A129&amp;"|"&amp;M$5,MCDM_Checks!$A$6:$A$3733,0))</f>
        <v>Y</v>
      </c>
      <c r="N129" s="5" t="str">
        <f>INDEX(MCDM_Checks!$K$6:$K$3733,MATCH(A129&amp;"|"&amp;N$5,MCDM_Checks!$A$6:$A$3733,0))</f>
        <v>Y</v>
      </c>
      <c r="O129" s="5" t="str">
        <f>INDEX(MCDM_Checks!$K$6:$K$3733,MATCH(A129&amp;"|"&amp;O$5,MCDM_Checks!$A$6:$A$3733,0))</f>
        <v>Y</v>
      </c>
      <c r="P129" s="5" t="str">
        <f>INDEX(MCDM_Checks!$K$6:$K$3733,MATCH(A129&amp;"|"&amp;P$5,MCDM_Checks!$A$6:$A$3733,0))</f>
        <v>U</v>
      </c>
      <c r="Q129" s="5" t="str">
        <f>INDEX(MCDM_Checks!$K$6:$K$3733,MATCH(A129&amp;"|"&amp;Q$5,MCDM_Checks!$A$6:$A$3733,0))</f>
        <v>U</v>
      </c>
      <c r="R129" s="5" t="str">
        <f>INDEX(MCDM_Checks!$K$6:$K$3733,MATCH(A129&amp;"|"&amp;R$5,MCDM_Checks!$A$6:$A$3733,0))</f>
        <v>U</v>
      </c>
      <c r="S129" s="5" t="str">
        <f>INDEX(MCDM_Checks!$K$6:$K$3733,MATCH(A129&amp;"|"&amp;S$5,MCDM_Checks!$A$6:$A$3733,0))</f>
        <v>U</v>
      </c>
      <c r="T129" s="5" t="str">
        <f>INDEX(MCDM_Checks!$K$6:$K$3733,MATCH(A129&amp;"|"&amp;T$5,MCDM_Checks!$A$6:$A$3733,0))</f>
        <v>Y</v>
      </c>
      <c r="U129" s="5" t="str">
        <f>INDEX(MCDM_Checks!$K$6:$K$3733,MATCH(A129&amp;"|"&amp;U$5,MCDM_Checks!$A$6:$A$3733,0))</f>
        <v>Y</v>
      </c>
      <c r="V129" s="5" t="str">
        <f>INDEX(MCDM_Checks!$K$6:$K$3733,MATCH(A129&amp;"|"&amp;V$5,MCDM_Checks!$A$6:$A$3733,0))</f>
        <v>Y</v>
      </c>
      <c r="W129" s="5" t="str">
        <f>INDEX(MCDM_Checks!$K$6:$K$3733,MATCH(A129&amp;"|"&amp;W$5,MCDM_Checks!$A$6:$A$3733,0))</f>
        <v>U</v>
      </c>
      <c r="X129" s="5" t="str">
        <f>INDEX(MCDM_Checks!$K$6:$K$3733,MATCH(A129&amp;"|"&amp;X$5,MCDM_Checks!$A$6:$A$3733,0))</f>
        <v>Y</v>
      </c>
      <c r="Y129" s="5" t="str">
        <f>INDEX(MCDM_Checks!$K$6:$K$3733,MATCH(A129&amp;"|"&amp;Y$5,MCDM_Checks!$A$6:$A$3733,0))</f>
        <v>Y</v>
      </c>
      <c r="Z129" s="5" t="str">
        <f>INDEX(MCDM_Checks!$K$6:$K$3733,MATCH(A129&amp;"|"&amp;Z$5,MCDM_Checks!$A$6:$A$3733,0))</f>
        <v>Y</v>
      </c>
      <c r="AA129" s="5" t="str">
        <f>INDEX(MCDM_Checks!$K$6:$K$3733,MATCH(A129&amp;"|"&amp;AA$5,MCDM_Checks!$A$6:$A$3733,0))</f>
        <v>U</v>
      </c>
      <c r="AB129" s="5" t="str">
        <f>INDEX(MCDM_Checks!$K$6:$K$3733,MATCH(A129&amp;"|"&amp;AB$5,MCDM_Checks!$A$6:$A$3733,0))</f>
        <v>U</v>
      </c>
      <c r="AC129" s="12">
        <f>IF(IF($D129="Unlabeled-13",MCDM_Settings!$F$6,MCDM_Settings!$D$6)=0,"n.a.",5*COUNTIF(M129:O129,"Y")/IF($D129="Unlabeled-13",MCDM_Settings!$F$6,MCDM_Settings!$D$6))</f>
        <v>5</v>
      </c>
      <c r="AD129" s="12">
        <f>IF(IF($D129="Unlabeled-13",MCDM_Settings!$F$6,MCDM_Settings!$D$6)=0,"n.a.",5*(COUNTIF(M129:O129,"Y")+COUNTIF(M129:O129,"U")+COUNTIF(M129:O129,"X"))/IF($D129="Unlabeled-13",MCDM_Settings!$F$6,MCDM_Settings!$D$6))</f>
        <v>5</v>
      </c>
      <c r="AE129" s="13">
        <f>IF(IF($D129="Unlabeled-13",MCDM_Settings!$F$6,MCDM_Settings!$D$6)=0,"n.a.",(COUNTIF(M129:O129,"Y")+COUNTIF(M129:O129,"N"))/IF($D129="Unlabeled-13",MCDM_Settings!$F$6,MCDM_Settings!$D$6))</f>
        <v>1</v>
      </c>
      <c r="AF129" s="12">
        <f>IF(IF($D129="Unlabeled-13",MCDM_Settings!$F$7,MCDM_Settings!$D$7)=0,"n.a.",5*COUNTIF(P129:R129,"Y")/IF($D129="Unlabeled-13",MCDM_Settings!$F$7,MCDM_Settings!$D$7))</f>
        <v>0</v>
      </c>
      <c r="AG129" s="12">
        <f>IF(IF($D129="Unlabeled-13",MCDM_Settings!$F$7,MCDM_Settings!$D$7)=0,"n.a.",5*(COUNTIF(P129:R129,"Y")+COUNTIF(P129:R129,"U")+COUNTIF(P129:R129,"X"))/IF($D129="Unlabeled-13",MCDM_Settings!$F$7,MCDM_Settings!$D$7))</f>
        <v>5</v>
      </c>
      <c r="AH129" s="13">
        <f>IF(IF($D129="Unlabeled-13",MCDM_Settings!$F$7,MCDM_Settings!$D$7)=0,"n.a.",(COUNTIF(P129:R129,"Y")+COUNTIF(P129:R129,"N"))/IF($D129="Unlabeled-13",MCDM_Settings!$F$7,MCDM_Settings!$D$7))</f>
        <v>0</v>
      </c>
      <c r="AI129" s="12">
        <f>IF(IF($D129="Unlabeled-13",MCDM_Settings!$F$8,MCDM_Settings!$D$8)=0,"n.a.",5*COUNTIF(S129:U129,"Y")/IF($D129="Unlabeled-13",MCDM_Settings!$F$8,MCDM_Settings!$D$8))</f>
        <v>3.3333333333333335</v>
      </c>
      <c r="AJ129" s="12">
        <f>IF(IF($D129="Unlabeled-13",MCDM_Settings!$F$8,MCDM_Settings!$D$8)=0,"n.a.",5*(COUNTIF(S129:U129,"Y")+COUNTIF(S129:U129,"U")+COUNTIF(S129:U129,"X"))/IF($D129="Unlabeled-13",MCDM_Settings!$F$8,MCDM_Settings!$D$8))</f>
        <v>5</v>
      </c>
      <c r="AK129" s="13">
        <f>IF(IF($D129="Unlabeled-13",MCDM_Settings!$F$8,MCDM_Settings!$D$8)=0,"n.a.",(COUNTIF(S129:U129,"Y")+COUNTIF(S129:U129,"N"))/IF($D129="Unlabeled-13",MCDM_Settings!$F$8,MCDM_Settings!$D$8))</f>
        <v>0.66666666666666663</v>
      </c>
      <c r="AL129" s="12">
        <f>IF(IF($D129="Unlabeled-13",MCDM_Settings!$F$9,MCDM_Settings!$D$9)=0,"n.a.",5*COUNTIF(V129:W129,"Y")/IF($D129="Unlabeled-13",MCDM_Settings!$F$9,MCDM_Settings!$D$9))</f>
        <v>2.5</v>
      </c>
      <c r="AM129" s="12">
        <f>IF(IF($D129="Unlabeled-13",MCDM_Settings!$F$9,MCDM_Settings!$D$9)=0,"n.a.",5*(COUNTIF(V129:W129,"Y")+COUNTIF(V129:W129,"U")+COUNTIF(V129:W129,"X"))/IF($D129="Unlabeled-13",MCDM_Settings!$F$9,MCDM_Settings!$D$9))</f>
        <v>5</v>
      </c>
      <c r="AN129" s="13">
        <f>IF(IF($D129="Unlabeled-13",MCDM_Settings!$F$9,MCDM_Settings!$D$9)=0,"n.a.",(COUNTIF(V129:W129,"Y")+COUNTIF(V129:W129,"N"))/IF($D129="Unlabeled-13",MCDM_Settings!$F$9,MCDM_Settings!$D$9))</f>
        <v>0.5</v>
      </c>
      <c r="AO129" s="12">
        <f>IF(IF($D129="Unlabeled-13",MCDM_Settings!$F$10,MCDM_Settings!$D$10)=0,"n.a.",5*COUNTIF(X129:Y129,"Y")/IF($D129="Unlabeled-13",MCDM_Settings!$F$10,MCDM_Settings!$D$10))</f>
        <v>5</v>
      </c>
      <c r="AP129" s="12">
        <f>IF(IF($D129="Unlabeled-13",MCDM_Settings!$F$10,MCDM_Settings!$D$10)=0,"n.a.",5*(COUNTIF(X129:Y129,"Y")+COUNTIF(X129:Y129,"U")+COUNTIF(X129:Y129,"X"))/IF($D129="Unlabeled-13",MCDM_Settings!$F$10,MCDM_Settings!$D$10))</f>
        <v>5</v>
      </c>
      <c r="AQ129" s="13">
        <f>IF(IF($D129="Unlabeled-13",MCDM_Settings!$F$10,MCDM_Settings!$D$10)=0,"n.a.",(COUNTIF(X129:Y129,"Y")+COUNTIF(X129:Y129,"N"))/IF($D129="Unlabeled-13",MCDM_Settings!$F$10,MCDM_Settings!$D$10))</f>
        <v>1</v>
      </c>
      <c r="AR129" s="12">
        <f>IF(IF($D129="Unlabeled-13",MCDM_Settings!$F$11,MCDM_Settings!$D$11)=0,"n.a.",5*COUNTIF(Z129:AB129,"Y")/IF($D129="Unlabeled-13",MCDM_Settings!$F$11,MCDM_Settings!$D$11))</f>
        <v>1.6666666666666667</v>
      </c>
      <c r="AS129" s="12">
        <f>IF(IF($D129="Unlabeled-13",MCDM_Settings!$F$11,MCDM_Settings!$D$11)=0,"n.a.",5*(COUNTIF(Z129:AB129,"Y")+COUNTIF(Z129:AB129,"U")+COUNTIF(Z129:AB129,"X"))/IF($D129="Unlabeled-13",MCDM_Settings!$F$11,MCDM_Settings!$D$11))</f>
        <v>5</v>
      </c>
      <c r="AT129" s="13">
        <f>IF(IF($D129="Unlabeled-13",MCDM_Settings!$F$11,MCDM_Settings!$D$11)=0,"n.a.",(COUNTIF(Z129:AB129,"Y")+COUNTIF(Z129:AB129,"N"))/IF($D129="Unlabeled-13",MCDM_Settings!$F$11,MCDM_Settings!$D$11))</f>
        <v>0.33333333333333331</v>
      </c>
      <c r="AU129" s="5" t="str">
        <f>IF(AND(INDEX(Manual_Review!$G$6:$G$238,MATCH(A129,Manual_Review!$A$6:$A$238,0))&lt;&gt;"",ISNUMBER(INDEX(Manual_Review!$H$6:$H$238,MATCH(A129,Manual_Review!$A$6:$A$238,0))),INDEX(Manual_Review!$H$6:$H$238,MATCH(A129,Manual_Review!$A$6:$A$238,0))&gt;0,INDEX(Manual_Review!$I$6:$I$238,MATCH(A129,Manual_Review!$A$6:$A$238,0))="Confirmed",INDEX(Manual_Review!$AF$6:$AF$238,MATCH(A129,Manual_Review!$A$6:$A$238,0))&lt;&gt;""),IF(INDEX(Manual_Review!$AA$6:$AA$238,MATCH(A129,Manual_Review!$A$6:$A$238,0))="Pass","Pass",IF(INDEX(Manual_Review!$AA$6:$AA$238,MATCH(A129,Manual_Review!$A$6:$A$238,0))="Fail","Fail","Pending")),"Pending human identity confirmation")</f>
        <v>Pending human identity confirmation</v>
      </c>
      <c r="AV129" s="5" t="str">
        <f>IF(AND(AND(INDEX(Manual_Review!$G$6:$G$238,MATCH(A129,Manual_Review!$A$6:$A$238,0))&lt;&gt;"",ISNUMBER(INDEX(Manual_Review!$H$6:$H$238,MATCH(A129,Manual_Review!$A$6:$A$238,0))),INDEX(Manual_Review!$H$6:$H$238,MATCH(A129,Manual_Review!$A$6:$A$238,0))&gt;0,INDEX(Manual_Review!$I$6:$I$238,MATCH(A129,Manual_Review!$A$6:$A$238,0))="Confirmed",INDEX(Manual_Review!$AF$6:$AF$238,MATCH(A129,Manual_Review!$A$6:$A$238,0))&lt;&gt;""),INDEX(Manual_Review!$AG$6:$AG$238,MATCH(A129,Manual_Review!$A$6:$A$238,0))&lt;&gt;""),IF(INDEX(Manual_Review!$AB$6:$AB$238,MATCH(A129,Manual_Review!$A$6:$A$238,0))="Pass","Pass",IF(INDEX(Manual_Review!$AB$6:$AB$238,MATCH(A129,Manual_Review!$A$6:$A$238,0))="Fail","Fail","Pending")),"Not assessed: define intended task")</f>
        <v>Not assessed: define intended task</v>
      </c>
      <c r="AW129" s="5" t="str">
        <f>IF(AND(AND(INDEX(Manual_Review!$G$6:$G$238,MATCH(A129,Manual_Review!$A$6:$A$238,0))&lt;&gt;"",ISNUMBER(INDEX(Manual_Review!$H$6:$H$238,MATCH(A129,Manual_Review!$A$6:$A$238,0))),INDEX(Manual_Review!$H$6:$H$238,MATCH(A129,Manual_Review!$A$6:$A$238,0))&gt;0,INDEX(Manual_Review!$I$6:$I$238,MATCH(A129,Manual_Review!$A$6:$A$238,0))="Confirmed",INDEX(Manual_Review!$AF$6:$AF$238,MATCH(A129,Manual_Review!$A$6:$A$238,0))&lt;&gt;""),INDEX(Manual_Review!$AG$6:$AG$238,MATCH(A129,Manual_Review!$A$6:$A$238,0))&lt;&gt;""),IF(OR(INDEX(Manual_Review!$AC$6:$AC$238,MATCH(A129,Manual_Review!$A$6:$A$238,0))="Fail",INDEX(Manual_Review!$AD$6:$AD$238,MATCH(A129,Manual_Review!$A$6:$A$238,0))="Fail"),"Fail: rights or retrieval",IF(AND(INDEX(Manual_Review!$AC$6:$AC$238,MATCH(A129,Manual_Review!$A$6:$A$238,0))="Pass",INDEX(Manual_Review!$AD$6:$AD$238,MATCH(A129,Manual_Review!$A$6:$A$238,0))="Pass"),"Pass","Pending rights and retrieval")),"Pending rights and retrieval")</f>
        <v>Pending rights and retrieval</v>
      </c>
      <c r="AX129" s="5" t="str">
        <f>IF(INDEX(Manual_Review!$AG$6:$AG$238,MATCH(A129,Manual_Review!$A$6:$A$238,0))="","N/A: documentation inventory",IF(AND(INDEX(Manual_Review!$G$6:$G$238,MATCH(A129,Manual_Review!$A$6:$A$238,0))&lt;&gt;"",ISNUMBER(INDEX(Manual_Review!$H$6:$H$238,MATCH(A129,Manual_Review!$A$6:$A$238,0))),INDEX(Manual_Review!$H$6:$H$238,MATCH(A129,Manual_Review!$A$6:$A$238,0))&gt;0,INDEX(Manual_Review!$I$6:$I$238,MATCH(A129,Manual_Review!$A$6:$A$238,0))="Confirmed",INDEX(Manual_Review!$AF$6:$AF$238,MATCH(A129,Manual_Review!$A$6:$A$238,0))&lt;&gt;""),IF(INDEX(Manual_Review!$AE$6:$AE$238,MATCH(A129,Manual_Review!$A$6:$A$238,0))="Pass","Pass",IF(INDEX(Manual_Review!$AE$6:$AE$238,MATCH(A129,Manual_Review!$A$6:$A$238,0))="Fail","Fail: benchmark leakage",IF(INDEX(Manual_Review!$AE$6:$AE$238,MATCH(A129,Manual_Review!$A$6:$A$238,0))="N/A","N/A: nonbenchmark task","Pending task-specific leakage check"))),"Pending task-specific leakage check"))</f>
        <v>N/A: documentation inventory</v>
      </c>
      <c r="AY129" s="5" t="str">
        <f>IF(IF(D129="Unlabeled-13",AND(ABS(MCDM_Settings!$D$14-1)&lt;0.0000001,MIN(MCDM_Settings!$E$6:$E$11)&gt;=0,MCDM_Settings!$E$7=0),AND(ABS(MCDM_Settings!$B$14-1)&lt;0.0000001,MIN(MCDM_Settings!$C$6:$C$11)&gt;=0)),"Valid","Check weights")</f>
        <v>Valid</v>
      </c>
      <c r="AZ129" s="5" t="str">
        <f>IF(AND(COUNTIF(MCDM_Checks!$B$6:$B$3733,A129)=16,COUNTIF(Manual_Review!$A$6:$A$238,A129)=1),"16 keys present","Check key count")</f>
        <v>16 keys present</v>
      </c>
    </row>
    <row r="130" spans="1:52">
      <c r="A130" s="5" t="s">
        <v>1462</v>
      </c>
      <c r="B130" s="5" t="s">
        <v>1463</v>
      </c>
      <c r="C130" s="5"/>
      <c r="D130" s="5" t="s">
        <v>118</v>
      </c>
      <c r="E130" s="12">
        <f>IF(OR(AY130&lt;&gt;"Valid",AZ130&lt;&gt;"16 keys present"),"Review settings",20*(IF(ISNUMBER(AC130),AC130*IF($D130="Unlabeled-13",MCDM_Settings!$E$6,MCDM_Settings!$C$6),0)+IF(ISNUMBER(AF130),AF130*IF($D130="Unlabeled-13",MCDM_Settings!$E$7,MCDM_Settings!$C$7),0)+IF(ISNUMBER(AI130),AI130*IF($D130="Unlabeled-13",MCDM_Settings!$E$8,MCDM_Settings!$C$8),0)+IF(ISNUMBER(AL130),AL130*IF($D130="Unlabeled-13",MCDM_Settings!$E$9,MCDM_Settings!$C$9),0)+IF(ISNUMBER(AO130),AO130*IF($D130="Unlabeled-13",MCDM_Settings!$E$10,MCDM_Settings!$C$10),0)+IF(ISNUMBER(AR130),AR130*IF($D130="Unlabeled-13",MCDM_Settings!$E$11,MCDM_Settings!$C$11),0)))</f>
        <v>11.111111111111111</v>
      </c>
      <c r="F130" s="12">
        <f>IF(OR(AY130&lt;&gt;"Valid",AZ130&lt;&gt;"16 keys present"),"Review settings",20*(IF(ISNUMBER(AD130),AD130*IF($D130="Unlabeled-13",MCDM_Settings!$E$6,MCDM_Settings!$C$6),0)+IF(ISNUMBER(AG130),AG130*IF($D130="Unlabeled-13",MCDM_Settings!$E$7,MCDM_Settings!$C$7),0)+IF(ISNUMBER(AJ130),AJ130*IF($D130="Unlabeled-13",MCDM_Settings!$E$8,MCDM_Settings!$C$8),0)+IF(ISNUMBER(AM130),AM130*IF($D130="Unlabeled-13",MCDM_Settings!$E$9,MCDM_Settings!$C$9),0)+IF(ISNUMBER(AP130),AP130*IF($D130="Unlabeled-13",MCDM_Settings!$E$10,MCDM_Settings!$C$10),0)+IF(ISNUMBER(AS130),AS130*IF($D130="Unlabeled-13",MCDM_Settings!$E$11,MCDM_Settings!$C$11),0)))</f>
        <v>99.999999999999986</v>
      </c>
      <c r="G130" s="13">
        <f>IF(OR(AY130&lt;&gt;"Valid",AZ130&lt;&gt;"16 keys present"),"Review settings",1*(IF(ISNUMBER(AE130),AE130*IF($D130="Unlabeled-13",MCDM_Settings!$E$6,MCDM_Settings!$C$6),0)+IF(ISNUMBER(AH130),AH130*IF($D130="Unlabeled-13",MCDM_Settings!$E$7,MCDM_Settings!$C$7),0)+IF(ISNUMBER(AK130),AK130*IF($D130="Unlabeled-13",MCDM_Settings!$E$8,MCDM_Settings!$C$8),0)+IF(ISNUMBER(AN130),AN130*IF($D130="Unlabeled-13",MCDM_Settings!$E$9,MCDM_Settings!$C$9),0)+IF(ISNUMBER(AQ130),AQ130*IF($D130="Unlabeled-13",MCDM_Settings!$E$10,MCDM_Settings!$C$10),0)+IF(ISNUMBER(AT130),AT130*IF($D130="Unlabeled-13",MCDM_Settings!$E$11,MCDM_Settings!$C$11),0)))</f>
        <v>0.1111111111111111</v>
      </c>
      <c r="H130" s="5" t="str">
        <f>INDEX(Manual_Review!$AH$6:$AH$238,MATCH(A130,Manual_Review!$A$6:$A$238,0))</f>
        <v>Not started</v>
      </c>
      <c r="I130" s="5" t="s">
        <v>128</v>
      </c>
      <c r="J130" s="5" t="s">
        <v>119</v>
      </c>
      <c r="K130" s="5" t="str">
        <f>HYPERLINK("https://zenodo.org/records/15229291","Dataset")</f>
        <v>Dataset</v>
      </c>
      <c r="L130" s="5" t="str">
        <f>HYPERLINK("#'Manual_Review'!A"&amp;(MATCH("DS-125",Manual_Review!$A$6:$A$238,0)+5),"Enter review")</f>
        <v>Enter review</v>
      </c>
      <c r="M130" s="5" t="str">
        <f>INDEX(MCDM_Checks!$K$6:$K$3733,MATCH(A130&amp;"|"&amp;M$5,MCDM_Checks!$A$6:$A$3733,0))</f>
        <v>Y</v>
      </c>
      <c r="N130" s="5" t="str">
        <f>INDEX(MCDM_Checks!$K$6:$K$3733,MATCH(A130&amp;"|"&amp;N$5,MCDM_Checks!$A$6:$A$3733,0))</f>
        <v>U</v>
      </c>
      <c r="O130" s="5" t="str">
        <f>INDEX(MCDM_Checks!$K$6:$K$3733,MATCH(A130&amp;"|"&amp;O$5,MCDM_Checks!$A$6:$A$3733,0))</f>
        <v>Y</v>
      </c>
      <c r="P130" s="5" t="str">
        <f>INDEX(MCDM_Checks!$K$6:$K$3733,MATCH(A130&amp;"|"&amp;P$5,MCDM_Checks!$A$6:$A$3733,0))</f>
        <v>U</v>
      </c>
      <c r="Q130" s="5" t="str">
        <f>INDEX(MCDM_Checks!$K$6:$K$3733,MATCH(A130&amp;"|"&amp;Q$5,MCDM_Checks!$A$6:$A$3733,0))</f>
        <v>U</v>
      </c>
      <c r="R130" s="5" t="str">
        <f>INDEX(MCDM_Checks!$K$6:$K$3733,MATCH(A130&amp;"|"&amp;R$5,MCDM_Checks!$A$6:$A$3733,0))</f>
        <v>U</v>
      </c>
      <c r="S130" s="5" t="str">
        <f>INDEX(MCDM_Checks!$K$6:$K$3733,MATCH(A130&amp;"|"&amp;S$5,MCDM_Checks!$A$6:$A$3733,0))</f>
        <v>U</v>
      </c>
      <c r="T130" s="5" t="str">
        <f>INDEX(MCDM_Checks!$K$6:$K$3733,MATCH(A130&amp;"|"&amp;T$5,MCDM_Checks!$A$6:$A$3733,0))</f>
        <v>U</v>
      </c>
      <c r="U130" s="5" t="str">
        <f>INDEX(MCDM_Checks!$K$6:$K$3733,MATCH(A130&amp;"|"&amp;U$5,MCDM_Checks!$A$6:$A$3733,0))</f>
        <v>U</v>
      </c>
      <c r="V130" s="5" t="str">
        <f>INDEX(MCDM_Checks!$K$6:$K$3733,MATCH(A130&amp;"|"&amp;V$5,MCDM_Checks!$A$6:$A$3733,0))</f>
        <v>U</v>
      </c>
      <c r="W130" s="5" t="str">
        <f>INDEX(MCDM_Checks!$K$6:$K$3733,MATCH(A130&amp;"|"&amp;W$5,MCDM_Checks!$A$6:$A$3733,0))</f>
        <v>U</v>
      </c>
      <c r="X130" s="5" t="str">
        <f>INDEX(MCDM_Checks!$K$6:$K$3733,MATCH(A130&amp;"|"&amp;X$5,MCDM_Checks!$A$6:$A$3733,0))</f>
        <v>U</v>
      </c>
      <c r="Y130" s="5" t="str">
        <f>INDEX(MCDM_Checks!$K$6:$K$3733,MATCH(A130&amp;"|"&amp;Y$5,MCDM_Checks!$A$6:$A$3733,0))</f>
        <v>U</v>
      </c>
      <c r="Z130" s="5" t="str">
        <f>INDEX(MCDM_Checks!$K$6:$K$3733,MATCH(A130&amp;"|"&amp;Z$5,MCDM_Checks!$A$6:$A$3733,0))</f>
        <v>U</v>
      </c>
      <c r="AA130" s="5" t="str">
        <f>INDEX(MCDM_Checks!$K$6:$K$3733,MATCH(A130&amp;"|"&amp;AA$5,MCDM_Checks!$A$6:$A$3733,0))</f>
        <v>U</v>
      </c>
      <c r="AB130" s="5" t="str">
        <f>INDEX(MCDM_Checks!$K$6:$K$3733,MATCH(A130&amp;"|"&amp;AB$5,MCDM_Checks!$A$6:$A$3733,0))</f>
        <v>U</v>
      </c>
      <c r="AC130" s="12">
        <f>IF(IF($D130="Unlabeled-13",MCDM_Settings!$F$6,MCDM_Settings!$D$6)=0,"n.a.",5*COUNTIF(M130:O130,"Y")/IF($D130="Unlabeled-13",MCDM_Settings!$F$6,MCDM_Settings!$D$6))</f>
        <v>3.3333333333333335</v>
      </c>
      <c r="AD130" s="12">
        <f>IF(IF($D130="Unlabeled-13",MCDM_Settings!$F$6,MCDM_Settings!$D$6)=0,"n.a.",5*(COUNTIF(M130:O130,"Y")+COUNTIF(M130:O130,"U")+COUNTIF(M130:O130,"X"))/IF($D130="Unlabeled-13",MCDM_Settings!$F$6,MCDM_Settings!$D$6))</f>
        <v>5</v>
      </c>
      <c r="AE130" s="13">
        <f>IF(IF($D130="Unlabeled-13",MCDM_Settings!$F$6,MCDM_Settings!$D$6)=0,"n.a.",(COUNTIF(M130:O130,"Y")+COUNTIF(M130:O130,"N"))/IF($D130="Unlabeled-13",MCDM_Settings!$F$6,MCDM_Settings!$D$6))</f>
        <v>0.66666666666666663</v>
      </c>
      <c r="AF130" s="12">
        <f>IF(IF($D130="Unlabeled-13",MCDM_Settings!$F$7,MCDM_Settings!$D$7)=0,"n.a.",5*COUNTIF(P130:R130,"Y")/IF($D130="Unlabeled-13",MCDM_Settings!$F$7,MCDM_Settings!$D$7))</f>
        <v>0</v>
      </c>
      <c r="AG130" s="12">
        <f>IF(IF($D130="Unlabeled-13",MCDM_Settings!$F$7,MCDM_Settings!$D$7)=0,"n.a.",5*(COUNTIF(P130:R130,"Y")+COUNTIF(P130:R130,"U")+COUNTIF(P130:R130,"X"))/IF($D130="Unlabeled-13",MCDM_Settings!$F$7,MCDM_Settings!$D$7))</f>
        <v>5</v>
      </c>
      <c r="AH130" s="13">
        <f>IF(IF($D130="Unlabeled-13",MCDM_Settings!$F$7,MCDM_Settings!$D$7)=0,"n.a.",(COUNTIF(P130:R130,"Y")+COUNTIF(P130:R130,"N"))/IF($D130="Unlabeled-13",MCDM_Settings!$F$7,MCDM_Settings!$D$7))</f>
        <v>0</v>
      </c>
      <c r="AI130" s="12">
        <f>IF(IF($D130="Unlabeled-13",MCDM_Settings!$F$8,MCDM_Settings!$D$8)=0,"n.a.",5*COUNTIF(S130:U130,"Y")/IF($D130="Unlabeled-13",MCDM_Settings!$F$8,MCDM_Settings!$D$8))</f>
        <v>0</v>
      </c>
      <c r="AJ130" s="12">
        <f>IF(IF($D130="Unlabeled-13",MCDM_Settings!$F$8,MCDM_Settings!$D$8)=0,"n.a.",5*(COUNTIF(S130:U130,"Y")+COUNTIF(S130:U130,"U")+COUNTIF(S130:U130,"X"))/IF($D130="Unlabeled-13",MCDM_Settings!$F$8,MCDM_Settings!$D$8))</f>
        <v>5</v>
      </c>
      <c r="AK130" s="13">
        <f>IF(IF($D130="Unlabeled-13",MCDM_Settings!$F$8,MCDM_Settings!$D$8)=0,"n.a.",(COUNTIF(S130:U130,"Y")+COUNTIF(S130:U130,"N"))/IF($D130="Unlabeled-13",MCDM_Settings!$F$8,MCDM_Settings!$D$8))</f>
        <v>0</v>
      </c>
      <c r="AL130" s="12">
        <f>IF(IF($D130="Unlabeled-13",MCDM_Settings!$F$9,MCDM_Settings!$D$9)=0,"n.a.",5*COUNTIF(V130:W130,"Y")/IF($D130="Unlabeled-13",MCDM_Settings!$F$9,MCDM_Settings!$D$9))</f>
        <v>0</v>
      </c>
      <c r="AM130" s="12">
        <f>IF(IF($D130="Unlabeled-13",MCDM_Settings!$F$9,MCDM_Settings!$D$9)=0,"n.a.",5*(COUNTIF(V130:W130,"Y")+COUNTIF(V130:W130,"U")+COUNTIF(V130:W130,"X"))/IF($D130="Unlabeled-13",MCDM_Settings!$F$9,MCDM_Settings!$D$9))</f>
        <v>5</v>
      </c>
      <c r="AN130" s="13">
        <f>IF(IF($D130="Unlabeled-13",MCDM_Settings!$F$9,MCDM_Settings!$D$9)=0,"n.a.",(COUNTIF(V130:W130,"Y")+COUNTIF(V130:W130,"N"))/IF($D130="Unlabeled-13",MCDM_Settings!$F$9,MCDM_Settings!$D$9))</f>
        <v>0</v>
      </c>
      <c r="AO130" s="12">
        <f>IF(IF($D130="Unlabeled-13",MCDM_Settings!$F$10,MCDM_Settings!$D$10)=0,"n.a.",5*COUNTIF(X130:Y130,"Y")/IF($D130="Unlabeled-13",MCDM_Settings!$F$10,MCDM_Settings!$D$10))</f>
        <v>0</v>
      </c>
      <c r="AP130" s="12">
        <f>IF(IF($D130="Unlabeled-13",MCDM_Settings!$F$10,MCDM_Settings!$D$10)=0,"n.a.",5*(COUNTIF(X130:Y130,"Y")+COUNTIF(X130:Y130,"U")+COUNTIF(X130:Y130,"X"))/IF($D130="Unlabeled-13",MCDM_Settings!$F$10,MCDM_Settings!$D$10))</f>
        <v>5</v>
      </c>
      <c r="AQ130" s="13">
        <f>IF(IF($D130="Unlabeled-13",MCDM_Settings!$F$10,MCDM_Settings!$D$10)=0,"n.a.",(COUNTIF(X130:Y130,"Y")+COUNTIF(X130:Y130,"N"))/IF($D130="Unlabeled-13",MCDM_Settings!$F$10,MCDM_Settings!$D$10))</f>
        <v>0</v>
      </c>
      <c r="AR130" s="12">
        <f>IF(IF($D130="Unlabeled-13",MCDM_Settings!$F$11,MCDM_Settings!$D$11)=0,"n.a.",5*COUNTIF(Z130:AB130,"Y")/IF($D130="Unlabeled-13",MCDM_Settings!$F$11,MCDM_Settings!$D$11))</f>
        <v>0</v>
      </c>
      <c r="AS130" s="12">
        <f>IF(IF($D130="Unlabeled-13",MCDM_Settings!$F$11,MCDM_Settings!$D$11)=0,"n.a.",5*(COUNTIF(Z130:AB130,"Y")+COUNTIF(Z130:AB130,"U")+COUNTIF(Z130:AB130,"X"))/IF($D130="Unlabeled-13",MCDM_Settings!$F$11,MCDM_Settings!$D$11))</f>
        <v>5</v>
      </c>
      <c r="AT130" s="13">
        <f>IF(IF($D130="Unlabeled-13",MCDM_Settings!$F$11,MCDM_Settings!$D$11)=0,"n.a.",(COUNTIF(Z130:AB130,"Y")+COUNTIF(Z130:AB130,"N"))/IF($D130="Unlabeled-13",MCDM_Settings!$F$11,MCDM_Settings!$D$11))</f>
        <v>0</v>
      </c>
      <c r="AU130" s="5" t="str">
        <f>IF(AND(INDEX(Manual_Review!$G$6:$G$238,MATCH(A130,Manual_Review!$A$6:$A$238,0))&lt;&gt;"",ISNUMBER(INDEX(Manual_Review!$H$6:$H$238,MATCH(A130,Manual_Review!$A$6:$A$238,0))),INDEX(Manual_Review!$H$6:$H$238,MATCH(A130,Manual_Review!$A$6:$A$238,0))&gt;0,INDEX(Manual_Review!$I$6:$I$238,MATCH(A130,Manual_Review!$A$6:$A$238,0))="Confirmed",INDEX(Manual_Review!$AF$6:$AF$238,MATCH(A130,Manual_Review!$A$6:$A$238,0))&lt;&gt;""),IF(INDEX(Manual_Review!$AA$6:$AA$238,MATCH(A130,Manual_Review!$A$6:$A$238,0))="Pass","Pass",IF(INDEX(Manual_Review!$AA$6:$AA$238,MATCH(A130,Manual_Review!$A$6:$A$238,0))="Fail","Fail","Pending")),"Pending human identity confirmation")</f>
        <v>Pending human identity confirmation</v>
      </c>
      <c r="AV130" s="5" t="str">
        <f>IF(AND(AND(INDEX(Manual_Review!$G$6:$G$238,MATCH(A130,Manual_Review!$A$6:$A$238,0))&lt;&gt;"",ISNUMBER(INDEX(Manual_Review!$H$6:$H$238,MATCH(A130,Manual_Review!$A$6:$A$238,0))),INDEX(Manual_Review!$H$6:$H$238,MATCH(A130,Manual_Review!$A$6:$A$238,0))&gt;0,INDEX(Manual_Review!$I$6:$I$238,MATCH(A130,Manual_Review!$A$6:$A$238,0))="Confirmed",INDEX(Manual_Review!$AF$6:$AF$238,MATCH(A130,Manual_Review!$A$6:$A$238,0))&lt;&gt;""),INDEX(Manual_Review!$AG$6:$AG$238,MATCH(A130,Manual_Review!$A$6:$A$238,0))&lt;&gt;""),IF(INDEX(Manual_Review!$AB$6:$AB$238,MATCH(A130,Manual_Review!$A$6:$A$238,0))="Pass","Pass",IF(INDEX(Manual_Review!$AB$6:$AB$238,MATCH(A130,Manual_Review!$A$6:$A$238,0))="Fail","Fail","Pending")),"Not assessed: define intended task")</f>
        <v>Not assessed: define intended task</v>
      </c>
      <c r="AW130" s="5" t="str">
        <f>IF(AND(AND(INDEX(Manual_Review!$G$6:$G$238,MATCH(A130,Manual_Review!$A$6:$A$238,0))&lt;&gt;"",ISNUMBER(INDEX(Manual_Review!$H$6:$H$238,MATCH(A130,Manual_Review!$A$6:$A$238,0))),INDEX(Manual_Review!$H$6:$H$238,MATCH(A130,Manual_Review!$A$6:$A$238,0))&gt;0,INDEX(Manual_Review!$I$6:$I$238,MATCH(A130,Manual_Review!$A$6:$A$238,0))="Confirmed",INDEX(Manual_Review!$AF$6:$AF$238,MATCH(A130,Manual_Review!$A$6:$A$238,0))&lt;&gt;""),INDEX(Manual_Review!$AG$6:$AG$238,MATCH(A130,Manual_Review!$A$6:$A$238,0))&lt;&gt;""),IF(OR(INDEX(Manual_Review!$AC$6:$AC$238,MATCH(A130,Manual_Review!$A$6:$A$238,0))="Fail",INDEX(Manual_Review!$AD$6:$AD$238,MATCH(A130,Manual_Review!$A$6:$A$238,0))="Fail"),"Fail: rights or retrieval",IF(AND(INDEX(Manual_Review!$AC$6:$AC$238,MATCH(A130,Manual_Review!$A$6:$A$238,0))="Pass",INDEX(Manual_Review!$AD$6:$AD$238,MATCH(A130,Manual_Review!$A$6:$A$238,0))="Pass"),"Pass","Pending rights and retrieval")),"Pending rights and retrieval")</f>
        <v>Pending rights and retrieval</v>
      </c>
      <c r="AX130" s="5" t="str">
        <f>IF(INDEX(Manual_Review!$AG$6:$AG$238,MATCH(A130,Manual_Review!$A$6:$A$238,0))="","N/A: documentation inventory",IF(AND(INDEX(Manual_Review!$G$6:$G$238,MATCH(A130,Manual_Review!$A$6:$A$238,0))&lt;&gt;"",ISNUMBER(INDEX(Manual_Review!$H$6:$H$238,MATCH(A130,Manual_Review!$A$6:$A$238,0))),INDEX(Manual_Review!$H$6:$H$238,MATCH(A130,Manual_Review!$A$6:$A$238,0))&gt;0,INDEX(Manual_Review!$I$6:$I$238,MATCH(A130,Manual_Review!$A$6:$A$238,0))="Confirmed",INDEX(Manual_Review!$AF$6:$AF$238,MATCH(A130,Manual_Review!$A$6:$A$238,0))&lt;&gt;""),IF(INDEX(Manual_Review!$AE$6:$AE$238,MATCH(A130,Manual_Review!$A$6:$A$238,0))="Pass","Pass",IF(INDEX(Manual_Review!$AE$6:$AE$238,MATCH(A130,Manual_Review!$A$6:$A$238,0))="Fail","Fail: benchmark leakage",IF(INDEX(Manual_Review!$AE$6:$AE$238,MATCH(A130,Manual_Review!$A$6:$A$238,0))="N/A","N/A: nonbenchmark task","Pending task-specific leakage check"))),"Pending task-specific leakage check"))</f>
        <v>N/A: documentation inventory</v>
      </c>
      <c r="AY130" s="5" t="str">
        <f>IF(IF(D130="Unlabeled-13",AND(ABS(MCDM_Settings!$D$14-1)&lt;0.0000001,MIN(MCDM_Settings!$E$6:$E$11)&gt;=0,MCDM_Settings!$E$7=0),AND(ABS(MCDM_Settings!$B$14-1)&lt;0.0000001,MIN(MCDM_Settings!$C$6:$C$11)&gt;=0)),"Valid","Check weights")</f>
        <v>Valid</v>
      </c>
      <c r="AZ130" s="5" t="str">
        <f>IF(AND(COUNTIF(MCDM_Checks!$B$6:$B$3733,A130)=16,COUNTIF(Manual_Review!$A$6:$A$238,A130)=1),"16 keys present","Check key count")</f>
        <v>16 keys present</v>
      </c>
    </row>
    <row r="131" spans="1:52" ht="38.25">
      <c r="A131" s="5" t="s">
        <v>1469</v>
      </c>
      <c r="B131" s="5" t="s">
        <v>1470</v>
      </c>
      <c r="C131" s="5"/>
      <c r="D131" s="5" t="s">
        <v>118</v>
      </c>
      <c r="E131" s="12">
        <f>IF(OR(AY131&lt;&gt;"Valid",AZ131&lt;&gt;"16 keys present"),"Review settings",20*(IF(ISNUMBER(AC131),AC131*IF($D131="Unlabeled-13",MCDM_Settings!$E$6,MCDM_Settings!$C$6),0)+IF(ISNUMBER(AF131),AF131*IF($D131="Unlabeled-13",MCDM_Settings!$E$7,MCDM_Settings!$C$7),0)+IF(ISNUMBER(AI131),AI131*IF($D131="Unlabeled-13",MCDM_Settings!$E$8,MCDM_Settings!$C$8),0)+IF(ISNUMBER(AL131),AL131*IF($D131="Unlabeled-13",MCDM_Settings!$E$9,MCDM_Settings!$C$9),0)+IF(ISNUMBER(AO131),AO131*IF($D131="Unlabeled-13",MCDM_Settings!$E$10,MCDM_Settings!$C$10),0)+IF(ISNUMBER(AR131),AR131*IF($D131="Unlabeled-13",MCDM_Settings!$E$11,MCDM_Settings!$C$11),0)))</f>
        <v>58.333333333333321</v>
      </c>
      <c r="F131" s="12">
        <f>IF(OR(AY131&lt;&gt;"Valid",AZ131&lt;&gt;"16 keys present"),"Review settings",20*(IF(ISNUMBER(AD131),AD131*IF($D131="Unlabeled-13",MCDM_Settings!$E$6,MCDM_Settings!$C$6),0)+IF(ISNUMBER(AG131),AG131*IF($D131="Unlabeled-13",MCDM_Settings!$E$7,MCDM_Settings!$C$7),0)+IF(ISNUMBER(AJ131),AJ131*IF($D131="Unlabeled-13",MCDM_Settings!$E$8,MCDM_Settings!$C$8),0)+IF(ISNUMBER(AM131),AM131*IF($D131="Unlabeled-13",MCDM_Settings!$E$9,MCDM_Settings!$C$9),0)+IF(ISNUMBER(AP131),AP131*IF($D131="Unlabeled-13",MCDM_Settings!$E$10,MCDM_Settings!$C$10),0)+IF(ISNUMBER(AS131),AS131*IF($D131="Unlabeled-13",MCDM_Settings!$E$11,MCDM_Settings!$C$11),0)))</f>
        <v>99.999999999999986</v>
      </c>
      <c r="G131" s="13">
        <f>IF(OR(AY131&lt;&gt;"Valid",AZ131&lt;&gt;"16 keys present"),"Review settings",1*(IF(ISNUMBER(AE131),AE131*IF($D131="Unlabeled-13",MCDM_Settings!$E$6,MCDM_Settings!$C$6),0)+IF(ISNUMBER(AH131),AH131*IF($D131="Unlabeled-13",MCDM_Settings!$E$7,MCDM_Settings!$C$7),0)+IF(ISNUMBER(AK131),AK131*IF($D131="Unlabeled-13",MCDM_Settings!$E$8,MCDM_Settings!$C$8),0)+IF(ISNUMBER(AN131),AN131*IF($D131="Unlabeled-13",MCDM_Settings!$E$9,MCDM_Settings!$C$9),0)+IF(ISNUMBER(AQ131),AQ131*IF($D131="Unlabeled-13",MCDM_Settings!$E$10,MCDM_Settings!$C$10),0)+IF(ISNUMBER(AT131),AT131*IF($D131="Unlabeled-13",MCDM_Settings!$E$11,MCDM_Settings!$C$11),0)))</f>
        <v>0.58333333333333337</v>
      </c>
      <c r="H131" s="5" t="str">
        <f>INDEX(Manual_Review!$AH$6:$AH$238,MATCH(A131,Manual_Review!$A$6:$A$238,0))</f>
        <v>Not started</v>
      </c>
      <c r="I131" s="5" t="s">
        <v>128</v>
      </c>
      <c r="J131" s="5" t="s">
        <v>121</v>
      </c>
      <c r="K131" s="5" t="str">
        <f>HYPERLINK("https://zenodo.org/records/18208073","Dataset")</f>
        <v>Dataset</v>
      </c>
      <c r="L131" s="5" t="str">
        <f>HYPERLINK("#'Manual_Review'!A"&amp;(MATCH("DS-126",Manual_Review!$A$6:$A$238,0)+5),"Enter review")</f>
        <v>Enter review</v>
      </c>
      <c r="M131" s="5" t="str">
        <f>INDEX(MCDM_Checks!$K$6:$K$3733,MATCH(A131&amp;"|"&amp;M$5,MCDM_Checks!$A$6:$A$3733,0))</f>
        <v>Y</v>
      </c>
      <c r="N131" s="5" t="str">
        <f>INDEX(MCDM_Checks!$K$6:$K$3733,MATCH(A131&amp;"|"&amp;N$5,MCDM_Checks!$A$6:$A$3733,0))</f>
        <v>Y</v>
      </c>
      <c r="O131" s="5" t="str">
        <f>INDEX(MCDM_Checks!$K$6:$K$3733,MATCH(A131&amp;"|"&amp;O$5,MCDM_Checks!$A$6:$A$3733,0))</f>
        <v>Y</v>
      </c>
      <c r="P131" s="5" t="str">
        <f>INDEX(MCDM_Checks!$K$6:$K$3733,MATCH(A131&amp;"|"&amp;P$5,MCDM_Checks!$A$6:$A$3733,0))</f>
        <v>Y</v>
      </c>
      <c r="Q131" s="5" t="str">
        <f>INDEX(MCDM_Checks!$K$6:$K$3733,MATCH(A131&amp;"|"&amp;Q$5,MCDM_Checks!$A$6:$A$3733,0))</f>
        <v>U</v>
      </c>
      <c r="R131" s="5" t="str">
        <f>INDEX(MCDM_Checks!$K$6:$K$3733,MATCH(A131&amp;"|"&amp;R$5,MCDM_Checks!$A$6:$A$3733,0))</f>
        <v>U</v>
      </c>
      <c r="S131" s="5" t="str">
        <f>INDEX(MCDM_Checks!$K$6:$K$3733,MATCH(A131&amp;"|"&amp;S$5,MCDM_Checks!$A$6:$A$3733,0))</f>
        <v>U</v>
      </c>
      <c r="T131" s="5" t="str">
        <f>INDEX(MCDM_Checks!$K$6:$K$3733,MATCH(A131&amp;"|"&amp;T$5,MCDM_Checks!$A$6:$A$3733,0))</f>
        <v>Y</v>
      </c>
      <c r="U131" s="5" t="str">
        <f>INDEX(MCDM_Checks!$K$6:$K$3733,MATCH(A131&amp;"|"&amp;U$5,MCDM_Checks!$A$6:$A$3733,0))</f>
        <v>U</v>
      </c>
      <c r="V131" s="5" t="str">
        <f>INDEX(MCDM_Checks!$K$6:$K$3733,MATCH(A131&amp;"|"&amp;V$5,MCDM_Checks!$A$6:$A$3733,0))</f>
        <v>Y</v>
      </c>
      <c r="W131" s="5" t="str">
        <f>INDEX(MCDM_Checks!$K$6:$K$3733,MATCH(A131&amp;"|"&amp;W$5,MCDM_Checks!$A$6:$A$3733,0))</f>
        <v>U</v>
      </c>
      <c r="X131" s="5" t="str">
        <f>INDEX(MCDM_Checks!$K$6:$K$3733,MATCH(A131&amp;"|"&amp;X$5,MCDM_Checks!$A$6:$A$3733,0))</f>
        <v>Y</v>
      </c>
      <c r="Y131" s="5" t="str">
        <f>INDEX(MCDM_Checks!$K$6:$K$3733,MATCH(A131&amp;"|"&amp;Y$5,MCDM_Checks!$A$6:$A$3733,0))</f>
        <v>Y</v>
      </c>
      <c r="Z131" s="5" t="str">
        <f>INDEX(MCDM_Checks!$K$6:$K$3733,MATCH(A131&amp;"|"&amp;Z$5,MCDM_Checks!$A$6:$A$3733,0))</f>
        <v>Y</v>
      </c>
      <c r="AA131" s="5" t="str">
        <f>INDEX(MCDM_Checks!$K$6:$K$3733,MATCH(A131&amp;"|"&amp;AA$5,MCDM_Checks!$A$6:$A$3733,0))</f>
        <v>U</v>
      </c>
      <c r="AB131" s="5" t="str">
        <f>INDEX(MCDM_Checks!$K$6:$K$3733,MATCH(A131&amp;"|"&amp;AB$5,MCDM_Checks!$A$6:$A$3733,0))</f>
        <v>U</v>
      </c>
      <c r="AC131" s="12">
        <f>IF(IF($D131="Unlabeled-13",MCDM_Settings!$F$6,MCDM_Settings!$D$6)=0,"n.a.",5*COUNTIF(M131:O131,"Y")/IF($D131="Unlabeled-13",MCDM_Settings!$F$6,MCDM_Settings!$D$6))</f>
        <v>5</v>
      </c>
      <c r="AD131" s="12">
        <f>IF(IF($D131="Unlabeled-13",MCDM_Settings!$F$6,MCDM_Settings!$D$6)=0,"n.a.",5*(COUNTIF(M131:O131,"Y")+COUNTIF(M131:O131,"U")+COUNTIF(M131:O131,"X"))/IF($D131="Unlabeled-13",MCDM_Settings!$F$6,MCDM_Settings!$D$6))</f>
        <v>5</v>
      </c>
      <c r="AE131" s="13">
        <f>IF(IF($D131="Unlabeled-13",MCDM_Settings!$F$6,MCDM_Settings!$D$6)=0,"n.a.",(COUNTIF(M131:O131,"Y")+COUNTIF(M131:O131,"N"))/IF($D131="Unlabeled-13",MCDM_Settings!$F$6,MCDM_Settings!$D$6))</f>
        <v>1</v>
      </c>
      <c r="AF131" s="12">
        <f>IF(IF($D131="Unlabeled-13",MCDM_Settings!$F$7,MCDM_Settings!$D$7)=0,"n.a.",5*COUNTIF(P131:R131,"Y")/IF($D131="Unlabeled-13",MCDM_Settings!$F$7,MCDM_Settings!$D$7))</f>
        <v>1.6666666666666667</v>
      </c>
      <c r="AG131" s="12">
        <f>IF(IF($D131="Unlabeled-13",MCDM_Settings!$F$7,MCDM_Settings!$D$7)=0,"n.a.",5*(COUNTIF(P131:R131,"Y")+COUNTIF(P131:R131,"U")+COUNTIF(P131:R131,"X"))/IF($D131="Unlabeled-13",MCDM_Settings!$F$7,MCDM_Settings!$D$7))</f>
        <v>5</v>
      </c>
      <c r="AH131" s="13">
        <f>IF(IF($D131="Unlabeled-13",MCDM_Settings!$F$7,MCDM_Settings!$D$7)=0,"n.a.",(COUNTIF(P131:R131,"Y")+COUNTIF(P131:R131,"N"))/IF($D131="Unlabeled-13",MCDM_Settings!$F$7,MCDM_Settings!$D$7))</f>
        <v>0.33333333333333331</v>
      </c>
      <c r="AI131" s="12">
        <f>IF(IF($D131="Unlabeled-13",MCDM_Settings!$F$8,MCDM_Settings!$D$8)=0,"n.a.",5*COUNTIF(S131:U131,"Y")/IF($D131="Unlabeled-13",MCDM_Settings!$F$8,MCDM_Settings!$D$8))</f>
        <v>1.6666666666666667</v>
      </c>
      <c r="AJ131" s="12">
        <f>IF(IF($D131="Unlabeled-13",MCDM_Settings!$F$8,MCDM_Settings!$D$8)=0,"n.a.",5*(COUNTIF(S131:U131,"Y")+COUNTIF(S131:U131,"U")+COUNTIF(S131:U131,"X"))/IF($D131="Unlabeled-13",MCDM_Settings!$F$8,MCDM_Settings!$D$8))</f>
        <v>5</v>
      </c>
      <c r="AK131" s="13">
        <f>IF(IF($D131="Unlabeled-13",MCDM_Settings!$F$8,MCDM_Settings!$D$8)=0,"n.a.",(COUNTIF(S131:U131,"Y")+COUNTIF(S131:U131,"N"))/IF($D131="Unlabeled-13",MCDM_Settings!$F$8,MCDM_Settings!$D$8))</f>
        <v>0.33333333333333331</v>
      </c>
      <c r="AL131" s="12">
        <f>IF(IF($D131="Unlabeled-13",MCDM_Settings!$F$9,MCDM_Settings!$D$9)=0,"n.a.",5*COUNTIF(V131:W131,"Y")/IF($D131="Unlabeled-13",MCDM_Settings!$F$9,MCDM_Settings!$D$9))</f>
        <v>2.5</v>
      </c>
      <c r="AM131" s="12">
        <f>IF(IF($D131="Unlabeled-13",MCDM_Settings!$F$9,MCDM_Settings!$D$9)=0,"n.a.",5*(COUNTIF(V131:W131,"Y")+COUNTIF(V131:W131,"U")+COUNTIF(V131:W131,"X"))/IF($D131="Unlabeled-13",MCDM_Settings!$F$9,MCDM_Settings!$D$9))</f>
        <v>5</v>
      </c>
      <c r="AN131" s="13">
        <f>IF(IF($D131="Unlabeled-13",MCDM_Settings!$F$9,MCDM_Settings!$D$9)=0,"n.a.",(COUNTIF(V131:W131,"Y")+COUNTIF(V131:W131,"N"))/IF($D131="Unlabeled-13",MCDM_Settings!$F$9,MCDM_Settings!$D$9))</f>
        <v>0.5</v>
      </c>
      <c r="AO131" s="12">
        <f>IF(IF($D131="Unlabeled-13",MCDM_Settings!$F$10,MCDM_Settings!$D$10)=0,"n.a.",5*COUNTIF(X131:Y131,"Y")/IF($D131="Unlabeled-13",MCDM_Settings!$F$10,MCDM_Settings!$D$10))</f>
        <v>5</v>
      </c>
      <c r="AP131" s="12">
        <f>IF(IF($D131="Unlabeled-13",MCDM_Settings!$F$10,MCDM_Settings!$D$10)=0,"n.a.",5*(COUNTIF(X131:Y131,"Y")+COUNTIF(X131:Y131,"U")+COUNTIF(X131:Y131,"X"))/IF($D131="Unlabeled-13",MCDM_Settings!$F$10,MCDM_Settings!$D$10))</f>
        <v>5</v>
      </c>
      <c r="AQ131" s="13">
        <f>IF(IF($D131="Unlabeled-13",MCDM_Settings!$F$10,MCDM_Settings!$D$10)=0,"n.a.",(COUNTIF(X131:Y131,"Y")+COUNTIF(X131:Y131,"N"))/IF($D131="Unlabeled-13",MCDM_Settings!$F$10,MCDM_Settings!$D$10))</f>
        <v>1</v>
      </c>
      <c r="AR131" s="12">
        <f>IF(IF($D131="Unlabeled-13",MCDM_Settings!$F$11,MCDM_Settings!$D$11)=0,"n.a.",5*COUNTIF(Z131:AB131,"Y")/IF($D131="Unlabeled-13",MCDM_Settings!$F$11,MCDM_Settings!$D$11))</f>
        <v>1.6666666666666667</v>
      </c>
      <c r="AS131" s="12">
        <f>IF(IF($D131="Unlabeled-13",MCDM_Settings!$F$11,MCDM_Settings!$D$11)=0,"n.a.",5*(COUNTIF(Z131:AB131,"Y")+COUNTIF(Z131:AB131,"U")+COUNTIF(Z131:AB131,"X"))/IF($D131="Unlabeled-13",MCDM_Settings!$F$11,MCDM_Settings!$D$11))</f>
        <v>5</v>
      </c>
      <c r="AT131" s="13">
        <f>IF(IF($D131="Unlabeled-13",MCDM_Settings!$F$11,MCDM_Settings!$D$11)=0,"n.a.",(COUNTIF(Z131:AB131,"Y")+COUNTIF(Z131:AB131,"N"))/IF($D131="Unlabeled-13",MCDM_Settings!$F$11,MCDM_Settings!$D$11))</f>
        <v>0.33333333333333331</v>
      </c>
      <c r="AU131" s="5" t="str">
        <f>IF(AND(INDEX(Manual_Review!$G$6:$G$238,MATCH(A131,Manual_Review!$A$6:$A$238,0))&lt;&gt;"",ISNUMBER(INDEX(Manual_Review!$H$6:$H$238,MATCH(A131,Manual_Review!$A$6:$A$238,0))),INDEX(Manual_Review!$H$6:$H$238,MATCH(A131,Manual_Review!$A$6:$A$238,0))&gt;0,INDEX(Manual_Review!$I$6:$I$238,MATCH(A131,Manual_Review!$A$6:$A$238,0))="Confirmed",INDEX(Manual_Review!$AF$6:$AF$238,MATCH(A131,Manual_Review!$A$6:$A$238,0))&lt;&gt;""),IF(INDEX(Manual_Review!$AA$6:$AA$238,MATCH(A131,Manual_Review!$A$6:$A$238,0))="Pass","Pass",IF(INDEX(Manual_Review!$AA$6:$AA$238,MATCH(A131,Manual_Review!$A$6:$A$238,0))="Fail","Fail","Pending")),"Pending human identity confirmation")</f>
        <v>Pending human identity confirmation</v>
      </c>
      <c r="AV131" s="5" t="str">
        <f>IF(AND(AND(INDEX(Manual_Review!$G$6:$G$238,MATCH(A131,Manual_Review!$A$6:$A$238,0))&lt;&gt;"",ISNUMBER(INDEX(Manual_Review!$H$6:$H$238,MATCH(A131,Manual_Review!$A$6:$A$238,0))),INDEX(Manual_Review!$H$6:$H$238,MATCH(A131,Manual_Review!$A$6:$A$238,0))&gt;0,INDEX(Manual_Review!$I$6:$I$238,MATCH(A131,Manual_Review!$A$6:$A$238,0))="Confirmed",INDEX(Manual_Review!$AF$6:$AF$238,MATCH(A131,Manual_Review!$A$6:$A$238,0))&lt;&gt;""),INDEX(Manual_Review!$AG$6:$AG$238,MATCH(A131,Manual_Review!$A$6:$A$238,0))&lt;&gt;""),IF(INDEX(Manual_Review!$AB$6:$AB$238,MATCH(A131,Manual_Review!$A$6:$A$238,0))="Pass","Pass",IF(INDEX(Manual_Review!$AB$6:$AB$238,MATCH(A131,Manual_Review!$A$6:$A$238,0))="Fail","Fail","Pending")),"Not assessed: define intended task")</f>
        <v>Not assessed: define intended task</v>
      </c>
      <c r="AW131" s="5" t="str">
        <f>IF(AND(AND(INDEX(Manual_Review!$G$6:$G$238,MATCH(A131,Manual_Review!$A$6:$A$238,0))&lt;&gt;"",ISNUMBER(INDEX(Manual_Review!$H$6:$H$238,MATCH(A131,Manual_Review!$A$6:$A$238,0))),INDEX(Manual_Review!$H$6:$H$238,MATCH(A131,Manual_Review!$A$6:$A$238,0))&gt;0,INDEX(Manual_Review!$I$6:$I$238,MATCH(A131,Manual_Review!$A$6:$A$238,0))="Confirmed",INDEX(Manual_Review!$AF$6:$AF$238,MATCH(A131,Manual_Review!$A$6:$A$238,0))&lt;&gt;""),INDEX(Manual_Review!$AG$6:$AG$238,MATCH(A131,Manual_Review!$A$6:$A$238,0))&lt;&gt;""),IF(OR(INDEX(Manual_Review!$AC$6:$AC$238,MATCH(A131,Manual_Review!$A$6:$A$238,0))="Fail",INDEX(Manual_Review!$AD$6:$AD$238,MATCH(A131,Manual_Review!$A$6:$A$238,0))="Fail"),"Fail: rights or retrieval",IF(AND(INDEX(Manual_Review!$AC$6:$AC$238,MATCH(A131,Manual_Review!$A$6:$A$238,0))="Pass",INDEX(Manual_Review!$AD$6:$AD$238,MATCH(A131,Manual_Review!$A$6:$A$238,0))="Pass"),"Pass","Pending rights and retrieval")),"Pending rights and retrieval")</f>
        <v>Pending rights and retrieval</v>
      </c>
      <c r="AX131" s="5" t="str">
        <f>IF(INDEX(Manual_Review!$AG$6:$AG$238,MATCH(A131,Manual_Review!$A$6:$A$238,0))="","N/A: documentation inventory",IF(AND(INDEX(Manual_Review!$G$6:$G$238,MATCH(A131,Manual_Review!$A$6:$A$238,0))&lt;&gt;"",ISNUMBER(INDEX(Manual_Review!$H$6:$H$238,MATCH(A131,Manual_Review!$A$6:$A$238,0))),INDEX(Manual_Review!$H$6:$H$238,MATCH(A131,Manual_Review!$A$6:$A$238,0))&gt;0,INDEX(Manual_Review!$I$6:$I$238,MATCH(A131,Manual_Review!$A$6:$A$238,0))="Confirmed",INDEX(Manual_Review!$AF$6:$AF$238,MATCH(A131,Manual_Review!$A$6:$A$238,0))&lt;&gt;""),IF(INDEX(Manual_Review!$AE$6:$AE$238,MATCH(A131,Manual_Review!$A$6:$A$238,0))="Pass","Pass",IF(INDEX(Manual_Review!$AE$6:$AE$238,MATCH(A131,Manual_Review!$A$6:$A$238,0))="Fail","Fail: benchmark leakage",IF(INDEX(Manual_Review!$AE$6:$AE$238,MATCH(A131,Manual_Review!$A$6:$A$238,0))="N/A","N/A: nonbenchmark task","Pending task-specific leakage check"))),"Pending task-specific leakage check"))</f>
        <v>N/A: documentation inventory</v>
      </c>
      <c r="AY131" s="5" t="str">
        <f>IF(IF(D131="Unlabeled-13",AND(ABS(MCDM_Settings!$D$14-1)&lt;0.0000001,MIN(MCDM_Settings!$E$6:$E$11)&gt;=0,MCDM_Settings!$E$7=0),AND(ABS(MCDM_Settings!$B$14-1)&lt;0.0000001,MIN(MCDM_Settings!$C$6:$C$11)&gt;=0)),"Valid","Check weights")</f>
        <v>Valid</v>
      </c>
      <c r="AZ131" s="5" t="str">
        <f>IF(AND(COUNTIF(MCDM_Checks!$B$6:$B$3733,A131)=16,COUNTIF(Manual_Review!$A$6:$A$238,A131)=1),"16 keys present","Check key count")</f>
        <v>16 keys present</v>
      </c>
    </row>
    <row r="132" spans="1:52" ht="38.25">
      <c r="A132" s="5" t="s">
        <v>1480</v>
      </c>
      <c r="B132" s="5" t="s">
        <v>1481</v>
      </c>
      <c r="C132" s="5"/>
      <c r="D132" s="5" t="s">
        <v>118</v>
      </c>
      <c r="E132" s="12">
        <f>IF(OR(AY132&lt;&gt;"Valid",AZ132&lt;&gt;"16 keys present"),"Review settings",20*(IF(ISNUMBER(AC132),AC132*IF($D132="Unlabeled-13",MCDM_Settings!$E$6,MCDM_Settings!$C$6),0)+IF(ISNUMBER(AF132),AF132*IF($D132="Unlabeled-13",MCDM_Settings!$E$7,MCDM_Settings!$C$7),0)+IF(ISNUMBER(AI132),AI132*IF($D132="Unlabeled-13",MCDM_Settings!$E$8,MCDM_Settings!$C$8),0)+IF(ISNUMBER(AL132),AL132*IF($D132="Unlabeled-13",MCDM_Settings!$E$9,MCDM_Settings!$C$9),0)+IF(ISNUMBER(AO132),AO132*IF($D132="Unlabeled-13",MCDM_Settings!$E$10,MCDM_Settings!$C$10),0)+IF(ISNUMBER(AR132),AR132*IF($D132="Unlabeled-13",MCDM_Settings!$E$11,MCDM_Settings!$C$11),0)))</f>
        <v>49.999999999999993</v>
      </c>
      <c r="F132" s="12">
        <f>IF(OR(AY132&lt;&gt;"Valid",AZ132&lt;&gt;"16 keys present"),"Review settings",20*(IF(ISNUMBER(AD132),AD132*IF($D132="Unlabeled-13",MCDM_Settings!$E$6,MCDM_Settings!$C$6),0)+IF(ISNUMBER(AG132),AG132*IF($D132="Unlabeled-13",MCDM_Settings!$E$7,MCDM_Settings!$C$7),0)+IF(ISNUMBER(AJ132),AJ132*IF($D132="Unlabeled-13",MCDM_Settings!$E$8,MCDM_Settings!$C$8),0)+IF(ISNUMBER(AM132),AM132*IF($D132="Unlabeled-13",MCDM_Settings!$E$9,MCDM_Settings!$C$9),0)+IF(ISNUMBER(AP132),AP132*IF($D132="Unlabeled-13",MCDM_Settings!$E$10,MCDM_Settings!$C$10),0)+IF(ISNUMBER(AS132),AS132*IF($D132="Unlabeled-13",MCDM_Settings!$E$11,MCDM_Settings!$C$11),0)))</f>
        <v>99.999999999999986</v>
      </c>
      <c r="G132" s="13">
        <f>IF(OR(AY132&lt;&gt;"Valid",AZ132&lt;&gt;"16 keys present"),"Review settings",1*(IF(ISNUMBER(AE132),AE132*IF($D132="Unlabeled-13",MCDM_Settings!$E$6,MCDM_Settings!$C$6),0)+IF(ISNUMBER(AH132),AH132*IF($D132="Unlabeled-13",MCDM_Settings!$E$7,MCDM_Settings!$C$7),0)+IF(ISNUMBER(AK132),AK132*IF($D132="Unlabeled-13",MCDM_Settings!$E$8,MCDM_Settings!$C$8),0)+IF(ISNUMBER(AN132),AN132*IF($D132="Unlabeled-13",MCDM_Settings!$E$9,MCDM_Settings!$C$9),0)+IF(ISNUMBER(AQ132),AQ132*IF($D132="Unlabeled-13",MCDM_Settings!$E$10,MCDM_Settings!$C$10),0)+IF(ISNUMBER(AT132),AT132*IF($D132="Unlabeled-13",MCDM_Settings!$E$11,MCDM_Settings!$C$11),0)))</f>
        <v>0.5</v>
      </c>
      <c r="H132" s="5" t="str">
        <f>INDEX(Manual_Review!$AH$6:$AH$238,MATCH(A132,Manual_Review!$A$6:$A$238,0))</f>
        <v>Not started</v>
      </c>
      <c r="I132" s="5" t="s">
        <v>128</v>
      </c>
      <c r="J132" s="5" t="s">
        <v>556</v>
      </c>
      <c r="K132" s="5" t="str">
        <f>HYPERLINK("https://zenodo.org/records/20581123","Dataset")</f>
        <v>Dataset</v>
      </c>
      <c r="L132" s="5" t="str">
        <f>HYPERLINK("#'Manual_Review'!A"&amp;(MATCH("DS-127",Manual_Review!$A$6:$A$238,0)+5),"Enter review")</f>
        <v>Enter review</v>
      </c>
      <c r="M132" s="5" t="str">
        <f>INDEX(MCDM_Checks!$K$6:$K$3733,MATCH(A132&amp;"|"&amp;M$5,MCDM_Checks!$A$6:$A$3733,0))</f>
        <v>Y</v>
      </c>
      <c r="N132" s="5" t="str">
        <f>INDEX(MCDM_Checks!$K$6:$K$3733,MATCH(A132&amp;"|"&amp;N$5,MCDM_Checks!$A$6:$A$3733,0))</f>
        <v>Y</v>
      </c>
      <c r="O132" s="5" t="str">
        <f>INDEX(MCDM_Checks!$K$6:$K$3733,MATCH(A132&amp;"|"&amp;O$5,MCDM_Checks!$A$6:$A$3733,0))</f>
        <v>Y</v>
      </c>
      <c r="P132" s="5" t="str">
        <f>INDEX(MCDM_Checks!$K$6:$K$3733,MATCH(A132&amp;"|"&amp;P$5,MCDM_Checks!$A$6:$A$3733,0))</f>
        <v>Y</v>
      </c>
      <c r="Q132" s="5" t="str">
        <f>INDEX(MCDM_Checks!$K$6:$K$3733,MATCH(A132&amp;"|"&amp;Q$5,MCDM_Checks!$A$6:$A$3733,0))</f>
        <v>U</v>
      </c>
      <c r="R132" s="5" t="str">
        <f>INDEX(MCDM_Checks!$K$6:$K$3733,MATCH(A132&amp;"|"&amp;R$5,MCDM_Checks!$A$6:$A$3733,0))</f>
        <v>U</v>
      </c>
      <c r="S132" s="5" t="str">
        <f>INDEX(MCDM_Checks!$K$6:$K$3733,MATCH(A132&amp;"|"&amp;S$5,MCDM_Checks!$A$6:$A$3733,0))</f>
        <v>U</v>
      </c>
      <c r="T132" s="5" t="str">
        <f>INDEX(MCDM_Checks!$K$6:$K$3733,MATCH(A132&amp;"|"&amp;T$5,MCDM_Checks!$A$6:$A$3733,0))</f>
        <v>Y</v>
      </c>
      <c r="U132" s="5" t="str">
        <f>INDEX(MCDM_Checks!$K$6:$K$3733,MATCH(A132&amp;"|"&amp;U$5,MCDM_Checks!$A$6:$A$3733,0))</f>
        <v>U</v>
      </c>
      <c r="V132" s="5" t="str">
        <f>INDEX(MCDM_Checks!$K$6:$K$3733,MATCH(A132&amp;"|"&amp;V$5,MCDM_Checks!$A$6:$A$3733,0))</f>
        <v>Y</v>
      </c>
      <c r="W132" s="5" t="str">
        <f>INDEX(MCDM_Checks!$K$6:$K$3733,MATCH(A132&amp;"|"&amp;W$5,MCDM_Checks!$A$6:$A$3733,0))</f>
        <v>U</v>
      </c>
      <c r="X132" s="5" t="str">
        <f>INDEX(MCDM_Checks!$K$6:$K$3733,MATCH(A132&amp;"|"&amp;X$5,MCDM_Checks!$A$6:$A$3733,0))</f>
        <v>U</v>
      </c>
      <c r="Y132" s="5" t="str">
        <f>INDEX(MCDM_Checks!$K$6:$K$3733,MATCH(A132&amp;"|"&amp;Y$5,MCDM_Checks!$A$6:$A$3733,0))</f>
        <v>Y</v>
      </c>
      <c r="Z132" s="5" t="str">
        <f>INDEX(MCDM_Checks!$K$6:$K$3733,MATCH(A132&amp;"|"&amp;Z$5,MCDM_Checks!$A$6:$A$3733,0))</f>
        <v>Y</v>
      </c>
      <c r="AA132" s="5" t="str">
        <f>INDEX(MCDM_Checks!$K$6:$K$3733,MATCH(A132&amp;"|"&amp;AA$5,MCDM_Checks!$A$6:$A$3733,0))</f>
        <v>U</v>
      </c>
      <c r="AB132" s="5" t="str">
        <f>INDEX(MCDM_Checks!$K$6:$K$3733,MATCH(A132&amp;"|"&amp;AB$5,MCDM_Checks!$A$6:$A$3733,0))</f>
        <v>U</v>
      </c>
      <c r="AC132" s="12">
        <f>IF(IF($D132="Unlabeled-13",MCDM_Settings!$F$6,MCDM_Settings!$D$6)=0,"n.a.",5*COUNTIF(M132:O132,"Y")/IF($D132="Unlabeled-13",MCDM_Settings!$F$6,MCDM_Settings!$D$6))</f>
        <v>5</v>
      </c>
      <c r="AD132" s="12">
        <f>IF(IF($D132="Unlabeled-13",MCDM_Settings!$F$6,MCDM_Settings!$D$6)=0,"n.a.",5*(COUNTIF(M132:O132,"Y")+COUNTIF(M132:O132,"U")+COUNTIF(M132:O132,"X"))/IF($D132="Unlabeled-13",MCDM_Settings!$F$6,MCDM_Settings!$D$6))</f>
        <v>5</v>
      </c>
      <c r="AE132" s="13">
        <f>IF(IF($D132="Unlabeled-13",MCDM_Settings!$F$6,MCDM_Settings!$D$6)=0,"n.a.",(COUNTIF(M132:O132,"Y")+COUNTIF(M132:O132,"N"))/IF($D132="Unlabeled-13",MCDM_Settings!$F$6,MCDM_Settings!$D$6))</f>
        <v>1</v>
      </c>
      <c r="AF132" s="12">
        <f>IF(IF($D132="Unlabeled-13",MCDM_Settings!$F$7,MCDM_Settings!$D$7)=0,"n.a.",5*COUNTIF(P132:R132,"Y")/IF($D132="Unlabeled-13",MCDM_Settings!$F$7,MCDM_Settings!$D$7))</f>
        <v>1.6666666666666667</v>
      </c>
      <c r="AG132" s="12">
        <f>IF(IF($D132="Unlabeled-13",MCDM_Settings!$F$7,MCDM_Settings!$D$7)=0,"n.a.",5*(COUNTIF(P132:R132,"Y")+COUNTIF(P132:R132,"U")+COUNTIF(P132:R132,"X"))/IF($D132="Unlabeled-13",MCDM_Settings!$F$7,MCDM_Settings!$D$7))</f>
        <v>5</v>
      </c>
      <c r="AH132" s="13">
        <f>IF(IF($D132="Unlabeled-13",MCDM_Settings!$F$7,MCDM_Settings!$D$7)=0,"n.a.",(COUNTIF(P132:R132,"Y")+COUNTIF(P132:R132,"N"))/IF($D132="Unlabeled-13",MCDM_Settings!$F$7,MCDM_Settings!$D$7))</f>
        <v>0.33333333333333331</v>
      </c>
      <c r="AI132" s="12">
        <f>IF(IF($D132="Unlabeled-13",MCDM_Settings!$F$8,MCDM_Settings!$D$8)=0,"n.a.",5*COUNTIF(S132:U132,"Y")/IF($D132="Unlabeled-13",MCDM_Settings!$F$8,MCDM_Settings!$D$8))</f>
        <v>1.6666666666666667</v>
      </c>
      <c r="AJ132" s="12">
        <f>IF(IF($D132="Unlabeled-13",MCDM_Settings!$F$8,MCDM_Settings!$D$8)=0,"n.a.",5*(COUNTIF(S132:U132,"Y")+COUNTIF(S132:U132,"U")+COUNTIF(S132:U132,"X"))/IF($D132="Unlabeled-13",MCDM_Settings!$F$8,MCDM_Settings!$D$8))</f>
        <v>5</v>
      </c>
      <c r="AK132" s="13">
        <f>IF(IF($D132="Unlabeled-13",MCDM_Settings!$F$8,MCDM_Settings!$D$8)=0,"n.a.",(COUNTIF(S132:U132,"Y")+COUNTIF(S132:U132,"N"))/IF($D132="Unlabeled-13",MCDM_Settings!$F$8,MCDM_Settings!$D$8))</f>
        <v>0.33333333333333331</v>
      </c>
      <c r="AL132" s="12">
        <f>IF(IF($D132="Unlabeled-13",MCDM_Settings!$F$9,MCDM_Settings!$D$9)=0,"n.a.",5*COUNTIF(V132:W132,"Y")/IF($D132="Unlabeled-13",MCDM_Settings!$F$9,MCDM_Settings!$D$9))</f>
        <v>2.5</v>
      </c>
      <c r="AM132" s="12">
        <f>IF(IF($D132="Unlabeled-13",MCDM_Settings!$F$9,MCDM_Settings!$D$9)=0,"n.a.",5*(COUNTIF(V132:W132,"Y")+COUNTIF(V132:W132,"U")+COUNTIF(V132:W132,"X"))/IF($D132="Unlabeled-13",MCDM_Settings!$F$9,MCDM_Settings!$D$9))</f>
        <v>5</v>
      </c>
      <c r="AN132" s="13">
        <f>IF(IF($D132="Unlabeled-13",MCDM_Settings!$F$9,MCDM_Settings!$D$9)=0,"n.a.",(COUNTIF(V132:W132,"Y")+COUNTIF(V132:W132,"N"))/IF($D132="Unlabeled-13",MCDM_Settings!$F$9,MCDM_Settings!$D$9))</f>
        <v>0.5</v>
      </c>
      <c r="AO132" s="12">
        <f>IF(IF($D132="Unlabeled-13",MCDM_Settings!$F$10,MCDM_Settings!$D$10)=0,"n.a.",5*COUNTIF(X132:Y132,"Y")/IF($D132="Unlabeled-13",MCDM_Settings!$F$10,MCDM_Settings!$D$10))</f>
        <v>2.5</v>
      </c>
      <c r="AP132" s="12">
        <f>IF(IF($D132="Unlabeled-13",MCDM_Settings!$F$10,MCDM_Settings!$D$10)=0,"n.a.",5*(COUNTIF(X132:Y132,"Y")+COUNTIF(X132:Y132,"U")+COUNTIF(X132:Y132,"X"))/IF($D132="Unlabeled-13",MCDM_Settings!$F$10,MCDM_Settings!$D$10))</f>
        <v>5</v>
      </c>
      <c r="AQ132" s="13">
        <f>IF(IF($D132="Unlabeled-13",MCDM_Settings!$F$10,MCDM_Settings!$D$10)=0,"n.a.",(COUNTIF(X132:Y132,"Y")+COUNTIF(X132:Y132,"N"))/IF($D132="Unlabeled-13",MCDM_Settings!$F$10,MCDM_Settings!$D$10))</f>
        <v>0.5</v>
      </c>
      <c r="AR132" s="12">
        <f>IF(IF($D132="Unlabeled-13",MCDM_Settings!$F$11,MCDM_Settings!$D$11)=0,"n.a.",5*COUNTIF(Z132:AB132,"Y")/IF($D132="Unlabeled-13",MCDM_Settings!$F$11,MCDM_Settings!$D$11))</f>
        <v>1.6666666666666667</v>
      </c>
      <c r="AS132" s="12">
        <f>IF(IF($D132="Unlabeled-13",MCDM_Settings!$F$11,MCDM_Settings!$D$11)=0,"n.a.",5*(COUNTIF(Z132:AB132,"Y")+COUNTIF(Z132:AB132,"U")+COUNTIF(Z132:AB132,"X"))/IF($D132="Unlabeled-13",MCDM_Settings!$F$11,MCDM_Settings!$D$11))</f>
        <v>5</v>
      </c>
      <c r="AT132" s="13">
        <f>IF(IF($D132="Unlabeled-13",MCDM_Settings!$F$11,MCDM_Settings!$D$11)=0,"n.a.",(COUNTIF(Z132:AB132,"Y")+COUNTIF(Z132:AB132,"N"))/IF($D132="Unlabeled-13",MCDM_Settings!$F$11,MCDM_Settings!$D$11))</f>
        <v>0.33333333333333331</v>
      </c>
      <c r="AU132" s="5" t="str">
        <f>IF(AND(INDEX(Manual_Review!$G$6:$G$238,MATCH(A132,Manual_Review!$A$6:$A$238,0))&lt;&gt;"",ISNUMBER(INDEX(Manual_Review!$H$6:$H$238,MATCH(A132,Manual_Review!$A$6:$A$238,0))),INDEX(Manual_Review!$H$6:$H$238,MATCH(A132,Manual_Review!$A$6:$A$238,0))&gt;0,INDEX(Manual_Review!$I$6:$I$238,MATCH(A132,Manual_Review!$A$6:$A$238,0))="Confirmed",INDEX(Manual_Review!$AF$6:$AF$238,MATCH(A132,Manual_Review!$A$6:$A$238,0))&lt;&gt;""),IF(INDEX(Manual_Review!$AA$6:$AA$238,MATCH(A132,Manual_Review!$A$6:$A$238,0))="Pass","Pass",IF(INDEX(Manual_Review!$AA$6:$AA$238,MATCH(A132,Manual_Review!$A$6:$A$238,0))="Fail","Fail","Pending")),"Pending human identity confirmation")</f>
        <v>Pending human identity confirmation</v>
      </c>
      <c r="AV132" s="5" t="str">
        <f>IF(AND(AND(INDEX(Manual_Review!$G$6:$G$238,MATCH(A132,Manual_Review!$A$6:$A$238,0))&lt;&gt;"",ISNUMBER(INDEX(Manual_Review!$H$6:$H$238,MATCH(A132,Manual_Review!$A$6:$A$238,0))),INDEX(Manual_Review!$H$6:$H$238,MATCH(A132,Manual_Review!$A$6:$A$238,0))&gt;0,INDEX(Manual_Review!$I$6:$I$238,MATCH(A132,Manual_Review!$A$6:$A$238,0))="Confirmed",INDEX(Manual_Review!$AF$6:$AF$238,MATCH(A132,Manual_Review!$A$6:$A$238,0))&lt;&gt;""),INDEX(Manual_Review!$AG$6:$AG$238,MATCH(A132,Manual_Review!$A$6:$A$238,0))&lt;&gt;""),IF(INDEX(Manual_Review!$AB$6:$AB$238,MATCH(A132,Manual_Review!$A$6:$A$238,0))="Pass","Pass",IF(INDEX(Manual_Review!$AB$6:$AB$238,MATCH(A132,Manual_Review!$A$6:$A$238,0))="Fail","Fail","Pending")),"Not assessed: define intended task")</f>
        <v>Not assessed: define intended task</v>
      </c>
      <c r="AW132" s="5" t="str">
        <f>IF(AND(AND(INDEX(Manual_Review!$G$6:$G$238,MATCH(A132,Manual_Review!$A$6:$A$238,0))&lt;&gt;"",ISNUMBER(INDEX(Manual_Review!$H$6:$H$238,MATCH(A132,Manual_Review!$A$6:$A$238,0))),INDEX(Manual_Review!$H$6:$H$238,MATCH(A132,Manual_Review!$A$6:$A$238,0))&gt;0,INDEX(Manual_Review!$I$6:$I$238,MATCH(A132,Manual_Review!$A$6:$A$238,0))="Confirmed",INDEX(Manual_Review!$AF$6:$AF$238,MATCH(A132,Manual_Review!$A$6:$A$238,0))&lt;&gt;""),INDEX(Manual_Review!$AG$6:$AG$238,MATCH(A132,Manual_Review!$A$6:$A$238,0))&lt;&gt;""),IF(OR(INDEX(Manual_Review!$AC$6:$AC$238,MATCH(A132,Manual_Review!$A$6:$A$238,0))="Fail",INDEX(Manual_Review!$AD$6:$AD$238,MATCH(A132,Manual_Review!$A$6:$A$238,0))="Fail"),"Fail: rights or retrieval",IF(AND(INDEX(Manual_Review!$AC$6:$AC$238,MATCH(A132,Manual_Review!$A$6:$A$238,0))="Pass",INDEX(Manual_Review!$AD$6:$AD$238,MATCH(A132,Manual_Review!$A$6:$A$238,0))="Pass"),"Pass","Pending rights and retrieval")),"Pending rights and retrieval")</f>
        <v>Pending rights and retrieval</v>
      </c>
      <c r="AX132" s="5" t="str">
        <f>IF(INDEX(Manual_Review!$AG$6:$AG$238,MATCH(A132,Manual_Review!$A$6:$A$238,0))="","N/A: documentation inventory",IF(AND(INDEX(Manual_Review!$G$6:$G$238,MATCH(A132,Manual_Review!$A$6:$A$238,0))&lt;&gt;"",ISNUMBER(INDEX(Manual_Review!$H$6:$H$238,MATCH(A132,Manual_Review!$A$6:$A$238,0))),INDEX(Manual_Review!$H$6:$H$238,MATCH(A132,Manual_Review!$A$6:$A$238,0))&gt;0,INDEX(Manual_Review!$I$6:$I$238,MATCH(A132,Manual_Review!$A$6:$A$238,0))="Confirmed",INDEX(Manual_Review!$AF$6:$AF$238,MATCH(A132,Manual_Review!$A$6:$A$238,0))&lt;&gt;""),IF(INDEX(Manual_Review!$AE$6:$AE$238,MATCH(A132,Manual_Review!$A$6:$A$238,0))="Pass","Pass",IF(INDEX(Manual_Review!$AE$6:$AE$238,MATCH(A132,Manual_Review!$A$6:$A$238,0))="Fail","Fail: benchmark leakage",IF(INDEX(Manual_Review!$AE$6:$AE$238,MATCH(A132,Manual_Review!$A$6:$A$238,0))="N/A","N/A: nonbenchmark task","Pending task-specific leakage check"))),"Pending task-specific leakage check"))</f>
        <v>N/A: documentation inventory</v>
      </c>
      <c r="AY132" s="5" t="str">
        <f>IF(IF(D132="Unlabeled-13",AND(ABS(MCDM_Settings!$D$14-1)&lt;0.0000001,MIN(MCDM_Settings!$E$6:$E$11)&gt;=0,MCDM_Settings!$E$7=0),AND(ABS(MCDM_Settings!$B$14-1)&lt;0.0000001,MIN(MCDM_Settings!$C$6:$C$11)&gt;=0)),"Valid","Check weights")</f>
        <v>Valid</v>
      </c>
      <c r="AZ132" s="5" t="str">
        <f>IF(AND(COUNTIF(MCDM_Checks!$B$6:$B$3733,A132)=16,COUNTIF(Manual_Review!$A$6:$A$238,A132)=1),"16 keys present","Check key count")</f>
        <v>16 keys present</v>
      </c>
    </row>
    <row r="133" spans="1:52">
      <c r="A133" s="5" t="s">
        <v>1488</v>
      </c>
      <c r="B133" s="5" t="s">
        <v>1489</v>
      </c>
      <c r="C133" s="5"/>
      <c r="D133" s="5" t="s">
        <v>118</v>
      </c>
      <c r="E133" s="12">
        <f>IF(OR(AY133&lt;&gt;"Valid",AZ133&lt;&gt;"16 keys present"),"Review settings",20*(IF(ISNUMBER(AC133),AC133*IF($D133="Unlabeled-13",MCDM_Settings!$E$6,MCDM_Settings!$C$6),0)+IF(ISNUMBER(AF133),AF133*IF($D133="Unlabeled-13",MCDM_Settings!$E$7,MCDM_Settings!$C$7),0)+IF(ISNUMBER(AI133),AI133*IF($D133="Unlabeled-13",MCDM_Settings!$E$8,MCDM_Settings!$C$8),0)+IF(ISNUMBER(AL133),AL133*IF($D133="Unlabeled-13",MCDM_Settings!$E$9,MCDM_Settings!$C$9),0)+IF(ISNUMBER(AO133),AO133*IF($D133="Unlabeled-13",MCDM_Settings!$E$10,MCDM_Settings!$C$10),0)+IF(ISNUMBER(AR133),AR133*IF($D133="Unlabeled-13",MCDM_Settings!$E$11,MCDM_Settings!$C$11),0)))</f>
        <v>36.111111111111114</v>
      </c>
      <c r="F133" s="12">
        <f>IF(OR(AY133&lt;&gt;"Valid",AZ133&lt;&gt;"16 keys present"),"Review settings",20*(IF(ISNUMBER(AD133),AD133*IF($D133="Unlabeled-13",MCDM_Settings!$E$6,MCDM_Settings!$C$6),0)+IF(ISNUMBER(AG133),AG133*IF($D133="Unlabeled-13",MCDM_Settings!$E$7,MCDM_Settings!$C$7),0)+IF(ISNUMBER(AJ133),AJ133*IF($D133="Unlabeled-13",MCDM_Settings!$E$8,MCDM_Settings!$C$8),0)+IF(ISNUMBER(AM133),AM133*IF($D133="Unlabeled-13",MCDM_Settings!$E$9,MCDM_Settings!$C$9),0)+IF(ISNUMBER(AP133),AP133*IF($D133="Unlabeled-13",MCDM_Settings!$E$10,MCDM_Settings!$C$10),0)+IF(ISNUMBER(AS133),AS133*IF($D133="Unlabeled-13",MCDM_Settings!$E$11,MCDM_Settings!$C$11),0)))</f>
        <v>99.999999999999986</v>
      </c>
      <c r="G133" s="13">
        <f>IF(OR(AY133&lt;&gt;"Valid",AZ133&lt;&gt;"16 keys present"),"Review settings",1*(IF(ISNUMBER(AE133),AE133*IF($D133="Unlabeled-13",MCDM_Settings!$E$6,MCDM_Settings!$C$6),0)+IF(ISNUMBER(AH133),AH133*IF($D133="Unlabeled-13",MCDM_Settings!$E$7,MCDM_Settings!$C$7),0)+IF(ISNUMBER(AK133),AK133*IF($D133="Unlabeled-13",MCDM_Settings!$E$8,MCDM_Settings!$C$8),0)+IF(ISNUMBER(AN133),AN133*IF($D133="Unlabeled-13",MCDM_Settings!$E$9,MCDM_Settings!$C$9),0)+IF(ISNUMBER(AQ133),AQ133*IF($D133="Unlabeled-13",MCDM_Settings!$E$10,MCDM_Settings!$C$10),0)+IF(ISNUMBER(AT133),AT133*IF($D133="Unlabeled-13",MCDM_Settings!$E$11,MCDM_Settings!$C$11),0)))</f>
        <v>0.3611111111111111</v>
      </c>
      <c r="H133" s="5" t="str">
        <f>INDEX(Manual_Review!$AH$6:$AH$238,MATCH(A133,Manual_Review!$A$6:$A$238,0))</f>
        <v>Not started</v>
      </c>
      <c r="I133" s="5" t="s">
        <v>128</v>
      </c>
      <c r="J133" s="5" t="s">
        <v>121</v>
      </c>
      <c r="K133" s="5" t="str">
        <f>HYPERLINK("https://zenodo.org/records/7681876","Dataset")</f>
        <v>Dataset</v>
      </c>
      <c r="L133" s="5" t="str">
        <f>HYPERLINK("#'Manual_Review'!A"&amp;(MATCH("DS-128",Manual_Review!$A$6:$A$238,0)+5),"Enter review")</f>
        <v>Enter review</v>
      </c>
      <c r="M133" s="5" t="str">
        <f>INDEX(MCDM_Checks!$K$6:$K$3733,MATCH(A133&amp;"|"&amp;M$5,MCDM_Checks!$A$6:$A$3733,0))</f>
        <v>Y</v>
      </c>
      <c r="N133" s="5" t="str">
        <f>INDEX(MCDM_Checks!$K$6:$K$3733,MATCH(A133&amp;"|"&amp;N$5,MCDM_Checks!$A$6:$A$3733,0))</f>
        <v>Y</v>
      </c>
      <c r="O133" s="5" t="str">
        <f>INDEX(MCDM_Checks!$K$6:$K$3733,MATCH(A133&amp;"|"&amp;O$5,MCDM_Checks!$A$6:$A$3733,0))</f>
        <v>U</v>
      </c>
      <c r="P133" s="5" t="str">
        <f>INDEX(MCDM_Checks!$K$6:$K$3733,MATCH(A133&amp;"|"&amp;P$5,MCDM_Checks!$A$6:$A$3733,0))</f>
        <v>U</v>
      </c>
      <c r="Q133" s="5" t="str">
        <f>INDEX(MCDM_Checks!$K$6:$K$3733,MATCH(A133&amp;"|"&amp;Q$5,MCDM_Checks!$A$6:$A$3733,0))</f>
        <v>U</v>
      </c>
      <c r="R133" s="5" t="str">
        <f>INDEX(MCDM_Checks!$K$6:$K$3733,MATCH(A133&amp;"|"&amp;R$5,MCDM_Checks!$A$6:$A$3733,0))</f>
        <v>U</v>
      </c>
      <c r="S133" s="5" t="str">
        <f>INDEX(MCDM_Checks!$K$6:$K$3733,MATCH(A133&amp;"|"&amp;S$5,MCDM_Checks!$A$6:$A$3733,0))</f>
        <v>U</v>
      </c>
      <c r="T133" s="5" t="str">
        <f>INDEX(MCDM_Checks!$K$6:$K$3733,MATCH(A133&amp;"|"&amp;T$5,MCDM_Checks!$A$6:$A$3733,0))</f>
        <v>Y</v>
      </c>
      <c r="U133" s="5" t="str">
        <f>INDEX(MCDM_Checks!$K$6:$K$3733,MATCH(A133&amp;"|"&amp;U$5,MCDM_Checks!$A$6:$A$3733,0))</f>
        <v>U</v>
      </c>
      <c r="V133" s="5" t="str">
        <f>INDEX(MCDM_Checks!$K$6:$K$3733,MATCH(A133&amp;"|"&amp;V$5,MCDM_Checks!$A$6:$A$3733,0))</f>
        <v>U</v>
      </c>
      <c r="W133" s="5" t="str">
        <f>INDEX(MCDM_Checks!$K$6:$K$3733,MATCH(A133&amp;"|"&amp;W$5,MCDM_Checks!$A$6:$A$3733,0))</f>
        <v>U</v>
      </c>
      <c r="X133" s="5" t="str">
        <f>INDEX(MCDM_Checks!$K$6:$K$3733,MATCH(A133&amp;"|"&amp;X$5,MCDM_Checks!$A$6:$A$3733,0))</f>
        <v>U</v>
      </c>
      <c r="Y133" s="5" t="str">
        <f>INDEX(MCDM_Checks!$K$6:$K$3733,MATCH(A133&amp;"|"&amp;Y$5,MCDM_Checks!$A$6:$A$3733,0))</f>
        <v>Y</v>
      </c>
      <c r="Z133" s="5" t="str">
        <f>INDEX(MCDM_Checks!$K$6:$K$3733,MATCH(A133&amp;"|"&amp;Z$5,MCDM_Checks!$A$6:$A$3733,0))</f>
        <v>Y</v>
      </c>
      <c r="AA133" s="5" t="str">
        <f>INDEX(MCDM_Checks!$K$6:$K$3733,MATCH(A133&amp;"|"&amp;AA$5,MCDM_Checks!$A$6:$A$3733,0))</f>
        <v>U</v>
      </c>
      <c r="AB133" s="5" t="str">
        <f>INDEX(MCDM_Checks!$K$6:$K$3733,MATCH(A133&amp;"|"&amp;AB$5,MCDM_Checks!$A$6:$A$3733,0))</f>
        <v>Y</v>
      </c>
      <c r="AC133" s="12">
        <f>IF(IF($D133="Unlabeled-13",MCDM_Settings!$F$6,MCDM_Settings!$D$6)=0,"n.a.",5*COUNTIF(M133:O133,"Y")/IF($D133="Unlabeled-13",MCDM_Settings!$F$6,MCDM_Settings!$D$6))</f>
        <v>3.3333333333333335</v>
      </c>
      <c r="AD133" s="12">
        <f>IF(IF($D133="Unlabeled-13",MCDM_Settings!$F$6,MCDM_Settings!$D$6)=0,"n.a.",5*(COUNTIF(M133:O133,"Y")+COUNTIF(M133:O133,"U")+COUNTIF(M133:O133,"X"))/IF($D133="Unlabeled-13",MCDM_Settings!$F$6,MCDM_Settings!$D$6))</f>
        <v>5</v>
      </c>
      <c r="AE133" s="13">
        <f>IF(IF($D133="Unlabeled-13",MCDM_Settings!$F$6,MCDM_Settings!$D$6)=0,"n.a.",(COUNTIF(M133:O133,"Y")+COUNTIF(M133:O133,"N"))/IF($D133="Unlabeled-13",MCDM_Settings!$F$6,MCDM_Settings!$D$6))</f>
        <v>0.66666666666666663</v>
      </c>
      <c r="AF133" s="12">
        <f>IF(IF($D133="Unlabeled-13",MCDM_Settings!$F$7,MCDM_Settings!$D$7)=0,"n.a.",5*COUNTIF(P133:R133,"Y")/IF($D133="Unlabeled-13",MCDM_Settings!$F$7,MCDM_Settings!$D$7))</f>
        <v>0</v>
      </c>
      <c r="AG133" s="12">
        <f>IF(IF($D133="Unlabeled-13",MCDM_Settings!$F$7,MCDM_Settings!$D$7)=0,"n.a.",5*(COUNTIF(P133:R133,"Y")+COUNTIF(P133:R133,"U")+COUNTIF(P133:R133,"X"))/IF($D133="Unlabeled-13",MCDM_Settings!$F$7,MCDM_Settings!$D$7))</f>
        <v>5</v>
      </c>
      <c r="AH133" s="13">
        <f>IF(IF($D133="Unlabeled-13",MCDM_Settings!$F$7,MCDM_Settings!$D$7)=0,"n.a.",(COUNTIF(P133:R133,"Y")+COUNTIF(P133:R133,"N"))/IF($D133="Unlabeled-13",MCDM_Settings!$F$7,MCDM_Settings!$D$7))</f>
        <v>0</v>
      </c>
      <c r="AI133" s="12">
        <f>IF(IF($D133="Unlabeled-13",MCDM_Settings!$F$8,MCDM_Settings!$D$8)=0,"n.a.",5*COUNTIF(S133:U133,"Y")/IF($D133="Unlabeled-13",MCDM_Settings!$F$8,MCDM_Settings!$D$8))</f>
        <v>1.6666666666666667</v>
      </c>
      <c r="AJ133" s="12">
        <f>IF(IF($D133="Unlabeled-13",MCDM_Settings!$F$8,MCDM_Settings!$D$8)=0,"n.a.",5*(COUNTIF(S133:U133,"Y")+COUNTIF(S133:U133,"U")+COUNTIF(S133:U133,"X"))/IF($D133="Unlabeled-13",MCDM_Settings!$F$8,MCDM_Settings!$D$8))</f>
        <v>5</v>
      </c>
      <c r="AK133" s="13">
        <f>IF(IF($D133="Unlabeled-13",MCDM_Settings!$F$8,MCDM_Settings!$D$8)=0,"n.a.",(COUNTIF(S133:U133,"Y")+COUNTIF(S133:U133,"N"))/IF($D133="Unlabeled-13",MCDM_Settings!$F$8,MCDM_Settings!$D$8))</f>
        <v>0.33333333333333331</v>
      </c>
      <c r="AL133" s="12">
        <f>IF(IF($D133="Unlabeled-13",MCDM_Settings!$F$9,MCDM_Settings!$D$9)=0,"n.a.",5*COUNTIF(V133:W133,"Y")/IF($D133="Unlabeled-13",MCDM_Settings!$F$9,MCDM_Settings!$D$9))</f>
        <v>0</v>
      </c>
      <c r="AM133" s="12">
        <f>IF(IF($D133="Unlabeled-13",MCDM_Settings!$F$9,MCDM_Settings!$D$9)=0,"n.a.",5*(COUNTIF(V133:W133,"Y")+COUNTIF(V133:W133,"U")+COUNTIF(V133:W133,"X"))/IF($D133="Unlabeled-13",MCDM_Settings!$F$9,MCDM_Settings!$D$9))</f>
        <v>5</v>
      </c>
      <c r="AN133" s="13">
        <f>IF(IF($D133="Unlabeled-13",MCDM_Settings!$F$9,MCDM_Settings!$D$9)=0,"n.a.",(COUNTIF(V133:W133,"Y")+COUNTIF(V133:W133,"N"))/IF($D133="Unlabeled-13",MCDM_Settings!$F$9,MCDM_Settings!$D$9))</f>
        <v>0</v>
      </c>
      <c r="AO133" s="12">
        <f>IF(IF($D133="Unlabeled-13",MCDM_Settings!$F$10,MCDM_Settings!$D$10)=0,"n.a.",5*COUNTIF(X133:Y133,"Y")/IF($D133="Unlabeled-13",MCDM_Settings!$F$10,MCDM_Settings!$D$10))</f>
        <v>2.5</v>
      </c>
      <c r="AP133" s="12">
        <f>IF(IF($D133="Unlabeled-13",MCDM_Settings!$F$10,MCDM_Settings!$D$10)=0,"n.a.",5*(COUNTIF(X133:Y133,"Y")+COUNTIF(X133:Y133,"U")+COUNTIF(X133:Y133,"X"))/IF($D133="Unlabeled-13",MCDM_Settings!$F$10,MCDM_Settings!$D$10))</f>
        <v>5</v>
      </c>
      <c r="AQ133" s="13">
        <f>IF(IF($D133="Unlabeled-13",MCDM_Settings!$F$10,MCDM_Settings!$D$10)=0,"n.a.",(COUNTIF(X133:Y133,"Y")+COUNTIF(X133:Y133,"N"))/IF($D133="Unlabeled-13",MCDM_Settings!$F$10,MCDM_Settings!$D$10))</f>
        <v>0.5</v>
      </c>
      <c r="AR133" s="12">
        <f>IF(IF($D133="Unlabeled-13",MCDM_Settings!$F$11,MCDM_Settings!$D$11)=0,"n.a.",5*COUNTIF(Z133:AB133,"Y")/IF($D133="Unlabeled-13",MCDM_Settings!$F$11,MCDM_Settings!$D$11))</f>
        <v>3.3333333333333335</v>
      </c>
      <c r="AS133" s="12">
        <f>IF(IF($D133="Unlabeled-13",MCDM_Settings!$F$11,MCDM_Settings!$D$11)=0,"n.a.",5*(COUNTIF(Z133:AB133,"Y")+COUNTIF(Z133:AB133,"U")+COUNTIF(Z133:AB133,"X"))/IF($D133="Unlabeled-13",MCDM_Settings!$F$11,MCDM_Settings!$D$11))</f>
        <v>5</v>
      </c>
      <c r="AT133" s="13">
        <f>IF(IF($D133="Unlabeled-13",MCDM_Settings!$F$11,MCDM_Settings!$D$11)=0,"n.a.",(COUNTIF(Z133:AB133,"Y")+COUNTIF(Z133:AB133,"N"))/IF($D133="Unlabeled-13",MCDM_Settings!$F$11,MCDM_Settings!$D$11))</f>
        <v>0.66666666666666663</v>
      </c>
      <c r="AU133" s="5" t="str">
        <f>IF(AND(INDEX(Manual_Review!$G$6:$G$238,MATCH(A133,Manual_Review!$A$6:$A$238,0))&lt;&gt;"",ISNUMBER(INDEX(Manual_Review!$H$6:$H$238,MATCH(A133,Manual_Review!$A$6:$A$238,0))),INDEX(Manual_Review!$H$6:$H$238,MATCH(A133,Manual_Review!$A$6:$A$238,0))&gt;0,INDEX(Manual_Review!$I$6:$I$238,MATCH(A133,Manual_Review!$A$6:$A$238,0))="Confirmed",INDEX(Manual_Review!$AF$6:$AF$238,MATCH(A133,Manual_Review!$A$6:$A$238,0))&lt;&gt;""),IF(INDEX(Manual_Review!$AA$6:$AA$238,MATCH(A133,Manual_Review!$A$6:$A$238,0))="Pass","Pass",IF(INDEX(Manual_Review!$AA$6:$AA$238,MATCH(A133,Manual_Review!$A$6:$A$238,0))="Fail","Fail","Pending")),"Pending human identity confirmation")</f>
        <v>Pending human identity confirmation</v>
      </c>
      <c r="AV133" s="5" t="str">
        <f>IF(AND(AND(INDEX(Manual_Review!$G$6:$G$238,MATCH(A133,Manual_Review!$A$6:$A$238,0))&lt;&gt;"",ISNUMBER(INDEX(Manual_Review!$H$6:$H$238,MATCH(A133,Manual_Review!$A$6:$A$238,0))),INDEX(Manual_Review!$H$6:$H$238,MATCH(A133,Manual_Review!$A$6:$A$238,0))&gt;0,INDEX(Manual_Review!$I$6:$I$238,MATCH(A133,Manual_Review!$A$6:$A$238,0))="Confirmed",INDEX(Manual_Review!$AF$6:$AF$238,MATCH(A133,Manual_Review!$A$6:$A$238,0))&lt;&gt;""),INDEX(Manual_Review!$AG$6:$AG$238,MATCH(A133,Manual_Review!$A$6:$A$238,0))&lt;&gt;""),IF(INDEX(Manual_Review!$AB$6:$AB$238,MATCH(A133,Manual_Review!$A$6:$A$238,0))="Pass","Pass",IF(INDEX(Manual_Review!$AB$6:$AB$238,MATCH(A133,Manual_Review!$A$6:$A$238,0))="Fail","Fail","Pending")),"Not assessed: define intended task")</f>
        <v>Not assessed: define intended task</v>
      </c>
      <c r="AW133" s="5" t="str">
        <f>IF(AND(AND(INDEX(Manual_Review!$G$6:$G$238,MATCH(A133,Manual_Review!$A$6:$A$238,0))&lt;&gt;"",ISNUMBER(INDEX(Manual_Review!$H$6:$H$238,MATCH(A133,Manual_Review!$A$6:$A$238,0))),INDEX(Manual_Review!$H$6:$H$238,MATCH(A133,Manual_Review!$A$6:$A$238,0))&gt;0,INDEX(Manual_Review!$I$6:$I$238,MATCH(A133,Manual_Review!$A$6:$A$238,0))="Confirmed",INDEX(Manual_Review!$AF$6:$AF$238,MATCH(A133,Manual_Review!$A$6:$A$238,0))&lt;&gt;""),INDEX(Manual_Review!$AG$6:$AG$238,MATCH(A133,Manual_Review!$A$6:$A$238,0))&lt;&gt;""),IF(OR(INDEX(Manual_Review!$AC$6:$AC$238,MATCH(A133,Manual_Review!$A$6:$A$238,0))="Fail",INDEX(Manual_Review!$AD$6:$AD$238,MATCH(A133,Manual_Review!$A$6:$A$238,0))="Fail"),"Fail: rights or retrieval",IF(AND(INDEX(Manual_Review!$AC$6:$AC$238,MATCH(A133,Manual_Review!$A$6:$A$238,0))="Pass",INDEX(Manual_Review!$AD$6:$AD$238,MATCH(A133,Manual_Review!$A$6:$A$238,0))="Pass"),"Pass","Pending rights and retrieval")),"Pending rights and retrieval")</f>
        <v>Pending rights and retrieval</v>
      </c>
      <c r="AX133" s="5" t="str">
        <f>IF(INDEX(Manual_Review!$AG$6:$AG$238,MATCH(A133,Manual_Review!$A$6:$A$238,0))="","N/A: documentation inventory",IF(AND(INDEX(Manual_Review!$G$6:$G$238,MATCH(A133,Manual_Review!$A$6:$A$238,0))&lt;&gt;"",ISNUMBER(INDEX(Manual_Review!$H$6:$H$238,MATCH(A133,Manual_Review!$A$6:$A$238,0))),INDEX(Manual_Review!$H$6:$H$238,MATCH(A133,Manual_Review!$A$6:$A$238,0))&gt;0,INDEX(Manual_Review!$I$6:$I$238,MATCH(A133,Manual_Review!$A$6:$A$238,0))="Confirmed",INDEX(Manual_Review!$AF$6:$AF$238,MATCH(A133,Manual_Review!$A$6:$A$238,0))&lt;&gt;""),IF(INDEX(Manual_Review!$AE$6:$AE$238,MATCH(A133,Manual_Review!$A$6:$A$238,0))="Pass","Pass",IF(INDEX(Manual_Review!$AE$6:$AE$238,MATCH(A133,Manual_Review!$A$6:$A$238,0))="Fail","Fail: benchmark leakage",IF(INDEX(Manual_Review!$AE$6:$AE$238,MATCH(A133,Manual_Review!$A$6:$A$238,0))="N/A","N/A: nonbenchmark task","Pending task-specific leakage check"))),"Pending task-specific leakage check"))</f>
        <v>N/A: documentation inventory</v>
      </c>
      <c r="AY133" s="5" t="str">
        <f>IF(IF(D133="Unlabeled-13",AND(ABS(MCDM_Settings!$D$14-1)&lt;0.0000001,MIN(MCDM_Settings!$E$6:$E$11)&gt;=0,MCDM_Settings!$E$7=0),AND(ABS(MCDM_Settings!$B$14-1)&lt;0.0000001,MIN(MCDM_Settings!$C$6:$C$11)&gt;=0)),"Valid","Check weights")</f>
        <v>Valid</v>
      </c>
      <c r="AZ133" s="5" t="str">
        <f>IF(AND(COUNTIF(MCDM_Checks!$B$6:$B$3733,A133)=16,COUNTIF(Manual_Review!$A$6:$A$238,A133)=1),"16 keys present","Check key count")</f>
        <v>16 keys present</v>
      </c>
    </row>
    <row r="134" spans="1:52" ht="25.5">
      <c r="A134" s="5" t="s">
        <v>1495</v>
      </c>
      <c r="B134" s="5" t="s">
        <v>1496</v>
      </c>
      <c r="C134" s="5"/>
      <c r="D134" s="5" t="s">
        <v>118</v>
      </c>
      <c r="E134" s="12">
        <f>IF(OR(AY134&lt;&gt;"Valid",AZ134&lt;&gt;"16 keys present"),"Review settings",20*(IF(ISNUMBER(AC134),AC134*IF($D134="Unlabeled-13",MCDM_Settings!$E$6,MCDM_Settings!$C$6),0)+IF(ISNUMBER(AF134),AF134*IF($D134="Unlabeled-13",MCDM_Settings!$E$7,MCDM_Settings!$C$7),0)+IF(ISNUMBER(AI134),AI134*IF($D134="Unlabeled-13",MCDM_Settings!$E$8,MCDM_Settings!$C$8),0)+IF(ISNUMBER(AL134),AL134*IF($D134="Unlabeled-13",MCDM_Settings!$E$9,MCDM_Settings!$C$9),0)+IF(ISNUMBER(AO134),AO134*IF($D134="Unlabeled-13",MCDM_Settings!$E$10,MCDM_Settings!$C$10),0)+IF(ISNUMBER(AR134),AR134*IF($D134="Unlabeled-13",MCDM_Settings!$E$11,MCDM_Settings!$C$11),0)))</f>
        <v>72.222222222222214</v>
      </c>
      <c r="F134" s="12">
        <f>IF(OR(AY134&lt;&gt;"Valid",AZ134&lt;&gt;"16 keys present"),"Review settings",20*(IF(ISNUMBER(AD134),AD134*IF($D134="Unlabeled-13",MCDM_Settings!$E$6,MCDM_Settings!$C$6),0)+IF(ISNUMBER(AG134),AG134*IF($D134="Unlabeled-13",MCDM_Settings!$E$7,MCDM_Settings!$C$7),0)+IF(ISNUMBER(AJ134),AJ134*IF($D134="Unlabeled-13",MCDM_Settings!$E$8,MCDM_Settings!$C$8),0)+IF(ISNUMBER(AM134),AM134*IF($D134="Unlabeled-13",MCDM_Settings!$E$9,MCDM_Settings!$C$9),0)+IF(ISNUMBER(AP134),AP134*IF($D134="Unlabeled-13",MCDM_Settings!$E$10,MCDM_Settings!$C$10),0)+IF(ISNUMBER(AS134),AS134*IF($D134="Unlabeled-13",MCDM_Settings!$E$11,MCDM_Settings!$C$11),0)))</f>
        <v>99.999999999999986</v>
      </c>
      <c r="G134" s="13">
        <f>IF(OR(AY134&lt;&gt;"Valid",AZ134&lt;&gt;"16 keys present"),"Review settings",1*(IF(ISNUMBER(AE134),AE134*IF($D134="Unlabeled-13",MCDM_Settings!$E$6,MCDM_Settings!$C$6),0)+IF(ISNUMBER(AH134),AH134*IF($D134="Unlabeled-13",MCDM_Settings!$E$7,MCDM_Settings!$C$7),0)+IF(ISNUMBER(AK134),AK134*IF($D134="Unlabeled-13",MCDM_Settings!$E$8,MCDM_Settings!$C$8),0)+IF(ISNUMBER(AN134),AN134*IF($D134="Unlabeled-13",MCDM_Settings!$E$9,MCDM_Settings!$C$9),0)+IF(ISNUMBER(AQ134),AQ134*IF($D134="Unlabeled-13",MCDM_Settings!$E$10,MCDM_Settings!$C$10),0)+IF(ISNUMBER(AT134),AT134*IF($D134="Unlabeled-13",MCDM_Settings!$E$11,MCDM_Settings!$C$11),0)))</f>
        <v>0.72222222222222221</v>
      </c>
      <c r="H134" s="5" t="str">
        <f>INDEX(Manual_Review!$AH$6:$AH$238,MATCH(A134,Manual_Review!$A$6:$A$238,0))</f>
        <v>Not started</v>
      </c>
      <c r="I134" s="5" t="s">
        <v>128</v>
      </c>
      <c r="J134" s="5" t="s">
        <v>1497</v>
      </c>
      <c r="K134" s="5" t="str">
        <f>HYPERLINK("https://zenodo.org/records/18528034","Dataset")</f>
        <v>Dataset</v>
      </c>
      <c r="L134" s="5" t="str">
        <f>HYPERLINK("#'Manual_Review'!A"&amp;(MATCH("DS-129",Manual_Review!$A$6:$A$238,0)+5),"Enter review")</f>
        <v>Enter review</v>
      </c>
      <c r="M134" s="5" t="str">
        <f>INDEX(MCDM_Checks!$K$6:$K$3733,MATCH(A134&amp;"|"&amp;M$5,MCDM_Checks!$A$6:$A$3733,0))</f>
        <v>Y</v>
      </c>
      <c r="N134" s="5" t="str">
        <f>INDEX(MCDM_Checks!$K$6:$K$3733,MATCH(A134&amp;"|"&amp;N$5,MCDM_Checks!$A$6:$A$3733,0))</f>
        <v>Y</v>
      </c>
      <c r="O134" s="5" t="str">
        <f>INDEX(MCDM_Checks!$K$6:$K$3733,MATCH(A134&amp;"|"&amp;O$5,MCDM_Checks!$A$6:$A$3733,0))</f>
        <v>Y</v>
      </c>
      <c r="P134" s="5" t="str">
        <f>INDEX(MCDM_Checks!$K$6:$K$3733,MATCH(A134&amp;"|"&amp;P$5,MCDM_Checks!$A$6:$A$3733,0))</f>
        <v>Y</v>
      </c>
      <c r="Q134" s="5" t="str">
        <f>INDEX(MCDM_Checks!$K$6:$K$3733,MATCH(A134&amp;"|"&amp;Q$5,MCDM_Checks!$A$6:$A$3733,0))</f>
        <v>Y</v>
      </c>
      <c r="R134" s="5" t="str">
        <f>INDEX(MCDM_Checks!$K$6:$K$3733,MATCH(A134&amp;"|"&amp;R$5,MCDM_Checks!$A$6:$A$3733,0))</f>
        <v>U</v>
      </c>
      <c r="S134" s="5" t="str">
        <f>INDEX(MCDM_Checks!$K$6:$K$3733,MATCH(A134&amp;"|"&amp;S$5,MCDM_Checks!$A$6:$A$3733,0))</f>
        <v>Y</v>
      </c>
      <c r="T134" s="5" t="str">
        <f>INDEX(MCDM_Checks!$K$6:$K$3733,MATCH(A134&amp;"|"&amp;T$5,MCDM_Checks!$A$6:$A$3733,0))</f>
        <v>Y</v>
      </c>
      <c r="U134" s="5" t="str">
        <f>INDEX(MCDM_Checks!$K$6:$K$3733,MATCH(A134&amp;"|"&amp;U$5,MCDM_Checks!$A$6:$A$3733,0))</f>
        <v>U</v>
      </c>
      <c r="V134" s="5" t="str">
        <f>INDEX(MCDM_Checks!$K$6:$K$3733,MATCH(A134&amp;"|"&amp;V$5,MCDM_Checks!$A$6:$A$3733,0))</f>
        <v>U</v>
      </c>
      <c r="W134" s="5" t="str">
        <f>INDEX(MCDM_Checks!$K$6:$K$3733,MATCH(A134&amp;"|"&amp;W$5,MCDM_Checks!$A$6:$A$3733,0))</f>
        <v>U</v>
      </c>
      <c r="X134" s="5" t="str">
        <f>INDEX(MCDM_Checks!$K$6:$K$3733,MATCH(A134&amp;"|"&amp;X$5,MCDM_Checks!$A$6:$A$3733,0))</f>
        <v>Y</v>
      </c>
      <c r="Y134" s="5" t="str">
        <f>INDEX(MCDM_Checks!$K$6:$K$3733,MATCH(A134&amp;"|"&amp;Y$5,MCDM_Checks!$A$6:$A$3733,0))</f>
        <v>Y</v>
      </c>
      <c r="Z134" s="5" t="str">
        <f>INDEX(MCDM_Checks!$K$6:$K$3733,MATCH(A134&amp;"|"&amp;Z$5,MCDM_Checks!$A$6:$A$3733,0))</f>
        <v>Y</v>
      </c>
      <c r="AA134" s="5" t="str">
        <f>INDEX(MCDM_Checks!$K$6:$K$3733,MATCH(A134&amp;"|"&amp;AA$5,MCDM_Checks!$A$6:$A$3733,0))</f>
        <v>Y</v>
      </c>
      <c r="AB134" s="5" t="str">
        <f>INDEX(MCDM_Checks!$K$6:$K$3733,MATCH(A134&amp;"|"&amp;AB$5,MCDM_Checks!$A$6:$A$3733,0))</f>
        <v>Y</v>
      </c>
      <c r="AC134" s="12">
        <f>IF(IF($D134="Unlabeled-13",MCDM_Settings!$F$6,MCDM_Settings!$D$6)=0,"n.a.",5*COUNTIF(M134:O134,"Y")/IF($D134="Unlabeled-13",MCDM_Settings!$F$6,MCDM_Settings!$D$6))</f>
        <v>5</v>
      </c>
      <c r="AD134" s="12">
        <f>IF(IF($D134="Unlabeled-13",MCDM_Settings!$F$6,MCDM_Settings!$D$6)=0,"n.a.",5*(COUNTIF(M134:O134,"Y")+COUNTIF(M134:O134,"U")+COUNTIF(M134:O134,"X"))/IF($D134="Unlabeled-13",MCDM_Settings!$F$6,MCDM_Settings!$D$6))</f>
        <v>5</v>
      </c>
      <c r="AE134" s="13">
        <f>IF(IF($D134="Unlabeled-13",MCDM_Settings!$F$6,MCDM_Settings!$D$6)=0,"n.a.",(COUNTIF(M134:O134,"Y")+COUNTIF(M134:O134,"N"))/IF($D134="Unlabeled-13",MCDM_Settings!$F$6,MCDM_Settings!$D$6))</f>
        <v>1</v>
      </c>
      <c r="AF134" s="12">
        <f>IF(IF($D134="Unlabeled-13",MCDM_Settings!$F$7,MCDM_Settings!$D$7)=0,"n.a.",5*COUNTIF(P134:R134,"Y")/IF($D134="Unlabeled-13",MCDM_Settings!$F$7,MCDM_Settings!$D$7))</f>
        <v>3.3333333333333335</v>
      </c>
      <c r="AG134" s="12">
        <f>IF(IF($D134="Unlabeled-13",MCDM_Settings!$F$7,MCDM_Settings!$D$7)=0,"n.a.",5*(COUNTIF(P134:R134,"Y")+COUNTIF(P134:R134,"U")+COUNTIF(P134:R134,"X"))/IF($D134="Unlabeled-13",MCDM_Settings!$F$7,MCDM_Settings!$D$7))</f>
        <v>5</v>
      </c>
      <c r="AH134" s="13">
        <f>IF(IF($D134="Unlabeled-13",MCDM_Settings!$F$7,MCDM_Settings!$D$7)=0,"n.a.",(COUNTIF(P134:R134,"Y")+COUNTIF(P134:R134,"N"))/IF($D134="Unlabeled-13",MCDM_Settings!$F$7,MCDM_Settings!$D$7))</f>
        <v>0.66666666666666663</v>
      </c>
      <c r="AI134" s="12">
        <f>IF(IF($D134="Unlabeled-13",MCDM_Settings!$F$8,MCDM_Settings!$D$8)=0,"n.a.",5*COUNTIF(S134:U134,"Y")/IF($D134="Unlabeled-13",MCDM_Settings!$F$8,MCDM_Settings!$D$8))</f>
        <v>3.3333333333333335</v>
      </c>
      <c r="AJ134" s="12">
        <f>IF(IF($D134="Unlabeled-13",MCDM_Settings!$F$8,MCDM_Settings!$D$8)=0,"n.a.",5*(COUNTIF(S134:U134,"Y")+COUNTIF(S134:U134,"U")+COUNTIF(S134:U134,"X"))/IF($D134="Unlabeled-13",MCDM_Settings!$F$8,MCDM_Settings!$D$8))</f>
        <v>5</v>
      </c>
      <c r="AK134" s="13">
        <f>IF(IF($D134="Unlabeled-13",MCDM_Settings!$F$8,MCDM_Settings!$D$8)=0,"n.a.",(COUNTIF(S134:U134,"Y")+COUNTIF(S134:U134,"N"))/IF($D134="Unlabeled-13",MCDM_Settings!$F$8,MCDM_Settings!$D$8))</f>
        <v>0.66666666666666663</v>
      </c>
      <c r="AL134" s="12">
        <f>IF(IF($D134="Unlabeled-13",MCDM_Settings!$F$9,MCDM_Settings!$D$9)=0,"n.a.",5*COUNTIF(V134:W134,"Y")/IF($D134="Unlabeled-13",MCDM_Settings!$F$9,MCDM_Settings!$D$9))</f>
        <v>0</v>
      </c>
      <c r="AM134" s="12">
        <f>IF(IF($D134="Unlabeled-13",MCDM_Settings!$F$9,MCDM_Settings!$D$9)=0,"n.a.",5*(COUNTIF(V134:W134,"Y")+COUNTIF(V134:W134,"U")+COUNTIF(V134:W134,"X"))/IF($D134="Unlabeled-13",MCDM_Settings!$F$9,MCDM_Settings!$D$9))</f>
        <v>5</v>
      </c>
      <c r="AN134" s="13">
        <f>IF(IF($D134="Unlabeled-13",MCDM_Settings!$F$9,MCDM_Settings!$D$9)=0,"n.a.",(COUNTIF(V134:W134,"Y")+COUNTIF(V134:W134,"N"))/IF($D134="Unlabeled-13",MCDM_Settings!$F$9,MCDM_Settings!$D$9))</f>
        <v>0</v>
      </c>
      <c r="AO134" s="12">
        <f>IF(IF($D134="Unlabeled-13",MCDM_Settings!$F$10,MCDM_Settings!$D$10)=0,"n.a.",5*COUNTIF(X134:Y134,"Y")/IF($D134="Unlabeled-13",MCDM_Settings!$F$10,MCDM_Settings!$D$10))</f>
        <v>5</v>
      </c>
      <c r="AP134" s="12">
        <f>IF(IF($D134="Unlabeled-13",MCDM_Settings!$F$10,MCDM_Settings!$D$10)=0,"n.a.",5*(COUNTIF(X134:Y134,"Y")+COUNTIF(X134:Y134,"U")+COUNTIF(X134:Y134,"X"))/IF($D134="Unlabeled-13",MCDM_Settings!$F$10,MCDM_Settings!$D$10))</f>
        <v>5</v>
      </c>
      <c r="AQ134" s="13">
        <f>IF(IF($D134="Unlabeled-13",MCDM_Settings!$F$10,MCDM_Settings!$D$10)=0,"n.a.",(COUNTIF(X134:Y134,"Y")+COUNTIF(X134:Y134,"N"))/IF($D134="Unlabeled-13",MCDM_Settings!$F$10,MCDM_Settings!$D$10))</f>
        <v>1</v>
      </c>
      <c r="AR134" s="12">
        <f>IF(IF($D134="Unlabeled-13",MCDM_Settings!$F$11,MCDM_Settings!$D$11)=0,"n.a.",5*COUNTIF(Z134:AB134,"Y")/IF($D134="Unlabeled-13",MCDM_Settings!$F$11,MCDM_Settings!$D$11))</f>
        <v>5</v>
      </c>
      <c r="AS134" s="12">
        <f>IF(IF($D134="Unlabeled-13",MCDM_Settings!$F$11,MCDM_Settings!$D$11)=0,"n.a.",5*(COUNTIF(Z134:AB134,"Y")+COUNTIF(Z134:AB134,"U")+COUNTIF(Z134:AB134,"X"))/IF($D134="Unlabeled-13",MCDM_Settings!$F$11,MCDM_Settings!$D$11))</f>
        <v>5</v>
      </c>
      <c r="AT134" s="13">
        <f>IF(IF($D134="Unlabeled-13",MCDM_Settings!$F$11,MCDM_Settings!$D$11)=0,"n.a.",(COUNTIF(Z134:AB134,"Y")+COUNTIF(Z134:AB134,"N"))/IF($D134="Unlabeled-13",MCDM_Settings!$F$11,MCDM_Settings!$D$11))</f>
        <v>1</v>
      </c>
      <c r="AU134" s="5" t="str">
        <f>IF(AND(INDEX(Manual_Review!$G$6:$G$238,MATCH(A134,Manual_Review!$A$6:$A$238,0))&lt;&gt;"",ISNUMBER(INDEX(Manual_Review!$H$6:$H$238,MATCH(A134,Manual_Review!$A$6:$A$238,0))),INDEX(Manual_Review!$H$6:$H$238,MATCH(A134,Manual_Review!$A$6:$A$238,0))&gt;0,INDEX(Manual_Review!$I$6:$I$238,MATCH(A134,Manual_Review!$A$6:$A$238,0))="Confirmed",INDEX(Manual_Review!$AF$6:$AF$238,MATCH(A134,Manual_Review!$A$6:$A$238,0))&lt;&gt;""),IF(INDEX(Manual_Review!$AA$6:$AA$238,MATCH(A134,Manual_Review!$A$6:$A$238,0))="Pass","Pass",IF(INDEX(Manual_Review!$AA$6:$AA$238,MATCH(A134,Manual_Review!$A$6:$A$238,0))="Fail","Fail","Pending")),"Pending human identity confirmation")</f>
        <v>Pending human identity confirmation</v>
      </c>
      <c r="AV134" s="5" t="str">
        <f>IF(AND(AND(INDEX(Manual_Review!$G$6:$G$238,MATCH(A134,Manual_Review!$A$6:$A$238,0))&lt;&gt;"",ISNUMBER(INDEX(Manual_Review!$H$6:$H$238,MATCH(A134,Manual_Review!$A$6:$A$238,0))),INDEX(Manual_Review!$H$6:$H$238,MATCH(A134,Manual_Review!$A$6:$A$238,0))&gt;0,INDEX(Manual_Review!$I$6:$I$238,MATCH(A134,Manual_Review!$A$6:$A$238,0))="Confirmed",INDEX(Manual_Review!$AF$6:$AF$238,MATCH(A134,Manual_Review!$A$6:$A$238,0))&lt;&gt;""),INDEX(Manual_Review!$AG$6:$AG$238,MATCH(A134,Manual_Review!$A$6:$A$238,0))&lt;&gt;""),IF(INDEX(Manual_Review!$AB$6:$AB$238,MATCH(A134,Manual_Review!$A$6:$A$238,0))="Pass","Pass",IF(INDEX(Manual_Review!$AB$6:$AB$238,MATCH(A134,Manual_Review!$A$6:$A$238,0))="Fail","Fail","Pending")),"Not assessed: define intended task")</f>
        <v>Not assessed: define intended task</v>
      </c>
      <c r="AW134" s="5" t="str">
        <f>IF(AND(AND(INDEX(Manual_Review!$G$6:$G$238,MATCH(A134,Manual_Review!$A$6:$A$238,0))&lt;&gt;"",ISNUMBER(INDEX(Manual_Review!$H$6:$H$238,MATCH(A134,Manual_Review!$A$6:$A$238,0))),INDEX(Manual_Review!$H$6:$H$238,MATCH(A134,Manual_Review!$A$6:$A$238,0))&gt;0,INDEX(Manual_Review!$I$6:$I$238,MATCH(A134,Manual_Review!$A$6:$A$238,0))="Confirmed",INDEX(Manual_Review!$AF$6:$AF$238,MATCH(A134,Manual_Review!$A$6:$A$238,0))&lt;&gt;""),INDEX(Manual_Review!$AG$6:$AG$238,MATCH(A134,Manual_Review!$A$6:$A$238,0))&lt;&gt;""),IF(OR(INDEX(Manual_Review!$AC$6:$AC$238,MATCH(A134,Manual_Review!$A$6:$A$238,0))="Fail",INDEX(Manual_Review!$AD$6:$AD$238,MATCH(A134,Manual_Review!$A$6:$A$238,0))="Fail"),"Fail: rights or retrieval",IF(AND(INDEX(Manual_Review!$AC$6:$AC$238,MATCH(A134,Manual_Review!$A$6:$A$238,0))="Pass",INDEX(Manual_Review!$AD$6:$AD$238,MATCH(A134,Manual_Review!$A$6:$A$238,0))="Pass"),"Pass","Pending rights and retrieval")),"Pending rights and retrieval")</f>
        <v>Pending rights and retrieval</v>
      </c>
      <c r="AX134" s="5" t="str">
        <f>IF(INDEX(Manual_Review!$AG$6:$AG$238,MATCH(A134,Manual_Review!$A$6:$A$238,0))="","N/A: documentation inventory",IF(AND(INDEX(Manual_Review!$G$6:$G$238,MATCH(A134,Manual_Review!$A$6:$A$238,0))&lt;&gt;"",ISNUMBER(INDEX(Manual_Review!$H$6:$H$238,MATCH(A134,Manual_Review!$A$6:$A$238,0))),INDEX(Manual_Review!$H$6:$H$238,MATCH(A134,Manual_Review!$A$6:$A$238,0))&gt;0,INDEX(Manual_Review!$I$6:$I$238,MATCH(A134,Manual_Review!$A$6:$A$238,0))="Confirmed",INDEX(Manual_Review!$AF$6:$AF$238,MATCH(A134,Manual_Review!$A$6:$A$238,0))&lt;&gt;""),IF(INDEX(Manual_Review!$AE$6:$AE$238,MATCH(A134,Manual_Review!$A$6:$A$238,0))="Pass","Pass",IF(INDEX(Manual_Review!$AE$6:$AE$238,MATCH(A134,Manual_Review!$A$6:$A$238,0))="Fail","Fail: benchmark leakage",IF(INDEX(Manual_Review!$AE$6:$AE$238,MATCH(A134,Manual_Review!$A$6:$A$238,0))="N/A","N/A: nonbenchmark task","Pending task-specific leakage check"))),"Pending task-specific leakage check"))</f>
        <v>N/A: documentation inventory</v>
      </c>
      <c r="AY134" s="5" t="str">
        <f>IF(IF(D134="Unlabeled-13",AND(ABS(MCDM_Settings!$D$14-1)&lt;0.0000001,MIN(MCDM_Settings!$E$6:$E$11)&gt;=0,MCDM_Settings!$E$7=0),AND(ABS(MCDM_Settings!$B$14-1)&lt;0.0000001,MIN(MCDM_Settings!$C$6:$C$11)&gt;=0)),"Valid","Check weights")</f>
        <v>Valid</v>
      </c>
      <c r="AZ134" s="5" t="str">
        <f>IF(AND(COUNTIF(MCDM_Checks!$B$6:$B$3733,A134)=16,COUNTIF(Manual_Review!$A$6:$A$238,A134)=1),"16 keys present","Check key count")</f>
        <v>16 keys present</v>
      </c>
    </row>
    <row r="135" spans="1:52" ht="38.25">
      <c r="A135" s="5" t="s">
        <v>1511</v>
      </c>
      <c r="B135" s="5" t="s">
        <v>1512</v>
      </c>
      <c r="C135" s="5"/>
      <c r="D135" s="5" t="s">
        <v>118</v>
      </c>
      <c r="E135" s="12">
        <f>IF(OR(AY135&lt;&gt;"Valid",AZ135&lt;&gt;"16 keys present"),"Review settings",20*(IF(ISNUMBER(AC135),AC135*IF($D135="Unlabeled-13",MCDM_Settings!$E$6,MCDM_Settings!$C$6),0)+IF(ISNUMBER(AF135),AF135*IF($D135="Unlabeled-13",MCDM_Settings!$E$7,MCDM_Settings!$C$7),0)+IF(ISNUMBER(AI135),AI135*IF($D135="Unlabeled-13",MCDM_Settings!$E$8,MCDM_Settings!$C$8),0)+IF(ISNUMBER(AL135),AL135*IF($D135="Unlabeled-13",MCDM_Settings!$E$9,MCDM_Settings!$C$9),0)+IF(ISNUMBER(AO135),AO135*IF($D135="Unlabeled-13",MCDM_Settings!$E$10,MCDM_Settings!$C$10),0)+IF(ISNUMBER(AR135),AR135*IF($D135="Unlabeled-13",MCDM_Settings!$E$11,MCDM_Settings!$C$11),0)))</f>
        <v>52.777777777777779</v>
      </c>
      <c r="F135" s="12">
        <f>IF(OR(AY135&lt;&gt;"Valid",AZ135&lt;&gt;"16 keys present"),"Review settings",20*(IF(ISNUMBER(AD135),AD135*IF($D135="Unlabeled-13",MCDM_Settings!$E$6,MCDM_Settings!$C$6),0)+IF(ISNUMBER(AG135),AG135*IF($D135="Unlabeled-13",MCDM_Settings!$E$7,MCDM_Settings!$C$7),0)+IF(ISNUMBER(AJ135),AJ135*IF($D135="Unlabeled-13",MCDM_Settings!$E$8,MCDM_Settings!$C$8),0)+IF(ISNUMBER(AM135),AM135*IF($D135="Unlabeled-13",MCDM_Settings!$E$9,MCDM_Settings!$C$9),0)+IF(ISNUMBER(AP135),AP135*IF($D135="Unlabeled-13",MCDM_Settings!$E$10,MCDM_Settings!$C$10),0)+IF(ISNUMBER(AS135),AS135*IF($D135="Unlabeled-13",MCDM_Settings!$E$11,MCDM_Settings!$C$11),0)))</f>
        <v>99.999999999999986</v>
      </c>
      <c r="G135" s="13">
        <f>IF(OR(AY135&lt;&gt;"Valid",AZ135&lt;&gt;"16 keys present"),"Review settings",1*(IF(ISNUMBER(AE135),AE135*IF($D135="Unlabeled-13",MCDM_Settings!$E$6,MCDM_Settings!$C$6),0)+IF(ISNUMBER(AH135),AH135*IF($D135="Unlabeled-13",MCDM_Settings!$E$7,MCDM_Settings!$C$7),0)+IF(ISNUMBER(AK135),AK135*IF($D135="Unlabeled-13",MCDM_Settings!$E$8,MCDM_Settings!$C$8),0)+IF(ISNUMBER(AN135),AN135*IF($D135="Unlabeled-13",MCDM_Settings!$E$9,MCDM_Settings!$C$9),0)+IF(ISNUMBER(AQ135),AQ135*IF($D135="Unlabeled-13",MCDM_Settings!$E$10,MCDM_Settings!$C$10),0)+IF(ISNUMBER(AT135),AT135*IF($D135="Unlabeled-13",MCDM_Settings!$E$11,MCDM_Settings!$C$11),0)))</f>
        <v>0.52777777777777779</v>
      </c>
      <c r="H135" s="5" t="str">
        <f>INDEX(Manual_Review!$AH$6:$AH$238,MATCH(A135,Manual_Review!$A$6:$A$238,0))</f>
        <v>Not started</v>
      </c>
      <c r="I135" s="5" t="s">
        <v>128</v>
      </c>
      <c r="J135" s="5" t="s">
        <v>1407</v>
      </c>
      <c r="K135" s="5" t="str">
        <f>HYPERLINK("https://zenodo.org/records/21701636","Dataset")</f>
        <v>Dataset</v>
      </c>
      <c r="L135" s="5" t="str">
        <f>HYPERLINK("#'Manual_Review'!A"&amp;(MATCH("DS-130",Manual_Review!$A$6:$A$238,0)+5),"Enter review")</f>
        <v>Enter review</v>
      </c>
      <c r="M135" s="5" t="str">
        <f>INDEX(MCDM_Checks!$K$6:$K$3733,MATCH(A135&amp;"|"&amp;M$5,MCDM_Checks!$A$6:$A$3733,0))</f>
        <v>Y</v>
      </c>
      <c r="N135" s="5" t="str">
        <f>INDEX(MCDM_Checks!$K$6:$K$3733,MATCH(A135&amp;"|"&amp;N$5,MCDM_Checks!$A$6:$A$3733,0))</f>
        <v>U</v>
      </c>
      <c r="O135" s="5" t="str">
        <f>INDEX(MCDM_Checks!$K$6:$K$3733,MATCH(A135&amp;"|"&amp;O$5,MCDM_Checks!$A$6:$A$3733,0))</f>
        <v>Y</v>
      </c>
      <c r="P135" s="5" t="str">
        <f>INDEX(MCDM_Checks!$K$6:$K$3733,MATCH(A135&amp;"|"&amp;P$5,MCDM_Checks!$A$6:$A$3733,0))</f>
        <v>Y</v>
      </c>
      <c r="Q135" s="5" t="str">
        <f>INDEX(MCDM_Checks!$K$6:$K$3733,MATCH(A135&amp;"|"&amp;Q$5,MCDM_Checks!$A$6:$A$3733,0))</f>
        <v>U</v>
      </c>
      <c r="R135" s="5" t="str">
        <f>INDEX(MCDM_Checks!$K$6:$K$3733,MATCH(A135&amp;"|"&amp;R$5,MCDM_Checks!$A$6:$A$3733,0))</f>
        <v>U</v>
      </c>
      <c r="S135" s="5" t="str">
        <f>INDEX(MCDM_Checks!$K$6:$K$3733,MATCH(A135&amp;"|"&amp;S$5,MCDM_Checks!$A$6:$A$3733,0))</f>
        <v>Y</v>
      </c>
      <c r="T135" s="5" t="str">
        <f>INDEX(MCDM_Checks!$K$6:$K$3733,MATCH(A135&amp;"|"&amp;T$5,MCDM_Checks!$A$6:$A$3733,0))</f>
        <v>U</v>
      </c>
      <c r="U135" s="5" t="str">
        <f>INDEX(MCDM_Checks!$K$6:$K$3733,MATCH(A135&amp;"|"&amp;U$5,MCDM_Checks!$A$6:$A$3733,0))</f>
        <v>Y</v>
      </c>
      <c r="V135" s="5" t="str">
        <f>INDEX(MCDM_Checks!$K$6:$K$3733,MATCH(A135&amp;"|"&amp;V$5,MCDM_Checks!$A$6:$A$3733,0))</f>
        <v>Y</v>
      </c>
      <c r="W135" s="5" t="str">
        <f>INDEX(MCDM_Checks!$K$6:$K$3733,MATCH(A135&amp;"|"&amp;W$5,MCDM_Checks!$A$6:$A$3733,0))</f>
        <v>Y</v>
      </c>
      <c r="X135" s="5" t="str">
        <f>INDEX(MCDM_Checks!$K$6:$K$3733,MATCH(A135&amp;"|"&amp;X$5,MCDM_Checks!$A$6:$A$3733,0))</f>
        <v>U</v>
      </c>
      <c r="Y135" s="5" t="str">
        <f>INDEX(MCDM_Checks!$K$6:$K$3733,MATCH(A135&amp;"|"&amp;Y$5,MCDM_Checks!$A$6:$A$3733,0))</f>
        <v>Y</v>
      </c>
      <c r="Z135" s="5" t="str">
        <f>INDEX(MCDM_Checks!$K$6:$K$3733,MATCH(A135&amp;"|"&amp;Z$5,MCDM_Checks!$A$6:$A$3733,0))</f>
        <v>U</v>
      </c>
      <c r="AA135" s="5" t="str">
        <f>INDEX(MCDM_Checks!$K$6:$K$3733,MATCH(A135&amp;"|"&amp;AA$5,MCDM_Checks!$A$6:$A$3733,0))</f>
        <v>U</v>
      </c>
      <c r="AB135" s="5" t="str">
        <f>INDEX(MCDM_Checks!$K$6:$K$3733,MATCH(A135&amp;"|"&amp;AB$5,MCDM_Checks!$A$6:$A$3733,0))</f>
        <v>U</v>
      </c>
      <c r="AC135" s="12">
        <f>IF(IF($D135="Unlabeled-13",MCDM_Settings!$F$6,MCDM_Settings!$D$6)=0,"n.a.",5*COUNTIF(M135:O135,"Y")/IF($D135="Unlabeled-13",MCDM_Settings!$F$6,MCDM_Settings!$D$6))</f>
        <v>3.3333333333333335</v>
      </c>
      <c r="AD135" s="12">
        <f>IF(IF($D135="Unlabeled-13",MCDM_Settings!$F$6,MCDM_Settings!$D$6)=0,"n.a.",5*(COUNTIF(M135:O135,"Y")+COUNTIF(M135:O135,"U")+COUNTIF(M135:O135,"X"))/IF($D135="Unlabeled-13",MCDM_Settings!$F$6,MCDM_Settings!$D$6))</f>
        <v>5</v>
      </c>
      <c r="AE135" s="13">
        <f>IF(IF($D135="Unlabeled-13",MCDM_Settings!$F$6,MCDM_Settings!$D$6)=0,"n.a.",(COUNTIF(M135:O135,"Y")+COUNTIF(M135:O135,"N"))/IF($D135="Unlabeled-13",MCDM_Settings!$F$6,MCDM_Settings!$D$6))</f>
        <v>0.66666666666666663</v>
      </c>
      <c r="AF135" s="12">
        <f>IF(IF($D135="Unlabeled-13",MCDM_Settings!$F$7,MCDM_Settings!$D$7)=0,"n.a.",5*COUNTIF(P135:R135,"Y")/IF($D135="Unlabeled-13",MCDM_Settings!$F$7,MCDM_Settings!$D$7))</f>
        <v>1.6666666666666667</v>
      </c>
      <c r="AG135" s="12">
        <f>IF(IF($D135="Unlabeled-13",MCDM_Settings!$F$7,MCDM_Settings!$D$7)=0,"n.a.",5*(COUNTIF(P135:R135,"Y")+COUNTIF(P135:R135,"U")+COUNTIF(P135:R135,"X"))/IF($D135="Unlabeled-13",MCDM_Settings!$F$7,MCDM_Settings!$D$7))</f>
        <v>5</v>
      </c>
      <c r="AH135" s="13">
        <f>IF(IF($D135="Unlabeled-13",MCDM_Settings!$F$7,MCDM_Settings!$D$7)=0,"n.a.",(COUNTIF(P135:R135,"Y")+COUNTIF(P135:R135,"N"))/IF($D135="Unlabeled-13",MCDM_Settings!$F$7,MCDM_Settings!$D$7))</f>
        <v>0.33333333333333331</v>
      </c>
      <c r="AI135" s="12">
        <f>IF(IF($D135="Unlabeled-13",MCDM_Settings!$F$8,MCDM_Settings!$D$8)=0,"n.a.",5*COUNTIF(S135:U135,"Y")/IF($D135="Unlabeled-13",MCDM_Settings!$F$8,MCDM_Settings!$D$8))</f>
        <v>3.3333333333333335</v>
      </c>
      <c r="AJ135" s="12">
        <f>IF(IF($D135="Unlabeled-13",MCDM_Settings!$F$8,MCDM_Settings!$D$8)=0,"n.a.",5*(COUNTIF(S135:U135,"Y")+COUNTIF(S135:U135,"U")+COUNTIF(S135:U135,"X"))/IF($D135="Unlabeled-13",MCDM_Settings!$F$8,MCDM_Settings!$D$8))</f>
        <v>5</v>
      </c>
      <c r="AK135" s="13">
        <f>IF(IF($D135="Unlabeled-13",MCDM_Settings!$F$8,MCDM_Settings!$D$8)=0,"n.a.",(COUNTIF(S135:U135,"Y")+COUNTIF(S135:U135,"N"))/IF($D135="Unlabeled-13",MCDM_Settings!$F$8,MCDM_Settings!$D$8))</f>
        <v>0.66666666666666663</v>
      </c>
      <c r="AL135" s="12">
        <f>IF(IF($D135="Unlabeled-13",MCDM_Settings!$F$9,MCDM_Settings!$D$9)=0,"n.a.",5*COUNTIF(V135:W135,"Y")/IF($D135="Unlabeled-13",MCDM_Settings!$F$9,MCDM_Settings!$D$9))</f>
        <v>5</v>
      </c>
      <c r="AM135" s="12">
        <f>IF(IF($D135="Unlabeled-13",MCDM_Settings!$F$9,MCDM_Settings!$D$9)=0,"n.a.",5*(COUNTIF(V135:W135,"Y")+COUNTIF(V135:W135,"U")+COUNTIF(V135:W135,"X"))/IF($D135="Unlabeled-13",MCDM_Settings!$F$9,MCDM_Settings!$D$9))</f>
        <v>5</v>
      </c>
      <c r="AN135" s="13">
        <f>IF(IF($D135="Unlabeled-13",MCDM_Settings!$F$9,MCDM_Settings!$D$9)=0,"n.a.",(COUNTIF(V135:W135,"Y")+COUNTIF(V135:W135,"N"))/IF($D135="Unlabeled-13",MCDM_Settings!$F$9,MCDM_Settings!$D$9))</f>
        <v>1</v>
      </c>
      <c r="AO135" s="12">
        <f>IF(IF($D135="Unlabeled-13",MCDM_Settings!$F$10,MCDM_Settings!$D$10)=0,"n.a.",5*COUNTIF(X135:Y135,"Y")/IF($D135="Unlabeled-13",MCDM_Settings!$F$10,MCDM_Settings!$D$10))</f>
        <v>2.5</v>
      </c>
      <c r="AP135" s="12">
        <f>IF(IF($D135="Unlabeled-13",MCDM_Settings!$F$10,MCDM_Settings!$D$10)=0,"n.a.",5*(COUNTIF(X135:Y135,"Y")+COUNTIF(X135:Y135,"U")+COUNTIF(X135:Y135,"X"))/IF($D135="Unlabeled-13",MCDM_Settings!$F$10,MCDM_Settings!$D$10))</f>
        <v>5</v>
      </c>
      <c r="AQ135" s="13">
        <f>IF(IF($D135="Unlabeled-13",MCDM_Settings!$F$10,MCDM_Settings!$D$10)=0,"n.a.",(COUNTIF(X135:Y135,"Y")+COUNTIF(X135:Y135,"N"))/IF($D135="Unlabeled-13",MCDM_Settings!$F$10,MCDM_Settings!$D$10))</f>
        <v>0.5</v>
      </c>
      <c r="AR135" s="12">
        <f>IF(IF($D135="Unlabeled-13",MCDM_Settings!$F$11,MCDM_Settings!$D$11)=0,"n.a.",5*COUNTIF(Z135:AB135,"Y")/IF($D135="Unlabeled-13",MCDM_Settings!$F$11,MCDM_Settings!$D$11))</f>
        <v>0</v>
      </c>
      <c r="AS135" s="12">
        <f>IF(IF($D135="Unlabeled-13",MCDM_Settings!$F$11,MCDM_Settings!$D$11)=0,"n.a.",5*(COUNTIF(Z135:AB135,"Y")+COUNTIF(Z135:AB135,"U")+COUNTIF(Z135:AB135,"X"))/IF($D135="Unlabeled-13",MCDM_Settings!$F$11,MCDM_Settings!$D$11))</f>
        <v>5</v>
      </c>
      <c r="AT135" s="13">
        <f>IF(IF($D135="Unlabeled-13",MCDM_Settings!$F$11,MCDM_Settings!$D$11)=0,"n.a.",(COUNTIF(Z135:AB135,"Y")+COUNTIF(Z135:AB135,"N"))/IF($D135="Unlabeled-13",MCDM_Settings!$F$11,MCDM_Settings!$D$11))</f>
        <v>0</v>
      </c>
      <c r="AU135" s="5" t="str">
        <f>IF(AND(INDEX(Manual_Review!$G$6:$G$238,MATCH(A135,Manual_Review!$A$6:$A$238,0))&lt;&gt;"",ISNUMBER(INDEX(Manual_Review!$H$6:$H$238,MATCH(A135,Manual_Review!$A$6:$A$238,0))),INDEX(Manual_Review!$H$6:$H$238,MATCH(A135,Manual_Review!$A$6:$A$238,0))&gt;0,INDEX(Manual_Review!$I$6:$I$238,MATCH(A135,Manual_Review!$A$6:$A$238,0))="Confirmed",INDEX(Manual_Review!$AF$6:$AF$238,MATCH(A135,Manual_Review!$A$6:$A$238,0))&lt;&gt;""),IF(INDEX(Manual_Review!$AA$6:$AA$238,MATCH(A135,Manual_Review!$A$6:$A$238,0))="Pass","Pass",IF(INDEX(Manual_Review!$AA$6:$AA$238,MATCH(A135,Manual_Review!$A$6:$A$238,0))="Fail","Fail","Pending")),"Pending human identity confirmation")</f>
        <v>Pending human identity confirmation</v>
      </c>
      <c r="AV135" s="5" t="str">
        <f>IF(AND(AND(INDEX(Manual_Review!$G$6:$G$238,MATCH(A135,Manual_Review!$A$6:$A$238,0))&lt;&gt;"",ISNUMBER(INDEX(Manual_Review!$H$6:$H$238,MATCH(A135,Manual_Review!$A$6:$A$238,0))),INDEX(Manual_Review!$H$6:$H$238,MATCH(A135,Manual_Review!$A$6:$A$238,0))&gt;0,INDEX(Manual_Review!$I$6:$I$238,MATCH(A135,Manual_Review!$A$6:$A$238,0))="Confirmed",INDEX(Manual_Review!$AF$6:$AF$238,MATCH(A135,Manual_Review!$A$6:$A$238,0))&lt;&gt;""),INDEX(Manual_Review!$AG$6:$AG$238,MATCH(A135,Manual_Review!$A$6:$A$238,0))&lt;&gt;""),IF(INDEX(Manual_Review!$AB$6:$AB$238,MATCH(A135,Manual_Review!$A$6:$A$238,0))="Pass","Pass",IF(INDEX(Manual_Review!$AB$6:$AB$238,MATCH(A135,Manual_Review!$A$6:$A$238,0))="Fail","Fail","Pending")),"Not assessed: define intended task")</f>
        <v>Not assessed: define intended task</v>
      </c>
      <c r="AW135" s="5" t="str">
        <f>IF(AND(AND(INDEX(Manual_Review!$G$6:$G$238,MATCH(A135,Manual_Review!$A$6:$A$238,0))&lt;&gt;"",ISNUMBER(INDEX(Manual_Review!$H$6:$H$238,MATCH(A135,Manual_Review!$A$6:$A$238,0))),INDEX(Manual_Review!$H$6:$H$238,MATCH(A135,Manual_Review!$A$6:$A$238,0))&gt;0,INDEX(Manual_Review!$I$6:$I$238,MATCH(A135,Manual_Review!$A$6:$A$238,0))="Confirmed",INDEX(Manual_Review!$AF$6:$AF$238,MATCH(A135,Manual_Review!$A$6:$A$238,0))&lt;&gt;""),INDEX(Manual_Review!$AG$6:$AG$238,MATCH(A135,Manual_Review!$A$6:$A$238,0))&lt;&gt;""),IF(OR(INDEX(Manual_Review!$AC$6:$AC$238,MATCH(A135,Manual_Review!$A$6:$A$238,0))="Fail",INDEX(Manual_Review!$AD$6:$AD$238,MATCH(A135,Manual_Review!$A$6:$A$238,0))="Fail"),"Fail: rights or retrieval",IF(AND(INDEX(Manual_Review!$AC$6:$AC$238,MATCH(A135,Manual_Review!$A$6:$A$238,0))="Pass",INDEX(Manual_Review!$AD$6:$AD$238,MATCH(A135,Manual_Review!$A$6:$A$238,0))="Pass"),"Pass","Pending rights and retrieval")),"Pending rights and retrieval")</f>
        <v>Pending rights and retrieval</v>
      </c>
      <c r="AX135" s="5" t="str">
        <f>IF(INDEX(Manual_Review!$AG$6:$AG$238,MATCH(A135,Manual_Review!$A$6:$A$238,0))="","N/A: documentation inventory",IF(AND(INDEX(Manual_Review!$G$6:$G$238,MATCH(A135,Manual_Review!$A$6:$A$238,0))&lt;&gt;"",ISNUMBER(INDEX(Manual_Review!$H$6:$H$238,MATCH(A135,Manual_Review!$A$6:$A$238,0))),INDEX(Manual_Review!$H$6:$H$238,MATCH(A135,Manual_Review!$A$6:$A$238,0))&gt;0,INDEX(Manual_Review!$I$6:$I$238,MATCH(A135,Manual_Review!$A$6:$A$238,0))="Confirmed",INDEX(Manual_Review!$AF$6:$AF$238,MATCH(A135,Manual_Review!$A$6:$A$238,0))&lt;&gt;""),IF(INDEX(Manual_Review!$AE$6:$AE$238,MATCH(A135,Manual_Review!$A$6:$A$238,0))="Pass","Pass",IF(INDEX(Manual_Review!$AE$6:$AE$238,MATCH(A135,Manual_Review!$A$6:$A$238,0))="Fail","Fail: benchmark leakage",IF(INDEX(Manual_Review!$AE$6:$AE$238,MATCH(A135,Manual_Review!$A$6:$A$238,0))="N/A","N/A: nonbenchmark task","Pending task-specific leakage check"))),"Pending task-specific leakage check"))</f>
        <v>N/A: documentation inventory</v>
      </c>
      <c r="AY135" s="5" t="str">
        <f>IF(IF(D135="Unlabeled-13",AND(ABS(MCDM_Settings!$D$14-1)&lt;0.0000001,MIN(MCDM_Settings!$E$6:$E$11)&gt;=0,MCDM_Settings!$E$7=0),AND(ABS(MCDM_Settings!$B$14-1)&lt;0.0000001,MIN(MCDM_Settings!$C$6:$C$11)&gt;=0)),"Valid","Check weights")</f>
        <v>Valid</v>
      </c>
      <c r="AZ135" s="5" t="str">
        <f>IF(AND(COUNTIF(MCDM_Checks!$B$6:$B$3733,A135)=16,COUNTIF(Manual_Review!$A$6:$A$238,A135)=1),"16 keys present","Check key count")</f>
        <v>16 keys present</v>
      </c>
    </row>
    <row r="136" spans="1:52" ht="25.5">
      <c r="A136" s="5" t="s">
        <v>1521</v>
      </c>
      <c r="B136" s="5" t="s">
        <v>1522</v>
      </c>
      <c r="C136" s="5"/>
      <c r="D136" s="5" t="s">
        <v>118</v>
      </c>
      <c r="E136" s="12">
        <f>IF(OR(AY136&lt;&gt;"Valid",AZ136&lt;&gt;"16 keys present"),"Review settings",20*(IF(ISNUMBER(AC136),AC136*IF($D136="Unlabeled-13",MCDM_Settings!$E$6,MCDM_Settings!$C$6),0)+IF(ISNUMBER(AF136),AF136*IF($D136="Unlabeled-13",MCDM_Settings!$E$7,MCDM_Settings!$C$7),0)+IF(ISNUMBER(AI136),AI136*IF($D136="Unlabeled-13",MCDM_Settings!$E$8,MCDM_Settings!$C$8),0)+IF(ISNUMBER(AL136),AL136*IF($D136="Unlabeled-13",MCDM_Settings!$E$9,MCDM_Settings!$C$9),0)+IF(ISNUMBER(AO136),AO136*IF($D136="Unlabeled-13",MCDM_Settings!$E$10,MCDM_Settings!$C$10),0)+IF(ISNUMBER(AR136),AR136*IF($D136="Unlabeled-13",MCDM_Settings!$E$11,MCDM_Settings!$C$11),0)))</f>
        <v>61.111111111111107</v>
      </c>
      <c r="F136" s="12">
        <f>IF(OR(AY136&lt;&gt;"Valid",AZ136&lt;&gt;"16 keys present"),"Review settings",20*(IF(ISNUMBER(AD136),AD136*IF($D136="Unlabeled-13",MCDM_Settings!$E$6,MCDM_Settings!$C$6),0)+IF(ISNUMBER(AG136),AG136*IF($D136="Unlabeled-13",MCDM_Settings!$E$7,MCDM_Settings!$C$7),0)+IF(ISNUMBER(AJ136),AJ136*IF($D136="Unlabeled-13",MCDM_Settings!$E$8,MCDM_Settings!$C$8),0)+IF(ISNUMBER(AM136),AM136*IF($D136="Unlabeled-13",MCDM_Settings!$E$9,MCDM_Settings!$C$9),0)+IF(ISNUMBER(AP136),AP136*IF($D136="Unlabeled-13",MCDM_Settings!$E$10,MCDM_Settings!$C$10),0)+IF(ISNUMBER(AS136),AS136*IF($D136="Unlabeled-13",MCDM_Settings!$E$11,MCDM_Settings!$C$11),0)))</f>
        <v>99.999999999999986</v>
      </c>
      <c r="G136" s="13">
        <f>IF(OR(AY136&lt;&gt;"Valid",AZ136&lt;&gt;"16 keys present"),"Review settings",1*(IF(ISNUMBER(AE136),AE136*IF($D136="Unlabeled-13",MCDM_Settings!$E$6,MCDM_Settings!$C$6),0)+IF(ISNUMBER(AH136),AH136*IF($D136="Unlabeled-13",MCDM_Settings!$E$7,MCDM_Settings!$C$7),0)+IF(ISNUMBER(AK136),AK136*IF($D136="Unlabeled-13",MCDM_Settings!$E$8,MCDM_Settings!$C$8),0)+IF(ISNUMBER(AN136),AN136*IF($D136="Unlabeled-13",MCDM_Settings!$E$9,MCDM_Settings!$C$9),0)+IF(ISNUMBER(AQ136),AQ136*IF($D136="Unlabeled-13",MCDM_Settings!$E$10,MCDM_Settings!$C$10),0)+IF(ISNUMBER(AT136),AT136*IF($D136="Unlabeled-13",MCDM_Settings!$E$11,MCDM_Settings!$C$11),0)))</f>
        <v>0.61111111111111105</v>
      </c>
      <c r="H136" s="5" t="str">
        <f>INDEX(Manual_Review!$AH$6:$AH$238,MATCH(A136,Manual_Review!$A$6:$A$238,0))</f>
        <v>Not started</v>
      </c>
      <c r="I136" s="5" t="s">
        <v>128</v>
      </c>
      <c r="J136" s="5" t="s">
        <v>119</v>
      </c>
      <c r="K136" s="5" t="str">
        <f>HYPERLINK("https://zenodo.org/records/17194814","Dataset")</f>
        <v>Dataset</v>
      </c>
      <c r="L136" s="5" t="str">
        <f>HYPERLINK("#'Manual_Review'!A"&amp;(MATCH("DS-131",Manual_Review!$A$6:$A$238,0)+5),"Enter review")</f>
        <v>Enter review</v>
      </c>
      <c r="M136" s="5" t="str">
        <f>INDEX(MCDM_Checks!$K$6:$K$3733,MATCH(A136&amp;"|"&amp;M$5,MCDM_Checks!$A$6:$A$3733,0))</f>
        <v>Y</v>
      </c>
      <c r="N136" s="5" t="str">
        <f>INDEX(MCDM_Checks!$K$6:$K$3733,MATCH(A136&amp;"|"&amp;N$5,MCDM_Checks!$A$6:$A$3733,0))</f>
        <v>Y</v>
      </c>
      <c r="O136" s="5" t="str">
        <f>INDEX(MCDM_Checks!$K$6:$K$3733,MATCH(A136&amp;"|"&amp;O$5,MCDM_Checks!$A$6:$A$3733,0))</f>
        <v>X</v>
      </c>
      <c r="P136" s="5" t="str">
        <f>INDEX(MCDM_Checks!$K$6:$K$3733,MATCH(A136&amp;"|"&amp;P$5,MCDM_Checks!$A$6:$A$3733,0))</f>
        <v>Y</v>
      </c>
      <c r="Q136" s="5" t="str">
        <f>INDEX(MCDM_Checks!$K$6:$K$3733,MATCH(A136&amp;"|"&amp;Q$5,MCDM_Checks!$A$6:$A$3733,0))</f>
        <v>Y</v>
      </c>
      <c r="R136" s="5" t="str">
        <f>INDEX(MCDM_Checks!$K$6:$K$3733,MATCH(A136&amp;"|"&amp;R$5,MCDM_Checks!$A$6:$A$3733,0))</f>
        <v>U</v>
      </c>
      <c r="S136" s="5" t="str">
        <f>INDEX(MCDM_Checks!$K$6:$K$3733,MATCH(A136&amp;"|"&amp;S$5,MCDM_Checks!$A$6:$A$3733,0))</f>
        <v>Y</v>
      </c>
      <c r="T136" s="5" t="str">
        <f>INDEX(MCDM_Checks!$K$6:$K$3733,MATCH(A136&amp;"|"&amp;T$5,MCDM_Checks!$A$6:$A$3733,0))</f>
        <v>Y</v>
      </c>
      <c r="U136" s="5" t="str">
        <f>INDEX(MCDM_Checks!$K$6:$K$3733,MATCH(A136&amp;"|"&amp;U$5,MCDM_Checks!$A$6:$A$3733,0))</f>
        <v>Y</v>
      </c>
      <c r="V136" s="5" t="str">
        <f>INDEX(MCDM_Checks!$K$6:$K$3733,MATCH(A136&amp;"|"&amp;V$5,MCDM_Checks!$A$6:$A$3733,0))</f>
        <v>Y</v>
      </c>
      <c r="W136" s="5" t="str">
        <f>INDEX(MCDM_Checks!$K$6:$K$3733,MATCH(A136&amp;"|"&amp;W$5,MCDM_Checks!$A$6:$A$3733,0))</f>
        <v>Y</v>
      </c>
      <c r="X136" s="5" t="str">
        <f>INDEX(MCDM_Checks!$K$6:$K$3733,MATCH(A136&amp;"|"&amp;X$5,MCDM_Checks!$A$6:$A$3733,0))</f>
        <v>U</v>
      </c>
      <c r="Y136" s="5" t="str">
        <f>INDEX(MCDM_Checks!$K$6:$K$3733,MATCH(A136&amp;"|"&amp;Y$5,MCDM_Checks!$A$6:$A$3733,0))</f>
        <v>U</v>
      </c>
      <c r="Z136" s="5" t="str">
        <f>INDEX(MCDM_Checks!$K$6:$K$3733,MATCH(A136&amp;"|"&amp;Z$5,MCDM_Checks!$A$6:$A$3733,0))</f>
        <v>Y</v>
      </c>
      <c r="AA136" s="5" t="str">
        <f>INDEX(MCDM_Checks!$K$6:$K$3733,MATCH(A136&amp;"|"&amp;AA$5,MCDM_Checks!$A$6:$A$3733,0))</f>
        <v>U</v>
      </c>
      <c r="AB136" s="5" t="str">
        <f>INDEX(MCDM_Checks!$K$6:$K$3733,MATCH(A136&amp;"|"&amp;AB$5,MCDM_Checks!$A$6:$A$3733,0))</f>
        <v>U</v>
      </c>
      <c r="AC136" s="12">
        <f>IF(IF($D136="Unlabeled-13",MCDM_Settings!$F$6,MCDM_Settings!$D$6)=0,"n.a.",5*COUNTIF(M136:O136,"Y")/IF($D136="Unlabeled-13",MCDM_Settings!$F$6,MCDM_Settings!$D$6))</f>
        <v>3.3333333333333335</v>
      </c>
      <c r="AD136" s="12">
        <f>IF(IF($D136="Unlabeled-13",MCDM_Settings!$F$6,MCDM_Settings!$D$6)=0,"n.a.",5*(COUNTIF(M136:O136,"Y")+COUNTIF(M136:O136,"U")+COUNTIF(M136:O136,"X"))/IF($D136="Unlabeled-13",MCDM_Settings!$F$6,MCDM_Settings!$D$6))</f>
        <v>5</v>
      </c>
      <c r="AE136" s="13">
        <f>IF(IF($D136="Unlabeled-13",MCDM_Settings!$F$6,MCDM_Settings!$D$6)=0,"n.a.",(COUNTIF(M136:O136,"Y")+COUNTIF(M136:O136,"N"))/IF($D136="Unlabeled-13",MCDM_Settings!$F$6,MCDM_Settings!$D$6))</f>
        <v>0.66666666666666663</v>
      </c>
      <c r="AF136" s="12">
        <f>IF(IF($D136="Unlabeled-13",MCDM_Settings!$F$7,MCDM_Settings!$D$7)=0,"n.a.",5*COUNTIF(P136:R136,"Y")/IF($D136="Unlabeled-13",MCDM_Settings!$F$7,MCDM_Settings!$D$7))</f>
        <v>3.3333333333333335</v>
      </c>
      <c r="AG136" s="12">
        <f>IF(IF($D136="Unlabeled-13",MCDM_Settings!$F$7,MCDM_Settings!$D$7)=0,"n.a.",5*(COUNTIF(P136:R136,"Y")+COUNTIF(P136:R136,"U")+COUNTIF(P136:R136,"X"))/IF($D136="Unlabeled-13",MCDM_Settings!$F$7,MCDM_Settings!$D$7))</f>
        <v>5</v>
      </c>
      <c r="AH136" s="13">
        <f>IF(IF($D136="Unlabeled-13",MCDM_Settings!$F$7,MCDM_Settings!$D$7)=0,"n.a.",(COUNTIF(P136:R136,"Y")+COUNTIF(P136:R136,"N"))/IF($D136="Unlabeled-13",MCDM_Settings!$F$7,MCDM_Settings!$D$7))</f>
        <v>0.66666666666666663</v>
      </c>
      <c r="AI136" s="12">
        <f>IF(IF($D136="Unlabeled-13",MCDM_Settings!$F$8,MCDM_Settings!$D$8)=0,"n.a.",5*COUNTIF(S136:U136,"Y")/IF($D136="Unlabeled-13",MCDM_Settings!$F$8,MCDM_Settings!$D$8))</f>
        <v>5</v>
      </c>
      <c r="AJ136" s="12">
        <f>IF(IF($D136="Unlabeled-13",MCDM_Settings!$F$8,MCDM_Settings!$D$8)=0,"n.a.",5*(COUNTIF(S136:U136,"Y")+COUNTIF(S136:U136,"U")+COUNTIF(S136:U136,"X"))/IF($D136="Unlabeled-13",MCDM_Settings!$F$8,MCDM_Settings!$D$8))</f>
        <v>5</v>
      </c>
      <c r="AK136" s="13">
        <f>IF(IF($D136="Unlabeled-13",MCDM_Settings!$F$8,MCDM_Settings!$D$8)=0,"n.a.",(COUNTIF(S136:U136,"Y")+COUNTIF(S136:U136,"N"))/IF($D136="Unlabeled-13",MCDM_Settings!$F$8,MCDM_Settings!$D$8))</f>
        <v>1</v>
      </c>
      <c r="AL136" s="12">
        <f>IF(IF($D136="Unlabeled-13",MCDM_Settings!$F$9,MCDM_Settings!$D$9)=0,"n.a.",5*COUNTIF(V136:W136,"Y")/IF($D136="Unlabeled-13",MCDM_Settings!$F$9,MCDM_Settings!$D$9))</f>
        <v>5</v>
      </c>
      <c r="AM136" s="12">
        <f>IF(IF($D136="Unlabeled-13",MCDM_Settings!$F$9,MCDM_Settings!$D$9)=0,"n.a.",5*(COUNTIF(V136:W136,"Y")+COUNTIF(V136:W136,"U")+COUNTIF(V136:W136,"X"))/IF($D136="Unlabeled-13",MCDM_Settings!$F$9,MCDM_Settings!$D$9))</f>
        <v>5</v>
      </c>
      <c r="AN136" s="13">
        <f>IF(IF($D136="Unlabeled-13",MCDM_Settings!$F$9,MCDM_Settings!$D$9)=0,"n.a.",(COUNTIF(V136:W136,"Y")+COUNTIF(V136:W136,"N"))/IF($D136="Unlabeled-13",MCDM_Settings!$F$9,MCDM_Settings!$D$9))</f>
        <v>1</v>
      </c>
      <c r="AO136" s="12">
        <f>IF(IF($D136="Unlabeled-13",MCDM_Settings!$F$10,MCDM_Settings!$D$10)=0,"n.a.",5*COUNTIF(X136:Y136,"Y")/IF($D136="Unlabeled-13",MCDM_Settings!$F$10,MCDM_Settings!$D$10))</f>
        <v>0</v>
      </c>
      <c r="AP136" s="12">
        <f>IF(IF($D136="Unlabeled-13",MCDM_Settings!$F$10,MCDM_Settings!$D$10)=0,"n.a.",5*(COUNTIF(X136:Y136,"Y")+COUNTIF(X136:Y136,"U")+COUNTIF(X136:Y136,"X"))/IF($D136="Unlabeled-13",MCDM_Settings!$F$10,MCDM_Settings!$D$10))</f>
        <v>5</v>
      </c>
      <c r="AQ136" s="13">
        <f>IF(IF($D136="Unlabeled-13",MCDM_Settings!$F$10,MCDM_Settings!$D$10)=0,"n.a.",(COUNTIF(X136:Y136,"Y")+COUNTIF(X136:Y136,"N"))/IF($D136="Unlabeled-13",MCDM_Settings!$F$10,MCDM_Settings!$D$10))</f>
        <v>0</v>
      </c>
      <c r="AR136" s="12">
        <f>IF(IF($D136="Unlabeled-13",MCDM_Settings!$F$11,MCDM_Settings!$D$11)=0,"n.a.",5*COUNTIF(Z136:AB136,"Y")/IF($D136="Unlabeled-13",MCDM_Settings!$F$11,MCDM_Settings!$D$11))</f>
        <v>1.6666666666666667</v>
      </c>
      <c r="AS136" s="12">
        <f>IF(IF($D136="Unlabeled-13",MCDM_Settings!$F$11,MCDM_Settings!$D$11)=0,"n.a.",5*(COUNTIF(Z136:AB136,"Y")+COUNTIF(Z136:AB136,"U")+COUNTIF(Z136:AB136,"X"))/IF($D136="Unlabeled-13",MCDM_Settings!$F$11,MCDM_Settings!$D$11))</f>
        <v>5</v>
      </c>
      <c r="AT136" s="13">
        <f>IF(IF($D136="Unlabeled-13",MCDM_Settings!$F$11,MCDM_Settings!$D$11)=0,"n.a.",(COUNTIF(Z136:AB136,"Y")+COUNTIF(Z136:AB136,"N"))/IF($D136="Unlabeled-13",MCDM_Settings!$F$11,MCDM_Settings!$D$11))</f>
        <v>0.33333333333333331</v>
      </c>
      <c r="AU136" s="5" t="str">
        <f>IF(AND(INDEX(Manual_Review!$G$6:$G$238,MATCH(A136,Manual_Review!$A$6:$A$238,0))&lt;&gt;"",ISNUMBER(INDEX(Manual_Review!$H$6:$H$238,MATCH(A136,Manual_Review!$A$6:$A$238,0))),INDEX(Manual_Review!$H$6:$H$238,MATCH(A136,Manual_Review!$A$6:$A$238,0))&gt;0,INDEX(Manual_Review!$I$6:$I$238,MATCH(A136,Manual_Review!$A$6:$A$238,0))="Confirmed",INDEX(Manual_Review!$AF$6:$AF$238,MATCH(A136,Manual_Review!$A$6:$A$238,0))&lt;&gt;""),IF(INDEX(Manual_Review!$AA$6:$AA$238,MATCH(A136,Manual_Review!$A$6:$A$238,0))="Pass","Pass",IF(INDEX(Manual_Review!$AA$6:$AA$238,MATCH(A136,Manual_Review!$A$6:$A$238,0))="Fail","Fail","Pending")),"Pending human identity confirmation")</f>
        <v>Pending human identity confirmation</v>
      </c>
      <c r="AV136" s="5" t="str">
        <f>IF(AND(AND(INDEX(Manual_Review!$G$6:$G$238,MATCH(A136,Manual_Review!$A$6:$A$238,0))&lt;&gt;"",ISNUMBER(INDEX(Manual_Review!$H$6:$H$238,MATCH(A136,Manual_Review!$A$6:$A$238,0))),INDEX(Manual_Review!$H$6:$H$238,MATCH(A136,Manual_Review!$A$6:$A$238,0))&gt;0,INDEX(Manual_Review!$I$6:$I$238,MATCH(A136,Manual_Review!$A$6:$A$238,0))="Confirmed",INDEX(Manual_Review!$AF$6:$AF$238,MATCH(A136,Manual_Review!$A$6:$A$238,0))&lt;&gt;""),INDEX(Manual_Review!$AG$6:$AG$238,MATCH(A136,Manual_Review!$A$6:$A$238,0))&lt;&gt;""),IF(INDEX(Manual_Review!$AB$6:$AB$238,MATCH(A136,Manual_Review!$A$6:$A$238,0))="Pass","Pass",IF(INDEX(Manual_Review!$AB$6:$AB$238,MATCH(A136,Manual_Review!$A$6:$A$238,0))="Fail","Fail","Pending")),"Not assessed: define intended task")</f>
        <v>Not assessed: define intended task</v>
      </c>
      <c r="AW136" s="5" t="str">
        <f>IF(AND(AND(INDEX(Manual_Review!$G$6:$G$238,MATCH(A136,Manual_Review!$A$6:$A$238,0))&lt;&gt;"",ISNUMBER(INDEX(Manual_Review!$H$6:$H$238,MATCH(A136,Manual_Review!$A$6:$A$238,0))),INDEX(Manual_Review!$H$6:$H$238,MATCH(A136,Manual_Review!$A$6:$A$238,0))&gt;0,INDEX(Manual_Review!$I$6:$I$238,MATCH(A136,Manual_Review!$A$6:$A$238,0))="Confirmed",INDEX(Manual_Review!$AF$6:$AF$238,MATCH(A136,Manual_Review!$A$6:$A$238,0))&lt;&gt;""),INDEX(Manual_Review!$AG$6:$AG$238,MATCH(A136,Manual_Review!$A$6:$A$238,0))&lt;&gt;""),IF(OR(INDEX(Manual_Review!$AC$6:$AC$238,MATCH(A136,Manual_Review!$A$6:$A$238,0))="Fail",INDEX(Manual_Review!$AD$6:$AD$238,MATCH(A136,Manual_Review!$A$6:$A$238,0))="Fail"),"Fail: rights or retrieval",IF(AND(INDEX(Manual_Review!$AC$6:$AC$238,MATCH(A136,Manual_Review!$A$6:$A$238,0))="Pass",INDEX(Manual_Review!$AD$6:$AD$238,MATCH(A136,Manual_Review!$A$6:$A$238,0))="Pass"),"Pass","Pending rights and retrieval")),"Pending rights and retrieval")</f>
        <v>Pending rights and retrieval</v>
      </c>
      <c r="AX136" s="5" t="str">
        <f>IF(INDEX(Manual_Review!$AG$6:$AG$238,MATCH(A136,Manual_Review!$A$6:$A$238,0))="","N/A: documentation inventory",IF(AND(INDEX(Manual_Review!$G$6:$G$238,MATCH(A136,Manual_Review!$A$6:$A$238,0))&lt;&gt;"",ISNUMBER(INDEX(Manual_Review!$H$6:$H$238,MATCH(A136,Manual_Review!$A$6:$A$238,0))),INDEX(Manual_Review!$H$6:$H$238,MATCH(A136,Manual_Review!$A$6:$A$238,0))&gt;0,INDEX(Manual_Review!$I$6:$I$238,MATCH(A136,Manual_Review!$A$6:$A$238,0))="Confirmed",INDEX(Manual_Review!$AF$6:$AF$238,MATCH(A136,Manual_Review!$A$6:$A$238,0))&lt;&gt;""),IF(INDEX(Manual_Review!$AE$6:$AE$238,MATCH(A136,Manual_Review!$A$6:$A$238,0))="Pass","Pass",IF(INDEX(Manual_Review!$AE$6:$AE$238,MATCH(A136,Manual_Review!$A$6:$A$238,0))="Fail","Fail: benchmark leakage",IF(INDEX(Manual_Review!$AE$6:$AE$238,MATCH(A136,Manual_Review!$A$6:$A$238,0))="N/A","N/A: nonbenchmark task","Pending task-specific leakage check"))),"Pending task-specific leakage check"))</f>
        <v>N/A: documentation inventory</v>
      </c>
      <c r="AY136" s="5" t="str">
        <f>IF(IF(D136="Unlabeled-13",AND(ABS(MCDM_Settings!$D$14-1)&lt;0.0000001,MIN(MCDM_Settings!$E$6:$E$11)&gt;=0,MCDM_Settings!$E$7=0),AND(ABS(MCDM_Settings!$B$14-1)&lt;0.0000001,MIN(MCDM_Settings!$C$6:$C$11)&gt;=0)),"Valid","Check weights")</f>
        <v>Valid</v>
      </c>
      <c r="AZ136" s="5" t="str">
        <f>IF(AND(COUNTIF(MCDM_Checks!$B$6:$B$3733,A136)=16,COUNTIF(Manual_Review!$A$6:$A$238,A136)=1),"16 keys present","Check key count")</f>
        <v>16 keys present</v>
      </c>
    </row>
    <row r="137" spans="1:52" ht="25.5">
      <c r="A137" s="5" t="s">
        <v>1533</v>
      </c>
      <c r="B137" s="5" t="s">
        <v>1534</v>
      </c>
      <c r="C137" s="5"/>
      <c r="D137" s="5" t="s">
        <v>118</v>
      </c>
      <c r="E137" s="12">
        <f>IF(OR(AY137&lt;&gt;"Valid",AZ137&lt;&gt;"16 keys present"),"Review settings",20*(IF(ISNUMBER(AC137),AC137*IF($D137="Unlabeled-13",MCDM_Settings!$E$6,MCDM_Settings!$C$6),0)+IF(ISNUMBER(AF137),AF137*IF($D137="Unlabeled-13",MCDM_Settings!$E$7,MCDM_Settings!$C$7),0)+IF(ISNUMBER(AI137),AI137*IF($D137="Unlabeled-13",MCDM_Settings!$E$8,MCDM_Settings!$C$8),0)+IF(ISNUMBER(AL137),AL137*IF($D137="Unlabeled-13",MCDM_Settings!$E$9,MCDM_Settings!$C$9),0)+IF(ISNUMBER(AO137),AO137*IF($D137="Unlabeled-13",MCDM_Settings!$E$10,MCDM_Settings!$C$10),0)+IF(ISNUMBER(AR137),AR137*IF($D137="Unlabeled-13",MCDM_Settings!$E$11,MCDM_Settings!$C$11),0)))</f>
        <v>72.222222222222214</v>
      </c>
      <c r="F137" s="12">
        <f>IF(OR(AY137&lt;&gt;"Valid",AZ137&lt;&gt;"16 keys present"),"Review settings",20*(IF(ISNUMBER(AD137),AD137*IF($D137="Unlabeled-13",MCDM_Settings!$E$6,MCDM_Settings!$C$6),0)+IF(ISNUMBER(AG137),AG137*IF($D137="Unlabeled-13",MCDM_Settings!$E$7,MCDM_Settings!$C$7),0)+IF(ISNUMBER(AJ137),AJ137*IF($D137="Unlabeled-13",MCDM_Settings!$E$8,MCDM_Settings!$C$8),0)+IF(ISNUMBER(AM137),AM137*IF($D137="Unlabeled-13",MCDM_Settings!$E$9,MCDM_Settings!$C$9),0)+IF(ISNUMBER(AP137),AP137*IF($D137="Unlabeled-13",MCDM_Settings!$E$10,MCDM_Settings!$C$10),0)+IF(ISNUMBER(AS137),AS137*IF($D137="Unlabeled-13",MCDM_Settings!$E$11,MCDM_Settings!$C$11),0)))</f>
        <v>99.999999999999986</v>
      </c>
      <c r="G137" s="13">
        <f>IF(OR(AY137&lt;&gt;"Valid",AZ137&lt;&gt;"16 keys present"),"Review settings",1*(IF(ISNUMBER(AE137),AE137*IF($D137="Unlabeled-13",MCDM_Settings!$E$6,MCDM_Settings!$C$6),0)+IF(ISNUMBER(AH137),AH137*IF($D137="Unlabeled-13",MCDM_Settings!$E$7,MCDM_Settings!$C$7),0)+IF(ISNUMBER(AK137),AK137*IF($D137="Unlabeled-13",MCDM_Settings!$E$8,MCDM_Settings!$C$8),0)+IF(ISNUMBER(AN137),AN137*IF($D137="Unlabeled-13",MCDM_Settings!$E$9,MCDM_Settings!$C$9),0)+IF(ISNUMBER(AQ137),AQ137*IF($D137="Unlabeled-13",MCDM_Settings!$E$10,MCDM_Settings!$C$10),0)+IF(ISNUMBER(AT137),AT137*IF($D137="Unlabeled-13",MCDM_Settings!$E$11,MCDM_Settings!$C$11),0)))</f>
        <v>0.7222222222222221</v>
      </c>
      <c r="H137" s="5" t="str">
        <f>INDEX(Manual_Review!$AH$6:$AH$238,MATCH(A137,Manual_Review!$A$6:$A$238,0))</f>
        <v>Not started</v>
      </c>
      <c r="I137" s="5" t="s">
        <v>128</v>
      </c>
      <c r="J137" s="5" t="s">
        <v>119</v>
      </c>
      <c r="K137" s="5" t="str">
        <f>HYPERLINK("https://zenodo.org/records/17952339","Dataset")</f>
        <v>Dataset</v>
      </c>
      <c r="L137" s="5" t="str">
        <f>HYPERLINK("#'Manual_Review'!A"&amp;(MATCH("DS-132",Manual_Review!$A$6:$A$238,0)+5),"Enter review")</f>
        <v>Enter review</v>
      </c>
      <c r="M137" s="5" t="str">
        <f>INDEX(MCDM_Checks!$K$6:$K$3733,MATCH(A137&amp;"|"&amp;M$5,MCDM_Checks!$A$6:$A$3733,0))</f>
        <v>Y</v>
      </c>
      <c r="N137" s="5" t="str">
        <f>INDEX(MCDM_Checks!$K$6:$K$3733,MATCH(A137&amp;"|"&amp;N$5,MCDM_Checks!$A$6:$A$3733,0))</f>
        <v>Y</v>
      </c>
      <c r="O137" s="5" t="str">
        <f>INDEX(MCDM_Checks!$K$6:$K$3733,MATCH(A137&amp;"|"&amp;O$5,MCDM_Checks!$A$6:$A$3733,0))</f>
        <v>Y</v>
      </c>
      <c r="P137" s="5" t="str">
        <f>INDEX(MCDM_Checks!$K$6:$K$3733,MATCH(A137&amp;"|"&amp;P$5,MCDM_Checks!$A$6:$A$3733,0))</f>
        <v>Y</v>
      </c>
      <c r="Q137" s="5" t="str">
        <f>INDEX(MCDM_Checks!$K$6:$K$3733,MATCH(A137&amp;"|"&amp;Q$5,MCDM_Checks!$A$6:$A$3733,0))</f>
        <v>Y</v>
      </c>
      <c r="R137" s="5" t="str">
        <f>INDEX(MCDM_Checks!$K$6:$K$3733,MATCH(A137&amp;"|"&amp;R$5,MCDM_Checks!$A$6:$A$3733,0))</f>
        <v>U</v>
      </c>
      <c r="S137" s="5" t="str">
        <f>INDEX(MCDM_Checks!$K$6:$K$3733,MATCH(A137&amp;"|"&amp;S$5,MCDM_Checks!$A$6:$A$3733,0))</f>
        <v>Y</v>
      </c>
      <c r="T137" s="5" t="str">
        <f>INDEX(MCDM_Checks!$K$6:$K$3733,MATCH(A137&amp;"|"&amp;T$5,MCDM_Checks!$A$6:$A$3733,0))</f>
        <v>Y</v>
      </c>
      <c r="U137" s="5" t="str">
        <f>INDEX(MCDM_Checks!$K$6:$K$3733,MATCH(A137&amp;"|"&amp;U$5,MCDM_Checks!$A$6:$A$3733,0))</f>
        <v>Y</v>
      </c>
      <c r="V137" s="5" t="str">
        <f>INDEX(MCDM_Checks!$K$6:$K$3733,MATCH(A137&amp;"|"&amp;V$5,MCDM_Checks!$A$6:$A$3733,0))</f>
        <v>Y</v>
      </c>
      <c r="W137" s="5" t="str">
        <f>INDEX(MCDM_Checks!$K$6:$K$3733,MATCH(A137&amp;"|"&amp;W$5,MCDM_Checks!$A$6:$A$3733,0))</f>
        <v>Y</v>
      </c>
      <c r="X137" s="5" t="str">
        <f>INDEX(MCDM_Checks!$K$6:$K$3733,MATCH(A137&amp;"|"&amp;X$5,MCDM_Checks!$A$6:$A$3733,0))</f>
        <v>U</v>
      </c>
      <c r="Y137" s="5" t="str">
        <f>INDEX(MCDM_Checks!$K$6:$K$3733,MATCH(A137&amp;"|"&amp;Y$5,MCDM_Checks!$A$6:$A$3733,0))</f>
        <v>U</v>
      </c>
      <c r="Z137" s="5" t="str">
        <f>INDEX(MCDM_Checks!$K$6:$K$3733,MATCH(A137&amp;"|"&amp;Z$5,MCDM_Checks!$A$6:$A$3733,0))</f>
        <v>Y</v>
      </c>
      <c r="AA137" s="5" t="str">
        <f>INDEX(MCDM_Checks!$K$6:$K$3733,MATCH(A137&amp;"|"&amp;AA$5,MCDM_Checks!$A$6:$A$3733,0))</f>
        <v>U</v>
      </c>
      <c r="AB137" s="5" t="str">
        <f>INDEX(MCDM_Checks!$K$6:$K$3733,MATCH(A137&amp;"|"&amp;AB$5,MCDM_Checks!$A$6:$A$3733,0))</f>
        <v>Y</v>
      </c>
      <c r="AC137" s="12">
        <f>IF(IF($D137="Unlabeled-13",MCDM_Settings!$F$6,MCDM_Settings!$D$6)=0,"n.a.",5*COUNTIF(M137:O137,"Y")/IF($D137="Unlabeled-13",MCDM_Settings!$F$6,MCDM_Settings!$D$6))</f>
        <v>5</v>
      </c>
      <c r="AD137" s="12">
        <f>IF(IF($D137="Unlabeled-13",MCDM_Settings!$F$6,MCDM_Settings!$D$6)=0,"n.a.",5*(COUNTIF(M137:O137,"Y")+COUNTIF(M137:O137,"U")+COUNTIF(M137:O137,"X"))/IF($D137="Unlabeled-13",MCDM_Settings!$F$6,MCDM_Settings!$D$6))</f>
        <v>5</v>
      </c>
      <c r="AE137" s="13">
        <f>IF(IF($D137="Unlabeled-13",MCDM_Settings!$F$6,MCDM_Settings!$D$6)=0,"n.a.",(COUNTIF(M137:O137,"Y")+COUNTIF(M137:O137,"N"))/IF($D137="Unlabeled-13",MCDM_Settings!$F$6,MCDM_Settings!$D$6))</f>
        <v>1</v>
      </c>
      <c r="AF137" s="12">
        <f>IF(IF($D137="Unlabeled-13",MCDM_Settings!$F$7,MCDM_Settings!$D$7)=0,"n.a.",5*COUNTIF(P137:R137,"Y")/IF($D137="Unlabeled-13",MCDM_Settings!$F$7,MCDM_Settings!$D$7))</f>
        <v>3.3333333333333335</v>
      </c>
      <c r="AG137" s="12">
        <f>IF(IF($D137="Unlabeled-13",MCDM_Settings!$F$7,MCDM_Settings!$D$7)=0,"n.a.",5*(COUNTIF(P137:R137,"Y")+COUNTIF(P137:R137,"U")+COUNTIF(P137:R137,"X"))/IF($D137="Unlabeled-13",MCDM_Settings!$F$7,MCDM_Settings!$D$7))</f>
        <v>5</v>
      </c>
      <c r="AH137" s="13">
        <f>IF(IF($D137="Unlabeled-13",MCDM_Settings!$F$7,MCDM_Settings!$D$7)=0,"n.a.",(COUNTIF(P137:R137,"Y")+COUNTIF(P137:R137,"N"))/IF($D137="Unlabeled-13",MCDM_Settings!$F$7,MCDM_Settings!$D$7))</f>
        <v>0.66666666666666663</v>
      </c>
      <c r="AI137" s="12">
        <f>IF(IF($D137="Unlabeled-13",MCDM_Settings!$F$8,MCDM_Settings!$D$8)=0,"n.a.",5*COUNTIF(S137:U137,"Y")/IF($D137="Unlabeled-13",MCDM_Settings!$F$8,MCDM_Settings!$D$8))</f>
        <v>5</v>
      </c>
      <c r="AJ137" s="12">
        <f>IF(IF($D137="Unlabeled-13",MCDM_Settings!$F$8,MCDM_Settings!$D$8)=0,"n.a.",5*(COUNTIF(S137:U137,"Y")+COUNTIF(S137:U137,"U")+COUNTIF(S137:U137,"X"))/IF($D137="Unlabeled-13",MCDM_Settings!$F$8,MCDM_Settings!$D$8))</f>
        <v>5</v>
      </c>
      <c r="AK137" s="13">
        <f>IF(IF($D137="Unlabeled-13",MCDM_Settings!$F$8,MCDM_Settings!$D$8)=0,"n.a.",(COUNTIF(S137:U137,"Y")+COUNTIF(S137:U137,"N"))/IF($D137="Unlabeled-13",MCDM_Settings!$F$8,MCDM_Settings!$D$8))</f>
        <v>1</v>
      </c>
      <c r="AL137" s="12">
        <f>IF(IF($D137="Unlabeled-13",MCDM_Settings!$F$9,MCDM_Settings!$D$9)=0,"n.a.",5*COUNTIF(V137:W137,"Y")/IF($D137="Unlabeled-13",MCDM_Settings!$F$9,MCDM_Settings!$D$9))</f>
        <v>5</v>
      </c>
      <c r="AM137" s="12">
        <f>IF(IF($D137="Unlabeled-13",MCDM_Settings!$F$9,MCDM_Settings!$D$9)=0,"n.a.",5*(COUNTIF(V137:W137,"Y")+COUNTIF(V137:W137,"U")+COUNTIF(V137:W137,"X"))/IF($D137="Unlabeled-13",MCDM_Settings!$F$9,MCDM_Settings!$D$9))</f>
        <v>5</v>
      </c>
      <c r="AN137" s="13">
        <f>IF(IF($D137="Unlabeled-13",MCDM_Settings!$F$9,MCDM_Settings!$D$9)=0,"n.a.",(COUNTIF(V137:W137,"Y")+COUNTIF(V137:W137,"N"))/IF($D137="Unlabeled-13",MCDM_Settings!$F$9,MCDM_Settings!$D$9))</f>
        <v>1</v>
      </c>
      <c r="AO137" s="12">
        <f>IF(IF($D137="Unlabeled-13",MCDM_Settings!$F$10,MCDM_Settings!$D$10)=0,"n.a.",5*COUNTIF(X137:Y137,"Y")/IF($D137="Unlabeled-13",MCDM_Settings!$F$10,MCDM_Settings!$D$10))</f>
        <v>0</v>
      </c>
      <c r="AP137" s="12">
        <f>IF(IF($D137="Unlabeled-13",MCDM_Settings!$F$10,MCDM_Settings!$D$10)=0,"n.a.",5*(COUNTIF(X137:Y137,"Y")+COUNTIF(X137:Y137,"U")+COUNTIF(X137:Y137,"X"))/IF($D137="Unlabeled-13",MCDM_Settings!$F$10,MCDM_Settings!$D$10))</f>
        <v>5</v>
      </c>
      <c r="AQ137" s="13">
        <f>IF(IF($D137="Unlabeled-13",MCDM_Settings!$F$10,MCDM_Settings!$D$10)=0,"n.a.",(COUNTIF(X137:Y137,"Y")+COUNTIF(X137:Y137,"N"))/IF($D137="Unlabeled-13",MCDM_Settings!$F$10,MCDM_Settings!$D$10))</f>
        <v>0</v>
      </c>
      <c r="AR137" s="12">
        <f>IF(IF($D137="Unlabeled-13",MCDM_Settings!$F$11,MCDM_Settings!$D$11)=0,"n.a.",5*COUNTIF(Z137:AB137,"Y")/IF($D137="Unlabeled-13",MCDM_Settings!$F$11,MCDM_Settings!$D$11))</f>
        <v>3.3333333333333335</v>
      </c>
      <c r="AS137" s="12">
        <f>IF(IF($D137="Unlabeled-13",MCDM_Settings!$F$11,MCDM_Settings!$D$11)=0,"n.a.",5*(COUNTIF(Z137:AB137,"Y")+COUNTIF(Z137:AB137,"U")+COUNTIF(Z137:AB137,"X"))/IF($D137="Unlabeled-13",MCDM_Settings!$F$11,MCDM_Settings!$D$11))</f>
        <v>5</v>
      </c>
      <c r="AT137" s="13">
        <f>IF(IF($D137="Unlabeled-13",MCDM_Settings!$F$11,MCDM_Settings!$D$11)=0,"n.a.",(COUNTIF(Z137:AB137,"Y")+COUNTIF(Z137:AB137,"N"))/IF($D137="Unlabeled-13",MCDM_Settings!$F$11,MCDM_Settings!$D$11))</f>
        <v>0.66666666666666663</v>
      </c>
      <c r="AU137" s="5" t="str">
        <f>IF(AND(INDEX(Manual_Review!$G$6:$G$238,MATCH(A137,Manual_Review!$A$6:$A$238,0))&lt;&gt;"",ISNUMBER(INDEX(Manual_Review!$H$6:$H$238,MATCH(A137,Manual_Review!$A$6:$A$238,0))),INDEX(Manual_Review!$H$6:$H$238,MATCH(A137,Manual_Review!$A$6:$A$238,0))&gt;0,INDEX(Manual_Review!$I$6:$I$238,MATCH(A137,Manual_Review!$A$6:$A$238,0))="Confirmed",INDEX(Manual_Review!$AF$6:$AF$238,MATCH(A137,Manual_Review!$A$6:$A$238,0))&lt;&gt;""),IF(INDEX(Manual_Review!$AA$6:$AA$238,MATCH(A137,Manual_Review!$A$6:$A$238,0))="Pass","Pass",IF(INDEX(Manual_Review!$AA$6:$AA$238,MATCH(A137,Manual_Review!$A$6:$A$238,0))="Fail","Fail","Pending")),"Pending human identity confirmation")</f>
        <v>Pending human identity confirmation</v>
      </c>
      <c r="AV137" s="5" t="str">
        <f>IF(AND(AND(INDEX(Manual_Review!$G$6:$G$238,MATCH(A137,Manual_Review!$A$6:$A$238,0))&lt;&gt;"",ISNUMBER(INDEX(Manual_Review!$H$6:$H$238,MATCH(A137,Manual_Review!$A$6:$A$238,0))),INDEX(Manual_Review!$H$6:$H$238,MATCH(A137,Manual_Review!$A$6:$A$238,0))&gt;0,INDEX(Manual_Review!$I$6:$I$238,MATCH(A137,Manual_Review!$A$6:$A$238,0))="Confirmed",INDEX(Manual_Review!$AF$6:$AF$238,MATCH(A137,Manual_Review!$A$6:$A$238,0))&lt;&gt;""),INDEX(Manual_Review!$AG$6:$AG$238,MATCH(A137,Manual_Review!$A$6:$A$238,0))&lt;&gt;""),IF(INDEX(Manual_Review!$AB$6:$AB$238,MATCH(A137,Manual_Review!$A$6:$A$238,0))="Pass","Pass",IF(INDEX(Manual_Review!$AB$6:$AB$238,MATCH(A137,Manual_Review!$A$6:$A$238,0))="Fail","Fail","Pending")),"Not assessed: define intended task")</f>
        <v>Not assessed: define intended task</v>
      </c>
      <c r="AW137" s="5" t="str">
        <f>IF(AND(AND(INDEX(Manual_Review!$G$6:$G$238,MATCH(A137,Manual_Review!$A$6:$A$238,0))&lt;&gt;"",ISNUMBER(INDEX(Manual_Review!$H$6:$H$238,MATCH(A137,Manual_Review!$A$6:$A$238,0))),INDEX(Manual_Review!$H$6:$H$238,MATCH(A137,Manual_Review!$A$6:$A$238,0))&gt;0,INDEX(Manual_Review!$I$6:$I$238,MATCH(A137,Manual_Review!$A$6:$A$238,0))="Confirmed",INDEX(Manual_Review!$AF$6:$AF$238,MATCH(A137,Manual_Review!$A$6:$A$238,0))&lt;&gt;""),INDEX(Manual_Review!$AG$6:$AG$238,MATCH(A137,Manual_Review!$A$6:$A$238,0))&lt;&gt;""),IF(OR(INDEX(Manual_Review!$AC$6:$AC$238,MATCH(A137,Manual_Review!$A$6:$A$238,0))="Fail",INDEX(Manual_Review!$AD$6:$AD$238,MATCH(A137,Manual_Review!$A$6:$A$238,0))="Fail"),"Fail: rights or retrieval",IF(AND(INDEX(Manual_Review!$AC$6:$AC$238,MATCH(A137,Manual_Review!$A$6:$A$238,0))="Pass",INDEX(Manual_Review!$AD$6:$AD$238,MATCH(A137,Manual_Review!$A$6:$A$238,0))="Pass"),"Pass","Pending rights and retrieval")),"Pending rights and retrieval")</f>
        <v>Pending rights and retrieval</v>
      </c>
      <c r="AX137" s="5" t="str">
        <f>IF(INDEX(Manual_Review!$AG$6:$AG$238,MATCH(A137,Manual_Review!$A$6:$A$238,0))="","N/A: documentation inventory",IF(AND(INDEX(Manual_Review!$G$6:$G$238,MATCH(A137,Manual_Review!$A$6:$A$238,0))&lt;&gt;"",ISNUMBER(INDEX(Manual_Review!$H$6:$H$238,MATCH(A137,Manual_Review!$A$6:$A$238,0))),INDEX(Manual_Review!$H$6:$H$238,MATCH(A137,Manual_Review!$A$6:$A$238,0))&gt;0,INDEX(Manual_Review!$I$6:$I$238,MATCH(A137,Manual_Review!$A$6:$A$238,0))="Confirmed",INDEX(Manual_Review!$AF$6:$AF$238,MATCH(A137,Manual_Review!$A$6:$A$238,0))&lt;&gt;""),IF(INDEX(Manual_Review!$AE$6:$AE$238,MATCH(A137,Manual_Review!$A$6:$A$238,0))="Pass","Pass",IF(INDEX(Manual_Review!$AE$6:$AE$238,MATCH(A137,Manual_Review!$A$6:$A$238,0))="Fail","Fail: benchmark leakage",IF(INDEX(Manual_Review!$AE$6:$AE$238,MATCH(A137,Manual_Review!$A$6:$A$238,0))="N/A","N/A: nonbenchmark task","Pending task-specific leakage check"))),"Pending task-specific leakage check"))</f>
        <v>N/A: documentation inventory</v>
      </c>
      <c r="AY137" s="5" t="str">
        <f>IF(IF(D137="Unlabeled-13",AND(ABS(MCDM_Settings!$D$14-1)&lt;0.0000001,MIN(MCDM_Settings!$E$6:$E$11)&gt;=0,MCDM_Settings!$E$7=0),AND(ABS(MCDM_Settings!$B$14-1)&lt;0.0000001,MIN(MCDM_Settings!$C$6:$C$11)&gt;=0)),"Valid","Check weights")</f>
        <v>Valid</v>
      </c>
      <c r="AZ137" s="5" t="str">
        <f>IF(AND(COUNTIF(MCDM_Checks!$B$6:$B$3733,A137)=16,COUNTIF(Manual_Review!$A$6:$A$238,A137)=1),"16 keys present","Check key count")</f>
        <v>16 keys present</v>
      </c>
    </row>
    <row r="138" spans="1:52">
      <c r="A138" s="5" t="s">
        <v>1543</v>
      </c>
      <c r="B138" s="5" t="s">
        <v>1544</v>
      </c>
      <c r="C138" s="5"/>
      <c r="D138" s="5" t="s">
        <v>118</v>
      </c>
      <c r="E138" s="12">
        <f>IF(OR(AY138&lt;&gt;"Valid",AZ138&lt;&gt;"16 keys present"),"Review settings",20*(IF(ISNUMBER(AC138),AC138*IF($D138="Unlabeled-13",MCDM_Settings!$E$6,MCDM_Settings!$C$6),0)+IF(ISNUMBER(AF138),AF138*IF($D138="Unlabeled-13",MCDM_Settings!$E$7,MCDM_Settings!$C$7),0)+IF(ISNUMBER(AI138),AI138*IF($D138="Unlabeled-13",MCDM_Settings!$E$8,MCDM_Settings!$C$8),0)+IF(ISNUMBER(AL138),AL138*IF($D138="Unlabeled-13",MCDM_Settings!$E$9,MCDM_Settings!$C$9),0)+IF(ISNUMBER(AO138),AO138*IF($D138="Unlabeled-13",MCDM_Settings!$E$10,MCDM_Settings!$C$10),0)+IF(ISNUMBER(AR138),AR138*IF($D138="Unlabeled-13",MCDM_Settings!$E$11,MCDM_Settings!$C$11),0)))</f>
        <v>83.333333333333314</v>
      </c>
      <c r="F138" s="12">
        <f>IF(OR(AY138&lt;&gt;"Valid",AZ138&lt;&gt;"16 keys present"),"Review settings",20*(IF(ISNUMBER(AD138),AD138*IF($D138="Unlabeled-13",MCDM_Settings!$E$6,MCDM_Settings!$C$6),0)+IF(ISNUMBER(AG138),AG138*IF($D138="Unlabeled-13",MCDM_Settings!$E$7,MCDM_Settings!$C$7),0)+IF(ISNUMBER(AJ138),AJ138*IF($D138="Unlabeled-13",MCDM_Settings!$E$8,MCDM_Settings!$C$8),0)+IF(ISNUMBER(AM138),AM138*IF($D138="Unlabeled-13",MCDM_Settings!$E$9,MCDM_Settings!$C$9),0)+IF(ISNUMBER(AP138),AP138*IF($D138="Unlabeled-13",MCDM_Settings!$E$10,MCDM_Settings!$C$10),0)+IF(ISNUMBER(AS138),AS138*IF($D138="Unlabeled-13",MCDM_Settings!$E$11,MCDM_Settings!$C$11),0)))</f>
        <v>99.999999999999986</v>
      </c>
      <c r="G138" s="13">
        <f>IF(OR(AY138&lt;&gt;"Valid",AZ138&lt;&gt;"16 keys present"),"Review settings",1*(IF(ISNUMBER(AE138),AE138*IF($D138="Unlabeled-13",MCDM_Settings!$E$6,MCDM_Settings!$C$6),0)+IF(ISNUMBER(AH138),AH138*IF($D138="Unlabeled-13",MCDM_Settings!$E$7,MCDM_Settings!$C$7),0)+IF(ISNUMBER(AK138),AK138*IF($D138="Unlabeled-13",MCDM_Settings!$E$8,MCDM_Settings!$C$8),0)+IF(ISNUMBER(AN138),AN138*IF($D138="Unlabeled-13",MCDM_Settings!$E$9,MCDM_Settings!$C$9),0)+IF(ISNUMBER(AQ138),AQ138*IF($D138="Unlabeled-13",MCDM_Settings!$E$10,MCDM_Settings!$C$10),0)+IF(ISNUMBER(AT138),AT138*IF($D138="Unlabeled-13",MCDM_Settings!$E$11,MCDM_Settings!$C$11),0)))</f>
        <v>0.83333333333333326</v>
      </c>
      <c r="H138" s="5" t="str">
        <f>INDEX(Manual_Review!$AH$6:$AH$238,MATCH(A138,Manual_Review!$A$6:$A$238,0))</f>
        <v>Not started</v>
      </c>
      <c r="I138" s="5" t="s">
        <v>128</v>
      </c>
      <c r="J138" s="5" t="s">
        <v>121</v>
      </c>
      <c r="K138" s="5" t="str">
        <f>HYPERLINK("https://zenodo.org/records/20687211","Dataset")</f>
        <v>Dataset</v>
      </c>
      <c r="L138" s="5" t="str">
        <f>HYPERLINK("#'Manual_Review'!A"&amp;(MATCH("DS-133",Manual_Review!$A$6:$A$238,0)+5),"Enter review")</f>
        <v>Enter review</v>
      </c>
      <c r="M138" s="5" t="str">
        <f>INDEX(MCDM_Checks!$K$6:$K$3733,MATCH(A138&amp;"|"&amp;M$5,MCDM_Checks!$A$6:$A$3733,0))</f>
        <v>Y</v>
      </c>
      <c r="N138" s="5" t="str">
        <f>INDEX(MCDM_Checks!$K$6:$K$3733,MATCH(A138&amp;"|"&amp;N$5,MCDM_Checks!$A$6:$A$3733,0))</f>
        <v>Y</v>
      </c>
      <c r="O138" s="5" t="str">
        <f>INDEX(MCDM_Checks!$K$6:$K$3733,MATCH(A138&amp;"|"&amp;O$5,MCDM_Checks!$A$6:$A$3733,0))</f>
        <v>Y</v>
      </c>
      <c r="P138" s="5" t="str">
        <f>INDEX(MCDM_Checks!$K$6:$K$3733,MATCH(A138&amp;"|"&amp;P$5,MCDM_Checks!$A$6:$A$3733,0))</f>
        <v>Y</v>
      </c>
      <c r="Q138" s="5" t="str">
        <f>INDEX(MCDM_Checks!$K$6:$K$3733,MATCH(A138&amp;"|"&amp;Q$5,MCDM_Checks!$A$6:$A$3733,0))</f>
        <v>Y</v>
      </c>
      <c r="R138" s="5" t="str">
        <f>INDEX(MCDM_Checks!$K$6:$K$3733,MATCH(A138&amp;"|"&amp;R$5,MCDM_Checks!$A$6:$A$3733,0))</f>
        <v>U</v>
      </c>
      <c r="S138" s="5" t="str">
        <f>INDEX(MCDM_Checks!$K$6:$K$3733,MATCH(A138&amp;"|"&amp;S$5,MCDM_Checks!$A$6:$A$3733,0))</f>
        <v>Y</v>
      </c>
      <c r="T138" s="5" t="str">
        <f>INDEX(MCDM_Checks!$K$6:$K$3733,MATCH(A138&amp;"|"&amp;T$5,MCDM_Checks!$A$6:$A$3733,0))</f>
        <v>Y</v>
      </c>
      <c r="U138" s="5" t="str">
        <f>INDEX(MCDM_Checks!$K$6:$K$3733,MATCH(A138&amp;"|"&amp;U$5,MCDM_Checks!$A$6:$A$3733,0))</f>
        <v>Y</v>
      </c>
      <c r="V138" s="5" t="str">
        <f>INDEX(MCDM_Checks!$K$6:$K$3733,MATCH(A138&amp;"|"&amp;V$5,MCDM_Checks!$A$6:$A$3733,0))</f>
        <v>Y</v>
      </c>
      <c r="W138" s="5" t="str">
        <f>INDEX(MCDM_Checks!$K$6:$K$3733,MATCH(A138&amp;"|"&amp;W$5,MCDM_Checks!$A$6:$A$3733,0))</f>
        <v>Y</v>
      </c>
      <c r="X138" s="5" t="str">
        <f>INDEX(MCDM_Checks!$K$6:$K$3733,MATCH(A138&amp;"|"&amp;X$5,MCDM_Checks!$A$6:$A$3733,0))</f>
        <v>Y</v>
      </c>
      <c r="Y138" s="5" t="str">
        <f>INDEX(MCDM_Checks!$K$6:$K$3733,MATCH(A138&amp;"|"&amp;Y$5,MCDM_Checks!$A$6:$A$3733,0))</f>
        <v>Y</v>
      </c>
      <c r="Z138" s="5" t="str">
        <f>INDEX(MCDM_Checks!$K$6:$K$3733,MATCH(A138&amp;"|"&amp;Z$5,MCDM_Checks!$A$6:$A$3733,0))</f>
        <v>Y</v>
      </c>
      <c r="AA138" s="5" t="str">
        <f>INDEX(MCDM_Checks!$K$6:$K$3733,MATCH(A138&amp;"|"&amp;AA$5,MCDM_Checks!$A$6:$A$3733,0))</f>
        <v>U</v>
      </c>
      <c r="AB138" s="5" t="str">
        <f>INDEX(MCDM_Checks!$K$6:$K$3733,MATCH(A138&amp;"|"&amp;AB$5,MCDM_Checks!$A$6:$A$3733,0))</f>
        <v>U</v>
      </c>
      <c r="AC138" s="12">
        <f>IF(IF($D138="Unlabeled-13",MCDM_Settings!$F$6,MCDM_Settings!$D$6)=0,"n.a.",5*COUNTIF(M138:O138,"Y")/IF($D138="Unlabeled-13",MCDM_Settings!$F$6,MCDM_Settings!$D$6))</f>
        <v>5</v>
      </c>
      <c r="AD138" s="12">
        <f>IF(IF($D138="Unlabeled-13",MCDM_Settings!$F$6,MCDM_Settings!$D$6)=0,"n.a.",5*(COUNTIF(M138:O138,"Y")+COUNTIF(M138:O138,"U")+COUNTIF(M138:O138,"X"))/IF($D138="Unlabeled-13",MCDM_Settings!$F$6,MCDM_Settings!$D$6))</f>
        <v>5</v>
      </c>
      <c r="AE138" s="13">
        <f>IF(IF($D138="Unlabeled-13",MCDM_Settings!$F$6,MCDM_Settings!$D$6)=0,"n.a.",(COUNTIF(M138:O138,"Y")+COUNTIF(M138:O138,"N"))/IF($D138="Unlabeled-13",MCDM_Settings!$F$6,MCDM_Settings!$D$6))</f>
        <v>1</v>
      </c>
      <c r="AF138" s="12">
        <f>IF(IF($D138="Unlabeled-13",MCDM_Settings!$F$7,MCDM_Settings!$D$7)=0,"n.a.",5*COUNTIF(P138:R138,"Y")/IF($D138="Unlabeled-13",MCDM_Settings!$F$7,MCDM_Settings!$D$7))</f>
        <v>3.3333333333333335</v>
      </c>
      <c r="AG138" s="12">
        <f>IF(IF($D138="Unlabeled-13",MCDM_Settings!$F$7,MCDM_Settings!$D$7)=0,"n.a.",5*(COUNTIF(P138:R138,"Y")+COUNTIF(P138:R138,"U")+COUNTIF(P138:R138,"X"))/IF($D138="Unlabeled-13",MCDM_Settings!$F$7,MCDM_Settings!$D$7))</f>
        <v>5</v>
      </c>
      <c r="AH138" s="13">
        <f>IF(IF($D138="Unlabeled-13",MCDM_Settings!$F$7,MCDM_Settings!$D$7)=0,"n.a.",(COUNTIF(P138:R138,"Y")+COUNTIF(P138:R138,"N"))/IF($D138="Unlabeled-13",MCDM_Settings!$F$7,MCDM_Settings!$D$7))</f>
        <v>0.66666666666666663</v>
      </c>
      <c r="AI138" s="12">
        <f>IF(IF($D138="Unlabeled-13",MCDM_Settings!$F$8,MCDM_Settings!$D$8)=0,"n.a.",5*COUNTIF(S138:U138,"Y")/IF($D138="Unlabeled-13",MCDM_Settings!$F$8,MCDM_Settings!$D$8))</f>
        <v>5</v>
      </c>
      <c r="AJ138" s="12">
        <f>IF(IF($D138="Unlabeled-13",MCDM_Settings!$F$8,MCDM_Settings!$D$8)=0,"n.a.",5*(COUNTIF(S138:U138,"Y")+COUNTIF(S138:U138,"U")+COUNTIF(S138:U138,"X"))/IF($D138="Unlabeled-13",MCDM_Settings!$F$8,MCDM_Settings!$D$8))</f>
        <v>5</v>
      </c>
      <c r="AK138" s="13">
        <f>IF(IF($D138="Unlabeled-13",MCDM_Settings!$F$8,MCDM_Settings!$D$8)=0,"n.a.",(COUNTIF(S138:U138,"Y")+COUNTIF(S138:U138,"N"))/IF($D138="Unlabeled-13",MCDM_Settings!$F$8,MCDM_Settings!$D$8))</f>
        <v>1</v>
      </c>
      <c r="AL138" s="12">
        <f>IF(IF($D138="Unlabeled-13",MCDM_Settings!$F$9,MCDM_Settings!$D$9)=0,"n.a.",5*COUNTIF(V138:W138,"Y")/IF($D138="Unlabeled-13",MCDM_Settings!$F$9,MCDM_Settings!$D$9))</f>
        <v>5</v>
      </c>
      <c r="AM138" s="12">
        <f>IF(IF($D138="Unlabeled-13",MCDM_Settings!$F$9,MCDM_Settings!$D$9)=0,"n.a.",5*(COUNTIF(V138:W138,"Y")+COUNTIF(V138:W138,"U")+COUNTIF(V138:W138,"X"))/IF($D138="Unlabeled-13",MCDM_Settings!$F$9,MCDM_Settings!$D$9))</f>
        <v>5</v>
      </c>
      <c r="AN138" s="13">
        <f>IF(IF($D138="Unlabeled-13",MCDM_Settings!$F$9,MCDM_Settings!$D$9)=0,"n.a.",(COUNTIF(V138:W138,"Y")+COUNTIF(V138:W138,"N"))/IF($D138="Unlabeled-13",MCDM_Settings!$F$9,MCDM_Settings!$D$9))</f>
        <v>1</v>
      </c>
      <c r="AO138" s="12">
        <f>IF(IF($D138="Unlabeled-13",MCDM_Settings!$F$10,MCDM_Settings!$D$10)=0,"n.a.",5*COUNTIF(X138:Y138,"Y")/IF($D138="Unlabeled-13",MCDM_Settings!$F$10,MCDM_Settings!$D$10))</f>
        <v>5</v>
      </c>
      <c r="AP138" s="12">
        <f>IF(IF($D138="Unlabeled-13",MCDM_Settings!$F$10,MCDM_Settings!$D$10)=0,"n.a.",5*(COUNTIF(X138:Y138,"Y")+COUNTIF(X138:Y138,"U")+COUNTIF(X138:Y138,"X"))/IF($D138="Unlabeled-13",MCDM_Settings!$F$10,MCDM_Settings!$D$10))</f>
        <v>5</v>
      </c>
      <c r="AQ138" s="13">
        <f>IF(IF($D138="Unlabeled-13",MCDM_Settings!$F$10,MCDM_Settings!$D$10)=0,"n.a.",(COUNTIF(X138:Y138,"Y")+COUNTIF(X138:Y138,"N"))/IF($D138="Unlabeled-13",MCDM_Settings!$F$10,MCDM_Settings!$D$10))</f>
        <v>1</v>
      </c>
      <c r="AR138" s="12">
        <f>IF(IF($D138="Unlabeled-13",MCDM_Settings!$F$11,MCDM_Settings!$D$11)=0,"n.a.",5*COUNTIF(Z138:AB138,"Y")/IF($D138="Unlabeled-13",MCDM_Settings!$F$11,MCDM_Settings!$D$11))</f>
        <v>1.6666666666666667</v>
      </c>
      <c r="AS138" s="12">
        <f>IF(IF($D138="Unlabeled-13",MCDM_Settings!$F$11,MCDM_Settings!$D$11)=0,"n.a.",5*(COUNTIF(Z138:AB138,"Y")+COUNTIF(Z138:AB138,"U")+COUNTIF(Z138:AB138,"X"))/IF($D138="Unlabeled-13",MCDM_Settings!$F$11,MCDM_Settings!$D$11))</f>
        <v>5</v>
      </c>
      <c r="AT138" s="13">
        <f>IF(IF($D138="Unlabeled-13",MCDM_Settings!$F$11,MCDM_Settings!$D$11)=0,"n.a.",(COUNTIF(Z138:AB138,"Y")+COUNTIF(Z138:AB138,"N"))/IF($D138="Unlabeled-13",MCDM_Settings!$F$11,MCDM_Settings!$D$11))</f>
        <v>0.33333333333333331</v>
      </c>
      <c r="AU138" s="5" t="str">
        <f>IF(AND(INDEX(Manual_Review!$G$6:$G$238,MATCH(A138,Manual_Review!$A$6:$A$238,0))&lt;&gt;"",ISNUMBER(INDEX(Manual_Review!$H$6:$H$238,MATCH(A138,Manual_Review!$A$6:$A$238,0))),INDEX(Manual_Review!$H$6:$H$238,MATCH(A138,Manual_Review!$A$6:$A$238,0))&gt;0,INDEX(Manual_Review!$I$6:$I$238,MATCH(A138,Manual_Review!$A$6:$A$238,0))="Confirmed",INDEX(Manual_Review!$AF$6:$AF$238,MATCH(A138,Manual_Review!$A$6:$A$238,0))&lt;&gt;""),IF(INDEX(Manual_Review!$AA$6:$AA$238,MATCH(A138,Manual_Review!$A$6:$A$238,0))="Pass","Pass",IF(INDEX(Manual_Review!$AA$6:$AA$238,MATCH(A138,Manual_Review!$A$6:$A$238,0))="Fail","Fail","Pending")),"Pending human identity confirmation")</f>
        <v>Pending human identity confirmation</v>
      </c>
      <c r="AV138" s="5" t="str">
        <f>IF(AND(AND(INDEX(Manual_Review!$G$6:$G$238,MATCH(A138,Manual_Review!$A$6:$A$238,0))&lt;&gt;"",ISNUMBER(INDEX(Manual_Review!$H$6:$H$238,MATCH(A138,Manual_Review!$A$6:$A$238,0))),INDEX(Manual_Review!$H$6:$H$238,MATCH(A138,Manual_Review!$A$6:$A$238,0))&gt;0,INDEX(Manual_Review!$I$6:$I$238,MATCH(A138,Manual_Review!$A$6:$A$238,0))="Confirmed",INDEX(Manual_Review!$AF$6:$AF$238,MATCH(A138,Manual_Review!$A$6:$A$238,0))&lt;&gt;""),INDEX(Manual_Review!$AG$6:$AG$238,MATCH(A138,Manual_Review!$A$6:$A$238,0))&lt;&gt;""),IF(INDEX(Manual_Review!$AB$6:$AB$238,MATCH(A138,Manual_Review!$A$6:$A$238,0))="Pass","Pass",IF(INDEX(Manual_Review!$AB$6:$AB$238,MATCH(A138,Manual_Review!$A$6:$A$238,0))="Fail","Fail","Pending")),"Not assessed: define intended task")</f>
        <v>Not assessed: define intended task</v>
      </c>
      <c r="AW138" s="5" t="str">
        <f>IF(AND(AND(INDEX(Manual_Review!$G$6:$G$238,MATCH(A138,Manual_Review!$A$6:$A$238,0))&lt;&gt;"",ISNUMBER(INDEX(Manual_Review!$H$6:$H$238,MATCH(A138,Manual_Review!$A$6:$A$238,0))),INDEX(Manual_Review!$H$6:$H$238,MATCH(A138,Manual_Review!$A$6:$A$238,0))&gt;0,INDEX(Manual_Review!$I$6:$I$238,MATCH(A138,Manual_Review!$A$6:$A$238,0))="Confirmed",INDEX(Manual_Review!$AF$6:$AF$238,MATCH(A138,Manual_Review!$A$6:$A$238,0))&lt;&gt;""),INDEX(Manual_Review!$AG$6:$AG$238,MATCH(A138,Manual_Review!$A$6:$A$238,0))&lt;&gt;""),IF(OR(INDEX(Manual_Review!$AC$6:$AC$238,MATCH(A138,Manual_Review!$A$6:$A$238,0))="Fail",INDEX(Manual_Review!$AD$6:$AD$238,MATCH(A138,Manual_Review!$A$6:$A$238,0))="Fail"),"Fail: rights or retrieval",IF(AND(INDEX(Manual_Review!$AC$6:$AC$238,MATCH(A138,Manual_Review!$A$6:$A$238,0))="Pass",INDEX(Manual_Review!$AD$6:$AD$238,MATCH(A138,Manual_Review!$A$6:$A$238,0))="Pass"),"Pass","Pending rights and retrieval")),"Pending rights and retrieval")</f>
        <v>Pending rights and retrieval</v>
      </c>
      <c r="AX138" s="5" t="str">
        <f>IF(INDEX(Manual_Review!$AG$6:$AG$238,MATCH(A138,Manual_Review!$A$6:$A$238,0))="","N/A: documentation inventory",IF(AND(INDEX(Manual_Review!$G$6:$G$238,MATCH(A138,Manual_Review!$A$6:$A$238,0))&lt;&gt;"",ISNUMBER(INDEX(Manual_Review!$H$6:$H$238,MATCH(A138,Manual_Review!$A$6:$A$238,0))),INDEX(Manual_Review!$H$6:$H$238,MATCH(A138,Manual_Review!$A$6:$A$238,0))&gt;0,INDEX(Manual_Review!$I$6:$I$238,MATCH(A138,Manual_Review!$A$6:$A$238,0))="Confirmed",INDEX(Manual_Review!$AF$6:$AF$238,MATCH(A138,Manual_Review!$A$6:$A$238,0))&lt;&gt;""),IF(INDEX(Manual_Review!$AE$6:$AE$238,MATCH(A138,Manual_Review!$A$6:$A$238,0))="Pass","Pass",IF(INDEX(Manual_Review!$AE$6:$AE$238,MATCH(A138,Manual_Review!$A$6:$A$238,0))="Fail","Fail: benchmark leakage",IF(INDEX(Manual_Review!$AE$6:$AE$238,MATCH(A138,Manual_Review!$A$6:$A$238,0))="N/A","N/A: nonbenchmark task","Pending task-specific leakage check"))),"Pending task-specific leakage check"))</f>
        <v>N/A: documentation inventory</v>
      </c>
      <c r="AY138" s="5" t="str">
        <f>IF(IF(D138="Unlabeled-13",AND(ABS(MCDM_Settings!$D$14-1)&lt;0.0000001,MIN(MCDM_Settings!$E$6:$E$11)&gt;=0,MCDM_Settings!$E$7=0),AND(ABS(MCDM_Settings!$B$14-1)&lt;0.0000001,MIN(MCDM_Settings!$C$6:$C$11)&gt;=0)),"Valid","Check weights")</f>
        <v>Valid</v>
      </c>
      <c r="AZ138" s="5" t="str">
        <f>IF(AND(COUNTIF(MCDM_Checks!$B$6:$B$3733,A138)=16,COUNTIF(Manual_Review!$A$6:$A$238,A138)=1),"16 keys present","Check key count")</f>
        <v>16 keys present</v>
      </c>
    </row>
    <row r="139" spans="1:52" ht="25.5">
      <c r="A139" s="5" t="s">
        <v>1554</v>
      </c>
      <c r="B139" s="5" t="s">
        <v>1555</v>
      </c>
      <c r="C139" s="5"/>
      <c r="D139" s="5" t="s">
        <v>118</v>
      </c>
      <c r="E139" s="12">
        <f>IF(OR(AY139&lt;&gt;"Valid",AZ139&lt;&gt;"16 keys present"),"Review settings",20*(IF(ISNUMBER(AC139),AC139*IF($D139="Unlabeled-13",MCDM_Settings!$E$6,MCDM_Settings!$C$6),0)+IF(ISNUMBER(AF139),AF139*IF($D139="Unlabeled-13",MCDM_Settings!$E$7,MCDM_Settings!$C$7),0)+IF(ISNUMBER(AI139),AI139*IF($D139="Unlabeled-13",MCDM_Settings!$E$8,MCDM_Settings!$C$8),0)+IF(ISNUMBER(AL139),AL139*IF($D139="Unlabeled-13",MCDM_Settings!$E$9,MCDM_Settings!$C$9),0)+IF(ISNUMBER(AO139),AO139*IF($D139="Unlabeled-13",MCDM_Settings!$E$10,MCDM_Settings!$C$10),0)+IF(ISNUMBER(AR139),AR139*IF($D139="Unlabeled-13",MCDM_Settings!$E$11,MCDM_Settings!$C$11),0)))</f>
        <v>69.444444444444429</v>
      </c>
      <c r="F139" s="12">
        <f>IF(OR(AY139&lt;&gt;"Valid",AZ139&lt;&gt;"16 keys present"),"Review settings",20*(IF(ISNUMBER(AD139),AD139*IF($D139="Unlabeled-13",MCDM_Settings!$E$6,MCDM_Settings!$C$6),0)+IF(ISNUMBER(AG139),AG139*IF($D139="Unlabeled-13",MCDM_Settings!$E$7,MCDM_Settings!$C$7),0)+IF(ISNUMBER(AJ139),AJ139*IF($D139="Unlabeled-13",MCDM_Settings!$E$8,MCDM_Settings!$C$8),0)+IF(ISNUMBER(AM139),AM139*IF($D139="Unlabeled-13",MCDM_Settings!$E$9,MCDM_Settings!$C$9),0)+IF(ISNUMBER(AP139),AP139*IF($D139="Unlabeled-13",MCDM_Settings!$E$10,MCDM_Settings!$C$10),0)+IF(ISNUMBER(AS139),AS139*IF($D139="Unlabeled-13",MCDM_Settings!$E$11,MCDM_Settings!$C$11),0)))</f>
        <v>99.999999999999986</v>
      </c>
      <c r="G139" s="13">
        <f>IF(OR(AY139&lt;&gt;"Valid",AZ139&lt;&gt;"16 keys present"),"Review settings",1*(IF(ISNUMBER(AE139),AE139*IF($D139="Unlabeled-13",MCDM_Settings!$E$6,MCDM_Settings!$C$6),0)+IF(ISNUMBER(AH139),AH139*IF($D139="Unlabeled-13",MCDM_Settings!$E$7,MCDM_Settings!$C$7),0)+IF(ISNUMBER(AK139),AK139*IF($D139="Unlabeled-13",MCDM_Settings!$E$8,MCDM_Settings!$C$8),0)+IF(ISNUMBER(AN139),AN139*IF($D139="Unlabeled-13",MCDM_Settings!$E$9,MCDM_Settings!$C$9),0)+IF(ISNUMBER(AQ139),AQ139*IF($D139="Unlabeled-13",MCDM_Settings!$E$10,MCDM_Settings!$C$10),0)+IF(ISNUMBER(AT139),AT139*IF($D139="Unlabeled-13",MCDM_Settings!$E$11,MCDM_Settings!$C$11),0)))</f>
        <v>0.69444444444444442</v>
      </c>
      <c r="H139" s="5" t="str">
        <f>INDEX(Manual_Review!$AH$6:$AH$238,MATCH(A139,Manual_Review!$A$6:$A$238,0))</f>
        <v>Not started</v>
      </c>
      <c r="I139" s="5" t="s">
        <v>128</v>
      </c>
      <c r="J139" s="5" t="s">
        <v>1556</v>
      </c>
      <c r="K139" s="5" t="str">
        <f>HYPERLINK("https://zenodo.org/records/11473582","Dataset")</f>
        <v>Dataset</v>
      </c>
      <c r="L139" s="5" t="str">
        <f>HYPERLINK("#'Manual_Review'!A"&amp;(MATCH("DS-134",Manual_Review!$A$6:$A$238,0)+5),"Enter review")</f>
        <v>Enter review</v>
      </c>
      <c r="M139" s="5" t="str">
        <f>INDEX(MCDM_Checks!$K$6:$K$3733,MATCH(A139&amp;"|"&amp;M$5,MCDM_Checks!$A$6:$A$3733,0))</f>
        <v>Y</v>
      </c>
      <c r="N139" s="5" t="str">
        <f>INDEX(MCDM_Checks!$K$6:$K$3733,MATCH(A139&amp;"|"&amp;N$5,MCDM_Checks!$A$6:$A$3733,0))</f>
        <v>Y</v>
      </c>
      <c r="O139" s="5" t="str">
        <f>INDEX(MCDM_Checks!$K$6:$K$3733,MATCH(A139&amp;"|"&amp;O$5,MCDM_Checks!$A$6:$A$3733,0))</f>
        <v>Y</v>
      </c>
      <c r="P139" s="5" t="str">
        <f>INDEX(MCDM_Checks!$K$6:$K$3733,MATCH(A139&amp;"|"&amp;P$5,MCDM_Checks!$A$6:$A$3733,0))</f>
        <v>U</v>
      </c>
      <c r="Q139" s="5" t="str">
        <f>INDEX(MCDM_Checks!$K$6:$K$3733,MATCH(A139&amp;"|"&amp;Q$5,MCDM_Checks!$A$6:$A$3733,0))</f>
        <v>U</v>
      </c>
      <c r="R139" s="5" t="str">
        <f>INDEX(MCDM_Checks!$K$6:$K$3733,MATCH(A139&amp;"|"&amp;R$5,MCDM_Checks!$A$6:$A$3733,0))</f>
        <v>U</v>
      </c>
      <c r="S139" s="5" t="str">
        <f>INDEX(MCDM_Checks!$K$6:$K$3733,MATCH(A139&amp;"|"&amp;S$5,MCDM_Checks!$A$6:$A$3733,0))</f>
        <v>U</v>
      </c>
      <c r="T139" s="5" t="str">
        <f>INDEX(MCDM_Checks!$K$6:$K$3733,MATCH(A139&amp;"|"&amp;T$5,MCDM_Checks!$A$6:$A$3733,0))</f>
        <v>Y</v>
      </c>
      <c r="U139" s="5" t="str">
        <f>INDEX(MCDM_Checks!$K$6:$K$3733,MATCH(A139&amp;"|"&amp;U$5,MCDM_Checks!$A$6:$A$3733,0))</f>
        <v>Y</v>
      </c>
      <c r="V139" s="5" t="str">
        <f>INDEX(MCDM_Checks!$K$6:$K$3733,MATCH(A139&amp;"|"&amp;V$5,MCDM_Checks!$A$6:$A$3733,0))</f>
        <v>U</v>
      </c>
      <c r="W139" s="5" t="str">
        <f>INDEX(MCDM_Checks!$K$6:$K$3733,MATCH(A139&amp;"|"&amp;W$5,MCDM_Checks!$A$6:$A$3733,0))</f>
        <v>Y</v>
      </c>
      <c r="X139" s="5" t="str">
        <f>INDEX(MCDM_Checks!$K$6:$K$3733,MATCH(A139&amp;"|"&amp;X$5,MCDM_Checks!$A$6:$A$3733,0))</f>
        <v>Y</v>
      </c>
      <c r="Y139" s="5" t="str">
        <f>INDEX(MCDM_Checks!$K$6:$K$3733,MATCH(A139&amp;"|"&amp;Y$5,MCDM_Checks!$A$6:$A$3733,0))</f>
        <v>Y</v>
      </c>
      <c r="Z139" s="5" t="str">
        <f>INDEX(MCDM_Checks!$K$6:$K$3733,MATCH(A139&amp;"|"&amp;Z$5,MCDM_Checks!$A$6:$A$3733,0))</f>
        <v>Y</v>
      </c>
      <c r="AA139" s="5" t="str">
        <f>INDEX(MCDM_Checks!$K$6:$K$3733,MATCH(A139&amp;"|"&amp;AA$5,MCDM_Checks!$A$6:$A$3733,0))</f>
        <v>Y</v>
      </c>
      <c r="AB139" s="5" t="str">
        <f>INDEX(MCDM_Checks!$K$6:$K$3733,MATCH(A139&amp;"|"&amp;AB$5,MCDM_Checks!$A$6:$A$3733,0))</f>
        <v>Y</v>
      </c>
      <c r="AC139" s="12">
        <f>IF(IF($D139="Unlabeled-13",MCDM_Settings!$F$6,MCDM_Settings!$D$6)=0,"n.a.",5*COUNTIF(M139:O139,"Y")/IF($D139="Unlabeled-13",MCDM_Settings!$F$6,MCDM_Settings!$D$6))</f>
        <v>5</v>
      </c>
      <c r="AD139" s="12">
        <f>IF(IF($D139="Unlabeled-13",MCDM_Settings!$F$6,MCDM_Settings!$D$6)=0,"n.a.",5*(COUNTIF(M139:O139,"Y")+COUNTIF(M139:O139,"U")+COUNTIF(M139:O139,"X"))/IF($D139="Unlabeled-13",MCDM_Settings!$F$6,MCDM_Settings!$D$6))</f>
        <v>5</v>
      </c>
      <c r="AE139" s="13">
        <f>IF(IF($D139="Unlabeled-13",MCDM_Settings!$F$6,MCDM_Settings!$D$6)=0,"n.a.",(COUNTIF(M139:O139,"Y")+COUNTIF(M139:O139,"N"))/IF($D139="Unlabeled-13",MCDM_Settings!$F$6,MCDM_Settings!$D$6))</f>
        <v>1</v>
      </c>
      <c r="AF139" s="12">
        <f>IF(IF($D139="Unlabeled-13",MCDM_Settings!$F$7,MCDM_Settings!$D$7)=0,"n.a.",5*COUNTIF(P139:R139,"Y")/IF($D139="Unlabeled-13",MCDM_Settings!$F$7,MCDM_Settings!$D$7))</f>
        <v>0</v>
      </c>
      <c r="AG139" s="12">
        <f>IF(IF($D139="Unlabeled-13",MCDM_Settings!$F$7,MCDM_Settings!$D$7)=0,"n.a.",5*(COUNTIF(P139:R139,"Y")+COUNTIF(P139:R139,"U")+COUNTIF(P139:R139,"X"))/IF($D139="Unlabeled-13",MCDM_Settings!$F$7,MCDM_Settings!$D$7))</f>
        <v>5</v>
      </c>
      <c r="AH139" s="13">
        <f>IF(IF($D139="Unlabeled-13",MCDM_Settings!$F$7,MCDM_Settings!$D$7)=0,"n.a.",(COUNTIF(P139:R139,"Y")+COUNTIF(P139:R139,"N"))/IF($D139="Unlabeled-13",MCDM_Settings!$F$7,MCDM_Settings!$D$7))</f>
        <v>0</v>
      </c>
      <c r="AI139" s="12">
        <f>IF(IF($D139="Unlabeled-13",MCDM_Settings!$F$8,MCDM_Settings!$D$8)=0,"n.a.",5*COUNTIF(S139:U139,"Y")/IF($D139="Unlabeled-13",MCDM_Settings!$F$8,MCDM_Settings!$D$8))</f>
        <v>3.3333333333333335</v>
      </c>
      <c r="AJ139" s="12">
        <f>IF(IF($D139="Unlabeled-13",MCDM_Settings!$F$8,MCDM_Settings!$D$8)=0,"n.a.",5*(COUNTIF(S139:U139,"Y")+COUNTIF(S139:U139,"U")+COUNTIF(S139:U139,"X"))/IF($D139="Unlabeled-13",MCDM_Settings!$F$8,MCDM_Settings!$D$8))</f>
        <v>5</v>
      </c>
      <c r="AK139" s="13">
        <f>IF(IF($D139="Unlabeled-13",MCDM_Settings!$F$8,MCDM_Settings!$D$8)=0,"n.a.",(COUNTIF(S139:U139,"Y")+COUNTIF(S139:U139,"N"))/IF($D139="Unlabeled-13",MCDM_Settings!$F$8,MCDM_Settings!$D$8))</f>
        <v>0.66666666666666663</v>
      </c>
      <c r="AL139" s="12">
        <f>IF(IF($D139="Unlabeled-13",MCDM_Settings!$F$9,MCDM_Settings!$D$9)=0,"n.a.",5*COUNTIF(V139:W139,"Y")/IF($D139="Unlabeled-13",MCDM_Settings!$F$9,MCDM_Settings!$D$9))</f>
        <v>2.5</v>
      </c>
      <c r="AM139" s="12">
        <f>IF(IF($D139="Unlabeled-13",MCDM_Settings!$F$9,MCDM_Settings!$D$9)=0,"n.a.",5*(COUNTIF(V139:W139,"Y")+COUNTIF(V139:W139,"U")+COUNTIF(V139:W139,"X"))/IF($D139="Unlabeled-13",MCDM_Settings!$F$9,MCDM_Settings!$D$9))</f>
        <v>5</v>
      </c>
      <c r="AN139" s="13">
        <f>IF(IF($D139="Unlabeled-13",MCDM_Settings!$F$9,MCDM_Settings!$D$9)=0,"n.a.",(COUNTIF(V139:W139,"Y")+COUNTIF(V139:W139,"N"))/IF($D139="Unlabeled-13",MCDM_Settings!$F$9,MCDM_Settings!$D$9))</f>
        <v>0.5</v>
      </c>
      <c r="AO139" s="12">
        <f>IF(IF($D139="Unlabeled-13",MCDM_Settings!$F$10,MCDM_Settings!$D$10)=0,"n.a.",5*COUNTIF(X139:Y139,"Y")/IF($D139="Unlabeled-13",MCDM_Settings!$F$10,MCDM_Settings!$D$10))</f>
        <v>5</v>
      </c>
      <c r="AP139" s="12">
        <f>IF(IF($D139="Unlabeled-13",MCDM_Settings!$F$10,MCDM_Settings!$D$10)=0,"n.a.",5*(COUNTIF(X139:Y139,"Y")+COUNTIF(X139:Y139,"U")+COUNTIF(X139:Y139,"X"))/IF($D139="Unlabeled-13",MCDM_Settings!$F$10,MCDM_Settings!$D$10))</f>
        <v>5</v>
      </c>
      <c r="AQ139" s="13">
        <f>IF(IF($D139="Unlabeled-13",MCDM_Settings!$F$10,MCDM_Settings!$D$10)=0,"n.a.",(COUNTIF(X139:Y139,"Y")+COUNTIF(X139:Y139,"N"))/IF($D139="Unlabeled-13",MCDM_Settings!$F$10,MCDM_Settings!$D$10))</f>
        <v>1</v>
      </c>
      <c r="AR139" s="12">
        <f>IF(IF($D139="Unlabeled-13",MCDM_Settings!$F$11,MCDM_Settings!$D$11)=0,"n.a.",5*COUNTIF(Z139:AB139,"Y")/IF($D139="Unlabeled-13",MCDM_Settings!$F$11,MCDM_Settings!$D$11))</f>
        <v>5</v>
      </c>
      <c r="AS139" s="12">
        <f>IF(IF($D139="Unlabeled-13",MCDM_Settings!$F$11,MCDM_Settings!$D$11)=0,"n.a.",5*(COUNTIF(Z139:AB139,"Y")+COUNTIF(Z139:AB139,"U")+COUNTIF(Z139:AB139,"X"))/IF($D139="Unlabeled-13",MCDM_Settings!$F$11,MCDM_Settings!$D$11))</f>
        <v>5</v>
      </c>
      <c r="AT139" s="13">
        <f>IF(IF($D139="Unlabeled-13",MCDM_Settings!$F$11,MCDM_Settings!$D$11)=0,"n.a.",(COUNTIF(Z139:AB139,"Y")+COUNTIF(Z139:AB139,"N"))/IF($D139="Unlabeled-13",MCDM_Settings!$F$11,MCDM_Settings!$D$11))</f>
        <v>1</v>
      </c>
      <c r="AU139" s="5" t="str">
        <f>IF(AND(INDEX(Manual_Review!$G$6:$G$238,MATCH(A139,Manual_Review!$A$6:$A$238,0))&lt;&gt;"",ISNUMBER(INDEX(Manual_Review!$H$6:$H$238,MATCH(A139,Manual_Review!$A$6:$A$238,0))),INDEX(Manual_Review!$H$6:$H$238,MATCH(A139,Manual_Review!$A$6:$A$238,0))&gt;0,INDEX(Manual_Review!$I$6:$I$238,MATCH(A139,Manual_Review!$A$6:$A$238,0))="Confirmed",INDEX(Manual_Review!$AF$6:$AF$238,MATCH(A139,Manual_Review!$A$6:$A$238,0))&lt;&gt;""),IF(INDEX(Manual_Review!$AA$6:$AA$238,MATCH(A139,Manual_Review!$A$6:$A$238,0))="Pass","Pass",IF(INDEX(Manual_Review!$AA$6:$AA$238,MATCH(A139,Manual_Review!$A$6:$A$238,0))="Fail","Fail","Pending")),"Pending human identity confirmation")</f>
        <v>Pending human identity confirmation</v>
      </c>
      <c r="AV139" s="5" t="str">
        <f>IF(AND(AND(INDEX(Manual_Review!$G$6:$G$238,MATCH(A139,Manual_Review!$A$6:$A$238,0))&lt;&gt;"",ISNUMBER(INDEX(Manual_Review!$H$6:$H$238,MATCH(A139,Manual_Review!$A$6:$A$238,0))),INDEX(Manual_Review!$H$6:$H$238,MATCH(A139,Manual_Review!$A$6:$A$238,0))&gt;0,INDEX(Manual_Review!$I$6:$I$238,MATCH(A139,Manual_Review!$A$6:$A$238,0))="Confirmed",INDEX(Manual_Review!$AF$6:$AF$238,MATCH(A139,Manual_Review!$A$6:$A$238,0))&lt;&gt;""),INDEX(Manual_Review!$AG$6:$AG$238,MATCH(A139,Manual_Review!$A$6:$A$238,0))&lt;&gt;""),IF(INDEX(Manual_Review!$AB$6:$AB$238,MATCH(A139,Manual_Review!$A$6:$A$238,0))="Pass","Pass",IF(INDEX(Manual_Review!$AB$6:$AB$238,MATCH(A139,Manual_Review!$A$6:$A$238,0))="Fail","Fail","Pending")),"Not assessed: define intended task")</f>
        <v>Not assessed: define intended task</v>
      </c>
      <c r="AW139" s="5" t="str">
        <f>IF(AND(AND(INDEX(Manual_Review!$G$6:$G$238,MATCH(A139,Manual_Review!$A$6:$A$238,0))&lt;&gt;"",ISNUMBER(INDEX(Manual_Review!$H$6:$H$238,MATCH(A139,Manual_Review!$A$6:$A$238,0))),INDEX(Manual_Review!$H$6:$H$238,MATCH(A139,Manual_Review!$A$6:$A$238,0))&gt;0,INDEX(Manual_Review!$I$6:$I$238,MATCH(A139,Manual_Review!$A$6:$A$238,0))="Confirmed",INDEX(Manual_Review!$AF$6:$AF$238,MATCH(A139,Manual_Review!$A$6:$A$238,0))&lt;&gt;""),INDEX(Manual_Review!$AG$6:$AG$238,MATCH(A139,Manual_Review!$A$6:$A$238,0))&lt;&gt;""),IF(OR(INDEX(Manual_Review!$AC$6:$AC$238,MATCH(A139,Manual_Review!$A$6:$A$238,0))="Fail",INDEX(Manual_Review!$AD$6:$AD$238,MATCH(A139,Manual_Review!$A$6:$A$238,0))="Fail"),"Fail: rights or retrieval",IF(AND(INDEX(Manual_Review!$AC$6:$AC$238,MATCH(A139,Manual_Review!$A$6:$A$238,0))="Pass",INDEX(Manual_Review!$AD$6:$AD$238,MATCH(A139,Manual_Review!$A$6:$A$238,0))="Pass"),"Pass","Pending rights and retrieval")),"Pending rights and retrieval")</f>
        <v>Pending rights and retrieval</v>
      </c>
      <c r="AX139" s="5" t="str">
        <f>IF(INDEX(Manual_Review!$AG$6:$AG$238,MATCH(A139,Manual_Review!$A$6:$A$238,0))="","N/A: documentation inventory",IF(AND(INDEX(Manual_Review!$G$6:$G$238,MATCH(A139,Manual_Review!$A$6:$A$238,0))&lt;&gt;"",ISNUMBER(INDEX(Manual_Review!$H$6:$H$238,MATCH(A139,Manual_Review!$A$6:$A$238,0))),INDEX(Manual_Review!$H$6:$H$238,MATCH(A139,Manual_Review!$A$6:$A$238,0))&gt;0,INDEX(Manual_Review!$I$6:$I$238,MATCH(A139,Manual_Review!$A$6:$A$238,0))="Confirmed",INDEX(Manual_Review!$AF$6:$AF$238,MATCH(A139,Manual_Review!$A$6:$A$238,0))&lt;&gt;""),IF(INDEX(Manual_Review!$AE$6:$AE$238,MATCH(A139,Manual_Review!$A$6:$A$238,0))="Pass","Pass",IF(INDEX(Manual_Review!$AE$6:$AE$238,MATCH(A139,Manual_Review!$A$6:$A$238,0))="Fail","Fail: benchmark leakage",IF(INDEX(Manual_Review!$AE$6:$AE$238,MATCH(A139,Manual_Review!$A$6:$A$238,0))="N/A","N/A: nonbenchmark task","Pending task-specific leakage check"))),"Pending task-specific leakage check"))</f>
        <v>N/A: documentation inventory</v>
      </c>
      <c r="AY139" s="5" t="str">
        <f>IF(IF(D139="Unlabeled-13",AND(ABS(MCDM_Settings!$D$14-1)&lt;0.0000001,MIN(MCDM_Settings!$E$6:$E$11)&gt;=0,MCDM_Settings!$E$7=0),AND(ABS(MCDM_Settings!$B$14-1)&lt;0.0000001,MIN(MCDM_Settings!$C$6:$C$11)&gt;=0)),"Valid","Check weights")</f>
        <v>Valid</v>
      </c>
      <c r="AZ139" s="5" t="str">
        <f>IF(AND(COUNTIF(MCDM_Checks!$B$6:$B$3733,A139)=16,COUNTIF(Manual_Review!$A$6:$A$238,A139)=1),"16 keys present","Check key count")</f>
        <v>16 keys present</v>
      </c>
    </row>
    <row r="140" spans="1:52" ht="25.5">
      <c r="A140" s="5" t="s">
        <v>53</v>
      </c>
      <c r="B140" s="5" t="s">
        <v>1566</v>
      </c>
      <c r="C140" s="5">
        <v>6</v>
      </c>
      <c r="D140" s="5" t="s">
        <v>118</v>
      </c>
      <c r="E140" s="12">
        <f>IF(OR(AY140&lt;&gt;"Valid",AZ140&lt;&gt;"16 keys present"),"Review settings",20*(IF(ISNUMBER(AC140),AC140*IF($D140="Unlabeled-13",MCDM_Settings!$E$6,MCDM_Settings!$C$6),0)+IF(ISNUMBER(AF140),AF140*IF($D140="Unlabeled-13",MCDM_Settings!$E$7,MCDM_Settings!$C$7),0)+IF(ISNUMBER(AI140),AI140*IF($D140="Unlabeled-13",MCDM_Settings!$E$8,MCDM_Settings!$C$8),0)+IF(ISNUMBER(AL140),AL140*IF($D140="Unlabeled-13",MCDM_Settings!$E$9,MCDM_Settings!$C$9),0)+IF(ISNUMBER(AO140),AO140*IF($D140="Unlabeled-13",MCDM_Settings!$E$10,MCDM_Settings!$C$10),0)+IF(ISNUMBER(AR140),AR140*IF($D140="Unlabeled-13",MCDM_Settings!$E$11,MCDM_Settings!$C$11),0)))</f>
        <v>99.999999999999986</v>
      </c>
      <c r="F140" s="12">
        <f>IF(OR(AY140&lt;&gt;"Valid",AZ140&lt;&gt;"16 keys present"),"Review settings",20*(IF(ISNUMBER(AD140),AD140*IF($D140="Unlabeled-13",MCDM_Settings!$E$6,MCDM_Settings!$C$6),0)+IF(ISNUMBER(AG140),AG140*IF($D140="Unlabeled-13",MCDM_Settings!$E$7,MCDM_Settings!$C$7),0)+IF(ISNUMBER(AJ140),AJ140*IF($D140="Unlabeled-13",MCDM_Settings!$E$8,MCDM_Settings!$C$8),0)+IF(ISNUMBER(AM140),AM140*IF($D140="Unlabeled-13",MCDM_Settings!$E$9,MCDM_Settings!$C$9),0)+IF(ISNUMBER(AP140),AP140*IF($D140="Unlabeled-13",MCDM_Settings!$E$10,MCDM_Settings!$C$10),0)+IF(ISNUMBER(AS140),AS140*IF($D140="Unlabeled-13",MCDM_Settings!$E$11,MCDM_Settings!$C$11),0)))</f>
        <v>99.999999999999986</v>
      </c>
      <c r="G140" s="13">
        <f>IF(OR(AY140&lt;&gt;"Valid",AZ140&lt;&gt;"16 keys present"),"Review settings",1*(IF(ISNUMBER(AE140),AE140*IF($D140="Unlabeled-13",MCDM_Settings!$E$6,MCDM_Settings!$C$6),0)+IF(ISNUMBER(AH140),AH140*IF($D140="Unlabeled-13",MCDM_Settings!$E$7,MCDM_Settings!$C$7),0)+IF(ISNUMBER(AK140),AK140*IF($D140="Unlabeled-13",MCDM_Settings!$E$8,MCDM_Settings!$C$8),0)+IF(ISNUMBER(AN140),AN140*IF($D140="Unlabeled-13",MCDM_Settings!$E$9,MCDM_Settings!$C$9),0)+IF(ISNUMBER(AQ140),AQ140*IF($D140="Unlabeled-13",MCDM_Settings!$E$10,MCDM_Settings!$C$10),0)+IF(ISNUMBER(AT140),AT140*IF($D140="Unlabeled-13",MCDM_Settings!$E$11,MCDM_Settings!$C$11),0)))</f>
        <v>0.99999999999999989</v>
      </c>
      <c r="H140" s="5" t="str">
        <f>INDEX(Manual_Review!$AH$6:$AH$238,MATCH(A140,Manual_Review!$A$6:$A$238,0))</f>
        <v>Not started</v>
      </c>
      <c r="I140" s="5" t="s">
        <v>206</v>
      </c>
      <c r="J140" s="5" t="s">
        <v>58</v>
      </c>
      <c r="K140" s="5" t="str">
        <f>HYPERLINK("https://zenodo.org/records/8429208","Dataset")</f>
        <v>Dataset</v>
      </c>
      <c r="L140" s="5" t="str">
        <f>HYPERLINK("#'Manual_Review'!A"&amp;(MATCH("DS-135",Manual_Review!$A$6:$A$238,0)+5),"Enter review")</f>
        <v>Enter review</v>
      </c>
      <c r="M140" s="5" t="str">
        <f>INDEX(MCDM_Checks!$K$6:$K$3733,MATCH(A140&amp;"|"&amp;M$5,MCDM_Checks!$A$6:$A$3733,0))</f>
        <v>Y</v>
      </c>
      <c r="N140" s="5" t="str">
        <f>INDEX(MCDM_Checks!$K$6:$K$3733,MATCH(A140&amp;"|"&amp;N$5,MCDM_Checks!$A$6:$A$3733,0))</f>
        <v>Y</v>
      </c>
      <c r="O140" s="5" t="str">
        <f>INDEX(MCDM_Checks!$K$6:$K$3733,MATCH(A140&amp;"|"&amp;O$5,MCDM_Checks!$A$6:$A$3733,0))</f>
        <v>Y</v>
      </c>
      <c r="P140" s="5" t="str">
        <f>INDEX(MCDM_Checks!$K$6:$K$3733,MATCH(A140&amp;"|"&amp;P$5,MCDM_Checks!$A$6:$A$3733,0))</f>
        <v>Y</v>
      </c>
      <c r="Q140" s="5" t="str">
        <f>INDEX(MCDM_Checks!$K$6:$K$3733,MATCH(A140&amp;"|"&amp;Q$5,MCDM_Checks!$A$6:$A$3733,0))</f>
        <v>Y</v>
      </c>
      <c r="R140" s="5" t="str">
        <f>INDEX(MCDM_Checks!$K$6:$K$3733,MATCH(A140&amp;"|"&amp;R$5,MCDM_Checks!$A$6:$A$3733,0))</f>
        <v>Y</v>
      </c>
      <c r="S140" s="5" t="str">
        <f>INDEX(MCDM_Checks!$K$6:$K$3733,MATCH(A140&amp;"|"&amp;S$5,MCDM_Checks!$A$6:$A$3733,0))</f>
        <v>Y</v>
      </c>
      <c r="T140" s="5" t="str">
        <f>INDEX(MCDM_Checks!$K$6:$K$3733,MATCH(A140&amp;"|"&amp;T$5,MCDM_Checks!$A$6:$A$3733,0))</f>
        <v>Y</v>
      </c>
      <c r="U140" s="5" t="str">
        <f>INDEX(MCDM_Checks!$K$6:$K$3733,MATCH(A140&amp;"|"&amp;U$5,MCDM_Checks!$A$6:$A$3733,0))</f>
        <v>Y</v>
      </c>
      <c r="V140" s="5" t="str">
        <f>INDEX(MCDM_Checks!$K$6:$K$3733,MATCH(A140&amp;"|"&amp;V$5,MCDM_Checks!$A$6:$A$3733,0))</f>
        <v>Y</v>
      </c>
      <c r="W140" s="5" t="str">
        <f>INDEX(MCDM_Checks!$K$6:$K$3733,MATCH(A140&amp;"|"&amp;W$5,MCDM_Checks!$A$6:$A$3733,0))</f>
        <v>Y</v>
      </c>
      <c r="X140" s="5" t="str">
        <f>INDEX(MCDM_Checks!$K$6:$K$3733,MATCH(A140&amp;"|"&amp;X$5,MCDM_Checks!$A$6:$A$3733,0))</f>
        <v>Y</v>
      </c>
      <c r="Y140" s="5" t="str">
        <f>INDEX(MCDM_Checks!$K$6:$K$3733,MATCH(A140&amp;"|"&amp;Y$5,MCDM_Checks!$A$6:$A$3733,0))</f>
        <v>Y</v>
      </c>
      <c r="Z140" s="5" t="str">
        <f>INDEX(MCDM_Checks!$K$6:$K$3733,MATCH(A140&amp;"|"&amp;Z$5,MCDM_Checks!$A$6:$A$3733,0))</f>
        <v>Y</v>
      </c>
      <c r="AA140" s="5" t="str">
        <f>INDEX(MCDM_Checks!$K$6:$K$3733,MATCH(A140&amp;"|"&amp;AA$5,MCDM_Checks!$A$6:$A$3733,0))</f>
        <v>Y</v>
      </c>
      <c r="AB140" s="5" t="str">
        <f>INDEX(MCDM_Checks!$K$6:$K$3733,MATCH(A140&amp;"|"&amp;AB$5,MCDM_Checks!$A$6:$A$3733,0))</f>
        <v>Y</v>
      </c>
      <c r="AC140" s="12">
        <f>IF(IF($D140="Unlabeled-13",MCDM_Settings!$F$6,MCDM_Settings!$D$6)=0,"n.a.",5*COUNTIF(M140:O140,"Y")/IF($D140="Unlabeled-13",MCDM_Settings!$F$6,MCDM_Settings!$D$6))</f>
        <v>5</v>
      </c>
      <c r="AD140" s="12">
        <f>IF(IF($D140="Unlabeled-13",MCDM_Settings!$F$6,MCDM_Settings!$D$6)=0,"n.a.",5*(COUNTIF(M140:O140,"Y")+COUNTIF(M140:O140,"U")+COUNTIF(M140:O140,"X"))/IF($D140="Unlabeled-13",MCDM_Settings!$F$6,MCDM_Settings!$D$6))</f>
        <v>5</v>
      </c>
      <c r="AE140" s="13">
        <f>IF(IF($D140="Unlabeled-13",MCDM_Settings!$F$6,MCDM_Settings!$D$6)=0,"n.a.",(COUNTIF(M140:O140,"Y")+COUNTIF(M140:O140,"N"))/IF($D140="Unlabeled-13",MCDM_Settings!$F$6,MCDM_Settings!$D$6))</f>
        <v>1</v>
      </c>
      <c r="AF140" s="12">
        <f>IF(IF($D140="Unlabeled-13",MCDM_Settings!$F$7,MCDM_Settings!$D$7)=0,"n.a.",5*COUNTIF(P140:R140,"Y")/IF($D140="Unlabeled-13",MCDM_Settings!$F$7,MCDM_Settings!$D$7))</f>
        <v>5</v>
      </c>
      <c r="AG140" s="12">
        <f>IF(IF($D140="Unlabeled-13",MCDM_Settings!$F$7,MCDM_Settings!$D$7)=0,"n.a.",5*(COUNTIF(P140:R140,"Y")+COUNTIF(P140:R140,"U")+COUNTIF(P140:R140,"X"))/IF($D140="Unlabeled-13",MCDM_Settings!$F$7,MCDM_Settings!$D$7))</f>
        <v>5</v>
      </c>
      <c r="AH140" s="13">
        <f>IF(IF($D140="Unlabeled-13",MCDM_Settings!$F$7,MCDM_Settings!$D$7)=0,"n.a.",(COUNTIF(P140:R140,"Y")+COUNTIF(P140:R140,"N"))/IF($D140="Unlabeled-13",MCDM_Settings!$F$7,MCDM_Settings!$D$7))</f>
        <v>1</v>
      </c>
      <c r="AI140" s="12">
        <f>IF(IF($D140="Unlabeled-13",MCDM_Settings!$F$8,MCDM_Settings!$D$8)=0,"n.a.",5*COUNTIF(S140:U140,"Y")/IF($D140="Unlabeled-13",MCDM_Settings!$F$8,MCDM_Settings!$D$8))</f>
        <v>5</v>
      </c>
      <c r="AJ140" s="12">
        <f>IF(IF($D140="Unlabeled-13",MCDM_Settings!$F$8,MCDM_Settings!$D$8)=0,"n.a.",5*(COUNTIF(S140:U140,"Y")+COUNTIF(S140:U140,"U")+COUNTIF(S140:U140,"X"))/IF($D140="Unlabeled-13",MCDM_Settings!$F$8,MCDM_Settings!$D$8))</f>
        <v>5</v>
      </c>
      <c r="AK140" s="13">
        <f>IF(IF($D140="Unlabeled-13",MCDM_Settings!$F$8,MCDM_Settings!$D$8)=0,"n.a.",(COUNTIF(S140:U140,"Y")+COUNTIF(S140:U140,"N"))/IF($D140="Unlabeled-13",MCDM_Settings!$F$8,MCDM_Settings!$D$8))</f>
        <v>1</v>
      </c>
      <c r="AL140" s="12">
        <f>IF(IF($D140="Unlabeled-13",MCDM_Settings!$F$9,MCDM_Settings!$D$9)=0,"n.a.",5*COUNTIF(V140:W140,"Y")/IF($D140="Unlabeled-13",MCDM_Settings!$F$9,MCDM_Settings!$D$9))</f>
        <v>5</v>
      </c>
      <c r="AM140" s="12">
        <f>IF(IF($D140="Unlabeled-13",MCDM_Settings!$F$9,MCDM_Settings!$D$9)=0,"n.a.",5*(COUNTIF(V140:W140,"Y")+COUNTIF(V140:W140,"U")+COUNTIF(V140:W140,"X"))/IF($D140="Unlabeled-13",MCDM_Settings!$F$9,MCDM_Settings!$D$9))</f>
        <v>5</v>
      </c>
      <c r="AN140" s="13">
        <f>IF(IF($D140="Unlabeled-13",MCDM_Settings!$F$9,MCDM_Settings!$D$9)=0,"n.a.",(COUNTIF(V140:W140,"Y")+COUNTIF(V140:W140,"N"))/IF($D140="Unlabeled-13",MCDM_Settings!$F$9,MCDM_Settings!$D$9))</f>
        <v>1</v>
      </c>
      <c r="AO140" s="12">
        <f>IF(IF($D140="Unlabeled-13",MCDM_Settings!$F$10,MCDM_Settings!$D$10)=0,"n.a.",5*COUNTIF(X140:Y140,"Y")/IF($D140="Unlabeled-13",MCDM_Settings!$F$10,MCDM_Settings!$D$10))</f>
        <v>5</v>
      </c>
      <c r="AP140" s="12">
        <f>IF(IF($D140="Unlabeled-13",MCDM_Settings!$F$10,MCDM_Settings!$D$10)=0,"n.a.",5*(COUNTIF(X140:Y140,"Y")+COUNTIF(X140:Y140,"U")+COUNTIF(X140:Y140,"X"))/IF($D140="Unlabeled-13",MCDM_Settings!$F$10,MCDM_Settings!$D$10))</f>
        <v>5</v>
      </c>
      <c r="AQ140" s="13">
        <f>IF(IF($D140="Unlabeled-13",MCDM_Settings!$F$10,MCDM_Settings!$D$10)=0,"n.a.",(COUNTIF(X140:Y140,"Y")+COUNTIF(X140:Y140,"N"))/IF($D140="Unlabeled-13",MCDM_Settings!$F$10,MCDM_Settings!$D$10))</f>
        <v>1</v>
      </c>
      <c r="AR140" s="12">
        <f>IF(IF($D140="Unlabeled-13",MCDM_Settings!$F$11,MCDM_Settings!$D$11)=0,"n.a.",5*COUNTIF(Z140:AB140,"Y")/IF($D140="Unlabeled-13",MCDM_Settings!$F$11,MCDM_Settings!$D$11))</f>
        <v>5</v>
      </c>
      <c r="AS140" s="12">
        <f>IF(IF($D140="Unlabeled-13",MCDM_Settings!$F$11,MCDM_Settings!$D$11)=0,"n.a.",5*(COUNTIF(Z140:AB140,"Y")+COUNTIF(Z140:AB140,"U")+COUNTIF(Z140:AB140,"X"))/IF($D140="Unlabeled-13",MCDM_Settings!$F$11,MCDM_Settings!$D$11))</f>
        <v>5</v>
      </c>
      <c r="AT140" s="13">
        <f>IF(IF($D140="Unlabeled-13",MCDM_Settings!$F$11,MCDM_Settings!$D$11)=0,"n.a.",(COUNTIF(Z140:AB140,"Y")+COUNTIF(Z140:AB140,"N"))/IF($D140="Unlabeled-13",MCDM_Settings!$F$11,MCDM_Settings!$D$11))</f>
        <v>1</v>
      </c>
      <c r="AU140" s="5" t="str">
        <f>IF(AND(INDEX(Manual_Review!$G$6:$G$238,MATCH(A140,Manual_Review!$A$6:$A$238,0))&lt;&gt;"",ISNUMBER(INDEX(Manual_Review!$H$6:$H$238,MATCH(A140,Manual_Review!$A$6:$A$238,0))),INDEX(Manual_Review!$H$6:$H$238,MATCH(A140,Manual_Review!$A$6:$A$238,0))&gt;0,INDEX(Manual_Review!$I$6:$I$238,MATCH(A140,Manual_Review!$A$6:$A$238,0))="Confirmed",INDEX(Manual_Review!$AF$6:$AF$238,MATCH(A140,Manual_Review!$A$6:$A$238,0))&lt;&gt;""),IF(INDEX(Manual_Review!$AA$6:$AA$238,MATCH(A140,Manual_Review!$A$6:$A$238,0))="Pass","Pass",IF(INDEX(Manual_Review!$AA$6:$AA$238,MATCH(A140,Manual_Review!$A$6:$A$238,0))="Fail","Fail","Pending")),"Pending human identity confirmation")</f>
        <v>Pending human identity confirmation</v>
      </c>
      <c r="AV140" s="5" t="str">
        <f>IF(AND(AND(INDEX(Manual_Review!$G$6:$G$238,MATCH(A140,Manual_Review!$A$6:$A$238,0))&lt;&gt;"",ISNUMBER(INDEX(Manual_Review!$H$6:$H$238,MATCH(A140,Manual_Review!$A$6:$A$238,0))),INDEX(Manual_Review!$H$6:$H$238,MATCH(A140,Manual_Review!$A$6:$A$238,0))&gt;0,INDEX(Manual_Review!$I$6:$I$238,MATCH(A140,Manual_Review!$A$6:$A$238,0))="Confirmed",INDEX(Manual_Review!$AF$6:$AF$238,MATCH(A140,Manual_Review!$A$6:$A$238,0))&lt;&gt;""),INDEX(Manual_Review!$AG$6:$AG$238,MATCH(A140,Manual_Review!$A$6:$A$238,0))&lt;&gt;""),IF(INDEX(Manual_Review!$AB$6:$AB$238,MATCH(A140,Manual_Review!$A$6:$A$238,0))="Pass","Pass",IF(INDEX(Manual_Review!$AB$6:$AB$238,MATCH(A140,Manual_Review!$A$6:$A$238,0))="Fail","Fail","Pending")),"Not assessed: define intended task")</f>
        <v>Not assessed: define intended task</v>
      </c>
      <c r="AW140" s="5" t="str">
        <f>IF(AND(AND(INDEX(Manual_Review!$G$6:$G$238,MATCH(A140,Manual_Review!$A$6:$A$238,0))&lt;&gt;"",ISNUMBER(INDEX(Manual_Review!$H$6:$H$238,MATCH(A140,Manual_Review!$A$6:$A$238,0))),INDEX(Manual_Review!$H$6:$H$238,MATCH(A140,Manual_Review!$A$6:$A$238,0))&gt;0,INDEX(Manual_Review!$I$6:$I$238,MATCH(A140,Manual_Review!$A$6:$A$238,0))="Confirmed",INDEX(Manual_Review!$AF$6:$AF$238,MATCH(A140,Manual_Review!$A$6:$A$238,0))&lt;&gt;""),INDEX(Manual_Review!$AG$6:$AG$238,MATCH(A140,Manual_Review!$A$6:$A$238,0))&lt;&gt;""),IF(OR(INDEX(Manual_Review!$AC$6:$AC$238,MATCH(A140,Manual_Review!$A$6:$A$238,0))="Fail",INDEX(Manual_Review!$AD$6:$AD$238,MATCH(A140,Manual_Review!$A$6:$A$238,0))="Fail"),"Fail: rights or retrieval",IF(AND(INDEX(Manual_Review!$AC$6:$AC$238,MATCH(A140,Manual_Review!$A$6:$A$238,0))="Pass",INDEX(Manual_Review!$AD$6:$AD$238,MATCH(A140,Manual_Review!$A$6:$A$238,0))="Pass"),"Pass","Pending rights and retrieval")),"Pending rights and retrieval")</f>
        <v>Pending rights and retrieval</v>
      </c>
      <c r="AX140" s="5" t="str">
        <f>IF(INDEX(Manual_Review!$AG$6:$AG$238,MATCH(A140,Manual_Review!$A$6:$A$238,0))="","N/A: documentation inventory",IF(AND(INDEX(Manual_Review!$G$6:$G$238,MATCH(A140,Manual_Review!$A$6:$A$238,0))&lt;&gt;"",ISNUMBER(INDEX(Manual_Review!$H$6:$H$238,MATCH(A140,Manual_Review!$A$6:$A$238,0))),INDEX(Manual_Review!$H$6:$H$238,MATCH(A140,Manual_Review!$A$6:$A$238,0))&gt;0,INDEX(Manual_Review!$I$6:$I$238,MATCH(A140,Manual_Review!$A$6:$A$238,0))="Confirmed",INDEX(Manual_Review!$AF$6:$AF$238,MATCH(A140,Manual_Review!$A$6:$A$238,0))&lt;&gt;""),IF(INDEX(Manual_Review!$AE$6:$AE$238,MATCH(A140,Manual_Review!$A$6:$A$238,0))="Pass","Pass",IF(INDEX(Manual_Review!$AE$6:$AE$238,MATCH(A140,Manual_Review!$A$6:$A$238,0))="Fail","Fail: benchmark leakage",IF(INDEX(Manual_Review!$AE$6:$AE$238,MATCH(A140,Manual_Review!$A$6:$A$238,0))="N/A","N/A: nonbenchmark task","Pending task-specific leakage check"))),"Pending task-specific leakage check"))</f>
        <v>N/A: documentation inventory</v>
      </c>
      <c r="AY140" s="5" t="str">
        <f>IF(IF(D140="Unlabeled-13",AND(ABS(MCDM_Settings!$D$14-1)&lt;0.0000001,MIN(MCDM_Settings!$E$6:$E$11)&gt;=0,MCDM_Settings!$E$7=0),AND(ABS(MCDM_Settings!$B$14-1)&lt;0.0000001,MIN(MCDM_Settings!$C$6:$C$11)&gt;=0)),"Valid","Check weights")</f>
        <v>Valid</v>
      </c>
      <c r="AZ140" s="5" t="str">
        <f>IF(AND(COUNTIF(MCDM_Checks!$B$6:$B$3733,A140)=16,COUNTIF(Manual_Review!$A$6:$A$238,A140)=1),"16 keys present","Check key count")</f>
        <v>16 keys present</v>
      </c>
    </row>
    <row r="141" spans="1:52">
      <c r="A141" s="5" t="s">
        <v>1578</v>
      </c>
      <c r="B141" s="5" t="s">
        <v>1579</v>
      </c>
      <c r="C141" s="5"/>
      <c r="D141" s="5" t="s">
        <v>118</v>
      </c>
      <c r="E141" s="12">
        <f>IF(OR(AY141&lt;&gt;"Valid",AZ141&lt;&gt;"16 keys present"),"Review settings",20*(IF(ISNUMBER(AC141),AC141*IF($D141="Unlabeled-13",MCDM_Settings!$E$6,MCDM_Settings!$C$6),0)+IF(ISNUMBER(AF141),AF141*IF($D141="Unlabeled-13",MCDM_Settings!$E$7,MCDM_Settings!$C$7),0)+IF(ISNUMBER(AI141),AI141*IF($D141="Unlabeled-13",MCDM_Settings!$E$8,MCDM_Settings!$C$8),0)+IF(ISNUMBER(AL141),AL141*IF($D141="Unlabeled-13",MCDM_Settings!$E$9,MCDM_Settings!$C$9),0)+IF(ISNUMBER(AO141),AO141*IF($D141="Unlabeled-13",MCDM_Settings!$E$10,MCDM_Settings!$C$10),0)+IF(ISNUMBER(AR141),AR141*IF($D141="Unlabeled-13",MCDM_Settings!$E$11,MCDM_Settings!$C$11),0)))</f>
        <v>44.444444444444443</v>
      </c>
      <c r="F141" s="12">
        <f>IF(OR(AY141&lt;&gt;"Valid",AZ141&lt;&gt;"16 keys present"),"Review settings",20*(IF(ISNUMBER(AD141),AD141*IF($D141="Unlabeled-13",MCDM_Settings!$E$6,MCDM_Settings!$C$6),0)+IF(ISNUMBER(AG141),AG141*IF($D141="Unlabeled-13",MCDM_Settings!$E$7,MCDM_Settings!$C$7),0)+IF(ISNUMBER(AJ141),AJ141*IF($D141="Unlabeled-13",MCDM_Settings!$E$8,MCDM_Settings!$C$8),0)+IF(ISNUMBER(AM141),AM141*IF($D141="Unlabeled-13",MCDM_Settings!$E$9,MCDM_Settings!$C$9),0)+IF(ISNUMBER(AP141),AP141*IF($D141="Unlabeled-13",MCDM_Settings!$E$10,MCDM_Settings!$C$10),0)+IF(ISNUMBER(AS141),AS141*IF($D141="Unlabeled-13",MCDM_Settings!$E$11,MCDM_Settings!$C$11),0)))</f>
        <v>99.999999999999986</v>
      </c>
      <c r="G141" s="13">
        <f>IF(OR(AY141&lt;&gt;"Valid",AZ141&lt;&gt;"16 keys present"),"Review settings",1*(IF(ISNUMBER(AE141),AE141*IF($D141="Unlabeled-13",MCDM_Settings!$E$6,MCDM_Settings!$C$6),0)+IF(ISNUMBER(AH141),AH141*IF($D141="Unlabeled-13",MCDM_Settings!$E$7,MCDM_Settings!$C$7),0)+IF(ISNUMBER(AK141),AK141*IF($D141="Unlabeled-13",MCDM_Settings!$E$8,MCDM_Settings!$C$8),0)+IF(ISNUMBER(AN141),AN141*IF($D141="Unlabeled-13",MCDM_Settings!$E$9,MCDM_Settings!$C$9),0)+IF(ISNUMBER(AQ141),AQ141*IF($D141="Unlabeled-13",MCDM_Settings!$E$10,MCDM_Settings!$C$10),0)+IF(ISNUMBER(AT141),AT141*IF($D141="Unlabeled-13",MCDM_Settings!$E$11,MCDM_Settings!$C$11),0)))</f>
        <v>0.44444444444444442</v>
      </c>
      <c r="H141" s="5" t="str">
        <f>INDEX(Manual_Review!$AH$6:$AH$238,MATCH(A141,Manual_Review!$A$6:$A$238,0))</f>
        <v>Not started</v>
      </c>
      <c r="I141" s="5" t="s">
        <v>128</v>
      </c>
      <c r="J141" s="5" t="s">
        <v>119</v>
      </c>
      <c r="K141" s="5" t="str">
        <f>HYPERLINK("https://zenodo.org/records/4244084","Dataset")</f>
        <v>Dataset</v>
      </c>
      <c r="L141" s="5" t="str">
        <f>HYPERLINK("#'Manual_Review'!A"&amp;(MATCH("DS-136",Manual_Review!$A$6:$A$238,0)+5),"Enter review")</f>
        <v>Enter review</v>
      </c>
      <c r="M141" s="5" t="str">
        <f>INDEX(MCDM_Checks!$K$6:$K$3733,MATCH(A141&amp;"|"&amp;M$5,MCDM_Checks!$A$6:$A$3733,0))</f>
        <v>Y</v>
      </c>
      <c r="N141" s="5" t="str">
        <f>INDEX(MCDM_Checks!$K$6:$K$3733,MATCH(A141&amp;"|"&amp;N$5,MCDM_Checks!$A$6:$A$3733,0))</f>
        <v>Y</v>
      </c>
      <c r="O141" s="5" t="str">
        <f>INDEX(MCDM_Checks!$K$6:$K$3733,MATCH(A141&amp;"|"&amp;O$5,MCDM_Checks!$A$6:$A$3733,0))</f>
        <v>U</v>
      </c>
      <c r="P141" s="5" t="str">
        <f>INDEX(MCDM_Checks!$K$6:$K$3733,MATCH(A141&amp;"|"&amp;P$5,MCDM_Checks!$A$6:$A$3733,0))</f>
        <v>Y</v>
      </c>
      <c r="Q141" s="5" t="str">
        <f>INDEX(MCDM_Checks!$K$6:$K$3733,MATCH(A141&amp;"|"&amp;Q$5,MCDM_Checks!$A$6:$A$3733,0))</f>
        <v>Y</v>
      </c>
      <c r="R141" s="5" t="str">
        <f>INDEX(MCDM_Checks!$K$6:$K$3733,MATCH(A141&amp;"|"&amp;R$5,MCDM_Checks!$A$6:$A$3733,0))</f>
        <v>U</v>
      </c>
      <c r="S141" s="5" t="str">
        <f>INDEX(MCDM_Checks!$K$6:$K$3733,MATCH(A141&amp;"|"&amp;S$5,MCDM_Checks!$A$6:$A$3733,0))</f>
        <v>U</v>
      </c>
      <c r="T141" s="5" t="str">
        <f>INDEX(MCDM_Checks!$K$6:$K$3733,MATCH(A141&amp;"|"&amp;T$5,MCDM_Checks!$A$6:$A$3733,0))</f>
        <v>Y</v>
      </c>
      <c r="U141" s="5" t="str">
        <f>INDEX(MCDM_Checks!$K$6:$K$3733,MATCH(A141&amp;"|"&amp;U$5,MCDM_Checks!$A$6:$A$3733,0))</f>
        <v>Y</v>
      </c>
      <c r="V141" s="5" t="str">
        <f>INDEX(MCDM_Checks!$K$6:$K$3733,MATCH(A141&amp;"|"&amp;V$5,MCDM_Checks!$A$6:$A$3733,0))</f>
        <v>U</v>
      </c>
      <c r="W141" s="5" t="str">
        <f>INDEX(MCDM_Checks!$K$6:$K$3733,MATCH(A141&amp;"|"&amp;W$5,MCDM_Checks!$A$6:$A$3733,0))</f>
        <v>U</v>
      </c>
      <c r="X141" s="5" t="str">
        <f>INDEX(MCDM_Checks!$K$6:$K$3733,MATCH(A141&amp;"|"&amp;X$5,MCDM_Checks!$A$6:$A$3733,0))</f>
        <v>U</v>
      </c>
      <c r="Y141" s="5" t="str">
        <f>INDEX(MCDM_Checks!$K$6:$K$3733,MATCH(A141&amp;"|"&amp;Y$5,MCDM_Checks!$A$6:$A$3733,0))</f>
        <v>U</v>
      </c>
      <c r="Z141" s="5" t="str">
        <f>INDEX(MCDM_Checks!$K$6:$K$3733,MATCH(A141&amp;"|"&amp;Z$5,MCDM_Checks!$A$6:$A$3733,0))</f>
        <v>Y</v>
      </c>
      <c r="AA141" s="5" t="str">
        <f>INDEX(MCDM_Checks!$K$6:$K$3733,MATCH(A141&amp;"|"&amp;AA$5,MCDM_Checks!$A$6:$A$3733,0))</f>
        <v>U</v>
      </c>
      <c r="AB141" s="5" t="str">
        <f>INDEX(MCDM_Checks!$K$6:$K$3733,MATCH(A141&amp;"|"&amp;AB$5,MCDM_Checks!$A$6:$A$3733,0))</f>
        <v>Y</v>
      </c>
      <c r="AC141" s="12">
        <f>IF(IF($D141="Unlabeled-13",MCDM_Settings!$F$6,MCDM_Settings!$D$6)=0,"n.a.",5*COUNTIF(M141:O141,"Y")/IF($D141="Unlabeled-13",MCDM_Settings!$F$6,MCDM_Settings!$D$6))</f>
        <v>3.3333333333333335</v>
      </c>
      <c r="AD141" s="12">
        <f>IF(IF($D141="Unlabeled-13",MCDM_Settings!$F$6,MCDM_Settings!$D$6)=0,"n.a.",5*(COUNTIF(M141:O141,"Y")+COUNTIF(M141:O141,"U")+COUNTIF(M141:O141,"X"))/IF($D141="Unlabeled-13",MCDM_Settings!$F$6,MCDM_Settings!$D$6))</f>
        <v>5</v>
      </c>
      <c r="AE141" s="13">
        <f>IF(IF($D141="Unlabeled-13",MCDM_Settings!$F$6,MCDM_Settings!$D$6)=0,"n.a.",(COUNTIF(M141:O141,"Y")+COUNTIF(M141:O141,"N"))/IF($D141="Unlabeled-13",MCDM_Settings!$F$6,MCDM_Settings!$D$6))</f>
        <v>0.66666666666666663</v>
      </c>
      <c r="AF141" s="12">
        <f>IF(IF($D141="Unlabeled-13",MCDM_Settings!$F$7,MCDM_Settings!$D$7)=0,"n.a.",5*COUNTIF(P141:R141,"Y")/IF($D141="Unlabeled-13",MCDM_Settings!$F$7,MCDM_Settings!$D$7))</f>
        <v>3.3333333333333335</v>
      </c>
      <c r="AG141" s="12">
        <f>IF(IF($D141="Unlabeled-13",MCDM_Settings!$F$7,MCDM_Settings!$D$7)=0,"n.a.",5*(COUNTIF(P141:R141,"Y")+COUNTIF(P141:R141,"U")+COUNTIF(P141:R141,"X"))/IF($D141="Unlabeled-13",MCDM_Settings!$F$7,MCDM_Settings!$D$7))</f>
        <v>5</v>
      </c>
      <c r="AH141" s="13">
        <f>IF(IF($D141="Unlabeled-13",MCDM_Settings!$F$7,MCDM_Settings!$D$7)=0,"n.a.",(COUNTIF(P141:R141,"Y")+COUNTIF(P141:R141,"N"))/IF($D141="Unlabeled-13",MCDM_Settings!$F$7,MCDM_Settings!$D$7))</f>
        <v>0.66666666666666663</v>
      </c>
      <c r="AI141" s="12">
        <f>IF(IF($D141="Unlabeled-13",MCDM_Settings!$F$8,MCDM_Settings!$D$8)=0,"n.a.",5*COUNTIF(S141:U141,"Y")/IF($D141="Unlabeled-13",MCDM_Settings!$F$8,MCDM_Settings!$D$8))</f>
        <v>3.3333333333333335</v>
      </c>
      <c r="AJ141" s="12">
        <f>IF(IF($D141="Unlabeled-13",MCDM_Settings!$F$8,MCDM_Settings!$D$8)=0,"n.a.",5*(COUNTIF(S141:U141,"Y")+COUNTIF(S141:U141,"U")+COUNTIF(S141:U141,"X"))/IF($D141="Unlabeled-13",MCDM_Settings!$F$8,MCDM_Settings!$D$8))</f>
        <v>5</v>
      </c>
      <c r="AK141" s="13">
        <f>IF(IF($D141="Unlabeled-13",MCDM_Settings!$F$8,MCDM_Settings!$D$8)=0,"n.a.",(COUNTIF(S141:U141,"Y")+COUNTIF(S141:U141,"N"))/IF($D141="Unlabeled-13",MCDM_Settings!$F$8,MCDM_Settings!$D$8))</f>
        <v>0.66666666666666663</v>
      </c>
      <c r="AL141" s="12">
        <f>IF(IF($D141="Unlabeled-13",MCDM_Settings!$F$9,MCDM_Settings!$D$9)=0,"n.a.",5*COUNTIF(V141:W141,"Y")/IF($D141="Unlabeled-13",MCDM_Settings!$F$9,MCDM_Settings!$D$9))</f>
        <v>0</v>
      </c>
      <c r="AM141" s="12">
        <f>IF(IF($D141="Unlabeled-13",MCDM_Settings!$F$9,MCDM_Settings!$D$9)=0,"n.a.",5*(COUNTIF(V141:W141,"Y")+COUNTIF(V141:W141,"U")+COUNTIF(V141:W141,"X"))/IF($D141="Unlabeled-13",MCDM_Settings!$F$9,MCDM_Settings!$D$9))</f>
        <v>5</v>
      </c>
      <c r="AN141" s="13">
        <f>IF(IF($D141="Unlabeled-13",MCDM_Settings!$F$9,MCDM_Settings!$D$9)=0,"n.a.",(COUNTIF(V141:W141,"Y")+COUNTIF(V141:W141,"N"))/IF($D141="Unlabeled-13",MCDM_Settings!$F$9,MCDM_Settings!$D$9))</f>
        <v>0</v>
      </c>
      <c r="AO141" s="12">
        <f>IF(IF($D141="Unlabeled-13",MCDM_Settings!$F$10,MCDM_Settings!$D$10)=0,"n.a.",5*COUNTIF(X141:Y141,"Y")/IF($D141="Unlabeled-13",MCDM_Settings!$F$10,MCDM_Settings!$D$10))</f>
        <v>0</v>
      </c>
      <c r="AP141" s="12">
        <f>IF(IF($D141="Unlabeled-13",MCDM_Settings!$F$10,MCDM_Settings!$D$10)=0,"n.a.",5*(COUNTIF(X141:Y141,"Y")+COUNTIF(X141:Y141,"U")+COUNTIF(X141:Y141,"X"))/IF($D141="Unlabeled-13",MCDM_Settings!$F$10,MCDM_Settings!$D$10))</f>
        <v>5</v>
      </c>
      <c r="AQ141" s="13">
        <f>IF(IF($D141="Unlabeled-13",MCDM_Settings!$F$10,MCDM_Settings!$D$10)=0,"n.a.",(COUNTIF(X141:Y141,"Y")+COUNTIF(X141:Y141,"N"))/IF($D141="Unlabeled-13",MCDM_Settings!$F$10,MCDM_Settings!$D$10))</f>
        <v>0</v>
      </c>
      <c r="AR141" s="12">
        <f>IF(IF($D141="Unlabeled-13",MCDM_Settings!$F$11,MCDM_Settings!$D$11)=0,"n.a.",5*COUNTIF(Z141:AB141,"Y")/IF($D141="Unlabeled-13",MCDM_Settings!$F$11,MCDM_Settings!$D$11))</f>
        <v>3.3333333333333335</v>
      </c>
      <c r="AS141" s="12">
        <f>IF(IF($D141="Unlabeled-13",MCDM_Settings!$F$11,MCDM_Settings!$D$11)=0,"n.a.",5*(COUNTIF(Z141:AB141,"Y")+COUNTIF(Z141:AB141,"U")+COUNTIF(Z141:AB141,"X"))/IF($D141="Unlabeled-13",MCDM_Settings!$F$11,MCDM_Settings!$D$11))</f>
        <v>5</v>
      </c>
      <c r="AT141" s="13">
        <f>IF(IF($D141="Unlabeled-13",MCDM_Settings!$F$11,MCDM_Settings!$D$11)=0,"n.a.",(COUNTIF(Z141:AB141,"Y")+COUNTIF(Z141:AB141,"N"))/IF($D141="Unlabeled-13",MCDM_Settings!$F$11,MCDM_Settings!$D$11))</f>
        <v>0.66666666666666663</v>
      </c>
      <c r="AU141" s="5" t="str">
        <f>IF(AND(INDEX(Manual_Review!$G$6:$G$238,MATCH(A141,Manual_Review!$A$6:$A$238,0))&lt;&gt;"",ISNUMBER(INDEX(Manual_Review!$H$6:$H$238,MATCH(A141,Manual_Review!$A$6:$A$238,0))),INDEX(Manual_Review!$H$6:$H$238,MATCH(A141,Manual_Review!$A$6:$A$238,0))&gt;0,INDEX(Manual_Review!$I$6:$I$238,MATCH(A141,Manual_Review!$A$6:$A$238,0))="Confirmed",INDEX(Manual_Review!$AF$6:$AF$238,MATCH(A141,Manual_Review!$A$6:$A$238,0))&lt;&gt;""),IF(INDEX(Manual_Review!$AA$6:$AA$238,MATCH(A141,Manual_Review!$A$6:$A$238,0))="Pass","Pass",IF(INDEX(Manual_Review!$AA$6:$AA$238,MATCH(A141,Manual_Review!$A$6:$A$238,0))="Fail","Fail","Pending")),"Pending human identity confirmation")</f>
        <v>Pending human identity confirmation</v>
      </c>
      <c r="AV141" s="5" t="str">
        <f>IF(AND(AND(INDEX(Manual_Review!$G$6:$G$238,MATCH(A141,Manual_Review!$A$6:$A$238,0))&lt;&gt;"",ISNUMBER(INDEX(Manual_Review!$H$6:$H$238,MATCH(A141,Manual_Review!$A$6:$A$238,0))),INDEX(Manual_Review!$H$6:$H$238,MATCH(A141,Manual_Review!$A$6:$A$238,0))&gt;0,INDEX(Manual_Review!$I$6:$I$238,MATCH(A141,Manual_Review!$A$6:$A$238,0))="Confirmed",INDEX(Manual_Review!$AF$6:$AF$238,MATCH(A141,Manual_Review!$A$6:$A$238,0))&lt;&gt;""),INDEX(Manual_Review!$AG$6:$AG$238,MATCH(A141,Manual_Review!$A$6:$A$238,0))&lt;&gt;""),IF(INDEX(Manual_Review!$AB$6:$AB$238,MATCH(A141,Manual_Review!$A$6:$A$238,0))="Pass","Pass",IF(INDEX(Manual_Review!$AB$6:$AB$238,MATCH(A141,Manual_Review!$A$6:$A$238,0))="Fail","Fail","Pending")),"Not assessed: define intended task")</f>
        <v>Not assessed: define intended task</v>
      </c>
      <c r="AW141" s="5" t="str">
        <f>IF(AND(AND(INDEX(Manual_Review!$G$6:$G$238,MATCH(A141,Manual_Review!$A$6:$A$238,0))&lt;&gt;"",ISNUMBER(INDEX(Manual_Review!$H$6:$H$238,MATCH(A141,Manual_Review!$A$6:$A$238,0))),INDEX(Manual_Review!$H$6:$H$238,MATCH(A141,Manual_Review!$A$6:$A$238,0))&gt;0,INDEX(Manual_Review!$I$6:$I$238,MATCH(A141,Manual_Review!$A$6:$A$238,0))="Confirmed",INDEX(Manual_Review!$AF$6:$AF$238,MATCH(A141,Manual_Review!$A$6:$A$238,0))&lt;&gt;""),INDEX(Manual_Review!$AG$6:$AG$238,MATCH(A141,Manual_Review!$A$6:$A$238,0))&lt;&gt;""),IF(OR(INDEX(Manual_Review!$AC$6:$AC$238,MATCH(A141,Manual_Review!$A$6:$A$238,0))="Fail",INDEX(Manual_Review!$AD$6:$AD$238,MATCH(A141,Manual_Review!$A$6:$A$238,0))="Fail"),"Fail: rights or retrieval",IF(AND(INDEX(Manual_Review!$AC$6:$AC$238,MATCH(A141,Manual_Review!$A$6:$A$238,0))="Pass",INDEX(Manual_Review!$AD$6:$AD$238,MATCH(A141,Manual_Review!$A$6:$A$238,0))="Pass"),"Pass","Pending rights and retrieval")),"Pending rights and retrieval")</f>
        <v>Pending rights and retrieval</v>
      </c>
      <c r="AX141" s="5" t="str">
        <f>IF(INDEX(Manual_Review!$AG$6:$AG$238,MATCH(A141,Manual_Review!$A$6:$A$238,0))="","N/A: documentation inventory",IF(AND(INDEX(Manual_Review!$G$6:$G$238,MATCH(A141,Manual_Review!$A$6:$A$238,0))&lt;&gt;"",ISNUMBER(INDEX(Manual_Review!$H$6:$H$238,MATCH(A141,Manual_Review!$A$6:$A$238,0))),INDEX(Manual_Review!$H$6:$H$238,MATCH(A141,Manual_Review!$A$6:$A$238,0))&gt;0,INDEX(Manual_Review!$I$6:$I$238,MATCH(A141,Manual_Review!$A$6:$A$238,0))="Confirmed",INDEX(Manual_Review!$AF$6:$AF$238,MATCH(A141,Manual_Review!$A$6:$A$238,0))&lt;&gt;""),IF(INDEX(Manual_Review!$AE$6:$AE$238,MATCH(A141,Manual_Review!$A$6:$A$238,0))="Pass","Pass",IF(INDEX(Manual_Review!$AE$6:$AE$238,MATCH(A141,Manual_Review!$A$6:$A$238,0))="Fail","Fail: benchmark leakage",IF(INDEX(Manual_Review!$AE$6:$AE$238,MATCH(A141,Manual_Review!$A$6:$A$238,0))="N/A","N/A: nonbenchmark task","Pending task-specific leakage check"))),"Pending task-specific leakage check"))</f>
        <v>N/A: documentation inventory</v>
      </c>
      <c r="AY141" s="5" t="str">
        <f>IF(IF(D141="Unlabeled-13",AND(ABS(MCDM_Settings!$D$14-1)&lt;0.0000001,MIN(MCDM_Settings!$E$6:$E$11)&gt;=0,MCDM_Settings!$E$7=0),AND(ABS(MCDM_Settings!$B$14-1)&lt;0.0000001,MIN(MCDM_Settings!$C$6:$C$11)&gt;=0)),"Valid","Check weights")</f>
        <v>Valid</v>
      </c>
      <c r="AZ141" s="5" t="str">
        <f>IF(AND(COUNTIF(MCDM_Checks!$B$6:$B$3733,A141)=16,COUNTIF(Manual_Review!$A$6:$A$238,A141)=1),"16 keys present","Check key count")</f>
        <v>16 keys present</v>
      </c>
    </row>
    <row r="142" spans="1:52" ht="25.5">
      <c r="A142" s="5" t="s">
        <v>1588</v>
      </c>
      <c r="B142" s="5" t="s">
        <v>1589</v>
      </c>
      <c r="C142" s="5"/>
      <c r="D142" s="5" t="s">
        <v>118</v>
      </c>
      <c r="E142" s="12">
        <f>IF(OR(AY142&lt;&gt;"Valid",AZ142&lt;&gt;"16 keys present"),"Review settings",20*(IF(ISNUMBER(AC142),AC142*IF($D142="Unlabeled-13",MCDM_Settings!$E$6,MCDM_Settings!$C$6),0)+IF(ISNUMBER(AF142),AF142*IF($D142="Unlabeled-13",MCDM_Settings!$E$7,MCDM_Settings!$C$7),0)+IF(ISNUMBER(AI142),AI142*IF($D142="Unlabeled-13",MCDM_Settings!$E$8,MCDM_Settings!$C$8),0)+IF(ISNUMBER(AL142),AL142*IF($D142="Unlabeled-13",MCDM_Settings!$E$9,MCDM_Settings!$C$9),0)+IF(ISNUMBER(AO142),AO142*IF($D142="Unlabeled-13",MCDM_Settings!$E$10,MCDM_Settings!$C$10),0)+IF(ISNUMBER(AR142),AR142*IF($D142="Unlabeled-13",MCDM_Settings!$E$11,MCDM_Settings!$C$11),0)))</f>
        <v>61.111111111111107</v>
      </c>
      <c r="F142" s="12">
        <f>IF(OR(AY142&lt;&gt;"Valid",AZ142&lt;&gt;"16 keys present"),"Review settings",20*(IF(ISNUMBER(AD142),AD142*IF($D142="Unlabeled-13",MCDM_Settings!$E$6,MCDM_Settings!$C$6),0)+IF(ISNUMBER(AG142),AG142*IF($D142="Unlabeled-13",MCDM_Settings!$E$7,MCDM_Settings!$C$7),0)+IF(ISNUMBER(AJ142),AJ142*IF($D142="Unlabeled-13",MCDM_Settings!$E$8,MCDM_Settings!$C$8),0)+IF(ISNUMBER(AM142),AM142*IF($D142="Unlabeled-13",MCDM_Settings!$E$9,MCDM_Settings!$C$9),0)+IF(ISNUMBER(AP142),AP142*IF($D142="Unlabeled-13",MCDM_Settings!$E$10,MCDM_Settings!$C$10),0)+IF(ISNUMBER(AS142),AS142*IF($D142="Unlabeled-13",MCDM_Settings!$E$11,MCDM_Settings!$C$11),0)))</f>
        <v>99.999999999999986</v>
      </c>
      <c r="G142" s="13">
        <f>IF(OR(AY142&lt;&gt;"Valid",AZ142&lt;&gt;"16 keys present"),"Review settings",1*(IF(ISNUMBER(AE142),AE142*IF($D142="Unlabeled-13",MCDM_Settings!$E$6,MCDM_Settings!$C$6),0)+IF(ISNUMBER(AH142),AH142*IF($D142="Unlabeled-13",MCDM_Settings!$E$7,MCDM_Settings!$C$7),0)+IF(ISNUMBER(AK142),AK142*IF($D142="Unlabeled-13",MCDM_Settings!$E$8,MCDM_Settings!$C$8),0)+IF(ISNUMBER(AN142),AN142*IF($D142="Unlabeled-13",MCDM_Settings!$E$9,MCDM_Settings!$C$9),0)+IF(ISNUMBER(AQ142),AQ142*IF($D142="Unlabeled-13",MCDM_Settings!$E$10,MCDM_Settings!$C$10),0)+IF(ISNUMBER(AT142),AT142*IF($D142="Unlabeled-13",MCDM_Settings!$E$11,MCDM_Settings!$C$11),0)))</f>
        <v>0.61111111111111105</v>
      </c>
      <c r="H142" s="5" t="str">
        <f>INDEX(Manual_Review!$AH$6:$AH$238,MATCH(A142,Manual_Review!$A$6:$A$238,0))</f>
        <v>Not started</v>
      </c>
      <c r="I142" s="5" t="s">
        <v>128</v>
      </c>
      <c r="J142" s="5" t="s">
        <v>1590</v>
      </c>
      <c r="K142" s="5" t="str">
        <f>HYPERLINK("https://zenodo.org/records/20365503","Dataset")</f>
        <v>Dataset</v>
      </c>
      <c r="L142" s="5" t="str">
        <f>HYPERLINK("#'Manual_Review'!A"&amp;(MATCH("DS-137",Manual_Review!$A$6:$A$238,0)+5),"Enter review")</f>
        <v>Enter review</v>
      </c>
      <c r="M142" s="5" t="str">
        <f>INDEX(MCDM_Checks!$K$6:$K$3733,MATCH(A142&amp;"|"&amp;M$5,MCDM_Checks!$A$6:$A$3733,0))</f>
        <v>Y</v>
      </c>
      <c r="N142" s="5" t="str">
        <f>INDEX(MCDM_Checks!$K$6:$K$3733,MATCH(A142&amp;"|"&amp;N$5,MCDM_Checks!$A$6:$A$3733,0))</f>
        <v>Y</v>
      </c>
      <c r="O142" s="5" t="str">
        <f>INDEX(MCDM_Checks!$K$6:$K$3733,MATCH(A142&amp;"|"&amp;O$5,MCDM_Checks!$A$6:$A$3733,0))</f>
        <v>X</v>
      </c>
      <c r="P142" s="5" t="str">
        <f>INDEX(MCDM_Checks!$K$6:$K$3733,MATCH(A142&amp;"|"&amp;P$5,MCDM_Checks!$A$6:$A$3733,0))</f>
        <v>Y</v>
      </c>
      <c r="Q142" s="5" t="str">
        <f>INDEX(MCDM_Checks!$K$6:$K$3733,MATCH(A142&amp;"|"&amp;Q$5,MCDM_Checks!$A$6:$A$3733,0))</f>
        <v>Y</v>
      </c>
      <c r="R142" s="5" t="str">
        <f>INDEX(MCDM_Checks!$K$6:$K$3733,MATCH(A142&amp;"|"&amp;R$5,MCDM_Checks!$A$6:$A$3733,0))</f>
        <v>U</v>
      </c>
      <c r="S142" s="5" t="str">
        <f>INDEX(MCDM_Checks!$K$6:$K$3733,MATCH(A142&amp;"|"&amp;S$5,MCDM_Checks!$A$6:$A$3733,0))</f>
        <v>Y</v>
      </c>
      <c r="T142" s="5" t="str">
        <f>INDEX(MCDM_Checks!$K$6:$K$3733,MATCH(A142&amp;"|"&amp;T$5,MCDM_Checks!$A$6:$A$3733,0))</f>
        <v>Y</v>
      </c>
      <c r="U142" s="5" t="str">
        <f>INDEX(MCDM_Checks!$K$6:$K$3733,MATCH(A142&amp;"|"&amp;U$5,MCDM_Checks!$A$6:$A$3733,0))</f>
        <v>Y</v>
      </c>
      <c r="V142" s="5" t="str">
        <f>INDEX(MCDM_Checks!$K$6:$K$3733,MATCH(A142&amp;"|"&amp;V$5,MCDM_Checks!$A$6:$A$3733,0))</f>
        <v>U</v>
      </c>
      <c r="W142" s="5" t="str">
        <f>INDEX(MCDM_Checks!$K$6:$K$3733,MATCH(A142&amp;"|"&amp;W$5,MCDM_Checks!$A$6:$A$3733,0))</f>
        <v>Y</v>
      </c>
      <c r="X142" s="5" t="str">
        <f>INDEX(MCDM_Checks!$K$6:$K$3733,MATCH(A142&amp;"|"&amp;X$5,MCDM_Checks!$A$6:$A$3733,0))</f>
        <v>U</v>
      </c>
      <c r="Y142" s="5" t="str">
        <f>INDEX(MCDM_Checks!$K$6:$K$3733,MATCH(A142&amp;"|"&amp;Y$5,MCDM_Checks!$A$6:$A$3733,0))</f>
        <v>Y</v>
      </c>
      <c r="Z142" s="5" t="str">
        <f>INDEX(MCDM_Checks!$K$6:$K$3733,MATCH(A142&amp;"|"&amp;Z$5,MCDM_Checks!$A$6:$A$3733,0))</f>
        <v>Y</v>
      </c>
      <c r="AA142" s="5" t="str">
        <f>INDEX(MCDM_Checks!$K$6:$K$3733,MATCH(A142&amp;"|"&amp;AA$5,MCDM_Checks!$A$6:$A$3733,0))</f>
        <v>U</v>
      </c>
      <c r="AB142" s="5" t="str">
        <f>INDEX(MCDM_Checks!$K$6:$K$3733,MATCH(A142&amp;"|"&amp;AB$5,MCDM_Checks!$A$6:$A$3733,0))</f>
        <v>U</v>
      </c>
      <c r="AC142" s="12">
        <f>IF(IF($D142="Unlabeled-13",MCDM_Settings!$F$6,MCDM_Settings!$D$6)=0,"n.a.",5*COUNTIF(M142:O142,"Y")/IF($D142="Unlabeled-13",MCDM_Settings!$F$6,MCDM_Settings!$D$6))</f>
        <v>3.3333333333333335</v>
      </c>
      <c r="AD142" s="12">
        <f>IF(IF($D142="Unlabeled-13",MCDM_Settings!$F$6,MCDM_Settings!$D$6)=0,"n.a.",5*(COUNTIF(M142:O142,"Y")+COUNTIF(M142:O142,"U")+COUNTIF(M142:O142,"X"))/IF($D142="Unlabeled-13",MCDM_Settings!$F$6,MCDM_Settings!$D$6))</f>
        <v>5</v>
      </c>
      <c r="AE142" s="13">
        <f>IF(IF($D142="Unlabeled-13",MCDM_Settings!$F$6,MCDM_Settings!$D$6)=0,"n.a.",(COUNTIF(M142:O142,"Y")+COUNTIF(M142:O142,"N"))/IF($D142="Unlabeled-13",MCDM_Settings!$F$6,MCDM_Settings!$D$6))</f>
        <v>0.66666666666666663</v>
      </c>
      <c r="AF142" s="12">
        <f>IF(IF($D142="Unlabeled-13",MCDM_Settings!$F$7,MCDM_Settings!$D$7)=0,"n.a.",5*COUNTIF(P142:R142,"Y")/IF($D142="Unlabeled-13",MCDM_Settings!$F$7,MCDM_Settings!$D$7))</f>
        <v>3.3333333333333335</v>
      </c>
      <c r="AG142" s="12">
        <f>IF(IF($D142="Unlabeled-13",MCDM_Settings!$F$7,MCDM_Settings!$D$7)=0,"n.a.",5*(COUNTIF(P142:R142,"Y")+COUNTIF(P142:R142,"U")+COUNTIF(P142:R142,"X"))/IF($D142="Unlabeled-13",MCDM_Settings!$F$7,MCDM_Settings!$D$7))</f>
        <v>5</v>
      </c>
      <c r="AH142" s="13">
        <f>IF(IF($D142="Unlabeled-13",MCDM_Settings!$F$7,MCDM_Settings!$D$7)=0,"n.a.",(COUNTIF(P142:R142,"Y")+COUNTIF(P142:R142,"N"))/IF($D142="Unlabeled-13",MCDM_Settings!$F$7,MCDM_Settings!$D$7))</f>
        <v>0.66666666666666663</v>
      </c>
      <c r="AI142" s="12">
        <f>IF(IF($D142="Unlabeled-13",MCDM_Settings!$F$8,MCDM_Settings!$D$8)=0,"n.a.",5*COUNTIF(S142:U142,"Y")/IF($D142="Unlabeled-13",MCDM_Settings!$F$8,MCDM_Settings!$D$8))</f>
        <v>5</v>
      </c>
      <c r="AJ142" s="12">
        <f>IF(IF($D142="Unlabeled-13",MCDM_Settings!$F$8,MCDM_Settings!$D$8)=0,"n.a.",5*(COUNTIF(S142:U142,"Y")+COUNTIF(S142:U142,"U")+COUNTIF(S142:U142,"X"))/IF($D142="Unlabeled-13",MCDM_Settings!$F$8,MCDM_Settings!$D$8))</f>
        <v>5</v>
      </c>
      <c r="AK142" s="13">
        <f>IF(IF($D142="Unlabeled-13",MCDM_Settings!$F$8,MCDM_Settings!$D$8)=0,"n.a.",(COUNTIF(S142:U142,"Y")+COUNTIF(S142:U142,"N"))/IF($D142="Unlabeled-13",MCDM_Settings!$F$8,MCDM_Settings!$D$8))</f>
        <v>1</v>
      </c>
      <c r="AL142" s="12">
        <f>IF(IF($D142="Unlabeled-13",MCDM_Settings!$F$9,MCDM_Settings!$D$9)=0,"n.a.",5*COUNTIF(V142:W142,"Y")/IF($D142="Unlabeled-13",MCDM_Settings!$F$9,MCDM_Settings!$D$9))</f>
        <v>2.5</v>
      </c>
      <c r="AM142" s="12">
        <f>IF(IF($D142="Unlabeled-13",MCDM_Settings!$F$9,MCDM_Settings!$D$9)=0,"n.a.",5*(COUNTIF(V142:W142,"Y")+COUNTIF(V142:W142,"U")+COUNTIF(V142:W142,"X"))/IF($D142="Unlabeled-13",MCDM_Settings!$F$9,MCDM_Settings!$D$9))</f>
        <v>5</v>
      </c>
      <c r="AN142" s="13">
        <f>IF(IF($D142="Unlabeled-13",MCDM_Settings!$F$9,MCDM_Settings!$D$9)=0,"n.a.",(COUNTIF(V142:W142,"Y")+COUNTIF(V142:W142,"N"))/IF($D142="Unlabeled-13",MCDM_Settings!$F$9,MCDM_Settings!$D$9))</f>
        <v>0.5</v>
      </c>
      <c r="AO142" s="12">
        <f>IF(IF($D142="Unlabeled-13",MCDM_Settings!$F$10,MCDM_Settings!$D$10)=0,"n.a.",5*COUNTIF(X142:Y142,"Y")/IF($D142="Unlabeled-13",MCDM_Settings!$F$10,MCDM_Settings!$D$10))</f>
        <v>2.5</v>
      </c>
      <c r="AP142" s="12">
        <f>IF(IF($D142="Unlabeled-13",MCDM_Settings!$F$10,MCDM_Settings!$D$10)=0,"n.a.",5*(COUNTIF(X142:Y142,"Y")+COUNTIF(X142:Y142,"U")+COUNTIF(X142:Y142,"X"))/IF($D142="Unlabeled-13",MCDM_Settings!$F$10,MCDM_Settings!$D$10))</f>
        <v>5</v>
      </c>
      <c r="AQ142" s="13">
        <f>IF(IF($D142="Unlabeled-13",MCDM_Settings!$F$10,MCDM_Settings!$D$10)=0,"n.a.",(COUNTIF(X142:Y142,"Y")+COUNTIF(X142:Y142,"N"))/IF($D142="Unlabeled-13",MCDM_Settings!$F$10,MCDM_Settings!$D$10))</f>
        <v>0.5</v>
      </c>
      <c r="AR142" s="12">
        <f>IF(IF($D142="Unlabeled-13",MCDM_Settings!$F$11,MCDM_Settings!$D$11)=0,"n.a.",5*COUNTIF(Z142:AB142,"Y")/IF($D142="Unlabeled-13",MCDM_Settings!$F$11,MCDM_Settings!$D$11))</f>
        <v>1.6666666666666667</v>
      </c>
      <c r="AS142" s="12">
        <f>IF(IF($D142="Unlabeled-13",MCDM_Settings!$F$11,MCDM_Settings!$D$11)=0,"n.a.",5*(COUNTIF(Z142:AB142,"Y")+COUNTIF(Z142:AB142,"U")+COUNTIF(Z142:AB142,"X"))/IF($D142="Unlabeled-13",MCDM_Settings!$F$11,MCDM_Settings!$D$11))</f>
        <v>5</v>
      </c>
      <c r="AT142" s="13">
        <f>IF(IF($D142="Unlabeled-13",MCDM_Settings!$F$11,MCDM_Settings!$D$11)=0,"n.a.",(COUNTIF(Z142:AB142,"Y")+COUNTIF(Z142:AB142,"N"))/IF($D142="Unlabeled-13",MCDM_Settings!$F$11,MCDM_Settings!$D$11))</f>
        <v>0.33333333333333331</v>
      </c>
      <c r="AU142" s="5" t="str">
        <f>IF(AND(INDEX(Manual_Review!$G$6:$G$238,MATCH(A142,Manual_Review!$A$6:$A$238,0))&lt;&gt;"",ISNUMBER(INDEX(Manual_Review!$H$6:$H$238,MATCH(A142,Manual_Review!$A$6:$A$238,0))),INDEX(Manual_Review!$H$6:$H$238,MATCH(A142,Manual_Review!$A$6:$A$238,0))&gt;0,INDEX(Manual_Review!$I$6:$I$238,MATCH(A142,Manual_Review!$A$6:$A$238,0))="Confirmed",INDEX(Manual_Review!$AF$6:$AF$238,MATCH(A142,Manual_Review!$A$6:$A$238,0))&lt;&gt;""),IF(INDEX(Manual_Review!$AA$6:$AA$238,MATCH(A142,Manual_Review!$A$6:$A$238,0))="Pass","Pass",IF(INDEX(Manual_Review!$AA$6:$AA$238,MATCH(A142,Manual_Review!$A$6:$A$238,0))="Fail","Fail","Pending")),"Pending human identity confirmation")</f>
        <v>Pending human identity confirmation</v>
      </c>
      <c r="AV142" s="5" t="str">
        <f>IF(AND(AND(INDEX(Manual_Review!$G$6:$G$238,MATCH(A142,Manual_Review!$A$6:$A$238,0))&lt;&gt;"",ISNUMBER(INDEX(Manual_Review!$H$6:$H$238,MATCH(A142,Manual_Review!$A$6:$A$238,0))),INDEX(Manual_Review!$H$6:$H$238,MATCH(A142,Manual_Review!$A$6:$A$238,0))&gt;0,INDEX(Manual_Review!$I$6:$I$238,MATCH(A142,Manual_Review!$A$6:$A$238,0))="Confirmed",INDEX(Manual_Review!$AF$6:$AF$238,MATCH(A142,Manual_Review!$A$6:$A$238,0))&lt;&gt;""),INDEX(Manual_Review!$AG$6:$AG$238,MATCH(A142,Manual_Review!$A$6:$A$238,0))&lt;&gt;""),IF(INDEX(Manual_Review!$AB$6:$AB$238,MATCH(A142,Manual_Review!$A$6:$A$238,0))="Pass","Pass",IF(INDEX(Manual_Review!$AB$6:$AB$238,MATCH(A142,Manual_Review!$A$6:$A$238,0))="Fail","Fail","Pending")),"Not assessed: define intended task")</f>
        <v>Not assessed: define intended task</v>
      </c>
      <c r="AW142" s="5" t="str">
        <f>IF(AND(AND(INDEX(Manual_Review!$G$6:$G$238,MATCH(A142,Manual_Review!$A$6:$A$238,0))&lt;&gt;"",ISNUMBER(INDEX(Manual_Review!$H$6:$H$238,MATCH(A142,Manual_Review!$A$6:$A$238,0))),INDEX(Manual_Review!$H$6:$H$238,MATCH(A142,Manual_Review!$A$6:$A$238,0))&gt;0,INDEX(Manual_Review!$I$6:$I$238,MATCH(A142,Manual_Review!$A$6:$A$238,0))="Confirmed",INDEX(Manual_Review!$AF$6:$AF$238,MATCH(A142,Manual_Review!$A$6:$A$238,0))&lt;&gt;""),INDEX(Manual_Review!$AG$6:$AG$238,MATCH(A142,Manual_Review!$A$6:$A$238,0))&lt;&gt;""),IF(OR(INDEX(Manual_Review!$AC$6:$AC$238,MATCH(A142,Manual_Review!$A$6:$A$238,0))="Fail",INDEX(Manual_Review!$AD$6:$AD$238,MATCH(A142,Manual_Review!$A$6:$A$238,0))="Fail"),"Fail: rights or retrieval",IF(AND(INDEX(Manual_Review!$AC$6:$AC$238,MATCH(A142,Manual_Review!$A$6:$A$238,0))="Pass",INDEX(Manual_Review!$AD$6:$AD$238,MATCH(A142,Manual_Review!$A$6:$A$238,0))="Pass"),"Pass","Pending rights and retrieval")),"Pending rights and retrieval")</f>
        <v>Pending rights and retrieval</v>
      </c>
      <c r="AX142" s="5" t="str">
        <f>IF(INDEX(Manual_Review!$AG$6:$AG$238,MATCH(A142,Manual_Review!$A$6:$A$238,0))="","N/A: documentation inventory",IF(AND(INDEX(Manual_Review!$G$6:$G$238,MATCH(A142,Manual_Review!$A$6:$A$238,0))&lt;&gt;"",ISNUMBER(INDEX(Manual_Review!$H$6:$H$238,MATCH(A142,Manual_Review!$A$6:$A$238,0))),INDEX(Manual_Review!$H$6:$H$238,MATCH(A142,Manual_Review!$A$6:$A$238,0))&gt;0,INDEX(Manual_Review!$I$6:$I$238,MATCH(A142,Manual_Review!$A$6:$A$238,0))="Confirmed",INDEX(Manual_Review!$AF$6:$AF$238,MATCH(A142,Manual_Review!$A$6:$A$238,0))&lt;&gt;""),IF(INDEX(Manual_Review!$AE$6:$AE$238,MATCH(A142,Manual_Review!$A$6:$A$238,0))="Pass","Pass",IF(INDEX(Manual_Review!$AE$6:$AE$238,MATCH(A142,Manual_Review!$A$6:$A$238,0))="Fail","Fail: benchmark leakage",IF(INDEX(Manual_Review!$AE$6:$AE$238,MATCH(A142,Manual_Review!$A$6:$A$238,0))="N/A","N/A: nonbenchmark task","Pending task-specific leakage check"))),"Pending task-specific leakage check"))</f>
        <v>N/A: documentation inventory</v>
      </c>
      <c r="AY142" s="5" t="str">
        <f>IF(IF(D142="Unlabeled-13",AND(ABS(MCDM_Settings!$D$14-1)&lt;0.0000001,MIN(MCDM_Settings!$E$6:$E$11)&gt;=0,MCDM_Settings!$E$7=0),AND(ABS(MCDM_Settings!$B$14-1)&lt;0.0000001,MIN(MCDM_Settings!$C$6:$C$11)&gt;=0)),"Valid","Check weights")</f>
        <v>Valid</v>
      </c>
      <c r="AZ142" s="5" t="str">
        <f>IF(AND(COUNTIF(MCDM_Checks!$B$6:$B$3733,A142)=16,COUNTIF(Manual_Review!$A$6:$A$238,A142)=1),"16 keys present","Check key count")</f>
        <v>16 keys present</v>
      </c>
    </row>
    <row r="143" spans="1:52">
      <c r="A143" s="5" t="s">
        <v>1599</v>
      </c>
      <c r="B143" s="5" t="s">
        <v>1600</v>
      </c>
      <c r="C143" s="5"/>
      <c r="D143" s="5" t="s">
        <v>118</v>
      </c>
      <c r="E143" s="12">
        <f>IF(OR(AY143&lt;&gt;"Valid",AZ143&lt;&gt;"16 keys present"),"Review settings",20*(IF(ISNUMBER(AC143),AC143*IF($D143="Unlabeled-13",MCDM_Settings!$E$6,MCDM_Settings!$C$6),0)+IF(ISNUMBER(AF143),AF143*IF($D143="Unlabeled-13",MCDM_Settings!$E$7,MCDM_Settings!$C$7),0)+IF(ISNUMBER(AI143),AI143*IF($D143="Unlabeled-13",MCDM_Settings!$E$8,MCDM_Settings!$C$8),0)+IF(ISNUMBER(AL143),AL143*IF($D143="Unlabeled-13",MCDM_Settings!$E$9,MCDM_Settings!$C$9),0)+IF(ISNUMBER(AO143),AO143*IF($D143="Unlabeled-13",MCDM_Settings!$E$10,MCDM_Settings!$C$10),0)+IF(ISNUMBER(AR143),AR143*IF($D143="Unlabeled-13",MCDM_Settings!$E$11,MCDM_Settings!$C$11),0)))</f>
        <v>52.777777777777786</v>
      </c>
      <c r="F143" s="12">
        <f>IF(OR(AY143&lt;&gt;"Valid",AZ143&lt;&gt;"16 keys present"),"Review settings",20*(IF(ISNUMBER(AD143),AD143*IF($D143="Unlabeled-13",MCDM_Settings!$E$6,MCDM_Settings!$C$6),0)+IF(ISNUMBER(AG143),AG143*IF($D143="Unlabeled-13",MCDM_Settings!$E$7,MCDM_Settings!$C$7),0)+IF(ISNUMBER(AJ143),AJ143*IF($D143="Unlabeled-13",MCDM_Settings!$E$8,MCDM_Settings!$C$8),0)+IF(ISNUMBER(AM143),AM143*IF($D143="Unlabeled-13",MCDM_Settings!$E$9,MCDM_Settings!$C$9),0)+IF(ISNUMBER(AP143),AP143*IF($D143="Unlabeled-13",MCDM_Settings!$E$10,MCDM_Settings!$C$10),0)+IF(ISNUMBER(AS143),AS143*IF($D143="Unlabeled-13",MCDM_Settings!$E$11,MCDM_Settings!$C$11),0)))</f>
        <v>99.999999999999986</v>
      </c>
      <c r="G143" s="13">
        <f>IF(OR(AY143&lt;&gt;"Valid",AZ143&lt;&gt;"16 keys present"),"Review settings",1*(IF(ISNUMBER(AE143),AE143*IF($D143="Unlabeled-13",MCDM_Settings!$E$6,MCDM_Settings!$C$6),0)+IF(ISNUMBER(AH143),AH143*IF($D143="Unlabeled-13",MCDM_Settings!$E$7,MCDM_Settings!$C$7),0)+IF(ISNUMBER(AK143),AK143*IF($D143="Unlabeled-13",MCDM_Settings!$E$8,MCDM_Settings!$C$8),0)+IF(ISNUMBER(AN143),AN143*IF($D143="Unlabeled-13",MCDM_Settings!$E$9,MCDM_Settings!$C$9),0)+IF(ISNUMBER(AQ143),AQ143*IF($D143="Unlabeled-13",MCDM_Settings!$E$10,MCDM_Settings!$C$10),0)+IF(ISNUMBER(AT143),AT143*IF($D143="Unlabeled-13",MCDM_Settings!$E$11,MCDM_Settings!$C$11),0)))</f>
        <v>0.52777777777777768</v>
      </c>
      <c r="H143" s="5" t="str">
        <f>INDEX(Manual_Review!$AH$6:$AH$238,MATCH(A143,Manual_Review!$A$6:$A$238,0))</f>
        <v>Not started</v>
      </c>
      <c r="I143" s="5" t="s">
        <v>128</v>
      </c>
      <c r="J143" s="5" t="s">
        <v>1601</v>
      </c>
      <c r="K143" s="5" t="str">
        <f>HYPERLINK("https://www.kaggle.com/datasets/chitholian/annotated-potholes-dataset","Dataset")</f>
        <v>Dataset</v>
      </c>
      <c r="L143" s="5" t="str">
        <f>HYPERLINK("#'Manual_Review'!A"&amp;(MATCH("DS-138",Manual_Review!$A$6:$A$238,0)+5),"Enter review")</f>
        <v>Enter review</v>
      </c>
      <c r="M143" s="5" t="str">
        <f>INDEX(MCDM_Checks!$K$6:$K$3733,MATCH(A143&amp;"|"&amp;M$5,MCDM_Checks!$A$6:$A$3733,0))</f>
        <v>Y</v>
      </c>
      <c r="N143" s="5" t="str">
        <f>INDEX(MCDM_Checks!$K$6:$K$3733,MATCH(A143&amp;"|"&amp;N$5,MCDM_Checks!$A$6:$A$3733,0))</f>
        <v>Y</v>
      </c>
      <c r="O143" s="5" t="str">
        <f>INDEX(MCDM_Checks!$K$6:$K$3733,MATCH(A143&amp;"|"&amp;O$5,MCDM_Checks!$A$6:$A$3733,0))</f>
        <v>Y</v>
      </c>
      <c r="P143" s="5" t="str">
        <f>INDEX(MCDM_Checks!$K$6:$K$3733,MATCH(A143&amp;"|"&amp;P$5,MCDM_Checks!$A$6:$A$3733,0))</f>
        <v>Y</v>
      </c>
      <c r="Q143" s="5" t="str">
        <f>INDEX(MCDM_Checks!$K$6:$K$3733,MATCH(A143&amp;"|"&amp;Q$5,MCDM_Checks!$A$6:$A$3733,0))</f>
        <v>U</v>
      </c>
      <c r="R143" s="5" t="str">
        <f>INDEX(MCDM_Checks!$K$6:$K$3733,MATCH(A143&amp;"|"&amp;R$5,MCDM_Checks!$A$6:$A$3733,0))</f>
        <v>U</v>
      </c>
      <c r="S143" s="5" t="str">
        <f>INDEX(MCDM_Checks!$K$6:$K$3733,MATCH(A143&amp;"|"&amp;S$5,MCDM_Checks!$A$6:$A$3733,0))</f>
        <v>Y</v>
      </c>
      <c r="T143" s="5" t="str">
        <f>INDEX(MCDM_Checks!$K$6:$K$3733,MATCH(A143&amp;"|"&amp;T$5,MCDM_Checks!$A$6:$A$3733,0))</f>
        <v>U</v>
      </c>
      <c r="U143" s="5" t="str">
        <f>INDEX(MCDM_Checks!$K$6:$K$3733,MATCH(A143&amp;"|"&amp;U$5,MCDM_Checks!$A$6:$A$3733,0))</f>
        <v>Y</v>
      </c>
      <c r="V143" s="5" t="str">
        <f>INDEX(MCDM_Checks!$K$6:$K$3733,MATCH(A143&amp;"|"&amp;V$5,MCDM_Checks!$A$6:$A$3733,0))</f>
        <v>U</v>
      </c>
      <c r="W143" s="5" t="str">
        <f>INDEX(MCDM_Checks!$K$6:$K$3733,MATCH(A143&amp;"|"&amp;W$5,MCDM_Checks!$A$6:$A$3733,0))</f>
        <v>Y</v>
      </c>
      <c r="X143" s="5" t="str">
        <f>INDEX(MCDM_Checks!$K$6:$K$3733,MATCH(A143&amp;"|"&amp;X$5,MCDM_Checks!$A$6:$A$3733,0))</f>
        <v>U</v>
      </c>
      <c r="Y143" s="5" t="str">
        <f>INDEX(MCDM_Checks!$K$6:$K$3733,MATCH(A143&amp;"|"&amp;Y$5,MCDM_Checks!$A$6:$A$3733,0))</f>
        <v>U</v>
      </c>
      <c r="Z143" s="5" t="str">
        <f>INDEX(MCDM_Checks!$K$6:$K$3733,MATCH(A143&amp;"|"&amp;Z$5,MCDM_Checks!$A$6:$A$3733,0))</f>
        <v>U</v>
      </c>
      <c r="AA143" s="5" t="str">
        <f>INDEX(MCDM_Checks!$K$6:$K$3733,MATCH(A143&amp;"|"&amp;AA$5,MCDM_Checks!$A$6:$A$3733,0))</f>
        <v>Y</v>
      </c>
      <c r="AB143" s="5" t="str">
        <f>INDEX(MCDM_Checks!$K$6:$K$3733,MATCH(A143&amp;"|"&amp;AB$5,MCDM_Checks!$A$6:$A$3733,0))</f>
        <v>Y</v>
      </c>
      <c r="AC143" s="12">
        <f>IF(IF($D143="Unlabeled-13",MCDM_Settings!$F$6,MCDM_Settings!$D$6)=0,"n.a.",5*COUNTIF(M143:O143,"Y")/IF($D143="Unlabeled-13",MCDM_Settings!$F$6,MCDM_Settings!$D$6))</f>
        <v>5</v>
      </c>
      <c r="AD143" s="12">
        <f>IF(IF($D143="Unlabeled-13",MCDM_Settings!$F$6,MCDM_Settings!$D$6)=0,"n.a.",5*(COUNTIF(M143:O143,"Y")+COUNTIF(M143:O143,"U")+COUNTIF(M143:O143,"X"))/IF($D143="Unlabeled-13",MCDM_Settings!$F$6,MCDM_Settings!$D$6))</f>
        <v>5</v>
      </c>
      <c r="AE143" s="13">
        <f>IF(IF($D143="Unlabeled-13",MCDM_Settings!$F$6,MCDM_Settings!$D$6)=0,"n.a.",(COUNTIF(M143:O143,"Y")+COUNTIF(M143:O143,"N"))/IF($D143="Unlabeled-13",MCDM_Settings!$F$6,MCDM_Settings!$D$6))</f>
        <v>1</v>
      </c>
      <c r="AF143" s="12">
        <f>IF(IF($D143="Unlabeled-13",MCDM_Settings!$F$7,MCDM_Settings!$D$7)=0,"n.a.",5*COUNTIF(P143:R143,"Y")/IF($D143="Unlabeled-13",MCDM_Settings!$F$7,MCDM_Settings!$D$7))</f>
        <v>1.6666666666666667</v>
      </c>
      <c r="AG143" s="12">
        <f>IF(IF($D143="Unlabeled-13",MCDM_Settings!$F$7,MCDM_Settings!$D$7)=0,"n.a.",5*(COUNTIF(P143:R143,"Y")+COUNTIF(P143:R143,"U")+COUNTIF(P143:R143,"X"))/IF($D143="Unlabeled-13",MCDM_Settings!$F$7,MCDM_Settings!$D$7))</f>
        <v>5</v>
      </c>
      <c r="AH143" s="13">
        <f>IF(IF($D143="Unlabeled-13",MCDM_Settings!$F$7,MCDM_Settings!$D$7)=0,"n.a.",(COUNTIF(P143:R143,"Y")+COUNTIF(P143:R143,"N"))/IF($D143="Unlabeled-13",MCDM_Settings!$F$7,MCDM_Settings!$D$7))</f>
        <v>0.33333333333333331</v>
      </c>
      <c r="AI143" s="12">
        <f>IF(IF($D143="Unlabeled-13",MCDM_Settings!$F$8,MCDM_Settings!$D$8)=0,"n.a.",5*COUNTIF(S143:U143,"Y")/IF($D143="Unlabeled-13",MCDM_Settings!$F$8,MCDM_Settings!$D$8))</f>
        <v>3.3333333333333335</v>
      </c>
      <c r="AJ143" s="12">
        <f>IF(IF($D143="Unlabeled-13",MCDM_Settings!$F$8,MCDM_Settings!$D$8)=0,"n.a.",5*(COUNTIF(S143:U143,"Y")+COUNTIF(S143:U143,"U")+COUNTIF(S143:U143,"X"))/IF($D143="Unlabeled-13",MCDM_Settings!$F$8,MCDM_Settings!$D$8))</f>
        <v>5</v>
      </c>
      <c r="AK143" s="13">
        <f>IF(IF($D143="Unlabeled-13",MCDM_Settings!$F$8,MCDM_Settings!$D$8)=0,"n.a.",(COUNTIF(S143:U143,"Y")+COUNTIF(S143:U143,"N"))/IF($D143="Unlabeled-13",MCDM_Settings!$F$8,MCDM_Settings!$D$8))</f>
        <v>0.66666666666666663</v>
      </c>
      <c r="AL143" s="12">
        <f>IF(IF($D143="Unlabeled-13",MCDM_Settings!$F$9,MCDM_Settings!$D$9)=0,"n.a.",5*COUNTIF(V143:W143,"Y")/IF($D143="Unlabeled-13",MCDM_Settings!$F$9,MCDM_Settings!$D$9))</f>
        <v>2.5</v>
      </c>
      <c r="AM143" s="12">
        <f>IF(IF($D143="Unlabeled-13",MCDM_Settings!$F$9,MCDM_Settings!$D$9)=0,"n.a.",5*(COUNTIF(V143:W143,"Y")+COUNTIF(V143:W143,"U")+COUNTIF(V143:W143,"X"))/IF($D143="Unlabeled-13",MCDM_Settings!$F$9,MCDM_Settings!$D$9))</f>
        <v>5</v>
      </c>
      <c r="AN143" s="13">
        <f>IF(IF($D143="Unlabeled-13",MCDM_Settings!$F$9,MCDM_Settings!$D$9)=0,"n.a.",(COUNTIF(V143:W143,"Y")+COUNTIF(V143:W143,"N"))/IF($D143="Unlabeled-13",MCDM_Settings!$F$9,MCDM_Settings!$D$9))</f>
        <v>0.5</v>
      </c>
      <c r="AO143" s="12">
        <f>IF(IF($D143="Unlabeled-13",MCDM_Settings!$F$10,MCDM_Settings!$D$10)=0,"n.a.",5*COUNTIF(X143:Y143,"Y")/IF($D143="Unlabeled-13",MCDM_Settings!$F$10,MCDM_Settings!$D$10))</f>
        <v>0</v>
      </c>
      <c r="AP143" s="12">
        <f>IF(IF($D143="Unlabeled-13",MCDM_Settings!$F$10,MCDM_Settings!$D$10)=0,"n.a.",5*(COUNTIF(X143:Y143,"Y")+COUNTIF(X143:Y143,"U")+COUNTIF(X143:Y143,"X"))/IF($D143="Unlabeled-13",MCDM_Settings!$F$10,MCDM_Settings!$D$10))</f>
        <v>5</v>
      </c>
      <c r="AQ143" s="13">
        <f>IF(IF($D143="Unlabeled-13",MCDM_Settings!$F$10,MCDM_Settings!$D$10)=0,"n.a.",(COUNTIF(X143:Y143,"Y")+COUNTIF(X143:Y143,"N"))/IF($D143="Unlabeled-13",MCDM_Settings!$F$10,MCDM_Settings!$D$10))</f>
        <v>0</v>
      </c>
      <c r="AR143" s="12">
        <f>IF(IF($D143="Unlabeled-13",MCDM_Settings!$F$11,MCDM_Settings!$D$11)=0,"n.a.",5*COUNTIF(Z143:AB143,"Y")/IF($D143="Unlabeled-13",MCDM_Settings!$F$11,MCDM_Settings!$D$11))</f>
        <v>3.3333333333333335</v>
      </c>
      <c r="AS143" s="12">
        <f>IF(IF($D143="Unlabeled-13",MCDM_Settings!$F$11,MCDM_Settings!$D$11)=0,"n.a.",5*(COUNTIF(Z143:AB143,"Y")+COUNTIF(Z143:AB143,"U")+COUNTIF(Z143:AB143,"X"))/IF($D143="Unlabeled-13",MCDM_Settings!$F$11,MCDM_Settings!$D$11))</f>
        <v>5</v>
      </c>
      <c r="AT143" s="13">
        <f>IF(IF($D143="Unlabeled-13",MCDM_Settings!$F$11,MCDM_Settings!$D$11)=0,"n.a.",(COUNTIF(Z143:AB143,"Y")+COUNTIF(Z143:AB143,"N"))/IF($D143="Unlabeled-13",MCDM_Settings!$F$11,MCDM_Settings!$D$11))</f>
        <v>0.66666666666666663</v>
      </c>
      <c r="AU143" s="5" t="str">
        <f>IF(AND(INDEX(Manual_Review!$G$6:$G$238,MATCH(A143,Manual_Review!$A$6:$A$238,0))&lt;&gt;"",ISNUMBER(INDEX(Manual_Review!$H$6:$H$238,MATCH(A143,Manual_Review!$A$6:$A$238,0))),INDEX(Manual_Review!$H$6:$H$238,MATCH(A143,Manual_Review!$A$6:$A$238,0))&gt;0,INDEX(Manual_Review!$I$6:$I$238,MATCH(A143,Manual_Review!$A$6:$A$238,0))="Confirmed",INDEX(Manual_Review!$AF$6:$AF$238,MATCH(A143,Manual_Review!$A$6:$A$238,0))&lt;&gt;""),IF(INDEX(Manual_Review!$AA$6:$AA$238,MATCH(A143,Manual_Review!$A$6:$A$238,0))="Pass","Pass",IF(INDEX(Manual_Review!$AA$6:$AA$238,MATCH(A143,Manual_Review!$A$6:$A$238,0))="Fail","Fail","Pending")),"Pending human identity confirmation")</f>
        <v>Pending human identity confirmation</v>
      </c>
      <c r="AV143" s="5" t="str">
        <f>IF(AND(AND(INDEX(Manual_Review!$G$6:$G$238,MATCH(A143,Manual_Review!$A$6:$A$238,0))&lt;&gt;"",ISNUMBER(INDEX(Manual_Review!$H$6:$H$238,MATCH(A143,Manual_Review!$A$6:$A$238,0))),INDEX(Manual_Review!$H$6:$H$238,MATCH(A143,Manual_Review!$A$6:$A$238,0))&gt;0,INDEX(Manual_Review!$I$6:$I$238,MATCH(A143,Manual_Review!$A$6:$A$238,0))="Confirmed",INDEX(Manual_Review!$AF$6:$AF$238,MATCH(A143,Manual_Review!$A$6:$A$238,0))&lt;&gt;""),INDEX(Manual_Review!$AG$6:$AG$238,MATCH(A143,Manual_Review!$A$6:$A$238,0))&lt;&gt;""),IF(INDEX(Manual_Review!$AB$6:$AB$238,MATCH(A143,Manual_Review!$A$6:$A$238,0))="Pass","Pass",IF(INDEX(Manual_Review!$AB$6:$AB$238,MATCH(A143,Manual_Review!$A$6:$A$238,0))="Fail","Fail","Pending")),"Not assessed: define intended task")</f>
        <v>Not assessed: define intended task</v>
      </c>
      <c r="AW143" s="5" t="str">
        <f>IF(AND(AND(INDEX(Manual_Review!$G$6:$G$238,MATCH(A143,Manual_Review!$A$6:$A$238,0))&lt;&gt;"",ISNUMBER(INDEX(Manual_Review!$H$6:$H$238,MATCH(A143,Manual_Review!$A$6:$A$238,0))),INDEX(Manual_Review!$H$6:$H$238,MATCH(A143,Manual_Review!$A$6:$A$238,0))&gt;0,INDEX(Manual_Review!$I$6:$I$238,MATCH(A143,Manual_Review!$A$6:$A$238,0))="Confirmed",INDEX(Manual_Review!$AF$6:$AF$238,MATCH(A143,Manual_Review!$A$6:$A$238,0))&lt;&gt;""),INDEX(Manual_Review!$AG$6:$AG$238,MATCH(A143,Manual_Review!$A$6:$A$238,0))&lt;&gt;""),IF(OR(INDEX(Manual_Review!$AC$6:$AC$238,MATCH(A143,Manual_Review!$A$6:$A$238,0))="Fail",INDEX(Manual_Review!$AD$6:$AD$238,MATCH(A143,Manual_Review!$A$6:$A$238,0))="Fail"),"Fail: rights or retrieval",IF(AND(INDEX(Manual_Review!$AC$6:$AC$238,MATCH(A143,Manual_Review!$A$6:$A$238,0))="Pass",INDEX(Manual_Review!$AD$6:$AD$238,MATCH(A143,Manual_Review!$A$6:$A$238,0))="Pass"),"Pass","Pending rights and retrieval")),"Pending rights and retrieval")</f>
        <v>Pending rights and retrieval</v>
      </c>
      <c r="AX143" s="5" t="str">
        <f>IF(INDEX(Manual_Review!$AG$6:$AG$238,MATCH(A143,Manual_Review!$A$6:$A$238,0))="","N/A: documentation inventory",IF(AND(INDEX(Manual_Review!$G$6:$G$238,MATCH(A143,Manual_Review!$A$6:$A$238,0))&lt;&gt;"",ISNUMBER(INDEX(Manual_Review!$H$6:$H$238,MATCH(A143,Manual_Review!$A$6:$A$238,0))),INDEX(Manual_Review!$H$6:$H$238,MATCH(A143,Manual_Review!$A$6:$A$238,0))&gt;0,INDEX(Manual_Review!$I$6:$I$238,MATCH(A143,Manual_Review!$A$6:$A$238,0))="Confirmed",INDEX(Manual_Review!$AF$6:$AF$238,MATCH(A143,Manual_Review!$A$6:$A$238,0))&lt;&gt;""),IF(INDEX(Manual_Review!$AE$6:$AE$238,MATCH(A143,Manual_Review!$A$6:$A$238,0))="Pass","Pass",IF(INDEX(Manual_Review!$AE$6:$AE$238,MATCH(A143,Manual_Review!$A$6:$A$238,0))="Fail","Fail: benchmark leakage",IF(INDEX(Manual_Review!$AE$6:$AE$238,MATCH(A143,Manual_Review!$A$6:$A$238,0))="N/A","N/A: nonbenchmark task","Pending task-specific leakage check"))),"Pending task-specific leakage check"))</f>
        <v>N/A: documentation inventory</v>
      </c>
      <c r="AY143" s="5" t="str">
        <f>IF(IF(D143="Unlabeled-13",AND(ABS(MCDM_Settings!$D$14-1)&lt;0.0000001,MIN(MCDM_Settings!$E$6:$E$11)&gt;=0,MCDM_Settings!$E$7=0),AND(ABS(MCDM_Settings!$B$14-1)&lt;0.0000001,MIN(MCDM_Settings!$C$6:$C$11)&gt;=0)),"Valid","Check weights")</f>
        <v>Valid</v>
      </c>
      <c r="AZ143" s="5" t="str">
        <f>IF(AND(COUNTIF(MCDM_Checks!$B$6:$B$3733,A143)=16,COUNTIF(Manual_Review!$A$6:$A$238,A143)=1),"16 keys present","Check key count")</f>
        <v>16 keys present</v>
      </c>
    </row>
    <row r="144" spans="1:52">
      <c r="A144" s="5" t="s">
        <v>1610</v>
      </c>
      <c r="B144" s="5" t="s">
        <v>1611</v>
      </c>
      <c r="C144" s="5"/>
      <c r="D144" s="5" t="s">
        <v>118</v>
      </c>
      <c r="E144" s="12">
        <f>IF(OR(AY144&lt;&gt;"Valid",AZ144&lt;&gt;"16 keys present"),"Review settings",20*(IF(ISNUMBER(AC144),AC144*IF($D144="Unlabeled-13",MCDM_Settings!$E$6,MCDM_Settings!$C$6),0)+IF(ISNUMBER(AF144),AF144*IF($D144="Unlabeled-13",MCDM_Settings!$E$7,MCDM_Settings!$C$7),0)+IF(ISNUMBER(AI144),AI144*IF($D144="Unlabeled-13",MCDM_Settings!$E$8,MCDM_Settings!$C$8),0)+IF(ISNUMBER(AL144),AL144*IF($D144="Unlabeled-13",MCDM_Settings!$E$9,MCDM_Settings!$C$9),0)+IF(ISNUMBER(AO144),AO144*IF($D144="Unlabeled-13",MCDM_Settings!$E$10,MCDM_Settings!$C$10),0)+IF(ISNUMBER(AR144),AR144*IF($D144="Unlabeled-13",MCDM_Settings!$E$11,MCDM_Settings!$C$11),0)))</f>
        <v>66.666666666666657</v>
      </c>
      <c r="F144" s="12">
        <f>IF(OR(AY144&lt;&gt;"Valid",AZ144&lt;&gt;"16 keys present"),"Review settings",20*(IF(ISNUMBER(AD144),AD144*IF($D144="Unlabeled-13",MCDM_Settings!$E$6,MCDM_Settings!$C$6),0)+IF(ISNUMBER(AG144),AG144*IF($D144="Unlabeled-13",MCDM_Settings!$E$7,MCDM_Settings!$C$7),0)+IF(ISNUMBER(AJ144),AJ144*IF($D144="Unlabeled-13",MCDM_Settings!$E$8,MCDM_Settings!$C$8),0)+IF(ISNUMBER(AM144),AM144*IF($D144="Unlabeled-13",MCDM_Settings!$E$9,MCDM_Settings!$C$9),0)+IF(ISNUMBER(AP144),AP144*IF($D144="Unlabeled-13",MCDM_Settings!$E$10,MCDM_Settings!$C$10),0)+IF(ISNUMBER(AS144),AS144*IF($D144="Unlabeled-13",MCDM_Settings!$E$11,MCDM_Settings!$C$11),0)))</f>
        <v>99.999999999999986</v>
      </c>
      <c r="G144" s="13">
        <f>IF(OR(AY144&lt;&gt;"Valid",AZ144&lt;&gt;"16 keys present"),"Review settings",1*(IF(ISNUMBER(AE144),AE144*IF($D144="Unlabeled-13",MCDM_Settings!$E$6,MCDM_Settings!$C$6),0)+IF(ISNUMBER(AH144),AH144*IF($D144="Unlabeled-13",MCDM_Settings!$E$7,MCDM_Settings!$C$7),0)+IF(ISNUMBER(AK144),AK144*IF($D144="Unlabeled-13",MCDM_Settings!$E$8,MCDM_Settings!$C$8),0)+IF(ISNUMBER(AN144),AN144*IF($D144="Unlabeled-13",MCDM_Settings!$E$9,MCDM_Settings!$C$9),0)+IF(ISNUMBER(AQ144),AQ144*IF($D144="Unlabeled-13",MCDM_Settings!$E$10,MCDM_Settings!$C$10),0)+IF(ISNUMBER(AT144),AT144*IF($D144="Unlabeled-13",MCDM_Settings!$E$11,MCDM_Settings!$C$11),0)))</f>
        <v>0.66666666666666663</v>
      </c>
      <c r="H144" s="5" t="str">
        <f>INDEX(Manual_Review!$AH$6:$AH$238,MATCH(A144,Manual_Review!$A$6:$A$238,0))</f>
        <v>Not started</v>
      </c>
      <c r="I144" s="5" t="s">
        <v>128</v>
      </c>
      <c r="J144" s="5" t="s">
        <v>1601</v>
      </c>
      <c r="K144" s="5" t="str">
        <f>HYPERLINK("https://www.kaggle.com/datasets/idanbaru/annotated-potholes-with-severity-levels","Dataset")</f>
        <v>Dataset</v>
      </c>
      <c r="L144" s="5" t="str">
        <f>HYPERLINK("#'Manual_Review'!A"&amp;(MATCH("DS-139",Manual_Review!$A$6:$A$238,0)+5),"Enter review")</f>
        <v>Enter review</v>
      </c>
      <c r="M144" s="5" t="str">
        <f>INDEX(MCDM_Checks!$K$6:$K$3733,MATCH(A144&amp;"|"&amp;M$5,MCDM_Checks!$A$6:$A$3733,0))</f>
        <v>Y</v>
      </c>
      <c r="N144" s="5" t="str">
        <f>INDEX(MCDM_Checks!$K$6:$K$3733,MATCH(A144&amp;"|"&amp;N$5,MCDM_Checks!$A$6:$A$3733,0))</f>
        <v>Y</v>
      </c>
      <c r="O144" s="5" t="str">
        <f>INDEX(MCDM_Checks!$K$6:$K$3733,MATCH(A144&amp;"|"&amp;O$5,MCDM_Checks!$A$6:$A$3733,0))</f>
        <v>Y</v>
      </c>
      <c r="P144" s="5" t="str">
        <f>INDEX(MCDM_Checks!$K$6:$K$3733,MATCH(A144&amp;"|"&amp;P$5,MCDM_Checks!$A$6:$A$3733,0))</f>
        <v>Y</v>
      </c>
      <c r="Q144" s="5" t="str">
        <f>INDEX(MCDM_Checks!$K$6:$K$3733,MATCH(A144&amp;"|"&amp;Q$5,MCDM_Checks!$A$6:$A$3733,0))</f>
        <v>Y</v>
      </c>
      <c r="R144" s="5" t="str">
        <f>INDEX(MCDM_Checks!$K$6:$K$3733,MATCH(A144&amp;"|"&amp;R$5,MCDM_Checks!$A$6:$A$3733,0))</f>
        <v>Y</v>
      </c>
      <c r="S144" s="5" t="str">
        <f>INDEX(MCDM_Checks!$K$6:$K$3733,MATCH(A144&amp;"|"&amp;S$5,MCDM_Checks!$A$6:$A$3733,0))</f>
        <v>Y</v>
      </c>
      <c r="T144" s="5" t="str">
        <f>INDEX(MCDM_Checks!$K$6:$K$3733,MATCH(A144&amp;"|"&amp;T$5,MCDM_Checks!$A$6:$A$3733,0))</f>
        <v>Y</v>
      </c>
      <c r="U144" s="5" t="str">
        <f>INDEX(MCDM_Checks!$K$6:$K$3733,MATCH(A144&amp;"|"&amp;U$5,MCDM_Checks!$A$6:$A$3733,0))</f>
        <v>Y</v>
      </c>
      <c r="V144" s="5" t="str">
        <f>INDEX(MCDM_Checks!$K$6:$K$3733,MATCH(A144&amp;"|"&amp;V$5,MCDM_Checks!$A$6:$A$3733,0))</f>
        <v>Y</v>
      </c>
      <c r="W144" s="5" t="str">
        <f>INDEX(MCDM_Checks!$K$6:$K$3733,MATCH(A144&amp;"|"&amp;W$5,MCDM_Checks!$A$6:$A$3733,0))</f>
        <v>Y</v>
      </c>
      <c r="X144" s="5" t="str">
        <f>INDEX(MCDM_Checks!$K$6:$K$3733,MATCH(A144&amp;"|"&amp;X$5,MCDM_Checks!$A$6:$A$3733,0))</f>
        <v>U</v>
      </c>
      <c r="Y144" s="5" t="str">
        <f>INDEX(MCDM_Checks!$K$6:$K$3733,MATCH(A144&amp;"|"&amp;Y$5,MCDM_Checks!$A$6:$A$3733,0))</f>
        <v>U</v>
      </c>
      <c r="Z144" s="5" t="str">
        <f>INDEX(MCDM_Checks!$K$6:$K$3733,MATCH(A144&amp;"|"&amp;Z$5,MCDM_Checks!$A$6:$A$3733,0))</f>
        <v>U</v>
      </c>
      <c r="AA144" s="5" t="str">
        <f>INDEX(MCDM_Checks!$K$6:$K$3733,MATCH(A144&amp;"|"&amp;AA$5,MCDM_Checks!$A$6:$A$3733,0))</f>
        <v>U</v>
      </c>
      <c r="AB144" s="5" t="str">
        <f>INDEX(MCDM_Checks!$K$6:$K$3733,MATCH(A144&amp;"|"&amp;AB$5,MCDM_Checks!$A$6:$A$3733,0))</f>
        <v>U</v>
      </c>
      <c r="AC144" s="12">
        <f>IF(IF($D144="Unlabeled-13",MCDM_Settings!$F$6,MCDM_Settings!$D$6)=0,"n.a.",5*COUNTIF(M144:O144,"Y")/IF($D144="Unlabeled-13",MCDM_Settings!$F$6,MCDM_Settings!$D$6))</f>
        <v>5</v>
      </c>
      <c r="AD144" s="12">
        <f>IF(IF($D144="Unlabeled-13",MCDM_Settings!$F$6,MCDM_Settings!$D$6)=0,"n.a.",5*(COUNTIF(M144:O144,"Y")+COUNTIF(M144:O144,"U")+COUNTIF(M144:O144,"X"))/IF($D144="Unlabeled-13",MCDM_Settings!$F$6,MCDM_Settings!$D$6))</f>
        <v>5</v>
      </c>
      <c r="AE144" s="13">
        <f>IF(IF($D144="Unlabeled-13",MCDM_Settings!$F$6,MCDM_Settings!$D$6)=0,"n.a.",(COUNTIF(M144:O144,"Y")+COUNTIF(M144:O144,"N"))/IF($D144="Unlabeled-13",MCDM_Settings!$F$6,MCDM_Settings!$D$6))</f>
        <v>1</v>
      </c>
      <c r="AF144" s="12">
        <f>IF(IF($D144="Unlabeled-13",MCDM_Settings!$F$7,MCDM_Settings!$D$7)=0,"n.a.",5*COUNTIF(P144:R144,"Y")/IF($D144="Unlabeled-13",MCDM_Settings!$F$7,MCDM_Settings!$D$7))</f>
        <v>5</v>
      </c>
      <c r="AG144" s="12">
        <f>IF(IF($D144="Unlabeled-13",MCDM_Settings!$F$7,MCDM_Settings!$D$7)=0,"n.a.",5*(COUNTIF(P144:R144,"Y")+COUNTIF(P144:R144,"U")+COUNTIF(P144:R144,"X"))/IF($D144="Unlabeled-13",MCDM_Settings!$F$7,MCDM_Settings!$D$7))</f>
        <v>5</v>
      </c>
      <c r="AH144" s="13">
        <f>IF(IF($D144="Unlabeled-13",MCDM_Settings!$F$7,MCDM_Settings!$D$7)=0,"n.a.",(COUNTIF(P144:R144,"Y")+COUNTIF(P144:R144,"N"))/IF($D144="Unlabeled-13",MCDM_Settings!$F$7,MCDM_Settings!$D$7))</f>
        <v>1</v>
      </c>
      <c r="AI144" s="12">
        <f>IF(IF($D144="Unlabeled-13",MCDM_Settings!$F$8,MCDM_Settings!$D$8)=0,"n.a.",5*COUNTIF(S144:U144,"Y")/IF($D144="Unlabeled-13",MCDM_Settings!$F$8,MCDM_Settings!$D$8))</f>
        <v>5</v>
      </c>
      <c r="AJ144" s="12">
        <f>IF(IF($D144="Unlabeled-13",MCDM_Settings!$F$8,MCDM_Settings!$D$8)=0,"n.a.",5*(COUNTIF(S144:U144,"Y")+COUNTIF(S144:U144,"U")+COUNTIF(S144:U144,"X"))/IF($D144="Unlabeled-13",MCDM_Settings!$F$8,MCDM_Settings!$D$8))</f>
        <v>5</v>
      </c>
      <c r="AK144" s="13">
        <f>IF(IF($D144="Unlabeled-13",MCDM_Settings!$F$8,MCDM_Settings!$D$8)=0,"n.a.",(COUNTIF(S144:U144,"Y")+COUNTIF(S144:U144,"N"))/IF($D144="Unlabeled-13",MCDM_Settings!$F$8,MCDM_Settings!$D$8))</f>
        <v>1</v>
      </c>
      <c r="AL144" s="12">
        <f>IF(IF($D144="Unlabeled-13",MCDM_Settings!$F$9,MCDM_Settings!$D$9)=0,"n.a.",5*COUNTIF(V144:W144,"Y")/IF($D144="Unlabeled-13",MCDM_Settings!$F$9,MCDM_Settings!$D$9))</f>
        <v>5</v>
      </c>
      <c r="AM144" s="12">
        <f>IF(IF($D144="Unlabeled-13",MCDM_Settings!$F$9,MCDM_Settings!$D$9)=0,"n.a.",5*(COUNTIF(V144:W144,"Y")+COUNTIF(V144:W144,"U")+COUNTIF(V144:W144,"X"))/IF($D144="Unlabeled-13",MCDM_Settings!$F$9,MCDM_Settings!$D$9))</f>
        <v>5</v>
      </c>
      <c r="AN144" s="13">
        <f>IF(IF($D144="Unlabeled-13",MCDM_Settings!$F$9,MCDM_Settings!$D$9)=0,"n.a.",(COUNTIF(V144:W144,"Y")+COUNTIF(V144:W144,"N"))/IF($D144="Unlabeled-13",MCDM_Settings!$F$9,MCDM_Settings!$D$9))</f>
        <v>1</v>
      </c>
      <c r="AO144" s="12">
        <f>IF(IF($D144="Unlabeled-13",MCDM_Settings!$F$10,MCDM_Settings!$D$10)=0,"n.a.",5*COUNTIF(X144:Y144,"Y")/IF($D144="Unlabeled-13",MCDM_Settings!$F$10,MCDM_Settings!$D$10))</f>
        <v>0</v>
      </c>
      <c r="AP144" s="12">
        <f>IF(IF($D144="Unlabeled-13",MCDM_Settings!$F$10,MCDM_Settings!$D$10)=0,"n.a.",5*(COUNTIF(X144:Y144,"Y")+COUNTIF(X144:Y144,"U")+COUNTIF(X144:Y144,"X"))/IF($D144="Unlabeled-13",MCDM_Settings!$F$10,MCDM_Settings!$D$10))</f>
        <v>5</v>
      </c>
      <c r="AQ144" s="13">
        <f>IF(IF($D144="Unlabeled-13",MCDM_Settings!$F$10,MCDM_Settings!$D$10)=0,"n.a.",(COUNTIF(X144:Y144,"Y")+COUNTIF(X144:Y144,"N"))/IF($D144="Unlabeled-13",MCDM_Settings!$F$10,MCDM_Settings!$D$10))</f>
        <v>0</v>
      </c>
      <c r="AR144" s="12">
        <f>IF(IF($D144="Unlabeled-13",MCDM_Settings!$F$11,MCDM_Settings!$D$11)=0,"n.a.",5*COUNTIF(Z144:AB144,"Y")/IF($D144="Unlabeled-13",MCDM_Settings!$F$11,MCDM_Settings!$D$11))</f>
        <v>0</v>
      </c>
      <c r="AS144" s="12">
        <f>IF(IF($D144="Unlabeled-13",MCDM_Settings!$F$11,MCDM_Settings!$D$11)=0,"n.a.",5*(COUNTIF(Z144:AB144,"Y")+COUNTIF(Z144:AB144,"U")+COUNTIF(Z144:AB144,"X"))/IF($D144="Unlabeled-13",MCDM_Settings!$F$11,MCDM_Settings!$D$11))</f>
        <v>5</v>
      </c>
      <c r="AT144" s="13">
        <f>IF(IF($D144="Unlabeled-13",MCDM_Settings!$F$11,MCDM_Settings!$D$11)=0,"n.a.",(COUNTIF(Z144:AB144,"Y")+COUNTIF(Z144:AB144,"N"))/IF($D144="Unlabeled-13",MCDM_Settings!$F$11,MCDM_Settings!$D$11))</f>
        <v>0</v>
      </c>
      <c r="AU144" s="5" t="str">
        <f>IF(AND(INDEX(Manual_Review!$G$6:$G$238,MATCH(A144,Manual_Review!$A$6:$A$238,0))&lt;&gt;"",ISNUMBER(INDEX(Manual_Review!$H$6:$H$238,MATCH(A144,Manual_Review!$A$6:$A$238,0))),INDEX(Manual_Review!$H$6:$H$238,MATCH(A144,Manual_Review!$A$6:$A$238,0))&gt;0,INDEX(Manual_Review!$I$6:$I$238,MATCH(A144,Manual_Review!$A$6:$A$238,0))="Confirmed",INDEX(Manual_Review!$AF$6:$AF$238,MATCH(A144,Manual_Review!$A$6:$A$238,0))&lt;&gt;""),IF(INDEX(Manual_Review!$AA$6:$AA$238,MATCH(A144,Manual_Review!$A$6:$A$238,0))="Pass","Pass",IF(INDEX(Manual_Review!$AA$6:$AA$238,MATCH(A144,Manual_Review!$A$6:$A$238,0))="Fail","Fail","Pending")),"Pending human identity confirmation")</f>
        <v>Pending human identity confirmation</v>
      </c>
      <c r="AV144" s="5" t="str">
        <f>IF(AND(AND(INDEX(Manual_Review!$G$6:$G$238,MATCH(A144,Manual_Review!$A$6:$A$238,0))&lt;&gt;"",ISNUMBER(INDEX(Manual_Review!$H$6:$H$238,MATCH(A144,Manual_Review!$A$6:$A$238,0))),INDEX(Manual_Review!$H$6:$H$238,MATCH(A144,Manual_Review!$A$6:$A$238,0))&gt;0,INDEX(Manual_Review!$I$6:$I$238,MATCH(A144,Manual_Review!$A$6:$A$238,0))="Confirmed",INDEX(Manual_Review!$AF$6:$AF$238,MATCH(A144,Manual_Review!$A$6:$A$238,0))&lt;&gt;""),INDEX(Manual_Review!$AG$6:$AG$238,MATCH(A144,Manual_Review!$A$6:$A$238,0))&lt;&gt;""),IF(INDEX(Manual_Review!$AB$6:$AB$238,MATCH(A144,Manual_Review!$A$6:$A$238,0))="Pass","Pass",IF(INDEX(Manual_Review!$AB$6:$AB$238,MATCH(A144,Manual_Review!$A$6:$A$238,0))="Fail","Fail","Pending")),"Not assessed: define intended task")</f>
        <v>Not assessed: define intended task</v>
      </c>
      <c r="AW144" s="5" t="str">
        <f>IF(AND(AND(INDEX(Manual_Review!$G$6:$G$238,MATCH(A144,Manual_Review!$A$6:$A$238,0))&lt;&gt;"",ISNUMBER(INDEX(Manual_Review!$H$6:$H$238,MATCH(A144,Manual_Review!$A$6:$A$238,0))),INDEX(Manual_Review!$H$6:$H$238,MATCH(A144,Manual_Review!$A$6:$A$238,0))&gt;0,INDEX(Manual_Review!$I$6:$I$238,MATCH(A144,Manual_Review!$A$6:$A$238,0))="Confirmed",INDEX(Manual_Review!$AF$6:$AF$238,MATCH(A144,Manual_Review!$A$6:$A$238,0))&lt;&gt;""),INDEX(Manual_Review!$AG$6:$AG$238,MATCH(A144,Manual_Review!$A$6:$A$238,0))&lt;&gt;""),IF(OR(INDEX(Manual_Review!$AC$6:$AC$238,MATCH(A144,Manual_Review!$A$6:$A$238,0))="Fail",INDEX(Manual_Review!$AD$6:$AD$238,MATCH(A144,Manual_Review!$A$6:$A$238,0))="Fail"),"Fail: rights or retrieval",IF(AND(INDEX(Manual_Review!$AC$6:$AC$238,MATCH(A144,Manual_Review!$A$6:$A$238,0))="Pass",INDEX(Manual_Review!$AD$6:$AD$238,MATCH(A144,Manual_Review!$A$6:$A$238,0))="Pass"),"Pass","Pending rights and retrieval")),"Pending rights and retrieval")</f>
        <v>Pending rights and retrieval</v>
      </c>
      <c r="AX144" s="5" t="str">
        <f>IF(INDEX(Manual_Review!$AG$6:$AG$238,MATCH(A144,Manual_Review!$A$6:$A$238,0))="","N/A: documentation inventory",IF(AND(INDEX(Manual_Review!$G$6:$G$238,MATCH(A144,Manual_Review!$A$6:$A$238,0))&lt;&gt;"",ISNUMBER(INDEX(Manual_Review!$H$6:$H$238,MATCH(A144,Manual_Review!$A$6:$A$238,0))),INDEX(Manual_Review!$H$6:$H$238,MATCH(A144,Manual_Review!$A$6:$A$238,0))&gt;0,INDEX(Manual_Review!$I$6:$I$238,MATCH(A144,Manual_Review!$A$6:$A$238,0))="Confirmed",INDEX(Manual_Review!$AF$6:$AF$238,MATCH(A144,Manual_Review!$A$6:$A$238,0))&lt;&gt;""),IF(INDEX(Manual_Review!$AE$6:$AE$238,MATCH(A144,Manual_Review!$A$6:$A$238,0))="Pass","Pass",IF(INDEX(Manual_Review!$AE$6:$AE$238,MATCH(A144,Manual_Review!$A$6:$A$238,0))="Fail","Fail: benchmark leakage",IF(INDEX(Manual_Review!$AE$6:$AE$238,MATCH(A144,Manual_Review!$A$6:$A$238,0))="N/A","N/A: nonbenchmark task","Pending task-specific leakage check"))),"Pending task-specific leakage check"))</f>
        <v>N/A: documentation inventory</v>
      </c>
      <c r="AY144" s="5" t="str">
        <f>IF(IF(D144="Unlabeled-13",AND(ABS(MCDM_Settings!$D$14-1)&lt;0.0000001,MIN(MCDM_Settings!$E$6:$E$11)&gt;=0,MCDM_Settings!$E$7=0),AND(ABS(MCDM_Settings!$B$14-1)&lt;0.0000001,MIN(MCDM_Settings!$C$6:$C$11)&gt;=0)),"Valid","Check weights")</f>
        <v>Valid</v>
      </c>
      <c r="AZ144" s="5" t="str">
        <f>IF(AND(COUNTIF(MCDM_Checks!$B$6:$B$3733,A144)=16,COUNTIF(Manual_Review!$A$6:$A$238,A144)=1),"16 keys present","Check key count")</f>
        <v>16 keys present</v>
      </c>
    </row>
    <row r="145" spans="1:52">
      <c r="A145" s="5" t="s">
        <v>1622</v>
      </c>
      <c r="B145" s="5" t="s">
        <v>1623</v>
      </c>
      <c r="C145" s="5"/>
      <c r="D145" s="5" t="s">
        <v>118</v>
      </c>
      <c r="E145" s="12">
        <f>IF(OR(AY145&lt;&gt;"Valid",AZ145&lt;&gt;"16 keys present"),"Review settings",20*(IF(ISNUMBER(AC145),AC145*IF($D145="Unlabeled-13",MCDM_Settings!$E$6,MCDM_Settings!$C$6),0)+IF(ISNUMBER(AF145),AF145*IF($D145="Unlabeled-13",MCDM_Settings!$E$7,MCDM_Settings!$C$7),0)+IF(ISNUMBER(AI145),AI145*IF($D145="Unlabeled-13",MCDM_Settings!$E$8,MCDM_Settings!$C$8),0)+IF(ISNUMBER(AL145),AL145*IF($D145="Unlabeled-13",MCDM_Settings!$E$9,MCDM_Settings!$C$9),0)+IF(ISNUMBER(AO145),AO145*IF($D145="Unlabeled-13",MCDM_Settings!$E$10,MCDM_Settings!$C$10),0)+IF(ISNUMBER(AR145),AR145*IF($D145="Unlabeled-13",MCDM_Settings!$E$11,MCDM_Settings!$C$11),0)))</f>
        <v>11.111111111111111</v>
      </c>
      <c r="F145" s="12">
        <f>IF(OR(AY145&lt;&gt;"Valid",AZ145&lt;&gt;"16 keys present"),"Review settings",20*(IF(ISNUMBER(AD145),AD145*IF($D145="Unlabeled-13",MCDM_Settings!$E$6,MCDM_Settings!$C$6),0)+IF(ISNUMBER(AG145),AG145*IF($D145="Unlabeled-13",MCDM_Settings!$E$7,MCDM_Settings!$C$7),0)+IF(ISNUMBER(AJ145),AJ145*IF($D145="Unlabeled-13",MCDM_Settings!$E$8,MCDM_Settings!$C$8),0)+IF(ISNUMBER(AM145),AM145*IF($D145="Unlabeled-13",MCDM_Settings!$E$9,MCDM_Settings!$C$9),0)+IF(ISNUMBER(AP145),AP145*IF($D145="Unlabeled-13",MCDM_Settings!$E$10,MCDM_Settings!$C$10),0)+IF(ISNUMBER(AS145),AS145*IF($D145="Unlabeled-13",MCDM_Settings!$E$11,MCDM_Settings!$C$11),0)))</f>
        <v>99.999999999999986</v>
      </c>
      <c r="G145" s="13">
        <f>IF(OR(AY145&lt;&gt;"Valid",AZ145&lt;&gt;"16 keys present"),"Review settings",1*(IF(ISNUMBER(AE145),AE145*IF($D145="Unlabeled-13",MCDM_Settings!$E$6,MCDM_Settings!$C$6),0)+IF(ISNUMBER(AH145),AH145*IF($D145="Unlabeled-13",MCDM_Settings!$E$7,MCDM_Settings!$C$7),0)+IF(ISNUMBER(AK145),AK145*IF($D145="Unlabeled-13",MCDM_Settings!$E$8,MCDM_Settings!$C$8),0)+IF(ISNUMBER(AN145),AN145*IF($D145="Unlabeled-13",MCDM_Settings!$E$9,MCDM_Settings!$C$9),0)+IF(ISNUMBER(AQ145),AQ145*IF($D145="Unlabeled-13",MCDM_Settings!$E$10,MCDM_Settings!$C$10),0)+IF(ISNUMBER(AT145),AT145*IF($D145="Unlabeled-13",MCDM_Settings!$E$11,MCDM_Settings!$C$11),0)))</f>
        <v>0.1111111111111111</v>
      </c>
      <c r="H145" s="5" t="str">
        <f>INDEX(Manual_Review!$AH$6:$AH$238,MATCH(A145,Manual_Review!$A$6:$A$238,0))</f>
        <v>Not started</v>
      </c>
      <c r="I145" s="5" t="s">
        <v>128</v>
      </c>
      <c r="J145" s="5" t="s">
        <v>1601</v>
      </c>
      <c r="K145" s="5" t="str">
        <f>HYPERLINK("https://www.kaggle.com/datasets/abrahamanderson/asphalt-cracks","Dataset")</f>
        <v>Dataset</v>
      </c>
      <c r="L145" s="5" t="str">
        <f>HYPERLINK("#'Manual_Review'!A"&amp;(MATCH("DS-140",Manual_Review!$A$6:$A$238,0)+5),"Enter review")</f>
        <v>Enter review</v>
      </c>
      <c r="M145" s="5" t="str">
        <f>INDEX(MCDM_Checks!$K$6:$K$3733,MATCH(A145&amp;"|"&amp;M$5,MCDM_Checks!$A$6:$A$3733,0))</f>
        <v>Y</v>
      </c>
      <c r="N145" s="5" t="str">
        <f>INDEX(MCDM_Checks!$K$6:$K$3733,MATCH(A145&amp;"|"&amp;N$5,MCDM_Checks!$A$6:$A$3733,0))</f>
        <v>Y</v>
      </c>
      <c r="O145" s="5" t="str">
        <f>INDEX(MCDM_Checks!$K$6:$K$3733,MATCH(A145&amp;"|"&amp;O$5,MCDM_Checks!$A$6:$A$3733,0))</f>
        <v>U</v>
      </c>
      <c r="P145" s="5" t="str">
        <f>INDEX(MCDM_Checks!$K$6:$K$3733,MATCH(A145&amp;"|"&amp;P$5,MCDM_Checks!$A$6:$A$3733,0))</f>
        <v>U</v>
      </c>
      <c r="Q145" s="5" t="str">
        <f>INDEX(MCDM_Checks!$K$6:$K$3733,MATCH(A145&amp;"|"&amp;Q$5,MCDM_Checks!$A$6:$A$3733,0))</f>
        <v>U</v>
      </c>
      <c r="R145" s="5" t="str">
        <f>INDEX(MCDM_Checks!$K$6:$K$3733,MATCH(A145&amp;"|"&amp;R$5,MCDM_Checks!$A$6:$A$3733,0))</f>
        <v>U</v>
      </c>
      <c r="S145" s="5" t="str">
        <f>INDEX(MCDM_Checks!$K$6:$K$3733,MATCH(A145&amp;"|"&amp;S$5,MCDM_Checks!$A$6:$A$3733,0))</f>
        <v>U</v>
      </c>
      <c r="T145" s="5" t="str">
        <f>INDEX(MCDM_Checks!$K$6:$K$3733,MATCH(A145&amp;"|"&amp;T$5,MCDM_Checks!$A$6:$A$3733,0))</f>
        <v>U</v>
      </c>
      <c r="U145" s="5" t="str">
        <f>INDEX(MCDM_Checks!$K$6:$K$3733,MATCH(A145&amp;"|"&amp;U$5,MCDM_Checks!$A$6:$A$3733,0))</f>
        <v>U</v>
      </c>
      <c r="V145" s="5" t="str">
        <f>INDEX(MCDM_Checks!$K$6:$K$3733,MATCH(A145&amp;"|"&amp;V$5,MCDM_Checks!$A$6:$A$3733,0))</f>
        <v>U</v>
      </c>
      <c r="W145" s="5" t="str">
        <f>INDEX(MCDM_Checks!$K$6:$K$3733,MATCH(A145&amp;"|"&amp;W$5,MCDM_Checks!$A$6:$A$3733,0))</f>
        <v>U</v>
      </c>
      <c r="X145" s="5" t="str">
        <f>INDEX(MCDM_Checks!$K$6:$K$3733,MATCH(A145&amp;"|"&amp;X$5,MCDM_Checks!$A$6:$A$3733,0))</f>
        <v>U</v>
      </c>
      <c r="Y145" s="5" t="str">
        <f>INDEX(MCDM_Checks!$K$6:$K$3733,MATCH(A145&amp;"|"&amp;Y$5,MCDM_Checks!$A$6:$A$3733,0))</f>
        <v>U</v>
      </c>
      <c r="Z145" s="5" t="str">
        <f>INDEX(MCDM_Checks!$K$6:$K$3733,MATCH(A145&amp;"|"&amp;Z$5,MCDM_Checks!$A$6:$A$3733,0))</f>
        <v>U</v>
      </c>
      <c r="AA145" s="5" t="str">
        <f>INDEX(MCDM_Checks!$K$6:$K$3733,MATCH(A145&amp;"|"&amp;AA$5,MCDM_Checks!$A$6:$A$3733,0))</f>
        <v>U</v>
      </c>
      <c r="AB145" s="5" t="str">
        <f>INDEX(MCDM_Checks!$K$6:$K$3733,MATCH(A145&amp;"|"&amp;AB$5,MCDM_Checks!$A$6:$A$3733,0))</f>
        <v>U</v>
      </c>
      <c r="AC145" s="12">
        <f>IF(IF($D145="Unlabeled-13",MCDM_Settings!$F$6,MCDM_Settings!$D$6)=0,"n.a.",5*COUNTIF(M145:O145,"Y")/IF($D145="Unlabeled-13",MCDM_Settings!$F$6,MCDM_Settings!$D$6))</f>
        <v>3.3333333333333335</v>
      </c>
      <c r="AD145" s="12">
        <f>IF(IF($D145="Unlabeled-13",MCDM_Settings!$F$6,MCDM_Settings!$D$6)=0,"n.a.",5*(COUNTIF(M145:O145,"Y")+COUNTIF(M145:O145,"U")+COUNTIF(M145:O145,"X"))/IF($D145="Unlabeled-13",MCDM_Settings!$F$6,MCDM_Settings!$D$6))</f>
        <v>5</v>
      </c>
      <c r="AE145" s="13">
        <f>IF(IF($D145="Unlabeled-13",MCDM_Settings!$F$6,MCDM_Settings!$D$6)=0,"n.a.",(COUNTIF(M145:O145,"Y")+COUNTIF(M145:O145,"N"))/IF($D145="Unlabeled-13",MCDM_Settings!$F$6,MCDM_Settings!$D$6))</f>
        <v>0.66666666666666663</v>
      </c>
      <c r="AF145" s="12">
        <f>IF(IF($D145="Unlabeled-13",MCDM_Settings!$F$7,MCDM_Settings!$D$7)=0,"n.a.",5*COUNTIF(P145:R145,"Y")/IF($D145="Unlabeled-13",MCDM_Settings!$F$7,MCDM_Settings!$D$7))</f>
        <v>0</v>
      </c>
      <c r="AG145" s="12">
        <f>IF(IF($D145="Unlabeled-13",MCDM_Settings!$F$7,MCDM_Settings!$D$7)=0,"n.a.",5*(COUNTIF(P145:R145,"Y")+COUNTIF(P145:R145,"U")+COUNTIF(P145:R145,"X"))/IF($D145="Unlabeled-13",MCDM_Settings!$F$7,MCDM_Settings!$D$7))</f>
        <v>5</v>
      </c>
      <c r="AH145" s="13">
        <f>IF(IF($D145="Unlabeled-13",MCDM_Settings!$F$7,MCDM_Settings!$D$7)=0,"n.a.",(COUNTIF(P145:R145,"Y")+COUNTIF(P145:R145,"N"))/IF($D145="Unlabeled-13",MCDM_Settings!$F$7,MCDM_Settings!$D$7))</f>
        <v>0</v>
      </c>
      <c r="AI145" s="12">
        <f>IF(IF($D145="Unlabeled-13",MCDM_Settings!$F$8,MCDM_Settings!$D$8)=0,"n.a.",5*COUNTIF(S145:U145,"Y")/IF($D145="Unlabeled-13",MCDM_Settings!$F$8,MCDM_Settings!$D$8))</f>
        <v>0</v>
      </c>
      <c r="AJ145" s="12">
        <f>IF(IF($D145="Unlabeled-13",MCDM_Settings!$F$8,MCDM_Settings!$D$8)=0,"n.a.",5*(COUNTIF(S145:U145,"Y")+COUNTIF(S145:U145,"U")+COUNTIF(S145:U145,"X"))/IF($D145="Unlabeled-13",MCDM_Settings!$F$8,MCDM_Settings!$D$8))</f>
        <v>5</v>
      </c>
      <c r="AK145" s="13">
        <f>IF(IF($D145="Unlabeled-13",MCDM_Settings!$F$8,MCDM_Settings!$D$8)=0,"n.a.",(COUNTIF(S145:U145,"Y")+COUNTIF(S145:U145,"N"))/IF($D145="Unlabeled-13",MCDM_Settings!$F$8,MCDM_Settings!$D$8))</f>
        <v>0</v>
      </c>
      <c r="AL145" s="12">
        <f>IF(IF($D145="Unlabeled-13",MCDM_Settings!$F$9,MCDM_Settings!$D$9)=0,"n.a.",5*COUNTIF(V145:W145,"Y")/IF($D145="Unlabeled-13",MCDM_Settings!$F$9,MCDM_Settings!$D$9))</f>
        <v>0</v>
      </c>
      <c r="AM145" s="12">
        <f>IF(IF($D145="Unlabeled-13",MCDM_Settings!$F$9,MCDM_Settings!$D$9)=0,"n.a.",5*(COUNTIF(V145:W145,"Y")+COUNTIF(V145:W145,"U")+COUNTIF(V145:W145,"X"))/IF($D145="Unlabeled-13",MCDM_Settings!$F$9,MCDM_Settings!$D$9))</f>
        <v>5</v>
      </c>
      <c r="AN145" s="13">
        <f>IF(IF($D145="Unlabeled-13",MCDM_Settings!$F$9,MCDM_Settings!$D$9)=0,"n.a.",(COUNTIF(V145:W145,"Y")+COUNTIF(V145:W145,"N"))/IF($D145="Unlabeled-13",MCDM_Settings!$F$9,MCDM_Settings!$D$9))</f>
        <v>0</v>
      </c>
      <c r="AO145" s="12">
        <f>IF(IF($D145="Unlabeled-13",MCDM_Settings!$F$10,MCDM_Settings!$D$10)=0,"n.a.",5*COUNTIF(X145:Y145,"Y")/IF($D145="Unlabeled-13",MCDM_Settings!$F$10,MCDM_Settings!$D$10))</f>
        <v>0</v>
      </c>
      <c r="AP145" s="12">
        <f>IF(IF($D145="Unlabeled-13",MCDM_Settings!$F$10,MCDM_Settings!$D$10)=0,"n.a.",5*(COUNTIF(X145:Y145,"Y")+COUNTIF(X145:Y145,"U")+COUNTIF(X145:Y145,"X"))/IF($D145="Unlabeled-13",MCDM_Settings!$F$10,MCDM_Settings!$D$10))</f>
        <v>5</v>
      </c>
      <c r="AQ145" s="13">
        <f>IF(IF($D145="Unlabeled-13",MCDM_Settings!$F$10,MCDM_Settings!$D$10)=0,"n.a.",(COUNTIF(X145:Y145,"Y")+COUNTIF(X145:Y145,"N"))/IF($D145="Unlabeled-13",MCDM_Settings!$F$10,MCDM_Settings!$D$10))</f>
        <v>0</v>
      </c>
      <c r="AR145" s="12">
        <f>IF(IF($D145="Unlabeled-13",MCDM_Settings!$F$11,MCDM_Settings!$D$11)=0,"n.a.",5*COUNTIF(Z145:AB145,"Y")/IF($D145="Unlabeled-13",MCDM_Settings!$F$11,MCDM_Settings!$D$11))</f>
        <v>0</v>
      </c>
      <c r="AS145" s="12">
        <f>IF(IF($D145="Unlabeled-13",MCDM_Settings!$F$11,MCDM_Settings!$D$11)=0,"n.a.",5*(COUNTIF(Z145:AB145,"Y")+COUNTIF(Z145:AB145,"U")+COUNTIF(Z145:AB145,"X"))/IF($D145="Unlabeled-13",MCDM_Settings!$F$11,MCDM_Settings!$D$11))</f>
        <v>5</v>
      </c>
      <c r="AT145" s="13">
        <f>IF(IF($D145="Unlabeled-13",MCDM_Settings!$F$11,MCDM_Settings!$D$11)=0,"n.a.",(COUNTIF(Z145:AB145,"Y")+COUNTIF(Z145:AB145,"N"))/IF($D145="Unlabeled-13",MCDM_Settings!$F$11,MCDM_Settings!$D$11))</f>
        <v>0</v>
      </c>
      <c r="AU145" s="5" t="str">
        <f>IF(AND(INDEX(Manual_Review!$G$6:$G$238,MATCH(A145,Manual_Review!$A$6:$A$238,0))&lt;&gt;"",ISNUMBER(INDEX(Manual_Review!$H$6:$H$238,MATCH(A145,Manual_Review!$A$6:$A$238,0))),INDEX(Manual_Review!$H$6:$H$238,MATCH(A145,Manual_Review!$A$6:$A$238,0))&gt;0,INDEX(Manual_Review!$I$6:$I$238,MATCH(A145,Manual_Review!$A$6:$A$238,0))="Confirmed",INDEX(Manual_Review!$AF$6:$AF$238,MATCH(A145,Manual_Review!$A$6:$A$238,0))&lt;&gt;""),IF(INDEX(Manual_Review!$AA$6:$AA$238,MATCH(A145,Manual_Review!$A$6:$A$238,0))="Pass","Pass",IF(INDEX(Manual_Review!$AA$6:$AA$238,MATCH(A145,Manual_Review!$A$6:$A$238,0))="Fail","Fail","Pending")),"Pending human identity confirmation")</f>
        <v>Pending human identity confirmation</v>
      </c>
      <c r="AV145" s="5" t="str">
        <f>IF(AND(AND(INDEX(Manual_Review!$G$6:$G$238,MATCH(A145,Manual_Review!$A$6:$A$238,0))&lt;&gt;"",ISNUMBER(INDEX(Manual_Review!$H$6:$H$238,MATCH(A145,Manual_Review!$A$6:$A$238,0))),INDEX(Manual_Review!$H$6:$H$238,MATCH(A145,Manual_Review!$A$6:$A$238,0))&gt;0,INDEX(Manual_Review!$I$6:$I$238,MATCH(A145,Manual_Review!$A$6:$A$238,0))="Confirmed",INDEX(Manual_Review!$AF$6:$AF$238,MATCH(A145,Manual_Review!$A$6:$A$238,0))&lt;&gt;""),INDEX(Manual_Review!$AG$6:$AG$238,MATCH(A145,Manual_Review!$A$6:$A$238,0))&lt;&gt;""),IF(INDEX(Manual_Review!$AB$6:$AB$238,MATCH(A145,Manual_Review!$A$6:$A$238,0))="Pass","Pass",IF(INDEX(Manual_Review!$AB$6:$AB$238,MATCH(A145,Manual_Review!$A$6:$A$238,0))="Fail","Fail","Pending")),"Not assessed: define intended task")</f>
        <v>Not assessed: define intended task</v>
      </c>
      <c r="AW145" s="5" t="str">
        <f>IF(AND(AND(INDEX(Manual_Review!$G$6:$G$238,MATCH(A145,Manual_Review!$A$6:$A$238,0))&lt;&gt;"",ISNUMBER(INDEX(Manual_Review!$H$6:$H$238,MATCH(A145,Manual_Review!$A$6:$A$238,0))),INDEX(Manual_Review!$H$6:$H$238,MATCH(A145,Manual_Review!$A$6:$A$238,0))&gt;0,INDEX(Manual_Review!$I$6:$I$238,MATCH(A145,Manual_Review!$A$6:$A$238,0))="Confirmed",INDEX(Manual_Review!$AF$6:$AF$238,MATCH(A145,Manual_Review!$A$6:$A$238,0))&lt;&gt;""),INDEX(Manual_Review!$AG$6:$AG$238,MATCH(A145,Manual_Review!$A$6:$A$238,0))&lt;&gt;""),IF(OR(INDEX(Manual_Review!$AC$6:$AC$238,MATCH(A145,Manual_Review!$A$6:$A$238,0))="Fail",INDEX(Manual_Review!$AD$6:$AD$238,MATCH(A145,Manual_Review!$A$6:$A$238,0))="Fail"),"Fail: rights or retrieval",IF(AND(INDEX(Manual_Review!$AC$6:$AC$238,MATCH(A145,Manual_Review!$A$6:$A$238,0))="Pass",INDEX(Manual_Review!$AD$6:$AD$238,MATCH(A145,Manual_Review!$A$6:$A$238,0))="Pass"),"Pass","Pending rights and retrieval")),"Pending rights and retrieval")</f>
        <v>Pending rights and retrieval</v>
      </c>
      <c r="AX145" s="5" t="str">
        <f>IF(INDEX(Manual_Review!$AG$6:$AG$238,MATCH(A145,Manual_Review!$A$6:$A$238,0))="","N/A: documentation inventory",IF(AND(INDEX(Manual_Review!$G$6:$G$238,MATCH(A145,Manual_Review!$A$6:$A$238,0))&lt;&gt;"",ISNUMBER(INDEX(Manual_Review!$H$6:$H$238,MATCH(A145,Manual_Review!$A$6:$A$238,0))),INDEX(Manual_Review!$H$6:$H$238,MATCH(A145,Manual_Review!$A$6:$A$238,0))&gt;0,INDEX(Manual_Review!$I$6:$I$238,MATCH(A145,Manual_Review!$A$6:$A$238,0))="Confirmed",INDEX(Manual_Review!$AF$6:$AF$238,MATCH(A145,Manual_Review!$A$6:$A$238,0))&lt;&gt;""),IF(INDEX(Manual_Review!$AE$6:$AE$238,MATCH(A145,Manual_Review!$A$6:$A$238,0))="Pass","Pass",IF(INDEX(Manual_Review!$AE$6:$AE$238,MATCH(A145,Manual_Review!$A$6:$A$238,0))="Fail","Fail: benchmark leakage",IF(INDEX(Manual_Review!$AE$6:$AE$238,MATCH(A145,Manual_Review!$A$6:$A$238,0))="N/A","N/A: nonbenchmark task","Pending task-specific leakage check"))),"Pending task-specific leakage check"))</f>
        <v>N/A: documentation inventory</v>
      </c>
      <c r="AY145" s="5" t="str">
        <f>IF(IF(D145="Unlabeled-13",AND(ABS(MCDM_Settings!$D$14-1)&lt;0.0000001,MIN(MCDM_Settings!$E$6:$E$11)&gt;=0,MCDM_Settings!$E$7=0),AND(ABS(MCDM_Settings!$B$14-1)&lt;0.0000001,MIN(MCDM_Settings!$C$6:$C$11)&gt;=0)),"Valid","Check weights")</f>
        <v>Valid</v>
      </c>
      <c r="AZ145" s="5" t="str">
        <f>IF(AND(COUNTIF(MCDM_Checks!$B$6:$B$3733,A145)=16,COUNTIF(Manual_Review!$A$6:$A$238,A145)=1),"16 keys present","Check key count")</f>
        <v>16 keys present</v>
      </c>
    </row>
    <row r="146" spans="1:52">
      <c r="A146" s="5" t="s">
        <v>1628</v>
      </c>
      <c r="B146" s="5" t="s">
        <v>1629</v>
      </c>
      <c r="C146" s="5"/>
      <c r="D146" s="5" t="s">
        <v>118</v>
      </c>
      <c r="E146" s="12">
        <f>IF(OR(AY146&lt;&gt;"Valid",AZ146&lt;&gt;"16 keys present"),"Review settings",20*(IF(ISNUMBER(AC146),AC146*IF($D146="Unlabeled-13",MCDM_Settings!$E$6,MCDM_Settings!$C$6),0)+IF(ISNUMBER(AF146),AF146*IF($D146="Unlabeled-13",MCDM_Settings!$E$7,MCDM_Settings!$C$7),0)+IF(ISNUMBER(AI146),AI146*IF($D146="Unlabeled-13",MCDM_Settings!$E$8,MCDM_Settings!$C$8),0)+IF(ISNUMBER(AL146),AL146*IF($D146="Unlabeled-13",MCDM_Settings!$E$9,MCDM_Settings!$C$9),0)+IF(ISNUMBER(AO146),AO146*IF($D146="Unlabeled-13",MCDM_Settings!$E$10,MCDM_Settings!$C$10),0)+IF(ISNUMBER(AR146),AR146*IF($D146="Unlabeled-13",MCDM_Settings!$E$11,MCDM_Settings!$C$11),0)))</f>
        <v>11.111111111111111</v>
      </c>
      <c r="F146" s="12">
        <f>IF(OR(AY146&lt;&gt;"Valid",AZ146&lt;&gt;"16 keys present"),"Review settings",20*(IF(ISNUMBER(AD146),AD146*IF($D146="Unlabeled-13",MCDM_Settings!$E$6,MCDM_Settings!$C$6),0)+IF(ISNUMBER(AG146),AG146*IF($D146="Unlabeled-13",MCDM_Settings!$E$7,MCDM_Settings!$C$7),0)+IF(ISNUMBER(AJ146),AJ146*IF($D146="Unlabeled-13",MCDM_Settings!$E$8,MCDM_Settings!$C$8),0)+IF(ISNUMBER(AM146),AM146*IF($D146="Unlabeled-13",MCDM_Settings!$E$9,MCDM_Settings!$C$9),0)+IF(ISNUMBER(AP146),AP146*IF($D146="Unlabeled-13",MCDM_Settings!$E$10,MCDM_Settings!$C$10),0)+IF(ISNUMBER(AS146),AS146*IF($D146="Unlabeled-13",MCDM_Settings!$E$11,MCDM_Settings!$C$11),0)))</f>
        <v>99.999999999999986</v>
      </c>
      <c r="G146" s="13">
        <f>IF(OR(AY146&lt;&gt;"Valid",AZ146&lt;&gt;"16 keys present"),"Review settings",1*(IF(ISNUMBER(AE146),AE146*IF($D146="Unlabeled-13",MCDM_Settings!$E$6,MCDM_Settings!$C$6),0)+IF(ISNUMBER(AH146),AH146*IF($D146="Unlabeled-13",MCDM_Settings!$E$7,MCDM_Settings!$C$7),0)+IF(ISNUMBER(AK146),AK146*IF($D146="Unlabeled-13",MCDM_Settings!$E$8,MCDM_Settings!$C$8),0)+IF(ISNUMBER(AN146),AN146*IF($D146="Unlabeled-13",MCDM_Settings!$E$9,MCDM_Settings!$C$9),0)+IF(ISNUMBER(AQ146),AQ146*IF($D146="Unlabeled-13",MCDM_Settings!$E$10,MCDM_Settings!$C$10),0)+IF(ISNUMBER(AT146),AT146*IF($D146="Unlabeled-13",MCDM_Settings!$E$11,MCDM_Settings!$C$11),0)))</f>
        <v>0.1111111111111111</v>
      </c>
      <c r="H146" s="5" t="str">
        <f>INDEX(Manual_Review!$AH$6:$AH$238,MATCH(A146,Manual_Review!$A$6:$A$238,0))</f>
        <v>Not started</v>
      </c>
      <c r="I146" s="5" t="s">
        <v>128</v>
      </c>
      <c r="J146" s="5" t="s">
        <v>1601</v>
      </c>
      <c r="K146" s="5" t="str">
        <f>HYPERLINK("https://www.kaggle.com/datasets/shubhamadsul97/cdac-dai-pavement-distress-detection","Dataset")</f>
        <v>Dataset</v>
      </c>
      <c r="L146" s="5" t="str">
        <f>HYPERLINK("#'Manual_Review'!A"&amp;(MATCH("DS-141",Manual_Review!$A$6:$A$238,0)+5),"Enter review")</f>
        <v>Enter review</v>
      </c>
      <c r="M146" s="5" t="str">
        <f>INDEX(MCDM_Checks!$K$6:$K$3733,MATCH(A146&amp;"|"&amp;M$5,MCDM_Checks!$A$6:$A$3733,0))</f>
        <v>Y</v>
      </c>
      <c r="N146" s="5" t="str">
        <f>INDEX(MCDM_Checks!$K$6:$K$3733,MATCH(A146&amp;"|"&amp;N$5,MCDM_Checks!$A$6:$A$3733,0))</f>
        <v>Y</v>
      </c>
      <c r="O146" s="5" t="str">
        <f>INDEX(MCDM_Checks!$K$6:$K$3733,MATCH(A146&amp;"|"&amp;O$5,MCDM_Checks!$A$6:$A$3733,0))</f>
        <v>U</v>
      </c>
      <c r="P146" s="5" t="str">
        <f>INDEX(MCDM_Checks!$K$6:$K$3733,MATCH(A146&amp;"|"&amp;P$5,MCDM_Checks!$A$6:$A$3733,0))</f>
        <v>U</v>
      </c>
      <c r="Q146" s="5" t="str">
        <f>INDEX(MCDM_Checks!$K$6:$K$3733,MATCH(A146&amp;"|"&amp;Q$5,MCDM_Checks!$A$6:$A$3733,0))</f>
        <v>U</v>
      </c>
      <c r="R146" s="5" t="str">
        <f>INDEX(MCDM_Checks!$K$6:$K$3733,MATCH(A146&amp;"|"&amp;R$5,MCDM_Checks!$A$6:$A$3733,0))</f>
        <v>U</v>
      </c>
      <c r="S146" s="5" t="str">
        <f>INDEX(MCDM_Checks!$K$6:$K$3733,MATCH(A146&amp;"|"&amp;S$5,MCDM_Checks!$A$6:$A$3733,0))</f>
        <v>U</v>
      </c>
      <c r="T146" s="5" t="str">
        <f>INDEX(MCDM_Checks!$K$6:$K$3733,MATCH(A146&amp;"|"&amp;T$5,MCDM_Checks!$A$6:$A$3733,0))</f>
        <v>U</v>
      </c>
      <c r="U146" s="5" t="str">
        <f>INDEX(MCDM_Checks!$K$6:$K$3733,MATCH(A146&amp;"|"&amp;U$5,MCDM_Checks!$A$6:$A$3733,0))</f>
        <v>U</v>
      </c>
      <c r="V146" s="5" t="str">
        <f>INDEX(MCDM_Checks!$K$6:$K$3733,MATCH(A146&amp;"|"&amp;V$5,MCDM_Checks!$A$6:$A$3733,0))</f>
        <v>U</v>
      </c>
      <c r="W146" s="5" t="str">
        <f>INDEX(MCDM_Checks!$K$6:$K$3733,MATCH(A146&amp;"|"&amp;W$5,MCDM_Checks!$A$6:$A$3733,0))</f>
        <v>U</v>
      </c>
      <c r="X146" s="5" t="str">
        <f>INDEX(MCDM_Checks!$K$6:$K$3733,MATCH(A146&amp;"|"&amp;X$5,MCDM_Checks!$A$6:$A$3733,0))</f>
        <v>U</v>
      </c>
      <c r="Y146" s="5" t="str">
        <f>INDEX(MCDM_Checks!$K$6:$K$3733,MATCH(A146&amp;"|"&amp;Y$5,MCDM_Checks!$A$6:$A$3733,0))</f>
        <v>U</v>
      </c>
      <c r="Z146" s="5" t="str">
        <f>INDEX(MCDM_Checks!$K$6:$K$3733,MATCH(A146&amp;"|"&amp;Z$5,MCDM_Checks!$A$6:$A$3733,0))</f>
        <v>U</v>
      </c>
      <c r="AA146" s="5" t="str">
        <f>INDEX(MCDM_Checks!$K$6:$K$3733,MATCH(A146&amp;"|"&amp;AA$5,MCDM_Checks!$A$6:$A$3733,0))</f>
        <v>U</v>
      </c>
      <c r="AB146" s="5" t="str">
        <f>INDEX(MCDM_Checks!$K$6:$K$3733,MATCH(A146&amp;"|"&amp;AB$5,MCDM_Checks!$A$6:$A$3733,0))</f>
        <v>U</v>
      </c>
      <c r="AC146" s="12">
        <f>IF(IF($D146="Unlabeled-13",MCDM_Settings!$F$6,MCDM_Settings!$D$6)=0,"n.a.",5*COUNTIF(M146:O146,"Y")/IF($D146="Unlabeled-13",MCDM_Settings!$F$6,MCDM_Settings!$D$6))</f>
        <v>3.3333333333333335</v>
      </c>
      <c r="AD146" s="12">
        <f>IF(IF($D146="Unlabeled-13",MCDM_Settings!$F$6,MCDM_Settings!$D$6)=0,"n.a.",5*(COUNTIF(M146:O146,"Y")+COUNTIF(M146:O146,"U")+COUNTIF(M146:O146,"X"))/IF($D146="Unlabeled-13",MCDM_Settings!$F$6,MCDM_Settings!$D$6))</f>
        <v>5</v>
      </c>
      <c r="AE146" s="13">
        <f>IF(IF($D146="Unlabeled-13",MCDM_Settings!$F$6,MCDM_Settings!$D$6)=0,"n.a.",(COUNTIF(M146:O146,"Y")+COUNTIF(M146:O146,"N"))/IF($D146="Unlabeled-13",MCDM_Settings!$F$6,MCDM_Settings!$D$6))</f>
        <v>0.66666666666666663</v>
      </c>
      <c r="AF146" s="12">
        <f>IF(IF($D146="Unlabeled-13",MCDM_Settings!$F$7,MCDM_Settings!$D$7)=0,"n.a.",5*COUNTIF(P146:R146,"Y")/IF($D146="Unlabeled-13",MCDM_Settings!$F$7,MCDM_Settings!$D$7))</f>
        <v>0</v>
      </c>
      <c r="AG146" s="12">
        <f>IF(IF($D146="Unlabeled-13",MCDM_Settings!$F$7,MCDM_Settings!$D$7)=0,"n.a.",5*(COUNTIF(P146:R146,"Y")+COUNTIF(P146:R146,"U")+COUNTIF(P146:R146,"X"))/IF($D146="Unlabeled-13",MCDM_Settings!$F$7,MCDM_Settings!$D$7))</f>
        <v>5</v>
      </c>
      <c r="AH146" s="13">
        <f>IF(IF($D146="Unlabeled-13",MCDM_Settings!$F$7,MCDM_Settings!$D$7)=0,"n.a.",(COUNTIF(P146:R146,"Y")+COUNTIF(P146:R146,"N"))/IF($D146="Unlabeled-13",MCDM_Settings!$F$7,MCDM_Settings!$D$7))</f>
        <v>0</v>
      </c>
      <c r="AI146" s="12">
        <f>IF(IF($D146="Unlabeled-13",MCDM_Settings!$F$8,MCDM_Settings!$D$8)=0,"n.a.",5*COUNTIF(S146:U146,"Y")/IF($D146="Unlabeled-13",MCDM_Settings!$F$8,MCDM_Settings!$D$8))</f>
        <v>0</v>
      </c>
      <c r="AJ146" s="12">
        <f>IF(IF($D146="Unlabeled-13",MCDM_Settings!$F$8,MCDM_Settings!$D$8)=0,"n.a.",5*(COUNTIF(S146:U146,"Y")+COUNTIF(S146:U146,"U")+COUNTIF(S146:U146,"X"))/IF($D146="Unlabeled-13",MCDM_Settings!$F$8,MCDM_Settings!$D$8))</f>
        <v>5</v>
      </c>
      <c r="AK146" s="13">
        <f>IF(IF($D146="Unlabeled-13",MCDM_Settings!$F$8,MCDM_Settings!$D$8)=0,"n.a.",(COUNTIF(S146:U146,"Y")+COUNTIF(S146:U146,"N"))/IF($D146="Unlabeled-13",MCDM_Settings!$F$8,MCDM_Settings!$D$8))</f>
        <v>0</v>
      </c>
      <c r="AL146" s="12">
        <f>IF(IF($D146="Unlabeled-13",MCDM_Settings!$F$9,MCDM_Settings!$D$9)=0,"n.a.",5*COUNTIF(V146:W146,"Y")/IF($D146="Unlabeled-13",MCDM_Settings!$F$9,MCDM_Settings!$D$9))</f>
        <v>0</v>
      </c>
      <c r="AM146" s="12">
        <f>IF(IF($D146="Unlabeled-13",MCDM_Settings!$F$9,MCDM_Settings!$D$9)=0,"n.a.",5*(COUNTIF(V146:W146,"Y")+COUNTIF(V146:W146,"U")+COUNTIF(V146:W146,"X"))/IF($D146="Unlabeled-13",MCDM_Settings!$F$9,MCDM_Settings!$D$9))</f>
        <v>5</v>
      </c>
      <c r="AN146" s="13">
        <f>IF(IF($D146="Unlabeled-13",MCDM_Settings!$F$9,MCDM_Settings!$D$9)=0,"n.a.",(COUNTIF(V146:W146,"Y")+COUNTIF(V146:W146,"N"))/IF($D146="Unlabeled-13",MCDM_Settings!$F$9,MCDM_Settings!$D$9))</f>
        <v>0</v>
      </c>
      <c r="AO146" s="12">
        <f>IF(IF($D146="Unlabeled-13",MCDM_Settings!$F$10,MCDM_Settings!$D$10)=0,"n.a.",5*COUNTIF(X146:Y146,"Y")/IF($D146="Unlabeled-13",MCDM_Settings!$F$10,MCDM_Settings!$D$10))</f>
        <v>0</v>
      </c>
      <c r="AP146" s="12">
        <f>IF(IF($D146="Unlabeled-13",MCDM_Settings!$F$10,MCDM_Settings!$D$10)=0,"n.a.",5*(COUNTIF(X146:Y146,"Y")+COUNTIF(X146:Y146,"U")+COUNTIF(X146:Y146,"X"))/IF($D146="Unlabeled-13",MCDM_Settings!$F$10,MCDM_Settings!$D$10))</f>
        <v>5</v>
      </c>
      <c r="AQ146" s="13">
        <f>IF(IF($D146="Unlabeled-13",MCDM_Settings!$F$10,MCDM_Settings!$D$10)=0,"n.a.",(COUNTIF(X146:Y146,"Y")+COUNTIF(X146:Y146,"N"))/IF($D146="Unlabeled-13",MCDM_Settings!$F$10,MCDM_Settings!$D$10))</f>
        <v>0</v>
      </c>
      <c r="AR146" s="12">
        <f>IF(IF($D146="Unlabeled-13",MCDM_Settings!$F$11,MCDM_Settings!$D$11)=0,"n.a.",5*COUNTIF(Z146:AB146,"Y")/IF($D146="Unlabeled-13",MCDM_Settings!$F$11,MCDM_Settings!$D$11))</f>
        <v>0</v>
      </c>
      <c r="AS146" s="12">
        <f>IF(IF($D146="Unlabeled-13",MCDM_Settings!$F$11,MCDM_Settings!$D$11)=0,"n.a.",5*(COUNTIF(Z146:AB146,"Y")+COUNTIF(Z146:AB146,"U")+COUNTIF(Z146:AB146,"X"))/IF($D146="Unlabeled-13",MCDM_Settings!$F$11,MCDM_Settings!$D$11))</f>
        <v>5</v>
      </c>
      <c r="AT146" s="13">
        <f>IF(IF($D146="Unlabeled-13",MCDM_Settings!$F$11,MCDM_Settings!$D$11)=0,"n.a.",(COUNTIF(Z146:AB146,"Y")+COUNTIF(Z146:AB146,"N"))/IF($D146="Unlabeled-13",MCDM_Settings!$F$11,MCDM_Settings!$D$11))</f>
        <v>0</v>
      </c>
      <c r="AU146" s="5" t="str">
        <f>IF(AND(INDEX(Manual_Review!$G$6:$G$238,MATCH(A146,Manual_Review!$A$6:$A$238,0))&lt;&gt;"",ISNUMBER(INDEX(Manual_Review!$H$6:$H$238,MATCH(A146,Manual_Review!$A$6:$A$238,0))),INDEX(Manual_Review!$H$6:$H$238,MATCH(A146,Manual_Review!$A$6:$A$238,0))&gt;0,INDEX(Manual_Review!$I$6:$I$238,MATCH(A146,Manual_Review!$A$6:$A$238,0))="Confirmed",INDEX(Manual_Review!$AF$6:$AF$238,MATCH(A146,Manual_Review!$A$6:$A$238,0))&lt;&gt;""),IF(INDEX(Manual_Review!$AA$6:$AA$238,MATCH(A146,Manual_Review!$A$6:$A$238,0))="Pass","Pass",IF(INDEX(Manual_Review!$AA$6:$AA$238,MATCH(A146,Manual_Review!$A$6:$A$238,0))="Fail","Fail","Pending")),"Pending human identity confirmation")</f>
        <v>Pending human identity confirmation</v>
      </c>
      <c r="AV146" s="5" t="str">
        <f>IF(AND(AND(INDEX(Manual_Review!$G$6:$G$238,MATCH(A146,Manual_Review!$A$6:$A$238,0))&lt;&gt;"",ISNUMBER(INDEX(Manual_Review!$H$6:$H$238,MATCH(A146,Manual_Review!$A$6:$A$238,0))),INDEX(Manual_Review!$H$6:$H$238,MATCH(A146,Manual_Review!$A$6:$A$238,0))&gt;0,INDEX(Manual_Review!$I$6:$I$238,MATCH(A146,Manual_Review!$A$6:$A$238,0))="Confirmed",INDEX(Manual_Review!$AF$6:$AF$238,MATCH(A146,Manual_Review!$A$6:$A$238,0))&lt;&gt;""),INDEX(Manual_Review!$AG$6:$AG$238,MATCH(A146,Manual_Review!$A$6:$A$238,0))&lt;&gt;""),IF(INDEX(Manual_Review!$AB$6:$AB$238,MATCH(A146,Manual_Review!$A$6:$A$238,0))="Pass","Pass",IF(INDEX(Manual_Review!$AB$6:$AB$238,MATCH(A146,Manual_Review!$A$6:$A$238,0))="Fail","Fail","Pending")),"Not assessed: define intended task")</f>
        <v>Not assessed: define intended task</v>
      </c>
      <c r="AW146" s="5" t="str">
        <f>IF(AND(AND(INDEX(Manual_Review!$G$6:$G$238,MATCH(A146,Manual_Review!$A$6:$A$238,0))&lt;&gt;"",ISNUMBER(INDEX(Manual_Review!$H$6:$H$238,MATCH(A146,Manual_Review!$A$6:$A$238,0))),INDEX(Manual_Review!$H$6:$H$238,MATCH(A146,Manual_Review!$A$6:$A$238,0))&gt;0,INDEX(Manual_Review!$I$6:$I$238,MATCH(A146,Manual_Review!$A$6:$A$238,0))="Confirmed",INDEX(Manual_Review!$AF$6:$AF$238,MATCH(A146,Manual_Review!$A$6:$A$238,0))&lt;&gt;""),INDEX(Manual_Review!$AG$6:$AG$238,MATCH(A146,Manual_Review!$A$6:$A$238,0))&lt;&gt;""),IF(OR(INDEX(Manual_Review!$AC$6:$AC$238,MATCH(A146,Manual_Review!$A$6:$A$238,0))="Fail",INDEX(Manual_Review!$AD$6:$AD$238,MATCH(A146,Manual_Review!$A$6:$A$238,0))="Fail"),"Fail: rights or retrieval",IF(AND(INDEX(Manual_Review!$AC$6:$AC$238,MATCH(A146,Manual_Review!$A$6:$A$238,0))="Pass",INDEX(Manual_Review!$AD$6:$AD$238,MATCH(A146,Manual_Review!$A$6:$A$238,0))="Pass"),"Pass","Pending rights and retrieval")),"Pending rights and retrieval")</f>
        <v>Pending rights and retrieval</v>
      </c>
      <c r="AX146" s="5" t="str">
        <f>IF(INDEX(Manual_Review!$AG$6:$AG$238,MATCH(A146,Manual_Review!$A$6:$A$238,0))="","N/A: documentation inventory",IF(AND(INDEX(Manual_Review!$G$6:$G$238,MATCH(A146,Manual_Review!$A$6:$A$238,0))&lt;&gt;"",ISNUMBER(INDEX(Manual_Review!$H$6:$H$238,MATCH(A146,Manual_Review!$A$6:$A$238,0))),INDEX(Manual_Review!$H$6:$H$238,MATCH(A146,Manual_Review!$A$6:$A$238,0))&gt;0,INDEX(Manual_Review!$I$6:$I$238,MATCH(A146,Manual_Review!$A$6:$A$238,0))="Confirmed",INDEX(Manual_Review!$AF$6:$AF$238,MATCH(A146,Manual_Review!$A$6:$A$238,0))&lt;&gt;""),IF(INDEX(Manual_Review!$AE$6:$AE$238,MATCH(A146,Manual_Review!$A$6:$A$238,0))="Pass","Pass",IF(INDEX(Manual_Review!$AE$6:$AE$238,MATCH(A146,Manual_Review!$A$6:$A$238,0))="Fail","Fail: benchmark leakage",IF(INDEX(Manual_Review!$AE$6:$AE$238,MATCH(A146,Manual_Review!$A$6:$A$238,0))="N/A","N/A: nonbenchmark task","Pending task-specific leakage check"))),"Pending task-specific leakage check"))</f>
        <v>N/A: documentation inventory</v>
      </c>
      <c r="AY146" s="5" t="str">
        <f>IF(IF(D146="Unlabeled-13",AND(ABS(MCDM_Settings!$D$14-1)&lt;0.0000001,MIN(MCDM_Settings!$E$6:$E$11)&gt;=0,MCDM_Settings!$E$7=0),AND(ABS(MCDM_Settings!$B$14-1)&lt;0.0000001,MIN(MCDM_Settings!$C$6:$C$11)&gt;=0)),"Valid","Check weights")</f>
        <v>Valid</v>
      </c>
      <c r="AZ146" s="5" t="str">
        <f>IF(AND(COUNTIF(MCDM_Checks!$B$6:$B$3733,A146)=16,COUNTIF(Manual_Review!$A$6:$A$238,A146)=1),"16 keys present","Check key count")</f>
        <v>16 keys present</v>
      </c>
    </row>
    <row r="147" spans="1:52">
      <c r="A147" s="5" t="s">
        <v>1636</v>
      </c>
      <c r="B147" s="5" t="s">
        <v>1637</v>
      </c>
      <c r="C147" s="5"/>
      <c r="D147" s="5" t="s">
        <v>118</v>
      </c>
      <c r="E147" s="12">
        <f>IF(OR(AY147&lt;&gt;"Valid",AZ147&lt;&gt;"16 keys present"),"Review settings",20*(IF(ISNUMBER(AC147),AC147*IF($D147="Unlabeled-13",MCDM_Settings!$E$6,MCDM_Settings!$C$6),0)+IF(ISNUMBER(AF147),AF147*IF($D147="Unlabeled-13",MCDM_Settings!$E$7,MCDM_Settings!$C$7),0)+IF(ISNUMBER(AI147),AI147*IF($D147="Unlabeled-13",MCDM_Settings!$E$8,MCDM_Settings!$C$8),0)+IF(ISNUMBER(AL147),AL147*IF($D147="Unlabeled-13",MCDM_Settings!$E$9,MCDM_Settings!$C$9),0)+IF(ISNUMBER(AO147),AO147*IF($D147="Unlabeled-13",MCDM_Settings!$E$10,MCDM_Settings!$C$10),0)+IF(ISNUMBER(AR147),AR147*IF($D147="Unlabeled-13",MCDM_Settings!$E$11,MCDM_Settings!$C$11),0)))</f>
        <v>66.666666666666657</v>
      </c>
      <c r="F147" s="12">
        <f>IF(OR(AY147&lt;&gt;"Valid",AZ147&lt;&gt;"16 keys present"),"Review settings",20*(IF(ISNUMBER(AD147),AD147*IF($D147="Unlabeled-13",MCDM_Settings!$E$6,MCDM_Settings!$C$6),0)+IF(ISNUMBER(AG147),AG147*IF($D147="Unlabeled-13",MCDM_Settings!$E$7,MCDM_Settings!$C$7),0)+IF(ISNUMBER(AJ147),AJ147*IF($D147="Unlabeled-13",MCDM_Settings!$E$8,MCDM_Settings!$C$8),0)+IF(ISNUMBER(AM147),AM147*IF($D147="Unlabeled-13",MCDM_Settings!$E$9,MCDM_Settings!$C$9),0)+IF(ISNUMBER(AP147),AP147*IF($D147="Unlabeled-13",MCDM_Settings!$E$10,MCDM_Settings!$C$10),0)+IF(ISNUMBER(AS147),AS147*IF($D147="Unlabeled-13",MCDM_Settings!$E$11,MCDM_Settings!$C$11),0)))</f>
        <v>99.999999999999986</v>
      </c>
      <c r="G147" s="13">
        <f>IF(OR(AY147&lt;&gt;"Valid",AZ147&lt;&gt;"16 keys present"),"Review settings",1*(IF(ISNUMBER(AE147),AE147*IF($D147="Unlabeled-13",MCDM_Settings!$E$6,MCDM_Settings!$C$6),0)+IF(ISNUMBER(AH147),AH147*IF($D147="Unlabeled-13",MCDM_Settings!$E$7,MCDM_Settings!$C$7),0)+IF(ISNUMBER(AK147),AK147*IF($D147="Unlabeled-13",MCDM_Settings!$E$8,MCDM_Settings!$C$8),0)+IF(ISNUMBER(AN147),AN147*IF($D147="Unlabeled-13",MCDM_Settings!$E$9,MCDM_Settings!$C$9),0)+IF(ISNUMBER(AQ147),AQ147*IF($D147="Unlabeled-13",MCDM_Settings!$E$10,MCDM_Settings!$C$10),0)+IF(ISNUMBER(AT147),AT147*IF($D147="Unlabeled-13",MCDM_Settings!$E$11,MCDM_Settings!$C$11),0)))</f>
        <v>0.66666666666666674</v>
      </c>
      <c r="H147" s="5" t="str">
        <f>INDEX(Manual_Review!$AH$6:$AH$238,MATCH(A147,Manual_Review!$A$6:$A$238,0))</f>
        <v>Not started</v>
      </c>
      <c r="I147" s="5" t="s">
        <v>128</v>
      </c>
      <c r="J147" s="5" t="s">
        <v>1601</v>
      </c>
      <c r="K147" s="5" t="str">
        <f>HYPERLINK("https://www.kaggle.com/datasets/aryanbadiee/combinedcrack","Dataset")</f>
        <v>Dataset</v>
      </c>
      <c r="L147" s="5" t="str">
        <f>HYPERLINK("#'Manual_Review'!A"&amp;(MATCH("DS-142",Manual_Review!$A$6:$A$238,0)+5),"Enter review")</f>
        <v>Enter review</v>
      </c>
      <c r="M147" s="5" t="str">
        <f>INDEX(MCDM_Checks!$K$6:$K$3733,MATCH(A147&amp;"|"&amp;M$5,MCDM_Checks!$A$6:$A$3733,0))</f>
        <v>Y</v>
      </c>
      <c r="N147" s="5" t="str">
        <f>INDEX(MCDM_Checks!$K$6:$K$3733,MATCH(A147&amp;"|"&amp;N$5,MCDM_Checks!$A$6:$A$3733,0))</f>
        <v>Y</v>
      </c>
      <c r="O147" s="5" t="str">
        <f>INDEX(MCDM_Checks!$K$6:$K$3733,MATCH(A147&amp;"|"&amp;O$5,MCDM_Checks!$A$6:$A$3733,0))</f>
        <v>Y</v>
      </c>
      <c r="P147" s="5" t="str">
        <f>INDEX(MCDM_Checks!$K$6:$K$3733,MATCH(A147&amp;"|"&amp;P$5,MCDM_Checks!$A$6:$A$3733,0))</f>
        <v>Y</v>
      </c>
      <c r="Q147" s="5" t="str">
        <f>INDEX(MCDM_Checks!$K$6:$K$3733,MATCH(A147&amp;"|"&amp;Q$5,MCDM_Checks!$A$6:$A$3733,0))</f>
        <v>Y</v>
      </c>
      <c r="R147" s="5" t="str">
        <f>INDEX(MCDM_Checks!$K$6:$K$3733,MATCH(A147&amp;"|"&amp;R$5,MCDM_Checks!$A$6:$A$3733,0))</f>
        <v>U</v>
      </c>
      <c r="S147" s="5" t="str">
        <f>INDEX(MCDM_Checks!$K$6:$K$3733,MATCH(A147&amp;"|"&amp;S$5,MCDM_Checks!$A$6:$A$3733,0))</f>
        <v>Y</v>
      </c>
      <c r="T147" s="5" t="str">
        <f>INDEX(MCDM_Checks!$K$6:$K$3733,MATCH(A147&amp;"|"&amp;T$5,MCDM_Checks!$A$6:$A$3733,0))</f>
        <v>Y</v>
      </c>
      <c r="U147" s="5" t="str">
        <f>INDEX(MCDM_Checks!$K$6:$K$3733,MATCH(A147&amp;"|"&amp;U$5,MCDM_Checks!$A$6:$A$3733,0))</f>
        <v>Y</v>
      </c>
      <c r="V147" s="5" t="str">
        <f>INDEX(MCDM_Checks!$K$6:$K$3733,MATCH(A147&amp;"|"&amp;V$5,MCDM_Checks!$A$6:$A$3733,0))</f>
        <v>Y</v>
      </c>
      <c r="W147" s="5" t="str">
        <f>INDEX(MCDM_Checks!$K$6:$K$3733,MATCH(A147&amp;"|"&amp;W$5,MCDM_Checks!$A$6:$A$3733,0))</f>
        <v>U</v>
      </c>
      <c r="X147" s="5" t="str">
        <f>INDEX(MCDM_Checks!$K$6:$K$3733,MATCH(A147&amp;"|"&amp;X$5,MCDM_Checks!$A$6:$A$3733,0))</f>
        <v>U</v>
      </c>
      <c r="Y147" s="5" t="str">
        <f>INDEX(MCDM_Checks!$K$6:$K$3733,MATCH(A147&amp;"|"&amp;Y$5,MCDM_Checks!$A$6:$A$3733,0))</f>
        <v>Y</v>
      </c>
      <c r="Z147" s="5" t="str">
        <f>INDEX(MCDM_Checks!$K$6:$K$3733,MATCH(A147&amp;"|"&amp;Z$5,MCDM_Checks!$A$6:$A$3733,0))</f>
        <v>Y</v>
      </c>
      <c r="AA147" s="5" t="str">
        <f>INDEX(MCDM_Checks!$K$6:$K$3733,MATCH(A147&amp;"|"&amp;AA$5,MCDM_Checks!$A$6:$A$3733,0))</f>
        <v>U</v>
      </c>
      <c r="AB147" s="5" t="str">
        <f>INDEX(MCDM_Checks!$K$6:$K$3733,MATCH(A147&amp;"|"&amp;AB$5,MCDM_Checks!$A$6:$A$3733,0))</f>
        <v>U</v>
      </c>
      <c r="AC147" s="12">
        <f>IF(IF($D147="Unlabeled-13",MCDM_Settings!$F$6,MCDM_Settings!$D$6)=0,"n.a.",5*COUNTIF(M147:O147,"Y")/IF($D147="Unlabeled-13",MCDM_Settings!$F$6,MCDM_Settings!$D$6))</f>
        <v>5</v>
      </c>
      <c r="AD147" s="12">
        <f>IF(IF($D147="Unlabeled-13",MCDM_Settings!$F$6,MCDM_Settings!$D$6)=0,"n.a.",5*(COUNTIF(M147:O147,"Y")+COUNTIF(M147:O147,"U")+COUNTIF(M147:O147,"X"))/IF($D147="Unlabeled-13",MCDM_Settings!$F$6,MCDM_Settings!$D$6))</f>
        <v>5</v>
      </c>
      <c r="AE147" s="13">
        <f>IF(IF($D147="Unlabeled-13",MCDM_Settings!$F$6,MCDM_Settings!$D$6)=0,"n.a.",(COUNTIF(M147:O147,"Y")+COUNTIF(M147:O147,"N"))/IF($D147="Unlabeled-13",MCDM_Settings!$F$6,MCDM_Settings!$D$6))</f>
        <v>1</v>
      </c>
      <c r="AF147" s="12">
        <f>IF(IF($D147="Unlabeled-13",MCDM_Settings!$F$7,MCDM_Settings!$D$7)=0,"n.a.",5*COUNTIF(P147:R147,"Y")/IF($D147="Unlabeled-13",MCDM_Settings!$F$7,MCDM_Settings!$D$7))</f>
        <v>3.3333333333333335</v>
      </c>
      <c r="AG147" s="12">
        <f>IF(IF($D147="Unlabeled-13",MCDM_Settings!$F$7,MCDM_Settings!$D$7)=0,"n.a.",5*(COUNTIF(P147:R147,"Y")+COUNTIF(P147:R147,"U")+COUNTIF(P147:R147,"X"))/IF($D147="Unlabeled-13",MCDM_Settings!$F$7,MCDM_Settings!$D$7))</f>
        <v>5</v>
      </c>
      <c r="AH147" s="13">
        <f>IF(IF($D147="Unlabeled-13",MCDM_Settings!$F$7,MCDM_Settings!$D$7)=0,"n.a.",(COUNTIF(P147:R147,"Y")+COUNTIF(P147:R147,"N"))/IF($D147="Unlabeled-13",MCDM_Settings!$F$7,MCDM_Settings!$D$7))</f>
        <v>0.66666666666666663</v>
      </c>
      <c r="AI147" s="12">
        <f>IF(IF($D147="Unlabeled-13",MCDM_Settings!$F$8,MCDM_Settings!$D$8)=0,"n.a.",5*COUNTIF(S147:U147,"Y")/IF($D147="Unlabeled-13",MCDM_Settings!$F$8,MCDM_Settings!$D$8))</f>
        <v>5</v>
      </c>
      <c r="AJ147" s="12">
        <f>IF(IF($D147="Unlabeled-13",MCDM_Settings!$F$8,MCDM_Settings!$D$8)=0,"n.a.",5*(COUNTIF(S147:U147,"Y")+COUNTIF(S147:U147,"U")+COUNTIF(S147:U147,"X"))/IF($D147="Unlabeled-13",MCDM_Settings!$F$8,MCDM_Settings!$D$8))</f>
        <v>5</v>
      </c>
      <c r="AK147" s="13">
        <f>IF(IF($D147="Unlabeled-13",MCDM_Settings!$F$8,MCDM_Settings!$D$8)=0,"n.a.",(COUNTIF(S147:U147,"Y")+COUNTIF(S147:U147,"N"))/IF($D147="Unlabeled-13",MCDM_Settings!$F$8,MCDM_Settings!$D$8))</f>
        <v>1</v>
      </c>
      <c r="AL147" s="12">
        <f>IF(IF($D147="Unlabeled-13",MCDM_Settings!$F$9,MCDM_Settings!$D$9)=0,"n.a.",5*COUNTIF(V147:W147,"Y")/IF($D147="Unlabeled-13",MCDM_Settings!$F$9,MCDM_Settings!$D$9))</f>
        <v>2.5</v>
      </c>
      <c r="AM147" s="12">
        <f>IF(IF($D147="Unlabeled-13",MCDM_Settings!$F$9,MCDM_Settings!$D$9)=0,"n.a.",5*(COUNTIF(V147:W147,"Y")+COUNTIF(V147:W147,"U")+COUNTIF(V147:W147,"X"))/IF($D147="Unlabeled-13",MCDM_Settings!$F$9,MCDM_Settings!$D$9))</f>
        <v>5</v>
      </c>
      <c r="AN147" s="13">
        <f>IF(IF($D147="Unlabeled-13",MCDM_Settings!$F$9,MCDM_Settings!$D$9)=0,"n.a.",(COUNTIF(V147:W147,"Y")+COUNTIF(V147:W147,"N"))/IF($D147="Unlabeled-13",MCDM_Settings!$F$9,MCDM_Settings!$D$9))</f>
        <v>0.5</v>
      </c>
      <c r="AO147" s="12">
        <f>IF(IF($D147="Unlabeled-13",MCDM_Settings!$F$10,MCDM_Settings!$D$10)=0,"n.a.",5*COUNTIF(X147:Y147,"Y")/IF($D147="Unlabeled-13",MCDM_Settings!$F$10,MCDM_Settings!$D$10))</f>
        <v>2.5</v>
      </c>
      <c r="AP147" s="12">
        <f>IF(IF($D147="Unlabeled-13",MCDM_Settings!$F$10,MCDM_Settings!$D$10)=0,"n.a.",5*(COUNTIF(X147:Y147,"Y")+COUNTIF(X147:Y147,"U")+COUNTIF(X147:Y147,"X"))/IF($D147="Unlabeled-13",MCDM_Settings!$F$10,MCDM_Settings!$D$10))</f>
        <v>5</v>
      </c>
      <c r="AQ147" s="13">
        <f>IF(IF($D147="Unlabeled-13",MCDM_Settings!$F$10,MCDM_Settings!$D$10)=0,"n.a.",(COUNTIF(X147:Y147,"Y")+COUNTIF(X147:Y147,"N"))/IF($D147="Unlabeled-13",MCDM_Settings!$F$10,MCDM_Settings!$D$10))</f>
        <v>0.5</v>
      </c>
      <c r="AR147" s="12">
        <f>IF(IF($D147="Unlabeled-13",MCDM_Settings!$F$11,MCDM_Settings!$D$11)=0,"n.a.",5*COUNTIF(Z147:AB147,"Y")/IF($D147="Unlabeled-13",MCDM_Settings!$F$11,MCDM_Settings!$D$11))</f>
        <v>1.6666666666666667</v>
      </c>
      <c r="AS147" s="12">
        <f>IF(IF($D147="Unlabeled-13",MCDM_Settings!$F$11,MCDM_Settings!$D$11)=0,"n.a.",5*(COUNTIF(Z147:AB147,"Y")+COUNTIF(Z147:AB147,"U")+COUNTIF(Z147:AB147,"X"))/IF($D147="Unlabeled-13",MCDM_Settings!$F$11,MCDM_Settings!$D$11))</f>
        <v>5</v>
      </c>
      <c r="AT147" s="13">
        <f>IF(IF($D147="Unlabeled-13",MCDM_Settings!$F$11,MCDM_Settings!$D$11)=0,"n.a.",(COUNTIF(Z147:AB147,"Y")+COUNTIF(Z147:AB147,"N"))/IF($D147="Unlabeled-13",MCDM_Settings!$F$11,MCDM_Settings!$D$11))</f>
        <v>0.33333333333333331</v>
      </c>
      <c r="AU147" s="5" t="str">
        <f>IF(AND(INDEX(Manual_Review!$G$6:$G$238,MATCH(A147,Manual_Review!$A$6:$A$238,0))&lt;&gt;"",ISNUMBER(INDEX(Manual_Review!$H$6:$H$238,MATCH(A147,Manual_Review!$A$6:$A$238,0))),INDEX(Manual_Review!$H$6:$H$238,MATCH(A147,Manual_Review!$A$6:$A$238,0))&gt;0,INDEX(Manual_Review!$I$6:$I$238,MATCH(A147,Manual_Review!$A$6:$A$238,0))="Confirmed",INDEX(Manual_Review!$AF$6:$AF$238,MATCH(A147,Manual_Review!$A$6:$A$238,0))&lt;&gt;""),IF(INDEX(Manual_Review!$AA$6:$AA$238,MATCH(A147,Manual_Review!$A$6:$A$238,0))="Pass","Pass",IF(INDEX(Manual_Review!$AA$6:$AA$238,MATCH(A147,Manual_Review!$A$6:$A$238,0))="Fail","Fail","Pending")),"Pending human identity confirmation")</f>
        <v>Pending human identity confirmation</v>
      </c>
      <c r="AV147" s="5" t="str">
        <f>IF(AND(AND(INDEX(Manual_Review!$G$6:$G$238,MATCH(A147,Manual_Review!$A$6:$A$238,0))&lt;&gt;"",ISNUMBER(INDEX(Manual_Review!$H$6:$H$238,MATCH(A147,Manual_Review!$A$6:$A$238,0))),INDEX(Manual_Review!$H$6:$H$238,MATCH(A147,Manual_Review!$A$6:$A$238,0))&gt;0,INDEX(Manual_Review!$I$6:$I$238,MATCH(A147,Manual_Review!$A$6:$A$238,0))="Confirmed",INDEX(Manual_Review!$AF$6:$AF$238,MATCH(A147,Manual_Review!$A$6:$A$238,0))&lt;&gt;""),INDEX(Manual_Review!$AG$6:$AG$238,MATCH(A147,Manual_Review!$A$6:$A$238,0))&lt;&gt;""),IF(INDEX(Manual_Review!$AB$6:$AB$238,MATCH(A147,Manual_Review!$A$6:$A$238,0))="Pass","Pass",IF(INDEX(Manual_Review!$AB$6:$AB$238,MATCH(A147,Manual_Review!$A$6:$A$238,0))="Fail","Fail","Pending")),"Not assessed: define intended task")</f>
        <v>Not assessed: define intended task</v>
      </c>
      <c r="AW147" s="5" t="str">
        <f>IF(AND(AND(INDEX(Manual_Review!$G$6:$G$238,MATCH(A147,Manual_Review!$A$6:$A$238,0))&lt;&gt;"",ISNUMBER(INDEX(Manual_Review!$H$6:$H$238,MATCH(A147,Manual_Review!$A$6:$A$238,0))),INDEX(Manual_Review!$H$6:$H$238,MATCH(A147,Manual_Review!$A$6:$A$238,0))&gt;0,INDEX(Manual_Review!$I$6:$I$238,MATCH(A147,Manual_Review!$A$6:$A$238,0))="Confirmed",INDEX(Manual_Review!$AF$6:$AF$238,MATCH(A147,Manual_Review!$A$6:$A$238,0))&lt;&gt;""),INDEX(Manual_Review!$AG$6:$AG$238,MATCH(A147,Manual_Review!$A$6:$A$238,0))&lt;&gt;""),IF(OR(INDEX(Manual_Review!$AC$6:$AC$238,MATCH(A147,Manual_Review!$A$6:$A$238,0))="Fail",INDEX(Manual_Review!$AD$6:$AD$238,MATCH(A147,Manual_Review!$A$6:$A$238,0))="Fail"),"Fail: rights or retrieval",IF(AND(INDEX(Manual_Review!$AC$6:$AC$238,MATCH(A147,Manual_Review!$A$6:$A$238,0))="Pass",INDEX(Manual_Review!$AD$6:$AD$238,MATCH(A147,Manual_Review!$A$6:$A$238,0))="Pass"),"Pass","Pending rights and retrieval")),"Pending rights and retrieval")</f>
        <v>Pending rights and retrieval</v>
      </c>
      <c r="AX147" s="5" t="str">
        <f>IF(INDEX(Manual_Review!$AG$6:$AG$238,MATCH(A147,Manual_Review!$A$6:$A$238,0))="","N/A: documentation inventory",IF(AND(INDEX(Manual_Review!$G$6:$G$238,MATCH(A147,Manual_Review!$A$6:$A$238,0))&lt;&gt;"",ISNUMBER(INDEX(Manual_Review!$H$6:$H$238,MATCH(A147,Manual_Review!$A$6:$A$238,0))),INDEX(Manual_Review!$H$6:$H$238,MATCH(A147,Manual_Review!$A$6:$A$238,0))&gt;0,INDEX(Manual_Review!$I$6:$I$238,MATCH(A147,Manual_Review!$A$6:$A$238,0))="Confirmed",INDEX(Manual_Review!$AF$6:$AF$238,MATCH(A147,Manual_Review!$A$6:$A$238,0))&lt;&gt;""),IF(INDEX(Manual_Review!$AE$6:$AE$238,MATCH(A147,Manual_Review!$A$6:$A$238,0))="Pass","Pass",IF(INDEX(Manual_Review!$AE$6:$AE$238,MATCH(A147,Manual_Review!$A$6:$A$238,0))="Fail","Fail: benchmark leakage",IF(INDEX(Manual_Review!$AE$6:$AE$238,MATCH(A147,Manual_Review!$A$6:$A$238,0))="N/A","N/A: nonbenchmark task","Pending task-specific leakage check"))),"Pending task-specific leakage check"))</f>
        <v>N/A: documentation inventory</v>
      </c>
      <c r="AY147" s="5" t="str">
        <f>IF(IF(D147="Unlabeled-13",AND(ABS(MCDM_Settings!$D$14-1)&lt;0.0000001,MIN(MCDM_Settings!$E$6:$E$11)&gt;=0,MCDM_Settings!$E$7=0),AND(ABS(MCDM_Settings!$B$14-1)&lt;0.0000001,MIN(MCDM_Settings!$C$6:$C$11)&gt;=0)),"Valid","Check weights")</f>
        <v>Valid</v>
      </c>
      <c r="AZ147" s="5" t="str">
        <f>IF(AND(COUNTIF(MCDM_Checks!$B$6:$B$3733,A147)=16,COUNTIF(Manual_Review!$A$6:$A$238,A147)=1),"16 keys present","Check key count")</f>
        <v>16 keys present</v>
      </c>
    </row>
    <row r="148" spans="1:52">
      <c r="A148" s="5" t="s">
        <v>1644</v>
      </c>
      <c r="B148" s="5" t="s">
        <v>1645</v>
      </c>
      <c r="C148" s="5"/>
      <c r="D148" s="5" t="s">
        <v>118</v>
      </c>
      <c r="E148" s="12">
        <f>IF(OR(AY148&lt;&gt;"Valid",AZ148&lt;&gt;"16 keys present"),"Review settings",20*(IF(ISNUMBER(AC148),AC148*IF($D148="Unlabeled-13",MCDM_Settings!$E$6,MCDM_Settings!$C$6),0)+IF(ISNUMBER(AF148),AF148*IF($D148="Unlabeled-13",MCDM_Settings!$E$7,MCDM_Settings!$C$7),0)+IF(ISNUMBER(AI148),AI148*IF($D148="Unlabeled-13",MCDM_Settings!$E$8,MCDM_Settings!$C$8),0)+IF(ISNUMBER(AL148),AL148*IF($D148="Unlabeled-13",MCDM_Settings!$E$9,MCDM_Settings!$C$9),0)+IF(ISNUMBER(AO148),AO148*IF($D148="Unlabeled-13",MCDM_Settings!$E$10,MCDM_Settings!$C$10),0)+IF(ISNUMBER(AR148),AR148*IF($D148="Unlabeled-13",MCDM_Settings!$E$11,MCDM_Settings!$C$11),0)))</f>
        <v>55.555555555555557</v>
      </c>
      <c r="F148" s="12">
        <f>IF(OR(AY148&lt;&gt;"Valid",AZ148&lt;&gt;"16 keys present"),"Review settings",20*(IF(ISNUMBER(AD148),AD148*IF($D148="Unlabeled-13",MCDM_Settings!$E$6,MCDM_Settings!$C$6),0)+IF(ISNUMBER(AG148),AG148*IF($D148="Unlabeled-13",MCDM_Settings!$E$7,MCDM_Settings!$C$7),0)+IF(ISNUMBER(AJ148),AJ148*IF($D148="Unlabeled-13",MCDM_Settings!$E$8,MCDM_Settings!$C$8),0)+IF(ISNUMBER(AM148),AM148*IF($D148="Unlabeled-13",MCDM_Settings!$E$9,MCDM_Settings!$C$9),0)+IF(ISNUMBER(AP148),AP148*IF($D148="Unlabeled-13",MCDM_Settings!$E$10,MCDM_Settings!$C$10),0)+IF(ISNUMBER(AS148),AS148*IF($D148="Unlabeled-13",MCDM_Settings!$E$11,MCDM_Settings!$C$11),0)))</f>
        <v>99.999999999999986</v>
      </c>
      <c r="G148" s="13">
        <f>IF(OR(AY148&lt;&gt;"Valid",AZ148&lt;&gt;"16 keys present"),"Review settings",1*(IF(ISNUMBER(AE148),AE148*IF($D148="Unlabeled-13",MCDM_Settings!$E$6,MCDM_Settings!$C$6),0)+IF(ISNUMBER(AH148),AH148*IF($D148="Unlabeled-13",MCDM_Settings!$E$7,MCDM_Settings!$C$7),0)+IF(ISNUMBER(AK148),AK148*IF($D148="Unlabeled-13",MCDM_Settings!$E$8,MCDM_Settings!$C$8),0)+IF(ISNUMBER(AN148),AN148*IF($D148="Unlabeled-13",MCDM_Settings!$E$9,MCDM_Settings!$C$9),0)+IF(ISNUMBER(AQ148),AQ148*IF($D148="Unlabeled-13",MCDM_Settings!$E$10,MCDM_Settings!$C$10),0)+IF(ISNUMBER(AT148),AT148*IF($D148="Unlabeled-13",MCDM_Settings!$E$11,MCDM_Settings!$C$11),0)))</f>
        <v>0.55555555555555558</v>
      </c>
      <c r="H148" s="5" t="str">
        <f>INDEX(Manual_Review!$AH$6:$AH$238,MATCH(A148,Manual_Review!$A$6:$A$238,0))</f>
        <v>Not started</v>
      </c>
      <c r="I148" s="5" t="s">
        <v>128</v>
      </c>
      <c r="J148" s="5" t="s">
        <v>1601</v>
      </c>
      <c r="K148" s="5" t="str">
        <f>HYPERLINK("https://www.kaggle.com/datasets/ammanaveen/custom-multitask-indian-road-dataset-cmird","Dataset")</f>
        <v>Dataset</v>
      </c>
      <c r="L148" s="5" t="str">
        <f>HYPERLINK("#'Manual_Review'!A"&amp;(MATCH("DS-143",Manual_Review!$A$6:$A$238,0)+5),"Enter review")</f>
        <v>Enter review</v>
      </c>
      <c r="M148" s="5" t="str">
        <f>INDEX(MCDM_Checks!$K$6:$K$3733,MATCH(A148&amp;"|"&amp;M$5,MCDM_Checks!$A$6:$A$3733,0))</f>
        <v>Y</v>
      </c>
      <c r="N148" s="5" t="str">
        <f>INDEX(MCDM_Checks!$K$6:$K$3733,MATCH(A148&amp;"|"&amp;N$5,MCDM_Checks!$A$6:$A$3733,0))</f>
        <v>Y</v>
      </c>
      <c r="O148" s="5" t="str">
        <f>INDEX(MCDM_Checks!$K$6:$K$3733,MATCH(A148&amp;"|"&amp;O$5,MCDM_Checks!$A$6:$A$3733,0))</f>
        <v>Y</v>
      </c>
      <c r="P148" s="5" t="str">
        <f>INDEX(MCDM_Checks!$K$6:$K$3733,MATCH(A148&amp;"|"&amp;P$5,MCDM_Checks!$A$6:$A$3733,0))</f>
        <v>U</v>
      </c>
      <c r="Q148" s="5" t="str">
        <f>INDEX(MCDM_Checks!$K$6:$K$3733,MATCH(A148&amp;"|"&amp;Q$5,MCDM_Checks!$A$6:$A$3733,0))</f>
        <v>U</v>
      </c>
      <c r="R148" s="5" t="str">
        <f>INDEX(MCDM_Checks!$K$6:$K$3733,MATCH(A148&amp;"|"&amp;R$5,MCDM_Checks!$A$6:$A$3733,0))</f>
        <v>Y</v>
      </c>
      <c r="S148" s="5" t="str">
        <f>INDEX(MCDM_Checks!$K$6:$K$3733,MATCH(A148&amp;"|"&amp;S$5,MCDM_Checks!$A$6:$A$3733,0))</f>
        <v>U</v>
      </c>
      <c r="T148" s="5" t="str">
        <f>INDEX(MCDM_Checks!$K$6:$K$3733,MATCH(A148&amp;"|"&amp;T$5,MCDM_Checks!$A$6:$A$3733,0))</f>
        <v>Y</v>
      </c>
      <c r="U148" s="5" t="str">
        <f>INDEX(MCDM_Checks!$K$6:$K$3733,MATCH(A148&amp;"|"&amp;U$5,MCDM_Checks!$A$6:$A$3733,0))</f>
        <v>Y</v>
      </c>
      <c r="V148" s="5" t="str">
        <f>INDEX(MCDM_Checks!$K$6:$K$3733,MATCH(A148&amp;"|"&amp;V$5,MCDM_Checks!$A$6:$A$3733,0))</f>
        <v>U</v>
      </c>
      <c r="W148" s="5" t="str">
        <f>INDEX(MCDM_Checks!$K$6:$K$3733,MATCH(A148&amp;"|"&amp;W$5,MCDM_Checks!$A$6:$A$3733,0))</f>
        <v>U</v>
      </c>
      <c r="X148" s="5" t="str">
        <f>INDEX(MCDM_Checks!$K$6:$K$3733,MATCH(A148&amp;"|"&amp;X$5,MCDM_Checks!$A$6:$A$3733,0))</f>
        <v>Y</v>
      </c>
      <c r="Y148" s="5" t="str">
        <f>INDEX(MCDM_Checks!$K$6:$K$3733,MATCH(A148&amp;"|"&amp;Y$5,MCDM_Checks!$A$6:$A$3733,0))</f>
        <v>Y</v>
      </c>
      <c r="Z148" s="5" t="str">
        <f>INDEX(MCDM_Checks!$K$6:$K$3733,MATCH(A148&amp;"|"&amp;Z$5,MCDM_Checks!$A$6:$A$3733,0))</f>
        <v>Y</v>
      </c>
      <c r="AA148" s="5" t="str">
        <f>INDEX(MCDM_Checks!$K$6:$K$3733,MATCH(A148&amp;"|"&amp;AA$5,MCDM_Checks!$A$6:$A$3733,0))</f>
        <v>U</v>
      </c>
      <c r="AB148" s="5" t="str">
        <f>INDEX(MCDM_Checks!$K$6:$K$3733,MATCH(A148&amp;"|"&amp;AB$5,MCDM_Checks!$A$6:$A$3733,0))</f>
        <v>U</v>
      </c>
      <c r="AC148" s="12">
        <f>IF(IF($D148="Unlabeled-13",MCDM_Settings!$F$6,MCDM_Settings!$D$6)=0,"n.a.",5*COUNTIF(M148:O148,"Y")/IF($D148="Unlabeled-13",MCDM_Settings!$F$6,MCDM_Settings!$D$6))</f>
        <v>5</v>
      </c>
      <c r="AD148" s="12">
        <f>IF(IF($D148="Unlabeled-13",MCDM_Settings!$F$6,MCDM_Settings!$D$6)=0,"n.a.",5*(COUNTIF(M148:O148,"Y")+COUNTIF(M148:O148,"U")+COUNTIF(M148:O148,"X"))/IF($D148="Unlabeled-13",MCDM_Settings!$F$6,MCDM_Settings!$D$6))</f>
        <v>5</v>
      </c>
      <c r="AE148" s="13">
        <f>IF(IF($D148="Unlabeled-13",MCDM_Settings!$F$6,MCDM_Settings!$D$6)=0,"n.a.",(COUNTIF(M148:O148,"Y")+COUNTIF(M148:O148,"N"))/IF($D148="Unlabeled-13",MCDM_Settings!$F$6,MCDM_Settings!$D$6))</f>
        <v>1</v>
      </c>
      <c r="AF148" s="12">
        <f>IF(IF($D148="Unlabeled-13",MCDM_Settings!$F$7,MCDM_Settings!$D$7)=0,"n.a.",5*COUNTIF(P148:R148,"Y")/IF($D148="Unlabeled-13",MCDM_Settings!$F$7,MCDM_Settings!$D$7))</f>
        <v>1.6666666666666667</v>
      </c>
      <c r="AG148" s="12">
        <f>IF(IF($D148="Unlabeled-13",MCDM_Settings!$F$7,MCDM_Settings!$D$7)=0,"n.a.",5*(COUNTIF(P148:R148,"Y")+COUNTIF(P148:R148,"U")+COUNTIF(P148:R148,"X"))/IF($D148="Unlabeled-13",MCDM_Settings!$F$7,MCDM_Settings!$D$7))</f>
        <v>5</v>
      </c>
      <c r="AH148" s="13">
        <f>IF(IF($D148="Unlabeled-13",MCDM_Settings!$F$7,MCDM_Settings!$D$7)=0,"n.a.",(COUNTIF(P148:R148,"Y")+COUNTIF(P148:R148,"N"))/IF($D148="Unlabeled-13",MCDM_Settings!$F$7,MCDM_Settings!$D$7))</f>
        <v>0.33333333333333331</v>
      </c>
      <c r="AI148" s="12">
        <f>IF(IF($D148="Unlabeled-13",MCDM_Settings!$F$8,MCDM_Settings!$D$8)=0,"n.a.",5*COUNTIF(S148:U148,"Y")/IF($D148="Unlabeled-13",MCDM_Settings!$F$8,MCDM_Settings!$D$8))</f>
        <v>3.3333333333333335</v>
      </c>
      <c r="AJ148" s="12">
        <f>IF(IF($D148="Unlabeled-13",MCDM_Settings!$F$8,MCDM_Settings!$D$8)=0,"n.a.",5*(COUNTIF(S148:U148,"Y")+COUNTIF(S148:U148,"U")+COUNTIF(S148:U148,"X"))/IF($D148="Unlabeled-13",MCDM_Settings!$F$8,MCDM_Settings!$D$8))</f>
        <v>5</v>
      </c>
      <c r="AK148" s="13">
        <f>IF(IF($D148="Unlabeled-13",MCDM_Settings!$F$8,MCDM_Settings!$D$8)=0,"n.a.",(COUNTIF(S148:U148,"Y")+COUNTIF(S148:U148,"N"))/IF($D148="Unlabeled-13",MCDM_Settings!$F$8,MCDM_Settings!$D$8))</f>
        <v>0.66666666666666663</v>
      </c>
      <c r="AL148" s="12">
        <f>IF(IF($D148="Unlabeled-13",MCDM_Settings!$F$9,MCDM_Settings!$D$9)=0,"n.a.",5*COUNTIF(V148:W148,"Y")/IF($D148="Unlabeled-13",MCDM_Settings!$F$9,MCDM_Settings!$D$9))</f>
        <v>0</v>
      </c>
      <c r="AM148" s="12">
        <f>IF(IF($D148="Unlabeled-13",MCDM_Settings!$F$9,MCDM_Settings!$D$9)=0,"n.a.",5*(COUNTIF(V148:W148,"Y")+COUNTIF(V148:W148,"U")+COUNTIF(V148:W148,"X"))/IF($D148="Unlabeled-13",MCDM_Settings!$F$9,MCDM_Settings!$D$9))</f>
        <v>5</v>
      </c>
      <c r="AN148" s="13">
        <f>IF(IF($D148="Unlabeled-13",MCDM_Settings!$F$9,MCDM_Settings!$D$9)=0,"n.a.",(COUNTIF(V148:W148,"Y")+COUNTIF(V148:W148,"N"))/IF($D148="Unlabeled-13",MCDM_Settings!$F$9,MCDM_Settings!$D$9))</f>
        <v>0</v>
      </c>
      <c r="AO148" s="12">
        <f>IF(IF($D148="Unlabeled-13",MCDM_Settings!$F$10,MCDM_Settings!$D$10)=0,"n.a.",5*COUNTIF(X148:Y148,"Y")/IF($D148="Unlabeled-13",MCDM_Settings!$F$10,MCDM_Settings!$D$10))</f>
        <v>5</v>
      </c>
      <c r="AP148" s="12">
        <f>IF(IF($D148="Unlabeled-13",MCDM_Settings!$F$10,MCDM_Settings!$D$10)=0,"n.a.",5*(COUNTIF(X148:Y148,"Y")+COUNTIF(X148:Y148,"U")+COUNTIF(X148:Y148,"X"))/IF($D148="Unlabeled-13",MCDM_Settings!$F$10,MCDM_Settings!$D$10))</f>
        <v>5</v>
      </c>
      <c r="AQ148" s="13">
        <f>IF(IF($D148="Unlabeled-13",MCDM_Settings!$F$10,MCDM_Settings!$D$10)=0,"n.a.",(COUNTIF(X148:Y148,"Y")+COUNTIF(X148:Y148,"N"))/IF($D148="Unlabeled-13",MCDM_Settings!$F$10,MCDM_Settings!$D$10))</f>
        <v>1</v>
      </c>
      <c r="AR148" s="12">
        <f>IF(IF($D148="Unlabeled-13",MCDM_Settings!$F$11,MCDM_Settings!$D$11)=0,"n.a.",5*COUNTIF(Z148:AB148,"Y")/IF($D148="Unlabeled-13",MCDM_Settings!$F$11,MCDM_Settings!$D$11))</f>
        <v>1.6666666666666667</v>
      </c>
      <c r="AS148" s="12">
        <f>IF(IF($D148="Unlabeled-13",MCDM_Settings!$F$11,MCDM_Settings!$D$11)=0,"n.a.",5*(COUNTIF(Z148:AB148,"Y")+COUNTIF(Z148:AB148,"U")+COUNTIF(Z148:AB148,"X"))/IF($D148="Unlabeled-13",MCDM_Settings!$F$11,MCDM_Settings!$D$11))</f>
        <v>5</v>
      </c>
      <c r="AT148" s="13">
        <f>IF(IF($D148="Unlabeled-13",MCDM_Settings!$F$11,MCDM_Settings!$D$11)=0,"n.a.",(COUNTIF(Z148:AB148,"Y")+COUNTIF(Z148:AB148,"N"))/IF($D148="Unlabeled-13",MCDM_Settings!$F$11,MCDM_Settings!$D$11))</f>
        <v>0.33333333333333331</v>
      </c>
      <c r="AU148" s="5" t="str">
        <f>IF(AND(INDEX(Manual_Review!$G$6:$G$238,MATCH(A148,Manual_Review!$A$6:$A$238,0))&lt;&gt;"",ISNUMBER(INDEX(Manual_Review!$H$6:$H$238,MATCH(A148,Manual_Review!$A$6:$A$238,0))),INDEX(Manual_Review!$H$6:$H$238,MATCH(A148,Manual_Review!$A$6:$A$238,0))&gt;0,INDEX(Manual_Review!$I$6:$I$238,MATCH(A148,Manual_Review!$A$6:$A$238,0))="Confirmed",INDEX(Manual_Review!$AF$6:$AF$238,MATCH(A148,Manual_Review!$A$6:$A$238,0))&lt;&gt;""),IF(INDEX(Manual_Review!$AA$6:$AA$238,MATCH(A148,Manual_Review!$A$6:$A$238,0))="Pass","Pass",IF(INDEX(Manual_Review!$AA$6:$AA$238,MATCH(A148,Manual_Review!$A$6:$A$238,0))="Fail","Fail","Pending")),"Pending human identity confirmation")</f>
        <v>Pending human identity confirmation</v>
      </c>
      <c r="AV148" s="5" t="str">
        <f>IF(AND(AND(INDEX(Manual_Review!$G$6:$G$238,MATCH(A148,Manual_Review!$A$6:$A$238,0))&lt;&gt;"",ISNUMBER(INDEX(Manual_Review!$H$6:$H$238,MATCH(A148,Manual_Review!$A$6:$A$238,0))),INDEX(Manual_Review!$H$6:$H$238,MATCH(A148,Manual_Review!$A$6:$A$238,0))&gt;0,INDEX(Manual_Review!$I$6:$I$238,MATCH(A148,Manual_Review!$A$6:$A$238,0))="Confirmed",INDEX(Manual_Review!$AF$6:$AF$238,MATCH(A148,Manual_Review!$A$6:$A$238,0))&lt;&gt;""),INDEX(Manual_Review!$AG$6:$AG$238,MATCH(A148,Manual_Review!$A$6:$A$238,0))&lt;&gt;""),IF(INDEX(Manual_Review!$AB$6:$AB$238,MATCH(A148,Manual_Review!$A$6:$A$238,0))="Pass","Pass",IF(INDEX(Manual_Review!$AB$6:$AB$238,MATCH(A148,Manual_Review!$A$6:$A$238,0))="Fail","Fail","Pending")),"Not assessed: define intended task")</f>
        <v>Not assessed: define intended task</v>
      </c>
      <c r="AW148" s="5" t="str">
        <f>IF(AND(AND(INDEX(Manual_Review!$G$6:$G$238,MATCH(A148,Manual_Review!$A$6:$A$238,0))&lt;&gt;"",ISNUMBER(INDEX(Manual_Review!$H$6:$H$238,MATCH(A148,Manual_Review!$A$6:$A$238,0))),INDEX(Manual_Review!$H$6:$H$238,MATCH(A148,Manual_Review!$A$6:$A$238,0))&gt;0,INDEX(Manual_Review!$I$6:$I$238,MATCH(A148,Manual_Review!$A$6:$A$238,0))="Confirmed",INDEX(Manual_Review!$AF$6:$AF$238,MATCH(A148,Manual_Review!$A$6:$A$238,0))&lt;&gt;""),INDEX(Manual_Review!$AG$6:$AG$238,MATCH(A148,Manual_Review!$A$6:$A$238,0))&lt;&gt;""),IF(OR(INDEX(Manual_Review!$AC$6:$AC$238,MATCH(A148,Manual_Review!$A$6:$A$238,0))="Fail",INDEX(Manual_Review!$AD$6:$AD$238,MATCH(A148,Manual_Review!$A$6:$A$238,0))="Fail"),"Fail: rights or retrieval",IF(AND(INDEX(Manual_Review!$AC$6:$AC$238,MATCH(A148,Manual_Review!$A$6:$A$238,0))="Pass",INDEX(Manual_Review!$AD$6:$AD$238,MATCH(A148,Manual_Review!$A$6:$A$238,0))="Pass"),"Pass","Pending rights and retrieval")),"Pending rights and retrieval")</f>
        <v>Pending rights and retrieval</v>
      </c>
      <c r="AX148" s="5" t="str">
        <f>IF(INDEX(Manual_Review!$AG$6:$AG$238,MATCH(A148,Manual_Review!$A$6:$A$238,0))="","N/A: documentation inventory",IF(AND(INDEX(Manual_Review!$G$6:$G$238,MATCH(A148,Manual_Review!$A$6:$A$238,0))&lt;&gt;"",ISNUMBER(INDEX(Manual_Review!$H$6:$H$238,MATCH(A148,Manual_Review!$A$6:$A$238,0))),INDEX(Manual_Review!$H$6:$H$238,MATCH(A148,Manual_Review!$A$6:$A$238,0))&gt;0,INDEX(Manual_Review!$I$6:$I$238,MATCH(A148,Manual_Review!$A$6:$A$238,0))="Confirmed",INDEX(Manual_Review!$AF$6:$AF$238,MATCH(A148,Manual_Review!$A$6:$A$238,0))&lt;&gt;""),IF(INDEX(Manual_Review!$AE$6:$AE$238,MATCH(A148,Manual_Review!$A$6:$A$238,0))="Pass","Pass",IF(INDEX(Manual_Review!$AE$6:$AE$238,MATCH(A148,Manual_Review!$A$6:$A$238,0))="Fail","Fail: benchmark leakage",IF(INDEX(Manual_Review!$AE$6:$AE$238,MATCH(A148,Manual_Review!$A$6:$A$238,0))="N/A","N/A: nonbenchmark task","Pending task-specific leakage check"))),"Pending task-specific leakage check"))</f>
        <v>N/A: documentation inventory</v>
      </c>
      <c r="AY148" s="5" t="str">
        <f>IF(IF(D148="Unlabeled-13",AND(ABS(MCDM_Settings!$D$14-1)&lt;0.0000001,MIN(MCDM_Settings!$E$6:$E$11)&gt;=0,MCDM_Settings!$E$7=0),AND(ABS(MCDM_Settings!$B$14-1)&lt;0.0000001,MIN(MCDM_Settings!$C$6:$C$11)&gt;=0)),"Valid","Check weights")</f>
        <v>Valid</v>
      </c>
      <c r="AZ148" s="5" t="str">
        <f>IF(AND(COUNTIF(MCDM_Checks!$B$6:$B$3733,A148)=16,COUNTIF(Manual_Review!$A$6:$A$238,A148)=1),"16 keys present","Check key count")</f>
        <v>16 keys present</v>
      </c>
    </row>
    <row r="149" spans="1:52">
      <c r="A149" s="5" t="s">
        <v>1653</v>
      </c>
      <c r="B149" s="5" t="s">
        <v>1654</v>
      </c>
      <c r="C149" s="5"/>
      <c r="D149" s="5" t="s">
        <v>118</v>
      </c>
      <c r="E149" s="12">
        <f>IF(OR(AY149&lt;&gt;"Valid",AZ149&lt;&gt;"16 keys present"),"Review settings",20*(IF(ISNUMBER(AC149),AC149*IF($D149="Unlabeled-13",MCDM_Settings!$E$6,MCDM_Settings!$C$6),0)+IF(ISNUMBER(AF149),AF149*IF($D149="Unlabeled-13",MCDM_Settings!$E$7,MCDM_Settings!$C$7),0)+IF(ISNUMBER(AI149),AI149*IF($D149="Unlabeled-13",MCDM_Settings!$E$8,MCDM_Settings!$C$8),0)+IF(ISNUMBER(AL149),AL149*IF($D149="Unlabeled-13",MCDM_Settings!$E$9,MCDM_Settings!$C$9),0)+IF(ISNUMBER(AO149),AO149*IF($D149="Unlabeled-13",MCDM_Settings!$E$10,MCDM_Settings!$C$10),0)+IF(ISNUMBER(AR149),AR149*IF($D149="Unlabeled-13",MCDM_Settings!$E$11,MCDM_Settings!$C$11),0)))</f>
        <v>16.666666666666664</v>
      </c>
      <c r="F149" s="12">
        <f>IF(OR(AY149&lt;&gt;"Valid",AZ149&lt;&gt;"16 keys present"),"Review settings",20*(IF(ISNUMBER(AD149),AD149*IF($D149="Unlabeled-13",MCDM_Settings!$E$6,MCDM_Settings!$C$6),0)+IF(ISNUMBER(AG149),AG149*IF($D149="Unlabeled-13",MCDM_Settings!$E$7,MCDM_Settings!$C$7),0)+IF(ISNUMBER(AJ149),AJ149*IF($D149="Unlabeled-13",MCDM_Settings!$E$8,MCDM_Settings!$C$8),0)+IF(ISNUMBER(AM149),AM149*IF($D149="Unlabeled-13",MCDM_Settings!$E$9,MCDM_Settings!$C$9),0)+IF(ISNUMBER(AP149),AP149*IF($D149="Unlabeled-13",MCDM_Settings!$E$10,MCDM_Settings!$C$10),0)+IF(ISNUMBER(AS149),AS149*IF($D149="Unlabeled-13",MCDM_Settings!$E$11,MCDM_Settings!$C$11),0)))</f>
        <v>99.999999999999986</v>
      </c>
      <c r="G149" s="13">
        <f>IF(OR(AY149&lt;&gt;"Valid",AZ149&lt;&gt;"16 keys present"),"Review settings",1*(IF(ISNUMBER(AE149),AE149*IF($D149="Unlabeled-13",MCDM_Settings!$E$6,MCDM_Settings!$C$6),0)+IF(ISNUMBER(AH149),AH149*IF($D149="Unlabeled-13",MCDM_Settings!$E$7,MCDM_Settings!$C$7),0)+IF(ISNUMBER(AK149),AK149*IF($D149="Unlabeled-13",MCDM_Settings!$E$8,MCDM_Settings!$C$8),0)+IF(ISNUMBER(AN149),AN149*IF($D149="Unlabeled-13",MCDM_Settings!$E$9,MCDM_Settings!$C$9),0)+IF(ISNUMBER(AQ149),AQ149*IF($D149="Unlabeled-13",MCDM_Settings!$E$10,MCDM_Settings!$C$10),0)+IF(ISNUMBER(AT149),AT149*IF($D149="Unlabeled-13",MCDM_Settings!$E$11,MCDM_Settings!$C$11),0)))</f>
        <v>0.16666666666666666</v>
      </c>
      <c r="H149" s="5" t="str">
        <f>INDEX(Manual_Review!$AH$6:$AH$238,MATCH(A149,Manual_Review!$A$6:$A$238,0))</f>
        <v>Not started</v>
      </c>
      <c r="I149" s="5" t="s">
        <v>128</v>
      </c>
      <c r="J149" s="5" t="s">
        <v>1601</v>
      </c>
      <c r="K149" s="5" t="str">
        <f>HYPERLINK("https://www.kaggle.com/datasets/ziya07/highway-surface-crack-detection","Dataset")</f>
        <v>Dataset</v>
      </c>
      <c r="L149" s="5" t="str">
        <f>HYPERLINK("#'Manual_Review'!A"&amp;(MATCH("DS-144",Manual_Review!$A$6:$A$238,0)+5),"Enter review")</f>
        <v>Enter review</v>
      </c>
      <c r="M149" s="5" t="str">
        <f>INDEX(MCDM_Checks!$K$6:$K$3733,MATCH(A149&amp;"|"&amp;M$5,MCDM_Checks!$A$6:$A$3733,0))</f>
        <v>Y</v>
      </c>
      <c r="N149" s="5" t="str">
        <f>INDEX(MCDM_Checks!$K$6:$K$3733,MATCH(A149&amp;"|"&amp;N$5,MCDM_Checks!$A$6:$A$3733,0))</f>
        <v>Y</v>
      </c>
      <c r="O149" s="5" t="str">
        <f>INDEX(MCDM_Checks!$K$6:$K$3733,MATCH(A149&amp;"|"&amp;O$5,MCDM_Checks!$A$6:$A$3733,0))</f>
        <v>Y</v>
      </c>
      <c r="P149" s="5" t="str">
        <f>INDEX(MCDM_Checks!$K$6:$K$3733,MATCH(A149&amp;"|"&amp;P$5,MCDM_Checks!$A$6:$A$3733,0))</f>
        <v>U</v>
      </c>
      <c r="Q149" s="5" t="str">
        <f>INDEX(MCDM_Checks!$K$6:$K$3733,MATCH(A149&amp;"|"&amp;Q$5,MCDM_Checks!$A$6:$A$3733,0))</f>
        <v>U</v>
      </c>
      <c r="R149" s="5" t="str">
        <f>INDEX(MCDM_Checks!$K$6:$K$3733,MATCH(A149&amp;"|"&amp;R$5,MCDM_Checks!$A$6:$A$3733,0))</f>
        <v>U</v>
      </c>
      <c r="S149" s="5" t="str">
        <f>INDEX(MCDM_Checks!$K$6:$K$3733,MATCH(A149&amp;"|"&amp;S$5,MCDM_Checks!$A$6:$A$3733,0))</f>
        <v>U</v>
      </c>
      <c r="T149" s="5" t="str">
        <f>INDEX(MCDM_Checks!$K$6:$K$3733,MATCH(A149&amp;"|"&amp;T$5,MCDM_Checks!$A$6:$A$3733,0))</f>
        <v>U</v>
      </c>
      <c r="U149" s="5" t="str">
        <f>INDEX(MCDM_Checks!$K$6:$K$3733,MATCH(A149&amp;"|"&amp;U$5,MCDM_Checks!$A$6:$A$3733,0))</f>
        <v>U</v>
      </c>
      <c r="V149" s="5" t="str">
        <f>INDEX(MCDM_Checks!$K$6:$K$3733,MATCH(A149&amp;"|"&amp;V$5,MCDM_Checks!$A$6:$A$3733,0))</f>
        <v>U</v>
      </c>
      <c r="W149" s="5" t="str">
        <f>INDEX(MCDM_Checks!$K$6:$K$3733,MATCH(A149&amp;"|"&amp;W$5,MCDM_Checks!$A$6:$A$3733,0))</f>
        <v>U</v>
      </c>
      <c r="X149" s="5" t="str">
        <f>INDEX(MCDM_Checks!$K$6:$K$3733,MATCH(A149&amp;"|"&amp;X$5,MCDM_Checks!$A$6:$A$3733,0))</f>
        <v>U</v>
      </c>
      <c r="Y149" s="5" t="str">
        <f>INDEX(MCDM_Checks!$K$6:$K$3733,MATCH(A149&amp;"|"&amp;Y$5,MCDM_Checks!$A$6:$A$3733,0))</f>
        <v>U</v>
      </c>
      <c r="Z149" s="5" t="str">
        <f>INDEX(MCDM_Checks!$K$6:$K$3733,MATCH(A149&amp;"|"&amp;Z$5,MCDM_Checks!$A$6:$A$3733,0))</f>
        <v>U</v>
      </c>
      <c r="AA149" s="5" t="str">
        <f>INDEX(MCDM_Checks!$K$6:$K$3733,MATCH(A149&amp;"|"&amp;AA$5,MCDM_Checks!$A$6:$A$3733,0))</f>
        <v>U</v>
      </c>
      <c r="AB149" s="5" t="str">
        <f>INDEX(MCDM_Checks!$K$6:$K$3733,MATCH(A149&amp;"|"&amp;AB$5,MCDM_Checks!$A$6:$A$3733,0))</f>
        <v>U</v>
      </c>
      <c r="AC149" s="12">
        <f>IF(IF($D149="Unlabeled-13",MCDM_Settings!$F$6,MCDM_Settings!$D$6)=0,"n.a.",5*COUNTIF(M149:O149,"Y")/IF($D149="Unlabeled-13",MCDM_Settings!$F$6,MCDM_Settings!$D$6))</f>
        <v>5</v>
      </c>
      <c r="AD149" s="12">
        <f>IF(IF($D149="Unlabeled-13",MCDM_Settings!$F$6,MCDM_Settings!$D$6)=0,"n.a.",5*(COUNTIF(M149:O149,"Y")+COUNTIF(M149:O149,"U")+COUNTIF(M149:O149,"X"))/IF($D149="Unlabeled-13",MCDM_Settings!$F$6,MCDM_Settings!$D$6))</f>
        <v>5</v>
      </c>
      <c r="AE149" s="13">
        <f>IF(IF($D149="Unlabeled-13",MCDM_Settings!$F$6,MCDM_Settings!$D$6)=0,"n.a.",(COUNTIF(M149:O149,"Y")+COUNTIF(M149:O149,"N"))/IF($D149="Unlabeled-13",MCDM_Settings!$F$6,MCDM_Settings!$D$6))</f>
        <v>1</v>
      </c>
      <c r="AF149" s="12">
        <f>IF(IF($D149="Unlabeled-13",MCDM_Settings!$F$7,MCDM_Settings!$D$7)=0,"n.a.",5*COUNTIF(P149:R149,"Y")/IF($D149="Unlabeled-13",MCDM_Settings!$F$7,MCDM_Settings!$D$7))</f>
        <v>0</v>
      </c>
      <c r="AG149" s="12">
        <f>IF(IF($D149="Unlabeled-13",MCDM_Settings!$F$7,MCDM_Settings!$D$7)=0,"n.a.",5*(COUNTIF(P149:R149,"Y")+COUNTIF(P149:R149,"U")+COUNTIF(P149:R149,"X"))/IF($D149="Unlabeled-13",MCDM_Settings!$F$7,MCDM_Settings!$D$7))</f>
        <v>5</v>
      </c>
      <c r="AH149" s="13">
        <f>IF(IF($D149="Unlabeled-13",MCDM_Settings!$F$7,MCDM_Settings!$D$7)=0,"n.a.",(COUNTIF(P149:R149,"Y")+COUNTIF(P149:R149,"N"))/IF($D149="Unlabeled-13",MCDM_Settings!$F$7,MCDM_Settings!$D$7))</f>
        <v>0</v>
      </c>
      <c r="AI149" s="12">
        <f>IF(IF($D149="Unlabeled-13",MCDM_Settings!$F$8,MCDM_Settings!$D$8)=0,"n.a.",5*COUNTIF(S149:U149,"Y")/IF($D149="Unlabeled-13",MCDM_Settings!$F$8,MCDM_Settings!$D$8))</f>
        <v>0</v>
      </c>
      <c r="AJ149" s="12">
        <f>IF(IF($D149="Unlabeled-13",MCDM_Settings!$F$8,MCDM_Settings!$D$8)=0,"n.a.",5*(COUNTIF(S149:U149,"Y")+COUNTIF(S149:U149,"U")+COUNTIF(S149:U149,"X"))/IF($D149="Unlabeled-13",MCDM_Settings!$F$8,MCDM_Settings!$D$8))</f>
        <v>5</v>
      </c>
      <c r="AK149" s="13">
        <f>IF(IF($D149="Unlabeled-13",MCDM_Settings!$F$8,MCDM_Settings!$D$8)=0,"n.a.",(COUNTIF(S149:U149,"Y")+COUNTIF(S149:U149,"N"))/IF($D149="Unlabeled-13",MCDM_Settings!$F$8,MCDM_Settings!$D$8))</f>
        <v>0</v>
      </c>
      <c r="AL149" s="12">
        <f>IF(IF($D149="Unlabeled-13",MCDM_Settings!$F$9,MCDM_Settings!$D$9)=0,"n.a.",5*COUNTIF(V149:W149,"Y")/IF($D149="Unlabeled-13",MCDM_Settings!$F$9,MCDM_Settings!$D$9))</f>
        <v>0</v>
      </c>
      <c r="AM149" s="12">
        <f>IF(IF($D149="Unlabeled-13",MCDM_Settings!$F$9,MCDM_Settings!$D$9)=0,"n.a.",5*(COUNTIF(V149:W149,"Y")+COUNTIF(V149:W149,"U")+COUNTIF(V149:W149,"X"))/IF($D149="Unlabeled-13",MCDM_Settings!$F$9,MCDM_Settings!$D$9))</f>
        <v>5</v>
      </c>
      <c r="AN149" s="13">
        <f>IF(IF($D149="Unlabeled-13",MCDM_Settings!$F$9,MCDM_Settings!$D$9)=0,"n.a.",(COUNTIF(V149:W149,"Y")+COUNTIF(V149:W149,"N"))/IF($D149="Unlabeled-13",MCDM_Settings!$F$9,MCDM_Settings!$D$9))</f>
        <v>0</v>
      </c>
      <c r="AO149" s="12">
        <f>IF(IF($D149="Unlabeled-13",MCDM_Settings!$F$10,MCDM_Settings!$D$10)=0,"n.a.",5*COUNTIF(X149:Y149,"Y")/IF($D149="Unlabeled-13",MCDM_Settings!$F$10,MCDM_Settings!$D$10))</f>
        <v>0</v>
      </c>
      <c r="AP149" s="12">
        <f>IF(IF($D149="Unlabeled-13",MCDM_Settings!$F$10,MCDM_Settings!$D$10)=0,"n.a.",5*(COUNTIF(X149:Y149,"Y")+COUNTIF(X149:Y149,"U")+COUNTIF(X149:Y149,"X"))/IF($D149="Unlabeled-13",MCDM_Settings!$F$10,MCDM_Settings!$D$10))</f>
        <v>5</v>
      </c>
      <c r="AQ149" s="13">
        <f>IF(IF($D149="Unlabeled-13",MCDM_Settings!$F$10,MCDM_Settings!$D$10)=0,"n.a.",(COUNTIF(X149:Y149,"Y")+COUNTIF(X149:Y149,"N"))/IF($D149="Unlabeled-13",MCDM_Settings!$F$10,MCDM_Settings!$D$10))</f>
        <v>0</v>
      </c>
      <c r="AR149" s="12">
        <f>IF(IF($D149="Unlabeled-13",MCDM_Settings!$F$11,MCDM_Settings!$D$11)=0,"n.a.",5*COUNTIF(Z149:AB149,"Y")/IF($D149="Unlabeled-13",MCDM_Settings!$F$11,MCDM_Settings!$D$11))</f>
        <v>0</v>
      </c>
      <c r="AS149" s="12">
        <f>IF(IF($D149="Unlabeled-13",MCDM_Settings!$F$11,MCDM_Settings!$D$11)=0,"n.a.",5*(COUNTIF(Z149:AB149,"Y")+COUNTIF(Z149:AB149,"U")+COUNTIF(Z149:AB149,"X"))/IF($D149="Unlabeled-13",MCDM_Settings!$F$11,MCDM_Settings!$D$11))</f>
        <v>5</v>
      </c>
      <c r="AT149" s="13">
        <f>IF(IF($D149="Unlabeled-13",MCDM_Settings!$F$11,MCDM_Settings!$D$11)=0,"n.a.",(COUNTIF(Z149:AB149,"Y")+COUNTIF(Z149:AB149,"N"))/IF($D149="Unlabeled-13",MCDM_Settings!$F$11,MCDM_Settings!$D$11))</f>
        <v>0</v>
      </c>
      <c r="AU149" s="5" t="str">
        <f>IF(AND(INDEX(Manual_Review!$G$6:$G$238,MATCH(A149,Manual_Review!$A$6:$A$238,0))&lt;&gt;"",ISNUMBER(INDEX(Manual_Review!$H$6:$H$238,MATCH(A149,Manual_Review!$A$6:$A$238,0))),INDEX(Manual_Review!$H$6:$H$238,MATCH(A149,Manual_Review!$A$6:$A$238,0))&gt;0,INDEX(Manual_Review!$I$6:$I$238,MATCH(A149,Manual_Review!$A$6:$A$238,0))="Confirmed",INDEX(Manual_Review!$AF$6:$AF$238,MATCH(A149,Manual_Review!$A$6:$A$238,0))&lt;&gt;""),IF(INDEX(Manual_Review!$AA$6:$AA$238,MATCH(A149,Manual_Review!$A$6:$A$238,0))="Pass","Pass",IF(INDEX(Manual_Review!$AA$6:$AA$238,MATCH(A149,Manual_Review!$A$6:$A$238,0))="Fail","Fail","Pending")),"Pending human identity confirmation")</f>
        <v>Pending human identity confirmation</v>
      </c>
      <c r="AV149" s="5" t="str">
        <f>IF(AND(AND(INDEX(Manual_Review!$G$6:$G$238,MATCH(A149,Manual_Review!$A$6:$A$238,0))&lt;&gt;"",ISNUMBER(INDEX(Manual_Review!$H$6:$H$238,MATCH(A149,Manual_Review!$A$6:$A$238,0))),INDEX(Manual_Review!$H$6:$H$238,MATCH(A149,Manual_Review!$A$6:$A$238,0))&gt;0,INDEX(Manual_Review!$I$6:$I$238,MATCH(A149,Manual_Review!$A$6:$A$238,0))="Confirmed",INDEX(Manual_Review!$AF$6:$AF$238,MATCH(A149,Manual_Review!$A$6:$A$238,0))&lt;&gt;""),INDEX(Manual_Review!$AG$6:$AG$238,MATCH(A149,Manual_Review!$A$6:$A$238,0))&lt;&gt;""),IF(INDEX(Manual_Review!$AB$6:$AB$238,MATCH(A149,Manual_Review!$A$6:$A$238,0))="Pass","Pass",IF(INDEX(Manual_Review!$AB$6:$AB$238,MATCH(A149,Manual_Review!$A$6:$A$238,0))="Fail","Fail","Pending")),"Not assessed: define intended task")</f>
        <v>Not assessed: define intended task</v>
      </c>
      <c r="AW149" s="5" t="str">
        <f>IF(AND(AND(INDEX(Manual_Review!$G$6:$G$238,MATCH(A149,Manual_Review!$A$6:$A$238,0))&lt;&gt;"",ISNUMBER(INDEX(Manual_Review!$H$6:$H$238,MATCH(A149,Manual_Review!$A$6:$A$238,0))),INDEX(Manual_Review!$H$6:$H$238,MATCH(A149,Manual_Review!$A$6:$A$238,0))&gt;0,INDEX(Manual_Review!$I$6:$I$238,MATCH(A149,Manual_Review!$A$6:$A$238,0))="Confirmed",INDEX(Manual_Review!$AF$6:$AF$238,MATCH(A149,Manual_Review!$A$6:$A$238,0))&lt;&gt;""),INDEX(Manual_Review!$AG$6:$AG$238,MATCH(A149,Manual_Review!$A$6:$A$238,0))&lt;&gt;""),IF(OR(INDEX(Manual_Review!$AC$6:$AC$238,MATCH(A149,Manual_Review!$A$6:$A$238,0))="Fail",INDEX(Manual_Review!$AD$6:$AD$238,MATCH(A149,Manual_Review!$A$6:$A$238,0))="Fail"),"Fail: rights or retrieval",IF(AND(INDEX(Manual_Review!$AC$6:$AC$238,MATCH(A149,Manual_Review!$A$6:$A$238,0))="Pass",INDEX(Manual_Review!$AD$6:$AD$238,MATCH(A149,Manual_Review!$A$6:$A$238,0))="Pass"),"Pass","Pending rights and retrieval")),"Pending rights and retrieval")</f>
        <v>Pending rights and retrieval</v>
      </c>
      <c r="AX149" s="5" t="str">
        <f>IF(INDEX(Manual_Review!$AG$6:$AG$238,MATCH(A149,Manual_Review!$A$6:$A$238,0))="","N/A: documentation inventory",IF(AND(INDEX(Manual_Review!$G$6:$G$238,MATCH(A149,Manual_Review!$A$6:$A$238,0))&lt;&gt;"",ISNUMBER(INDEX(Manual_Review!$H$6:$H$238,MATCH(A149,Manual_Review!$A$6:$A$238,0))),INDEX(Manual_Review!$H$6:$H$238,MATCH(A149,Manual_Review!$A$6:$A$238,0))&gt;0,INDEX(Manual_Review!$I$6:$I$238,MATCH(A149,Manual_Review!$A$6:$A$238,0))="Confirmed",INDEX(Manual_Review!$AF$6:$AF$238,MATCH(A149,Manual_Review!$A$6:$A$238,0))&lt;&gt;""),IF(INDEX(Manual_Review!$AE$6:$AE$238,MATCH(A149,Manual_Review!$A$6:$A$238,0))="Pass","Pass",IF(INDEX(Manual_Review!$AE$6:$AE$238,MATCH(A149,Manual_Review!$A$6:$A$238,0))="Fail","Fail: benchmark leakage",IF(INDEX(Manual_Review!$AE$6:$AE$238,MATCH(A149,Manual_Review!$A$6:$A$238,0))="N/A","N/A: nonbenchmark task","Pending task-specific leakage check"))),"Pending task-specific leakage check"))</f>
        <v>N/A: documentation inventory</v>
      </c>
      <c r="AY149" s="5" t="str">
        <f>IF(IF(D149="Unlabeled-13",AND(ABS(MCDM_Settings!$D$14-1)&lt;0.0000001,MIN(MCDM_Settings!$E$6:$E$11)&gt;=0,MCDM_Settings!$E$7=0),AND(ABS(MCDM_Settings!$B$14-1)&lt;0.0000001,MIN(MCDM_Settings!$C$6:$C$11)&gt;=0)),"Valid","Check weights")</f>
        <v>Valid</v>
      </c>
      <c r="AZ149" s="5" t="str">
        <f>IF(AND(COUNTIF(MCDM_Checks!$B$6:$B$3733,A149)=16,COUNTIF(Manual_Review!$A$6:$A$238,A149)=1),"16 keys present","Check key count")</f>
        <v>16 keys present</v>
      </c>
    </row>
    <row r="150" spans="1:52" ht="25.5">
      <c r="A150" s="5" t="s">
        <v>1662</v>
      </c>
      <c r="B150" s="5" t="s">
        <v>1663</v>
      </c>
      <c r="C150" s="5"/>
      <c r="D150" s="5" t="s">
        <v>118</v>
      </c>
      <c r="E150" s="12">
        <f>IF(OR(AY150&lt;&gt;"Valid",AZ150&lt;&gt;"16 keys present"),"Review settings",20*(IF(ISNUMBER(AC150),AC150*IF($D150="Unlabeled-13",MCDM_Settings!$E$6,MCDM_Settings!$C$6),0)+IF(ISNUMBER(AF150),AF150*IF($D150="Unlabeled-13",MCDM_Settings!$E$7,MCDM_Settings!$C$7),0)+IF(ISNUMBER(AI150),AI150*IF($D150="Unlabeled-13",MCDM_Settings!$E$8,MCDM_Settings!$C$8),0)+IF(ISNUMBER(AL150),AL150*IF($D150="Unlabeled-13",MCDM_Settings!$E$9,MCDM_Settings!$C$9),0)+IF(ISNUMBER(AO150),AO150*IF($D150="Unlabeled-13",MCDM_Settings!$E$10,MCDM_Settings!$C$10),0)+IF(ISNUMBER(AR150),AR150*IF($D150="Unlabeled-13",MCDM_Settings!$E$11,MCDM_Settings!$C$11),0)))</f>
        <v>47.222222222222221</v>
      </c>
      <c r="F150" s="12">
        <f>IF(OR(AY150&lt;&gt;"Valid",AZ150&lt;&gt;"16 keys present"),"Review settings",20*(IF(ISNUMBER(AD150),AD150*IF($D150="Unlabeled-13",MCDM_Settings!$E$6,MCDM_Settings!$C$6),0)+IF(ISNUMBER(AG150),AG150*IF($D150="Unlabeled-13",MCDM_Settings!$E$7,MCDM_Settings!$C$7),0)+IF(ISNUMBER(AJ150),AJ150*IF($D150="Unlabeled-13",MCDM_Settings!$E$8,MCDM_Settings!$C$8),0)+IF(ISNUMBER(AM150),AM150*IF($D150="Unlabeled-13",MCDM_Settings!$E$9,MCDM_Settings!$C$9),0)+IF(ISNUMBER(AP150),AP150*IF($D150="Unlabeled-13",MCDM_Settings!$E$10,MCDM_Settings!$C$10),0)+IF(ISNUMBER(AS150),AS150*IF($D150="Unlabeled-13",MCDM_Settings!$E$11,MCDM_Settings!$C$11),0)))</f>
        <v>99.999999999999986</v>
      </c>
      <c r="G150" s="13">
        <f>IF(OR(AY150&lt;&gt;"Valid",AZ150&lt;&gt;"16 keys present"),"Review settings",1*(IF(ISNUMBER(AE150),AE150*IF($D150="Unlabeled-13",MCDM_Settings!$E$6,MCDM_Settings!$C$6),0)+IF(ISNUMBER(AH150),AH150*IF($D150="Unlabeled-13",MCDM_Settings!$E$7,MCDM_Settings!$C$7),0)+IF(ISNUMBER(AK150),AK150*IF($D150="Unlabeled-13",MCDM_Settings!$E$8,MCDM_Settings!$C$8),0)+IF(ISNUMBER(AN150),AN150*IF($D150="Unlabeled-13",MCDM_Settings!$E$9,MCDM_Settings!$C$9),0)+IF(ISNUMBER(AQ150),AQ150*IF($D150="Unlabeled-13",MCDM_Settings!$E$10,MCDM_Settings!$C$10),0)+IF(ISNUMBER(AT150),AT150*IF($D150="Unlabeled-13",MCDM_Settings!$E$11,MCDM_Settings!$C$11),0)))</f>
        <v>0.47222222222222221</v>
      </c>
      <c r="H150" s="5" t="str">
        <f>INDEX(Manual_Review!$AH$6:$AH$238,MATCH(A150,Manual_Review!$A$6:$A$238,0))</f>
        <v>Not started</v>
      </c>
      <c r="I150" s="5" t="s">
        <v>128</v>
      </c>
      <c r="J150" s="5" t="s">
        <v>1664</v>
      </c>
      <c r="K150" s="5" t="str">
        <f>HYPERLINK("https://www.kaggle.com/datasets/srajanchourasia/pothole-dataset","Dataset")</f>
        <v>Dataset</v>
      </c>
      <c r="L150" s="5" t="str">
        <f>HYPERLINK("#'Manual_Review'!A"&amp;(MATCH("DS-145",Manual_Review!$A$6:$A$238,0)+5),"Enter review")</f>
        <v>Enter review</v>
      </c>
      <c r="M150" s="5" t="str">
        <f>INDEX(MCDM_Checks!$K$6:$K$3733,MATCH(A150&amp;"|"&amp;M$5,MCDM_Checks!$A$6:$A$3733,0))</f>
        <v>Y</v>
      </c>
      <c r="N150" s="5" t="str">
        <f>INDEX(MCDM_Checks!$K$6:$K$3733,MATCH(A150&amp;"|"&amp;N$5,MCDM_Checks!$A$6:$A$3733,0))</f>
        <v>Y</v>
      </c>
      <c r="O150" s="5" t="str">
        <f>INDEX(MCDM_Checks!$K$6:$K$3733,MATCH(A150&amp;"|"&amp;O$5,MCDM_Checks!$A$6:$A$3733,0))</f>
        <v>Y</v>
      </c>
      <c r="P150" s="5" t="str">
        <f>INDEX(MCDM_Checks!$K$6:$K$3733,MATCH(A150&amp;"|"&amp;P$5,MCDM_Checks!$A$6:$A$3733,0))</f>
        <v>Y</v>
      </c>
      <c r="Q150" s="5" t="str">
        <f>INDEX(MCDM_Checks!$K$6:$K$3733,MATCH(A150&amp;"|"&amp;Q$5,MCDM_Checks!$A$6:$A$3733,0))</f>
        <v>U</v>
      </c>
      <c r="R150" s="5" t="str">
        <f>INDEX(MCDM_Checks!$K$6:$K$3733,MATCH(A150&amp;"|"&amp;R$5,MCDM_Checks!$A$6:$A$3733,0))</f>
        <v>U</v>
      </c>
      <c r="S150" s="5" t="str">
        <f>INDEX(MCDM_Checks!$K$6:$K$3733,MATCH(A150&amp;"|"&amp;S$5,MCDM_Checks!$A$6:$A$3733,0))</f>
        <v>U</v>
      </c>
      <c r="T150" s="5" t="str">
        <f>INDEX(MCDM_Checks!$K$6:$K$3733,MATCH(A150&amp;"|"&amp;T$5,MCDM_Checks!$A$6:$A$3733,0))</f>
        <v>Y</v>
      </c>
      <c r="U150" s="5" t="str">
        <f>INDEX(MCDM_Checks!$K$6:$K$3733,MATCH(A150&amp;"|"&amp;U$5,MCDM_Checks!$A$6:$A$3733,0))</f>
        <v>Y</v>
      </c>
      <c r="V150" s="5" t="str">
        <f>INDEX(MCDM_Checks!$K$6:$K$3733,MATCH(A150&amp;"|"&amp;V$5,MCDM_Checks!$A$6:$A$3733,0))</f>
        <v>Y</v>
      </c>
      <c r="W150" s="5" t="str">
        <f>INDEX(MCDM_Checks!$K$6:$K$3733,MATCH(A150&amp;"|"&amp;W$5,MCDM_Checks!$A$6:$A$3733,0))</f>
        <v>U</v>
      </c>
      <c r="X150" s="5" t="str">
        <f>INDEX(MCDM_Checks!$K$6:$K$3733,MATCH(A150&amp;"|"&amp;X$5,MCDM_Checks!$A$6:$A$3733,0))</f>
        <v>U</v>
      </c>
      <c r="Y150" s="5" t="str">
        <f>INDEX(MCDM_Checks!$K$6:$K$3733,MATCH(A150&amp;"|"&amp;Y$5,MCDM_Checks!$A$6:$A$3733,0))</f>
        <v>U</v>
      </c>
      <c r="Z150" s="5" t="str">
        <f>INDEX(MCDM_Checks!$K$6:$K$3733,MATCH(A150&amp;"|"&amp;Z$5,MCDM_Checks!$A$6:$A$3733,0))</f>
        <v>Y</v>
      </c>
      <c r="AA150" s="5" t="str">
        <f>INDEX(MCDM_Checks!$K$6:$K$3733,MATCH(A150&amp;"|"&amp;AA$5,MCDM_Checks!$A$6:$A$3733,0))</f>
        <v>U</v>
      </c>
      <c r="AB150" s="5" t="str">
        <f>INDEX(MCDM_Checks!$K$6:$K$3733,MATCH(A150&amp;"|"&amp;AB$5,MCDM_Checks!$A$6:$A$3733,0))</f>
        <v>U</v>
      </c>
      <c r="AC150" s="12">
        <f>IF(IF($D150="Unlabeled-13",MCDM_Settings!$F$6,MCDM_Settings!$D$6)=0,"n.a.",5*COUNTIF(M150:O150,"Y")/IF($D150="Unlabeled-13",MCDM_Settings!$F$6,MCDM_Settings!$D$6))</f>
        <v>5</v>
      </c>
      <c r="AD150" s="12">
        <f>IF(IF($D150="Unlabeled-13",MCDM_Settings!$F$6,MCDM_Settings!$D$6)=0,"n.a.",5*(COUNTIF(M150:O150,"Y")+COUNTIF(M150:O150,"U")+COUNTIF(M150:O150,"X"))/IF($D150="Unlabeled-13",MCDM_Settings!$F$6,MCDM_Settings!$D$6))</f>
        <v>5</v>
      </c>
      <c r="AE150" s="13">
        <f>IF(IF($D150="Unlabeled-13",MCDM_Settings!$F$6,MCDM_Settings!$D$6)=0,"n.a.",(COUNTIF(M150:O150,"Y")+COUNTIF(M150:O150,"N"))/IF($D150="Unlabeled-13",MCDM_Settings!$F$6,MCDM_Settings!$D$6))</f>
        <v>1</v>
      </c>
      <c r="AF150" s="12">
        <f>IF(IF($D150="Unlabeled-13",MCDM_Settings!$F$7,MCDM_Settings!$D$7)=0,"n.a.",5*COUNTIF(P150:R150,"Y")/IF($D150="Unlabeled-13",MCDM_Settings!$F$7,MCDM_Settings!$D$7))</f>
        <v>1.6666666666666667</v>
      </c>
      <c r="AG150" s="12">
        <f>IF(IF($D150="Unlabeled-13",MCDM_Settings!$F$7,MCDM_Settings!$D$7)=0,"n.a.",5*(COUNTIF(P150:R150,"Y")+COUNTIF(P150:R150,"U")+COUNTIF(P150:R150,"X"))/IF($D150="Unlabeled-13",MCDM_Settings!$F$7,MCDM_Settings!$D$7))</f>
        <v>5</v>
      </c>
      <c r="AH150" s="13">
        <f>IF(IF($D150="Unlabeled-13",MCDM_Settings!$F$7,MCDM_Settings!$D$7)=0,"n.a.",(COUNTIF(P150:R150,"Y")+COUNTIF(P150:R150,"N"))/IF($D150="Unlabeled-13",MCDM_Settings!$F$7,MCDM_Settings!$D$7))</f>
        <v>0.33333333333333331</v>
      </c>
      <c r="AI150" s="12">
        <f>IF(IF($D150="Unlabeled-13",MCDM_Settings!$F$8,MCDM_Settings!$D$8)=0,"n.a.",5*COUNTIF(S150:U150,"Y")/IF($D150="Unlabeled-13",MCDM_Settings!$F$8,MCDM_Settings!$D$8))</f>
        <v>3.3333333333333335</v>
      </c>
      <c r="AJ150" s="12">
        <f>IF(IF($D150="Unlabeled-13",MCDM_Settings!$F$8,MCDM_Settings!$D$8)=0,"n.a.",5*(COUNTIF(S150:U150,"Y")+COUNTIF(S150:U150,"U")+COUNTIF(S150:U150,"X"))/IF($D150="Unlabeled-13",MCDM_Settings!$F$8,MCDM_Settings!$D$8))</f>
        <v>5</v>
      </c>
      <c r="AK150" s="13">
        <f>IF(IF($D150="Unlabeled-13",MCDM_Settings!$F$8,MCDM_Settings!$D$8)=0,"n.a.",(COUNTIF(S150:U150,"Y")+COUNTIF(S150:U150,"N"))/IF($D150="Unlabeled-13",MCDM_Settings!$F$8,MCDM_Settings!$D$8))</f>
        <v>0.66666666666666663</v>
      </c>
      <c r="AL150" s="12">
        <f>IF(IF($D150="Unlabeled-13",MCDM_Settings!$F$9,MCDM_Settings!$D$9)=0,"n.a.",5*COUNTIF(V150:W150,"Y")/IF($D150="Unlabeled-13",MCDM_Settings!$F$9,MCDM_Settings!$D$9))</f>
        <v>2.5</v>
      </c>
      <c r="AM150" s="12">
        <f>IF(IF($D150="Unlabeled-13",MCDM_Settings!$F$9,MCDM_Settings!$D$9)=0,"n.a.",5*(COUNTIF(V150:W150,"Y")+COUNTIF(V150:W150,"U")+COUNTIF(V150:W150,"X"))/IF($D150="Unlabeled-13",MCDM_Settings!$F$9,MCDM_Settings!$D$9))</f>
        <v>5</v>
      </c>
      <c r="AN150" s="13">
        <f>IF(IF($D150="Unlabeled-13",MCDM_Settings!$F$9,MCDM_Settings!$D$9)=0,"n.a.",(COUNTIF(V150:W150,"Y")+COUNTIF(V150:W150,"N"))/IF($D150="Unlabeled-13",MCDM_Settings!$F$9,MCDM_Settings!$D$9))</f>
        <v>0.5</v>
      </c>
      <c r="AO150" s="12">
        <f>IF(IF($D150="Unlabeled-13",MCDM_Settings!$F$10,MCDM_Settings!$D$10)=0,"n.a.",5*COUNTIF(X150:Y150,"Y")/IF($D150="Unlabeled-13",MCDM_Settings!$F$10,MCDM_Settings!$D$10))</f>
        <v>0</v>
      </c>
      <c r="AP150" s="12">
        <f>IF(IF($D150="Unlabeled-13",MCDM_Settings!$F$10,MCDM_Settings!$D$10)=0,"n.a.",5*(COUNTIF(X150:Y150,"Y")+COUNTIF(X150:Y150,"U")+COUNTIF(X150:Y150,"X"))/IF($D150="Unlabeled-13",MCDM_Settings!$F$10,MCDM_Settings!$D$10))</f>
        <v>5</v>
      </c>
      <c r="AQ150" s="13">
        <f>IF(IF($D150="Unlabeled-13",MCDM_Settings!$F$10,MCDM_Settings!$D$10)=0,"n.a.",(COUNTIF(X150:Y150,"Y")+COUNTIF(X150:Y150,"N"))/IF($D150="Unlabeled-13",MCDM_Settings!$F$10,MCDM_Settings!$D$10))</f>
        <v>0</v>
      </c>
      <c r="AR150" s="12">
        <f>IF(IF($D150="Unlabeled-13",MCDM_Settings!$F$11,MCDM_Settings!$D$11)=0,"n.a.",5*COUNTIF(Z150:AB150,"Y")/IF($D150="Unlabeled-13",MCDM_Settings!$F$11,MCDM_Settings!$D$11))</f>
        <v>1.6666666666666667</v>
      </c>
      <c r="AS150" s="12">
        <f>IF(IF($D150="Unlabeled-13",MCDM_Settings!$F$11,MCDM_Settings!$D$11)=0,"n.a.",5*(COUNTIF(Z150:AB150,"Y")+COUNTIF(Z150:AB150,"U")+COUNTIF(Z150:AB150,"X"))/IF($D150="Unlabeled-13",MCDM_Settings!$F$11,MCDM_Settings!$D$11))</f>
        <v>5</v>
      </c>
      <c r="AT150" s="13">
        <f>IF(IF($D150="Unlabeled-13",MCDM_Settings!$F$11,MCDM_Settings!$D$11)=0,"n.a.",(COUNTIF(Z150:AB150,"Y")+COUNTIF(Z150:AB150,"N"))/IF($D150="Unlabeled-13",MCDM_Settings!$F$11,MCDM_Settings!$D$11))</f>
        <v>0.33333333333333331</v>
      </c>
      <c r="AU150" s="5" t="str">
        <f>IF(AND(INDEX(Manual_Review!$G$6:$G$238,MATCH(A150,Manual_Review!$A$6:$A$238,0))&lt;&gt;"",ISNUMBER(INDEX(Manual_Review!$H$6:$H$238,MATCH(A150,Manual_Review!$A$6:$A$238,0))),INDEX(Manual_Review!$H$6:$H$238,MATCH(A150,Manual_Review!$A$6:$A$238,0))&gt;0,INDEX(Manual_Review!$I$6:$I$238,MATCH(A150,Manual_Review!$A$6:$A$238,0))="Confirmed",INDEX(Manual_Review!$AF$6:$AF$238,MATCH(A150,Manual_Review!$A$6:$A$238,0))&lt;&gt;""),IF(INDEX(Manual_Review!$AA$6:$AA$238,MATCH(A150,Manual_Review!$A$6:$A$238,0))="Pass","Pass",IF(INDEX(Manual_Review!$AA$6:$AA$238,MATCH(A150,Manual_Review!$A$6:$A$238,0))="Fail","Fail","Pending")),"Pending human identity confirmation")</f>
        <v>Pending human identity confirmation</v>
      </c>
      <c r="AV150" s="5" t="str">
        <f>IF(AND(AND(INDEX(Manual_Review!$G$6:$G$238,MATCH(A150,Manual_Review!$A$6:$A$238,0))&lt;&gt;"",ISNUMBER(INDEX(Manual_Review!$H$6:$H$238,MATCH(A150,Manual_Review!$A$6:$A$238,0))),INDEX(Manual_Review!$H$6:$H$238,MATCH(A150,Manual_Review!$A$6:$A$238,0))&gt;0,INDEX(Manual_Review!$I$6:$I$238,MATCH(A150,Manual_Review!$A$6:$A$238,0))="Confirmed",INDEX(Manual_Review!$AF$6:$AF$238,MATCH(A150,Manual_Review!$A$6:$A$238,0))&lt;&gt;""),INDEX(Manual_Review!$AG$6:$AG$238,MATCH(A150,Manual_Review!$A$6:$A$238,0))&lt;&gt;""),IF(INDEX(Manual_Review!$AB$6:$AB$238,MATCH(A150,Manual_Review!$A$6:$A$238,0))="Pass","Pass",IF(INDEX(Manual_Review!$AB$6:$AB$238,MATCH(A150,Manual_Review!$A$6:$A$238,0))="Fail","Fail","Pending")),"Not assessed: define intended task")</f>
        <v>Not assessed: define intended task</v>
      </c>
      <c r="AW150" s="5" t="str">
        <f>IF(AND(AND(INDEX(Manual_Review!$G$6:$G$238,MATCH(A150,Manual_Review!$A$6:$A$238,0))&lt;&gt;"",ISNUMBER(INDEX(Manual_Review!$H$6:$H$238,MATCH(A150,Manual_Review!$A$6:$A$238,0))),INDEX(Manual_Review!$H$6:$H$238,MATCH(A150,Manual_Review!$A$6:$A$238,0))&gt;0,INDEX(Manual_Review!$I$6:$I$238,MATCH(A150,Manual_Review!$A$6:$A$238,0))="Confirmed",INDEX(Manual_Review!$AF$6:$AF$238,MATCH(A150,Manual_Review!$A$6:$A$238,0))&lt;&gt;""),INDEX(Manual_Review!$AG$6:$AG$238,MATCH(A150,Manual_Review!$A$6:$A$238,0))&lt;&gt;""),IF(OR(INDEX(Manual_Review!$AC$6:$AC$238,MATCH(A150,Manual_Review!$A$6:$A$238,0))="Fail",INDEX(Manual_Review!$AD$6:$AD$238,MATCH(A150,Manual_Review!$A$6:$A$238,0))="Fail"),"Fail: rights or retrieval",IF(AND(INDEX(Manual_Review!$AC$6:$AC$238,MATCH(A150,Manual_Review!$A$6:$A$238,0))="Pass",INDEX(Manual_Review!$AD$6:$AD$238,MATCH(A150,Manual_Review!$A$6:$A$238,0))="Pass"),"Pass","Pending rights and retrieval")),"Pending rights and retrieval")</f>
        <v>Pending rights and retrieval</v>
      </c>
      <c r="AX150" s="5" t="str">
        <f>IF(INDEX(Manual_Review!$AG$6:$AG$238,MATCH(A150,Manual_Review!$A$6:$A$238,0))="","N/A: documentation inventory",IF(AND(INDEX(Manual_Review!$G$6:$G$238,MATCH(A150,Manual_Review!$A$6:$A$238,0))&lt;&gt;"",ISNUMBER(INDEX(Manual_Review!$H$6:$H$238,MATCH(A150,Manual_Review!$A$6:$A$238,0))),INDEX(Manual_Review!$H$6:$H$238,MATCH(A150,Manual_Review!$A$6:$A$238,0))&gt;0,INDEX(Manual_Review!$I$6:$I$238,MATCH(A150,Manual_Review!$A$6:$A$238,0))="Confirmed",INDEX(Manual_Review!$AF$6:$AF$238,MATCH(A150,Manual_Review!$A$6:$A$238,0))&lt;&gt;""),IF(INDEX(Manual_Review!$AE$6:$AE$238,MATCH(A150,Manual_Review!$A$6:$A$238,0))="Pass","Pass",IF(INDEX(Manual_Review!$AE$6:$AE$238,MATCH(A150,Manual_Review!$A$6:$A$238,0))="Fail","Fail: benchmark leakage",IF(INDEX(Manual_Review!$AE$6:$AE$238,MATCH(A150,Manual_Review!$A$6:$A$238,0))="N/A","N/A: nonbenchmark task","Pending task-specific leakage check"))),"Pending task-specific leakage check"))</f>
        <v>N/A: documentation inventory</v>
      </c>
      <c r="AY150" s="5" t="str">
        <f>IF(IF(D150="Unlabeled-13",AND(ABS(MCDM_Settings!$D$14-1)&lt;0.0000001,MIN(MCDM_Settings!$E$6:$E$11)&gt;=0,MCDM_Settings!$E$7=0),AND(ABS(MCDM_Settings!$B$14-1)&lt;0.0000001,MIN(MCDM_Settings!$C$6:$C$11)&gt;=0)),"Valid","Check weights")</f>
        <v>Valid</v>
      </c>
      <c r="AZ150" s="5" t="str">
        <f>IF(AND(COUNTIF(MCDM_Checks!$B$6:$B$3733,A150)=16,COUNTIF(Manual_Review!$A$6:$A$238,A150)=1),"16 keys present","Check key count")</f>
        <v>16 keys present</v>
      </c>
    </row>
    <row r="151" spans="1:52">
      <c r="A151" s="5" t="s">
        <v>1671</v>
      </c>
      <c r="B151" s="5" t="s">
        <v>1672</v>
      </c>
      <c r="C151" s="5"/>
      <c r="D151" s="5" t="s">
        <v>118</v>
      </c>
      <c r="E151" s="12">
        <f>IF(OR(AY151&lt;&gt;"Valid",AZ151&lt;&gt;"16 keys present"),"Review settings",20*(IF(ISNUMBER(AC151),AC151*IF($D151="Unlabeled-13",MCDM_Settings!$E$6,MCDM_Settings!$C$6),0)+IF(ISNUMBER(AF151),AF151*IF($D151="Unlabeled-13",MCDM_Settings!$E$7,MCDM_Settings!$C$7),0)+IF(ISNUMBER(AI151),AI151*IF($D151="Unlabeled-13",MCDM_Settings!$E$8,MCDM_Settings!$C$8),0)+IF(ISNUMBER(AL151),AL151*IF($D151="Unlabeled-13",MCDM_Settings!$E$9,MCDM_Settings!$C$9),0)+IF(ISNUMBER(AO151),AO151*IF($D151="Unlabeled-13",MCDM_Settings!$E$10,MCDM_Settings!$C$10),0)+IF(ISNUMBER(AR151),AR151*IF($D151="Unlabeled-13",MCDM_Settings!$E$11,MCDM_Settings!$C$11),0)))</f>
        <v>22.222222222222221</v>
      </c>
      <c r="F151" s="12">
        <f>IF(OR(AY151&lt;&gt;"Valid",AZ151&lt;&gt;"16 keys present"),"Review settings",20*(IF(ISNUMBER(AD151),AD151*IF($D151="Unlabeled-13",MCDM_Settings!$E$6,MCDM_Settings!$C$6),0)+IF(ISNUMBER(AG151),AG151*IF($D151="Unlabeled-13",MCDM_Settings!$E$7,MCDM_Settings!$C$7),0)+IF(ISNUMBER(AJ151),AJ151*IF($D151="Unlabeled-13",MCDM_Settings!$E$8,MCDM_Settings!$C$8),0)+IF(ISNUMBER(AM151),AM151*IF($D151="Unlabeled-13",MCDM_Settings!$E$9,MCDM_Settings!$C$9),0)+IF(ISNUMBER(AP151),AP151*IF($D151="Unlabeled-13",MCDM_Settings!$E$10,MCDM_Settings!$C$10),0)+IF(ISNUMBER(AS151),AS151*IF($D151="Unlabeled-13",MCDM_Settings!$E$11,MCDM_Settings!$C$11),0)))</f>
        <v>99.999999999999986</v>
      </c>
      <c r="G151" s="13">
        <f>IF(OR(AY151&lt;&gt;"Valid",AZ151&lt;&gt;"16 keys present"),"Review settings",1*(IF(ISNUMBER(AE151),AE151*IF($D151="Unlabeled-13",MCDM_Settings!$E$6,MCDM_Settings!$C$6),0)+IF(ISNUMBER(AH151),AH151*IF($D151="Unlabeled-13",MCDM_Settings!$E$7,MCDM_Settings!$C$7),0)+IF(ISNUMBER(AK151),AK151*IF($D151="Unlabeled-13",MCDM_Settings!$E$8,MCDM_Settings!$C$8),0)+IF(ISNUMBER(AN151),AN151*IF($D151="Unlabeled-13",MCDM_Settings!$E$9,MCDM_Settings!$C$9),0)+IF(ISNUMBER(AQ151),AQ151*IF($D151="Unlabeled-13",MCDM_Settings!$E$10,MCDM_Settings!$C$10),0)+IF(ISNUMBER(AT151),AT151*IF($D151="Unlabeled-13",MCDM_Settings!$E$11,MCDM_Settings!$C$11),0)))</f>
        <v>0.22222222222222221</v>
      </c>
      <c r="H151" s="5" t="str">
        <f>INDEX(Manual_Review!$AH$6:$AH$238,MATCH(A151,Manual_Review!$A$6:$A$238,0))</f>
        <v>Not started</v>
      </c>
      <c r="I151" s="5" t="s">
        <v>128</v>
      </c>
      <c r="J151" s="5" t="s">
        <v>1601</v>
      </c>
      <c r="K151" s="5" t="str">
        <f>HYPERLINK("https://www.kaggle.com/datasets/abdukeram/intersecting-crack-analysis","Dataset")</f>
        <v>Dataset</v>
      </c>
      <c r="L151" s="5" t="str">
        <f>HYPERLINK("#'Manual_Review'!A"&amp;(MATCH("DS-146",Manual_Review!$A$6:$A$238,0)+5),"Enter review")</f>
        <v>Enter review</v>
      </c>
      <c r="M151" s="5" t="str">
        <f>INDEX(MCDM_Checks!$K$6:$K$3733,MATCH(A151&amp;"|"&amp;M$5,MCDM_Checks!$A$6:$A$3733,0))</f>
        <v>Y</v>
      </c>
      <c r="N151" s="5" t="str">
        <f>INDEX(MCDM_Checks!$K$6:$K$3733,MATCH(A151&amp;"|"&amp;N$5,MCDM_Checks!$A$6:$A$3733,0))</f>
        <v>Y</v>
      </c>
      <c r="O151" s="5" t="str">
        <f>INDEX(MCDM_Checks!$K$6:$K$3733,MATCH(A151&amp;"|"&amp;O$5,MCDM_Checks!$A$6:$A$3733,0))</f>
        <v>Y</v>
      </c>
      <c r="P151" s="5" t="str">
        <f>INDEX(MCDM_Checks!$K$6:$K$3733,MATCH(A151&amp;"|"&amp;P$5,MCDM_Checks!$A$6:$A$3733,0))</f>
        <v>Y</v>
      </c>
      <c r="Q151" s="5" t="str">
        <f>INDEX(MCDM_Checks!$K$6:$K$3733,MATCH(A151&amp;"|"&amp;Q$5,MCDM_Checks!$A$6:$A$3733,0))</f>
        <v>U</v>
      </c>
      <c r="R151" s="5" t="str">
        <f>INDEX(MCDM_Checks!$K$6:$K$3733,MATCH(A151&amp;"|"&amp;R$5,MCDM_Checks!$A$6:$A$3733,0))</f>
        <v>U</v>
      </c>
      <c r="S151" s="5" t="str">
        <f>INDEX(MCDM_Checks!$K$6:$K$3733,MATCH(A151&amp;"|"&amp;S$5,MCDM_Checks!$A$6:$A$3733,0))</f>
        <v>U</v>
      </c>
      <c r="T151" s="5" t="str">
        <f>INDEX(MCDM_Checks!$K$6:$K$3733,MATCH(A151&amp;"|"&amp;T$5,MCDM_Checks!$A$6:$A$3733,0))</f>
        <v>U</v>
      </c>
      <c r="U151" s="5" t="str">
        <f>INDEX(MCDM_Checks!$K$6:$K$3733,MATCH(A151&amp;"|"&amp;U$5,MCDM_Checks!$A$6:$A$3733,0))</f>
        <v>U</v>
      </c>
      <c r="V151" s="5" t="str">
        <f>INDEX(MCDM_Checks!$K$6:$K$3733,MATCH(A151&amp;"|"&amp;V$5,MCDM_Checks!$A$6:$A$3733,0))</f>
        <v>U</v>
      </c>
      <c r="W151" s="5" t="str">
        <f>INDEX(MCDM_Checks!$K$6:$K$3733,MATCH(A151&amp;"|"&amp;W$5,MCDM_Checks!$A$6:$A$3733,0))</f>
        <v>U</v>
      </c>
      <c r="X151" s="5" t="str">
        <f>INDEX(MCDM_Checks!$K$6:$K$3733,MATCH(A151&amp;"|"&amp;X$5,MCDM_Checks!$A$6:$A$3733,0))</f>
        <v>U</v>
      </c>
      <c r="Y151" s="5" t="str">
        <f>INDEX(MCDM_Checks!$K$6:$K$3733,MATCH(A151&amp;"|"&amp;Y$5,MCDM_Checks!$A$6:$A$3733,0))</f>
        <v>U</v>
      </c>
      <c r="Z151" s="5" t="str">
        <f>INDEX(MCDM_Checks!$K$6:$K$3733,MATCH(A151&amp;"|"&amp;Z$5,MCDM_Checks!$A$6:$A$3733,0))</f>
        <v>U</v>
      </c>
      <c r="AA151" s="5" t="str">
        <f>INDEX(MCDM_Checks!$K$6:$K$3733,MATCH(A151&amp;"|"&amp;AA$5,MCDM_Checks!$A$6:$A$3733,0))</f>
        <v>U</v>
      </c>
      <c r="AB151" s="5" t="str">
        <f>INDEX(MCDM_Checks!$K$6:$K$3733,MATCH(A151&amp;"|"&amp;AB$5,MCDM_Checks!$A$6:$A$3733,0))</f>
        <v>U</v>
      </c>
      <c r="AC151" s="12">
        <f>IF(IF($D151="Unlabeled-13",MCDM_Settings!$F$6,MCDM_Settings!$D$6)=0,"n.a.",5*COUNTIF(M151:O151,"Y")/IF($D151="Unlabeled-13",MCDM_Settings!$F$6,MCDM_Settings!$D$6))</f>
        <v>5</v>
      </c>
      <c r="AD151" s="12">
        <f>IF(IF($D151="Unlabeled-13",MCDM_Settings!$F$6,MCDM_Settings!$D$6)=0,"n.a.",5*(COUNTIF(M151:O151,"Y")+COUNTIF(M151:O151,"U")+COUNTIF(M151:O151,"X"))/IF($D151="Unlabeled-13",MCDM_Settings!$F$6,MCDM_Settings!$D$6))</f>
        <v>5</v>
      </c>
      <c r="AE151" s="13">
        <f>IF(IF($D151="Unlabeled-13",MCDM_Settings!$F$6,MCDM_Settings!$D$6)=0,"n.a.",(COUNTIF(M151:O151,"Y")+COUNTIF(M151:O151,"N"))/IF($D151="Unlabeled-13",MCDM_Settings!$F$6,MCDM_Settings!$D$6))</f>
        <v>1</v>
      </c>
      <c r="AF151" s="12">
        <f>IF(IF($D151="Unlabeled-13",MCDM_Settings!$F$7,MCDM_Settings!$D$7)=0,"n.a.",5*COUNTIF(P151:R151,"Y")/IF($D151="Unlabeled-13",MCDM_Settings!$F$7,MCDM_Settings!$D$7))</f>
        <v>1.6666666666666667</v>
      </c>
      <c r="AG151" s="12">
        <f>IF(IF($D151="Unlabeled-13",MCDM_Settings!$F$7,MCDM_Settings!$D$7)=0,"n.a.",5*(COUNTIF(P151:R151,"Y")+COUNTIF(P151:R151,"U")+COUNTIF(P151:R151,"X"))/IF($D151="Unlabeled-13",MCDM_Settings!$F$7,MCDM_Settings!$D$7))</f>
        <v>5</v>
      </c>
      <c r="AH151" s="13">
        <f>IF(IF($D151="Unlabeled-13",MCDM_Settings!$F$7,MCDM_Settings!$D$7)=0,"n.a.",(COUNTIF(P151:R151,"Y")+COUNTIF(P151:R151,"N"))/IF($D151="Unlabeled-13",MCDM_Settings!$F$7,MCDM_Settings!$D$7))</f>
        <v>0.33333333333333331</v>
      </c>
      <c r="AI151" s="12">
        <f>IF(IF($D151="Unlabeled-13",MCDM_Settings!$F$8,MCDM_Settings!$D$8)=0,"n.a.",5*COUNTIF(S151:U151,"Y")/IF($D151="Unlabeled-13",MCDM_Settings!$F$8,MCDM_Settings!$D$8))</f>
        <v>0</v>
      </c>
      <c r="AJ151" s="12">
        <f>IF(IF($D151="Unlabeled-13",MCDM_Settings!$F$8,MCDM_Settings!$D$8)=0,"n.a.",5*(COUNTIF(S151:U151,"Y")+COUNTIF(S151:U151,"U")+COUNTIF(S151:U151,"X"))/IF($D151="Unlabeled-13",MCDM_Settings!$F$8,MCDM_Settings!$D$8))</f>
        <v>5</v>
      </c>
      <c r="AK151" s="13">
        <f>IF(IF($D151="Unlabeled-13",MCDM_Settings!$F$8,MCDM_Settings!$D$8)=0,"n.a.",(COUNTIF(S151:U151,"Y")+COUNTIF(S151:U151,"N"))/IF($D151="Unlabeled-13",MCDM_Settings!$F$8,MCDM_Settings!$D$8))</f>
        <v>0</v>
      </c>
      <c r="AL151" s="12">
        <f>IF(IF($D151="Unlabeled-13",MCDM_Settings!$F$9,MCDM_Settings!$D$9)=0,"n.a.",5*COUNTIF(V151:W151,"Y")/IF($D151="Unlabeled-13",MCDM_Settings!$F$9,MCDM_Settings!$D$9))</f>
        <v>0</v>
      </c>
      <c r="AM151" s="12">
        <f>IF(IF($D151="Unlabeled-13",MCDM_Settings!$F$9,MCDM_Settings!$D$9)=0,"n.a.",5*(COUNTIF(V151:W151,"Y")+COUNTIF(V151:W151,"U")+COUNTIF(V151:W151,"X"))/IF($D151="Unlabeled-13",MCDM_Settings!$F$9,MCDM_Settings!$D$9))</f>
        <v>5</v>
      </c>
      <c r="AN151" s="13">
        <f>IF(IF($D151="Unlabeled-13",MCDM_Settings!$F$9,MCDM_Settings!$D$9)=0,"n.a.",(COUNTIF(V151:W151,"Y")+COUNTIF(V151:W151,"N"))/IF($D151="Unlabeled-13",MCDM_Settings!$F$9,MCDM_Settings!$D$9))</f>
        <v>0</v>
      </c>
      <c r="AO151" s="12">
        <f>IF(IF($D151="Unlabeled-13",MCDM_Settings!$F$10,MCDM_Settings!$D$10)=0,"n.a.",5*COUNTIF(X151:Y151,"Y")/IF($D151="Unlabeled-13",MCDM_Settings!$F$10,MCDM_Settings!$D$10))</f>
        <v>0</v>
      </c>
      <c r="AP151" s="12">
        <f>IF(IF($D151="Unlabeled-13",MCDM_Settings!$F$10,MCDM_Settings!$D$10)=0,"n.a.",5*(COUNTIF(X151:Y151,"Y")+COUNTIF(X151:Y151,"U")+COUNTIF(X151:Y151,"X"))/IF($D151="Unlabeled-13",MCDM_Settings!$F$10,MCDM_Settings!$D$10))</f>
        <v>5</v>
      </c>
      <c r="AQ151" s="13">
        <f>IF(IF($D151="Unlabeled-13",MCDM_Settings!$F$10,MCDM_Settings!$D$10)=0,"n.a.",(COUNTIF(X151:Y151,"Y")+COUNTIF(X151:Y151,"N"))/IF($D151="Unlabeled-13",MCDM_Settings!$F$10,MCDM_Settings!$D$10))</f>
        <v>0</v>
      </c>
      <c r="AR151" s="12">
        <f>IF(IF($D151="Unlabeled-13",MCDM_Settings!$F$11,MCDM_Settings!$D$11)=0,"n.a.",5*COUNTIF(Z151:AB151,"Y")/IF($D151="Unlabeled-13",MCDM_Settings!$F$11,MCDM_Settings!$D$11))</f>
        <v>0</v>
      </c>
      <c r="AS151" s="12">
        <f>IF(IF($D151="Unlabeled-13",MCDM_Settings!$F$11,MCDM_Settings!$D$11)=0,"n.a.",5*(COUNTIF(Z151:AB151,"Y")+COUNTIF(Z151:AB151,"U")+COUNTIF(Z151:AB151,"X"))/IF($D151="Unlabeled-13",MCDM_Settings!$F$11,MCDM_Settings!$D$11))</f>
        <v>5</v>
      </c>
      <c r="AT151" s="13">
        <f>IF(IF($D151="Unlabeled-13",MCDM_Settings!$F$11,MCDM_Settings!$D$11)=0,"n.a.",(COUNTIF(Z151:AB151,"Y")+COUNTIF(Z151:AB151,"N"))/IF($D151="Unlabeled-13",MCDM_Settings!$F$11,MCDM_Settings!$D$11))</f>
        <v>0</v>
      </c>
      <c r="AU151" s="5" t="str">
        <f>IF(AND(INDEX(Manual_Review!$G$6:$G$238,MATCH(A151,Manual_Review!$A$6:$A$238,0))&lt;&gt;"",ISNUMBER(INDEX(Manual_Review!$H$6:$H$238,MATCH(A151,Manual_Review!$A$6:$A$238,0))),INDEX(Manual_Review!$H$6:$H$238,MATCH(A151,Manual_Review!$A$6:$A$238,0))&gt;0,INDEX(Manual_Review!$I$6:$I$238,MATCH(A151,Manual_Review!$A$6:$A$238,0))="Confirmed",INDEX(Manual_Review!$AF$6:$AF$238,MATCH(A151,Manual_Review!$A$6:$A$238,0))&lt;&gt;""),IF(INDEX(Manual_Review!$AA$6:$AA$238,MATCH(A151,Manual_Review!$A$6:$A$238,0))="Pass","Pass",IF(INDEX(Manual_Review!$AA$6:$AA$238,MATCH(A151,Manual_Review!$A$6:$A$238,0))="Fail","Fail","Pending")),"Pending human identity confirmation")</f>
        <v>Pending human identity confirmation</v>
      </c>
      <c r="AV151" s="5" t="str">
        <f>IF(AND(AND(INDEX(Manual_Review!$G$6:$G$238,MATCH(A151,Manual_Review!$A$6:$A$238,0))&lt;&gt;"",ISNUMBER(INDEX(Manual_Review!$H$6:$H$238,MATCH(A151,Manual_Review!$A$6:$A$238,0))),INDEX(Manual_Review!$H$6:$H$238,MATCH(A151,Manual_Review!$A$6:$A$238,0))&gt;0,INDEX(Manual_Review!$I$6:$I$238,MATCH(A151,Manual_Review!$A$6:$A$238,0))="Confirmed",INDEX(Manual_Review!$AF$6:$AF$238,MATCH(A151,Manual_Review!$A$6:$A$238,0))&lt;&gt;""),INDEX(Manual_Review!$AG$6:$AG$238,MATCH(A151,Manual_Review!$A$6:$A$238,0))&lt;&gt;""),IF(INDEX(Manual_Review!$AB$6:$AB$238,MATCH(A151,Manual_Review!$A$6:$A$238,0))="Pass","Pass",IF(INDEX(Manual_Review!$AB$6:$AB$238,MATCH(A151,Manual_Review!$A$6:$A$238,0))="Fail","Fail","Pending")),"Not assessed: define intended task")</f>
        <v>Not assessed: define intended task</v>
      </c>
      <c r="AW151" s="5" t="str">
        <f>IF(AND(AND(INDEX(Manual_Review!$G$6:$G$238,MATCH(A151,Manual_Review!$A$6:$A$238,0))&lt;&gt;"",ISNUMBER(INDEX(Manual_Review!$H$6:$H$238,MATCH(A151,Manual_Review!$A$6:$A$238,0))),INDEX(Manual_Review!$H$6:$H$238,MATCH(A151,Manual_Review!$A$6:$A$238,0))&gt;0,INDEX(Manual_Review!$I$6:$I$238,MATCH(A151,Manual_Review!$A$6:$A$238,0))="Confirmed",INDEX(Manual_Review!$AF$6:$AF$238,MATCH(A151,Manual_Review!$A$6:$A$238,0))&lt;&gt;""),INDEX(Manual_Review!$AG$6:$AG$238,MATCH(A151,Manual_Review!$A$6:$A$238,0))&lt;&gt;""),IF(OR(INDEX(Manual_Review!$AC$6:$AC$238,MATCH(A151,Manual_Review!$A$6:$A$238,0))="Fail",INDEX(Manual_Review!$AD$6:$AD$238,MATCH(A151,Manual_Review!$A$6:$A$238,0))="Fail"),"Fail: rights or retrieval",IF(AND(INDEX(Manual_Review!$AC$6:$AC$238,MATCH(A151,Manual_Review!$A$6:$A$238,0))="Pass",INDEX(Manual_Review!$AD$6:$AD$238,MATCH(A151,Manual_Review!$A$6:$A$238,0))="Pass"),"Pass","Pending rights and retrieval")),"Pending rights and retrieval")</f>
        <v>Pending rights and retrieval</v>
      </c>
      <c r="AX151" s="5" t="str">
        <f>IF(INDEX(Manual_Review!$AG$6:$AG$238,MATCH(A151,Manual_Review!$A$6:$A$238,0))="","N/A: documentation inventory",IF(AND(INDEX(Manual_Review!$G$6:$G$238,MATCH(A151,Manual_Review!$A$6:$A$238,0))&lt;&gt;"",ISNUMBER(INDEX(Manual_Review!$H$6:$H$238,MATCH(A151,Manual_Review!$A$6:$A$238,0))),INDEX(Manual_Review!$H$6:$H$238,MATCH(A151,Manual_Review!$A$6:$A$238,0))&gt;0,INDEX(Manual_Review!$I$6:$I$238,MATCH(A151,Manual_Review!$A$6:$A$238,0))="Confirmed",INDEX(Manual_Review!$AF$6:$AF$238,MATCH(A151,Manual_Review!$A$6:$A$238,0))&lt;&gt;""),IF(INDEX(Manual_Review!$AE$6:$AE$238,MATCH(A151,Manual_Review!$A$6:$A$238,0))="Pass","Pass",IF(INDEX(Manual_Review!$AE$6:$AE$238,MATCH(A151,Manual_Review!$A$6:$A$238,0))="Fail","Fail: benchmark leakage",IF(INDEX(Manual_Review!$AE$6:$AE$238,MATCH(A151,Manual_Review!$A$6:$A$238,0))="N/A","N/A: nonbenchmark task","Pending task-specific leakage check"))),"Pending task-specific leakage check"))</f>
        <v>N/A: documentation inventory</v>
      </c>
      <c r="AY151" s="5" t="str">
        <f>IF(IF(D151="Unlabeled-13",AND(ABS(MCDM_Settings!$D$14-1)&lt;0.0000001,MIN(MCDM_Settings!$E$6:$E$11)&gt;=0,MCDM_Settings!$E$7=0),AND(ABS(MCDM_Settings!$B$14-1)&lt;0.0000001,MIN(MCDM_Settings!$C$6:$C$11)&gt;=0)),"Valid","Check weights")</f>
        <v>Valid</v>
      </c>
      <c r="AZ151" s="5" t="str">
        <f>IF(AND(COUNTIF(MCDM_Checks!$B$6:$B$3733,A151)=16,COUNTIF(Manual_Review!$A$6:$A$238,A151)=1),"16 keys present","Check key count")</f>
        <v>16 keys present</v>
      </c>
    </row>
    <row r="152" spans="1:52">
      <c r="A152" s="5" t="s">
        <v>1679</v>
      </c>
      <c r="B152" s="5" t="s">
        <v>1680</v>
      </c>
      <c r="C152" s="5"/>
      <c r="D152" s="5" t="s">
        <v>118</v>
      </c>
      <c r="E152" s="12">
        <f>IF(OR(AY152&lt;&gt;"Valid",AZ152&lt;&gt;"16 keys present"),"Review settings",20*(IF(ISNUMBER(AC152),AC152*IF($D152="Unlabeled-13",MCDM_Settings!$E$6,MCDM_Settings!$C$6),0)+IF(ISNUMBER(AF152),AF152*IF($D152="Unlabeled-13",MCDM_Settings!$E$7,MCDM_Settings!$C$7),0)+IF(ISNUMBER(AI152),AI152*IF($D152="Unlabeled-13",MCDM_Settings!$E$8,MCDM_Settings!$C$8),0)+IF(ISNUMBER(AL152),AL152*IF($D152="Unlabeled-13",MCDM_Settings!$E$9,MCDM_Settings!$C$9),0)+IF(ISNUMBER(AO152),AO152*IF($D152="Unlabeled-13",MCDM_Settings!$E$10,MCDM_Settings!$C$10),0)+IF(ISNUMBER(AR152),AR152*IF($D152="Unlabeled-13",MCDM_Settings!$E$11,MCDM_Settings!$C$11),0)))</f>
        <v>66.666666666666657</v>
      </c>
      <c r="F152" s="12">
        <f>IF(OR(AY152&lt;&gt;"Valid",AZ152&lt;&gt;"16 keys present"),"Review settings",20*(IF(ISNUMBER(AD152),AD152*IF($D152="Unlabeled-13",MCDM_Settings!$E$6,MCDM_Settings!$C$6),0)+IF(ISNUMBER(AG152),AG152*IF($D152="Unlabeled-13",MCDM_Settings!$E$7,MCDM_Settings!$C$7),0)+IF(ISNUMBER(AJ152),AJ152*IF($D152="Unlabeled-13",MCDM_Settings!$E$8,MCDM_Settings!$C$8),0)+IF(ISNUMBER(AM152),AM152*IF($D152="Unlabeled-13",MCDM_Settings!$E$9,MCDM_Settings!$C$9),0)+IF(ISNUMBER(AP152),AP152*IF($D152="Unlabeled-13",MCDM_Settings!$E$10,MCDM_Settings!$C$10),0)+IF(ISNUMBER(AS152),AS152*IF($D152="Unlabeled-13",MCDM_Settings!$E$11,MCDM_Settings!$C$11),0)))</f>
        <v>99.999999999999986</v>
      </c>
      <c r="G152" s="13">
        <f>IF(OR(AY152&lt;&gt;"Valid",AZ152&lt;&gt;"16 keys present"),"Review settings",1*(IF(ISNUMBER(AE152),AE152*IF($D152="Unlabeled-13",MCDM_Settings!$E$6,MCDM_Settings!$C$6),0)+IF(ISNUMBER(AH152),AH152*IF($D152="Unlabeled-13",MCDM_Settings!$E$7,MCDM_Settings!$C$7),0)+IF(ISNUMBER(AK152),AK152*IF($D152="Unlabeled-13",MCDM_Settings!$E$8,MCDM_Settings!$C$8),0)+IF(ISNUMBER(AN152),AN152*IF($D152="Unlabeled-13",MCDM_Settings!$E$9,MCDM_Settings!$C$9),0)+IF(ISNUMBER(AQ152),AQ152*IF($D152="Unlabeled-13",MCDM_Settings!$E$10,MCDM_Settings!$C$10),0)+IF(ISNUMBER(AT152),AT152*IF($D152="Unlabeled-13",MCDM_Settings!$E$11,MCDM_Settings!$C$11),0)))</f>
        <v>0.66666666666666663</v>
      </c>
      <c r="H152" s="5" t="str">
        <f>INDEX(Manual_Review!$AH$6:$AH$238,MATCH(A152,Manual_Review!$A$6:$A$238,0))</f>
        <v>Not started</v>
      </c>
      <c r="I152" s="5" t="s">
        <v>128</v>
      </c>
      <c r="J152" s="5" t="s">
        <v>121</v>
      </c>
      <c r="K152" s="5" t="str">
        <f>HYPERLINK("https://www.kaggle.com/datasets/salimhammadi07/miia-pothole-image-classification-challenge","Dataset")</f>
        <v>Dataset</v>
      </c>
      <c r="L152" s="5" t="str">
        <f>HYPERLINK("#'Manual_Review'!A"&amp;(MATCH("DS-147",Manual_Review!$A$6:$A$238,0)+5),"Enter review")</f>
        <v>Enter review</v>
      </c>
      <c r="M152" s="5" t="str">
        <f>INDEX(MCDM_Checks!$K$6:$K$3733,MATCH(A152&amp;"|"&amp;M$5,MCDM_Checks!$A$6:$A$3733,0))</f>
        <v>Y</v>
      </c>
      <c r="N152" s="5" t="str">
        <f>INDEX(MCDM_Checks!$K$6:$K$3733,MATCH(A152&amp;"|"&amp;N$5,MCDM_Checks!$A$6:$A$3733,0))</f>
        <v>Y</v>
      </c>
      <c r="O152" s="5" t="str">
        <f>INDEX(MCDM_Checks!$K$6:$K$3733,MATCH(A152&amp;"|"&amp;O$5,MCDM_Checks!$A$6:$A$3733,0))</f>
        <v>U</v>
      </c>
      <c r="P152" s="5" t="str">
        <f>INDEX(MCDM_Checks!$K$6:$K$3733,MATCH(A152&amp;"|"&amp;P$5,MCDM_Checks!$A$6:$A$3733,0))</f>
        <v>Y</v>
      </c>
      <c r="Q152" s="5" t="str">
        <f>INDEX(MCDM_Checks!$K$6:$K$3733,MATCH(A152&amp;"|"&amp;Q$5,MCDM_Checks!$A$6:$A$3733,0))</f>
        <v>U</v>
      </c>
      <c r="R152" s="5" t="str">
        <f>INDEX(MCDM_Checks!$K$6:$K$3733,MATCH(A152&amp;"|"&amp;R$5,MCDM_Checks!$A$6:$A$3733,0))</f>
        <v>U</v>
      </c>
      <c r="S152" s="5" t="str">
        <f>INDEX(MCDM_Checks!$K$6:$K$3733,MATCH(A152&amp;"|"&amp;S$5,MCDM_Checks!$A$6:$A$3733,0))</f>
        <v>Y</v>
      </c>
      <c r="T152" s="5" t="str">
        <f>INDEX(MCDM_Checks!$K$6:$K$3733,MATCH(A152&amp;"|"&amp;T$5,MCDM_Checks!$A$6:$A$3733,0))</f>
        <v>Y</v>
      </c>
      <c r="U152" s="5" t="str">
        <f>INDEX(MCDM_Checks!$K$6:$K$3733,MATCH(A152&amp;"|"&amp;U$5,MCDM_Checks!$A$6:$A$3733,0))</f>
        <v>Y</v>
      </c>
      <c r="V152" s="5" t="str">
        <f>INDEX(MCDM_Checks!$K$6:$K$3733,MATCH(A152&amp;"|"&amp;V$5,MCDM_Checks!$A$6:$A$3733,0))</f>
        <v>Y</v>
      </c>
      <c r="W152" s="5" t="str">
        <f>INDEX(MCDM_Checks!$K$6:$K$3733,MATCH(A152&amp;"|"&amp;W$5,MCDM_Checks!$A$6:$A$3733,0))</f>
        <v>Y</v>
      </c>
      <c r="X152" s="5" t="str">
        <f>INDEX(MCDM_Checks!$K$6:$K$3733,MATCH(A152&amp;"|"&amp;X$5,MCDM_Checks!$A$6:$A$3733,0))</f>
        <v>Y</v>
      </c>
      <c r="Y152" s="5" t="str">
        <f>INDEX(MCDM_Checks!$K$6:$K$3733,MATCH(A152&amp;"|"&amp;Y$5,MCDM_Checks!$A$6:$A$3733,0))</f>
        <v>Y</v>
      </c>
      <c r="Z152" s="5" t="str">
        <f>INDEX(MCDM_Checks!$K$6:$K$3733,MATCH(A152&amp;"|"&amp;Z$5,MCDM_Checks!$A$6:$A$3733,0))</f>
        <v>U</v>
      </c>
      <c r="AA152" s="5" t="str">
        <f>INDEX(MCDM_Checks!$K$6:$K$3733,MATCH(A152&amp;"|"&amp;AA$5,MCDM_Checks!$A$6:$A$3733,0))</f>
        <v>U</v>
      </c>
      <c r="AB152" s="5" t="str">
        <f>INDEX(MCDM_Checks!$K$6:$K$3733,MATCH(A152&amp;"|"&amp;AB$5,MCDM_Checks!$A$6:$A$3733,0))</f>
        <v>U</v>
      </c>
      <c r="AC152" s="12">
        <f>IF(IF($D152="Unlabeled-13",MCDM_Settings!$F$6,MCDM_Settings!$D$6)=0,"n.a.",5*COUNTIF(M152:O152,"Y")/IF($D152="Unlabeled-13",MCDM_Settings!$F$6,MCDM_Settings!$D$6))</f>
        <v>3.3333333333333335</v>
      </c>
      <c r="AD152" s="12">
        <f>IF(IF($D152="Unlabeled-13",MCDM_Settings!$F$6,MCDM_Settings!$D$6)=0,"n.a.",5*(COUNTIF(M152:O152,"Y")+COUNTIF(M152:O152,"U")+COUNTIF(M152:O152,"X"))/IF($D152="Unlabeled-13",MCDM_Settings!$F$6,MCDM_Settings!$D$6))</f>
        <v>5</v>
      </c>
      <c r="AE152" s="13">
        <f>IF(IF($D152="Unlabeled-13",MCDM_Settings!$F$6,MCDM_Settings!$D$6)=0,"n.a.",(COUNTIF(M152:O152,"Y")+COUNTIF(M152:O152,"N"))/IF($D152="Unlabeled-13",MCDM_Settings!$F$6,MCDM_Settings!$D$6))</f>
        <v>0.66666666666666663</v>
      </c>
      <c r="AF152" s="12">
        <f>IF(IF($D152="Unlabeled-13",MCDM_Settings!$F$7,MCDM_Settings!$D$7)=0,"n.a.",5*COUNTIF(P152:R152,"Y")/IF($D152="Unlabeled-13",MCDM_Settings!$F$7,MCDM_Settings!$D$7))</f>
        <v>1.6666666666666667</v>
      </c>
      <c r="AG152" s="12">
        <f>IF(IF($D152="Unlabeled-13",MCDM_Settings!$F$7,MCDM_Settings!$D$7)=0,"n.a.",5*(COUNTIF(P152:R152,"Y")+COUNTIF(P152:R152,"U")+COUNTIF(P152:R152,"X"))/IF($D152="Unlabeled-13",MCDM_Settings!$F$7,MCDM_Settings!$D$7))</f>
        <v>5</v>
      </c>
      <c r="AH152" s="13">
        <f>IF(IF($D152="Unlabeled-13",MCDM_Settings!$F$7,MCDM_Settings!$D$7)=0,"n.a.",(COUNTIF(P152:R152,"Y")+COUNTIF(P152:R152,"N"))/IF($D152="Unlabeled-13",MCDM_Settings!$F$7,MCDM_Settings!$D$7))</f>
        <v>0.33333333333333331</v>
      </c>
      <c r="AI152" s="12">
        <f>IF(IF($D152="Unlabeled-13",MCDM_Settings!$F$8,MCDM_Settings!$D$8)=0,"n.a.",5*COUNTIF(S152:U152,"Y")/IF($D152="Unlabeled-13",MCDM_Settings!$F$8,MCDM_Settings!$D$8))</f>
        <v>5</v>
      </c>
      <c r="AJ152" s="12">
        <f>IF(IF($D152="Unlabeled-13",MCDM_Settings!$F$8,MCDM_Settings!$D$8)=0,"n.a.",5*(COUNTIF(S152:U152,"Y")+COUNTIF(S152:U152,"U")+COUNTIF(S152:U152,"X"))/IF($D152="Unlabeled-13",MCDM_Settings!$F$8,MCDM_Settings!$D$8))</f>
        <v>5</v>
      </c>
      <c r="AK152" s="13">
        <f>IF(IF($D152="Unlabeled-13",MCDM_Settings!$F$8,MCDM_Settings!$D$8)=0,"n.a.",(COUNTIF(S152:U152,"Y")+COUNTIF(S152:U152,"N"))/IF($D152="Unlabeled-13",MCDM_Settings!$F$8,MCDM_Settings!$D$8))</f>
        <v>1</v>
      </c>
      <c r="AL152" s="12">
        <f>IF(IF($D152="Unlabeled-13",MCDM_Settings!$F$9,MCDM_Settings!$D$9)=0,"n.a.",5*COUNTIF(V152:W152,"Y")/IF($D152="Unlabeled-13",MCDM_Settings!$F$9,MCDM_Settings!$D$9))</f>
        <v>5</v>
      </c>
      <c r="AM152" s="12">
        <f>IF(IF($D152="Unlabeled-13",MCDM_Settings!$F$9,MCDM_Settings!$D$9)=0,"n.a.",5*(COUNTIF(V152:W152,"Y")+COUNTIF(V152:W152,"U")+COUNTIF(V152:W152,"X"))/IF($D152="Unlabeled-13",MCDM_Settings!$F$9,MCDM_Settings!$D$9))</f>
        <v>5</v>
      </c>
      <c r="AN152" s="13">
        <f>IF(IF($D152="Unlabeled-13",MCDM_Settings!$F$9,MCDM_Settings!$D$9)=0,"n.a.",(COUNTIF(V152:W152,"Y")+COUNTIF(V152:W152,"N"))/IF($D152="Unlabeled-13",MCDM_Settings!$F$9,MCDM_Settings!$D$9))</f>
        <v>1</v>
      </c>
      <c r="AO152" s="12">
        <f>IF(IF($D152="Unlabeled-13",MCDM_Settings!$F$10,MCDM_Settings!$D$10)=0,"n.a.",5*COUNTIF(X152:Y152,"Y")/IF($D152="Unlabeled-13",MCDM_Settings!$F$10,MCDM_Settings!$D$10))</f>
        <v>5</v>
      </c>
      <c r="AP152" s="12">
        <f>IF(IF($D152="Unlabeled-13",MCDM_Settings!$F$10,MCDM_Settings!$D$10)=0,"n.a.",5*(COUNTIF(X152:Y152,"Y")+COUNTIF(X152:Y152,"U")+COUNTIF(X152:Y152,"X"))/IF($D152="Unlabeled-13",MCDM_Settings!$F$10,MCDM_Settings!$D$10))</f>
        <v>5</v>
      </c>
      <c r="AQ152" s="13">
        <f>IF(IF($D152="Unlabeled-13",MCDM_Settings!$F$10,MCDM_Settings!$D$10)=0,"n.a.",(COUNTIF(X152:Y152,"Y")+COUNTIF(X152:Y152,"N"))/IF($D152="Unlabeled-13",MCDM_Settings!$F$10,MCDM_Settings!$D$10))</f>
        <v>1</v>
      </c>
      <c r="AR152" s="12">
        <f>IF(IF($D152="Unlabeled-13",MCDM_Settings!$F$11,MCDM_Settings!$D$11)=0,"n.a.",5*COUNTIF(Z152:AB152,"Y")/IF($D152="Unlabeled-13",MCDM_Settings!$F$11,MCDM_Settings!$D$11))</f>
        <v>0</v>
      </c>
      <c r="AS152" s="12">
        <f>IF(IF($D152="Unlabeled-13",MCDM_Settings!$F$11,MCDM_Settings!$D$11)=0,"n.a.",5*(COUNTIF(Z152:AB152,"Y")+COUNTIF(Z152:AB152,"U")+COUNTIF(Z152:AB152,"X"))/IF($D152="Unlabeled-13",MCDM_Settings!$F$11,MCDM_Settings!$D$11))</f>
        <v>5</v>
      </c>
      <c r="AT152" s="13">
        <f>IF(IF($D152="Unlabeled-13",MCDM_Settings!$F$11,MCDM_Settings!$D$11)=0,"n.a.",(COUNTIF(Z152:AB152,"Y")+COUNTIF(Z152:AB152,"N"))/IF($D152="Unlabeled-13",MCDM_Settings!$F$11,MCDM_Settings!$D$11))</f>
        <v>0</v>
      </c>
      <c r="AU152" s="5" t="str">
        <f>IF(AND(INDEX(Manual_Review!$G$6:$G$238,MATCH(A152,Manual_Review!$A$6:$A$238,0))&lt;&gt;"",ISNUMBER(INDEX(Manual_Review!$H$6:$H$238,MATCH(A152,Manual_Review!$A$6:$A$238,0))),INDEX(Manual_Review!$H$6:$H$238,MATCH(A152,Manual_Review!$A$6:$A$238,0))&gt;0,INDEX(Manual_Review!$I$6:$I$238,MATCH(A152,Manual_Review!$A$6:$A$238,0))="Confirmed",INDEX(Manual_Review!$AF$6:$AF$238,MATCH(A152,Manual_Review!$A$6:$A$238,0))&lt;&gt;""),IF(INDEX(Manual_Review!$AA$6:$AA$238,MATCH(A152,Manual_Review!$A$6:$A$238,0))="Pass","Pass",IF(INDEX(Manual_Review!$AA$6:$AA$238,MATCH(A152,Manual_Review!$A$6:$A$238,0))="Fail","Fail","Pending")),"Pending human identity confirmation")</f>
        <v>Pending human identity confirmation</v>
      </c>
      <c r="AV152" s="5" t="str">
        <f>IF(AND(AND(INDEX(Manual_Review!$G$6:$G$238,MATCH(A152,Manual_Review!$A$6:$A$238,0))&lt;&gt;"",ISNUMBER(INDEX(Manual_Review!$H$6:$H$238,MATCH(A152,Manual_Review!$A$6:$A$238,0))),INDEX(Manual_Review!$H$6:$H$238,MATCH(A152,Manual_Review!$A$6:$A$238,0))&gt;0,INDEX(Manual_Review!$I$6:$I$238,MATCH(A152,Manual_Review!$A$6:$A$238,0))="Confirmed",INDEX(Manual_Review!$AF$6:$AF$238,MATCH(A152,Manual_Review!$A$6:$A$238,0))&lt;&gt;""),INDEX(Manual_Review!$AG$6:$AG$238,MATCH(A152,Manual_Review!$A$6:$A$238,0))&lt;&gt;""),IF(INDEX(Manual_Review!$AB$6:$AB$238,MATCH(A152,Manual_Review!$A$6:$A$238,0))="Pass","Pass",IF(INDEX(Manual_Review!$AB$6:$AB$238,MATCH(A152,Manual_Review!$A$6:$A$238,0))="Fail","Fail","Pending")),"Not assessed: define intended task")</f>
        <v>Not assessed: define intended task</v>
      </c>
      <c r="AW152" s="5" t="str">
        <f>IF(AND(AND(INDEX(Manual_Review!$G$6:$G$238,MATCH(A152,Manual_Review!$A$6:$A$238,0))&lt;&gt;"",ISNUMBER(INDEX(Manual_Review!$H$6:$H$238,MATCH(A152,Manual_Review!$A$6:$A$238,0))),INDEX(Manual_Review!$H$6:$H$238,MATCH(A152,Manual_Review!$A$6:$A$238,0))&gt;0,INDEX(Manual_Review!$I$6:$I$238,MATCH(A152,Manual_Review!$A$6:$A$238,0))="Confirmed",INDEX(Manual_Review!$AF$6:$AF$238,MATCH(A152,Manual_Review!$A$6:$A$238,0))&lt;&gt;""),INDEX(Manual_Review!$AG$6:$AG$238,MATCH(A152,Manual_Review!$A$6:$A$238,0))&lt;&gt;""),IF(OR(INDEX(Manual_Review!$AC$6:$AC$238,MATCH(A152,Manual_Review!$A$6:$A$238,0))="Fail",INDEX(Manual_Review!$AD$6:$AD$238,MATCH(A152,Manual_Review!$A$6:$A$238,0))="Fail"),"Fail: rights or retrieval",IF(AND(INDEX(Manual_Review!$AC$6:$AC$238,MATCH(A152,Manual_Review!$A$6:$A$238,0))="Pass",INDEX(Manual_Review!$AD$6:$AD$238,MATCH(A152,Manual_Review!$A$6:$A$238,0))="Pass"),"Pass","Pending rights and retrieval")),"Pending rights and retrieval")</f>
        <v>Pending rights and retrieval</v>
      </c>
      <c r="AX152" s="5" t="str">
        <f>IF(INDEX(Manual_Review!$AG$6:$AG$238,MATCH(A152,Manual_Review!$A$6:$A$238,0))="","N/A: documentation inventory",IF(AND(INDEX(Manual_Review!$G$6:$G$238,MATCH(A152,Manual_Review!$A$6:$A$238,0))&lt;&gt;"",ISNUMBER(INDEX(Manual_Review!$H$6:$H$238,MATCH(A152,Manual_Review!$A$6:$A$238,0))),INDEX(Manual_Review!$H$6:$H$238,MATCH(A152,Manual_Review!$A$6:$A$238,0))&gt;0,INDEX(Manual_Review!$I$6:$I$238,MATCH(A152,Manual_Review!$A$6:$A$238,0))="Confirmed",INDEX(Manual_Review!$AF$6:$AF$238,MATCH(A152,Manual_Review!$A$6:$A$238,0))&lt;&gt;""),IF(INDEX(Manual_Review!$AE$6:$AE$238,MATCH(A152,Manual_Review!$A$6:$A$238,0))="Pass","Pass",IF(INDEX(Manual_Review!$AE$6:$AE$238,MATCH(A152,Manual_Review!$A$6:$A$238,0))="Fail","Fail: benchmark leakage",IF(INDEX(Manual_Review!$AE$6:$AE$238,MATCH(A152,Manual_Review!$A$6:$A$238,0))="N/A","N/A: nonbenchmark task","Pending task-specific leakage check"))),"Pending task-specific leakage check"))</f>
        <v>N/A: documentation inventory</v>
      </c>
      <c r="AY152" s="5" t="str">
        <f>IF(IF(D152="Unlabeled-13",AND(ABS(MCDM_Settings!$D$14-1)&lt;0.0000001,MIN(MCDM_Settings!$E$6:$E$11)&gt;=0,MCDM_Settings!$E$7=0),AND(ABS(MCDM_Settings!$B$14-1)&lt;0.0000001,MIN(MCDM_Settings!$C$6:$C$11)&gt;=0)),"Valid","Check weights")</f>
        <v>Valid</v>
      </c>
      <c r="AZ152" s="5" t="str">
        <f>IF(AND(COUNTIF(MCDM_Checks!$B$6:$B$3733,A152)=16,COUNTIF(Manual_Review!$A$6:$A$238,A152)=1),"16 keys present","Check key count")</f>
        <v>16 keys present</v>
      </c>
    </row>
    <row r="153" spans="1:52">
      <c r="A153" s="5" t="s">
        <v>1691</v>
      </c>
      <c r="B153" s="5" t="s">
        <v>1692</v>
      </c>
      <c r="C153" s="5"/>
      <c r="D153" s="5" t="s">
        <v>118</v>
      </c>
      <c r="E153" s="12">
        <f>IF(OR(AY153&lt;&gt;"Valid",AZ153&lt;&gt;"16 keys present"),"Review settings",20*(IF(ISNUMBER(AC153),AC153*IF($D153="Unlabeled-13",MCDM_Settings!$E$6,MCDM_Settings!$C$6),0)+IF(ISNUMBER(AF153),AF153*IF($D153="Unlabeled-13",MCDM_Settings!$E$7,MCDM_Settings!$C$7),0)+IF(ISNUMBER(AI153),AI153*IF($D153="Unlabeled-13",MCDM_Settings!$E$8,MCDM_Settings!$C$8),0)+IF(ISNUMBER(AL153),AL153*IF($D153="Unlabeled-13",MCDM_Settings!$E$9,MCDM_Settings!$C$9),0)+IF(ISNUMBER(AO153),AO153*IF($D153="Unlabeled-13",MCDM_Settings!$E$10,MCDM_Settings!$C$10),0)+IF(ISNUMBER(AR153),AR153*IF($D153="Unlabeled-13",MCDM_Settings!$E$11,MCDM_Settings!$C$11),0)))</f>
        <v>77.777777777777771</v>
      </c>
      <c r="F153" s="12">
        <f>IF(OR(AY153&lt;&gt;"Valid",AZ153&lt;&gt;"16 keys present"),"Review settings",20*(IF(ISNUMBER(AD153),AD153*IF($D153="Unlabeled-13",MCDM_Settings!$E$6,MCDM_Settings!$C$6),0)+IF(ISNUMBER(AG153),AG153*IF($D153="Unlabeled-13",MCDM_Settings!$E$7,MCDM_Settings!$C$7),0)+IF(ISNUMBER(AJ153),AJ153*IF($D153="Unlabeled-13",MCDM_Settings!$E$8,MCDM_Settings!$C$8),0)+IF(ISNUMBER(AM153),AM153*IF($D153="Unlabeled-13",MCDM_Settings!$E$9,MCDM_Settings!$C$9),0)+IF(ISNUMBER(AP153),AP153*IF($D153="Unlabeled-13",MCDM_Settings!$E$10,MCDM_Settings!$C$10),0)+IF(ISNUMBER(AS153),AS153*IF($D153="Unlabeled-13",MCDM_Settings!$E$11,MCDM_Settings!$C$11),0)))</f>
        <v>99.999999999999986</v>
      </c>
      <c r="G153" s="13">
        <f>IF(OR(AY153&lt;&gt;"Valid",AZ153&lt;&gt;"16 keys present"),"Review settings",1*(IF(ISNUMBER(AE153),AE153*IF($D153="Unlabeled-13",MCDM_Settings!$E$6,MCDM_Settings!$C$6),0)+IF(ISNUMBER(AH153),AH153*IF($D153="Unlabeled-13",MCDM_Settings!$E$7,MCDM_Settings!$C$7),0)+IF(ISNUMBER(AK153),AK153*IF($D153="Unlabeled-13",MCDM_Settings!$E$8,MCDM_Settings!$C$8),0)+IF(ISNUMBER(AN153),AN153*IF($D153="Unlabeled-13",MCDM_Settings!$E$9,MCDM_Settings!$C$9),0)+IF(ISNUMBER(AQ153),AQ153*IF($D153="Unlabeled-13",MCDM_Settings!$E$10,MCDM_Settings!$C$10),0)+IF(ISNUMBER(AT153),AT153*IF($D153="Unlabeled-13",MCDM_Settings!$E$11,MCDM_Settings!$C$11),0)))</f>
        <v>0.77777777777777768</v>
      </c>
      <c r="H153" s="5" t="str">
        <f>INDEX(Manual_Review!$AH$6:$AH$238,MATCH(A153,Manual_Review!$A$6:$A$238,0))</f>
        <v>Not started</v>
      </c>
      <c r="I153" s="5" t="s">
        <v>128</v>
      </c>
      <c r="J153" s="5" t="s">
        <v>1601</v>
      </c>
      <c r="K153" s="5" t="str">
        <f>HYPERLINK("https://www.kaggle.com/datasets/bandisr/post-earthquake-asphalt-crack-classification","Dataset")</f>
        <v>Dataset</v>
      </c>
      <c r="L153" s="5" t="str">
        <f>HYPERLINK("#'Manual_Review'!A"&amp;(MATCH("DS-148",Manual_Review!$A$6:$A$238,0)+5),"Enter review")</f>
        <v>Enter review</v>
      </c>
      <c r="M153" s="5" t="str">
        <f>INDEX(MCDM_Checks!$K$6:$K$3733,MATCH(A153&amp;"|"&amp;M$5,MCDM_Checks!$A$6:$A$3733,0))</f>
        <v>Y</v>
      </c>
      <c r="N153" s="5" t="str">
        <f>INDEX(MCDM_Checks!$K$6:$K$3733,MATCH(A153&amp;"|"&amp;N$5,MCDM_Checks!$A$6:$A$3733,0))</f>
        <v>Y</v>
      </c>
      <c r="O153" s="5" t="str">
        <f>INDEX(MCDM_Checks!$K$6:$K$3733,MATCH(A153&amp;"|"&amp;O$5,MCDM_Checks!$A$6:$A$3733,0))</f>
        <v>Y</v>
      </c>
      <c r="P153" s="5" t="str">
        <f>INDEX(MCDM_Checks!$K$6:$K$3733,MATCH(A153&amp;"|"&amp;P$5,MCDM_Checks!$A$6:$A$3733,0))</f>
        <v>Y</v>
      </c>
      <c r="Q153" s="5" t="str">
        <f>INDEX(MCDM_Checks!$K$6:$K$3733,MATCH(A153&amp;"|"&amp;Q$5,MCDM_Checks!$A$6:$A$3733,0))</f>
        <v>U</v>
      </c>
      <c r="R153" s="5" t="str">
        <f>INDEX(MCDM_Checks!$K$6:$K$3733,MATCH(A153&amp;"|"&amp;R$5,MCDM_Checks!$A$6:$A$3733,0))</f>
        <v>U</v>
      </c>
      <c r="S153" s="5" t="str">
        <f>INDEX(MCDM_Checks!$K$6:$K$3733,MATCH(A153&amp;"|"&amp;S$5,MCDM_Checks!$A$6:$A$3733,0))</f>
        <v>U</v>
      </c>
      <c r="T153" s="5" t="str">
        <f>INDEX(MCDM_Checks!$K$6:$K$3733,MATCH(A153&amp;"|"&amp;T$5,MCDM_Checks!$A$6:$A$3733,0))</f>
        <v>Y</v>
      </c>
      <c r="U153" s="5" t="str">
        <f>INDEX(MCDM_Checks!$K$6:$K$3733,MATCH(A153&amp;"|"&amp;U$5,MCDM_Checks!$A$6:$A$3733,0))</f>
        <v>Y</v>
      </c>
      <c r="V153" s="5" t="str">
        <f>INDEX(MCDM_Checks!$K$6:$K$3733,MATCH(A153&amp;"|"&amp;V$5,MCDM_Checks!$A$6:$A$3733,0))</f>
        <v>Y</v>
      </c>
      <c r="W153" s="5" t="str">
        <f>INDEX(MCDM_Checks!$K$6:$K$3733,MATCH(A153&amp;"|"&amp;W$5,MCDM_Checks!$A$6:$A$3733,0))</f>
        <v>Y</v>
      </c>
      <c r="X153" s="5" t="str">
        <f>INDEX(MCDM_Checks!$K$6:$K$3733,MATCH(A153&amp;"|"&amp;X$5,MCDM_Checks!$A$6:$A$3733,0))</f>
        <v>Y</v>
      </c>
      <c r="Y153" s="5" t="str">
        <f>INDEX(MCDM_Checks!$K$6:$K$3733,MATCH(A153&amp;"|"&amp;Y$5,MCDM_Checks!$A$6:$A$3733,0))</f>
        <v>Y</v>
      </c>
      <c r="Z153" s="5" t="str">
        <f>INDEX(MCDM_Checks!$K$6:$K$3733,MATCH(A153&amp;"|"&amp;Z$5,MCDM_Checks!$A$6:$A$3733,0))</f>
        <v>Y</v>
      </c>
      <c r="AA153" s="5" t="str">
        <f>INDEX(MCDM_Checks!$K$6:$K$3733,MATCH(A153&amp;"|"&amp;AA$5,MCDM_Checks!$A$6:$A$3733,0))</f>
        <v>U</v>
      </c>
      <c r="AB153" s="5" t="str">
        <f>INDEX(MCDM_Checks!$K$6:$K$3733,MATCH(A153&amp;"|"&amp;AB$5,MCDM_Checks!$A$6:$A$3733,0))</f>
        <v>Y</v>
      </c>
      <c r="AC153" s="12">
        <f>IF(IF($D153="Unlabeled-13",MCDM_Settings!$F$6,MCDM_Settings!$D$6)=0,"n.a.",5*COUNTIF(M153:O153,"Y")/IF($D153="Unlabeled-13",MCDM_Settings!$F$6,MCDM_Settings!$D$6))</f>
        <v>5</v>
      </c>
      <c r="AD153" s="12">
        <f>IF(IF($D153="Unlabeled-13",MCDM_Settings!$F$6,MCDM_Settings!$D$6)=0,"n.a.",5*(COUNTIF(M153:O153,"Y")+COUNTIF(M153:O153,"U")+COUNTIF(M153:O153,"X"))/IF($D153="Unlabeled-13",MCDM_Settings!$F$6,MCDM_Settings!$D$6))</f>
        <v>5</v>
      </c>
      <c r="AE153" s="13">
        <f>IF(IF($D153="Unlabeled-13",MCDM_Settings!$F$6,MCDM_Settings!$D$6)=0,"n.a.",(COUNTIF(M153:O153,"Y")+COUNTIF(M153:O153,"N"))/IF($D153="Unlabeled-13",MCDM_Settings!$F$6,MCDM_Settings!$D$6))</f>
        <v>1</v>
      </c>
      <c r="AF153" s="12">
        <f>IF(IF($D153="Unlabeled-13",MCDM_Settings!$F$7,MCDM_Settings!$D$7)=0,"n.a.",5*COUNTIF(P153:R153,"Y")/IF($D153="Unlabeled-13",MCDM_Settings!$F$7,MCDM_Settings!$D$7))</f>
        <v>1.6666666666666667</v>
      </c>
      <c r="AG153" s="12">
        <f>IF(IF($D153="Unlabeled-13",MCDM_Settings!$F$7,MCDM_Settings!$D$7)=0,"n.a.",5*(COUNTIF(P153:R153,"Y")+COUNTIF(P153:R153,"U")+COUNTIF(P153:R153,"X"))/IF($D153="Unlabeled-13",MCDM_Settings!$F$7,MCDM_Settings!$D$7))</f>
        <v>5</v>
      </c>
      <c r="AH153" s="13">
        <f>IF(IF($D153="Unlabeled-13",MCDM_Settings!$F$7,MCDM_Settings!$D$7)=0,"n.a.",(COUNTIF(P153:R153,"Y")+COUNTIF(P153:R153,"N"))/IF($D153="Unlabeled-13",MCDM_Settings!$F$7,MCDM_Settings!$D$7))</f>
        <v>0.33333333333333331</v>
      </c>
      <c r="AI153" s="12">
        <f>IF(IF($D153="Unlabeled-13",MCDM_Settings!$F$8,MCDM_Settings!$D$8)=0,"n.a.",5*COUNTIF(S153:U153,"Y")/IF($D153="Unlabeled-13",MCDM_Settings!$F$8,MCDM_Settings!$D$8))</f>
        <v>3.3333333333333335</v>
      </c>
      <c r="AJ153" s="12">
        <f>IF(IF($D153="Unlabeled-13",MCDM_Settings!$F$8,MCDM_Settings!$D$8)=0,"n.a.",5*(COUNTIF(S153:U153,"Y")+COUNTIF(S153:U153,"U")+COUNTIF(S153:U153,"X"))/IF($D153="Unlabeled-13",MCDM_Settings!$F$8,MCDM_Settings!$D$8))</f>
        <v>5</v>
      </c>
      <c r="AK153" s="13">
        <f>IF(IF($D153="Unlabeled-13",MCDM_Settings!$F$8,MCDM_Settings!$D$8)=0,"n.a.",(COUNTIF(S153:U153,"Y")+COUNTIF(S153:U153,"N"))/IF($D153="Unlabeled-13",MCDM_Settings!$F$8,MCDM_Settings!$D$8))</f>
        <v>0.66666666666666663</v>
      </c>
      <c r="AL153" s="12">
        <f>IF(IF($D153="Unlabeled-13",MCDM_Settings!$F$9,MCDM_Settings!$D$9)=0,"n.a.",5*COUNTIF(V153:W153,"Y")/IF($D153="Unlabeled-13",MCDM_Settings!$F$9,MCDM_Settings!$D$9))</f>
        <v>5</v>
      </c>
      <c r="AM153" s="12">
        <f>IF(IF($D153="Unlabeled-13",MCDM_Settings!$F$9,MCDM_Settings!$D$9)=0,"n.a.",5*(COUNTIF(V153:W153,"Y")+COUNTIF(V153:W153,"U")+COUNTIF(V153:W153,"X"))/IF($D153="Unlabeled-13",MCDM_Settings!$F$9,MCDM_Settings!$D$9))</f>
        <v>5</v>
      </c>
      <c r="AN153" s="13">
        <f>IF(IF($D153="Unlabeled-13",MCDM_Settings!$F$9,MCDM_Settings!$D$9)=0,"n.a.",(COUNTIF(V153:W153,"Y")+COUNTIF(V153:W153,"N"))/IF($D153="Unlabeled-13",MCDM_Settings!$F$9,MCDM_Settings!$D$9))</f>
        <v>1</v>
      </c>
      <c r="AO153" s="12">
        <f>IF(IF($D153="Unlabeled-13",MCDM_Settings!$F$10,MCDM_Settings!$D$10)=0,"n.a.",5*COUNTIF(X153:Y153,"Y")/IF($D153="Unlabeled-13",MCDM_Settings!$F$10,MCDM_Settings!$D$10))</f>
        <v>5</v>
      </c>
      <c r="AP153" s="12">
        <f>IF(IF($D153="Unlabeled-13",MCDM_Settings!$F$10,MCDM_Settings!$D$10)=0,"n.a.",5*(COUNTIF(X153:Y153,"Y")+COUNTIF(X153:Y153,"U")+COUNTIF(X153:Y153,"X"))/IF($D153="Unlabeled-13",MCDM_Settings!$F$10,MCDM_Settings!$D$10))</f>
        <v>5</v>
      </c>
      <c r="AQ153" s="13">
        <f>IF(IF($D153="Unlabeled-13",MCDM_Settings!$F$10,MCDM_Settings!$D$10)=0,"n.a.",(COUNTIF(X153:Y153,"Y")+COUNTIF(X153:Y153,"N"))/IF($D153="Unlabeled-13",MCDM_Settings!$F$10,MCDM_Settings!$D$10))</f>
        <v>1</v>
      </c>
      <c r="AR153" s="12">
        <f>IF(IF($D153="Unlabeled-13",MCDM_Settings!$F$11,MCDM_Settings!$D$11)=0,"n.a.",5*COUNTIF(Z153:AB153,"Y")/IF($D153="Unlabeled-13",MCDM_Settings!$F$11,MCDM_Settings!$D$11))</f>
        <v>3.3333333333333335</v>
      </c>
      <c r="AS153" s="12">
        <f>IF(IF($D153="Unlabeled-13",MCDM_Settings!$F$11,MCDM_Settings!$D$11)=0,"n.a.",5*(COUNTIF(Z153:AB153,"Y")+COUNTIF(Z153:AB153,"U")+COUNTIF(Z153:AB153,"X"))/IF($D153="Unlabeled-13",MCDM_Settings!$F$11,MCDM_Settings!$D$11))</f>
        <v>5</v>
      </c>
      <c r="AT153" s="13">
        <f>IF(IF($D153="Unlabeled-13",MCDM_Settings!$F$11,MCDM_Settings!$D$11)=0,"n.a.",(COUNTIF(Z153:AB153,"Y")+COUNTIF(Z153:AB153,"N"))/IF($D153="Unlabeled-13",MCDM_Settings!$F$11,MCDM_Settings!$D$11))</f>
        <v>0.66666666666666663</v>
      </c>
      <c r="AU153" s="5" t="str">
        <f>IF(AND(INDEX(Manual_Review!$G$6:$G$238,MATCH(A153,Manual_Review!$A$6:$A$238,0))&lt;&gt;"",ISNUMBER(INDEX(Manual_Review!$H$6:$H$238,MATCH(A153,Manual_Review!$A$6:$A$238,0))),INDEX(Manual_Review!$H$6:$H$238,MATCH(A153,Manual_Review!$A$6:$A$238,0))&gt;0,INDEX(Manual_Review!$I$6:$I$238,MATCH(A153,Manual_Review!$A$6:$A$238,0))="Confirmed",INDEX(Manual_Review!$AF$6:$AF$238,MATCH(A153,Manual_Review!$A$6:$A$238,0))&lt;&gt;""),IF(INDEX(Manual_Review!$AA$6:$AA$238,MATCH(A153,Manual_Review!$A$6:$A$238,0))="Pass","Pass",IF(INDEX(Manual_Review!$AA$6:$AA$238,MATCH(A153,Manual_Review!$A$6:$A$238,0))="Fail","Fail","Pending")),"Pending human identity confirmation")</f>
        <v>Pending human identity confirmation</v>
      </c>
      <c r="AV153" s="5" t="str">
        <f>IF(AND(AND(INDEX(Manual_Review!$G$6:$G$238,MATCH(A153,Manual_Review!$A$6:$A$238,0))&lt;&gt;"",ISNUMBER(INDEX(Manual_Review!$H$6:$H$238,MATCH(A153,Manual_Review!$A$6:$A$238,0))),INDEX(Manual_Review!$H$6:$H$238,MATCH(A153,Manual_Review!$A$6:$A$238,0))&gt;0,INDEX(Manual_Review!$I$6:$I$238,MATCH(A153,Manual_Review!$A$6:$A$238,0))="Confirmed",INDEX(Manual_Review!$AF$6:$AF$238,MATCH(A153,Manual_Review!$A$6:$A$238,0))&lt;&gt;""),INDEX(Manual_Review!$AG$6:$AG$238,MATCH(A153,Manual_Review!$A$6:$A$238,0))&lt;&gt;""),IF(INDEX(Manual_Review!$AB$6:$AB$238,MATCH(A153,Manual_Review!$A$6:$A$238,0))="Pass","Pass",IF(INDEX(Manual_Review!$AB$6:$AB$238,MATCH(A153,Manual_Review!$A$6:$A$238,0))="Fail","Fail","Pending")),"Not assessed: define intended task")</f>
        <v>Not assessed: define intended task</v>
      </c>
      <c r="AW153" s="5" t="str">
        <f>IF(AND(AND(INDEX(Manual_Review!$G$6:$G$238,MATCH(A153,Manual_Review!$A$6:$A$238,0))&lt;&gt;"",ISNUMBER(INDEX(Manual_Review!$H$6:$H$238,MATCH(A153,Manual_Review!$A$6:$A$238,0))),INDEX(Manual_Review!$H$6:$H$238,MATCH(A153,Manual_Review!$A$6:$A$238,0))&gt;0,INDEX(Manual_Review!$I$6:$I$238,MATCH(A153,Manual_Review!$A$6:$A$238,0))="Confirmed",INDEX(Manual_Review!$AF$6:$AF$238,MATCH(A153,Manual_Review!$A$6:$A$238,0))&lt;&gt;""),INDEX(Manual_Review!$AG$6:$AG$238,MATCH(A153,Manual_Review!$A$6:$A$238,0))&lt;&gt;""),IF(OR(INDEX(Manual_Review!$AC$6:$AC$238,MATCH(A153,Manual_Review!$A$6:$A$238,0))="Fail",INDEX(Manual_Review!$AD$6:$AD$238,MATCH(A153,Manual_Review!$A$6:$A$238,0))="Fail"),"Fail: rights or retrieval",IF(AND(INDEX(Manual_Review!$AC$6:$AC$238,MATCH(A153,Manual_Review!$A$6:$A$238,0))="Pass",INDEX(Manual_Review!$AD$6:$AD$238,MATCH(A153,Manual_Review!$A$6:$A$238,0))="Pass"),"Pass","Pending rights and retrieval")),"Pending rights and retrieval")</f>
        <v>Pending rights and retrieval</v>
      </c>
      <c r="AX153" s="5" t="str">
        <f>IF(INDEX(Manual_Review!$AG$6:$AG$238,MATCH(A153,Manual_Review!$A$6:$A$238,0))="","N/A: documentation inventory",IF(AND(INDEX(Manual_Review!$G$6:$G$238,MATCH(A153,Manual_Review!$A$6:$A$238,0))&lt;&gt;"",ISNUMBER(INDEX(Manual_Review!$H$6:$H$238,MATCH(A153,Manual_Review!$A$6:$A$238,0))),INDEX(Manual_Review!$H$6:$H$238,MATCH(A153,Manual_Review!$A$6:$A$238,0))&gt;0,INDEX(Manual_Review!$I$6:$I$238,MATCH(A153,Manual_Review!$A$6:$A$238,0))="Confirmed",INDEX(Manual_Review!$AF$6:$AF$238,MATCH(A153,Manual_Review!$A$6:$A$238,0))&lt;&gt;""),IF(INDEX(Manual_Review!$AE$6:$AE$238,MATCH(A153,Manual_Review!$A$6:$A$238,0))="Pass","Pass",IF(INDEX(Manual_Review!$AE$6:$AE$238,MATCH(A153,Manual_Review!$A$6:$A$238,0))="Fail","Fail: benchmark leakage",IF(INDEX(Manual_Review!$AE$6:$AE$238,MATCH(A153,Manual_Review!$A$6:$A$238,0))="N/A","N/A: nonbenchmark task","Pending task-specific leakage check"))),"Pending task-specific leakage check"))</f>
        <v>N/A: documentation inventory</v>
      </c>
      <c r="AY153" s="5" t="str">
        <f>IF(IF(D153="Unlabeled-13",AND(ABS(MCDM_Settings!$D$14-1)&lt;0.0000001,MIN(MCDM_Settings!$E$6:$E$11)&gt;=0,MCDM_Settings!$E$7=0),AND(ABS(MCDM_Settings!$B$14-1)&lt;0.0000001,MIN(MCDM_Settings!$C$6:$C$11)&gt;=0)),"Valid","Check weights")</f>
        <v>Valid</v>
      </c>
      <c r="AZ153" s="5" t="str">
        <f>IF(AND(COUNTIF(MCDM_Checks!$B$6:$B$3733,A153)=16,COUNTIF(Manual_Review!$A$6:$A$238,A153)=1),"16 keys present","Check key count")</f>
        <v>16 keys present</v>
      </c>
    </row>
    <row r="154" spans="1:52">
      <c r="A154" s="5" t="s">
        <v>1701</v>
      </c>
      <c r="B154" s="5" t="s">
        <v>1702</v>
      </c>
      <c r="C154" s="5"/>
      <c r="D154" s="5" t="s">
        <v>118</v>
      </c>
      <c r="E154" s="12">
        <f>IF(OR(AY154&lt;&gt;"Valid",AZ154&lt;&gt;"16 keys present"),"Review settings",20*(IF(ISNUMBER(AC154),AC154*IF($D154="Unlabeled-13",MCDM_Settings!$E$6,MCDM_Settings!$C$6),0)+IF(ISNUMBER(AF154),AF154*IF($D154="Unlabeled-13",MCDM_Settings!$E$7,MCDM_Settings!$C$7),0)+IF(ISNUMBER(AI154),AI154*IF($D154="Unlabeled-13",MCDM_Settings!$E$8,MCDM_Settings!$C$8),0)+IF(ISNUMBER(AL154),AL154*IF($D154="Unlabeled-13",MCDM_Settings!$E$9,MCDM_Settings!$C$9),0)+IF(ISNUMBER(AO154),AO154*IF($D154="Unlabeled-13",MCDM_Settings!$E$10,MCDM_Settings!$C$10),0)+IF(ISNUMBER(AR154),AR154*IF($D154="Unlabeled-13",MCDM_Settings!$E$11,MCDM_Settings!$C$11),0)))</f>
        <v>47.222222222222221</v>
      </c>
      <c r="F154" s="12">
        <f>IF(OR(AY154&lt;&gt;"Valid",AZ154&lt;&gt;"16 keys present"),"Review settings",20*(IF(ISNUMBER(AD154),AD154*IF($D154="Unlabeled-13",MCDM_Settings!$E$6,MCDM_Settings!$C$6),0)+IF(ISNUMBER(AG154),AG154*IF($D154="Unlabeled-13",MCDM_Settings!$E$7,MCDM_Settings!$C$7),0)+IF(ISNUMBER(AJ154),AJ154*IF($D154="Unlabeled-13",MCDM_Settings!$E$8,MCDM_Settings!$C$8),0)+IF(ISNUMBER(AM154),AM154*IF($D154="Unlabeled-13",MCDM_Settings!$E$9,MCDM_Settings!$C$9),0)+IF(ISNUMBER(AP154),AP154*IF($D154="Unlabeled-13",MCDM_Settings!$E$10,MCDM_Settings!$C$10),0)+IF(ISNUMBER(AS154),AS154*IF($D154="Unlabeled-13",MCDM_Settings!$E$11,MCDM_Settings!$C$11),0)))</f>
        <v>99.999999999999986</v>
      </c>
      <c r="G154" s="13">
        <f>IF(OR(AY154&lt;&gt;"Valid",AZ154&lt;&gt;"16 keys present"),"Review settings",1*(IF(ISNUMBER(AE154),AE154*IF($D154="Unlabeled-13",MCDM_Settings!$E$6,MCDM_Settings!$C$6),0)+IF(ISNUMBER(AH154),AH154*IF($D154="Unlabeled-13",MCDM_Settings!$E$7,MCDM_Settings!$C$7),0)+IF(ISNUMBER(AK154),AK154*IF($D154="Unlabeled-13",MCDM_Settings!$E$8,MCDM_Settings!$C$8),0)+IF(ISNUMBER(AN154),AN154*IF($D154="Unlabeled-13",MCDM_Settings!$E$9,MCDM_Settings!$C$9),0)+IF(ISNUMBER(AQ154),AQ154*IF($D154="Unlabeled-13",MCDM_Settings!$E$10,MCDM_Settings!$C$10),0)+IF(ISNUMBER(AT154),AT154*IF($D154="Unlabeled-13",MCDM_Settings!$E$11,MCDM_Settings!$C$11),0)))</f>
        <v>0.47222222222222215</v>
      </c>
      <c r="H154" s="5" t="str">
        <f>INDEX(Manual_Review!$AH$6:$AH$238,MATCH(A154,Manual_Review!$A$6:$A$238,0))</f>
        <v>Not started</v>
      </c>
      <c r="I154" s="5" t="s">
        <v>128</v>
      </c>
      <c r="J154" s="5" t="s">
        <v>1601</v>
      </c>
      <c r="K154" s="5" t="str">
        <f>HYPERLINK("https://www.kaggle.com/datasets/andrewmvd/pothole-detection","Dataset")</f>
        <v>Dataset</v>
      </c>
      <c r="L154" s="5" t="str">
        <f>HYPERLINK("#'Manual_Review'!A"&amp;(MATCH("DS-149",Manual_Review!$A$6:$A$238,0)+5),"Enter review")</f>
        <v>Enter review</v>
      </c>
      <c r="M154" s="5" t="str">
        <f>INDEX(MCDM_Checks!$K$6:$K$3733,MATCH(A154&amp;"|"&amp;M$5,MCDM_Checks!$A$6:$A$3733,0))</f>
        <v>Y</v>
      </c>
      <c r="N154" s="5" t="str">
        <f>INDEX(MCDM_Checks!$K$6:$K$3733,MATCH(A154&amp;"|"&amp;N$5,MCDM_Checks!$A$6:$A$3733,0))</f>
        <v>Y</v>
      </c>
      <c r="O154" s="5" t="str">
        <f>INDEX(MCDM_Checks!$K$6:$K$3733,MATCH(A154&amp;"|"&amp;O$5,MCDM_Checks!$A$6:$A$3733,0))</f>
        <v>Y</v>
      </c>
      <c r="P154" s="5" t="str">
        <f>INDEX(MCDM_Checks!$K$6:$K$3733,MATCH(A154&amp;"|"&amp;P$5,MCDM_Checks!$A$6:$A$3733,0))</f>
        <v>Y</v>
      </c>
      <c r="Q154" s="5" t="str">
        <f>INDEX(MCDM_Checks!$K$6:$K$3733,MATCH(A154&amp;"|"&amp;Q$5,MCDM_Checks!$A$6:$A$3733,0))</f>
        <v>U</v>
      </c>
      <c r="R154" s="5" t="str">
        <f>INDEX(MCDM_Checks!$K$6:$K$3733,MATCH(A154&amp;"|"&amp;R$5,MCDM_Checks!$A$6:$A$3733,0))</f>
        <v>U</v>
      </c>
      <c r="S154" s="5" t="str">
        <f>INDEX(MCDM_Checks!$K$6:$K$3733,MATCH(A154&amp;"|"&amp;S$5,MCDM_Checks!$A$6:$A$3733,0))</f>
        <v>Y</v>
      </c>
      <c r="T154" s="5" t="str">
        <f>INDEX(MCDM_Checks!$K$6:$K$3733,MATCH(A154&amp;"|"&amp;T$5,MCDM_Checks!$A$6:$A$3733,0))</f>
        <v>Y</v>
      </c>
      <c r="U154" s="5" t="str">
        <f>INDEX(MCDM_Checks!$K$6:$K$3733,MATCH(A154&amp;"|"&amp;U$5,MCDM_Checks!$A$6:$A$3733,0))</f>
        <v>Y</v>
      </c>
      <c r="V154" s="5" t="str">
        <f>INDEX(MCDM_Checks!$K$6:$K$3733,MATCH(A154&amp;"|"&amp;V$5,MCDM_Checks!$A$6:$A$3733,0))</f>
        <v>Y</v>
      </c>
      <c r="W154" s="5" t="str">
        <f>INDEX(MCDM_Checks!$K$6:$K$3733,MATCH(A154&amp;"|"&amp;W$5,MCDM_Checks!$A$6:$A$3733,0))</f>
        <v>U</v>
      </c>
      <c r="X154" s="5" t="str">
        <f>INDEX(MCDM_Checks!$K$6:$K$3733,MATCH(A154&amp;"|"&amp;X$5,MCDM_Checks!$A$6:$A$3733,0))</f>
        <v>U</v>
      </c>
      <c r="Y154" s="5" t="str">
        <f>INDEX(MCDM_Checks!$K$6:$K$3733,MATCH(A154&amp;"|"&amp;Y$5,MCDM_Checks!$A$6:$A$3733,0))</f>
        <v>U</v>
      </c>
      <c r="Z154" s="5" t="str">
        <f>INDEX(MCDM_Checks!$K$6:$K$3733,MATCH(A154&amp;"|"&amp;Z$5,MCDM_Checks!$A$6:$A$3733,0))</f>
        <v>U</v>
      </c>
      <c r="AA154" s="5" t="str">
        <f>INDEX(MCDM_Checks!$K$6:$K$3733,MATCH(A154&amp;"|"&amp;AA$5,MCDM_Checks!$A$6:$A$3733,0))</f>
        <v>U</v>
      </c>
      <c r="AB154" s="5" t="str">
        <f>INDEX(MCDM_Checks!$K$6:$K$3733,MATCH(A154&amp;"|"&amp;AB$5,MCDM_Checks!$A$6:$A$3733,0))</f>
        <v>U</v>
      </c>
      <c r="AC154" s="12">
        <f>IF(IF($D154="Unlabeled-13",MCDM_Settings!$F$6,MCDM_Settings!$D$6)=0,"n.a.",5*COUNTIF(M154:O154,"Y")/IF($D154="Unlabeled-13",MCDM_Settings!$F$6,MCDM_Settings!$D$6))</f>
        <v>5</v>
      </c>
      <c r="AD154" s="12">
        <f>IF(IF($D154="Unlabeled-13",MCDM_Settings!$F$6,MCDM_Settings!$D$6)=0,"n.a.",5*(COUNTIF(M154:O154,"Y")+COUNTIF(M154:O154,"U")+COUNTIF(M154:O154,"X"))/IF($D154="Unlabeled-13",MCDM_Settings!$F$6,MCDM_Settings!$D$6))</f>
        <v>5</v>
      </c>
      <c r="AE154" s="13">
        <f>IF(IF($D154="Unlabeled-13",MCDM_Settings!$F$6,MCDM_Settings!$D$6)=0,"n.a.",(COUNTIF(M154:O154,"Y")+COUNTIF(M154:O154,"N"))/IF($D154="Unlabeled-13",MCDM_Settings!$F$6,MCDM_Settings!$D$6))</f>
        <v>1</v>
      </c>
      <c r="AF154" s="12">
        <f>IF(IF($D154="Unlabeled-13",MCDM_Settings!$F$7,MCDM_Settings!$D$7)=0,"n.a.",5*COUNTIF(P154:R154,"Y")/IF($D154="Unlabeled-13",MCDM_Settings!$F$7,MCDM_Settings!$D$7))</f>
        <v>1.6666666666666667</v>
      </c>
      <c r="AG154" s="12">
        <f>IF(IF($D154="Unlabeled-13",MCDM_Settings!$F$7,MCDM_Settings!$D$7)=0,"n.a.",5*(COUNTIF(P154:R154,"Y")+COUNTIF(P154:R154,"U")+COUNTIF(P154:R154,"X"))/IF($D154="Unlabeled-13",MCDM_Settings!$F$7,MCDM_Settings!$D$7))</f>
        <v>5</v>
      </c>
      <c r="AH154" s="13">
        <f>IF(IF($D154="Unlabeled-13",MCDM_Settings!$F$7,MCDM_Settings!$D$7)=0,"n.a.",(COUNTIF(P154:R154,"Y")+COUNTIF(P154:R154,"N"))/IF($D154="Unlabeled-13",MCDM_Settings!$F$7,MCDM_Settings!$D$7))</f>
        <v>0.33333333333333331</v>
      </c>
      <c r="AI154" s="12">
        <f>IF(IF($D154="Unlabeled-13",MCDM_Settings!$F$8,MCDM_Settings!$D$8)=0,"n.a.",5*COUNTIF(S154:U154,"Y")/IF($D154="Unlabeled-13",MCDM_Settings!$F$8,MCDM_Settings!$D$8))</f>
        <v>5</v>
      </c>
      <c r="AJ154" s="12">
        <f>IF(IF($D154="Unlabeled-13",MCDM_Settings!$F$8,MCDM_Settings!$D$8)=0,"n.a.",5*(COUNTIF(S154:U154,"Y")+COUNTIF(S154:U154,"U")+COUNTIF(S154:U154,"X"))/IF($D154="Unlabeled-13",MCDM_Settings!$F$8,MCDM_Settings!$D$8))</f>
        <v>5</v>
      </c>
      <c r="AK154" s="13">
        <f>IF(IF($D154="Unlabeled-13",MCDM_Settings!$F$8,MCDM_Settings!$D$8)=0,"n.a.",(COUNTIF(S154:U154,"Y")+COUNTIF(S154:U154,"N"))/IF($D154="Unlabeled-13",MCDM_Settings!$F$8,MCDM_Settings!$D$8))</f>
        <v>1</v>
      </c>
      <c r="AL154" s="12">
        <f>IF(IF($D154="Unlabeled-13",MCDM_Settings!$F$9,MCDM_Settings!$D$9)=0,"n.a.",5*COUNTIF(V154:W154,"Y")/IF($D154="Unlabeled-13",MCDM_Settings!$F$9,MCDM_Settings!$D$9))</f>
        <v>2.5</v>
      </c>
      <c r="AM154" s="12">
        <f>IF(IF($D154="Unlabeled-13",MCDM_Settings!$F$9,MCDM_Settings!$D$9)=0,"n.a.",5*(COUNTIF(V154:W154,"Y")+COUNTIF(V154:W154,"U")+COUNTIF(V154:W154,"X"))/IF($D154="Unlabeled-13",MCDM_Settings!$F$9,MCDM_Settings!$D$9))</f>
        <v>5</v>
      </c>
      <c r="AN154" s="13">
        <f>IF(IF($D154="Unlabeled-13",MCDM_Settings!$F$9,MCDM_Settings!$D$9)=0,"n.a.",(COUNTIF(V154:W154,"Y")+COUNTIF(V154:W154,"N"))/IF($D154="Unlabeled-13",MCDM_Settings!$F$9,MCDM_Settings!$D$9))</f>
        <v>0.5</v>
      </c>
      <c r="AO154" s="12">
        <f>IF(IF($D154="Unlabeled-13",MCDM_Settings!$F$10,MCDM_Settings!$D$10)=0,"n.a.",5*COUNTIF(X154:Y154,"Y")/IF($D154="Unlabeled-13",MCDM_Settings!$F$10,MCDM_Settings!$D$10))</f>
        <v>0</v>
      </c>
      <c r="AP154" s="12">
        <f>IF(IF($D154="Unlabeled-13",MCDM_Settings!$F$10,MCDM_Settings!$D$10)=0,"n.a.",5*(COUNTIF(X154:Y154,"Y")+COUNTIF(X154:Y154,"U")+COUNTIF(X154:Y154,"X"))/IF($D154="Unlabeled-13",MCDM_Settings!$F$10,MCDM_Settings!$D$10))</f>
        <v>5</v>
      </c>
      <c r="AQ154" s="13">
        <f>IF(IF($D154="Unlabeled-13",MCDM_Settings!$F$10,MCDM_Settings!$D$10)=0,"n.a.",(COUNTIF(X154:Y154,"Y")+COUNTIF(X154:Y154,"N"))/IF($D154="Unlabeled-13",MCDM_Settings!$F$10,MCDM_Settings!$D$10))</f>
        <v>0</v>
      </c>
      <c r="AR154" s="12">
        <f>IF(IF($D154="Unlabeled-13",MCDM_Settings!$F$11,MCDM_Settings!$D$11)=0,"n.a.",5*COUNTIF(Z154:AB154,"Y")/IF($D154="Unlabeled-13",MCDM_Settings!$F$11,MCDM_Settings!$D$11))</f>
        <v>0</v>
      </c>
      <c r="AS154" s="12">
        <f>IF(IF($D154="Unlabeled-13",MCDM_Settings!$F$11,MCDM_Settings!$D$11)=0,"n.a.",5*(COUNTIF(Z154:AB154,"Y")+COUNTIF(Z154:AB154,"U")+COUNTIF(Z154:AB154,"X"))/IF($D154="Unlabeled-13",MCDM_Settings!$F$11,MCDM_Settings!$D$11))</f>
        <v>5</v>
      </c>
      <c r="AT154" s="13">
        <f>IF(IF($D154="Unlabeled-13",MCDM_Settings!$F$11,MCDM_Settings!$D$11)=0,"n.a.",(COUNTIF(Z154:AB154,"Y")+COUNTIF(Z154:AB154,"N"))/IF($D154="Unlabeled-13",MCDM_Settings!$F$11,MCDM_Settings!$D$11))</f>
        <v>0</v>
      </c>
      <c r="AU154" s="5" t="str">
        <f>IF(AND(INDEX(Manual_Review!$G$6:$G$238,MATCH(A154,Manual_Review!$A$6:$A$238,0))&lt;&gt;"",ISNUMBER(INDEX(Manual_Review!$H$6:$H$238,MATCH(A154,Manual_Review!$A$6:$A$238,0))),INDEX(Manual_Review!$H$6:$H$238,MATCH(A154,Manual_Review!$A$6:$A$238,0))&gt;0,INDEX(Manual_Review!$I$6:$I$238,MATCH(A154,Manual_Review!$A$6:$A$238,0))="Confirmed",INDEX(Manual_Review!$AF$6:$AF$238,MATCH(A154,Manual_Review!$A$6:$A$238,0))&lt;&gt;""),IF(INDEX(Manual_Review!$AA$6:$AA$238,MATCH(A154,Manual_Review!$A$6:$A$238,0))="Pass","Pass",IF(INDEX(Manual_Review!$AA$6:$AA$238,MATCH(A154,Manual_Review!$A$6:$A$238,0))="Fail","Fail","Pending")),"Pending human identity confirmation")</f>
        <v>Pending human identity confirmation</v>
      </c>
      <c r="AV154" s="5" t="str">
        <f>IF(AND(AND(INDEX(Manual_Review!$G$6:$G$238,MATCH(A154,Manual_Review!$A$6:$A$238,0))&lt;&gt;"",ISNUMBER(INDEX(Manual_Review!$H$6:$H$238,MATCH(A154,Manual_Review!$A$6:$A$238,0))),INDEX(Manual_Review!$H$6:$H$238,MATCH(A154,Manual_Review!$A$6:$A$238,0))&gt;0,INDEX(Manual_Review!$I$6:$I$238,MATCH(A154,Manual_Review!$A$6:$A$238,0))="Confirmed",INDEX(Manual_Review!$AF$6:$AF$238,MATCH(A154,Manual_Review!$A$6:$A$238,0))&lt;&gt;""),INDEX(Manual_Review!$AG$6:$AG$238,MATCH(A154,Manual_Review!$A$6:$A$238,0))&lt;&gt;""),IF(INDEX(Manual_Review!$AB$6:$AB$238,MATCH(A154,Manual_Review!$A$6:$A$238,0))="Pass","Pass",IF(INDEX(Manual_Review!$AB$6:$AB$238,MATCH(A154,Manual_Review!$A$6:$A$238,0))="Fail","Fail","Pending")),"Not assessed: define intended task")</f>
        <v>Not assessed: define intended task</v>
      </c>
      <c r="AW154" s="5" t="str">
        <f>IF(AND(AND(INDEX(Manual_Review!$G$6:$G$238,MATCH(A154,Manual_Review!$A$6:$A$238,0))&lt;&gt;"",ISNUMBER(INDEX(Manual_Review!$H$6:$H$238,MATCH(A154,Manual_Review!$A$6:$A$238,0))),INDEX(Manual_Review!$H$6:$H$238,MATCH(A154,Manual_Review!$A$6:$A$238,0))&gt;0,INDEX(Manual_Review!$I$6:$I$238,MATCH(A154,Manual_Review!$A$6:$A$238,0))="Confirmed",INDEX(Manual_Review!$AF$6:$AF$238,MATCH(A154,Manual_Review!$A$6:$A$238,0))&lt;&gt;""),INDEX(Manual_Review!$AG$6:$AG$238,MATCH(A154,Manual_Review!$A$6:$A$238,0))&lt;&gt;""),IF(OR(INDEX(Manual_Review!$AC$6:$AC$238,MATCH(A154,Manual_Review!$A$6:$A$238,0))="Fail",INDEX(Manual_Review!$AD$6:$AD$238,MATCH(A154,Manual_Review!$A$6:$A$238,0))="Fail"),"Fail: rights or retrieval",IF(AND(INDEX(Manual_Review!$AC$6:$AC$238,MATCH(A154,Manual_Review!$A$6:$A$238,0))="Pass",INDEX(Manual_Review!$AD$6:$AD$238,MATCH(A154,Manual_Review!$A$6:$A$238,0))="Pass"),"Pass","Pending rights and retrieval")),"Pending rights and retrieval")</f>
        <v>Pending rights and retrieval</v>
      </c>
      <c r="AX154" s="5" t="str">
        <f>IF(INDEX(Manual_Review!$AG$6:$AG$238,MATCH(A154,Manual_Review!$A$6:$A$238,0))="","N/A: documentation inventory",IF(AND(INDEX(Manual_Review!$G$6:$G$238,MATCH(A154,Manual_Review!$A$6:$A$238,0))&lt;&gt;"",ISNUMBER(INDEX(Manual_Review!$H$6:$H$238,MATCH(A154,Manual_Review!$A$6:$A$238,0))),INDEX(Manual_Review!$H$6:$H$238,MATCH(A154,Manual_Review!$A$6:$A$238,0))&gt;0,INDEX(Manual_Review!$I$6:$I$238,MATCH(A154,Manual_Review!$A$6:$A$238,0))="Confirmed",INDEX(Manual_Review!$AF$6:$AF$238,MATCH(A154,Manual_Review!$A$6:$A$238,0))&lt;&gt;""),IF(INDEX(Manual_Review!$AE$6:$AE$238,MATCH(A154,Manual_Review!$A$6:$A$238,0))="Pass","Pass",IF(INDEX(Manual_Review!$AE$6:$AE$238,MATCH(A154,Manual_Review!$A$6:$A$238,0))="Fail","Fail: benchmark leakage",IF(INDEX(Manual_Review!$AE$6:$AE$238,MATCH(A154,Manual_Review!$A$6:$A$238,0))="N/A","N/A: nonbenchmark task","Pending task-specific leakage check"))),"Pending task-specific leakage check"))</f>
        <v>N/A: documentation inventory</v>
      </c>
      <c r="AY154" s="5" t="str">
        <f>IF(IF(D154="Unlabeled-13",AND(ABS(MCDM_Settings!$D$14-1)&lt;0.0000001,MIN(MCDM_Settings!$E$6:$E$11)&gt;=0,MCDM_Settings!$E$7=0),AND(ABS(MCDM_Settings!$B$14-1)&lt;0.0000001,MIN(MCDM_Settings!$C$6:$C$11)&gt;=0)),"Valid","Check weights")</f>
        <v>Valid</v>
      </c>
      <c r="AZ154" s="5" t="str">
        <f>IF(AND(COUNTIF(MCDM_Checks!$B$6:$B$3733,A154)=16,COUNTIF(Manual_Review!$A$6:$A$238,A154)=1),"16 keys present","Check key count")</f>
        <v>16 keys present</v>
      </c>
    </row>
    <row r="155" spans="1:52">
      <c r="A155" s="5" t="s">
        <v>1709</v>
      </c>
      <c r="B155" s="5" t="s">
        <v>1710</v>
      </c>
      <c r="C155" s="5"/>
      <c r="D155" s="5" t="s">
        <v>118</v>
      </c>
      <c r="E155" s="12">
        <f>IF(OR(AY155&lt;&gt;"Valid",AZ155&lt;&gt;"16 keys present"),"Review settings",20*(IF(ISNUMBER(AC155),AC155*IF($D155="Unlabeled-13",MCDM_Settings!$E$6,MCDM_Settings!$C$6),0)+IF(ISNUMBER(AF155),AF155*IF($D155="Unlabeled-13",MCDM_Settings!$E$7,MCDM_Settings!$C$7),0)+IF(ISNUMBER(AI155),AI155*IF($D155="Unlabeled-13",MCDM_Settings!$E$8,MCDM_Settings!$C$8),0)+IF(ISNUMBER(AL155),AL155*IF($D155="Unlabeled-13",MCDM_Settings!$E$9,MCDM_Settings!$C$9),0)+IF(ISNUMBER(AO155),AO155*IF($D155="Unlabeled-13",MCDM_Settings!$E$10,MCDM_Settings!$C$10),0)+IF(ISNUMBER(AR155),AR155*IF($D155="Unlabeled-13",MCDM_Settings!$E$11,MCDM_Settings!$C$11),0)))</f>
        <v>52.777777777777779</v>
      </c>
      <c r="F155" s="12">
        <f>IF(OR(AY155&lt;&gt;"Valid",AZ155&lt;&gt;"16 keys present"),"Review settings",20*(IF(ISNUMBER(AD155),AD155*IF($D155="Unlabeled-13",MCDM_Settings!$E$6,MCDM_Settings!$C$6),0)+IF(ISNUMBER(AG155),AG155*IF($D155="Unlabeled-13",MCDM_Settings!$E$7,MCDM_Settings!$C$7),0)+IF(ISNUMBER(AJ155),AJ155*IF($D155="Unlabeled-13",MCDM_Settings!$E$8,MCDM_Settings!$C$8),0)+IF(ISNUMBER(AM155),AM155*IF($D155="Unlabeled-13",MCDM_Settings!$E$9,MCDM_Settings!$C$9),0)+IF(ISNUMBER(AP155),AP155*IF($D155="Unlabeled-13",MCDM_Settings!$E$10,MCDM_Settings!$C$10),0)+IF(ISNUMBER(AS155),AS155*IF($D155="Unlabeled-13",MCDM_Settings!$E$11,MCDM_Settings!$C$11),0)))</f>
        <v>99.999999999999986</v>
      </c>
      <c r="G155" s="13">
        <f>IF(OR(AY155&lt;&gt;"Valid",AZ155&lt;&gt;"16 keys present"),"Review settings",1*(IF(ISNUMBER(AE155),AE155*IF($D155="Unlabeled-13",MCDM_Settings!$E$6,MCDM_Settings!$C$6),0)+IF(ISNUMBER(AH155),AH155*IF($D155="Unlabeled-13",MCDM_Settings!$E$7,MCDM_Settings!$C$7),0)+IF(ISNUMBER(AK155),AK155*IF($D155="Unlabeled-13",MCDM_Settings!$E$8,MCDM_Settings!$C$8),0)+IF(ISNUMBER(AN155),AN155*IF($D155="Unlabeled-13",MCDM_Settings!$E$9,MCDM_Settings!$C$9),0)+IF(ISNUMBER(AQ155),AQ155*IF($D155="Unlabeled-13",MCDM_Settings!$E$10,MCDM_Settings!$C$10),0)+IF(ISNUMBER(AT155),AT155*IF($D155="Unlabeled-13",MCDM_Settings!$E$11,MCDM_Settings!$C$11),0)))</f>
        <v>0.52777777777777768</v>
      </c>
      <c r="H155" s="5" t="str">
        <f>INDEX(Manual_Review!$AH$6:$AH$238,MATCH(A155,Manual_Review!$A$6:$A$238,0))</f>
        <v>Not started</v>
      </c>
      <c r="I155" s="5" t="s">
        <v>128</v>
      </c>
      <c r="J155" s="5" t="s">
        <v>1497</v>
      </c>
      <c r="K155" s="5" t="str">
        <f>HYPERLINK("https://www.kaggle.com/datasets/atulyakumar98/pothole-detection-dataset","Dataset")</f>
        <v>Dataset</v>
      </c>
      <c r="L155" s="5" t="str">
        <f>HYPERLINK("#'Manual_Review'!A"&amp;(MATCH("DS-150",Manual_Review!$A$6:$A$238,0)+5),"Enter review")</f>
        <v>Enter review</v>
      </c>
      <c r="M155" s="5" t="str">
        <f>INDEX(MCDM_Checks!$K$6:$K$3733,MATCH(A155&amp;"|"&amp;M$5,MCDM_Checks!$A$6:$A$3733,0))</f>
        <v>Y</v>
      </c>
      <c r="N155" s="5" t="str">
        <f>INDEX(MCDM_Checks!$K$6:$K$3733,MATCH(A155&amp;"|"&amp;N$5,MCDM_Checks!$A$6:$A$3733,0))</f>
        <v>Y</v>
      </c>
      <c r="O155" s="5" t="str">
        <f>INDEX(MCDM_Checks!$K$6:$K$3733,MATCH(A155&amp;"|"&amp;O$5,MCDM_Checks!$A$6:$A$3733,0))</f>
        <v>Y</v>
      </c>
      <c r="P155" s="5" t="str">
        <f>INDEX(MCDM_Checks!$K$6:$K$3733,MATCH(A155&amp;"|"&amp;P$5,MCDM_Checks!$A$6:$A$3733,0))</f>
        <v>Y</v>
      </c>
      <c r="Q155" s="5" t="str">
        <f>INDEX(MCDM_Checks!$K$6:$K$3733,MATCH(A155&amp;"|"&amp;Q$5,MCDM_Checks!$A$6:$A$3733,0))</f>
        <v>U</v>
      </c>
      <c r="R155" s="5" t="str">
        <f>INDEX(MCDM_Checks!$K$6:$K$3733,MATCH(A155&amp;"|"&amp;R$5,MCDM_Checks!$A$6:$A$3733,0))</f>
        <v>U</v>
      </c>
      <c r="S155" s="5" t="str">
        <f>INDEX(MCDM_Checks!$K$6:$K$3733,MATCH(A155&amp;"|"&amp;S$5,MCDM_Checks!$A$6:$A$3733,0))</f>
        <v>Y</v>
      </c>
      <c r="T155" s="5" t="str">
        <f>INDEX(MCDM_Checks!$K$6:$K$3733,MATCH(A155&amp;"|"&amp;T$5,MCDM_Checks!$A$6:$A$3733,0))</f>
        <v>Y</v>
      </c>
      <c r="U155" s="5" t="str">
        <f>INDEX(MCDM_Checks!$K$6:$K$3733,MATCH(A155&amp;"|"&amp;U$5,MCDM_Checks!$A$6:$A$3733,0))</f>
        <v>Y</v>
      </c>
      <c r="V155" s="5" t="str">
        <f>INDEX(MCDM_Checks!$K$6:$K$3733,MATCH(A155&amp;"|"&amp;V$5,MCDM_Checks!$A$6:$A$3733,0))</f>
        <v>U</v>
      </c>
      <c r="W155" s="5" t="str">
        <f>INDEX(MCDM_Checks!$K$6:$K$3733,MATCH(A155&amp;"|"&amp;W$5,MCDM_Checks!$A$6:$A$3733,0))</f>
        <v>U</v>
      </c>
      <c r="X155" s="5" t="str">
        <f>INDEX(MCDM_Checks!$K$6:$K$3733,MATCH(A155&amp;"|"&amp;X$5,MCDM_Checks!$A$6:$A$3733,0))</f>
        <v>U</v>
      </c>
      <c r="Y155" s="5" t="str">
        <f>INDEX(MCDM_Checks!$K$6:$K$3733,MATCH(A155&amp;"|"&amp;Y$5,MCDM_Checks!$A$6:$A$3733,0))</f>
        <v>Y</v>
      </c>
      <c r="Z155" s="5" t="str">
        <f>INDEX(MCDM_Checks!$K$6:$K$3733,MATCH(A155&amp;"|"&amp;Z$5,MCDM_Checks!$A$6:$A$3733,0))</f>
        <v>Y</v>
      </c>
      <c r="AA155" s="5" t="str">
        <f>INDEX(MCDM_Checks!$K$6:$K$3733,MATCH(A155&amp;"|"&amp;AA$5,MCDM_Checks!$A$6:$A$3733,0))</f>
        <v>U</v>
      </c>
      <c r="AB155" s="5" t="str">
        <f>INDEX(MCDM_Checks!$K$6:$K$3733,MATCH(A155&amp;"|"&amp;AB$5,MCDM_Checks!$A$6:$A$3733,0))</f>
        <v>U</v>
      </c>
      <c r="AC155" s="12">
        <f>IF(IF($D155="Unlabeled-13",MCDM_Settings!$F$6,MCDM_Settings!$D$6)=0,"n.a.",5*COUNTIF(M155:O155,"Y")/IF($D155="Unlabeled-13",MCDM_Settings!$F$6,MCDM_Settings!$D$6))</f>
        <v>5</v>
      </c>
      <c r="AD155" s="12">
        <f>IF(IF($D155="Unlabeled-13",MCDM_Settings!$F$6,MCDM_Settings!$D$6)=0,"n.a.",5*(COUNTIF(M155:O155,"Y")+COUNTIF(M155:O155,"U")+COUNTIF(M155:O155,"X"))/IF($D155="Unlabeled-13",MCDM_Settings!$F$6,MCDM_Settings!$D$6))</f>
        <v>5</v>
      </c>
      <c r="AE155" s="13">
        <f>IF(IF($D155="Unlabeled-13",MCDM_Settings!$F$6,MCDM_Settings!$D$6)=0,"n.a.",(COUNTIF(M155:O155,"Y")+COUNTIF(M155:O155,"N"))/IF($D155="Unlabeled-13",MCDM_Settings!$F$6,MCDM_Settings!$D$6))</f>
        <v>1</v>
      </c>
      <c r="AF155" s="12">
        <f>IF(IF($D155="Unlabeled-13",MCDM_Settings!$F$7,MCDM_Settings!$D$7)=0,"n.a.",5*COUNTIF(P155:R155,"Y")/IF($D155="Unlabeled-13",MCDM_Settings!$F$7,MCDM_Settings!$D$7))</f>
        <v>1.6666666666666667</v>
      </c>
      <c r="AG155" s="12">
        <f>IF(IF($D155="Unlabeled-13",MCDM_Settings!$F$7,MCDM_Settings!$D$7)=0,"n.a.",5*(COUNTIF(P155:R155,"Y")+COUNTIF(P155:R155,"U")+COUNTIF(P155:R155,"X"))/IF($D155="Unlabeled-13",MCDM_Settings!$F$7,MCDM_Settings!$D$7))</f>
        <v>5</v>
      </c>
      <c r="AH155" s="13">
        <f>IF(IF($D155="Unlabeled-13",MCDM_Settings!$F$7,MCDM_Settings!$D$7)=0,"n.a.",(COUNTIF(P155:R155,"Y")+COUNTIF(P155:R155,"N"))/IF($D155="Unlabeled-13",MCDM_Settings!$F$7,MCDM_Settings!$D$7))</f>
        <v>0.33333333333333331</v>
      </c>
      <c r="AI155" s="12">
        <f>IF(IF($D155="Unlabeled-13",MCDM_Settings!$F$8,MCDM_Settings!$D$8)=0,"n.a.",5*COUNTIF(S155:U155,"Y")/IF($D155="Unlabeled-13",MCDM_Settings!$F$8,MCDM_Settings!$D$8))</f>
        <v>5</v>
      </c>
      <c r="AJ155" s="12">
        <f>IF(IF($D155="Unlabeled-13",MCDM_Settings!$F$8,MCDM_Settings!$D$8)=0,"n.a.",5*(COUNTIF(S155:U155,"Y")+COUNTIF(S155:U155,"U")+COUNTIF(S155:U155,"X"))/IF($D155="Unlabeled-13",MCDM_Settings!$F$8,MCDM_Settings!$D$8))</f>
        <v>5</v>
      </c>
      <c r="AK155" s="13">
        <f>IF(IF($D155="Unlabeled-13",MCDM_Settings!$F$8,MCDM_Settings!$D$8)=0,"n.a.",(COUNTIF(S155:U155,"Y")+COUNTIF(S155:U155,"N"))/IF($D155="Unlabeled-13",MCDM_Settings!$F$8,MCDM_Settings!$D$8))</f>
        <v>1</v>
      </c>
      <c r="AL155" s="12">
        <f>IF(IF($D155="Unlabeled-13",MCDM_Settings!$F$9,MCDM_Settings!$D$9)=0,"n.a.",5*COUNTIF(V155:W155,"Y")/IF($D155="Unlabeled-13",MCDM_Settings!$F$9,MCDM_Settings!$D$9))</f>
        <v>0</v>
      </c>
      <c r="AM155" s="12">
        <f>IF(IF($D155="Unlabeled-13",MCDM_Settings!$F$9,MCDM_Settings!$D$9)=0,"n.a.",5*(COUNTIF(V155:W155,"Y")+COUNTIF(V155:W155,"U")+COUNTIF(V155:W155,"X"))/IF($D155="Unlabeled-13",MCDM_Settings!$F$9,MCDM_Settings!$D$9))</f>
        <v>5</v>
      </c>
      <c r="AN155" s="13">
        <f>IF(IF($D155="Unlabeled-13",MCDM_Settings!$F$9,MCDM_Settings!$D$9)=0,"n.a.",(COUNTIF(V155:W155,"Y")+COUNTIF(V155:W155,"N"))/IF($D155="Unlabeled-13",MCDM_Settings!$F$9,MCDM_Settings!$D$9))</f>
        <v>0</v>
      </c>
      <c r="AO155" s="12">
        <f>IF(IF($D155="Unlabeled-13",MCDM_Settings!$F$10,MCDM_Settings!$D$10)=0,"n.a.",5*COUNTIF(X155:Y155,"Y")/IF($D155="Unlabeled-13",MCDM_Settings!$F$10,MCDM_Settings!$D$10))</f>
        <v>2.5</v>
      </c>
      <c r="AP155" s="12">
        <f>IF(IF($D155="Unlabeled-13",MCDM_Settings!$F$10,MCDM_Settings!$D$10)=0,"n.a.",5*(COUNTIF(X155:Y155,"Y")+COUNTIF(X155:Y155,"U")+COUNTIF(X155:Y155,"X"))/IF($D155="Unlabeled-13",MCDM_Settings!$F$10,MCDM_Settings!$D$10))</f>
        <v>5</v>
      </c>
      <c r="AQ155" s="13">
        <f>IF(IF($D155="Unlabeled-13",MCDM_Settings!$F$10,MCDM_Settings!$D$10)=0,"n.a.",(COUNTIF(X155:Y155,"Y")+COUNTIF(X155:Y155,"N"))/IF($D155="Unlabeled-13",MCDM_Settings!$F$10,MCDM_Settings!$D$10))</f>
        <v>0.5</v>
      </c>
      <c r="AR155" s="12">
        <f>IF(IF($D155="Unlabeled-13",MCDM_Settings!$F$11,MCDM_Settings!$D$11)=0,"n.a.",5*COUNTIF(Z155:AB155,"Y")/IF($D155="Unlabeled-13",MCDM_Settings!$F$11,MCDM_Settings!$D$11))</f>
        <v>1.6666666666666667</v>
      </c>
      <c r="AS155" s="12">
        <f>IF(IF($D155="Unlabeled-13",MCDM_Settings!$F$11,MCDM_Settings!$D$11)=0,"n.a.",5*(COUNTIF(Z155:AB155,"Y")+COUNTIF(Z155:AB155,"U")+COUNTIF(Z155:AB155,"X"))/IF($D155="Unlabeled-13",MCDM_Settings!$F$11,MCDM_Settings!$D$11))</f>
        <v>5</v>
      </c>
      <c r="AT155" s="13">
        <f>IF(IF($D155="Unlabeled-13",MCDM_Settings!$F$11,MCDM_Settings!$D$11)=0,"n.a.",(COUNTIF(Z155:AB155,"Y")+COUNTIF(Z155:AB155,"N"))/IF($D155="Unlabeled-13",MCDM_Settings!$F$11,MCDM_Settings!$D$11))</f>
        <v>0.33333333333333331</v>
      </c>
      <c r="AU155" s="5" t="str">
        <f>IF(AND(INDEX(Manual_Review!$G$6:$G$238,MATCH(A155,Manual_Review!$A$6:$A$238,0))&lt;&gt;"",ISNUMBER(INDEX(Manual_Review!$H$6:$H$238,MATCH(A155,Manual_Review!$A$6:$A$238,0))),INDEX(Manual_Review!$H$6:$H$238,MATCH(A155,Manual_Review!$A$6:$A$238,0))&gt;0,INDEX(Manual_Review!$I$6:$I$238,MATCH(A155,Manual_Review!$A$6:$A$238,0))="Confirmed",INDEX(Manual_Review!$AF$6:$AF$238,MATCH(A155,Manual_Review!$A$6:$A$238,0))&lt;&gt;""),IF(INDEX(Manual_Review!$AA$6:$AA$238,MATCH(A155,Manual_Review!$A$6:$A$238,0))="Pass","Pass",IF(INDEX(Manual_Review!$AA$6:$AA$238,MATCH(A155,Manual_Review!$A$6:$A$238,0))="Fail","Fail","Pending")),"Pending human identity confirmation")</f>
        <v>Pending human identity confirmation</v>
      </c>
      <c r="AV155" s="5" t="str">
        <f>IF(AND(AND(INDEX(Manual_Review!$G$6:$G$238,MATCH(A155,Manual_Review!$A$6:$A$238,0))&lt;&gt;"",ISNUMBER(INDEX(Manual_Review!$H$6:$H$238,MATCH(A155,Manual_Review!$A$6:$A$238,0))),INDEX(Manual_Review!$H$6:$H$238,MATCH(A155,Manual_Review!$A$6:$A$238,0))&gt;0,INDEX(Manual_Review!$I$6:$I$238,MATCH(A155,Manual_Review!$A$6:$A$238,0))="Confirmed",INDEX(Manual_Review!$AF$6:$AF$238,MATCH(A155,Manual_Review!$A$6:$A$238,0))&lt;&gt;""),INDEX(Manual_Review!$AG$6:$AG$238,MATCH(A155,Manual_Review!$A$6:$A$238,0))&lt;&gt;""),IF(INDEX(Manual_Review!$AB$6:$AB$238,MATCH(A155,Manual_Review!$A$6:$A$238,0))="Pass","Pass",IF(INDEX(Manual_Review!$AB$6:$AB$238,MATCH(A155,Manual_Review!$A$6:$A$238,0))="Fail","Fail","Pending")),"Not assessed: define intended task")</f>
        <v>Not assessed: define intended task</v>
      </c>
      <c r="AW155" s="5" t="str">
        <f>IF(AND(AND(INDEX(Manual_Review!$G$6:$G$238,MATCH(A155,Manual_Review!$A$6:$A$238,0))&lt;&gt;"",ISNUMBER(INDEX(Manual_Review!$H$6:$H$238,MATCH(A155,Manual_Review!$A$6:$A$238,0))),INDEX(Manual_Review!$H$6:$H$238,MATCH(A155,Manual_Review!$A$6:$A$238,0))&gt;0,INDEX(Manual_Review!$I$6:$I$238,MATCH(A155,Manual_Review!$A$6:$A$238,0))="Confirmed",INDEX(Manual_Review!$AF$6:$AF$238,MATCH(A155,Manual_Review!$A$6:$A$238,0))&lt;&gt;""),INDEX(Manual_Review!$AG$6:$AG$238,MATCH(A155,Manual_Review!$A$6:$A$238,0))&lt;&gt;""),IF(OR(INDEX(Manual_Review!$AC$6:$AC$238,MATCH(A155,Manual_Review!$A$6:$A$238,0))="Fail",INDEX(Manual_Review!$AD$6:$AD$238,MATCH(A155,Manual_Review!$A$6:$A$238,0))="Fail"),"Fail: rights or retrieval",IF(AND(INDEX(Manual_Review!$AC$6:$AC$238,MATCH(A155,Manual_Review!$A$6:$A$238,0))="Pass",INDEX(Manual_Review!$AD$6:$AD$238,MATCH(A155,Manual_Review!$A$6:$A$238,0))="Pass"),"Pass","Pending rights and retrieval")),"Pending rights and retrieval")</f>
        <v>Pending rights and retrieval</v>
      </c>
      <c r="AX155" s="5" t="str">
        <f>IF(INDEX(Manual_Review!$AG$6:$AG$238,MATCH(A155,Manual_Review!$A$6:$A$238,0))="","N/A: documentation inventory",IF(AND(INDEX(Manual_Review!$G$6:$G$238,MATCH(A155,Manual_Review!$A$6:$A$238,0))&lt;&gt;"",ISNUMBER(INDEX(Manual_Review!$H$6:$H$238,MATCH(A155,Manual_Review!$A$6:$A$238,0))),INDEX(Manual_Review!$H$6:$H$238,MATCH(A155,Manual_Review!$A$6:$A$238,0))&gt;0,INDEX(Manual_Review!$I$6:$I$238,MATCH(A155,Manual_Review!$A$6:$A$238,0))="Confirmed",INDEX(Manual_Review!$AF$6:$AF$238,MATCH(A155,Manual_Review!$A$6:$A$238,0))&lt;&gt;""),IF(INDEX(Manual_Review!$AE$6:$AE$238,MATCH(A155,Manual_Review!$A$6:$A$238,0))="Pass","Pass",IF(INDEX(Manual_Review!$AE$6:$AE$238,MATCH(A155,Manual_Review!$A$6:$A$238,0))="Fail","Fail: benchmark leakage",IF(INDEX(Manual_Review!$AE$6:$AE$238,MATCH(A155,Manual_Review!$A$6:$A$238,0))="N/A","N/A: nonbenchmark task","Pending task-specific leakage check"))),"Pending task-specific leakage check"))</f>
        <v>N/A: documentation inventory</v>
      </c>
      <c r="AY155" s="5" t="str">
        <f>IF(IF(D155="Unlabeled-13",AND(ABS(MCDM_Settings!$D$14-1)&lt;0.0000001,MIN(MCDM_Settings!$E$6:$E$11)&gt;=0,MCDM_Settings!$E$7=0),AND(ABS(MCDM_Settings!$B$14-1)&lt;0.0000001,MIN(MCDM_Settings!$C$6:$C$11)&gt;=0)),"Valid","Check weights")</f>
        <v>Valid</v>
      </c>
      <c r="AZ155" s="5" t="str">
        <f>IF(AND(COUNTIF(MCDM_Checks!$B$6:$B$3733,A155)=16,COUNTIF(Manual_Review!$A$6:$A$238,A155)=1),"16 keys present","Check key count")</f>
        <v>16 keys present</v>
      </c>
    </row>
    <row r="156" spans="1:52">
      <c r="A156" s="5" t="s">
        <v>1717</v>
      </c>
      <c r="B156" s="5" t="s">
        <v>1718</v>
      </c>
      <c r="C156" s="5"/>
      <c r="D156" s="5" t="s">
        <v>118</v>
      </c>
      <c r="E156" s="12">
        <f>IF(OR(AY156&lt;&gt;"Valid",AZ156&lt;&gt;"16 keys present"),"Review settings",20*(IF(ISNUMBER(AC156),AC156*IF($D156="Unlabeled-13",MCDM_Settings!$E$6,MCDM_Settings!$C$6),0)+IF(ISNUMBER(AF156),AF156*IF($D156="Unlabeled-13",MCDM_Settings!$E$7,MCDM_Settings!$C$7),0)+IF(ISNUMBER(AI156),AI156*IF($D156="Unlabeled-13",MCDM_Settings!$E$8,MCDM_Settings!$C$8),0)+IF(ISNUMBER(AL156),AL156*IF($D156="Unlabeled-13",MCDM_Settings!$E$9,MCDM_Settings!$C$9),0)+IF(ISNUMBER(AO156),AO156*IF($D156="Unlabeled-13",MCDM_Settings!$E$10,MCDM_Settings!$C$10),0)+IF(ISNUMBER(AR156),AR156*IF($D156="Unlabeled-13",MCDM_Settings!$E$11,MCDM_Settings!$C$11),0)))</f>
        <v>33.333333333333329</v>
      </c>
      <c r="F156" s="12">
        <f>IF(OR(AY156&lt;&gt;"Valid",AZ156&lt;&gt;"16 keys present"),"Review settings",20*(IF(ISNUMBER(AD156),AD156*IF($D156="Unlabeled-13",MCDM_Settings!$E$6,MCDM_Settings!$C$6),0)+IF(ISNUMBER(AG156),AG156*IF($D156="Unlabeled-13",MCDM_Settings!$E$7,MCDM_Settings!$C$7),0)+IF(ISNUMBER(AJ156),AJ156*IF($D156="Unlabeled-13",MCDM_Settings!$E$8,MCDM_Settings!$C$8),0)+IF(ISNUMBER(AM156),AM156*IF($D156="Unlabeled-13",MCDM_Settings!$E$9,MCDM_Settings!$C$9),0)+IF(ISNUMBER(AP156),AP156*IF($D156="Unlabeled-13",MCDM_Settings!$E$10,MCDM_Settings!$C$10),0)+IF(ISNUMBER(AS156),AS156*IF($D156="Unlabeled-13",MCDM_Settings!$E$11,MCDM_Settings!$C$11),0)))</f>
        <v>99.999999999999986</v>
      </c>
      <c r="G156" s="13">
        <f>IF(OR(AY156&lt;&gt;"Valid",AZ156&lt;&gt;"16 keys present"),"Review settings",1*(IF(ISNUMBER(AE156),AE156*IF($D156="Unlabeled-13",MCDM_Settings!$E$6,MCDM_Settings!$C$6),0)+IF(ISNUMBER(AH156),AH156*IF($D156="Unlabeled-13",MCDM_Settings!$E$7,MCDM_Settings!$C$7),0)+IF(ISNUMBER(AK156),AK156*IF($D156="Unlabeled-13",MCDM_Settings!$E$8,MCDM_Settings!$C$8),0)+IF(ISNUMBER(AN156),AN156*IF($D156="Unlabeled-13",MCDM_Settings!$E$9,MCDM_Settings!$C$9),0)+IF(ISNUMBER(AQ156),AQ156*IF($D156="Unlabeled-13",MCDM_Settings!$E$10,MCDM_Settings!$C$10),0)+IF(ISNUMBER(AT156),AT156*IF($D156="Unlabeled-13",MCDM_Settings!$E$11,MCDM_Settings!$C$11),0)))</f>
        <v>0.33333333333333337</v>
      </c>
      <c r="H156" s="5" t="str">
        <f>INDEX(Manual_Review!$AH$6:$AH$238,MATCH(A156,Manual_Review!$A$6:$A$238,0))</f>
        <v>Not started</v>
      </c>
      <c r="I156" s="5" t="s">
        <v>128</v>
      </c>
      <c r="J156" s="5" t="s">
        <v>1601</v>
      </c>
      <c r="K156" s="5" t="str">
        <f>HYPERLINK("https://www.kaggle.com/datasets/muskanverma24/pothole-detection-dataset-yolov11-optimized","Dataset")</f>
        <v>Dataset</v>
      </c>
      <c r="L156" s="5" t="str">
        <f>HYPERLINK("#'Manual_Review'!A"&amp;(MATCH("DS-151",Manual_Review!$A$6:$A$238,0)+5),"Enter review")</f>
        <v>Enter review</v>
      </c>
      <c r="M156" s="5" t="str">
        <f>INDEX(MCDM_Checks!$K$6:$K$3733,MATCH(A156&amp;"|"&amp;M$5,MCDM_Checks!$A$6:$A$3733,0))</f>
        <v>Y</v>
      </c>
      <c r="N156" s="5" t="str">
        <f>INDEX(MCDM_Checks!$K$6:$K$3733,MATCH(A156&amp;"|"&amp;N$5,MCDM_Checks!$A$6:$A$3733,0))</f>
        <v>Y</v>
      </c>
      <c r="O156" s="5" t="str">
        <f>INDEX(MCDM_Checks!$K$6:$K$3733,MATCH(A156&amp;"|"&amp;O$5,MCDM_Checks!$A$6:$A$3733,0))</f>
        <v>Y</v>
      </c>
      <c r="P156" s="5" t="str">
        <f>INDEX(MCDM_Checks!$K$6:$K$3733,MATCH(A156&amp;"|"&amp;P$5,MCDM_Checks!$A$6:$A$3733,0))</f>
        <v>Y</v>
      </c>
      <c r="Q156" s="5" t="str">
        <f>INDEX(MCDM_Checks!$K$6:$K$3733,MATCH(A156&amp;"|"&amp;Q$5,MCDM_Checks!$A$6:$A$3733,0))</f>
        <v>U</v>
      </c>
      <c r="R156" s="5" t="str">
        <f>INDEX(MCDM_Checks!$K$6:$K$3733,MATCH(A156&amp;"|"&amp;R$5,MCDM_Checks!$A$6:$A$3733,0))</f>
        <v>U</v>
      </c>
      <c r="S156" s="5" t="str">
        <f>INDEX(MCDM_Checks!$K$6:$K$3733,MATCH(A156&amp;"|"&amp;S$5,MCDM_Checks!$A$6:$A$3733,0))</f>
        <v>Y</v>
      </c>
      <c r="T156" s="5" t="str">
        <f>INDEX(MCDM_Checks!$K$6:$K$3733,MATCH(A156&amp;"|"&amp;T$5,MCDM_Checks!$A$6:$A$3733,0))</f>
        <v>U</v>
      </c>
      <c r="U156" s="5" t="str">
        <f>INDEX(MCDM_Checks!$K$6:$K$3733,MATCH(A156&amp;"|"&amp;U$5,MCDM_Checks!$A$6:$A$3733,0))</f>
        <v>U</v>
      </c>
      <c r="V156" s="5" t="str">
        <f>INDEX(MCDM_Checks!$K$6:$K$3733,MATCH(A156&amp;"|"&amp;V$5,MCDM_Checks!$A$6:$A$3733,0))</f>
        <v>U</v>
      </c>
      <c r="W156" s="5" t="str">
        <f>INDEX(MCDM_Checks!$K$6:$K$3733,MATCH(A156&amp;"|"&amp;W$5,MCDM_Checks!$A$6:$A$3733,0))</f>
        <v>U</v>
      </c>
      <c r="X156" s="5" t="str">
        <f>INDEX(MCDM_Checks!$K$6:$K$3733,MATCH(A156&amp;"|"&amp;X$5,MCDM_Checks!$A$6:$A$3733,0))</f>
        <v>U</v>
      </c>
      <c r="Y156" s="5" t="str">
        <f>INDEX(MCDM_Checks!$K$6:$K$3733,MATCH(A156&amp;"|"&amp;Y$5,MCDM_Checks!$A$6:$A$3733,0))</f>
        <v>U</v>
      </c>
      <c r="Z156" s="5" t="str">
        <f>INDEX(MCDM_Checks!$K$6:$K$3733,MATCH(A156&amp;"|"&amp;Z$5,MCDM_Checks!$A$6:$A$3733,0))</f>
        <v>Y</v>
      </c>
      <c r="AA156" s="5" t="str">
        <f>INDEX(MCDM_Checks!$K$6:$K$3733,MATCH(A156&amp;"|"&amp;AA$5,MCDM_Checks!$A$6:$A$3733,0))</f>
        <v>U</v>
      </c>
      <c r="AB156" s="5" t="str">
        <f>INDEX(MCDM_Checks!$K$6:$K$3733,MATCH(A156&amp;"|"&amp;AB$5,MCDM_Checks!$A$6:$A$3733,0))</f>
        <v>U</v>
      </c>
      <c r="AC156" s="12">
        <f>IF(IF($D156="Unlabeled-13",MCDM_Settings!$F$6,MCDM_Settings!$D$6)=0,"n.a.",5*COUNTIF(M156:O156,"Y")/IF($D156="Unlabeled-13",MCDM_Settings!$F$6,MCDM_Settings!$D$6))</f>
        <v>5</v>
      </c>
      <c r="AD156" s="12">
        <f>IF(IF($D156="Unlabeled-13",MCDM_Settings!$F$6,MCDM_Settings!$D$6)=0,"n.a.",5*(COUNTIF(M156:O156,"Y")+COUNTIF(M156:O156,"U")+COUNTIF(M156:O156,"X"))/IF($D156="Unlabeled-13",MCDM_Settings!$F$6,MCDM_Settings!$D$6))</f>
        <v>5</v>
      </c>
      <c r="AE156" s="13">
        <f>IF(IF($D156="Unlabeled-13",MCDM_Settings!$F$6,MCDM_Settings!$D$6)=0,"n.a.",(COUNTIF(M156:O156,"Y")+COUNTIF(M156:O156,"N"))/IF($D156="Unlabeled-13",MCDM_Settings!$F$6,MCDM_Settings!$D$6))</f>
        <v>1</v>
      </c>
      <c r="AF156" s="12">
        <f>IF(IF($D156="Unlabeled-13",MCDM_Settings!$F$7,MCDM_Settings!$D$7)=0,"n.a.",5*COUNTIF(P156:R156,"Y")/IF($D156="Unlabeled-13",MCDM_Settings!$F$7,MCDM_Settings!$D$7))</f>
        <v>1.6666666666666667</v>
      </c>
      <c r="AG156" s="12">
        <f>IF(IF($D156="Unlabeled-13",MCDM_Settings!$F$7,MCDM_Settings!$D$7)=0,"n.a.",5*(COUNTIF(P156:R156,"Y")+COUNTIF(P156:R156,"U")+COUNTIF(P156:R156,"X"))/IF($D156="Unlabeled-13",MCDM_Settings!$F$7,MCDM_Settings!$D$7))</f>
        <v>5</v>
      </c>
      <c r="AH156" s="13">
        <f>IF(IF($D156="Unlabeled-13",MCDM_Settings!$F$7,MCDM_Settings!$D$7)=0,"n.a.",(COUNTIF(P156:R156,"Y")+COUNTIF(P156:R156,"N"))/IF($D156="Unlabeled-13",MCDM_Settings!$F$7,MCDM_Settings!$D$7))</f>
        <v>0.33333333333333331</v>
      </c>
      <c r="AI156" s="12">
        <f>IF(IF($D156="Unlabeled-13",MCDM_Settings!$F$8,MCDM_Settings!$D$8)=0,"n.a.",5*COUNTIF(S156:U156,"Y")/IF($D156="Unlabeled-13",MCDM_Settings!$F$8,MCDM_Settings!$D$8))</f>
        <v>1.6666666666666667</v>
      </c>
      <c r="AJ156" s="12">
        <f>IF(IF($D156="Unlabeled-13",MCDM_Settings!$F$8,MCDM_Settings!$D$8)=0,"n.a.",5*(COUNTIF(S156:U156,"Y")+COUNTIF(S156:U156,"U")+COUNTIF(S156:U156,"X"))/IF($D156="Unlabeled-13",MCDM_Settings!$F$8,MCDM_Settings!$D$8))</f>
        <v>5</v>
      </c>
      <c r="AK156" s="13">
        <f>IF(IF($D156="Unlabeled-13",MCDM_Settings!$F$8,MCDM_Settings!$D$8)=0,"n.a.",(COUNTIF(S156:U156,"Y")+COUNTIF(S156:U156,"N"))/IF($D156="Unlabeled-13",MCDM_Settings!$F$8,MCDM_Settings!$D$8))</f>
        <v>0.33333333333333331</v>
      </c>
      <c r="AL156" s="12">
        <f>IF(IF($D156="Unlabeled-13",MCDM_Settings!$F$9,MCDM_Settings!$D$9)=0,"n.a.",5*COUNTIF(V156:W156,"Y")/IF($D156="Unlabeled-13",MCDM_Settings!$F$9,MCDM_Settings!$D$9))</f>
        <v>0</v>
      </c>
      <c r="AM156" s="12">
        <f>IF(IF($D156="Unlabeled-13",MCDM_Settings!$F$9,MCDM_Settings!$D$9)=0,"n.a.",5*(COUNTIF(V156:W156,"Y")+COUNTIF(V156:W156,"U")+COUNTIF(V156:W156,"X"))/IF($D156="Unlabeled-13",MCDM_Settings!$F$9,MCDM_Settings!$D$9))</f>
        <v>5</v>
      </c>
      <c r="AN156" s="13">
        <f>IF(IF($D156="Unlabeled-13",MCDM_Settings!$F$9,MCDM_Settings!$D$9)=0,"n.a.",(COUNTIF(V156:W156,"Y")+COUNTIF(V156:W156,"N"))/IF($D156="Unlabeled-13",MCDM_Settings!$F$9,MCDM_Settings!$D$9))</f>
        <v>0</v>
      </c>
      <c r="AO156" s="12">
        <f>IF(IF($D156="Unlabeled-13",MCDM_Settings!$F$10,MCDM_Settings!$D$10)=0,"n.a.",5*COUNTIF(X156:Y156,"Y")/IF($D156="Unlabeled-13",MCDM_Settings!$F$10,MCDM_Settings!$D$10))</f>
        <v>0</v>
      </c>
      <c r="AP156" s="12">
        <f>IF(IF($D156="Unlabeled-13",MCDM_Settings!$F$10,MCDM_Settings!$D$10)=0,"n.a.",5*(COUNTIF(X156:Y156,"Y")+COUNTIF(X156:Y156,"U")+COUNTIF(X156:Y156,"X"))/IF($D156="Unlabeled-13",MCDM_Settings!$F$10,MCDM_Settings!$D$10))</f>
        <v>5</v>
      </c>
      <c r="AQ156" s="13">
        <f>IF(IF($D156="Unlabeled-13",MCDM_Settings!$F$10,MCDM_Settings!$D$10)=0,"n.a.",(COUNTIF(X156:Y156,"Y")+COUNTIF(X156:Y156,"N"))/IF($D156="Unlabeled-13",MCDM_Settings!$F$10,MCDM_Settings!$D$10))</f>
        <v>0</v>
      </c>
      <c r="AR156" s="12">
        <f>IF(IF($D156="Unlabeled-13",MCDM_Settings!$F$11,MCDM_Settings!$D$11)=0,"n.a.",5*COUNTIF(Z156:AB156,"Y")/IF($D156="Unlabeled-13",MCDM_Settings!$F$11,MCDM_Settings!$D$11))</f>
        <v>1.6666666666666667</v>
      </c>
      <c r="AS156" s="12">
        <f>IF(IF($D156="Unlabeled-13",MCDM_Settings!$F$11,MCDM_Settings!$D$11)=0,"n.a.",5*(COUNTIF(Z156:AB156,"Y")+COUNTIF(Z156:AB156,"U")+COUNTIF(Z156:AB156,"X"))/IF($D156="Unlabeled-13",MCDM_Settings!$F$11,MCDM_Settings!$D$11))</f>
        <v>5</v>
      </c>
      <c r="AT156" s="13">
        <f>IF(IF($D156="Unlabeled-13",MCDM_Settings!$F$11,MCDM_Settings!$D$11)=0,"n.a.",(COUNTIF(Z156:AB156,"Y")+COUNTIF(Z156:AB156,"N"))/IF($D156="Unlabeled-13",MCDM_Settings!$F$11,MCDM_Settings!$D$11))</f>
        <v>0.33333333333333331</v>
      </c>
      <c r="AU156" s="5" t="str">
        <f>IF(AND(INDEX(Manual_Review!$G$6:$G$238,MATCH(A156,Manual_Review!$A$6:$A$238,0))&lt;&gt;"",ISNUMBER(INDEX(Manual_Review!$H$6:$H$238,MATCH(A156,Manual_Review!$A$6:$A$238,0))),INDEX(Manual_Review!$H$6:$H$238,MATCH(A156,Manual_Review!$A$6:$A$238,0))&gt;0,INDEX(Manual_Review!$I$6:$I$238,MATCH(A156,Manual_Review!$A$6:$A$238,0))="Confirmed",INDEX(Manual_Review!$AF$6:$AF$238,MATCH(A156,Manual_Review!$A$6:$A$238,0))&lt;&gt;""),IF(INDEX(Manual_Review!$AA$6:$AA$238,MATCH(A156,Manual_Review!$A$6:$A$238,0))="Pass","Pass",IF(INDEX(Manual_Review!$AA$6:$AA$238,MATCH(A156,Manual_Review!$A$6:$A$238,0))="Fail","Fail","Pending")),"Pending human identity confirmation")</f>
        <v>Pending human identity confirmation</v>
      </c>
      <c r="AV156" s="5" t="str">
        <f>IF(AND(AND(INDEX(Manual_Review!$G$6:$G$238,MATCH(A156,Manual_Review!$A$6:$A$238,0))&lt;&gt;"",ISNUMBER(INDEX(Manual_Review!$H$6:$H$238,MATCH(A156,Manual_Review!$A$6:$A$238,0))),INDEX(Manual_Review!$H$6:$H$238,MATCH(A156,Manual_Review!$A$6:$A$238,0))&gt;0,INDEX(Manual_Review!$I$6:$I$238,MATCH(A156,Manual_Review!$A$6:$A$238,0))="Confirmed",INDEX(Manual_Review!$AF$6:$AF$238,MATCH(A156,Manual_Review!$A$6:$A$238,0))&lt;&gt;""),INDEX(Manual_Review!$AG$6:$AG$238,MATCH(A156,Manual_Review!$A$6:$A$238,0))&lt;&gt;""),IF(INDEX(Manual_Review!$AB$6:$AB$238,MATCH(A156,Manual_Review!$A$6:$A$238,0))="Pass","Pass",IF(INDEX(Manual_Review!$AB$6:$AB$238,MATCH(A156,Manual_Review!$A$6:$A$238,0))="Fail","Fail","Pending")),"Not assessed: define intended task")</f>
        <v>Not assessed: define intended task</v>
      </c>
      <c r="AW156" s="5" t="str">
        <f>IF(AND(AND(INDEX(Manual_Review!$G$6:$G$238,MATCH(A156,Manual_Review!$A$6:$A$238,0))&lt;&gt;"",ISNUMBER(INDEX(Manual_Review!$H$6:$H$238,MATCH(A156,Manual_Review!$A$6:$A$238,0))),INDEX(Manual_Review!$H$6:$H$238,MATCH(A156,Manual_Review!$A$6:$A$238,0))&gt;0,INDEX(Manual_Review!$I$6:$I$238,MATCH(A156,Manual_Review!$A$6:$A$238,0))="Confirmed",INDEX(Manual_Review!$AF$6:$AF$238,MATCH(A156,Manual_Review!$A$6:$A$238,0))&lt;&gt;""),INDEX(Manual_Review!$AG$6:$AG$238,MATCH(A156,Manual_Review!$A$6:$A$238,0))&lt;&gt;""),IF(OR(INDEX(Manual_Review!$AC$6:$AC$238,MATCH(A156,Manual_Review!$A$6:$A$238,0))="Fail",INDEX(Manual_Review!$AD$6:$AD$238,MATCH(A156,Manual_Review!$A$6:$A$238,0))="Fail"),"Fail: rights or retrieval",IF(AND(INDEX(Manual_Review!$AC$6:$AC$238,MATCH(A156,Manual_Review!$A$6:$A$238,0))="Pass",INDEX(Manual_Review!$AD$6:$AD$238,MATCH(A156,Manual_Review!$A$6:$A$238,0))="Pass"),"Pass","Pending rights and retrieval")),"Pending rights and retrieval")</f>
        <v>Pending rights and retrieval</v>
      </c>
      <c r="AX156" s="5" t="str">
        <f>IF(INDEX(Manual_Review!$AG$6:$AG$238,MATCH(A156,Manual_Review!$A$6:$A$238,0))="","N/A: documentation inventory",IF(AND(INDEX(Manual_Review!$G$6:$G$238,MATCH(A156,Manual_Review!$A$6:$A$238,0))&lt;&gt;"",ISNUMBER(INDEX(Manual_Review!$H$6:$H$238,MATCH(A156,Manual_Review!$A$6:$A$238,0))),INDEX(Manual_Review!$H$6:$H$238,MATCH(A156,Manual_Review!$A$6:$A$238,0))&gt;0,INDEX(Manual_Review!$I$6:$I$238,MATCH(A156,Manual_Review!$A$6:$A$238,0))="Confirmed",INDEX(Manual_Review!$AF$6:$AF$238,MATCH(A156,Manual_Review!$A$6:$A$238,0))&lt;&gt;""),IF(INDEX(Manual_Review!$AE$6:$AE$238,MATCH(A156,Manual_Review!$A$6:$A$238,0))="Pass","Pass",IF(INDEX(Manual_Review!$AE$6:$AE$238,MATCH(A156,Manual_Review!$A$6:$A$238,0))="Fail","Fail: benchmark leakage",IF(INDEX(Manual_Review!$AE$6:$AE$238,MATCH(A156,Manual_Review!$A$6:$A$238,0))="N/A","N/A: nonbenchmark task","Pending task-specific leakage check"))),"Pending task-specific leakage check"))</f>
        <v>N/A: documentation inventory</v>
      </c>
      <c r="AY156" s="5" t="str">
        <f>IF(IF(D156="Unlabeled-13",AND(ABS(MCDM_Settings!$D$14-1)&lt;0.0000001,MIN(MCDM_Settings!$E$6:$E$11)&gt;=0,MCDM_Settings!$E$7=0),AND(ABS(MCDM_Settings!$B$14-1)&lt;0.0000001,MIN(MCDM_Settings!$C$6:$C$11)&gt;=0)),"Valid","Check weights")</f>
        <v>Valid</v>
      </c>
      <c r="AZ156" s="5" t="str">
        <f>IF(AND(COUNTIF(MCDM_Checks!$B$6:$B$3733,A156)=16,COUNTIF(Manual_Review!$A$6:$A$238,A156)=1),"16 keys present","Check key count")</f>
        <v>16 keys present</v>
      </c>
    </row>
    <row r="157" spans="1:52">
      <c r="A157" s="5" t="s">
        <v>1727</v>
      </c>
      <c r="B157" s="5" t="s">
        <v>1728</v>
      </c>
      <c r="C157" s="5"/>
      <c r="D157" s="5" t="s">
        <v>118</v>
      </c>
      <c r="E157" s="12">
        <f>IF(OR(AY157&lt;&gt;"Valid",AZ157&lt;&gt;"16 keys present"),"Review settings",20*(IF(ISNUMBER(AC157),AC157*IF($D157="Unlabeled-13",MCDM_Settings!$E$6,MCDM_Settings!$C$6),0)+IF(ISNUMBER(AF157),AF157*IF($D157="Unlabeled-13",MCDM_Settings!$E$7,MCDM_Settings!$C$7),0)+IF(ISNUMBER(AI157),AI157*IF($D157="Unlabeled-13",MCDM_Settings!$E$8,MCDM_Settings!$C$8),0)+IF(ISNUMBER(AL157),AL157*IF($D157="Unlabeled-13",MCDM_Settings!$E$9,MCDM_Settings!$C$9),0)+IF(ISNUMBER(AO157),AO157*IF($D157="Unlabeled-13",MCDM_Settings!$E$10,MCDM_Settings!$C$10),0)+IF(ISNUMBER(AR157),AR157*IF($D157="Unlabeled-13",MCDM_Settings!$E$11,MCDM_Settings!$C$11),0)))</f>
        <v>47.222222222222214</v>
      </c>
      <c r="F157" s="12">
        <f>IF(OR(AY157&lt;&gt;"Valid",AZ157&lt;&gt;"16 keys present"),"Review settings",20*(IF(ISNUMBER(AD157),AD157*IF($D157="Unlabeled-13",MCDM_Settings!$E$6,MCDM_Settings!$C$6),0)+IF(ISNUMBER(AG157),AG157*IF($D157="Unlabeled-13",MCDM_Settings!$E$7,MCDM_Settings!$C$7),0)+IF(ISNUMBER(AJ157),AJ157*IF($D157="Unlabeled-13",MCDM_Settings!$E$8,MCDM_Settings!$C$8),0)+IF(ISNUMBER(AM157),AM157*IF($D157="Unlabeled-13",MCDM_Settings!$E$9,MCDM_Settings!$C$9),0)+IF(ISNUMBER(AP157),AP157*IF($D157="Unlabeled-13",MCDM_Settings!$E$10,MCDM_Settings!$C$10),0)+IF(ISNUMBER(AS157),AS157*IF($D157="Unlabeled-13",MCDM_Settings!$E$11,MCDM_Settings!$C$11),0)))</f>
        <v>99.999999999999986</v>
      </c>
      <c r="G157" s="13">
        <f>IF(OR(AY157&lt;&gt;"Valid",AZ157&lt;&gt;"16 keys present"),"Review settings",1*(IF(ISNUMBER(AE157),AE157*IF($D157="Unlabeled-13",MCDM_Settings!$E$6,MCDM_Settings!$C$6),0)+IF(ISNUMBER(AH157),AH157*IF($D157="Unlabeled-13",MCDM_Settings!$E$7,MCDM_Settings!$C$7),0)+IF(ISNUMBER(AK157),AK157*IF($D157="Unlabeled-13",MCDM_Settings!$E$8,MCDM_Settings!$C$8),0)+IF(ISNUMBER(AN157),AN157*IF($D157="Unlabeled-13",MCDM_Settings!$E$9,MCDM_Settings!$C$9),0)+IF(ISNUMBER(AQ157),AQ157*IF($D157="Unlabeled-13",MCDM_Settings!$E$10,MCDM_Settings!$C$10),0)+IF(ISNUMBER(AT157),AT157*IF($D157="Unlabeled-13",MCDM_Settings!$E$11,MCDM_Settings!$C$11),0)))</f>
        <v>0.47222222222222221</v>
      </c>
      <c r="H157" s="5" t="str">
        <f>INDEX(Manual_Review!$AH$6:$AH$238,MATCH(A157,Manual_Review!$A$6:$A$238,0))</f>
        <v>Not started</v>
      </c>
      <c r="I157" s="5" t="s">
        <v>128</v>
      </c>
      <c r="J157" s="5" t="s">
        <v>1601</v>
      </c>
      <c r="K157" s="5" t="str">
        <f>HYPERLINK("https://www.kaggle.com/datasets/raunakkesharwani/pothole-image-segmentation-dataset","Dataset")</f>
        <v>Dataset</v>
      </c>
      <c r="L157" s="5" t="str">
        <f>HYPERLINK("#'Manual_Review'!A"&amp;(MATCH("DS-152",Manual_Review!$A$6:$A$238,0)+5),"Enter review")</f>
        <v>Enter review</v>
      </c>
      <c r="M157" s="5" t="str">
        <f>INDEX(MCDM_Checks!$K$6:$K$3733,MATCH(A157&amp;"|"&amp;M$5,MCDM_Checks!$A$6:$A$3733,0))</f>
        <v>Y</v>
      </c>
      <c r="N157" s="5" t="str">
        <f>INDEX(MCDM_Checks!$K$6:$K$3733,MATCH(A157&amp;"|"&amp;N$5,MCDM_Checks!$A$6:$A$3733,0))</f>
        <v>Y</v>
      </c>
      <c r="O157" s="5" t="str">
        <f>INDEX(MCDM_Checks!$K$6:$K$3733,MATCH(A157&amp;"|"&amp;O$5,MCDM_Checks!$A$6:$A$3733,0))</f>
        <v>Y</v>
      </c>
      <c r="P157" s="5" t="str">
        <f>INDEX(MCDM_Checks!$K$6:$K$3733,MATCH(A157&amp;"|"&amp;P$5,MCDM_Checks!$A$6:$A$3733,0))</f>
        <v>Y</v>
      </c>
      <c r="Q157" s="5" t="str">
        <f>INDEX(MCDM_Checks!$K$6:$K$3733,MATCH(A157&amp;"|"&amp;Q$5,MCDM_Checks!$A$6:$A$3733,0))</f>
        <v>U</v>
      </c>
      <c r="R157" s="5" t="str">
        <f>INDEX(MCDM_Checks!$K$6:$K$3733,MATCH(A157&amp;"|"&amp;R$5,MCDM_Checks!$A$6:$A$3733,0))</f>
        <v>U</v>
      </c>
      <c r="S157" s="5" t="str">
        <f>INDEX(MCDM_Checks!$K$6:$K$3733,MATCH(A157&amp;"|"&amp;S$5,MCDM_Checks!$A$6:$A$3733,0))</f>
        <v>Y</v>
      </c>
      <c r="T157" s="5" t="str">
        <f>INDEX(MCDM_Checks!$K$6:$K$3733,MATCH(A157&amp;"|"&amp;T$5,MCDM_Checks!$A$6:$A$3733,0))</f>
        <v>U</v>
      </c>
      <c r="U157" s="5" t="str">
        <f>INDEX(MCDM_Checks!$K$6:$K$3733,MATCH(A157&amp;"|"&amp;U$5,MCDM_Checks!$A$6:$A$3733,0))</f>
        <v>U</v>
      </c>
      <c r="V157" s="5" t="str">
        <f>INDEX(MCDM_Checks!$K$6:$K$3733,MATCH(A157&amp;"|"&amp;V$5,MCDM_Checks!$A$6:$A$3733,0))</f>
        <v>X</v>
      </c>
      <c r="W157" s="5" t="str">
        <f>INDEX(MCDM_Checks!$K$6:$K$3733,MATCH(A157&amp;"|"&amp;W$5,MCDM_Checks!$A$6:$A$3733,0))</f>
        <v>Y</v>
      </c>
      <c r="X157" s="5" t="str">
        <f>INDEX(MCDM_Checks!$K$6:$K$3733,MATCH(A157&amp;"|"&amp;X$5,MCDM_Checks!$A$6:$A$3733,0))</f>
        <v>U</v>
      </c>
      <c r="Y157" s="5" t="str">
        <f>INDEX(MCDM_Checks!$K$6:$K$3733,MATCH(A157&amp;"|"&amp;Y$5,MCDM_Checks!$A$6:$A$3733,0))</f>
        <v>U</v>
      </c>
      <c r="Z157" s="5" t="str">
        <f>INDEX(MCDM_Checks!$K$6:$K$3733,MATCH(A157&amp;"|"&amp;Z$5,MCDM_Checks!$A$6:$A$3733,0))</f>
        <v>U</v>
      </c>
      <c r="AA157" s="5" t="str">
        <f>INDEX(MCDM_Checks!$K$6:$K$3733,MATCH(A157&amp;"|"&amp;AA$5,MCDM_Checks!$A$6:$A$3733,0))</f>
        <v>Y</v>
      </c>
      <c r="AB157" s="5" t="str">
        <f>INDEX(MCDM_Checks!$K$6:$K$3733,MATCH(A157&amp;"|"&amp;AB$5,MCDM_Checks!$A$6:$A$3733,0))</f>
        <v>Y</v>
      </c>
      <c r="AC157" s="12">
        <f>IF(IF($D157="Unlabeled-13",MCDM_Settings!$F$6,MCDM_Settings!$D$6)=0,"n.a.",5*COUNTIF(M157:O157,"Y")/IF($D157="Unlabeled-13",MCDM_Settings!$F$6,MCDM_Settings!$D$6))</f>
        <v>5</v>
      </c>
      <c r="AD157" s="12">
        <f>IF(IF($D157="Unlabeled-13",MCDM_Settings!$F$6,MCDM_Settings!$D$6)=0,"n.a.",5*(COUNTIF(M157:O157,"Y")+COUNTIF(M157:O157,"U")+COUNTIF(M157:O157,"X"))/IF($D157="Unlabeled-13",MCDM_Settings!$F$6,MCDM_Settings!$D$6))</f>
        <v>5</v>
      </c>
      <c r="AE157" s="13">
        <f>IF(IF($D157="Unlabeled-13",MCDM_Settings!$F$6,MCDM_Settings!$D$6)=0,"n.a.",(COUNTIF(M157:O157,"Y")+COUNTIF(M157:O157,"N"))/IF($D157="Unlabeled-13",MCDM_Settings!$F$6,MCDM_Settings!$D$6))</f>
        <v>1</v>
      </c>
      <c r="AF157" s="12">
        <f>IF(IF($D157="Unlabeled-13",MCDM_Settings!$F$7,MCDM_Settings!$D$7)=0,"n.a.",5*COUNTIF(P157:R157,"Y")/IF($D157="Unlabeled-13",MCDM_Settings!$F$7,MCDM_Settings!$D$7))</f>
        <v>1.6666666666666667</v>
      </c>
      <c r="AG157" s="12">
        <f>IF(IF($D157="Unlabeled-13",MCDM_Settings!$F$7,MCDM_Settings!$D$7)=0,"n.a.",5*(COUNTIF(P157:R157,"Y")+COUNTIF(P157:R157,"U")+COUNTIF(P157:R157,"X"))/IF($D157="Unlabeled-13",MCDM_Settings!$F$7,MCDM_Settings!$D$7))</f>
        <v>5</v>
      </c>
      <c r="AH157" s="13">
        <f>IF(IF($D157="Unlabeled-13",MCDM_Settings!$F$7,MCDM_Settings!$D$7)=0,"n.a.",(COUNTIF(P157:R157,"Y")+COUNTIF(P157:R157,"N"))/IF($D157="Unlabeled-13",MCDM_Settings!$F$7,MCDM_Settings!$D$7))</f>
        <v>0.33333333333333331</v>
      </c>
      <c r="AI157" s="12">
        <f>IF(IF($D157="Unlabeled-13",MCDM_Settings!$F$8,MCDM_Settings!$D$8)=0,"n.a.",5*COUNTIF(S157:U157,"Y")/IF($D157="Unlabeled-13",MCDM_Settings!$F$8,MCDM_Settings!$D$8))</f>
        <v>1.6666666666666667</v>
      </c>
      <c r="AJ157" s="12">
        <f>IF(IF($D157="Unlabeled-13",MCDM_Settings!$F$8,MCDM_Settings!$D$8)=0,"n.a.",5*(COUNTIF(S157:U157,"Y")+COUNTIF(S157:U157,"U")+COUNTIF(S157:U157,"X"))/IF($D157="Unlabeled-13",MCDM_Settings!$F$8,MCDM_Settings!$D$8))</f>
        <v>5</v>
      </c>
      <c r="AK157" s="13">
        <f>IF(IF($D157="Unlabeled-13",MCDM_Settings!$F$8,MCDM_Settings!$D$8)=0,"n.a.",(COUNTIF(S157:U157,"Y")+COUNTIF(S157:U157,"N"))/IF($D157="Unlabeled-13",MCDM_Settings!$F$8,MCDM_Settings!$D$8))</f>
        <v>0.33333333333333331</v>
      </c>
      <c r="AL157" s="12">
        <f>IF(IF($D157="Unlabeled-13",MCDM_Settings!$F$9,MCDM_Settings!$D$9)=0,"n.a.",5*COUNTIF(V157:W157,"Y")/IF($D157="Unlabeled-13",MCDM_Settings!$F$9,MCDM_Settings!$D$9))</f>
        <v>2.5</v>
      </c>
      <c r="AM157" s="12">
        <f>IF(IF($D157="Unlabeled-13",MCDM_Settings!$F$9,MCDM_Settings!$D$9)=0,"n.a.",5*(COUNTIF(V157:W157,"Y")+COUNTIF(V157:W157,"U")+COUNTIF(V157:W157,"X"))/IF($D157="Unlabeled-13",MCDM_Settings!$F$9,MCDM_Settings!$D$9))</f>
        <v>5</v>
      </c>
      <c r="AN157" s="13">
        <f>IF(IF($D157="Unlabeled-13",MCDM_Settings!$F$9,MCDM_Settings!$D$9)=0,"n.a.",(COUNTIF(V157:W157,"Y")+COUNTIF(V157:W157,"N"))/IF($D157="Unlabeled-13",MCDM_Settings!$F$9,MCDM_Settings!$D$9))</f>
        <v>0.5</v>
      </c>
      <c r="AO157" s="12">
        <f>IF(IF($D157="Unlabeled-13",MCDM_Settings!$F$10,MCDM_Settings!$D$10)=0,"n.a.",5*COUNTIF(X157:Y157,"Y")/IF($D157="Unlabeled-13",MCDM_Settings!$F$10,MCDM_Settings!$D$10))</f>
        <v>0</v>
      </c>
      <c r="AP157" s="12">
        <f>IF(IF($D157="Unlabeled-13",MCDM_Settings!$F$10,MCDM_Settings!$D$10)=0,"n.a.",5*(COUNTIF(X157:Y157,"Y")+COUNTIF(X157:Y157,"U")+COUNTIF(X157:Y157,"X"))/IF($D157="Unlabeled-13",MCDM_Settings!$F$10,MCDM_Settings!$D$10))</f>
        <v>5</v>
      </c>
      <c r="AQ157" s="13">
        <f>IF(IF($D157="Unlabeled-13",MCDM_Settings!$F$10,MCDM_Settings!$D$10)=0,"n.a.",(COUNTIF(X157:Y157,"Y")+COUNTIF(X157:Y157,"N"))/IF($D157="Unlabeled-13",MCDM_Settings!$F$10,MCDM_Settings!$D$10))</f>
        <v>0</v>
      </c>
      <c r="AR157" s="12">
        <f>IF(IF($D157="Unlabeled-13",MCDM_Settings!$F$11,MCDM_Settings!$D$11)=0,"n.a.",5*COUNTIF(Z157:AB157,"Y")/IF($D157="Unlabeled-13",MCDM_Settings!$F$11,MCDM_Settings!$D$11))</f>
        <v>3.3333333333333335</v>
      </c>
      <c r="AS157" s="12">
        <f>IF(IF($D157="Unlabeled-13",MCDM_Settings!$F$11,MCDM_Settings!$D$11)=0,"n.a.",5*(COUNTIF(Z157:AB157,"Y")+COUNTIF(Z157:AB157,"U")+COUNTIF(Z157:AB157,"X"))/IF($D157="Unlabeled-13",MCDM_Settings!$F$11,MCDM_Settings!$D$11))</f>
        <v>5</v>
      </c>
      <c r="AT157" s="13">
        <f>IF(IF($D157="Unlabeled-13",MCDM_Settings!$F$11,MCDM_Settings!$D$11)=0,"n.a.",(COUNTIF(Z157:AB157,"Y")+COUNTIF(Z157:AB157,"N"))/IF($D157="Unlabeled-13",MCDM_Settings!$F$11,MCDM_Settings!$D$11))</f>
        <v>0.66666666666666663</v>
      </c>
      <c r="AU157" s="5" t="str">
        <f>IF(AND(INDEX(Manual_Review!$G$6:$G$238,MATCH(A157,Manual_Review!$A$6:$A$238,0))&lt;&gt;"",ISNUMBER(INDEX(Manual_Review!$H$6:$H$238,MATCH(A157,Manual_Review!$A$6:$A$238,0))),INDEX(Manual_Review!$H$6:$H$238,MATCH(A157,Manual_Review!$A$6:$A$238,0))&gt;0,INDEX(Manual_Review!$I$6:$I$238,MATCH(A157,Manual_Review!$A$6:$A$238,0))="Confirmed",INDEX(Manual_Review!$AF$6:$AF$238,MATCH(A157,Manual_Review!$A$6:$A$238,0))&lt;&gt;""),IF(INDEX(Manual_Review!$AA$6:$AA$238,MATCH(A157,Manual_Review!$A$6:$A$238,0))="Pass","Pass",IF(INDEX(Manual_Review!$AA$6:$AA$238,MATCH(A157,Manual_Review!$A$6:$A$238,0))="Fail","Fail","Pending")),"Pending human identity confirmation")</f>
        <v>Pending human identity confirmation</v>
      </c>
      <c r="AV157" s="5" t="str">
        <f>IF(AND(AND(INDEX(Manual_Review!$G$6:$G$238,MATCH(A157,Manual_Review!$A$6:$A$238,0))&lt;&gt;"",ISNUMBER(INDEX(Manual_Review!$H$6:$H$238,MATCH(A157,Manual_Review!$A$6:$A$238,0))),INDEX(Manual_Review!$H$6:$H$238,MATCH(A157,Manual_Review!$A$6:$A$238,0))&gt;0,INDEX(Manual_Review!$I$6:$I$238,MATCH(A157,Manual_Review!$A$6:$A$238,0))="Confirmed",INDEX(Manual_Review!$AF$6:$AF$238,MATCH(A157,Manual_Review!$A$6:$A$238,0))&lt;&gt;""),INDEX(Manual_Review!$AG$6:$AG$238,MATCH(A157,Manual_Review!$A$6:$A$238,0))&lt;&gt;""),IF(INDEX(Manual_Review!$AB$6:$AB$238,MATCH(A157,Manual_Review!$A$6:$A$238,0))="Pass","Pass",IF(INDEX(Manual_Review!$AB$6:$AB$238,MATCH(A157,Manual_Review!$A$6:$A$238,0))="Fail","Fail","Pending")),"Not assessed: define intended task")</f>
        <v>Not assessed: define intended task</v>
      </c>
      <c r="AW157" s="5" t="str">
        <f>IF(AND(AND(INDEX(Manual_Review!$G$6:$G$238,MATCH(A157,Manual_Review!$A$6:$A$238,0))&lt;&gt;"",ISNUMBER(INDEX(Manual_Review!$H$6:$H$238,MATCH(A157,Manual_Review!$A$6:$A$238,0))),INDEX(Manual_Review!$H$6:$H$238,MATCH(A157,Manual_Review!$A$6:$A$238,0))&gt;0,INDEX(Manual_Review!$I$6:$I$238,MATCH(A157,Manual_Review!$A$6:$A$238,0))="Confirmed",INDEX(Manual_Review!$AF$6:$AF$238,MATCH(A157,Manual_Review!$A$6:$A$238,0))&lt;&gt;""),INDEX(Manual_Review!$AG$6:$AG$238,MATCH(A157,Manual_Review!$A$6:$A$238,0))&lt;&gt;""),IF(OR(INDEX(Manual_Review!$AC$6:$AC$238,MATCH(A157,Manual_Review!$A$6:$A$238,0))="Fail",INDEX(Manual_Review!$AD$6:$AD$238,MATCH(A157,Manual_Review!$A$6:$A$238,0))="Fail"),"Fail: rights or retrieval",IF(AND(INDEX(Manual_Review!$AC$6:$AC$238,MATCH(A157,Manual_Review!$A$6:$A$238,0))="Pass",INDEX(Manual_Review!$AD$6:$AD$238,MATCH(A157,Manual_Review!$A$6:$A$238,0))="Pass"),"Pass","Pending rights and retrieval")),"Pending rights and retrieval")</f>
        <v>Pending rights and retrieval</v>
      </c>
      <c r="AX157" s="5" t="str">
        <f>IF(INDEX(Manual_Review!$AG$6:$AG$238,MATCH(A157,Manual_Review!$A$6:$A$238,0))="","N/A: documentation inventory",IF(AND(INDEX(Manual_Review!$G$6:$G$238,MATCH(A157,Manual_Review!$A$6:$A$238,0))&lt;&gt;"",ISNUMBER(INDEX(Manual_Review!$H$6:$H$238,MATCH(A157,Manual_Review!$A$6:$A$238,0))),INDEX(Manual_Review!$H$6:$H$238,MATCH(A157,Manual_Review!$A$6:$A$238,0))&gt;0,INDEX(Manual_Review!$I$6:$I$238,MATCH(A157,Manual_Review!$A$6:$A$238,0))="Confirmed",INDEX(Manual_Review!$AF$6:$AF$238,MATCH(A157,Manual_Review!$A$6:$A$238,0))&lt;&gt;""),IF(INDEX(Manual_Review!$AE$6:$AE$238,MATCH(A157,Manual_Review!$A$6:$A$238,0))="Pass","Pass",IF(INDEX(Manual_Review!$AE$6:$AE$238,MATCH(A157,Manual_Review!$A$6:$A$238,0))="Fail","Fail: benchmark leakage",IF(INDEX(Manual_Review!$AE$6:$AE$238,MATCH(A157,Manual_Review!$A$6:$A$238,0))="N/A","N/A: nonbenchmark task","Pending task-specific leakage check"))),"Pending task-specific leakage check"))</f>
        <v>N/A: documentation inventory</v>
      </c>
      <c r="AY157" s="5" t="str">
        <f>IF(IF(D157="Unlabeled-13",AND(ABS(MCDM_Settings!$D$14-1)&lt;0.0000001,MIN(MCDM_Settings!$E$6:$E$11)&gt;=0,MCDM_Settings!$E$7=0),AND(ABS(MCDM_Settings!$B$14-1)&lt;0.0000001,MIN(MCDM_Settings!$C$6:$C$11)&gt;=0)),"Valid","Check weights")</f>
        <v>Valid</v>
      </c>
      <c r="AZ157" s="5" t="str">
        <f>IF(AND(COUNTIF(MCDM_Checks!$B$6:$B$3733,A157)=16,COUNTIF(Manual_Review!$A$6:$A$238,A157)=1),"16 keys present","Check key count")</f>
        <v>16 keys present</v>
      </c>
    </row>
    <row r="158" spans="1:52">
      <c r="A158" s="5" t="s">
        <v>1736</v>
      </c>
      <c r="B158" s="5" t="s">
        <v>1737</v>
      </c>
      <c r="C158" s="5"/>
      <c r="D158" s="5" t="s">
        <v>118</v>
      </c>
      <c r="E158" s="12">
        <f>IF(OR(AY158&lt;&gt;"Valid",AZ158&lt;&gt;"16 keys present"),"Review settings",20*(IF(ISNUMBER(AC158),AC158*IF($D158="Unlabeled-13",MCDM_Settings!$E$6,MCDM_Settings!$C$6),0)+IF(ISNUMBER(AF158),AF158*IF($D158="Unlabeled-13",MCDM_Settings!$E$7,MCDM_Settings!$C$7),0)+IF(ISNUMBER(AI158),AI158*IF($D158="Unlabeled-13",MCDM_Settings!$E$8,MCDM_Settings!$C$8),0)+IF(ISNUMBER(AL158),AL158*IF($D158="Unlabeled-13",MCDM_Settings!$E$9,MCDM_Settings!$C$9),0)+IF(ISNUMBER(AO158),AO158*IF($D158="Unlabeled-13",MCDM_Settings!$E$10,MCDM_Settings!$C$10),0)+IF(ISNUMBER(AR158),AR158*IF($D158="Unlabeled-13",MCDM_Settings!$E$11,MCDM_Settings!$C$11),0)))</f>
        <v>72.222222222222214</v>
      </c>
      <c r="F158" s="12">
        <f>IF(OR(AY158&lt;&gt;"Valid",AZ158&lt;&gt;"16 keys present"),"Review settings",20*(IF(ISNUMBER(AD158),AD158*IF($D158="Unlabeled-13",MCDM_Settings!$E$6,MCDM_Settings!$C$6),0)+IF(ISNUMBER(AG158),AG158*IF($D158="Unlabeled-13",MCDM_Settings!$E$7,MCDM_Settings!$C$7),0)+IF(ISNUMBER(AJ158),AJ158*IF($D158="Unlabeled-13",MCDM_Settings!$E$8,MCDM_Settings!$C$8),0)+IF(ISNUMBER(AM158),AM158*IF($D158="Unlabeled-13",MCDM_Settings!$E$9,MCDM_Settings!$C$9),0)+IF(ISNUMBER(AP158),AP158*IF($D158="Unlabeled-13",MCDM_Settings!$E$10,MCDM_Settings!$C$10),0)+IF(ISNUMBER(AS158),AS158*IF($D158="Unlabeled-13",MCDM_Settings!$E$11,MCDM_Settings!$C$11),0)))</f>
        <v>99.999999999999986</v>
      </c>
      <c r="G158" s="13">
        <f>IF(OR(AY158&lt;&gt;"Valid",AZ158&lt;&gt;"16 keys present"),"Review settings",1*(IF(ISNUMBER(AE158),AE158*IF($D158="Unlabeled-13",MCDM_Settings!$E$6,MCDM_Settings!$C$6),0)+IF(ISNUMBER(AH158),AH158*IF($D158="Unlabeled-13",MCDM_Settings!$E$7,MCDM_Settings!$C$7),0)+IF(ISNUMBER(AK158),AK158*IF($D158="Unlabeled-13",MCDM_Settings!$E$8,MCDM_Settings!$C$8),0)+IF(ISNUMBER(AN158),AN158*IF($D158="Unlabeled-13",MCDM_Settings!$E$9,MCDM_Settings!$C$9),0)+IF(ISNUMBER(AQ158),AQ158*IF($D158="Unlabeled-13",MCDM_Settings!$E$10,MCDM_Settings!$C$10),0)+IF(ISNUMBER(AT158),AT158*IF($D158="Unlabeled-13",MCDM_Settings!$E$11,MCDM_Settings!$C$11),0)))</f>
        <v>0.7222222222222221</v>
      </c>
      <c r="H158" s="5" t="str">
        <f>INDEX(Manual_Review!$AH$6:$AH$238,MATCH(A158,Manual_Review!$A$6:$A$238,0))</f>
        <v>Not started</v>
      </c>
      <c r="I158" s="5" t="s">
        <v>128</v>
      </c>
      <c r="J158" s="5" t="s">
        <v>1664</v>
      </c>
      <c r="K158" s="5" t="str">
        <f>HYPERLINK("https://www.kaggle.com/datasets/farzadnekouei/pothole-image-segmentation-dataset","Dataset")</f>
        <v>Dataset</v>
      </c>
      <c r="L158" s="5" t="str">
        <f>HYPERLINK("#'Manual_Review'!A"&amp;(MATCH("DS-153",Manual_Review!$A$6:$A$238,0)+5),"Enter review")</f>
        <v>Enter review</v>
      </c>
      <c r="M158" s="5" t="str">
        <f>INDEX(MCDM_Checks!$K$6:$K$3733,MATCH(A158&amp;"|"&amp;M$5,MCDM_Checks!$A$6:$A$3733,0))</f>
        <v>Y</v>
      </c>
      <c r="N158" s="5" t="str">
        <f>INDEX(MCDM_Checks!$K$6:$K$3733,MATCH(A158&amp;"|"&amp;N$5,MCDM_Checks!$A$6:$A$3733,0))</f>
        <v>Y</v>
      </c>
      <c r="O158" s="5" t="str">
        <f>INDEX(MCDM_Checks!$K$6:$K$3733,MATCH(A158&amp;"|"&amp;O$5,MCDM_Checks!$A$6:$A$3733,0))</f>
        <v>Y</v>
      </c>
      <c r="P158" s="5" t="str">
        <f>INDEX(MCDM_Checks!$K$6:$K$3733,MATCH(A158&amp;"|"&amp;P$5,MCDM_Checks!$A$6:$A$3733,0))</f>
        <v>Y</v>
      </c>
      <c r="Q158" s="5" t="str">
        <f>INDEX(MCDM_Checks!$K$6:$K$3733,MATCH(A158&amp;"|"&amp;Q$5,MCDM_Checks!$A$6:$A$3733,0))</f>
        <v>U</v>
      </c>
      <c r="R158" s="5" t="str">
        <f>INDEX(MCDM_Checks!$K$6:$K$3733,MATCH(A158&amp;"|"&amp;R$5,MCDM_Checks!$A$6:$A$3733,0))</f>
        <v>U</v>
      </c>
      <c r="S158" s="5" t="str">
        <f>INDEX(MCDM_Checks!$K$6:$K$3733,MATCH(A158&amp;"|"&amp;S$5,MCDM_Checks!$A$6:$A$3733,0))</f>
        <v>Y</v>
      </c>
      <c r="T158" s="5" t="str">
        <f>INDEX(MCDM_Checks!$K$6:$K$3733,MATCH(A158&amp;"|"&amp;T$5,MCDM_Checks!$A$6:$A$3733,0))</f>
        <v>Y</v>
      </c>
      <c r="U158" s="5" t="str">
        <f>INDEX(MCDM_Checks!$K$6:$K$3733,MATCH(A158&amp;"|"&amp;U$5,MCDM_Checks!$A$6:$A$3733,0))</f>
        <v>Y</v>
      </c>
      <c r="V158" s="5" t="str">
        <f>INDEX(MCDM_Checks!$K$6:$K$3733,MATCH(A158&amp;"|"&amp;V$5,MCDM_Checks!$A$6:$A$3733,0))</f>
        <v>Y</v>
      </c>
      <c r="W158" s="5" t="str">
        <f>INDEX(MCDM_Checks!$K$6:$K$3733,MATCH(A158&amp;"|"&amp;W$5,MCDM_Checks!$A$6:$A$3733,0))</f>
        <v>Y</v>
      </c>
      <c r="X158" s="5" t="str">
        <f>INDEX(MCDM_Checks!$K$6:$K$3733,MATCH(A158&amp;"|"&amp;X$5,MCDM_Checks!$A$6:$A$3733,0))</f>
        <v>U</v>
      </c>
      <c r="Y158" s="5" t="str">
        <f>INDEX(MCDM_Checks!$K$6:$K$3733,MATCH(A158&amp;"|"&amp;Y$5,MCDM_Checks!$A$6:$A$3733,0))</f>
        <v>U</v>
      </c>
      <c r="Z158" s="5" t="str">
        <f>INDEX(MCDM_Checks!$K$6:$K$3733,MATCH(A158&amp;"|"&amp;Z$5,MCDM_Checks!$A$6:$A$3733,0))</f>
        <v>Y</v>
      </c>
      <c r="AA158" s="5" t="str">
        <f>INDEX(MCDM_Checks!$K$6:$K$3733,MATCH(A158&amp;"|"&amp;AA$5,MCDM_Checks!$A$6:$A$3733,0))</f>
        <v>Y</v>
      </c>
      <c r="AB158" s="5" t="str">
        <f>INDEX(MCDM_Checks!$K$6:$K$3733,MATCH(A158&amp;"|"&amp;AB$5,MCDM_Checks!$A$6:$A$3733,0))</f>
        <v>Y</v>
      </c>
      <c r="AC158" s="12">
        <f>IF(IF($D158="Unlabeled-13",MCDM_Settings!$F$6,MCDM_Settings!$D$6)=0,"n.a.",5*COUNTIF(M158:O158,"Y")/IF($D158="Unlabeled-13",MCDM_Settings!$F$6,MCDM_Settings!$D$6))</f>
        <v>5</v>
      </c>
      <c r="AD158" s="12">
        <f>IF(IF($D158="Unlabeled-13",MCDM_Settings!$F$6,MCDM_Settings!$D$6)=0,"n.a.",5*(COUNTIF(M158:O158,"Y")+COUNTIF(M158:O158,"U")+COUNTIF(M158:O158,"X"))/IF($D158="Unlabeled-13",MCDM_Settings!$F$6,MCDM_Settings!$D$6))</f>
        <v>5</v>
      </c>
      <c r="AE158" s="13">
        <f>IF(IF($D158="Unlabeled-13",MCDM_Settings!$F$6,MCDM_Settings!$D$6)=0,"n.a.",(COUNTIF(M158:O158,"Y")+COUNTIF(M158:O158,"N"))/IF($D158="Unlabeled-13",MCDM_Settings!$F$6,MCDM_Settings!$D$6))</f>
        <v>1</v>
      </c>
      <c r="AF158" s="12">
        <f>IF(IF($D158="Unlabeled-13",MCDM_Settings!$F$7,MCDM_Settings!$D$7)=0,"n.a.",5*COUNTIF(P158:R158,"Y")/IF($D158="Unlabeled-13",MCDM_Settings!$F$7,MCDM_Settings!$D$7))</f>
        <v>1.6666666666666667</v>
      </c>
      <c r="AG158" s="12">
        <f>IF(IF($D158="Unlabeled-13",MCDM_Settings!$F$7,MCDM_Settings!$D$7)=0,"n.a.",5*(COUNTIF(P158:R158,"Y")+COUNTIF(P158:R158,"U")+COUNTIF(P158:R158,"X"))/IF($D158="Unlabeled-13",MCDM_Settings!$F$7,MCDM_Settings!$D$7))</f>
        <v>5</v>
      </c>
      <c r="AH158" s="13">
        <f>IF(IF($D158="Unlabeled-13",MCDM_Settings!$F$7,MCDM_Settings!$D$7)=0,"n.a.",(COUNTIF(P158:R158,"Y")+COUNTIF(P158:R158,"N"))/IF($D158="Unlabeled-13",MCDM_Settings!$F$7,MCDM_Settings!$D$7))</f>
        <v>0.33333333333333331</v>
      </c>
      <c r="AI158" s="12">
        <f>IF(IF($D158="Unlabeled-13",MCDM_Settings!$F$8,MCDM_Settings!$D$8)=0,"n.a.",5*COUNTIF(S158:U158,"Y")/IF($D158="Unlabeled-13",MCDM_Settings!$F$8,MCDM_Settings!$D$8))</f>
        <v>5</v>
      </c>
      <c r="AJ158" s="12">
        <f>IF(IF($D158="Unlabeled-13",MCDM_Settings!$F$8,MCDM_Settings!$D$8)=0,"n.a.",5*(COUNTIF(S158:U158,"Y")+COUNTIF(S158:U158,"U")+COUNTIF(S158:U158,"X"))/IF($D158="Unlabeled-13",MCDM_Settings!$F$8,MCDM_Settings!$D$8))</f>
        <v>5</v>
      </c>
      <c r="AK158" s="13">
        <f>IF(IF($D158="Unlabeled-13",MCDM_Settings!$F$8,MCDM_Settings!$D$8)=0,"n.a.",(COUNTIF(S158:U158,"Y")+COUNTIF(S158:U158,"N"))/IF($D158="Unlabeled-13",MCDM_Settings!$F$8,MCDM_Settings!$D$8))</f>
        <v>1</v>
      </c>
      <c r="AL158" s="12">
        <f>IF(IF($D158="Unlabeled-13",MCDM_Settings!$F$9,MCDM_Settings!$D$9)=0,"n.a.",5*COUNTIF(V158:W158,"Y")/IF($D158="Unlabeled-13",MCDM_Settings!$F$9,MCDM_Settings!$D$9))</f>
        <v>5</v>
      </c>
      <c r="AM158" s="12">
        <f>IF(IF($D158="Unlabeled-13",MCDM_Settings!$F$9,MCDM_Settings!$D$9)=0,"n.a.",5*(COUNTIF(V158:W158,"Y")+COUNTIF(V158:W158,"U")+COUNTIF(V158:W158,"X"))/IF($D158="Unlabeled-13",MCDM_Settings!$F$9,MCDM_Settings!$D$9))</f>
        <v>5</v>
      </c>
      <c r="AN158" s="13">
        <f>IF(IF($D158="Unlabeled-13",MCDM_Settings!$F$9,MCDM_Settings!$D$9)=0,"n.a.",(COUNTIF(V158:W158,"Y")+COUNTIF(V158:W158,"N"))/IF($D158="Unlabeled-13",MCDM_Settings!$F$9,MCDM_Settings!$D$9))</f>
        <v>1</v>
      </c>
      <c r="AO158" s="12">
        <f>IF(IF($D158="Unlabeled-13",MCDM_Settings!$F$10,MCDM_Settings!$D$10)=0,"n.a.",5*COUNTIF(X158:Y158,"Y")/IF($D158="Unlabeled-13",MCDM_Settings!$F$10,MCDM_Settings!$D$10))</f>
        <v>0</v>
      </c>
      <c r="AP158" s="12">
        <f>IF(IF($D158="Unlabeled-13",MCDM_Settings!$F$10,MCDM_Settings!$D$10)=0,"n.a.",5*(COUNTIF(X158:Y158,"Y")+COUNTIF(X158:Y158,"U")+COUNTIF(X158:Y158,"X"))/IF($D158="Unlabeled-13",MCDM_Settings!$F$10,MCDM_Settings!$D$10))</f>
        <v>5</v>
      </c>
      <c r="AQ158" s="13">
        <f>IF(IF($D158="Unlabeled-13",MCDM_Settings!$F$10,MCDM_Settings!$D$10)=0,"n.a.",(COUNTIF(X158:Y158,"Y")+COUNTIF(X158:Y158,"N"))/IF($D158="Unlabeled-13",MCDM_Settings!$F$10,MCDM_Settings!$D$10))</f>
        <v>0</v>
      </c>
      <c r="AR158" s="12">
        <f>IF(IF($D158="Unlabeled-13",MCDM_Settings!$F$11,MCDM_Settings!$D$11)=0,"n.a.",5*COUNTIF(Z158:AB158,"Y")/IF($D158="Unlabeled-13",MCDM_Settings!$F$11,MCDM_Settings!$D$11))</f>
        <v>5</v>
      </c>
      <c r="AS158" s="12">
        <f>IF(IF($D158="Unlabeled-13",MCDM_Settings!$F$11,MCDM_Settings!$D$11)=0,"n.a.",5*(COUNTIF(Z158:AB158,"Y")+COUNTIF(Z158:AB158,"U")+COUNTIF(Z158:AB158,"X"))/IF($D158="Unlabeled-13",MCDM_Settings!$F$11,MCDM_Settings!$D$11))</f>
        <v>5</v>
      </c>
      <c r="AT158" s="13">
        <f>IF(IF($D158="Unlabeled-13",MCDM_Settings!$F$11,MCDM_Settings!$D$11)=0,"n.a.",(COUNTIF(Z158:AB158,"Y")+COUNTIF(Z158:AB158,"N"))/IF($D158="Unlabeled-13",MCDM_Settings!$F$11,MCDM_Settings!$D$11))</f>
        <v>1</v>
      </c>
      <c r="AU158" s="5" t="str">
        <f>IF(AND(INDEX(Manual_Review!$G$6:$G$238,MATCH(A158,Manual_Review!$A$6:$A$238,0))&lt;&gt;"",ISNUMBER(INDEX(Manual_Review!$H$6:$H$238,MATCH(A158,Manual_Review!$A$6:$A$238,0))),INDEX(Manual_Review!$H$6:$H$238,MATCH(A158,Manual_Review!$A$6:$A$238,0))&gt;0,INDEX(Manual_Review!$I$6:$I$238,MATCH(A158,Manual_Review!$A$6:$A$238,0))="Confirmed",INDEX(Manual_Review!$AF$6:$AF$238,MATCH(A158,Manual_Review!$A$6:$A$238,0))&lt;&gt;""),IF(INDEX(Manual_Review!$AA$6:$AA$238,MATCH(A158,Manual_Review!$A$6:$A$238,0))="Pass","Pass",IF(INDEX(Manual_Review!$AA$6:$AA$238,MATCH(A158,Manual_Review!$A$6:$A$238,0))="Fail","Fail","Pending")),"Pending human identity confirmation")</f>
        <v>Pending human identity confirmation</v>
      </c>
      <c r="AV158" s="5" t="str">
        <f>IF(AND(AND(INDEX(Manual_Review!$G$6:$G$238,MATCH(A158,Manual_Review!$A$6:$A$238,0))&lt;&gt;"",ISNUMBER(INDEX(Manual_Review!$H$6:$H$238,MATCH(A158,Manual_Review!$A$6:$A$238,0))),INDEX(Manual_Review!$H$6:$H$238,MATCH(A158,Manual_Review!$A$6:$A$238,0))&gt;0,INDEX(Manual_Review!$I$6:$I$238,MATCH(A158,Manual_Review!$A$6:$A$238,0))="Confirmed",INDEX(Manual_Review!$AF$6:$AF$238,MATCH(A158,Manual_Review!$A$6:$A$238,0))&lt;&gt;""),INDEX(Manual_Review!$AG$6:$AG$238,MATCH(A158,Manual_Review!$A$6:$A$238,0))&lt;&gt;""),IF(INDEX(Manual_Review!$AB$6:$AB$238,MATCH(A158,Manual_Review!$A$6:$A$238,0))="Pass","Pass",IF(INDEX(Manual_Review!$AB$6:$AB$238,MATCH(A158,Manual_Review!$A$6:$A$238,0))="Fail","Fail","Pending")),"Not assessed: define intended task")</f>
        <v>Not assessed: define intended task</v>
      </c>
      <c r="AW158" s="5" t="str">
        <f>IF(AND(AND(INDEX(Manual_Review!$G$6:$G$238,MATCH(A158,Manual_Review!$A$6:$A$238,0))&lt;&gt;"",ISNUMBER(INDEX(Manual_Review!$H$6:$H$238,MATCH(A158,Manual_Review!$A$6:$A$238,0))),INDEX(Manual_Review!$H$6:$H$238,MATCH(A158,Manual_Review!$A$6:$A$238,0))&gt;0,INDEX(Manual_Review!$I$6:$I$238,MATCH(A158,Manual_Review!$A$6:$A$238,0))="Confirmed",INDEX(Manual_Review!$AF$6:$AF$238,MATCH(A158,Manual_Review!$A$6:$A$238,0))&lt;&gt;""),INDEX(Manual_Review!$AG$6:$AG$238,MATCH(A158,Manual_Review!$A$6:$A$238,0))&lt;&gt;""),IF(OR(INDEX(Manual_Review!$AC$6:$AC$238,MATCH(A158,Manual_Review!$A$6:$A$238,0))="Fail",INDEX(Manual_Review!$AD$6:$AD$238,MATCH(A158,Manual_Review!$A$6:$A$238,0))="Fail"),"Fail: rights or retrieval",IF(AND(INDEX(Manual_Review!$AC$6:$AC$238,MATCH(A158,Manual_Review!$A$6:$A$238,0))="Pass",INDEX(Manual_Review!$AD$6:$AD$238,MATCH(A158,Manual_Review!$A$6:$A$238,0))="Pass"),"Pass","Pending rights and retrieval")),"Pending rights and retrieval")</f>
        <v>Pending rights and retrieval</v>
      </c>
      <c r="AX158" s="5" t="str">
        <f>IF(INDEX(Manual_Review!$AG$6:$AG$238,MATCH(A158,Manual_Review!$A$6:$A$238,0))="","N/A: documentation inventory",IF(AND(INDEX(Manual_Review!$G$6:$G$238,MATCH(A158,Manual_Review!$A$6:$A$238,0))&lt;&gt;"",ISNUMBER(INDEX(Manual_Review!$H$6:$H$238,MATCH(A158,Manual_Review!$A$6:$A$238,0))),INDEX(Manual_Review!$H$6:$H$238,MATCH(A158,Manual_Review!$A$6:$A$238,0))&gt;0,INDEX(Manual_Review!$I$6:$I$238,MATCH(A158,Manual_Review!$A$6:$A$238,0))="Confirmed",INDEX(Manual_Review!$AF$6:$AF$238,MATCH(A158,Manual_Review!$A$6:$A$238,0))&lt;&gt;""),IF(INDEX(Manual_Review!$AE$6:$AE$238,MATCH(A158,Manual_Review!$A$6:$A$238,0))="Pass","Pass",IF(INDEX(Manual_Review!$AE$6:$AE$238,MATCH(A158,Manual_Review!$A$6:$A$238,0))="Fail","Fail: benchmark leakage",IF(INDEX(Manual_Review!$AE$6:$AE$238,MATCH(A158,Manual_Review!$A$6:$A$238,0))="N/A","N/A: nonbenchmark task","Pending task-specific leakage check"))),"Pending task-specific leakage check"))</f>
        <v>N/A: documentation inventory</v>
      </c>
      <c r="AY158" s="5" t="str">
        <f>IF(IF(D158="Unlabeled-13",AND(ABS(MCDM_Settings!$D$14-1)&lt;0.0000001,MIN(MCDM_Settings!$E$6:$E$11)&gt;=0,MCDM_Settings!$E$7=0),AND(ABS(MCDM_Settings!$B$14-1)&lt;0.0000001,MIN(MCDM_Settings!$C$6:$C$11)&gt;=0)),"Valid","Check weights")</f>
        <v>Valid</v>
      </c>
      <c r="AZ158" s="5" t="str">
        <f>IF(AND(COUNTIF(MCDM_Checks!$B$6:$B$3733,A158)=16,COUNTIF(Manual_Review!$A$6:$A$238,A158)=1),"16 keys present","Check key count")</f>
        <v>16 keys present</v>
      </c>
    </row>
    <row r="159" spans="1:52" ht="25.5">
      <c r="A159" s="5" t="s">
        <v>1746</v>
      </c>
      <c r="B159" s="5" t="s">
        <v>1747</v>
      </c>
      <c r="C159" s="5"/>
      <c r="D159" s="5" t="s">
        <v>118</v>
      </c>
      <c r="E159" s="12">
        <f>IF(OR(AY159&lt;&gt;"Valid",AZ159&lt;&gt;"16 keys present"),"Review settings",20*(IF(ISNUMBER(AC159),AC159*IF($D159="Unlabeled-13",MCDM_Settings!$E$6,MCDM_Settings!$C$6),0)+IF(ISNUMBER(AF159),AF159*IF($D159="Unlabeled-13",MCDM_Settings!$E$7,MCDM_Settings!$C$7),0)+IF(ISNUMBER(AI159),AI159*IF($D159="Unlabeled-13",MCDM_Settings!$E$8,MCDM_Settings!$C$8),0)+IF(ISNUMBER(AL159),AL159*IF($D159="Unlabeled-13",MCDM_Settings!$E$9,MCDM_Settings!$C$9),0)+IF(ISNUMBER(AO159),AO159*IF($D159="Unlabeled-13",MCDM_Settings!$E$10,MCDM_Settings!$C$10),0)+IF(ISNUMBER(AR159),AR159*IF($D159="Unlabeled-13",MCDM_Settings!$E$11,MCDM_Settings!$C$11),0)))</f>
        <v>66.666666666666657</v>
      </c>
      <c r="F159" s="12">
        <f>IF(OR(AY159&lt;&gt;"Valid",AZ159&lt;&gt;"16 keys present"),"Review settings",20*(IF(ISNUMBER(AD159),AD159*IF($D159="Unlabeled-13",MCDM_Settings!$E$6,MCDM_Settings!$C$6),0)+IF(ISNUMBER(AG159),AG159*IF($D159="Unlabeled-13",MCDM_Settings!$E$7,MCDM_Settings!$C$7),0)+IF(ISNUMBER(AJ159),AJ159*IF($D159="Unlabeled-13",MCDM_Settings!$E$8,MCDM_Settings!$C$8),0)+IF(ISNUMBER(AM159),AM159*IF($D159="Unlabeled-13",MCDM_Settings!$E$9,MCDM_Settings!$C$9),0)+IF(ISNUMBER(AP159),AP159*IF($D159="Unlabeled-13",MCDM_Settings!$E$10,MCDM_Settings!$C$10),0)+IF(ISNUMBER(AS159),AS159*IF($D159="Unlabeled-13",MCDM_Settings!$E$11,MCDM_Settings!$C$11),0)))</f>
        <v>99.999999999999986</v>
      </c>
      <c r="G159" s="13">
        <f>IF(OR(AY159&lt;&gt;"Valid",AZ159&lt;&gt;"16 keys present"),"Review settings",1*(IF(ISNUMBER(AE159),AE159*IF($D159="Unlabeled-13",MCDM_Settings!$E$6,MCDM_Settings!$C$6),0)+IF(ISNUMBER(AH159),AH159*IF($D159="Unlabeled-13",MCDM_Settings!$E$7,MCDM_Settings!$C$7),0)+IF(ISNUMBER(AK159),AK159*IF($D159="Unlabeled-13",MCDM_Settings!$E$8,MCDM_Settings!$C$8),0)+IF(ISNUMBER(AN159),AN159*IF($D159="Unlabeled-13",MCDM_Settings!$E$9,MCDM_Settings!$C$9),0)+IF(ISNUMBER(AQ159),AQ159*IF($D159="Unlabeled-13",MCDM_Settings!$E$10,MCDM_Settings!$C$10),0)+IF(ISNUMBER(AT159),AT159*IF($D159="Unlabeled-13",MCDM_Settings!$E$11,MCDM_Settings!$C$11),0)))</f>
        <v>0.66666666666666674</v>
      </c>
      <c r="H159" s="5" t="str">
        <f>INDEX(Manual_Review!$AH$6:$AH$238,MATCH(A159,Manual_Review!$A$6:$A$238,0))</f>
        <v>Not started</v>
      </c>
      <c r="I159" s="5" t="s">
        <v>128</v>
      </c>
      <c r="J159" s="5" t="s">
        <v>1601</v>
      </c>
      <c r="K159" s="5" t="str">
        <f>HYPERLINK("https://www.kaggle.com/datasets/abdulrahmanksaeed/pothole-patrol-normalized-dataset","Dataset")</f>
        <v>Dataset</v>
      </c>
      <c r="L159" s="5" t="str">
        <f>HYPERLINK("#'Manual_Review'!A"&amp;(MATCH("DS-154",Manual_Review!$A$6:$A$238,0)+5),"Enter review")</f>
        <v>Enter review</v>
      </c>
      <c r="M159" s="5" t="str">
        <f>INDEX(MCDM_Checks!$K$6:$K$3733,MATCH(A159&amp;"|"&amp;M$5,MCDM_Checks!$A$6:$A$3733,0))</f>
        <v>Y</v>
      </c>
      <c r="N159" s="5" t="str">
        <f>INDEX(MCDM_Checks!$K$6:$K$3733,MATCH(A159&amp;"|"&amp;N$5,MCDM_Checks!$A$6:$A$3733,0))</f>
        <v>Y</v>
      </c>
      <c r="O159" s="5" t="str">
        <f>INDEX(MCDM_Checks!$K$6:$K$3733,MATCH(A159&amp;"|"&amp;O$5,MCDM_Checks!$A$6:$A$3733,0))</f>
        <v>Y</v>
      </c>
      <c r="P159" s="5" t="str">
        <f>INDEX(MCDM_Checks!$K$6:$K$3733,MATCH(A159&amp;"|"&amp;P$5,MCDM_Checks!$A$6:$A$3733,0))</f>
        <v>Y</v>
      </c>
      <c r="Q159" s="5" t="str">
        <f>INDEX(MCDM_Checks!$K$6:$K$3733,MATCH(A159&amp;"|"&amp;Q$5,MCDM_Checks!$A$6:$A$3733,0))</f>
        <v>Y</v>
      </c>
      <c r="R159" s="5" t="str">
        <f>INDEX(MCDM_Checks!$K$6:$K$3733,MATCH(A159&amp;"|"&amp;R$5,MCDM_Checks!$A$6:$A$3733,0))</f>
        <v>U</v>
      </c>
      <c r="S159" s="5" t="str">
        <f>INDEX(MCDM_Checks!$K$6:$K$3733,MATCH(A159&amp;"|"&amp;S$5,MCDM_Checks!$A$6:$A$3733,0))</f>
        <v>Y</v>
      </c>
      <c r="T159" s="5" t="str">
        <f>INDEX(MCDM_Checks!$K$6:$K$3733,MATCH(A159&amp;"|"&amp;T$5,MCDM_Checks!$A$6:$A$3733,0))</f>
        <v>Y</v>
      </c>
      <c r="U159" s="5" t="str">
        <f>INDEX(MCDM_Checks!$K$6:$K$3733,MATCH(A159&amp;"|"&amp;U$5,MCDM_Checks!$A$6:$A$3733,0))</f>
        <v>Y</v>
      </c>
      <c r="V159" s="5" t="str">
        <f>INDEX(MCDM_Checks!$K$6:$K$3733,MATCH(A159&amp;"|"&amp;V$5,MCDM_Checks!$A$6:$A$3733,0))</f>
        <v>U</v>
      </c>
      <c r="W159" s="5" t="str">
        <f>INDEX(MCDM_Checks!$K$6:$K$3733,MATCH(A159&amp;"|"&amp;W$5,MCDM_Checks!$A$6:$A$3733,0))</f>
        <v>Y</v>
      </c>
      <c r="X159" s="5" t="str">
        <f>INDEX(MCDM_Checks!$K$6:$K$3733,MATCH(A159&amp;"|"&amp;X$5,MCDM_Checks!$A$6:$A$3733,0))</f>
        <v>U</v>
      </c>
      <c r="Y159" s="5" t="str">
        <f>INDEX(MCDM_Checks!$K$6:$K$3733,MATCH(A159&amp;"|"&amp;Y$5,MCDM_Checks!$A$6:$A$3733,0))</f>
        <v>Y</v>
      </c>
      <c r="Z159" s="5" t="str">
        <f>INDEX(MCDM_Checks!$K$6:$K$3733,MATCH(A159&amp;"|"&amp;Z$5,MCDM_Checks!$A$6:$A$3733,0))</f>
        <v>U</v>
      </c>
      <c r="AA159" s="5" t="str">
        <f>INDEX(MCDM_Checks!$K$6:$K$3733,MATCH(A159&amp;"|"&amp;AA$5,MCDM_Checks!$A$6:$A$3733,0))</f>
        <v>U</v>
      </c>
      <c r="AB159" s="5" t="str">
        <f>INDEX(MCDM_Checks!$K$6:$K$3733,MATCH(A159&amp;"|"&amp;AB$5,MCDM_Checks!$A$6:$A$3733,0))</f>
        <v>Y</v>
      </c>
      <c r="AC159" s="12">
        <f>IF(IF($D159="Unlabeled-13",MCDM_Settings!$F$6,MCDM_Settings!$D$6)=0,"n.a.",5*COUNTIF(M159:O159,"Y")/IF($D159="Unlabeled-13",MCDM_Settings!$F$6,MCDM_Settings!$D$6))</f>
        <v>5</v>
      </c>
      <c r="AD159" s="12">
        <f>IF(IF($D159="Unlabeled-13",MCDM_Settings!$F$6,MCDM_Settings!$D$6)=0,"n.a.",5*(COUNTIF(M159:O159,"Y")+COUNTIF(M159:O159,"U")+COUNTIF(M159:O159,"X"))/IF($D159="Unlabeled-13",MCDM_Settings!$F$6,MCDM_Settings!$D$6))</f>
        <v>5</v>
      </c>
      <c r="AE159" s="13">
        <f>IF(IF($D159="Unlabeled-13",MCDM_Settings!$F$6,MCDM_Settings!$D$6)=0,"n.a.",(COUNTIF(M159:O159,"Y")+COUNTIF(M159:O159,"N"))/IF($D159="Unlabeled-13",MCDM_Settings!$F$6,MCDM_Settings!$D$6))</f>
        <v>1</v>
      </c>
      <c r="AF159" s="12">
        <f>IF(IF($D159="Unlabeled-13",MCDM_Settings!$F$7,MCDM_Settings!$D$7)=0,"n.a.",5*COUNTIF(P159:R159,"Y")/IF($D159="Unlabeled-13",MCDM_Settings!$F$7,MCDM_Settings!$D$7))</f>
        <v>3.3333333333333335</v>
      </c>
      <c r="AG159" s="12">
        <f>IF(IF($D159="Unlabeled-13",MCDM_Settings!$F$7,MCDM_Settings!$D$7)=0,"n.a.",5*(COUNTIF(P159:R159,"Y")+COUNTIF(P159:R159,"U")+COUNTIF(P159:R159,"X"))/IF($D159="Unlabeled-13",MCDM_Settings!$F$7,MCDM_Settings!$D$7))</f>
        <v>5</v>
      </c>
      <c r="AH159" s="13">
        <f>IF(IF($D159="Unlabeled-13",MCDM_Settings!$F$7,MCDM_Settings!$D$7)=0,"n.a.",(COUNTIF(P159:R159,"Y")+COUNTIF(P159:R159,"N"))/IF($D159="Unlabeled-13",MCDM_Settings!$F$7,MCDM_Settings!$D$7))</f>
        <v>0.66666666666666663</v>
      </c>
      <c r="AI159" s="12">
        <f>IF(IF($D159="Unlabeled-13",MCDM_Settings!$F$8,MCDM_Settings!$D$8)=0,"n.a.",5*COUNTIF(S159:U159,"Y")/IF($D159="Unlabeled-13",MCDM_Settings!$F$8,MCDM_Settings!$D$8))</f>
        <v>5</v>
      </c>
      <c r="AJ159" s="12">
        <f>IF(IF($D159="Unlabeled-13",MCDM_Settings!$F$8,MCDM_Settings!$D$8)=0,"n.a.",5*(COUNTIF(S159:U159,"Y")+COUNTIF(S159:U159,"U")+COUNTIF(S159:U159,"X"))/IF($D159="Unlabeled-13",MCDM_Settings!$F$8,MCDM_Settings!$D$8))</f>
        <v>5</v>
      </c>
      <c r="AK159" s="13">
        <f>IF(IF($D159="Unlabeled-13",MCDM_Settings!$F$8,MCDM_Settings!$D$8)=0,"n.a.",(COUNTIF(S159:U159,"Y")+COUNTIF(S159:U159,"N"))/IF($D159="Unlabeled-13",MCDM_Settings!$F$8,MCDM_Settings!$D$8))</f>
        <v>1</v>
      </c>
      <c r="AL159" s="12">
        <f>IF(IF($D159="Unlabeled-13",MCDM_Settings!$F$9,MCDM_Settings!$D$9)=0,"n.a.",5*COUNTIF(V159:W159,"Y")/IF($D159="Unlabeled-13",MCDM_Settings!$F$9,MCDM_Settings!$D$9))</f>
        <v>2.5</v>
      </c>
      <c r="AM159" s="12">
        <f>IF(IF($D159="Unlabeled-13",MCDM_Settings!$F$9,MCDM_Settings!$D$9)=0,"n.a.",5*(COUNTIF(V159:W159,"Y")+COUNTIF(V159:W159,"U")+COUNTIF(V159:W159,"X"))/IF($D159="Unlabeled-13",MCDM_Settings!$F$9,MCDM_Settings!$D$9))</f>
        <v>5</v>
      </c>
      <c r="AN159" s="13">
        <f>IF(IF($D159="Unlabeled-13",MCDM_Settings!$F$9,MCDM_Settings!$D$9)=0,"n.a.",(COUNTIF(V159:W159,"Y")+COUNTIF(V159:W159,"N"))/IF($D159="Unlabeled-13",MCDM_Settings!$F$9,MCDM_Settings!$D$9))</f>
        <v>0.5</v>
      </c>
      <c r="AO159" s="12">
        <f>IF(IF($D159="Unlabeled-13",MCDM_Settings!$F$10,MCDM_Settings!$D$10)=0,"n.a.",5*COUNTIF(X159:Y159,"Y")/IF($D159="Unlabeled-13",MCDM_Settings!$F$10,MCDM_Settings!$D$10))</f>
        <v>2.5</v>
      </c>
      <c r="AP159" s="12">
        <f>IF(IF($D159="Unlabeled-13",MCDM_Settings!$F$10,MCDM_Settings!$D$10)=0,"n.a.",5*(COUNTIF(X159:Y159,"Y")+COUNTIF(X159:Y159,"U")+COUNTIF(X159:Y159,"X"))/IF($D159="Unlabeled-13",MCDM_Settings!$F$10,MCDM_Settings!$D$10))</f>
        <v>5</v>
      </c>
      <c r="AQ159" s="13">
        <f>IF(IF($D159="Unlabeled-13",MCDM_Settings!$F$10,MCDM_Settings!$D$10)=0,"n.a.",(COUNTIF(X159:Y159,"Y")+COUNTIF(X159:Y159,"N"))/IF($D159="Unlabeled-13",MCDM_Settings!$F$10,MCDM_Settings!$D$10))</f>
        <v>0.5</v>
      </c>
      <c r="AR159" s="12">
        <f>IF(IF($D159="Unlabeled-13",MCDM_Settings!$F$11,MCDM_Settings!$D$11)=0,"n.a.",5*COUNTIF(Z159:AB159,"Y")/IF($D159="Unlabeled-13",MCDM_Settings!$F$11,MCDM_Settings!$D$11))</f>
        <v>1.6666666666666667</v>
      </c>
      <c r="AS159" s="12">
        <f>IF(IF($D159="Unlabeled-13",MCDM_Settings!$F$11,MCDM_Settings!$D$11)=0,"n.a.",5*(COUNTIF(Z159:AB159,"Y")+COUNTIF(Z159:AB159,"U")+COUNTIF(Z159:AB159,"X"))/IF($D159="Unlabeled-13",MCDM_Settings!$F$11,MCDM_Settings!$D$11))</f>
        <v>5</v>
      </c>
      <c r="AT159" s="13">
        <f>IF(IF($D159="Unlabeled-13",MCDM_Settings!$F$11,MCDM_Settings!$D$11)=0,"n.a.",(COUNTIF(Z159:AB159,"Y")+COUNTIF(Z159:AB159,"N"))/IF($D159="Unlabeled-13",MCDM_Settings!$F$11,MCDM_Settings!$D$11))</f>
        <v>0.33333333333333331</v>
      </c>
      <c r="AU159" s="5" t="str">
        <f>IF(AND(INDEX(Manual_Review!$G$6:$G$238,MATCH(A159,Manual_Review!$A$6:$A$238,0))&lt;&gt;"",ISNUMBER(INDEX(Manual_Review!$H$6:$H$238,MATCH(A159,Manual_Review!$A$6:$A$238,0))),INDEX(Manual_Review!$H$6:$H$238,MATCH(A159,Manual_Review!$A$6:$A$238,0))&gt;0,INDEX(Manual_Review!$I$6:$I$238,MATCH(A159,Manual_Review!$A$6:$A$238,0))="Confirmed",INDEX(Manual_Review!$AF$6:$AF$238,MATCH(A159,Manual_Review!$A$6:$A$238,0))&lt;&gt;""),IF(INDEX(Manual_Review!$AA$6:$AA$238,MATCH(A159,Manual_Review!$A$6:$A$238,0))="Pass","Pass",IF(INDEX(Manual_Review!$AA$6:$AA$238,MATCH(A159,Manual_Review!$A$6:$A$238,0))="Fail","Fail","Pending")),"Pending human identity confirmation")</f>
        <v>Pending human identity confirmation</v>
      </c>
      <c r="AV159" s="5" t="str">
        <f>IF(AND(AND(INDEX(Manual_Review!$G$6:$G$238,MATCH(A159,Manual_Review!$A$6:$A$238,0))&lt;&gt;"",ISNUMBER(INDEX(Manual_Review!$H$6:$H$238,MATCH(A159,Manual_Review!$A$6:$A$238,0))),INDEX(Manual_Review!$H$6:$H$238,MATCH(A159,Manual_Review!$A$6:$A$238,0))&gt;0,INDEX(Manual_Review!$I$6:$I$238,MATCH(A159,Manual_Review!$A$6:$A$238,0))="Confirmed",INDEX(Manual_Review!$AF$6:$AF$238,MATCH(A159,Manual_Review!$A$6:$A$238,0))&lt;&gt;""),INDEX(Manual_Review!$AG$6:$AG$238,MATCH(A159,Manual_Review!$A$6:$A$238,0))&lt;&gt;""),IF(INDEX(Manual_Review!$AB$6:$AB$238,MATCH(A159,Manual_Review!$A$6:$A$238,0))="Pass","Pass",IF(INDEX(Manual_Review!$AB$6:$AB$238,MATCH(A159,Manual_Review!$A$6:$A$238,0))="Fail","Fail","Pending")),"Not assessed: define intended task")</f>
        <v>Not assessed: define intended task</v>
      </c>
      <c r="AW159" s="5" t="str">
        <f>IF(AND(AND(INDEX(Manual_Review!$G$6:$G$238,MATCH(A159,Manual_Review!$A$6:$A$238,0))&lt;&gt;"",ISNUMBER(INDEX(Manual_Review!$H$6:$H$238,MATCH(A159,Manual_Review!$A$6:$A$238,0))),INDEX(Manual_Review!$H$6:$H$238,MATCH(A159,Manual_Review!$A$6:$A$238,0))&gt;0,INDEX(Manual_Review!$I$6:$I$238,MATCH(A159,Manual_Review!$A$6:$A$238,0))="Confirmed",INDEX(Manual_Review!$AF$6:$AF$238,MATCH(A159,Manual_Review!$A$6:$A$238,0))&lt;&gt;""),INDEX(Manual_Review!$AG$6:$AG$238,MATCH(A159,Manual_Review!$A$6:$A$238,0))&lt;&gt;""),IF(OR(INDEX(Manual_Review!$AC$6:$AC$238,MATCH(A159,Manual_Review!$A$6:$A$238,0))="Fail",INDEX(Manual_Review!$AD$6:$AD$238,MATCH(A159,Manual_Review!$A$6:$A$238,0))="Fail"),"Fail: rights or retrieval",IF(AND(INDEX(Manual_Review!$AC$6:$AC$238,MATCH(A159,Manual_Review!$A$6:$A$238,0))="Pass",INDEX(Manual_Review!$AD$6:$AD$238,MATCH(A159,Manual_Review!$A$6:$A$238,0))="Pass"),"Pass","Pending rights and retrieval")),"Pending rights and retrieval")</f>
        <v>Pending rights and retrieval</v>
      </c>
      <c r="AX159" s="5" t="str">
        <f>IF(INDEX(Manual_Review!$AG$6:$AG$238,MATCH(A159,Manual_Review!$A$6:$A$238,0))="","N/A: documentation inventory",IF(AND(INDEX(Manual_Review!$G$6:$G$238,MATCH(A159,Manual_Review!$A$6:$A$238,0))&lt;&gt;"",ISNUMBER(INDEX(Manual_Review!$H$6:$H$238,MATCH(A159,Manual_Review!$A$6:$A$238,0))),INDEX(Manual_Review!$H$6:$H$238,MATCH(A159,Manual_Review!$A$6:$A$238,0))&gt;0,INDEX(Manual_Review!$I$6:$I$238,MATCH(A159,Manual_Review!$A$6:$A$238,0))="Confirmed",INDEX(Manual_Review!$AF$6:$AF$238,MATCH(A159,Manual_Review!$A$6:$A$238,0))&lt;&gt;""),IF(INDEX(Manual_Review!$AE$6:$AE$238,MATCH(A159,Manual_Review!$A$6:$A$238,0))="Pass","Pass",IF(INDEX(Manual_Review!$AE$6:$AE$238,MATCH(A159,Manual_Review!$A$6:$A$238,0))="Fail","Fail: benchmark leakage",IF(INDEX(Manual_Review!$AE$6:$AE$238,MATCH(A159,Manual_Review!$A$6:$A$238,0))="N/A","N/A: nonbenchmark task","Pending task-specific leakage check"))),"Pending task-specific leakage check"))</f>
        <v>N/A: documentation inventory</v>
      </c>
      <c r="AY159" s="5" t="str">
        <f>IF(IF(D159="Unlabeled-13",AND(ABS(MCDM_Settings!$D$14-1)&lt;0.0000001,MIN(MCDM_Settings!$E$6:$E$11)&gt;=0,MCDM_Settings!$E$7=0),AND(ABS(MCDM_Settings!$B$14-1)&lt;0.0000001,MIN(MCDM_Settings!$C$6:$C$11)&gt;=0)),"Valid","Check weights")</f>
        <v>Valid</v>
      </c>
      <c r="AZ159" s="5" t="str">
        <f>IF(AND(COUNTIF(MCDM_Checks!$B$6:$B$3733,A159)=16,COUNTIF(Manual_Review!$A$6:$A$238,A159)=1),"16 keys present","Check key count")</f>
        <v>16 keys present</v>
      </c>
    </row>
    <row r="160" spans="1:52">
      <c r="A160" s="5" t="s">
        <v>1756</v>
      </c>
      <c r="B160" s="5" t="s">
        <v>1757</v>
      </c>
      <c r="C160" s="5"/>
      <c r="D160" s="5" t="s">
        <v>118</v>
      </c>
      <c r="E160" s="12">
        <f>IF(OR(AY160&lt;&gt;"Valid",AZ160&lt;&gt;"16 keys present"),"Review settings",20*(IF(ISNUMBER(AC160),AC160*IF($D160="Unlabeled-13",MCDM_Settings!$E$6,MCDM_Settings!$C$6),0)+IF(ISNUMBER(AF160),AF160*IF($D160="Unlabeled-13",MCDM_Settings!$E$7,MCDM_Settings!$C$7),0)+IF(ISNUMBER(AI160),AI160*IF($D160="Unlabeled-13",MCDM_Settings!$E$8,MCDM_Settings!$C$8),0)+IF(ISNUMBER(AL160),AL160*IF($D160="Unlabeled-13",MCDM_Settings!$E$9,MCDM_Settings!$C$9),0)+IF(ISNUMBER(AO160),AO160*IF($D160="Unlabeled-13",MCDM_Settings!$E$10,MCDM_Settings!$C$10),0)+IF(ISNUMBER(AR160),AR160*IF($D160="Unlabeled-13",MCDM_Settings!$E$11,MCDM_Settings!$C$11),0)))</f>
        <v>11.111111111111111</v>
      </c>
      <c r="F160" s="12">
        <f>IF(OR(AY160&lt;&gt;"Valid",AZ160&lt;&gt;"16 keys present"),"Review settings",20*(IF(ISNUMBER(AD160),AD160*IF($D160="Unlabeled-13",MCDM_Settings!$E$6,MCDM_Settings!$C$6),0)+IF(ISNUMBER(AG160),AG160*IF($D160="Unlabeled-13",MCDM_Settings!$E$7,MCDM_Settings!$C$7),0)+IF(ISNUMBER(AJ160),AJ160*IF($D160="Unlabeled-13",MCDM_Settings!$E$8,MCDM_Settings!$C$8),0)+IF(ISNUMBER(AM160),AM160*IF($D160="Unlabeled-13",MCDM_Settings!$E$9,MCDM_Settings!$C$9),0)+IF(ISNUMBER(AP160),AP160*IF($D160="Unlabeled-13",MCDM_Settings!$E$10,MCDM_Settings!$C$10),0)+IF(ISNUMBER(AS160),AS160*IF($D160="Unlabeled-13",MCDM_Settings!$E$11,MCDM_Settings!$C$11),0)))</f>
        <v>99.999999999999986</v>
      </c>
      <c r="G160" s="13">
        <f>IF(OR(AY160&lt;&gt;"Valid",AZ160&lt;&gt;"16 keys present"),"Review settings",1*(IF(ISNUMBER(AE160),AE160*IF($D160="Unlabeled-13",MCDM_Settings!$E$6,MCDM_Settings!$C$6),0)+IF(ISNUMBER(AH160),AH160*IF($D160="Unlabeled-13",MCDM_Settings!$E$7,MCDM_Settings!$C$7),0)+IF(ISNUMBER(AK160),AK160*IF($D160="Unlabeled-13",MCDM_Settings!$E$8,MCDM_Settings!$C$8),0)+IF(ISNUMBER(AN160),AN160*IF($D160="Unlabeled-13",MCDM_Settings!$E$9,MCDM_Settings!$C$9),0)+IF(ISNUMBER(AQ160),AQ160*IF($D160="Unlabeled-13",MCDM_Settings!$E$10,MCDM_Settings!$C$10),0)+IF(ISNUMBER(AT160),AT160*IF($D160="Unlabeled-13",MCDM_Settings!$E$11,MCDM_Settings!$C$11),0)))</f>
        <v>0.1111111111111111</v>
      </c>
      <c r="H160" s="5" t="str">
        <f>INDEX(Manual_Review!$AH$6:$AH$238,MATCH(A160,Manual_Review!$A$6:$A$238,0))</f>
        <v>Not started</v>
      </c>
      <c r="I160" s="5" t="s">
        <v>128</v>
      </c>
      <c r="J160" s="5" t="s">
        <v>1601</v>
      </c>
      <c r="K160" s="5" t="str">
        <f>HYPERLINK("https://www.kaggle.com/datasets/gracehephzibahm/pothole-severity-classification","Dataset")</f>
        <v>Dataset</v>
      </c>
      <c r="L160" s="5" t="str">
        <f>HYPERLINK("#'Manual_Review'!A"&amp;(MATCH("DS-155",Manual_Review!$A$6:$A$238,0)+5),"Enter review")</f>
        <v>Enter review</v>
      </c>
      <c r="M160" s="5" t="str">
        <f>INDEX(MCDM_Checks!$K$6:$K$3733,MATCH(A160&amp;"|"&amp;M$5,MCDM_Checks!$A$6:$A$3733,0))</f>
        <v>Y</v>
      </c>
      <c r="N160" s="5" t="str">
        <f>INDEX(MCDM_Checks!$K$6:$K$3733,MATCH(A160&amp;"|"&amp;N$5,MCDM_Checks!$A$6:$A$3733,0))</f>
        <v>Y</v>
      </c>
      <c r="O160" s="5" t="str">
        <f>INDEX(MCDM_Checks!$K$6:$K$3733,MATCH(A160&amp;"|"&amp;O$5,MCDM_Checks!$A$6:$A$3733,0))</f>
        <v>U</v>
      </c>
      <c r="P160" s="5" t="str">
        <f>INDEX(MCDM_Checks!$K$6:$K$3733,MATCH(A160&amp;"|"&amp;P$5,MCDM_Checks!$A$6:$A$3733,0))</f>
        <v>U</v>
      </c>
      <c r="Q160" s="5" t="str">
        <f>INDEX(MCDM_Checks!$K$6:$K$3733,MATCH(A160&amp;"|"&amp;Q$5,MCDM_Checks!$A$6:$A$3733,0))</f>
        <v>U</v>
      </c>
      <c r="R160" s="5" t="str">
        <f>INDEX(MCDM_Checks!$K$6:$K$3733,MATCH(A160&amp;"|"&amp;R$5,MCDM_Checks!$A$6:$A$3733,0))</f>
        <v>U</v>
      </c>
      <c r="S160" s="5" t="str">
        <f>INDEX(MCDM_Checks!$K$6:$K$3733,MATCH(A160&amp;"|"&amp;S$5,MCDM_Checks!$A$6:$A$3733,0))</f>
        <v>U</v>
      </c>
      <c r="T160" s="5" t="str">
        <f>INDEX(MCDM_Checks!$K$6:$K$3733,MATCH(A160&amp;"|"&amp;T$5,MCDM_Checks!$A$6:$A$3733,0))</f>
        <v>U</v>
      </c>
      <c r="U160" s="5" t="str">
        <f>INDEX(MCDM_Checks!$K$6:$K$3733,MATCH(A160&amp;"|"&amp;U$5,MCDM_Checks!$A$6:$A$3733,0))</f>
        <v>U</v>
      </c>
      <c r="V160" s="5" t="str">
        <f>INDEX(MCDM_Checks!$K$6:$K$3733,MATCH(A160&amp;"|"&amp;V$5,MCDM_Checks!$A$6:$A$3733,0))</f>
        <v>U</v>
      </c>
      <c r="W160" s="5" t="str">
        <f>INDEX(MCDM_Checks!$K$6:$K$3733,MATCH(A160&amp;"|"&amp;W$5,MCDM_Checks!$A$6:$A$3733,0))</f>
        <v>U</v>
      </c>
      <c r="X160" s="5" t="str">
        <f>INDEX(MCDM_Checks!$K$6:$K$3733,MATCH(A160&amp;"|"&amp;X$5,MCDM_Checks!$A$6:$A$3733,0))</f>
        <v>U</v>
      </c>
      <c r="Y160" s="5" t="str">
        <f>INDEX(MCDM_Checks!$K$6:$K$3733,MATCH(A160&amp;"|"&amp;Y$5,MCDM_Checks!$A$6:$A$3733,0))</f>
        <v>U</v>
      </c>
      <c r="Z160" s="5" t="str">
        <f>INDEX(MCDM_Checks!$K$6:$K$3733,MATCH(A160&amp;"|"&amp;Z$5,MCDM_Checks!$A$6:$A$3733,0))</f>
        <v>U</v>
      </c>
      <c r="AA160" s="5" t="str">
        <f>INDEX(MCDM_Checks!$K$6:$K$3733,MATCH(A160&amp;"|"&amp;AA$5,MCDM_Checks!$A$6:$A$3733,0))</f>
        <v>U</v>
      </c>
      <c r="AB160" s="5" t="str">
        <f>INDEX(MCDM_Checks!$K$6:$K$3733,MATCH(A160&amp;"|"&amp;AB$5,MCDM_Checks!$A$6:$A$3733,0))</f>
        <v>U</v>
      </c>
      <c r="AC160" s="12">
        <f>IF(IF($D160="Unlabeled-13",MCDM_Settings!$F$6,MCDM_Settings!$D$6)=0,"n.a.",5*COUNTIF(M160:O160,"Y")/IF($D160="Unlabeled-13",MCDM_Settings!$F$6,MCDM_Settings!$D$6))</f>
        <v>3.3333333333333335</v>
      </c>
      <c r="AD160" s="12">
        <f>IF(IF($D160="Unlabeled-13",MCDM_Settings!$F$6,MCDM_Settings!$D$6)=0,"n.a.",5*(COUNTIF(M160:O160,"Y")+COUNTIF(M160:O160,"U")+COUNTIF(M160:O160,"X"))/IF($D160="Unlabeled-13",MCDM_Settings!$F$6,MCDM_Settings!$D$6))</f>
        <v>5</v>
      </c>
      <c r="AE160" s="13">
        <f>IF(IF($D160="Unlabeled-13",MCDM_Settings!$F$6,MCDM_Settings!$D$6)=0,"n.a.",(COUNTIF(M160:O160,"Y")+COUNTIF(M160:O160,"N"))/IF($D160="Unlabeled-13",MCDM_Settings!$F$6,MCDM_Settings!$D$6))</f>
        <v>0.66666666666666663</v>
      </c>
      <c r="AF160" s="12">
        <f>IF(IF($D160="Unlabeled-13",MCDM_Settings!$F$7,MCDM_Settings!$D$7)=0,"n.a.",5*COUNTIF(P160:R160,"Y")/IF($D160="Unlabeled-13",MCDM_Settings!$F$7,MCDM_Settings!$D$7))</f>
        <v>0</v>
      </c>
      <c r="AG160" s="12">
        <f>IF(IF($D160="Unlabeled-13",MCDM_Settings!$F$7,MCDM_Settings!$D$7)=0,"n.a.",5*(COUNTIF(P160:R160,"Y")+COUNTIF(P160:R160,"U")+COUNTIF(P160:R160,"X"))/IF($D160="Unlabeled-13",MCDM_Settings!$F$7,MCDM_Settings!$D$7))</f>
        <v>5</v>
      </c>
      <c r="AH160" s="13">
        <f>IF(IF($D160="Unlabeled-13",MCDM_Settings!$F$7,MCDM_Settings!$D$7)=0,"n.a.",(COUNTIF(P160:R160,"Y")+COUNTIF(P160:R160,"N"))/IF($D160="Unlabeled-13",MCDM_Settings!$F$7,MCDM_Settings!$D$7))</f>
        <v>0</v>
      </c>
      <c r="AI160" s="12">
        <f>IF(IF($D160="Unlabeled-13",MCDM_Settings!$F$8,MCDM_Settings!$D$8)=0,"n.a.",5*COUNTIF(S160:U160,"Y")/IF($D160="Unlabeled-13",MCDM_Settings!$F$8,MCDM_Settings!$D$8))</f>
        <v>0</v>
      </c>
      <c r="AJ160" s="12">
        <f>IF(IF($D160="Unlabeled-13",MCDM_Settings!$F$8,MCDM_Settings!$D$8)=0,"n.a.",5*(COUNTIF(S160:U160,"Y")+COUNTIF(S160:U160,"U")+COUNTIF(S160:U160,"X"))/IF($D160="Unlabeled-13",MCDM_Settings!$F$8,MCDM_Settings!$D$8))</f>
        <v>5</v>
      </c>
      <c r="AK160" s="13">
        <f>IF(IF($D160="Unlabeled-13",MCDM_Settings!$F$8,MCDM_Settings!$D$8)=0,"n.a.",(COUNTIF(S160:U160,"Y")+COUNTIF(S160:U160,"N"))/IF($D160="Unlabeled-13",MCDM_Settings!$F$8,MCDM_Settings!$D$8))</f>
        <v>0</v>
      </c>
      <c r="AL160" s="12">
        <f>IF(IF($D160="Unlabeled-13",MCDM_Settings!$F$9,MCDM_Settings!$D$9)=0,"n.a.",5*COUNTIF(V160:W160,"Y")/IF($D160="Unlabeled-13",MCDM_Settings!$F$9,MCDM_Settings!$D$9))</f>
        <v>0</v>
      </c>
      <c r="AM160" s="12">
        <f>IF(IF($D160="Unlabeled-13",MCDM_Settings!$F$9,MCDM_Settings!$D$9)=0,"n.a.",5*(COUNTIF(V160:W160,"Y")+COUNTIF(V160:W160,"U")+COUNTIF(V160:W160,"X"))/IF($D160="Unlabeled-13",MCDM_Settings!$F$9,MCDM_Settings!$D$9))</f>
        <v>5</v>
      </c>
      <c r="AN160" s="13">
        <f>IF(IF($D160="Unlabeled-13",MCDM_Settings!$F$9,MCDM_Settings!$D$9)=0,"n.a.",(COUNTIF(V160:W160,"Y")+COUNTIF(V160:W160,"N"))/IF($D160="Unlabeled-13",MCDM_Settings!$F$9,MCDM_Settings!$D$9))</f>
        <v>0</v>
      </c>
      <c r="AO160" s="12">
        <f>IF(IF($D160="Unlabeled-13",MCDM_Settings!$F$10,MCDM_Settings!$D$10)=0,"n.a.",5*COUNTIF(X160:Y160,"Y")/IF($D160="Unlabeled-13",MCDM_Settings!$F$10,MCDM_Settings!$D$10))</f>
        <v>0</v>
      </c>
      <c r="AP160" s="12">
        <f>IF(IF($D160="Unlabeled-13",MCDM_Settings!$F$10,MCDM_Settings!$D$10)=0,"n.a.",5*(COUNTIF(X160:Y160,"Y")+COUNTIF(X160:Y160,"U")+COUNTIF(X160:Y160,"X"))/IF($D160="Unlabeled-13",MCDM_Settings!$F$10,MCDM_Settings!$D$10))</f>
        <v>5</v>
      </c>
      <c r="AQ160" s="13">
        <f>IF(IF($D160="Unlabeled-13",MCDM_Settings!$F$10,MCDM_Settings!$D$10)=0,"n.a.",(COUNTIF(X160:Y160,"Y")+COUNTIF(X160:Y160,"N"))/IF($D160="Unlabeled-13",MCDM_Settings!$F$10,MCDM_Settings!$D$10))</f>
        <v>0</v>
      </c>
      <c r="AR160" s="12">
        <f>IF(IF($D160="Unlabeled-13",MCDM_Settings!$F$11,MCDM_Settings!$D$11)=0,"n.a.",5*COUNTIF(Z160:AB160,"Y")/IF($D160="Unlabeled-13",MCDM_Settings!$F$11,MCDM_Settings!$D$11))</f>
        <v>0</v>
      </c>
      <c r="AS160" s="12">
        <f>IF(IF($D160="Unlabeled-13",MCDM_Settings!$F$11,MCDM_Settings!$D$11)=0,"n.a.",5*(COUNTIF(Z160:AB160,"Y")+COUNTIF(Z160:AB160,"U")+COUNTIF(Z160:AB160,"X"))/IF($D160="Unlabeled-13",MCDM_Settings!$F$11,MCDM_Settings!$D$11))</f>
        <v>5</v>
      </c>
      <c r="AT160" s="13">
        <f>IF(IF($D160="Unlabeled-13",MCDM_Settings!$F$11,MCDM_Settings!$D$11)=0,"n.a.",(COUNTIF(Z160:AB160,"Y")+COUNTIF(Z160:AB160,"N"))/IF($D160="Unlabeled-13",MCDM_Settings!$F$11,MCDM_Settings!$D$11))</f>
        <v>0</v>
      </c>
      <c r="AU160" s="5" t="str">
        <f>IF(AND(INDEX(Manual_Review!$G$6:$G$238,MATCH(A160,Manual_Review!$A$6:$A$238,0))&lt;&gt;"",ISNUMBER(INDEX(Manual_Review!$H$6:$H$238,MATCH(A160,Manual_Review!$A$6:$A$238,0))),INDEX(Manual_Review!$H$6:$H$238,MATCH(A160,Manual_Review!$A$6:$A$238,0))&gt;0,INDEX(Manual_Review!$I$6:$I$238,MATCH(A160,Manual_Review!$A$6:$A$238,0))="Confirmed",INDEX(Manual_Review!$AF$6:$AF$238,MATCH(A160,Manual_Review!$A$6:$A$238,0))&lt;&gt;""),IF(INDEX(Manual_Review!$AA$6:$AA$238,MATCH(A160,Manual_Review!$A$6:$A$238,0))="Pass","Pass",IF(INDEX(Manual_Review!$AA$6:$AA$238,MATCH(A160,Manual_Review!$A$6:$A$238,0))="Fail","Fail","Pending")),"Pending human identity confirmation")</f>
        <v>Pending human identity confirmation</v>
      </c>
      <c r="AV160" s="5" t="str">
        <f>IF(AND(AND(INDEX(Manual_Review!$G$6:$G$238,MATCH(A160,Manual_Review!$A$6:$A$238,0))&lt;&gt;"",ISNUMBER(INDEX(Manual_Review!$H$6:$H$238,MATCH(A160,Manual_Review!$A$6:$A$238,0))),INDEX(Manual_Review!$H$6:$H$238,MATCH(A160,Manual_Review!$A$6:$A$238,0))&gt;0,INDEX(Manual_Review!$I$6:$I$238,MATCH(A160,Manual_Review!$A$6:$A$238,0))="Confirmed",INDEX(Manual_Review!$AF$6:$AF$238,MATCH(A160,Manual_Review!$A$6:$A$238,0))&lt;&gt;""),INDEX(Manual_Review!$AG$6:$AG$238,MATCH(A160,Manual_Review!$A$6:$A$238,0))&lt;&gt;""),IF(INDEX(Manual_Review!$AB$6:$AB$238,MATCH(A160,Manual_Review!$A$6:$A$238,0))="Pass","Pass",IF(INDEX(Manual_Review!$AB$6:$AB$238,MATCH(A160,Manual_Review!$A$6:$A$238,0))="Fail","Fail","Pending")),"Not assessed: define intended task")</f>
        <v>Not assessed: define intended task</v>
      </c>
      <c r="AW160" s="5" t="str">
        <f>IF(AND(AND(INDEX(Manual_Review!$G$6:$G$238,MATCH(A160,Manual_Review!$A$6:$A$238,0))&lt;&gt;"",ISNUMBER(INDEX(Manual_Review!$H$6:$H$238,MATCH(A160,Manual_Review!$A$6:$A$238,0))),INDEX(Manual_Review!$H$6:$H$238,MATCH(A160,Manual_Review!$A$6:$A$238,0))&gt;0,INDEX(Manual_Review!$I$6:$I$238,MATCH(A160,Manual_Review!$A$6:$A$238,0))="Confirmed",INDEX(Manual_Review!$AF$6:$AF$238,MATCH(A160,Manual_Review!$A$6:$A$238,0))&lt;&gt;""),INDEX(Manual_Review!$AG$6:$AG$238,MATCH(A160,Manual_Review!$A$6:$A$238,0))&lt;&gt;""),IF(OR(INDEX(Manual_Review!$AC$6:$AC$238,MATCH(A160,Manual_Review!$A$6:$A$238,0))="Fail",INDEX(Manual_Review!$AD$6:$AD$238,MATCH(A160,Manual_Review!$A$6:$A$238,0))="Fail"),"Fail: rights or retrieval",IF(AND(INDEX(Manual_Review!$AC$6:$AC$238,MATCH(A160,Manual_Review!$A$6:$A$238,0))="Pass",INDEX(Manual_Review!$AD$6:$AD$238,MATCH(A160,Manual_Review!$A$6:$A$238,0))="Pass"),"Pass","Pending rights and retrieval")),"Pending rights and retrieval")</f>
        <v>Pending rights and retrieval</v>
      </c>
      <c r="AX160" s="5" t="str">
        <f>IF(INDEX(Manual_Review!$AG$6:$AG$238,MATCH(A160,Manual_Review!$A$6:$A$238,0))="","N/A: documentation inventory",IF(AND(INDEX(Manual_Review!$G$6:$G$238,MATCH(A160,Manual_Review!$A$6:$A$238,0))&lt;&gt;"",ISNUMBER(INDEX(Manual_Review!$H$6:$H$238,MATCH(A160,Manual_Review!$A$6:$A$238,0))),INDEX(Manual_Review!$H$6:$H$238,MATCH(A160,Manual_Review!$A$6:$A$238,0))&gt;0,INDEX(Manual_Review!$I$6:$I$238,MATCH(A160,Manual_Review!$A$6:$A$238,0))="Confirmed",INDEX(Manual_Review!$AF$6:$AF$238,MATCH(A160,Manual_Review!$A$6:$A$238,0))&lt;&gt;""),IF(INDEX(Manual_Review!$AE$6:$AE$238,MATCH(A160,Manual_Review!$A$6:$A$238,0))="Pass","Pass",IF(INDEX(Manual_Review!$AE$6:$AE$238,MATCH(A160,Manual_Review!$A$6:$A$238,0))="Fail","Fail: benchmark leakage",IF(INDEX(Manual_Review!$AE$6:$AE$238,MATCH(A160,Manual_Review!$A$6:$A$238,0))="N/A","N/A: nonbenchmark task","Pending task-specific leakage check"))),"Pending task-specific leakage check"))</f>
        <v>N/A: documentation inventory</v>
      </c>
      <c r="AY160" s="5" t="str">
        <f>IF(IF(D160="Unlabeled-13",AND(ABS(MCDM_Settings!$D$14-1)&lt;0.0000001,MIN(MCDM_Settings!$E$6:$E$11)&gt;=0,MCDM_Settings!$E$7=0),AND(ABS(MCDM_Settings!$B$14-1)&lt;0.0000001,MIN(MCDM_Settings!$C$6:$C$11)&gt;=0)),"Valid","Check weights")</f>
        <v>Valid</v>
      </c>
      <c r="AZ160" s="5" t="str">
        <f>IF(AND(COUNTIF(MCDM_Checks!$B$6:$B$3733,A160)=16,COUNTIF(Manual_Review!$A$6:$A$238,A160)=1),"16 keys present","Check key count")</f>
        <v>16 keys present</v>
      </c>
    </row>
    <row r="161" spans="1:52">
      <c r="A161" s="5" t="s">
        <v>1767</v>
      </c>
      <c r="B161" s="5" t="s">
        <v>1768</v>
      </c>
      <c r="C161" s="5"/>
      <c r="D161" s="5" t="s">
        <v>118</v>
      </c>
      <c r="E161" s="12">
        <f>IF(OR(AY161&lt;&gt;"Valid",AZ161&lt;&gt;"16 keys present"),"Review settings",20*(IF(ISNUMBER(AC161),AC161*IF($D161="Unlabeled-13",MCDM_Settings!$E$6,MCDM_Settings!$C$6),0)+IF(ISNUMBER(AF161),AF161*IF($D161="Unlabeled-13",MCDM_Settings!$E$7,MCDM_Settings!$C$7),0)+IF(ISNUMBER(AI161),AI161*IF($D161="Unlabeled-13",MCDM_Settings!$E$8,MCDM_Settings!$C$8),0)+IF(ISNUMBER(AL161),AL161*IF($D161="Unlabeled-13",MCDM_Settings!$E$9,MCDM_Settings!$C$9),0)+IF(ISNUMBER(AO161),AO161*IF($D161="Unlabeled-13",MCDM_Settings!$E$10,MCDM_Settings!$C$10),0)+IF(ISNUMBER(AR161),AR161*IF($D161="Unlabeled-13",MCDM_Settings!$E$11,MCDM_Settings!$C$11),0)))</f>
        <v>30.555555555555554</v>
      </c>
      <c r="F161" s="12">
        <f>IF(OR(AY161&lt;&gt;"Valid",AZ161&lt;&gt;"16 keys present"),"Review settings",20*(IF(ISNUMBER(AD161),AD161*IF($D161="Unlabeled-13",MCDM_Settings!$E$6,MCDM_Settings!$C$6),0)+IF(ISNUMBER(AG161),AG161*IF($D161="Unlabeled-13",MCDM_Settings!$E$7,MCDM_Settings!$C$7),0)+IF(ISNUMBER(AJ161),AJ161*IF($D161="Unlabeled-13",MCDM_Settings!$E$8,MCDM_Settings!$C$8),0)+IF(ISNUMBER(AM161),AM161*IF($D161="Unlabeled-13",MCDM_Settings!$E$9,MCDM_Settings!$C$9),0)+IF(ISNUMBER(AP161),AP161*IF($D161="Unlabeled-13",MCDM_Settings!$E$10,MCDM_Settings!$C$10),0)+IF(ISNUMBER(AS161),AS161*IF($D161="Unlabeled-13",MCDM_Settings!$E$11,MCDM_Settings!$C$11),0)))</f>
        <v>99.999999999999986</v>
      </c>
      <c r="G161" s="13">
        <f>IF(OR(AY161&lt;&gt;"Valid",AZ161&lt;&gt;"16 keys present"),"Review settings",1*(IF(ISNUMBER(AE161),AE161*IF($D161="Unlabeled-13",MCDM_Settings!$E$6,MCDM_Settings!$C$6),0)+IF(ISNUMBER(AH161),AH161*IF($D161="Unlabeled-13",MCDM_Settings!$E$7,MCDM_Settings!$C$7),0)+IF(ISNUMBER(AK161),AK161*IF($D161="Unlabeled-13",MCDM_Settings!$E$8,MCDM_Settings!$C$8),0)+IF(ISNUMBER(AN161),AN161*IF($D161="Unlabeled-13",MCDM_Settings!$E$9,MCDM_Settings!$C$9),0)+IF(ISNUMBER(AQ161),AQ161*IF($D161="Unlabeled-13",MCDM_Settings!$E$10,MCDM_Settings!$C$10),0)+IF(ISNUMBER(AT161),AT161*IF($D161="Unlabeled-13",MCDM_Settings!$E$11,MCDM_Settings!$C$11),0)))</f>
        <v>0.30555555555555552</v>
      </c>
      <c r="H161" s="5" t="str">
        <f>INDEX(Manual_Review!$AH$6:$AH$238,MATCH(A161,Manual_Review!$A$6:$A$238,0))</f>
        <v>Not started</v>
      </c>
      <c r="I161" s="5" t="s">
        <v>128</v>
      </c>
      <c r="J161" s="5" t="s">
        <v>121</v>
      </c>
      <c r="K161" s="5" t="str">
        <f>HYPERLINK("https://www.kaggle.com/datasets/sabidrahman/pothole-cracks-and-openmanhole","Dataset")</f>
        <v>Dataset</v>
      </c>
      <c r="L161" s="5" t="str">
        <f>HYPERLINK("#'Manual_Review'!A"&amp;(MATCH("DS-156",Manual_Review!$A$6:$A$238,0)+5),"Enter review")</f>
        <v>Enter review</v>
      </c>
      <c r="M161" s="5" t="str">
        <f>INDEX(MCDM_Checks!$K$6:$K$3733,MATCH(A161&amp;"|"&amp;M$5,MCDM_Checks!$A$6:$A$3733,0))</f>
        <v>Y</v>
      </c>
      <c r="N161" s="5" t="str">
        <f>INDEX(MCDM_Checks!$K$6:$K$3733,MATCH(A161&amp;"|"&amp;N$5,MCDM_Checks!$A$6:$A$3733,0))</f>
        <v>Y</v>
      </c>
      <c r="O161" s="5" t="str">
        <f>INDEX(MCDM_Checks!$K$6:$K$3733,MATCH(A161&amp;"|"&amp;O$5,MCDM_Checks!$A$6:$A$3733,0))</f>
        <v>Y</v>
      </c>
      <c r="P161" s="5" t="str">
        <f>INDEX(MCDM_Checks!$K$6:$K$3733,MATCH(A161&amp;"|"&amp;P$5,MCDM_Checks!$A$6:$A$3733,0))</f>
        <v>Y</v>
      </c>
      <c r="Q161" s="5" t="str">
        <f>INDEX(MCDM_Checks!$K$6:$K$3733,MATCH(A161&amp;"|"&amp;Q$5,MCDM_Checks!$A$6:$A$3733,0))</f>
        <v>U</v>
      </c>
      <c r="R161" s="5" t="str">
        <f>INDEX(MCDM_Checks!$K$6:$K$3733,MATCH(A161&amp;"|"&amp;R$5,MCDM_Checks!$A$6:$A$3733,0))</f>
        <v>U</v>
      </c>
      <c r="S161" s="5" t="str">
        <f>INDEX(MCDM_Checks!$K$6:$K$3733,MATCH(A161&amp;"|"&amp;S$5,MCDM_Checks!$A$6:$A$3733,0))</f>
        <v>U</v>
      </c>
      <c r="T161" s="5" t="str">
        <f>INDEX(MCDM_Checks!$K$6:$K$3733,MATCH(A161&amp;"|"&amp;T$5,MCDM_Checks!$A$6:$A$3733,0))</f>
        <v>U</v>
      </c>
      <c r="U161" s="5" t="str">
        <f>INDEX(MCDM_Checks!$K$6:$K$3733,MATCH(A161&amp;"|"&amp;U$5,MCDM_Checks!$A$6:$A$3733,0))</f>
        <v>U</v>
      </c>
      <c r="V161" s="5" t="str">
        <f>INDEX(MCDM_Checks!$K$6:$K$3733,MATCH(A161&amp;"|"&amp;V$5,MCDM_Checks!$A$6:$A$3733,0))</f>
        <v>Y</v>
      </c>
      <c r="W161" s="5" t="str">
        <f>INDEX(MCDM_Checks!$K$6:$K$3733,MATCH(A161&amp;"|"&amp;W$5,MCDM_Checks!$A$6:$A$3733,0))</f>
        <v>U</v>
      </c>
      <c r="X161" s="5" t="str">
        <f>INDEX(MCDM_Checks!$K$6:$K$3733,MATCH(A161&amp;"|"&amp;X$5,MCDM_Checks!$A$6:$A$3733,0))</f>
        <v>U</v>
      </c>
      <c r="Y161" s="5" t="str">
        <f>INDEX(MCDM_Checks!$K$6:$K$3733,MATCH(A161&amp;"|"&amp;Y$5,MCDM_Checks!$A$6:$A$3733,0))</f>
        <v>U</v>
      </c>
      <c r="Z161" s="5" t="str">
        <f>INDEX(MCDM_Checks!$K$6:$K$3733,MATCH(A161&amp;"|"&amp;Z$5,MCDM_Checks!$A$6:$A$3733,0))</f>
        <v>U</v>
      </c>
      <c r="AA161" s="5" t="str">
        <f>INDEX(MCDM_Checks!$K$6:$K$3733,MATCH(A161&amp;"|"&amp;AA$5,MCDM_Checks!$A$6:$A$3733,0))</f>
        <v>U</v>
      </c>
      <c r="AB161" s="5" t="str">
        <f>INDEX(MCDM_Checks!$K$6:$K$3733,MATCH(A161&amp;"|"&amp;AB$5,MCDM_Checks!$A$6:$A$3733,0))</f>
        <v>U</v>
      </c>
      <c r="AC161" s="12">
        <f>IF(IF($D161="Unlabeled-13",MCDM_Settings!$F$6,MCDM_Settings!$D$6)=0,"n.a.",5*COUNTIF(M161:O161,"Y")/IF($D161="Unlabeled-13",MCDM_Settings!$F$6,MCDM_Settings!$D$6))</f>
        <v>5</v>
      </c>
      <c r="AD161" s="12">
        <f>IF(IF($D161="Unlabeled-13",MCDM_Settings!$F$6,MCDM_Settings!$D$6)=0,"n.a.",5*(COUNTIF(M161:O161,"Y")+COUNTIF(M161:O161,"U")+COUNTIF(M161:O161,"X"))/IF($D161="Unlabeled-13",MCDM_Settings!$F$6,MCDM_Settings!$D$6))</f>
        <v>5</v>
      </c>
      <c r="AE161" s="13">
        <f>IF(IF($D161="Unlabeled-13",MCDM_Settings!$F$6,MCDM_Settings!$D$6)=0,"n.a.",(COUNTIF(M161:O161,"Y")+COUNTIF(M161:O161,"N"))/IF($D161="Unlabeled-13",MCDM_Settings!$F$6,MCDM_Settings!$D$6))</f>
        <v>1</v>
      </c>
      <c r="AF161" s="12">
        <f>IF(IF($D161="Unlabeled-13",MCDM_Settings!$F$7,MCDM_Settings!$D$7)=0,"n.a.",5*COUNTIF(P161:R161,"Y")/IF($D161="Unlabeled-13",MCDM_Settings!$F$7,MCDM_Settings!$D$7))</f>
        <v>1.6666666666666667</v>
      </c>
      <c r="AG161" s="12">
        <f>IF(IF($D161="Unlabeled-13",MCDM_Settings!$F$7,MCDM_Settings!$D$7)=0,"n.a.",5*(COUNTIF(P161:R161,"Y")+COUNTIF(P161:R161,"U")+COUNTIF(P161:R161,"X"))/IF($D161="Unlabeled-13",MCDM_Settings!$F$7,MCDM_Settings!$D$7))</f>
        <v>5</v>
      </c>
      <c r="AH161" s="13">
        <f>IF(IF($D161="Unlabeled-13",MCDM_Settings!$F$7,MCDM_Settings!$D$7)=0,"n.a.",(COUNTIF(P161:R161,"Y")+COUNTIF(P161:R161,"N"))/IF($D161="Unlabeled-13",MCDM_Settings!$F$7,MCDM_Settings!$D$7))</f>
        <v>0.33333333333333331</v>
      </c>
      <c r="AI161" s="12">
        <f>IF(IF($D161="Unlabeled-13",MCDM_Settings!$F$8,MCDM_Settings!$D$8)=0,"n.a.",5*COUNTIF(S161:U161,"Y")/IF($D161="Unlabeled-13",MCDM_Settings!$F$8,MCDM_Settings!$D$8))</f>
        <v>0</v>
      </c>
      <c r="AJ161" s="12">
        <f>IF(IF($D161="Unlabeled-13",MCDM_Settings!$F$8,MCDM_Settings!$D$8)=0,"n.a.",5*(COUNTIF(S161:U161,"Y")+COUNTIF(S161:U161,"U")+COUNTIF(S161:U161,"X"))/IF($D161="Unlabeled-13",MCDM_Settings!$F$8,MCDM_Settings!$D$8))</f>
        <v>5</v>
      </c>
      <c r="AK161" s="13">
        <f>IF(IF($D161="Unlabeled-13",MCDM_Settings!$F$8,MCDM_Settings!$D$8)=0,"n.a.",(COUNTIF(S161:U161,"Y")+COUNTIF(S161:U161,"N"))/IF($D161="Unlabeled-13",MCDM_Settings!$F$8,MCDM_Settings!$D$8))</f>
        <v>0</v>
      </c>
      <c r="AL161" s="12">
        <f>IF(IF($D161="Unlabeled-13",MCDM_Settings!$F$9,MCDM_Settings!$D$9)=0,"n.a.",5*COUNTIF(V161:W161,"Y")/IF($D161="Unlabeled-13",MCDM_Settings!$F$9,MCDM_Settings!$D$9))</f>
        <v>2.5</v>
      </c>
      <c r="AM161" s="12">
        <f>IF(IF($D161="Unlabeled-13",MCDM_Settings!$F$9,MCDM_Settings!$D$9)=0,"n.a.",5*(COUNTIF(V161:W161,"Y")+COUNTIF(V161:W161,"U")+COUNTIF(V161:W161,"X"))/IF($D161="Unlabeled-13",MCDM_Settings!$F$9,MCDM_Settings!$D$9))</f>
        <v>5</v>
      </c>
      <c r="AN161" s="13">
        <f>IF(IF($D161="Unlabeled-13",MCDM_Settings!$F$9,MCDM_Settings!$D$9)=0,"n.a.",(COUNTIF(V161:W161,"Y")+COUNTIF(V161:W161,"N"))/IF($D161="Unlabeled-13",MCDM_Settings!$F$9,MCDM_Settings!$D$9))</f>
        <v>0.5</v>
      </c>
      <c r="AO161" s="12">
        <f>IF(IF($D161="Unlabeled-13",MCDM_Settings!$F$10,MCDM_Settings!$D$10)=0,"n.a.",5*COUNTIF(X161:Y161,"Y")/IF($D161="Unlabeled-13",MCDM_Settings!$F$10,MCDM_Settings!$D$10))</f>
        <v>0</v>
      </c>
      <c r="AP161" s="12">
        <f>IF(IF($D161="Unlabeled-13",MCDM_Settings!$F$10,MCDM_Settings!$D$10)=0,"n.a.",5*(COUNTIF(X161:Y161,"Y")+COUNTIF(X161:Y161,"U")+COUNTIF(X161:Y161,"X"))/IF($D161="Unlabeled-13",MCDM_Settings!$F$10,MCDM_Settings!$D$10))</f>
        <v>5</v>
      </c>
      <c r="AQ161" s="13">
        <f>IF(IF($D161="Unlabeled-13",MCDM_Settings!$F$10,MCDM_Settings!$D$10)=0,"n.a.",(COUNTIF(X161:Y161,"Y")+COUNTIF(X161:Y161,"N"))/IF($D161="Unlabeled-13",MCDM_Settings!$F$10,MCDM_Settings!$D$10))</f>
        <v>0</v>
      </c>
      <c r="AR161" s="12">
        <f>IF(IF($D161="Unlabeled-13",MCDM_Settings!$F$11,MCDM_Settings!$D$11)=0,"n.a.",5*COUNTIF(Z161:AB161,"Y")/IF($D161="Unlabeled-13",MCDM_Settings!$F$11,MCDM_Settings!$D$11))</f>
        <v>0</v>
      </c>
      <c r="AS161" s="12">
        <f>IF(IF($D161="Unlabeled-13",MCDM_Settings!$F$11,MCDM_Settings!$D$11)=0,"n.a.",5*(COUNTIF(Z161:AB161,"Y")+COUNTIF(Z161:AB161,"U")+COUNTIF(Z161:AB161,"X"))/IF($D161="Unlabeled-13",MCDM_Settings!$F$11,MCDM_Settings!$D$11))</f>
        <v>5</v>
      </c>
      <c r="AT161" s="13">
        <f>IF(IF($D161="Unlabeled-13",MCDM_Settings!$F$11,MCDM_Settings!$D$11)=0,"n.a.",(COUNTIF(Z161:AB161,"Y")+COUNTIF(Z161:AB161,"N"))/IF($D161="Unlabeled-13",MCDM_Settings!$F$11,MCDM_Settings!$D$11))</f>
        <v>0</v>
      </c>
      <c r="AU161" s="5" t="str">
        <f>IF(AND(INDEX(Manual_Review!$G$6:$G$238,MATCH(A161,Manual_Review!$A$6:$A$238,0))&lt;&gt;"",ISNUMBER(INDEX(Manual_Review!$H$6:$H$238,MATCH(A161,Manual_Review!$A$6:$A$238,0))),INDEX(Manual_Review!$H$6:$H$238,MATCH(A161,Manual_Review!$A$6:$A$238,0))&gt;0,INDEX(Manual_Review!$I$6:$I$238,MATCH(A161,Manual_Review!$A$6:$A$238,0))="Confirmed",INDEX(Manual_Review!$AF$6:$AF$238,MATCH(A161,Manual_Review!$A$6:$A$238,0))&lt;&gt;""),IF(INDEX(Manual_Review!$AA$6:$AA$238,MATCH(A161,Manual_Review!$A$6:$A$238,0))="Pass","Pass",IF(INDEX(Manual_Review!$AA$6:$AA$238,MATCH(A161,Manual_Review!$A$6:$A$238,0))="Fail","Fail","Pending")),"Pending human identity confirmation")</f>
        <v>Pending human identity confirmation</v>
      </c>
      <c r="AV161" s="5" t="str">
        <f>IF(AND(AND(INDEX(Manual_Review!$G$6:$G$238,MATCH(A161,Manual_Review!$A$6:$A$238,0))&lt;&gt;"",ISNUMBER(INDEX(Manual_Review!$H$6:$H$238,MATCH(A161,Manual_Review!$A$6:$A$238,0))),INDEX(Manual_Review!$H$6:$H$238,MATCH(A161,Manual_Review!$A$6:$A$238,0))&gt;0,INDEX(Manual_Review!$I$6:$I$238,MATCH(A161,Manual_Review!$A$6:$A$238,0))="Confirmed",INDEX(Manual_Review!$AF$6:$AF$238,MATCH(A161,Manual_Review!$A$6:$A$238,0))&lt;&gt;""),INDEX(Manual_Review!$AG$6:$AG$238,MATCH(A161,Manual_Review!$A$6:$A$238,0))&lt;&gt;""),IF(INDEX(Manual_Review!$AB$6:$AB$238,MATCH(A161,Manual_Review!$A$6:$A$238,0))="Pass","Pass",IF(INDEX(Manual_Review!$AB$6:$AB$238,MATCH(A161,Manual_Review!$A$6:$A$238,0))="Fail","Fail","Pending")),"Not assessed: define intended task")</f>
        <v>Not assessed: define intended task</v>
      </c>
      <c r="AW161" s="5" t="str">
        <f>IF(AND(AND(INDEX(Manual_Review!$G$6:$G$238,MATCH(A161,Manual_Review!$A$6:$A$238,0))&lt;&gt;"",ISNUMBER(INDEX(Manual_Review!$H$6:$H$238,MATCH(A161,Manual_Review!$A$6:$A$238,0))),INDEX(Manual_Review!$H$6:$H$238,MATCH(A161,Manual_Review!$A$6:$A$238,0))&gt;0,INDEX(Manual_Review!$I$6:$I$238,MATCH(A161,Manual_Review!$A$6:$A$238,0))="Confirmed",INDEX(Manual_Review!$AF$6:$AF$238,MATCH(A161,Manual_Review!$A$6:$A$238,0))&lt;&gt;""),INDEX(Manual_Review!$AG$6:$AG$238,MATCH(A161,Manual_Review!$A$6:$A$238,0))&lt;&gt;""),IF(OR(INDEX(Manual_Review!$AC$6:$AC$238,MATCH(A161,Manual_Review!$A$6:$A$238,0))="Fail",INDEX(Manual_Review!$AD$6:$AD$238,MATCH(A161,Manual_Review!$A$6:$A$238,0))="Fail"),"Fail: rights or retrieval",IF(AND(INDEX(Manual_Review!$AC$6:$AC$238,MATCH(A161,Manual_Review!$A$6:$A$238,0))="Pass",INDEX(Manual_Review!$AD$6:$AD$238,MATCH(A161,Manual_Review!$A$6:$A$238,0))="Pass"),"Pass","Pending rights and retrieval")),"Pending rights and retrieval")</f>
        <v>Pending rights and retrieval</v>
      </c>
      <c r="AX161" s="5" t="str">
        <f>IF(INDEX(Manual_Review!$AG$6:$AG$238,MATCH(A161,Manual_Review!$A$6:$A$238,0))="","N/A: documentation inventory",IF(AND(INDEX(Manual_Review!$G$6:$G$238,MATCH(A161,Manual_Review!$A$6:$A$238,0))&lt;&gt;"",ISNUMBER(INDEX(Manual_Review!$H$6:$H$238,MATCH(A161,Manual_Review!$A$6:$A$238,0))),INDEX(Manual_Review!$H$6:$H$238,MATCH(A161,Manual_Review!$A$6:$A$238,0))&gt;0,INDEX(Manual_Review!$I$6:$I$238,MATCH(A161,Manual_Review!$A$6:$A$238,0))="Confirmed",INDEX(Manual_Review!$AF$6:$AF$238,MATCH(A161,Manual_Review!$A$6:$A$238,0))&lt;&gt;""),IF(INDEX(Manual_Review!$AE$6:$AE$238,MATCH(A161,Manual_Review!$A$6:$A$238,0))="Pass","Pass",IF(INDEX(Manual_Review!$AE$6:$AE$238,MATCH(A161,Manual_Review!$A$6:$A$238,0))="Fail","Fail: benchmark leakage",IF(INDEX(Manual_Review!$AE$6:$AE$238,MATCH(A161,Manual_Review!$A$6:$A$238,0))="N/A","N/A: nonbenchmark task","Pending task-specific leakage check"))),"Pending task-specific leakage check"))</f>
        <v>N/A: documentation inventory</v>
      </c>
      <c r="AY161" s="5" t="str">
        <f>IF(IF(D161="Unlabeled-13",AND(ABS(MCDM_Settings!$D$14-1)&lt;0.0000001,MIN(MCDM_Settings!$E$6:$E$11)&gt;=0,MCDM_Settings!$E$7=0),AND(ABS(MCDM_Settings!$B$14-1)&lt;0.0000001,MIN(MCDM_Settings!$C$6:$C$11)&gt;=0)),"Valid","Check weights")</f>
        <v>Valid</v>
      </c>
      <c r="AZ161" s="5" t="str">
        <f>IF(AND(COUNTIF(MCDM_Checks!$B$6:$B$3733,A161)=16,COUNTIF(Manual_Review!$A$6:$A$238,A161)=1),"16 keys present","Check key count")</f>
        <v>16 keys present</v>
      </c>
    </row>
    <row r="162" spans="1:52">
      <c r="A162" s="5" t="s">
        <v>60</v>
      </c>
      <c r="B162" s="5" t="s">
        <v>61</v>
      </c>
      <c r="C162" s="5">
        <v>7</v>
      </c>
      <c r="D162" s="5" t="s">
        <v>118</v>
      </c>
      <c r="E162" s="12">
        <f>IF(OR(AY162&lt;&gt;"Valid",AZ162&lt;&gt;"16 keys present"),"Review settings",20*(IF(ISNUMBER(AC162),AC162*IF($D162="Unlabeled-13",MCDM_Settings!$E$6,MCDM_Settings!$C$6),0)+IF(ISNUMBER(AF162),AF162*IF($D162="Unlabeled-13",MCDM_Settings!$E$7,MCDM_Settings!$C$7),0)+IF(ISNUMBER(AI162),AI162*IF($D162="Unlabeled-13",MCDM_Settings!$E$8,MCDM_Settings!$C$8),0)+IF(ISNUMBER(AL162),AL162*IF($D162="Unlabeled-13",MCDM_Settings!$E$9,MCDM_Settings!$C$9),0)+IF(ISNUMBER(AO162),AO162*IF($D162="Unlabeled-13",MCDM_Settings!$E$10,MCDM_Settings!$C$10),0)+IF(ISNUMBER(AR162),AR162*IF($D162="Unlabeled-13",MCDM_Settings!$E$11,MCDM_Settings!$C$11),0)))</f>
        <v>55.555555555555557</v>
      </c>
      <c r="F162" s="12">
        <f>IF(OR(AY162&lt;&gt;"Valid",AZ162&lt;&gt;"16 keys present"),"Review settings",20*(IF(ISNUMBER(AD162),AD162*IF($D162="Unlabeled-13",MCDM_Settings!$E$6,MCDM_Settings!$C$6),0)+IF(ISNUMBER(AG162),AG162*IF($D162="Unlabeled-13",MCDM_Settings!$E$7,MCDM_Settings!$C$7),0)+IF(ISNUMBER(AJ162),AJ162*IF($D162="Unlabeled-13",MCDM_Settings!$E$8,MCDM_Settings!$C$8),0)+IF(ISNUMBER(AM162),AM162*IF($D162="Unlabeled-13",MCDM_Settings!$E$9,MCDM_Settings!$C$9),0)+IF(ISNUMBER(AP162),AP162*IF($D162="Unlabeled-13",MCDM_Settings!$E$10,MCDM_Settings!$C$10),0)+IF(ISNUMBER(AS162),AS162*IF($D162="Unlabeled-13",MCDM_Settings!$E$11,MCDM_Settings!$C$11),0)))</f>
        <v>99.999999999999986</v>
      </c>
      <c r="G162" s="13">
        <f>IF(OR(AY162&lt;&gt;"Valid",AZ162&lt;&gt;"16 keys present"),"Review settings",1*(IF(ISNUMBER(AE162),AE162*IF($D162="Unlabeled-13",MCDM_Settings!$E$6,MCDM_Settings!$C$6),0)+IF(ISNUMBER(AH162),AH162*IF($D162="Unlabeled-13",MCDM_Settings!$E$7,MCDM_Settings!$C$7),0)+IF(ISNUMBER(AK162),AK162*IF($D162="Unlabeled-13",MCDM_Settings!$E$8,MCDM_Settings!$C$8),0)+IF(ISNUMBER(AN162),AN162*IF($D162="Unlabeled-13",MCDM_Settings!$E$9,MCDM_Settings!$C$9),0)+IF(ISNUMBER(AQ162),AQ162*IF($D162="Unlabeled-13",MCDM_Settings!$E$10,MCDM_Settings!$C$10),0)+IF(ISNUMBER(AT162),AT162*IF($D162="Unlabeled-13",MCDM_Settings!$E$11,MCDM_Settings!$C$11),0)))</f>
        <v>0.55555555555555558</v>
      </c>
      <c r="H162" s="5" t="str">
        <f>INDEX(Manual_Review!$AH$6:$AH$238,MATCH(A162,Manual_Review!$A$6:$A$238,0))</f>
        <v>Not started</v>
      </c>
      <c r="I162" s="5" t="s">
        <v>206</v>
      </c>
      <c r="J162" s="5" t="s">
        <v>65</v>
      </c>
      <c r="K162" s="5" t="str">
        <f>HYPERLINK("https://sites.google.com/view/pothole-600/dataset","Dataset")</f>
        <v>Dataset</v>
      </c>
      <c r="L162" s="5" t="str">
        <f>HYPERLINK("#'Manual_Review'!A"&amp;(MATCH("DS-157",Manual_Review!$A$6:$A$238,0)+5),"Enter review")</f>
        <v>Enter review</v>
      </c>
      <c r="M162" s="5" t="str">
        <f>INDEX(MCDM_Checks!$K$6:$K$3733,MATCH(A162&amp;"|"&amp;M$5,MCDM_Checks!$A$6:$A$3733,0))</f>
        <v>Y</v>
      </c>
      <c r="N162" s="5" t="str">
        <f>INDEX(MCDM_Checks!$K$6:$K$3733,MATCH(A162&amp;"|"&amp;N$5,MCDM_Checks!$A$6:$A$3733,0))</f>
        <v>Y</v>
      </c>
      <c r="O162" s="5" t="str">
        <f>INDEX(MCDM_Checks!$K$6:$K$3733,MATCH(A162&amp;"|"&amp;O$5,MCDM_Checks!$A$6:$A$3733,0))</f>
        <v>U</v>
      </c>
      <c r="P162" s="5" t="str">
        <f>INDEX(MCDM_Checks!$K$6:$K$3733,MATCH(A162&amp;"|"&amp;P$5,MCDM_Checks!$A$6:$A$3733,0))</f>
        <v>Y</v>
      </c>
      <c r="Q162" s="5" t="str">
        <f>INDEX(MCDM_Checks!$K$6:$K$3733,MATCH(A162&amp;"|"&amp;Q$5,MCDM_Checks!$A$6:$A$3733,0))</f>
        <v>U</v>
      </c>
      <c r="R162" s="5" t="str">
        <f>INDEX(MCDM_Checks!$K$6:$K$3733,MATCH(A162&amp;"|"&amp;R$5,MCDM_Checks!$A$6:$A$3733,0))</f>
        <v>U</v>
      </c>
      <c r="S162" s="5" t="str">
        <f>INDEX(MCDM_Checks!$K$6:$K$3733,MATCH(A162&amp;"|"&amp;S$5,MCDM_Checks!$A$6:$A$3733,0))</f>
        <v>U</v>
      </c>
      <c r="T162" s="5" t="str">
        <f>INDEX(MCDM_Checks!$K$6:$K$3733,MATCH(A162&amp;"|"&amp;T$5,MCDM_Checks!$A$6:$A$3733,0))</f>
        <v>Y</v>
      </c>
      <c r="U162" s="5" t="str">
        <f>INDEX(MCDM_Checks!$K$6:$K$3733,MATCH(A162&amp;"|"&amp;U$5,MCDM_Checks!$A$6:$A$3733,0))</f>
        <v>Y</v>
      </c>
      <c r="V162" s="5" t="str">
        <f>INDEX(MCDM_Checks!$K$6:$K$3733,MATCH(A162&amp;"|"&amp;V$5,MCDM_Checks!$A$6:$A$3733,0))</f>
        <v>Y</v>
      </c>
      <c r="W162" s="5" t="str">
        <f>INDEX(MCDM_Checks!$K$6:$K$3733,MATCH(A162&amp;"|"&amp;W$5,MCDM_Checks!$A$6:$A$3733,0))</f>
        <v>Y</v>
      </c>
      <c r="X162" s="5" t="str">
        <f>INDEX(MCDM_Checks!$K$6:$K$3733,MATCH(A162&amp;"|"&amp;X$5,MCDM_Checks!$A$6:$A$3733,0))</f>
        <v>U</v>
      </c>
      <c r="Y162" s="5" t="str">
        <f>INDEX(MCDM_Checks!$K$6:$K$3733,MATCH(A162&amp;"|"&amp;Y$5,MCDM_Checks!$A$6:$A$3733,0))</f>
        <v>U</v>
      </c>
      <c r="Z162" s="5" t="str">
        <f>INDEX(MCDM_Checks!$K$6:$K$3733,MATCH(A162&amp;"|"&amp;Z$5,MCDM_Checks!$A$6:$A$3733,0))</f>
        <v>Y</v>
      </c>
      <c r="AA162" s="5" t="str">
        <f>INDEX(MCDM_Checks!$K$6:$K$3733,MATCH(A162&amp;"|"&amp;AA$5,MCDM_Checks!$A$6:$A$3733,0))</f>
        <v>U</v>
      </c>
      <c r="AB162" s="5" t="str">
        <f>INDEX(MCDM_Checks!$K$6:$K$3733,MATCH(A162&amp;"|"&amp;AB$5,MCDM_Checks!$A$6:$A$3733,0))</f>
        <v>Y</v>
      </c>
      <c r="AC162" s="12">
        <f>IF(IF($D162="Unlabeled-13",MCDM_Settings!$F$6,MCDM_Settings!$D$6)=0,"n.a.",5*COUNTIF(M162:O162,"Y")/IF($D162="Unlabeled-13",MCDM_Settings!$F$6,MCDM_Settings!$D$6))</f>
        <v>3.3333333333333335</v>
      </c>
      <c r="AD162" s="12">
        <f>IF(IF($D162="Unlabeled-13",MCDM_Settings!$F$6,MCDM_Settings!$D$6)=0,"n.a.",5*(COUNTIF(M162:O162,"Y")+COUNTIF(M162:O162,"U")+COUNTIF(M162:O162,"X"))/IF($D162="Unlabeled-13",MCDM_Settings!$F$6,MCDM_Settings!$D$6))</f>
        <v>5</v>
      </c>
      <c r="AE162" s="13">
        <f>IF(IF($D162="Unlabeled-13",MCDM_Settings!$F$6,MCDM_Settings!$D$6)=0,"n.a.",(COUNTIF(M162:O162,"Y")+COUNTIF(M162:O162,"N"))/IF($D162="Unlabeled-13",MCDM_Settings!$F$6,MCDM_Settings!$D$6))</f>
        <v>0.66666666666666663</v>
      </c>
      <c r="AF162" s="12">
        <f>IF(IF($D162="Unlabeled-13",MCDM_Settings!$F$7,MCDM_Settings!$D$7)=0,"n.a.",5*COUNTIF(P162:R162,"Y")/IF($D162="Unlabeled-13",MCDM_Settings!$F$7,MCDM_Settings!$D$7))</f>
        <v>1.6666666666666667</v>
      </c>
      <c r="AG162" s="12">
        <f>IF(IF($D162="Unlabeled-13",MCDM_Settings!$F$7,MCDM_Settings!$D$7)=0,"n.a.",5*(COUNTIF(P162:R162,"Y")+COUNTIF(P162:R162,"U")+COUNTIF(P162:R162,"X"))/IF($D162="Unlabeled-13",MCDM_Settings!$F$7,MCDM_Settings!$D$7))</f>
        <v>5</v>
      </c>
      <c r="AH162" s="13">
        <f>IF(IF($D162="Unlabeled-13",MCDM_Settings!$F$7,MCDM_Settings!$D$7)=0,"n.a.",(COUNTIF(P162:R162,"Y")+COUNTIF(P162:R162,"N"))/IF($D162="Unlabeled-13",MCDM_Settings!$F$7,MCDM_Settings!$D$7))</f>
        <v>0.33333333333333331</v>
      </c>
      <c r="AI162" s="12">
        <f>IF(IF($D162="Unlabeled-13",MCDM_Settings!$F$8,MCDM_Settings!$D$8)=0,"n.a.",5*COUNTIF(S162:U162,"Y")/IF($D162="Unlabeled-13",MCDM_Settings!$F$8,MCDM_Settings!$D$8))</f>
        <v>3.3333333333333335</v>
      </c>
      <c r="AJ162" s="12">
        <f>IF(IF($D162="Unlabeled-13",MCDM_Settings!$F$8,MCDM_Settings!$D$8)=0,"n.a.",5*(COUNTIF(S162:U162,"Y")+COUNTIF(S162:U162,"U")+COUNTIF(S162:U162,"X"))/IF($D162="Unlabeled-13",MCDM_Settings!$F$8,MCDM_Settings!$D$8))</f>
        <v>5</v>
      </c>
      <c r="AK162" s="13">
        <f>IF(IF($D162="Unlabeled-13",MCDM_Settings!$F$8,MCDM_Settings!$D$8)=0,"n.a.",(COUNTIF(S162:U162,"Y")+COUNTIF(S162:U162,"N"))/IF($D162="Unlabeled-13",MCDM_Settings!$F$8,MCDM_Settings!$D$8))</f>
        <v>0.66666666666666663</v>
      </c>
      <c r="AL162" s="12">
        <f>IF(IF($D162="Unlabeled-13",MCDM_Settings!$F$9,MCDM_Settings!$D$9)=0,"n.a.",5*COUNTIF(V162:W162,"Y")/IF($D162="Unlabeled-13",MCDM_Settings!$F$9,MCDM_Settings!$D$9))</f>
        <v>5</v>
      </c>
      <c r="AM162" s="12">
        <f>IF(IF($D162="Unlabeled-13",MCDM_Settings!$F$9,MCDM_Settings!$D$9)=0,"n.a.",5*(COUNTIF(V162:W162,"Y")+COUNTIF(V162:W162,"U")+COUNTIF(V162:W162,"X"))/IF($D162="Unlabeled-13",MCDM_Settings!$F$9,MCDM_Settings!$D$9))</f>
        <v>5</v>
      </c>
      <c r="AN162" s="13">
        <f>IF(IF($D162="Unlabeled-13",MCDM_Settings!$F$9,MCDM_Settings!$D$9)=0,"n.a.",(COUNTIF(V162:W162,"Y")+COUNTIF(V162:W162,"N"))/IF($D162="Unlabeled-13",MCDM_Settings!$F$9,MCDM_Settings!$D$9))</f>
        <v>1</v>
      </c>
      <c r="AO162" s="12">
        <f>IF(IF($D162="Unlabeled-13",MCDM_Settings!$F$10,MCDM_Settings!$D$10)=0,"n.a.",5*COUNTIF(X162:Y162,"Y")/IF($D162="Unlabeled-13",MCDM_Settings!$F$10,MCDM_Settings!$D$10))</f>
        <v>0</v>
      </c>
      <c r="AP162" s="12">
        <f>IF(IF($D162="Unlabeled-13",MCDM_Settings!$F$10,MCDM_Settings!$D$10)=0,"n.a.",5*(COUNTIF(X162:Y162,"Y")+COUNTIF(X162:Y162,"U")+COUNTIF(X162:Y162,"X"))/IF($D162="Unlabeled-13",MCDM_Settings!$F$10,MCDM_Settings!$D$10))</f>
        <v>5</v>
      </c>
      <c r="AQ162" s="13">
        <f>IF(IF($D162="Unlabeled-13",MCDM_Settings!$F$10,MCDM_Settings!$D$10)=0,"n.a.",(COUNTIF(X162:Y162,"Y")+COUNTIF(X162:Y162,"N"))/IF($D162="Unlabeled-13",MCDM_Settings!$F$10,MCDM_Settings!$D$10))</f>
        <v>0</v>
      </c>
      <c r="AR162" s="12">
        <f>IF(IF($D162="Unlabeled-13",MCDM_Settings!$F$11,MCDM_Settings!$D$11)=0,"n.a.",5*COUNTIF(Z162:AB162,"Y")/IF($D162="Unlabeled-13",MCDM_Settings!$F$11,MCDM_Settings!$D$11))</f>
        <v>3.3333333333333335</v>
      </c>
      <c r="AS162" s="12">
        <f>IF(IF($D162="Unlabeled-13",MCDM_Settings!$F$11,MCDM_Settings!$D$11)=0,"n.a.",5*(COUNTIF(Z162:AB162,"Y")+COUNTIF(Z162:AB162,"U")+COUNTIF(Z162:AB162,"X"))/IF($D162="Unlabeled-13",MCDM_Settings!$F$11,MCDM_Settings!$D$11))</f>
        <v>5</v>
      </c>
      <c r="AT162" s="13">
        <f>IF(IF($D162="Unlabeled-13",MCDM_Settings!$F$11,MCDM_Settings!$D$11)=0,"n.a.",(COUNTIF(Z162:AB162,"Y")+COUNTIF(Z162:AB162,"N"))/IF($D162="Unlabeled-13",MCDM_Settings!$F$11,MCDM_Settings!$D$11))</f>
        <v>0.66666666666666663</v>
      </c>
      <c r="AU162" s="5" t="str">
        <f>IF(AND(INDEX(Manual_Review!$G$6:$G$238,MATCH(A162,Manual_Review!$A$6:$A$238,0))&lt;&gt;"",ISNUMBER(INDEX(Manual_Review!$H$6:$H$238,MATCH(A162,Manual_Review!$A$6:$A$238,0))),INDEX(Manual_Review!$H$6:$H$238,MATCH(A162,Manual_Review!$A$6:$A$238,0))&gt;0,INDEX(Manual_Review!$I$6:$I$238,MATCH(A162,Manual_Review!$A$6:$A$238,0))="Confirmed",INDEX(Manual_Review!$AF$6:$AF$238,MATCH(A162,Manual_Review!$A$6:$A$238,0))&lt;&gt;""),IF(INDEX(Manual_Review!$AA$6:$AA$238,MATCH(A162,Manual_Review!$A$6:$A$238,0))="Pass","Pass",IF(INDEX(Manual_Review!$AA$6:$AA$238,MATCH(A162,Manual_Review!$A$6:$A$238,0))="Fail","Fail","Pending")),"Pending human identity confirmation")</f>
        <v>Pending human identity confirmation</v>
      </c>
      <c r="AV162" s="5" t="str">
        <f>IF(AND(AND(INDEX(Manual_Review!$G$6:$G$238,MATCH(A162,Manual_Review!$A$6:$A$238,0))&lt;&gt;"",ISNUMBER(INDEX(Manual_Review!$H$6:$H$238,MATCH(A162,Manual_Review!$A$6:$A$238,0))),INDEX(Manual_Review!$H$6:$H$238,MATCH(A162,Manual_Review!$A$6:$A$238,0))&gt;0,INDEX(Manual_Review!$I$6:$I$238,MATCH(A162,Manual_Review!$A$6:$A$238,0))="Confirmed",INDEX(Manual_Review!$AF$6:$AF$238,MATCH(A162,Manual_Review!$A$6:$A$238,0))&lt;&gt;""),INDEX(Manual_Review!$AG$6:$AG$238,MATCH(A162,Manual_Review!$A$6:$A$238,0))&lt;&gt;""),IF(INDEX(Manual_Review!$AB$6:$AB$238,MATCH(A162,Manual_Review!$A$6:$A$238,0))="Pass","Pass",IF(INDEX(Manual_Review!$AB$6:$AB$238,MATCH(A162,Manual_Review!$A$6:$A$238,0))="Fail","Fail","Pending")),"Not assessed: define intended task")</f>
        <v>Not assessed: define intended task</v>
      </c>
      <c r="AW162" s="5" t="str">
        <f>IF(AND(AND(INDEX(Manual_Review!$G$6:$G$238,MATCH(A162,Manual_Review!$A$6:$A$238,0))&lt;&gt;"",ISNUMBER(INDEX(Manual_Review!$H$6:$H$238,MATCH(A162,Manual_Review!$A$6:$A$238,0))),INDEX(Manual_Review!$H$6:$H$238,MATCH(A162,Manual_Review!$A$6:$A$238,0))&gt;0,INDEX(Manual_Review!$I$6:$I$238,MATCH(A162,Manual_Review!$A$6:$A$238,0))="Confirmed",INDEX(Manual_Review!$AF$6:$AF$238,MATCH(A162,Manual_Review!$A$6:$A$238,0))&lt;&gt;""),INDEX(Manual_Review!$AG$6:$AG$238,MATCH(A162,Manual_Review!$A$6:$A$238,0))&lt;&gt;""),IF(OR(INDEX(Manual_Review!$AC$6:$AC$238,MATCH(A162,Manual_Review!$A$6:$A$238,0))="Fail",INDEX(Manual_Review!$AD$6:$AD$238,MATCH(A162,Manual_Review!$A$6:$A$238,0))="Fail"),"Fail: rights or retrieval",IF(AND(INDEX(Manual_Review!$AC$6:$AC$238,MATCH(A162,Manual_Review!$A$6:$A$238,0))="Pass",INDEX(Manual_Review!$AD$6:$AD$238,MATCH(A162,Manual_Review!$A$6:$A$238,0))="Pass"),"Pass","Pending rights and retrieval")),"Pending rights and retrieval")</f>
        <v>Pending rights and retrieval</v>
      </c>
      <c r="AX162" s="5" t="str">
        <f>IF(INDEX(Manual_Review!$AG$6:$AG$238,MATCH(A162,Manual_Review!$A$6:$A$238,0))="","N/A: documentation inventory",IF(AND(INDEX(Manual_Review!$G$6:$G$238,MATCH(A162,Manual_Review!$A$6:$A$238,0))&lt;&gt;"",ISNUMBER(INDEX(Manual_Review!$H$6:$H$238,MATCH(A162,Manual_Review!$A$6:$A$238,0))),INDEX(Manual_Review!$H$6:$H$238,MATCH(A162,Manual_Review!$A$6:$A$238,0))&gt;0,INDEX(Manual_Review!$I$6:$I$238,MATCH(A162,Manual_Review!$A$6:$A$238,0))="Confirmed",INDEX(Manual_Review!$AF$6:$AF$238,MATCH(A162,Manual_Review!$A$6:$A$238,0))&lt;&gt;""),IF(INDEX(Manual_Review!$AE$6:$AE$238,MATCH(A162,Manual_Review!$A$6:$A$238,0))="Pass","Pass",IF(INDEX(Manual_Review!$AE$6:$AE$238,MATCH(A162,Manual_Review!$A$6:$A$238,0))="Fail","Fail: benchmark leakage",IF(INDEX(Manual_Review!$AE$6:$AE$238,MATCH(A162,Manual_Review!$A$6:$A$238,0))="N/A","N/A: nonbenchmark task","Pending task-specific leakage check"))),"Pending task-specific leakage check"))</f>
        <v>N/A: documentation inventory</v>
      </c>
      <c r="AY162" s="5" t="str">
        <f>IF(IF(D162="Unlabeled-13",AND(ABS(MCDM_Settings!$D$14-1)&lt;0.0000001,MIN(MCDM_Settings!$E$6:$E$11)&gt;=0,MCDM_Settings!$E$7=0),AND(ABS(MCDM_Settings!$B$14-1)&lt;0.0000001,MIN(MCDM_Settings!$C$6:$C$11)&gt;=0)),"Valid","Check weights")</f>
        <v>Valid</v>
      </c>
      <c r="AZ162" s="5" t="str">
        <f>IF(AND(COUNTIF(MCDM_Checks!$B$6:$B$3733,A162)=16,COUNTIF(Manual_Review!$A$6:$A$238,A162)=1),"16 keys present","Check key count")</f>
        <v>16 keys present</v>
      </c>
    </row>
    <row r="163" spans="1:52">
      <c r="A163" s="5" t="s">
        <v>1790</v>
      </c>
      <c r="B163" s="5" t="s">
        <v>1791</v>
      </c>
      <c r="C163" s="5"/>
      <c r="D163" s="5" t="s">
        <v>118</v>
      </c>
      <c r="E163" s="12">
        <f>IF(OR(AY163&lt;&gt;"Valid",AZ163&lt;&gt;"16 keys present"),"Review settings",20*(IF(ISNUMBER(AC163),AC163*IF($D163="Unlabeled-13",MCDM_Settings!$E$6,MCDM_Settings!$C$6),0)+IF(ISNUMBER(AF163),AF163*IF($D163="Unlabeled-13",MCDM_Settings!$E$7,MCDM_Settings!$C$7),0)+IF(ISNUMBER(AI163),AI163*IF($D163="Unlabeled-13",MCDM_Settings!$E$8,MCDM_Settings!$C$8),0)+IF(ISNUMBER(AL163),AL163*IF($D163="Unlabeled-13",MCDM_Settings!$E$9,MCDM_Settings!$C$9),0)+IF(ISNUMBER(AO163),AO163*IF($D163="Unlabeled-13",MCDM_Settings!$E$10,MCDM_Settings!$C$10),0)+IF(ISNUMBER(AR163),AR163*IF($D163="Unlabeled-13",MCDM_Settings!$E$11,MCDM_Settings!$C$11),0)))</f>
        <v>36.111111111111114</v>
      </c>
      <c r="F163" s="12">
        <f>IF(OR(AY163&lt;&gt;"Valid",AZ163&lt;&gt;"16 keys present"),"Review settings",20*(IF(ISNUMBER(AD163),AD163*IF($D163="Unlabeled-13",MCDM_Settings!$E$6,MCDM_Settings!$C$6),0)+IF(ISNUMBER(AG163),AG163*IF($D163="Unlabeled-13",MCDM_Settings!$E$7,MCDM_Settings!$C$7),0)+IF(ISNUMBER(AJ163),AJ163*IF($D163="Unlabeled-13",MCDM_Settings!$E$8,MCDM_Settings!$C$8),0)+IF(ISNUMBER(AM163),AM163*IF($D163="Unlabeled-13",MCDM_Settings!$E$9,MCDM_Settings!$C$9),0)+IF(ISNUMBER(AP163),AP163*IF($D163="Unlabeled-13",MCDM_Settings!$E$10,MCDM_Settings!$C$10),0)+IF(ISNUMBER(AS163),AS163*IF($D163="Unlabeled-13",MCDM_Settings!$E$11,MCDM_Settings!$C$11),0)))</f>
        <v>99.999999999999986</v>
      </c>
      <c r="G163" s="13">
        <f>IF(OR(AY163&lt;&gt;"Valid",AZ163&lt;&gt;"16 keys present"),"Review settings",1*(IF(ISNUMBER(AE163),AE163*IF($D163="Unlabeled-13",MCDM_Settings!$E$6,MCDM_Settings!$C$6),0)+IF(ISNUMBER(AH163),AH163*IF($D163="Unlabeled-13",MCDM_Settings!$E$7,MCDM_Settings!$C$7),0)+IF(ISNUMBER(AK163),AK163*IF($D163="Unlabeled-13",MCDM_Settings!$E$8,MCDM_Settings!$C$8),0)+IF(ISNUMBER(AN163),AN163*IF($D163="Unlabeled-13",MCDM_Settings!$E$9,MCDM_Settings!$C$9),0)+IF(ISNUMBER(AQ163),AQ163*IF($D163="Unlabeled-13",MCDM_Settings!$E$10,MCDM_Settings!$C$10),0)+IF(ISNUMBER(AT163),AT163*IF($D163="Unlabeled-13",MCDM_Settings!$E$11,MCDM_Settings!$C$11),0)))</f>
        <v>0.3611111111111111</v>
      </c>
      <c r="H163" s="5" t="str">
        <f>INDEX(Manual_Review!$AH$6:$AH$238,MATCH(A163,Manual_Review!$A$6:$A$238,0))</f>
        <v>Not started</v>
      </c>
      <c r="I163" s="5" t="s">
        <v>128</v>
      </c>
      <c r="J163" s="5" t="s">
        <v>121</v>
      </c>
      <c r="K163" s="5" t="str">
        <f>HYPERLINK("https://www.kaggle.com/datasets/dataclusterlabs/potholes-or-cracks-on-road-image-dataset","Dataset")</f>
        <v>Dataset</v>
      </c>
      <c r="L163" s="5" t="str">
        <f>HYPERLINK("#'Manual_Review'!A"&amp;(MATCH("DS-158",Manual_Review!$A$6:$A$238,0)+5),"Enter review")</f>
        <v>Enter review</v>
      </c>
      <c r="M163" s="5" t="str">
        <f>INDEX(MCDM_Checks!$K$6:$K$3733,MATCH(A163&amp;"|"&amp;M$5,MCDM_Checks!$A$6:$A$3733,0))</f>
        <v>Y</v>
      </c>
      <c r="N163" s="5" t="str">
        <f>INDEX(MCDM_Checks!$K$6:$K$3733,MATCH(A163&amp;"|"&amp;N$5,MCDM_Checks!$A$6:$A$3733,0))</f>
        <v>Y</v>
      </c>
      <c r="O163" s="5" t="str">
        <f>INDEX(MCDM_Checks!$K$6:$K$3733,MATCH(A163&amp;"|"&amp;O$5,MCDM_Checks!$A$6:$A$3733,0))</f>
        <v>X</v>
      </c>
      <c r="P163" s="5" t="str">
        <f>INDEX(MCDM_Checks!$K$6:$K$3733,MATCH(A163&amp;"|"&amp;P$5,MCDM_Checks!$A$6:$A$3733,0))</f>
        <v>U</v>
      </c>
      <c r="Q163" s="5" t="str">
        <f>INDEX(MCDM_Checks!$K$6:$K$3733,MATCH(A163&amp;"|"&amp;Q$5,MCDM_Checks!$A$6:$A$3733,0))</f>
        <v>U</v>
      </c>
      <c r="R163" s="5" t="str">
        <f>INDEX(MCDM_Checks!$K$6:$K$3733,MATCH(A163&amp;"|"&amp;R$5,MCDM_Checks!$A$6:$A$3733,0))</f>
        <v>Y</v>
      </c>
      <c r="S163" s="5" t="str">
        <f>INDEX(MCDM_Checks!$K$6:$K$3733,MATCH(A163&amp;"|"&amp;S$5,MCDM_Checks!$A$6:$A$3733,0))</f>
        <v>U</v>
      </c>
      <c r="T163" s="5" t="str">
        <f>INDEX(MCDM_Checks!$K$6:$K$3733,MATCH(A163&amp;"|"&amp;T$5,MCDM_Checks!$A$6:$A$3733,0))</f>
        <v>U</v>
      </c>
      <c r="U163" s="5" t="str">
        <f>INDEX(MCDM_Checks!$K$6:$K$3733,MATCH(A163&amp;"|"&amp;U$5,MCDM_Checks!$A$6:$A$3733,0))</f>
        <v>U</v>
      </c>
      <c r="V163" s="5" t="str">
        <f>INDEX(MCDM_Checks!$K$6:$K$3733,MATCH(A163&amp;"|"&amp;V$5,MCDM_Checks!$A$6:$A$3733,0))</f>
        <v>U</v>
      </c>
      <c r="W163" s="5" t="str">
        <f>INDEX(MCDM_Checks!$K$6:$K$3733,MATCH(A163&amp;"|"&amp;W$5,MCDM_Checks!$A$6:$A$3733,0))</f>
        <v>U</v>
      </c>
      <c r="X163" s="5" t="str">
        <f>INDEX(MCDM_Checks!$K$6:$K$3733,MATCH(A163&amp;"|"&amp;X$5,MCDM_Checks!$A$6:$A$3733,0))</f>
        <v>U</v>
      </c>
      <c r="Y163" s="5" t="str">
        <f>INDEX(MCDM_Checks!$K$6:$K$3733,MATCH(A163&amp;"|"&amp;Y$5,MCDM_Checks!$A$6:$A$3733,0))</f>
        <v>Y</v>
      </c>
      <c r="Z163" s="5" t="str">
        <f>INDEX(MCDM_Checks!$K$6:$K$3733,MATCH(A163&amp;"|"&amp;Z$5,MCDM_Checks!$A$6:$A$3733,0))</f>
        <v>Y</v>
      </c>
      <c r="AA163" s="5" t="str">
        <f>INDEX(MCDM_Checks!$K$6:$K$3733,MATCH(A163&amp;"|"&amp;AA$5,MCDM_Checks!$A$6:$A$3733,0))</f>
        <v>Y</v>
      </c>
      <c r="AB163" s="5" t="str">
        <f>INDEX(MCDM_Checks!$K$6:$K$3733,MATCH(A163&amp;"|"&amp;AB$5,MCDM_Checks!$A$6:$A$3733,0))</f>
        <v>U</v>
      </c>
      <c r="AC163" s="12">
        <f>IF(IF($D163="Unlabeled-13",MCDM_Settings!$F$6,MCDM_Settings!$D$6)=0,"n.a.",5*COUNTIF(M163:O163,"Y")/IF($D163="Unlabeled-13",MCDM_Settings!$F$6,MCDM_Settings!$D$6))</f>
        <v>3.3333333333333335</v>
      </c>
      <c r="AD163" s="12">
        <f>IF(IF($D163="Unlabeled-13",MCDM_Settings!$F$6,MCDM_Settings!$D$6)=0,"n.a.",5*(COUNTIF(M163:O163,"Y")+COUNTIF(M163:O163,"U")+COUNTIF(M163:O163,"X"))/IF($D163="Unlabeled-13",MCDM_Settings!$F$6,MCDM_Settings!$D$6))</f>
        <v>5</v>
      </c>
      <c r="AE163" s="13">
        <f>IF(IF($D163="Unlabeled-13",MCDM_Settings!$F$6,MCDM_Settings!$D$6)=0,"n.a.",(COUNTIF(M163:O163,"Y")+COUNTIF(M163:O163,"N"))/IF($D163="Unlabeled-13",MCDM_Settings!$F$6,MCDM_Settings!$D$6))</f>
        <v>0.66666666666666663</v>
      </c>
      <c r="AF163" s="12">
        <f>IF(IF($D163="Unlabeled-13",MCDM_Settings!$F$7,MCDM_Settings!$D$7)=0,"n.a.",5*COUNTIF(P163:R163,"Y")/IF($D163="Unlabeled-13",MCDM_Settings!$F$7,MCDM_Settings!$D$7))</f>
        <v>1.6666666666666667</v>
      </c>
      <c r="AG163" s="12">
        <f>IF(IF($D163="Unlabeled-13",MCDM_Settings!$F$7,MCDM_Settings!$D$7)=0,"n.a.",5*(COUNTIF(P163:R163,"Y")+COUNTIF(P163:R163,"U")+COUNTIF(P163:R163,"X"))/IF($D163="Unlabeled-13",MCDM_Settings!$F$7,MCDM_Settings!$D$7))</f>
        <v>5</v>
      </c>
      <c r="AH163" s="13">
        <f>IF(IF($D163="Unlabeled-13",MCDM_Settings!$F$7,MCDM_Settings!$D$7)=0,"n.a.",(COUNTIF(P163:R163,"Y")+COUNTIF(P163:R163,"N"))/IF($D163="Unlabeled-13",MCDM_Settings!$F$7,MCDM_Settings!$D$7))</f>
        <v>0.33333333333333331</v>
      </c>
      <c r="AI163" s="12">
        <f>IF(IF($D163="Unlabeled-13",MCDM_Settings!$F$8,MCDM_Settings!$D$8)=0,"n.a.",5*COUNTIF(S163:U163,"Y")/IF($D163="Unlabeled-13",MCDM_Settings!$F$8,MCDM_Settings!$D$8))</f>
        <v>0</v>
      </c>
      <c r="AJ163" s="12">
        <f>IF(IF($D163="Unlabeled-13",MCDM_Settings!$F$8,MCDM_Settings!$D$8)=0,"n.a.",5*(COUNTIF(S163:U163,"Y")+COUNTIF(S163:U163,"U")+COUNTIF(S163:U163,"X"))/IF($D163="Unlabeled-13",MCDM_Settings!$F$8,MCDM_Settings!$D$8))</f>
        <v>5</v>
      </c>
      <c r="AK163" s="13">
        <f>IF(IF($D163="Unlabeled-13",MCDM_Settings!$F$8,MCDM_Settings!$D$8)=0,"n.a.",(COUNTIF(S163:U163,"Y")+COUNTIF(S163:U163,"N"))/IF($D163="Unlabeled-13",MCDM_Settings!$F$8,MCDM_Settings!$D$8))</f>
        <v>0</v>
      </c>
      <c r="AL163" s="12">
        <f>IF(IF($D163="Unlabeled-13",MCDM_Settings!$F$9,MCDM_Settings!$D$9)=0,"n.a.",5*COUNTIF(V163:W163,"Y")/IF($D163="Unlabeled-13",MCDM_Settings!$F$9,MCDM_Settings!$D$9))</f>
        <v>0</v>
      </c>
      <c r="AM163" s="12">
        <f>IF(IF($D163="Unlabeled-13",MCDM_Settings!$F$9,MCDM_Settings!$D$9)=0,"n.a.",5*(COUNTIF(V163:W163,"Y")+COUNTIF(V163:W163,"U")+COUNTIF(V163:W163,"X"))/IF($D163="Unlabeled-13",MCDM_Settings!$F$9,MCDM_Settings!$D$9))</f>
        <v>5</v>
      </c>
      <c r="AN163" s="13">
        <f>IF(IF($D163="Unlabeled-13",MCDM_Settings!$F$9,MCDM_Settings!$D$9)=0,"n.a.",(COUNTIF(V163:W163,"Y")+COUNTIF(V163:W163,"N"))/IF($D163="Unlabeled-13",MCDM_Settings!$F$9,MCDM_Settings!$D$9))</f>
        <v>0</v>
      </c>
      <c r="AO163" s="12">
        <f>IF(IF($D163="Unlabeled-13",MCDM_Settings!$F$10,MCDM_Settings!$D$10)=0,"n.a.",5*COUNTIF(X163:Y163,"Y")/IF($D163="Unlabeled-13",MCDM_Settings!$F$10,MCDM_Settings!$D$10))</f>
        <v>2.5</v>
      </c>
      <c r="AP163" s="12">
        <f>IF(IF($D163="Unlabeled-13",MCDM_Settings!$F$10,MCDM_Settings!$D$10)=0,"n.a.",5*(COUNTIF(X163:Y163,"Y")+COUNTIF(X163:Y163,"U")+COUNTIF(X163:Y163,"X"))/IF($D163="Unlabeled-13",MCDM_Settings!$F$10,MCDM_Settings!$D$10))</f>
        <v>5</v>
      </c>
      <c r="AQ163" s="13">
        <f>IF(IF($D163="Unlabeled-13",MCDM_Settings!$F$10,MCDM_Settings!$D$10)=0,"n.a.",(COUNTIF(X163:Y163,"Y")+COUNTIF(X163:Y163,"N"))/IF($D163="Unlabeled-13",MCDM_Settings!$F$10,MCDM_Settings!$D$10))</f>
        <v>0.5</v>
      </c>
      <c r="AR163" s="12">
        <f>IF(IF($D163="Unlabeled-13",MCDM_Settings!$F$11,MCDM_Settings!$D$11)=0,"n.a.",5*COUNTIF(Z163:AB163,"Y")/IF($D163="Unlabeled-13",MCDM_Settings!$F$11,MCDM_Settings!$D$11))</f>
        <v>3.3333333333333335</v>
      </c>
      <c r="AS163" s="12">
        <f>IF(IF($D163="Unlabeled-13",MCDM_Settings!$F$11,MCDM_Settings!$D$11)=0,"n.a.",5*(COUNTIF(Z163:AB163,"Y")+COUNTIF(Z163:AB163,"U")+COUNTIF(Z163:AB163,"X"))/IF($D163="Unlabeled-13",MCDM_Settings!$F$11,MCDM_Settings!$D$11))</f>
        <v>5</v>
      </c>
      <c r="AT163" s="13">
        <f>IF(IF($D163="Unlabeled-13",MCDM_Settings!$F$11,MCDM_Settings!$D$11)=0,"n.a.",(COUNTIF(Z163:AB163,"Y")+COUNTIF(Z163:AB163,"N"))/IF($D163="Unlabeled-13",MCDM_Settings!$F$11,MCDM_Settings!$D$11))</f>
        <v>0.66666666666666663</v>
      </c>
      <c r="AU163" s="5" t="str">
        <f>IF(AND(INDEX(Manual_Review!$G$6:$G$238,MATCH(A163,Manual_Review!$A$6:$A$238,0))&lt;&gt;"",ISNUMBER(INDEX(Manual_Review!$H$6:$H$238,MATCH(A163,Manual_Review!$A$6:$A$238,0))),INDEX(Manual_Review!$H$6:$H$238,MATCH(A163,Manual_Review!$A$6:$A$238,0))&gt;0,INDEX(Manual_Review!$I$6:$I$238,MATCH(A163,Manual_Review!$A$6:$A$238,0))="Confirmed",INDEX(Manual_Review!$AF$6:$AF$238,MATCH(A163,Manual_Review!$A$6:$A$238,0))&lt;&gt;""),IF(INDEX(Manual_Review!$AA$6:$AA$238,MATCH(A163,Manual_Review!$A$6:$A$238,0))="Pass","Pass",IF(INDEX(Manual_Review!$AA$6:$AA$238,MATCH(A163,Manual_Review!$A$6:$A$238,0))="Fail","Fail","Pending")),"Pending human identity confirmation")</f>
        <v>Pending human identity confirmation</v>
      </c>
      <c r="AV163" s="5" t="str">
        <f>IF(AND(AND(INDEX(Manual_Review!$G$6:$G$238,MATCH(A163,Manual_Review!$A$6:$A$238,0))&lt;&gt;"",ISNUMBER(INDEX(Manual_Review!$H$6:$H$238,MATCH(A163,Manual_Review!$A$6:$A$238,0))),INDEX(Manual_Review!$H$6:$H$238,MATCH(A163,Manual_Review!$A$6:$A$238,0))&gt;0,INDEX(Manual_Review!$I$6:$I$238,MATCH(A163,Manual_Review!$A$6:$A$238,0))="Confirmed",INDEX(Manual_Review!$AF$6:$AF$238,MATCH(A163,Manual_Review!$A$6:$A$238,0))&lt;&gt;""),INDEX(Manual_Review!$AG$6:$AG$238,MATCH(A163,Manual_Review!$A$6:$A$238,0))&lt;&gt;""),IF(INDEX(Manual_Review!$AB$6:$AB$238,MATCH(A163,Manual_Review!$A$6:$A$238,0))="Pass","Pass",IF(INDEX(Manual_Review!$AB$6:$AB$238,MATCH(A163,Manual_Review!$A$6:$A$238,0))="Fail","Fail","Pending")),"Not assessed: define intended task")</f>
        <v>Not assessed: define intended task</v>
      </c>
      <c r="AW163" s="5" t="str">
        <f>IF(AND(AND(INDEX(Manual_Review!$G$6:$G$238,MATCH(A163,Manual_Review!$A$6:$A$238,0))&lt;&gt;"",ISNUMBER(INDEX(Manual_Review!$H$6:$H$238,MATCH(A163,Manual_Review!$A$6:$A$238,0))),INDEX(Manual_Review!$H$6:$H$238,MATCH(A163,Manual_Review!$A$6:$A$238,0))&gt;0,INDEX(Manual_Review!$I$6:$I$238,MATCH(A163,Manual_Review!$A$6:$A$238,0))="Confirmed",INDEX(Manual_Review!$AF$6:$AF$238,MATCH(A163,Manual_Review!$A$6:$A$238,0))&lt;&gt;""),INDEX(Manual_Review!$AG$6:$AG$238,MATCH(A163,Manual_Review!$A$6:$A$238,0))&lt;&gt;""),IF(OR(INDEX(Manual_Review!$AC$6:$AC$238,MATCH(A163,Manual_Review!$A$6:$A$238,0))="Fail",INDEX(Manual_Review!$AD$6:$AD$238,MATCH(A163,Manual_Review!$A$6:$A$238,0))="Fail"),"Fail: rights or retrieval",IF(AND(INDEX(Manual_Review!$AC$6:$AC$238,MATCH(A163,Manual_Review!$A$6:$A$238,0))="Pass",INDEX(Manual_Review!$AD$6:$AD$238,MATCH(A163,Manual_Review!$A$6:$A$238,0))="Pass"),"Pass","Pending rights and retrieval")),"Pending rights and retrieval")</f>
        <v>Pending rights and retrieval</v>
      </c>
      <c r="AX163" s="5" t="str">
        <f>IF(INDEX(Manual_Review!$AG$6:$AG$238,MATCH(A163,Manual_Review!$A$6:$A$238,0))="","N/A: documentation inventory",IF(AND(INDEX(Manual_Review!$G$6:$G$238,MATCH(A163,Manual_Review!$A$6:$A$238,0))&lt;&gt;"",ISNUMBER(INDEX(Manual_Review!$H$6:$H$238,MATCH(A163,Manual_Review!$A$6:$A$238,0))),INDEX(Manual_Review!$H$6:$H$238,MATCH(A163,Manual_Review!$A$6:$A$238,0))&gt;0,INDEX(Manual_Review!$I$6:$I$238,MATCH(A163,Manual_Review!$A$6:$A$238,0))="Confirmed",INDEX(Manual_Review!$AF$6:$AF$238,MATCH(A163,Manual_Review!$A$6:$A$238,0))&lt;&gt;""),IF(INDEX(Manual_Review!$AE$6:$AE$238,MATCH(A163,Manual_Review!$A$6:$A$238,0))="Pass","Pass",IF(INDEX(Manual_Review!$AE$6:$AE$238,MATCH(A163,Manual_Review!$A$6:$A$238,0))="Fail","Fail: benchmark leakage",IF(INDEX(Manual_Review!$AE$6:$AE$238,MATCH(A163,Manual_Review!$A$6:$A$238,0))="N/A","N/A: nonbenchmark task","Pending task-specific leakage check"))),"Pending task-specific leakage check"))</f>
        <v>N/A: documentation inventory</v>
      </c>
      <c r="AY163" s="5" t="str">
        <f>IF(IF(D163="Unlabeled-13",AND(ABS(MCDM_Settings!$D$14-1)&lt;0.0000001,MIN(MCDM_Settings!$E$6:$E$11)&gt;=0,MCDM_Settings!$E$7=0),AND(ABS(MCDM_Settings!$B$14-1)&lt;0.0000001,MIN(MCDM_Settings!$C$6:$C$11)&gt;=0)),"Valid","Check weights")</f>
        <v>Valid</v>
      </c>
      <c r="AZ163" s="5" t="str">
        <f>IF(AND(COUNTIF(MCDM_Checks!$B$6:$B$3733,A163)=16,COUNTIF(Manual_Review!$A$6:$A$238,A163)=1),"16 keys present","Check key count")</f>
        <v>16 keys present</v>
      </c>
    </row>
    <row r="164" spans="1:52">
      <c r="A164" s="5" t="s">
        <v>1800</v>
      </c>
      <c r="B164" s="5" t="s">
        <v>1801</v>
      </c>
      <c r="C164" s="5"/>
      <c r="D164" s="5" t="s">
        <v>118</v>
      </c>
      <c r="E164" s="12">
        <f>IF(OR(AY164&lt;&gt;"Valid",AZ164&lt;&gt;"16 keys present"),"Review settings",20*(IF(ISNUMBER(AC164),AC164*IF($D164="Unlabeled-13",MCDM_Settings!$E$6,MCDM_Settings!$C$6),0)+IF(ISNUMBER(AF164),AF164*IF($D164="Unlabeled-13",MCDM_Settings!$E$7,MCDM_Settings!$C$7),0)+IF(ISNUMBER(AI164),AI164*IF($D164="Unlabeled-13",MCDM_Settings!$E$8,MCDM_Settings!$C$8),0)+IF(ISNUMBER(AL164),AL164*IF($D164="Unlabeled-13",MCDM_Settings!$E$9,MCDM_Settings!$C$9),0)+IF(ISNUMBER(AO164),AO164*IF($D164="Unlabeled-13",MCDM_Settings!$E$10,MCDM_Settings!$C$10),0)+IF(ISNUMBER(AR164),AR164*IF($D164="Unlabeled-13",MCDM_Settings!$E$11,MCDM_Settings!$C$11),0)))</f>
        <v>66.666666666666657</v>
      </c>
      <c r="F164" s="12">
        <f>IF(OR(AY164&lt;&gt;"Valid",AZ164&lt;&gt;"16 keys present"),"Review settings",20*(IF(ISNUMBER(AD164),AD164*IF($D164="Unlabeled-13",MCDM_Settings!$E$6,MCDM_Settings!$C$6),0)+IF(ISNUMBER(AG164),AG164*IF($D164="Unlabeled-13",MCDM_Settings!$E$7,MCDM_Settings!$C$7),0)+IF(ISNUMBER(AJ164),AJ164*IF($D164="Unlabeled-13",MCDM_Settings!$E$8,MCDM_Settings!$C$8),0)+IF(ISNUMBER(AM164),AM164*IF($D164="Unlabeled-13",MCDM_Settings!$E$9,MCDM_Settings!$C$9),0)+IF(ISNUMBER(AP164),AP164*IF($D164="Unlabeled-13",MCDM_Settings!$E$10,MCDM_Settings!$C$10),0)+IF(ISNUMBER(AS164),AS164*IF($D164="Unlabeled-13",MCDM_Settings!$E$11,MCDM_Settings!$C$11),0)))</f>
        <v>99.999999999999986</v>
      </c>
      <c r="G164" s="13">
        <f>IF(OR(AY164&lt;&gt;"Valid",AZ164&lt;&gt;"16 keys present"),"Review settings",1*(IF(ISNUMBER(AE164),AE164*IF($D164="Unlabeled-13",MCDM_Settings!$E$6,MCDM_Settings!$C$6),0)+IF(ISNUMBER(AH164),AH164*IF($D164="Unlabeled-13",MCDM_Settings!$E$7,MCDM_Settings!$C$7),0)+IF(ISNUMBER(AK164),AK164*IF($D164="Unlabeled-13",MCDM_Settings!$E$8,MCDM_Settings!$C$8),0)+IF(ISNUMBER(AN164),AN164*IF($D164="Unlabeled-13",MCDM_Settings!$E$9,MCDM_Settings!$C$9),0)+IF(ISNUMBER(AQ164),AQ164*IF($D164="Unlabeled-13",MCDM_Settings!$E$10,MCDM_Settings!$C$10),0)+IF(ISNUMBER(AT164),AT164*IF($D164="Unlabeled-13",MCDM_Settings!$E$11,MCDM_Settings!$C$11),0)))</f>
        <v>0.66666666666666674</v>
      </c>
      <c r="H164" s="5" t="str">
        <f>INDEX(Manual_Review!$AH$6:$AH$238,MATCH(A164,Manual_Review!$A$6:$A$238,0))</f>
        <v>Not started</v>
      </c>
      <c r="I164" s="5" t="s">
        <v>128</v>
      </c>
      <c r="J164" s="5" t="s">
        <v>1601</v>
      </c>
      <c r="K164" s="5" t="str">
        <f>HYPERLINK("https://www.kaggle.com/datasets/mahyeks/pothrgbd-rgb-and-depth-images-of-potholes","Dataset")</f>
        <v>Dataset</v>
      </c>
      <c r="L164" s="5" t="str">
        <f>HYPERLINK("#'Manual_Review'!A"&amp;(MATCH("DS-159",Manual_Review!$A$6:$A$238,0)+5),"Enter review")</f>
        <v>Enter review</v>
      </c>
      <c r="M164" s="5" t="str">
        <f>INDEX(MCDM_Checks!$K$6:$K$3733,MATCH(A164&amp;"|"&amp;M$5,MCDM_Checks!$A$6:$A$3733,0))</f>
        <v>Y</v>
      </c>
      <c r="N164" s="5" t="str">
        <f>INDEX(MCDM_Checks!$K$6:$K$3733,MATCH(A164&amp;"|"&amp;N$5,MCDM_Checks!$A$6:$A$3733,0))</f>
        <v>Y</v>
      </c>
      <c r="O164" s="5" t="str">
        <f>INDEX(MCDM_Checks!$K$6:$K$3733,MATCH(A164&amp;"|"&amp;O$5,MCDM_Checks!$A$6:$A$3733,0))</f>
        <v>Y</v>
      </c>
      <c r="P164" s="5" t="str">
        <f>INDEX(MCDM_Checks!$K$6:$K$3733,MATCH(A164&amp;"|"&amp;P$5,MCDM_Checks!$A$6:$A$3733,0))</f>
        <v>Y</v>
      </c>
      <c r="Q164" s="5" t="str">
        <f>INDEX(MCDM_Checks!$K$6:$K$3733,MATCH(A164&amp;"|"&amp;Q$5,MCDM_Checks!$A$6:$A$3733,0))</f>
        <v>Y</v>
      </c>
      <c r="R164" s="5" t="str">
        <f>INDEX(MCDM_Checks!$K$6:$K$3733,MATCH(A164&amp;"|"&amp;R$5,MCDM_Checks!$A$6:$A$3733,0))</f>
        <v>U</v>
      </c>
      <c r="S164" s="5" t="str">
        <f>INDEX(MCDM_Checks!$K$6:$K$3733,MATCH(A164&amp;"|"&amp;S$5,MCDM_Checks!$A$6:$A$3733,0))</f>
        <v>Y</v>
      </c>
      <c r="T164" s="5" t="str">
        <f>INDEX(MCDM_Checks!$K$6:$K$3733,MATCH(A164&amp;"|"&amp;T$5,MCDM_Checks!$A$6:$A$3733,0))</f>
        <v>Y</v>
      </c>
      <c r="U164" s="5" t="str">
        <f>INDEX(MCDM_Checks!$K$6:$K$3733,MATCH(A164&amp;"|"&amp;U$5,MCDM_Checks!$A$6:$A$3733,0))</f>
        <v>U</v>
      </c>
      <c r="V164" s="5" t="str">
        <f>INDEX(MCDM_Checks!$K$6:$K$3733,MATCH(A164&amp;"|"&amp;V$5,MCDM_Checks!$A$6:$A$3733,0))</f>
        <v>Y</v>
      </c>
      <c r="W164" s="5" t="str">
        <f>INDEX(MCDM_Checks!$K$6:$K$3733,MATCH(A164&amp;"|"&amp;W$5,MCDM_Checks!$A$6:$A$3733,0))</f>
        <v>U</v>
      </c>
      <c r="X164" s="5" t="str">
        <f>INDEX(MCDM_Checks!$K$6:$K$3733,MATCH(A164&amp;"|"&amp;X$5,MCDM_Checks!$A$6:$A$3733,0))</f>
        <v>U</v>
      </c>
      <c r="Y164" s="5" t="str">
        <f>INDEX(MCDM_Checks!$K$6:$K$3733,MATCH(A164&amp;"|"&amp;Y$5,MCDM_Checks!$A$6:$A$3733,0))</f>
        <v>Y</v>
      </c>
      <c r="Z164" s="5" t="str">
        <f>INDEX(MCDM_Checks!$K$6:$K$3733,MATCH(A164&amp;"|"&amp;Z$5,MCDM_Checks!$A$6:$A$3733,0))</f>
        <v>Y</v>
      </c>
      <c r="AA164" s="5" t="str">
        <f>INDEX(MCDM_Checks!$K$6:$K$3733,MATCH(A164&amp;"|"&amp;AA$5,MCDM_Checks!$A$6:$A$3733,0))</f>
        <v>Y</v>
      </c>
      <c r="AB164" s="5" t="str">
        <f>INDEX(MCDM_Checks!$K$6:$K$3733,MATCH(A164&amp;"|"&amp;AB$5,MCDM_Checks!$A$6:$A$3733,0))</f>
        <v>U</v>
      </c>
      <c r="AC164" s="12">
        <f>IF(IF($D164="Unlabeled-13",MCDM_Settings!$F$6,MCDM_Settings!$D$6)=0,"n.a.",5*COUNTIF(M164:O164,"Y")/IF($D164="Unlabeled-13",MCDM_Settings!$F$6,MCDM_Settings!$D$6))</f>
        <v>5</v>
      </c>
      <c r="AD164" s="12">
        <f>IF(IF($D164="Unlabeled-13",MCDM_Settings!$F$6,MCDM_Settings!$D$6)=0,"n.a.",5*(COUNTIF(M164:O164,"Y")+COUNTIF(M164:O164,"U")+COUNTIF(M164:O164,"X"))/IF($D164="Unlabeled-13",MCDM_Settings!$F$6,MCDM_Settings!$D$6))</f>
        <v>5</v>
      </c>
      <c r="AE164" s="13">
        <f>IF(IF($D164="Unlabeled-13",MCDM_Settings!$F$6,MCDM_Settings!$D$6)=0,"n.a.",(COUNTIF(M164:O164,"Y")+COUNTIF(M164:O164,"N"))/IF($D164="Unlabeled-13",MCDM_Settings!$F$6,MCDM_Settings!$D$6))</f>
        <v>1</v>
      </c>
      <c r="AF164" s="12">
        <f>IF(IF($D164="Unlabeled-13",MCDM_Settings!$F$7,MCDM_Settings!$D$7)=0,"n.a.",5*COUNTIF(P164:R164,"Y")/IF($D164="Unlabeled-13",MCDM_Settings!$F$7,MCDM_Settings!$D$7))</f>
        <v>3.3333333333333335</v>
      </c>
      <c r="AG164" s="12">
        <f>IF(IF($D164="Unlabeled-13",MCDM_Settings!$F$7,MCDM_Settings!$D$7)=0,"n.a.",5*(COUNTIF(P164:R164,"Y")+COUNTIF(P164:R164,"U")+COUNTIF(P164:R164,"X"))/IF($D164="Unlabeled-13",MCDM_Settings!$F$7,MCDM_Settings!$D$7))</f>
        <v>5</v>
      </c>
      <c r="AH164" s="13">
        <f>IF(IF($D164="Unlabeled-13",MCDM_Settings!$F$7,MCDM_Settings!$D$7)=0,"n.a.",(COUNTIF(P164:R164,"Y")+COUNTIF(P164:R164,"N"))/IF($D164="Unlabeled-13",MCDM_Settings!$F$7,MCDM_Settings!$D$7))</f>
        <v>0.66666666666666663</v>
      </c>
      <c r="AI164" s="12">
        <f>IF(IF($D164="Unlabeled-13",MCDM_Settings!$F$8,MCDM_Settings!$D$8)=0,"n.a.",5*COUNTIF(S164:U164,"Y")/IF($D164="Unlabeled-13",MCDM_Settings!$F$8,MCDM_Settings!$D$8))</f>
        <v>3.3333333333333335</v>
      </c>
      <c r="AJ164" s="12">
        <f>IF(IF($D164="Unlabeled-13",MCDM_Settings!$F$8,MCDM_Settings!$D$8)=0,"n.a.",5*(COUNTIF(S164:U164,"Y")+COUNTIF(S164:U164,"U")+COUNTIF(S164:U164,"X"))/IF($D164="Unlabeled-13",MCDM_Settings!$F$8,MCDM_Settings!$D$8))</f>
        <v>5</v>
      </c>
      <c r="AK164" s="13">
        <f>IF(IF($D164="Unlabeled-13",MCDM_Settings!$F$8,MCDM_Settings!$D$8)=0,"n.a.",(COUNTIF(S164:U164,"Y")+COUNTIF(S164:U164,"N"))/IF($D164="Unlabeled-13",MCDM_Settings!$F$8,MCDM_Settings!$D$8))</f>
        <v>0.66666666666666663</v>
      </c>
      <c r="AL164" s="12">
        <f>IF(IF($D164="Unlabeled-13",MCDM_Settings!$F$9,MCDM_Settings!$D$9)=0,"n.a.",5*COUNTIF(V164:W164,"Y")/IF($D164="Unlabeled-13",MCDM_Settings!$F$9,MCDM_Settings!$D$9))</f>
        <v>2.5</v>
      </c>
      <c r="AM164" s="12">
        <f>IF(IF($D164="Unlabeled-13",MCDM_Settings!$F$9,MCDM_Settings!$D$9)=0,"n.a.",5*(COUNTIF(V164:W164,"Y")+COUNTIF(V164:W164,"U")+COUNTIF(V164:W164,"X"))/IF($D164="Unlabeled-13",MCDM_Settings!$F$9,MCDM_Settings!$D$9))</f>
        <v>5</v>
      </c>
      <c r="AN164" s="13">
        <f>IF(IF($D164="Unlabeled-13",MCDM_Settings!$F$9,MCDM_Settings!$D$9)=0,"n.a.",(COUNTIF(V164:W164,"Y")+COUNTIF(V164:W164,"N"))/IF($D164="Unlabeled-13",MCDM_Settings!$F$9,MCDM_Settings!$D$9))</f>
        <v>0.5</v>
      </c>
      <c r="AO164" s="12">
        <f>IF(IF($D164="Unlabeled-13",MCDM_Settings!$F$10,MCDM_Settings!$D$10)=0,"n.a.",5*COUNTIF(X164:Y164,"Y")/IF($D164="Unlabeled-13",MCDM_Settings!$F$10,MCDM_Settings!$D$10))</f>
        <v>2.5</v>
      </c>
      <c r="AP164" s="12">
        <f>IF(IF($D164="Unlabeled-13",MCDM_Settings!$F$10,MCDM_Settings!$D$10)=0,"n.a.",5*(COUNTIF(X164:Y164,"Y")+COUNTIF(X164:Y164,"U")+COUNTIF(X164:Y164,"X"))/IF($D164="Unlabeled-13",MCDM_Settings!$F$10,MCDM_Settings!$D$10))</f>
        <v>5</v>
      </c>
      <c r="AQ164" s="13">
        <f>IF(IF($D164="Unlabeled-13",MCDM_Settings!$F$10,MCDM_Settings!$D$10)=0,"n.a.",(COUNTIF(X164:Y164,"Y")+COUNTIF(X164:Y164,"N"))/IF($D164="Unlabeled-13",MCDM_Settings!$F$10,MCDM_Settings!$D$10))</f>
        <v>0.5</v>
      </c>
      <c r="AR164" s="12">
        <f>IF(IF($D164="Unlabeled-13",MCDM_Settings!$F$11,MCDM_Settings!$D$11)=0,"n.a.",5*COUNTIF(Z164:AB164,"Y")/IF($D164="Unlabeled-13",MCDM_Settings!$F$11,MCDM_Settings!$D$11))</f>
        <v>3.3333333333333335</v>
      </c>
      <c r="AS164" s="12">
        <f>IF(IF($D164="Unlabeled-13",MCDM_Settings!$F$11,MCDM_Settings!$D$11)=0,"n.a.",5*(COUNTIF(Z164:AB164,"Y")+COUNTIF(Z164:AB164,"U")+COUNTIF(Z164:AB164,"X"))/IF($D164="Unlabeled-13",MCDM_Settings!$F$11,MCDM_Settings!$D$11))</f>
        <v>5</v>
      </c>
      <c r="AT164" s="13">
        <f>IF(IF($D164="Unlabeled-13",MCDM_Settings!$F$11,MCDM_Settings!$D$11)=0,"n.a.",(COUNTIF(Z164:AB164,"Y")+COUNTIF(Z164:AB164,"N"))/IF($D164="Unlabeled-13",MCDM_Settings!$F$11,MCDM_Settings!$D$11))</f>
        <v>0.66666666666666663</v>
      </c>
      <c r="AU164" s="5" t="str">
        <f>IF(AND(INDEX(Manual_Review!$G$6:$G$238,MATCH(A164,Manual_Review!$A$6:$A$238,0))&lt;&gt;"",ISNUMBER(INDEX(Manual_Review!$H$6:$H$238,MATCH(A164,Manual_Review!$A$6:$A$238,0))),INDEX(Manual_Review!$H$6:$H$238,MATCH(A164,Manual_Review!$A$6:$A$238,0))&gt;0,INDEX(Manual_Review!$I$6:$I$238,MATCH(A164,Manual_Review!$A$6:$A$238,0))="Confirmed",INDEX(Manual_Review!$AF$6:$AF$238,MATCH(A164,Manual_Review!$A$6:$A$238,0))&lt;&gt;""),IF(INDEX(Manual_Review!$AA$6:$AA$238,MATCH(A164,Manual_Review!$A$6:$A$238,0))="Pass","Pass",IF(INDEX(Manual_Review!$AA$6:$AA$238,MATCH(A164,Manual_Review!$A$6:$A$238,0))="Fail","Fail","Pending")),"Pending human identity confirmation")</f>
        <v>Pending human identity confirmation</v>
      </c>
      <c r="AV164" s="5" t="str">
        <f>IF(AND(AND(INDEX(Manual_Review!$G$6:$G$238,MATCH(A164,Manual_Review!$A$6:$A$238,0))&lt;&gt;"",ISNUMBER(INDEX(Manual_Review!$H$6:$H$238,MATCH(A164,Manual_Review!$A$6:$A$238,0))),INDEX(Manual_Review!$H$6:$H$238,MATCH(A164,Manual_Review!$A$6:$A$238,0))&gt;0,INDEX(Manual_Review!$I$6:$I$238,MATCH(A164,Manual_Review!$A$6:$A$238,0))="Confirmed",INDEX(Manual_Review!$AF$6:$AF$238,MATCH(A164,Manual_Review!$A$6:$A$238,0))&lt;&gt;""),INDEX(Manual_Review!$AG$6:$AG$238,MATCH(A164,Manual_Review!$A$6:$A$238,0))&lt;&gt;""),IF(INDEX(Manual_Review!$AB$6:$AB$238,MATCH(A164,Manual_Review!$A$6:$A$238,0))="Pass","Pass",IF(INDEX(Manual_Review!$AB$6:$AB$238,MATCH(A164,Manual_Review!$A$6:$A$238,0))="Fail","Fail","Pending")),"Not assessed: define intended task")</f>
        <v>Not assessed: define intended task</v>
      </c>
      <c r="AW164" s="5" t="str">
        <f>IF(AND(AND(INDEX(Manual_Review!$G$6:$G$238,MATCH(A164,Manual_Review!$A$6:$A$238,0))&lt;&gt;"",ISNUMBER(INDEX(Manual_Review!$H$6:$H$238,MATCH(A164,Manual_Review!$A$6:$A$238,0))),INDEX(Manual_Review!$H$6:$H$238,MATCH(A164,Manual_Review!$A$6:$A$238,0))&gt;0,INDEX(Manual_Review!$I$6:$I$238,MATCH(A164,Manual_Review!$A$6:$A$238,0))="Confirmed",INDEX(Manual_Review!$AF$6:$AF$238,MATCH(A164,Manual_Review!$A$6:$A$238,0))&lt;&gt;""),INDEX(Manual_Review!$AG$6:$AG$238,MATCH(A164,Manual_Review!$A$6:$A$238,0))&lt;&gt;""),IF(OR(INDEX(Manual_Review!$AC$6:$AC$238,MATCH(A164,Manual_Review!$A$6:$A$238,0))="Fail",INDEX(Manual_Review!$AD$6:$AD$238,MATCH(A164,Manual_Review!$A$6:$A$238,0))="Fail"),"Fail: rights or retrieval",IF(AND(INDEX(Manual_Review!$AC$6:$AC$238,MATCH(A164,Manual_Review!$A$6:$A$238,0))="Pass",INDEX(Manual_Review!$AD$6:$AD$238,MATCH(A164,Manual_Review!$A$6:$A$238,0))="Pass"),"Pass","Pending rights and retrieval")),"Pending rights and retrieval")</f>
        <v>Pending rights and retrieval</v>
      </c>
      <c r="AX164" s="5" t="str">
        <f>IF(INDEX(Manual_Review!$AG$6:$AG$238,MATCH(A164,Manual_Review!$A$6:$A$238,0))="","N/A: documentation inventory",IF(AND(INDEX(Manual_Review!$G$6:$G$238,MATCH(A164,Manual_Review!$A$6:$A$238,0))&lt;&gt;"",ISNUMBER(INDEX(Manual_Review!$H$6:$H$238,MATCH(A164,Manual_Review!$A$6:$A$238,0))),INDEX(Manual_Review!$H$6:$H$238,MATCH(A164,Manual_Review!$A$6:$A$238,0))&gt;0,INDEX(Manual_Review!$I$6:$I$238,MATCH(A164,Manual_Review!$A$6:$A$238,0))="Confirmed",INDEX(Manual_Review!$AF$6:$AF$238,MATCH(A164,Manual_Review!$A$6:$A$238,0))&lt;&gt;""),IF(INDEX(Manual_Review!$AE$6:$AE$238,MATCH(A164,Manual_Review!$A$6:$A$238,0))="Pass","Pass",IF(INDEX(Manual_Review!$AE$6:$AE$238,MATCH(A164,Manual_Review!$A$6:$A$238,0))="Fail","Fail: benchmark leakage",IF(INDEX(Manual_Review!$AE$6:$AE$238,MATCH(A164,Manual_Review!$A$6:$A$238,0))="N/A","N/A: nonbenchmark task","Pending task-specific leakage check"))),"Pending task-specific leakage check"))</f>
        <v>N/A: documentation inventory</v>
      </c>
      <c r="AY164" s="5" t="str">
        <f>IF(IF(D164="Unlabeled-13",AND(ABS(MCDM_Settings!$D$14-1)&lt;0.0000001,MIN(MCDM_Settings!$E$6:$E$11)&gt;=0,MCDM_Settings!$E$7=0),AND(ABS(MCDM_Settings!$B$14-1)&lt;0.0000001,MIN(MCDM_Settings!$C$6:$C$11)&gt;=0)),"Valid","Check weights")</f>
        <v>Valid</v>
      </c>
      <c r="AZ164" s="5" t="str">
        <f>IF(AND(COUNTIF(MCDM_Checks!$B$6:$B$3733,A164)=16,COUNTIF(Manual_Review!$A$6:$A$238,A164)=1),"16 keys present","Check key count")</f>
        <v>16 keys present</v>
      </c>
    </row>
    <row r="165" spans="1:52">
      <c r="A165" s="5" t="s">
        <v>67</v>
      </c>
      <c r="B165" s="5" t="s">
        <v>1808</v>
      </c>
      <c r="C165" s="5">
        <v>8</v>
      </c>
      <c r="D165" s="5" t="s">
        <v>118</v>
      </c>
      <c r="E165" s="12">
        <f>IF(OR(AY165&lt;&gt;"Valid",AZ165&lt;&gt;"16 keys present"),"Review settings",20*(IF(ISNUMBER(AC165),AC165*IF($D165="Unlabeled-13",MCDM_Settings!$E$6,MCDM_Settings!$C$6),0)+IF(ISNUMBER(AF165),AF165*IF($D165="Unlabeled-13",MCDM_Settings!$E$7,MCDM_Settings!$C$7),0)+IF(ISNUMBER(AI165),AI165*IF($D165="Unlabeled-13",MCDM_Settings!$E$8,MCDM_Settings!$C$8),0)+IF(ISNUMBER(AL165),AL165*IF($D165="Unlabeled-13",MCDM_Settings!$E$9,MCDM_Settings!$C$9),0)+IF(ISNUMBER(AO165),AO165*IF($D165="Unlabeled-13",MCDM_Settings!$E$10,MCDM_Settings!$C$10),0)+IF(ISNUMBER(AR165),AR165*IF($D165="Unlabeled-13",MCDM_Settings!$E$11,MCDM_Settings!$C$11),0)))</f>
        <v>75</v>
      </c>
      <c r="F165" s="12">
        <f>IF(OR(AY165&lt;&gt;"Valid",AZ165&lt;&gt;"16 keys present"),"Review settings",20*(IF(ISNUMBER(AD165),AD165*IF($D165="Unlabeled-13",MCDM_Settings!$E$6,MCDM_Settings!$C$6),0)+IF(ISNUMBER(AG165),AG165*IF($D165="Unlabeled-13",MCDM_Settings!$E$7,MCDM_Settings!$C$7),0)+IF(ISNUMBER(AJ165),AJ165*IF($D165="Unlabeled-13",MCDM_Settings!$E$8,MCDM_Settings!$C$8),0)+IF(ISNUMBER(AM165),AM165*IF($D165="Unlabeled-13",MCDM_Settings!$E$9,MCDM_Settings!$C$9),0)+IF(ISNUMBER(AP165),AP165*IF($D165="Unlabeled-13",MCDM_Settings!$E$10,MCDM_Settings!$C$10),0)+IF(ISNUMBER(AS165),AS165*IF($D165="Unlabeled-13",MCDM_Settings!$E$11,MCDM_Settings!$C$11),0)))</f>
        <v>99.999999999999986</v>
      </c>
      <c r="G165" s="13">
        <f>IF(OR(AY165&lt;&gt;"Valid",AZ165&lt;&gt;"16 keys present"),"Review settings",1*(IF(ISNUMBER(AE165),AE165*IF($D165="Unlabeled-13",MCDM_Settings!$E$6,MCDM_Settings!$C$6),0)+IF(ISNUMBER(AH165),AH165*IF($D165="Unlabeled-13",MCDM_Settings!$E$7,MCDM_Settings!$C$7),0)+IF(ISNUMBER(AK165),AK165*IF($D165="Unlabeled-13",MCDM_Settings!$E$8,MCDM_Settings!$C$8),0)+IF(ISNUMBER(AN165),AN165*IF($D165="Unlabeled-13",MCDM_Settings!$E$9,MCDM_Settings!$C$9),0)+IF(ISNUMBER(AQ165),AQ165*IF($D165="Unlabeled-13",MCDM_Settings!$E$10,MCDM_Settings!$C$10),0)+IF(ISNUMBER(AT165),AT165*IF($D165="Unlabeled-13",MCDM_Settings!$E$11,MCDM_Settings!$C$11),0)))</f>
        <v>0.75</v>
      </c>
      <c r="H165" s="5" t="str">
        <f>INDEX(Manual_Review!$AH$6:$AH$238,MATCH(A165,Manual_Review!$A$6:$A$238,0))</f>
        <v>Not started</v>
      </c>
      <c r="I165" s="5" t="s">
        <v>206</v>
      </c>
      <c r="J165" s="5" t="s">
        <v>72</v>
      </c>
      <c r="K165" s="5" t="str">
        <f>HYPERLINK("https://github.com/jefmenegazzo/Intelligent-Vehicle-Perception-Based-on-Inertial-Sensing-and-Artificial-Intelligence","Dataset")</f>
        <v>Dataset</v>
      </c>
      <c r="L165" s="5" t="str">
        <f>HYPERLINK("#'Manual_Review'!A"&amp;(MATCH("DS-160",Manual_Review!$A$6:$A$238,0)+5),"Enter review")</f>
        <v>Enter review</v>
      </c>
      <c r="M165" s="5" t="str">
        <f>INDEX(MCDM_Checks!$K$6:$K$3733,MATCH(A165&amp;"|"&amp;M$5,MCDM_Checks!$A$6:$A$3733,0))</f>
        <v>Y</v>
      </c>
      <c r="N165" s="5" t="str">
        <f>INDEX(MCDM_Checks!$K$6:$K$3733,MATCH(A165&amp;"|"&amp;N$5,MCDM_Checks!$A$6:$A$3733,0))</f>
        <v>Y</v>
      </c>
      <c r="O165" s="5" t="str">
        <f>INDEX(MCDM_Checks!$K$6:$K$3733,MATCH(A165&amp;"|"&amp;O$5,MCDM_Checks!$A$6:$A$3733,0))</f>
        <v>U</v>
      </c>
      <c r="P165" s="5" t="str">
        <f>INDEX(MCDM_Checks!$K$6:$K$3733,MATCH(A165&amp;"|"&amp;P$5,MCDM_Checks!$A$6:$A$3733,0))</f>
        <v>Y</v>
      </c>
      <c r="Q165" s="5" t="str">
        <f>INDEX(MCDM_Checks!$K$6:$K$3733,MATCH(A165&amp;"|"&amp;Q$5,MCDM_Checks!$A$6:$A$3733,0))</f>
        <v>Y</v>
      </c>
      <c r="R165" s="5" t="str">
        <f>INDEX(MCDM_Checks!$K$6:$K$3733,MATCH(A165&amp;"|"&amp;R$5,MCDM_Checks!$A$6:$A$3733,0))</f>
        <v>U</v>
      </c>
      <c r="S165" s="5" t="str">
        <f>INDEX(MCDM_Checks!$K$6:$K$3733,MATCH(A165&amp;"|"&amp;S$5,MCDM_Checks!$A$6:$A$3733,0))</f>
        <v>U</v>
      </c>
      <c r="T165" s="5" t="str">
        <f>INDEX(MCDM_Checks!$K$6:$K$3733,MATCH(A165&amp;"|"&amp;T$5,MCDM_Checks!$A$6:$A$3733,0))</f>
        <v>Y</v>
      </c>
      <c r="U165" s="5" t="str">
        <f>INDEX(MCDM_Checks!$K$6:$K$3733,MATCH(A165&amp;"|"&amp;U$5,MCDM_Checks!$A$6:$A$3733,0))</f>
        <v>Y</v>
      </c>
      <c r="V165" s="5" t="str">
        <f>INDEX(MCDM_Checks!$K$6:$K$3733,MATCH(A165&amp;"|"&amp;V$5,MCDM_Checks!$A$6:$A$3733,0))</f>
        <v>Y</v>
      </c>
      <c r="W165" s="5" t="str">
        <f>INDEX(MCDM_Checks!$K$6:$K$3733,MATCH(A165&amp;"|"&amp;W$5,MCDM_Checks!$A$6:$A$3733,0))</f>
        <v>Y</v>
      </c>
      <c r="X165" s="5" t="str">
        <f>INDEX(MCDM_Checks!$K$6:$K$3733,MATCH(A165&amp;"|"&amp;X$5,MCDM_Checks!$A$6:$A$3733,0))</f>
        <v>U</v>
      </c>
      <c r="Y165" s="5" t="str">
        <f>INDEX(MCDM_Checks!$K$6:$K$3733,MATCH(A165&amp;"|"&amp;Y$5,MCDM_Checks!$A$6:$A$3733,0))</f>
        <v>Y</v>
      </c>
      <c r="Z165" s="5" t="str">
        <f>INDEX(MCDM_Checks!$K$6:$K$3733,MATCH(A165&amp;"|"&amp;Z$5,MCDM_Checks!$A$6:$A$3733,0))</f>
        <v>Y</v>
      </c>
      <c r="AA165" s="5" t="str">
        <f>INDEX(MCDM_Checks!$K$6:$K$3733,MATCH(A165&amp;"|"&amp;AA$5,MCDM_Checks!$A$6:$A$3733,0))</f>
        <v>Y</v>
      </c>
      <c r="AB165" s="5" t="str">
        <f>INDEX(MCDM_Checks!$K$6:$K$3733,MATCH(A165&amp;"|"&amp;AB$5,MCDM_Checks!$A$6:$A$3733,0))</f>
        <v>Y</v>
      </c>
      <c r="AC165" s="12">
        <f>IF(IF($D165="Unlabeled-13",MCDM_Settings!$F$6,MCDM_Settings!$D$6)=0,"n.a.",5*COUNTIF(M165:O165,"Y")/IF($D165="Unlabeled-13",MCDM_Settings!$F$6,MCDM_Settings!$D$6))</f>
        <v>3.3333333333333335</v>
      </c>
      <c r="AD165" s="12">
        <f>IF(IF($D165="Unlabeled-13",MCDM_Settings!$F$6,MCDM_Settings!$D$6)=0,"n.a.",5*(COUNTIF(M165:O165,"Y")+COUNTIF(M165:O165,"U")+COUNTIF(M165:O165,"X"))/IF($D165="Unlabeled-13",MCDM_Settings!$F$6,MCDM_Settings!$D$6))</f>
        <v>5</v>
      </c>
      <c r="AE165" s="13">
        <f>IF(IF($D165="Unlabeled-13",MCDM_Settings!$F$6,MCDM_Settings!$D$6)=0,"n.a.",(COUNTIF(M165:O165,"Y")+COUNTIF(M165:O165,"N"))/IF($D165="Unlabeled-13",MCDM_Settings!$F$6,MCDM_Settings!$D$6))</f>
        <v>0.66666666666666663</v>
      </c>
      <c r="AF165" s="12">
        <f>IF(IF($D165="Unlabeled-13",MCDM_Settings!$F$7,MCDM_Settings!$D$7)=0,"n.a.",5*COUNTIF(P165:R165,"Y")/IF($D165="Unlabeled-13",MCDM_Settings!$F$7,MCDM_Settings!$D$7))</f>
        <v>3.3333333333333335</v>
      </c>
      <c r="AG165" s="12">
        <f>IF(IF($D165="Unlabeled-13",MCDM_Settings!$F$7,MCDM_Settings!$D$7)=0,"n.a.",5*(COUNTIF(P165:R165,"Y")+COUNTIF(P165:R165,"U")+COUNTIF(P165:R165,"X"))/IF($D165="Unlabeled-13",MCDM_Settings!$F$7,MCDM_Settings!$D$7))</f>
        <v>5</v>
      </c>
      <c r="AH165" s="13">
        <f>IF(IF($D165="Unlabeled-13",MCDM_Settings!$F$7,MCDM_Settings!$D$7)=0,"n.a.",(COUNTIF(P165:R165,"Y")+COUNTIF(P165:R165,"N"))/IF($D165="Unlabeled-13",MCDM_Settings!$F$7,MCDM_Settings!$D$7))</f>
        <v>0.66666666666666663</v>
      </c>
      <c r="AI165" s="12">
        <f>IF(IF($D165="Unlabeled-13",MCDM_Settings!$F$8,MCDM_Settings!$D$8)=0,"n.a.",5*COUNTIF(S165:U165,"Y")/IF($D165="Unlabeled-13",MCDM_Settings!$F$8,MCDM_Settings!$D$8))</f>
        <v>3.3333333333333335</v>
      </c>
      <c r="AJ165" s="12">
        <f>IF(IF($D165="Unlabeled-13",MCDM_Settings!$F$8,MCDM_Settings!$D$8)=0,"n.a.",5*(COUNTIF(S165:U165,"Y")+COUNTIF(S165:U165,"U")+COUNTIF(S165:U165,"X"))/IF($D165="Unlabeled-13",MCDM_Settings!$F$8,MCDM_Settings!$D$8))</f>
        <v>5</v>
      </c>
      <c r="AK165" s="13">
        <f>IF(IF($D165="Unlabeled-13",MCDM_Settings!$F$8,MCDM_Settings!$D$8)=0,"n.a.",(COUNTIF(S165:U165,"Y")+COUNTIF(S165:U165,"N"))/IF($D165="Unlabeled-13",MCDM_Settings!$F$8,MCDM_Settings!$D$8))</f>
        <v>0.66666666666666663</v>
      </c>
      <c r="AL165" s="12">
        <f>IF(IF($D165="Unlabeled-13",MCDM_Settings!$F$9,MCDM_Settings!$D$9)=0,"n.a.",5*COUNTIF(V165:W165,"Y")/IF($D165="Unlabeled-13",MCDM_Settings!$F$9,MCDM_Settings!$D$9))</f>
        <v>5</v>
      </c>
      <c r="AM165" s="12">
        <f>IF(IF($D165="Unlabeled-13",MCDM_Settings!$F$9,MCDM_Settings!$D$9)=0,"n.a.",5*(COUNTIF(V165:W165,"Y")+COUNTIF(V165:W165,"U")+COUNTIF(V165:W165,"X"))/IF($D165="Unlabeled-13",MCDM_Settings!$F$9,MCDM_Settings!$D$9))</f>
        <v>5</v>
      </c>
      <c r="AN165" s="13">
        <f>IF(IF($D165="Unlabeled-13",MCDM_Settings!$F$9,MCDM_Settings!$D$9)=0,"n.a.",(COUNTIF(V165:W165,"Y")+COUNTIF(V165:W165,"N"))/IF($D165="Unlabeled-13",MCDM_Settings!$F$9,MCDM_Settings!$D$9))</f>
        <v>1</v>
      </c>
      <c r="AO165" s="12">
        <f>IF(IF($D165="Unlabeled-13",MCDM_Settings!$F$10,MCDM_Settings!$D$10)=0,"n.a.",5*COUNTIF(X165:Y165,"Y")/IF($D165="Unlabeled-13",MCDM_Settings!$F$10,MCDM_Settings!$D$10))</f>
        <v>2.5</v>
      </c>
      <c r="AP165" s="12">
        <f>IF(IF($D165="Unlabeled-13",MCDM_Settings!$F$10,MCDM_Settings!$D$10)=0,"n.a.",5*(COUNTIF(X165:Y165,"Y")+COUNTIF(X165:Y165,"U")+COUNTIF(X165:Y165,"X"))/IF($D165="Unlabeled-13",MCDM_Settings!$F$10,MCDM_Settings!$D$10))</f>
        <v>5</v>
      </c>
      <c r="AQ165" s="13">
        <f>IF(IF($D165="Unlabeled-13",MCDM_Settings!$F$10,MCDM_Settings!$D$10)=0,"n.a.",(COUNTIF(X165:Y165,"Y")+COUNTIF(X165:Y165,"N"))/IF($D165="Unlabeled-13",MCDM_Settings!$F$10,MCDM_Settings!$D$10))</f>
        <v>0.5</v>
      </c>
      <c r="AR165" s="12">
        <f>IF(IF($D165="Unlabeled-13",MCDM_Settings!$F$11,MCDM_Settings!$D$11)=0,"n.a.",5*COUNTIF(Z165:AB165,"Y")/IF($D165="Unlabeled-13",MCDM_Settings!$F$11,MCDM_Settings!$D$11))</f>
        <v>5</v>
      </c>
      <c r="AS165" s="12">
        <f>IF(IF($D165="Unlabeled-13",MCDM_Settings!$F$11,MCDM_Settings!$D$11)=0,"n.a.",5*(COUNTIF(Z165:AB165,"Y")+COUNTIF(Z165:AB165,"U")+COUNTIF(Z165:AB165,"X"))/IF($D165="Unlabeled-13",MCDM_Settings!$F$11,MCDM_Settings!$D$11))</f>
        <v>5</v>
      </c>
      <c r="AT165" s="13">
        <f>IF(IF($D165="Unlabeled-13",MCDM_Settings!$F$11,MCDM_Settings!$D$11)=0,"n.a.",(COUNTIF(Z165:AB165,"Y")+COUNTIF(Z165:AB165,"N"))/IF($D165="Unlabeled-13",MCDM_Settings!$F$11,MCDM_Settings!$D$11))</f>
        <v>1</v>
      </c>
      <c r="AU165" s="5" t="str">
        <f>IF(AND(INDEX(Manual_Review!$G$6:$G$238,MATCH(A165,Manual_Review!$A$6:$A$238,0))&lt;&gt;"",ISNUMBER(INDEX(Manual_Review!$H$6:$H$238,MATCH(A165,Manual_Review!$A$6:$A$238,0))),INDEX(Manual_Review!$H$6:$H$238,MATCH(A165,Manual_Review!$A$6:$A$238,0))&gt;0,INDEX(Manual_Review!$I$6:$I$238,MATCH(A165,Manual_Review!$A$6:$A$238,0))="Confirmed",INDEX(Manual_Review!$AF$6:$AF$238,MATCH(A165,Manual_Review!$A$6:$A$238,0))&lt;&gt;""),IF(INDEX(Manual_Review!$AA$6:$AA$238,MATCH(A165,Manual_Review!$A$6:$A$238,0))="Pass","Pass",IF(INDEX(Manual_Review!$AA$6:$AA$238,MATCH(A165,Manual_Review!$A$6:$A$238,0))="Fail","Fail","Pending")),"Pending human identity confirmation")</f>
        <v>Pending human identity confirmation</v>
      </c>
      <c r="AV165" s="5" t="str">
        <f>IF(AND(AND(INDEX(Manual_Review!$G$6:$G$238,MATCH(A165,Manual_Review!$A$6:$A$238,0))&lt;&gt;"",ISNUMBER(INDEX(Manual_Review!$H$6:$H$238,MATCH(A165,Manual_Review!$A$6:$A$238,0))),INDEX(Manual_Review!$H$6:$H$238,MATCH(A165,Manual_Review!$A$6:$A$238,0))&gt;0,INDEX(Manual_Review!$I$6:$I$238,MATCH(A165,Manual_Review!$A$6:$A$238,0))="Confirmed",INDEX(Manual_Review!$AF$6:$AF$238,MATCH(A165,Manual_Review!$A$6:$A$238,0))&lt;&gt;""),INDEX(Manual_Review!$AG$6:$AG$238,MATCH(A165,Manual_Review!$A$6:$A$238,0))&lt;&gt;""),IF(INDEX(Manual_Review!$AB$6:$AB$238,MATCH(A165,Manual_Review!$A$6:$A$238,0))="Pass","Pass",IF(INDEX(Manual_Review!$AB$6:$AB$238,MATCH(A165,Manual_Review!$A$6:$A$238,0))="Fail","Fail","Pending")),"Not assessed: define intended task")</f>
        <v>Not assessed: define intended task</v>
      </c>
      <c r="AW165" s="5" t="str">
        <f>IF(AND(AND(INDEX(Manual_Review!$G$6:$G$238,MATCH(A165,Manual_Review!$A$6:$A$238,0))&lt;&gt;"",ISNUMBER(INDEX(Manual_Review!$H$6:$H$238,MATCH(A165,Manual_Review!$A$6:$A$238,0))),INDEX(Manual_Review!$H$6:$H$238,MATCH(A165,Manual_Review!$A$6:$A$238,0))&gt;0,INDEX(Manual_Review!$I$6:$I$238,MATCH(A165,Manual_Review!$A$6:$A$238,0))="Confirmed",INDEX(Manual_Review!$AF$6:$AF$238,MATCH(A165,Manual_Review!$A$6:$A$238,0))&lt;&gt;""),INDEX(Manual_Review!$AG$6:$AG$238,MATCH(A165,Manual_Review!$A$6:$A$238,0))&lt;&gt;""),IF(OR(INDEX(Manual_Review!$AC$6:$AC$238,MATCH(A165,Manual_Review!$A$6:$A$238,0))="Fail",INDEX(Manual_Review!$AD$6:$AD$238,MATCH(A165,Manual_Review!$A$6:$A$238,0))="Fail"),"Fail: rights or retrieval",IF(AND(INDEX(Manual_Review!$AC$6:$AC$238,MATCH(A165,Manual_Review!$A$6:$A$238,0))="Pass",INDEX(Manual_Review!$AD$6:$AD$238,MATCH(A165,Manual_Review!$A$6:$A$238,0))="Pass"),"Pass","Pending rights and retrieval")),"Pending rights and retrieval")</f>
        <v>Pending rights and retrieval</v>
      </c>
      <c r="AX165" s="5" t="str">
        <f>IF(INDEX(Manual_Review!$AG$6:$AG$238,MATCH(A165,Manual_Review!$A$6:$A$238,0))="","N/A: documentation inventory",IF(AND(INDEX(Manual_Review!$G$6:$G$238,MATCH(A165,Manual_Review!$A$6:$A$238,0))&lt;&gt;"",ISNUMBER(INDEX(Manual_Review!$H$6:$H$238,MATCH(A165,Manual_Review!$A$6:$A$238,0))),INDEX(Manual_Review!$H$6:$H$238,MATCH(A165,Manual_Review!$A$6:$A$238,0))&gt;0,INDEX(Manual_Review!$I$6:$I$238,MATCH(A165,Manual_Review!$A$6:$A$238,0))="Confirmed",INDEX(Manual_Review!$AF$6:$AF$238,MATCH(A165,Manual_Review!$A$6:$A$238,0))&lt;&gt;""),IF(INDEX(Manual_Review!$AE$6:$AE$238,MATCH(A165,Manual_Review!$A$6:$A$238,0))="Pass","Pass",IF(INDEX(Manual_Review!$AE$6:$AE$238,MATCH(A165,Manual_Review!$A$6:$A$238,0))="Fail","Fail: benchmark leakage",IF(INDEX(Manual_Review!$AE$6:$AE$238,MATCH(A165,Manual_Review!$A$6:$A$238,0))="N/A","N/A: nonbenchmark task","Pending task-specific leakage check"))),"Pending task-specific leakage check"))</f>
        <v>N/A: documentation inventory</v>
      </c>
      <c r="AY165" s="5" t="str">
        <f>IF(IF(D165="Unlabeled-13",AND(ABS(MCDM_Settings!$D$14-1)&lt;0.0000001,MIN(MCDM_Settings!$E$6:$E$11)&gt;=0,MCDM_Settings!$E$7=0),AND(ABS(MCDM_Settings!$B$14-1)&lt;0.0000001,MIN(MCDM_Settings!$C$6:$C$11)&gt;=0)),"Valid","Check weights")</f>
        <v>Valid</v>
      </c>
      <c r="AZ165" s="5" t="str">
        <f>IF(AND(COUNTIF(MCDM_Checks!$B$6:$B$3733,A165)=16,COUNTIF(Manual_Review!$A$6:$A$238,A165)=1),"16 keys present","Check key count")</f>
        <v>16 keys present</v>
      </c>
    </row>
    <row r="166" spans="1:52">
      <c r="A166" s="5" t="s">
        <v>1821</v>
      </c>
      <c r="B166" s="5" t="s">
        <v>1822</v>
      </c>
      <c r="C166" s="5"/>
      <c r="D166" s="5" t="s">
        <v>118</v>
      </c>
      <c r="E166" s="12">
        <f>IF(OR(AY166&lt;&gt;"Valid",AZ166&lt;&gt;"16 keys present"),"Review settings",20*(IF(ISNUMBER(AC166),AC166*IF($D166="Unlabeled-13",MCDM_Settings!$E$6,MCDM_Settings!$C$6),0)+IF(ISNUMBER(AF166),AF166*IF($D166="Unlabeled-13",MCDM_Settings!$E$7,MCDM_Settings!$C$7),0)+IF(ISNUMBER(AI166),AI166*IF($D166="Unlabeled-13",MCDM_Settings!$E$8,MCDM_Settings!$C$8),0)+IF(ISNUMBER(AL166),AL166*IF($D166="Unlabeled-13",MCDM_Settings!$E$9,MCDM_Settings!$C$9),0)+IF(ISNUMBER(AO166),AO166*IF($D166="Unlabeled-13",MCDM_Settings!$E$10,MCDM_Settings!$C$10),0)+IF(ISNUMBER(AR166),AR166*IF($D166="Unlabeled-13",MCDM_Settings!$E$11,MCDM_Settings!$C$11),0)))</f>
        <v>44.444444444444436</v>
      </c>
      <c r="F166" s="12">
        <f>IF(OR(AY166&lt;&gt;"Valid",AZ166&lt;&gt;"16 keys present"),"Review settings",20*(IF(ISNUMBER(AD166),AD166*IF($D166="Unlabeled-13",MCDM_Settings!$E$6,MCDM_Settings!$C$6),0)+IF(ISNUMBER(AG166),AG166*IF($D166="Unlabeled-13",MCDM_Settings!$E$7,MCDM_Settings!$C$7),0)+IF(ISNUMBER(AJ166),AJ166*IF($D166="Unlabeled-13",MCDM_Settings!$E$8,MCDM_Settings!$C$8),0)+IF(ISNUMBER(AM166),AM166*IF($D166="Unlabeled-13",MCDM_Settings!$E$9,MCDM_Settings!$C$9),0)+IF(ISNUMBER(AP166),AP166*IF($D166="Unlabeled-13",MCDM_Settings!$E$10,MCDM_Settings!$C$10),0)+IF(ISNUMBER(AS166),AS166*IF($D166="Unlabeled-13",MCDM_Settings!$E$11,MCDM_Settings!$C$11),0)))</f>
        <v>99.999999999999986</v>
      </c>
      <c r="G166" s="13">
        <f>IF(OR(AY166&lt;&gt;"Valid",AZ166&lt;&gt;"16 keys present"),"Review settings",1*(IF(ISNUMBER(AE166),AE166*IF($D166="Unlabeled-13",MCDM_Settings!$E$6,MCDM_Settings!$C$6),0)+IF(ISNUMBER(AH166),AH166*IF($D166="Unlabeled-13",MCDM_Settings!$E$7,MCDM_Settings!$C$7),0)+IF(ISNUMBER(AK166),AK166*IF($D166="Unlabeled-13",MCDM_Settings!$E$8,MCDM_Settings!$C$8),0)+IF(ISNUMBER(AN166),AN166*IF($D166="Unlabeled-13",MCDM_Settings!$E$9,MCDM_Settings!$C$9),0)+IF(ISNUMBER(AQ166),AQ166*IF($D166="Unlabeled-13",MCDM_Settings!$E$10,MCDM_Settings!$C$10),0)+IF(ISNUMBER(AT166),AT166*IF($D166="Unlabeled-13",MCDM_Settings!$E$11,MCDM_Settings!$C$11),0)))</f>
        <v>0.44444444444444442</v>
      </c>
      <c r="H166" s="5" t="str">
        <f>INDEX(Manual_Review!$AH$6:$AH$238,MATCH(A166,Manual_Review!$A$6:$A$238,0))</f>
        <v>Not started</v>
      </c>
      <c r="I166" s="5" t="s">
        <v>128</v>
      </c>
      <c r="J166" s="5" t="s">
        <v>1823</v>
      </c>
      <c r="K166" s="5" t="str">
        <f>HYPERLINK("https://www.kaggle.com/datasets/rohitsuresh15/radroad-anomaly-detection","Dataset")</f>
        <v>Dataset</v>
      </c>
      <c r="L166" s="5" t="str">
        <f>HYPERLINK("#'Manual_Review'!A"&amp;(MATCH("DS-161",Manual_Review!$A$6:$A$238,0)+5),"Enter review")</f>
        <v>Enter review</v>
      </c>
      <c r="M166" s="5" t="str">
        <f>INDEX(MCDM_Checks!$K$6:$K$3733,MATCH(A166&amp;"|"&amp;M$5,MCDM_Checks!$A$6:$A$3733,0))</f>
        <v>Y</v>
      </c>
      <c r="N166" s="5" t="str">
        <f>INDEX(MCDM_Checks!$K$6:$K$3733,MATCH(A166&amp;"|"&amp;N$5,MCDM_Checks!$A$6:$A$3733,0))</f>
        <v>Y</v>
      </c>
      <c r="O166" s="5" t="str">
        <f>INDEX(MCDM_Checks!$K$6:$K$3733,MATCH(A166&amp;"|"&amp;O$5,MCDM_Checks!$A$6:$A$3733,0))</f>
        <v>Y</v>
      </c>
      <c r="P166" s="5" t="str">
        <f>INDEX(MCDM_Checks!$K$6:$K$3733,MATCH(A166&amp;"|"&amp;P$5,MCDM_Checks!$A$6:$A$3733,0))</f>
        <v>Y</v>
      </c>
      <c r="Q166" s="5" t="str">
        <f>INDEX(MCDM_Checks!$K$6:$K$3733,MATCH(A166&amp;"|"&amp;Q$5,MCDM_Checks!$A$6:$A$3733,0))</f>
        <v>U</v>
      </c>
      <c r="R166" s="5" t="str">
        <f>INDEX(MCDM_Checks!$K$6:$K$3733,MATCH(A166&amp;"|"&amp;R$5,MCDM_Checks!$A$6:$A$3733,0))</f>
        <v>U</v>
      </c>
      <c r="S166" s="5" t="str">
        <f>INDEX(MCDM_Checks!$K$6:$K$3733,MATCH(A166&amp;"|"&amp;S$5,MCDM_Checks!$A$6:$A$3733,0))</f>
        <v>U</v>
      </c>
      <c r="T166" s="5" t="str">
        <f>INDEX(MCDM_Checks!$K$6:$K$3733,MATCH(A166&amp;"|"&amp;T$5,MCDM_Checks!$A$6:$A$3733,0))</f>
        <v>U</v>
      </c>
      <c r="U166" s="5" t="str">
        <f>INDEX(MCDM_Checks!$K$6:$K$3733,MATCH(A166&amp;"|"&amp;U$5,MCDM_Checks!$A$6:$A$3733,0))</f>
        <v>Y</v>
      </c>
      <c r="V166" s="5" t="str">
        <f>INDEX(MCDM_Checks!$K$6:$K$3733,MATCH(A166&amp;"|"&amp;V$5,MCDM_Checks!$A$6:$A$3733,0))</f>
        <v>Y</v>
      </c>
      <c r="W166" s="5" t="str">
        <f>INDEX(MCDM_Checks!$K$6:$K$3733,MATCH(A166&amp;"|"&amp;W$5,MCDM_Checks!$A$6:$A$3733,0))</f>
        <v>U</v>
      </c>
      <c r="X166" s="5" t="str">
        <f>INDEX(MCDM_Checks!$K$6:$K$3733,MATCH(A166&amp;"|"&amp;X$5,MCDM_Checks!$A$6:$A$3733,0))</f>
        <v>Y</v>
      </c>
      <c r="Y166" s="5" t="str">
        <f>INDEX(MCDM_Checks!$K$6:$K$3733,MATCH(A166&amp;"|"&amp;Y$5,MCDM_Checks!$A$6:$A$3733,0))</f>
        <v>U</v>
      </c>
      <c r="Z166" s="5" t="str">
        <f>INDEX(MCDM_Checks!$K$6:$K$3733,MATCH(A166&amp;"|"&amp;Z$5,MCDM_Checks!$A$6:$A$3733,0))</f>
        <v>U</v>
      </c>
      <c r="AA166" s="5" t="str">
        <f>INDEX(MCDM_Checks!$K$6:$K$3733,MATCH(A166&amp;"|"&amp;AA$5,MCDM_Checks!$A$6:$A$3733,0))</f>
        <v>U</v>
      </c>
      <c r="AB166" s="5" t="str">
        <f>INDEX(MCDM_Checks!$K$6:$K$3733,MATCH(A166&amp;"|"&amp;AB$5,MCDM_Checks!$A$6:$A$3733,0))</f>
        <v>U</v>
      </c>
      <c r="AC166" s="12">
        <f>IF(IF($D166="Unlabeled-13",MCDM_Settings!$F$6,MCDM_Settings!$D$6)=0,"n.a.",5*COUNTIF(M166:O166,"Y")/IF($D166="Unlabeled-13",MCDM_Settings!$F$6,MCDM_Settings!$D$6))</f>
        <v>5</v>
      </c>
      <c r="AD166" s="12">
        <f>IF(IF($D166="Unlabeled-13",MCDM_Settings!$F$6,MCDM_Settings!$D$6)=0,"n.a.",5*(COUNTIF(M166:O166,"Y")+COUNTIF(M166:O166,"U")+COUNTIF(M166:O166,"X"))/IF($D166="Unlabeled-13",MCDM_Settings!$F$6,MCDM_Settings!$D$6))</f>
        <v>5</v>
      </c>
      <c r="AE166" s="13">
        <f>IF(IF($D166="Unlabeled-13",MCDM_Settings!$F$6,MCDM_Settings!$D$6)=0,"n.a.",(COUNTIF(M166:O166,"Y")+COUNTIF(M166:O166,"N"))/IF($D166="Unlabeled-13",MCDM_Settings!$F$6,MCDM_Settings!$D$6))</f>
        <v>1</v>
      </c>
      <c r="AF166" s="12">
        <f>IF(IF($D166="Unlabeled-13",MCDM_Settings!$F$7,MCDM_Settings!$D$7)=0,"n.a.",5*COUNTIF(P166:R166,"Y")/IF($D166="Unlabeled-13",MCDM_Settings!$F$7,MCDM_Settings!$D$7))</f>
        <v>1.6666666666666667</v>
      </c>
      <c r="AG166" s="12">
        <f>IF(IF($D166="Unlabeled-13",MCDM_Settings!$F$7,MCDM_Settings!$D$7)=0,"n.a.",5*(COUNTIF(P166:R166,"Y")+COUNTIF(P166:R166,"U")+COUNTIF(P166:R166,"X"))/IF($D166="Unlabeled-13",MCDM_Settings!$F$7,MCDM_Settings!$D$7))</f>
        <v>5</v>
      </c>
      <c r="AH166" s="13">
        <f>IF(IF($D166="Unlabeled-13",MCDM_Settings!$F$7,MCDM_Settings!$D$7)=0,"n.a.",(COUNTIF(P166:R166,"Y")+COUNTIF(P166:R166,"N"))/IF($D166="Unlabeled-13",MCDM_Settings!$F$7,MCDM_Settings!$D$7))</f>
        <v>0.33333333333333331</v>
      </c>
      <c r="AI166" s="12">
        <f>IF(IF($D166="Unlabeled-13",MCDM_Settings!$F$8,MCDM_Settings!$D$8)=0,"n.a.",5*COUNTIF(S166:U166,"Y")/IF($D166="Unlabeled-13",MCDM_Settings!$F$8,MCDM_Settings!$D$8))</f>
        <v>1.6666666666666667</v>
      </c>
      <c r="AJ166" s="12">
        <f>IF(IF($D166="Unlabeled-13",MCDM_Settings!$F$8,MCDM_Settings!$D$8)=0,"n.a.",5*(COUNTIF(S166:U166,"Y")+COUNTIF(S166:U166,"U")+COUNTIF(S166:U166,"X"))/IF($D166="Unlabeled-13",MCDM_Settings!$F$8,MCDM_Settings!$D$8))</f>
        <v>5</v>
      </c>
      <c r="AK166" s="13">
        <f>IF(IF($D166="Unlabeled-13",MCDM_Settings!$F$8,MCDM_Settings!$D$8)=0,"n.a.",(COUNTIF(S166:U166,"Y")+COUNTIF(S166:U166,"N"))/IF($D166="Unlabeled-13",MCDM_Settings!$F$8,MCDM_Settings!$D$8))</f>
        <v>0.33333333333333331</v>
      </c>
      <c r="AL166" s="12">
        <f>IF(IF($D166="Unlabeled-13",MCDM_Settings!$F$9,MCDM_Settings!$D$9)=0,"n.a.",5*COUNTIF(V166:W166,"Y")/IF($D166="Unlabeled-13",MCDM_Settings!$F$9,MCDM_Settings!$D$9))</f>
        <v>2.5</v>
      </c>
      <c r="AM166" s="12">
        <f>IF(IF($D166="Unlabeled-13",MCDM_Settings!$F$9,MCDM_Settings!$D$9)=0,"n.a.",5*(COUNTIF(V166:W166,"Y")+COUNTIF(V166:W166,"U")+COUNTIF(V166:W166,"X"))/IF($D166="Unlabeled-13",MCDM_Settings!$F$9,MCDM_Settings!$D$9))</f>
        <v>5</v>
      </c>
      <c r="AN166" s="13">
        <f>IF(IF($D166="Unlabeled-13",MCDM_Settings!$F$9,MCDM_Settings!$D$9)=0,"n.a.",(COUNTIF(V166:W166,"Y")+COUNTIF(V166:W166,"N"))/IF($D166="Unlabeled-13",MCDM_Settings!$F$9,MCDM_Settings!$D$9))</f>
        <v>0.5</v>
      </c>
      <c r="AO166" s="12">
        <f>IF(IF($D166="Unlabeled-13",MCDM_Settings!$F$10,MCDM_Settings!$D$10)=0,"n.a.",5*COUNTIF(X166:Y166,"Y")/IF($D166="Unlabeled-13",MCDM_Settings!$F$10,MCDM_Settings!$D$10))</f>
        <v>2.5</v>
      </c>
      <c r="AP166" s="12">
        <f>IF(IF($D166="Unlabeled-13",MCDM_Settings!$F$10,MCDM_Settings!$D$10)=0,"n.a.",5*(COUNTIF(X166:Y166,"Y")+COUNTIF(X166:Y166,"U")+COUNTIF(X166:Y166,"X"))/IF($D166="Unlabeled-13",MCDM_Settings!$F$10,MCDM_Settings!$D$10))</f>
        <v>5</v>
      </c>
      <c r="AQ166" s="13">
        <f>IF(IF($D166="Unlabeled-13",MCDM_Settings!$F$10,MCDM_Settings!$D$10)=0,"n.a.",(COUNTIF(X166:Y166,"Y")+COUNTIF(X166:Y166,"N"))/IF($D166="Unlabeled-13",MCDM_Settings!$F$10,MCDM_Settings!$D$10))</f>
        <v>0.5</v>
      </c>
      <c r="AR166" s="12">
        <f>IF(IF($D166="Unlabeled-13",MCDM_Settings!$F$11,MCDM_Settings!$D$11)=0,"n.a.",5*COUNTIF(Z166:AB166,"Y")/IF($D166="Unlabeled-13",MCDM_Settings!$F$11,MCDM_Settings!$D$11))</f>
        <v>0</v>
      </c>
      <c r="AS166" s="12">
        <f>IF(IF($D166="Unlabeled-13",MCDM_Settings!$F$11,MCDM_Settings!$D$11)=0,"n.a.",5*(COUNTIF(Z166:AB166,"Y")+COUNTIF(Z166:AB166,"U")+COUNTIF(Z166:AB166,"X"))/IF($D166="Unlabeled-13",MCDM_Settings!$F$11,MCDM_Settings!$D$11))</f>
        <v>5</v>
      </c>
      <c r="AT166" s="13">
        <f>IF(IF($D166="Unlabeled-13",MCDM_Settings!$F$11,MCDM_Settings!$D$11)=0,"n.a.",(COUNTIF(Z166:AB166,"Y")+COUNTIF(Z166:AB166,"N"))/IF($D166="Unlabeled-13",MCDM_Settings!$F$11,MCDM_Settings!$D$11))</f>
        <v>0</v>
      </c>
      <c r="AU166" s="5" t="str">
        <f>IF(AND(INDEX(Manual_Review!$G$6:$G$238,MATCH(A166,Manual_Review!$A$6:$A$238,0))&lt;&gt;"",ISNUMBER(INDEX(Manual_Review!$H$6:$H$238,MATCH(A166,Manual_Review!$A$6:$A$238,0))),INDEX(Manual_Review!$H$6:$H$238,MATCH(A166,Manual_Review!$A$6:$A$238,0))&gt;0,INDEX(Manual_Review!$I$6:$I$238,MATCH(A166,Manual_Review!$A$6:$A$238,0))="Confirmed",INDEX(Manual_Review!$AF$6:$AF$238,MATCH(A166,Manual_Review!$A$6:$A$238,0))&lt;&gt;""),IF(INDEX(Manual_Review!$AA$6:$AA$238,MATCH(A166,Manual_Review!$A$6:$A$238,0))="Pass","Pass",IF(INDEX(Manual_Review!$AA$6:$AA$238,MATCH(A166,Manual_Review!$A$6:$A$238,0))="Fail","Fail","Pending")),"Pending human identity confirmation")</f>
        <v>Pending human identity confirmation</v>
      </c>
      <c r="AV166" s="5" t="str">
        <f>IF(AND(AND(INDEX(Manual_Review!$G$6:$G$238,MATCH(A166,Manual_Review!$A$6:$A$238,0))&lt;&gt;"",ISNUMBER(INDEX(Manual_Review!$H$6:$H$238,MATCH(A166,Manual_Review!$A$6:$A$238,0))),INDEX(Manual_Review!$H$6:$H$238,MATCH(A166,Manual_Review!$A$6:$A$238,0))&gt;0,INDEX(Manual_Review!$I$6:$I$238,MATCH(A166,Manual_Review!$A$6:$A$238,0))="Confirmed",INDEX(Manual_Review!$AF$6:$AF$238,MATCH(A166,Manual_Review!$A$6:$A$238,0))&lt;&gt;""),INDEX(Manual_Review!$AG$6:$AG$238,MATCH(A166,Manual_Review!$A$6:$A$238,0))&lt;&gt;""),IF(INDEX(Manual_Review!$AB$6:$AB$238,MATCH(A166,Manual_Review!$A$6:$A$238,0))="Pass","Pass",IF(INDEX(Manual_Review!$AB$6:$AB$238,MATCH(A166,Manual_Review!$A$6:$A$238,0))="Fail","Fail","Pending")),"Not assessed: define intended task")</f>
        <v>Not assessed: define intended task</v>
      </c>
      <c r="AW166" s="5" t="str">
        <f>IF(AND(AND(INDEX(Manual_Review!$G$6:$G$238,MATCH(A166,Manual_Review!$A$6:$A$238,0))&lt;&gt;"",ISNUMBER(INDEX(Manual_Review!$H$6:$H$238,MATCH(A166,Manual_Review!$A$6:$A$238,0))),INDEX(Manual_Review!$H$6:$H$238,MATCH(A166,Manual_Review!$A$6:$A$238,0))&gt;0,INDEX(Manual_Review!$I$6:$I$238,MATCH(A166,Manual_Review!$A$6:$A$238,0))="Confirmed",INDEX(Manual_Review!$AF$6:$AF$238,MATCH(A166,Manual_Review!$A$6:$A$238,0))&lt;&gt;""),INDEX(Manual_Review!$AG$6:$AG$238,MATCH(A166,Manual_Review!$A$6:$A$238,0))&lt;&gt;""),IF(OR(INDEX(Manual_Review!$AC$6:$AC$238,MATCH(A166,Manual_Review!$A$6:$A$238,0))="Fail",INDEX(Manual_Review!$AD$6:$AD$238,MATCH(A166,Manual_Review!$A$6:$A$238,0))="Fail"),"Fail: rights or retrieval",IF(AND(INDEX(Manual_Review!$AC$6:$AC$238,MATCH(A166,Manual_Review!$A$6:$A$238,0))="Pass",INDEX(Manual_Review!$AD$6:$AD$238,MATCH(A166,Manual_Review!$A$6:$A$238,0))="Pass"),"Pass","Pending rights and retrieval")),"Pending rights and retrieval")</f>
        <v>Pending rights and retrieval</v>
      </c>
      <c r="AX166" s="5" t="str">
        <f>IF(INDEX(Manual_Review!$AG$6:$AG$238,MATCH(A166,Manual_Review!$A$6:$A$238,0))="","N/A: documentation inventory",IF(AND(INDEX(Manual_Review!$G$6:$G$238,MATCH(A166,Manual_Review!$A$6:$A$238,0))&lt;&gt;"",ISNUMBER(INDEX(Manual_Review!$H$6:$H$238,MATCH(A166,Manual_Review!$A$6:$A$238,0))),INDEX(Manual_Review!$H$6:$H$238,MATCH(A166,Manual_Review!$A$6:$A$238,0))&gt;0,INDEX(Manual_Review!$I$6:$I$238,MATCH(A166,Manual_Review!$A$6:$A$238,0))="Confirmed",INDEX(Manual_Review!$AF$6:$AF$238,MATCH(A166,Manual_Review!$A$6:$A$238,0))&lt;&gt;""),IF(INDEX(Manual_Review!$AE$6:$AE$238,MATCH(A166,Manual_Review!$A$6:$A$238,0))="Pass","Pass",IF(INDEX(Manual_Review!$AE$6:$AE$238,MATCH(A166,Manual_Review!$A$6:$A$238,0))="Fail","Fail: benchmark leakage",IF(INDEX(Manual_Review!$AE$6:$AE$238,MATCH(A166,Manual_Review!$A$6:$A$238,0))="N/A","N/A: nonbenchmark task","Pending task-specific leakage check"))),"Pending task-specific leakage check"))</f>
        <v>N/A: documentation inventory</v>
      </c>
      <c r="AY166" s="5" t="str">
        <f>IF(IF(D166="Unlabeled-13",AND(ABS(MCDM_Settings!$D$14-1)&lt;0.0000001,MIN(MCDM_Settings!$E$6:$E$11)&gt;=0,MCDM_Settings!$E$7=0),AND(ABS(MCDM_Settings!$B$14-1)&lt;0.0000001,MIN(MCDM_Settings!$C$6:$C$11)&gt;=0)),"Valid","Check weights")</f>
        <v>Valid</v>
      </c>
      <c r="AZ166" s="5" t="str">
        <f>IF(AND(COUNTIF(MCDM_Checks!$B$6:$B$3733,A166)=16,COUNTIF(Manual_Review!$A$6:$A$238,A166)=1),"16 keys present","Check key count")</f>
        <v>16 keys present</v>
      </c>
    </row>
    <row r="167" spans="1:52">
      <c r="A167" s="5" t="s">
        <v>1831</v>
      </c>
      <c r="B167" s="5" t="s">
        <v>1832</v>
      </c>
      <c r="C167" s="5"/>
      <c r="D167" s="5" t="s">
        <v>118</v>
      </c>
      <c r="E167" s="12">
        <f>IF(OR(AY167&lt;&gt;"Valid",AZ167&lt;&gt;"16 keys present"),"Review settings",20*(IF(ISNUMBER(AC167),AC167*IF($D167="Unlabeled-13",MCDM_Settings!$E$6,MCDM_Settings!$C$6),0)+IF(ISNUMBER(AF167),AF167*IF($D167="Unlabeled-13",MCDM_Settings!$E$7,MCDM_Settings!$C$7),0)+IF(ISNUMBER(AI167),AI167*IF($D167="Unlabeled-13",MCDM_Settings!$E$8,MCDM_Settings!$C$8),0)+IF(ISNUMBER(AL167),AL167*IF($D167="Unlabeled-13",MCDM_Settings!$E$9,MCDM_Settings!$C$9),0)+IF(ISNUMBER(AO167),AO167*IF($D167="Unlabeled-13",MCDM_Settings!$E$10,MCDM_Settings!$C$10),0)+IF(ISNUMBER(AR167),AR167*IF($D167="Unlabeled-13",MCDM_Settings!$E$11,MCDM_Settings!$C$11),0)))</f>
        <v>38.888888888888893</v>
      </c>
      <c r="F167" s="12">
        <f>IF(OR(AY167&lt;&gt;"Valid",AZ167&lt;&gt;"16 keys present"),"Review settings",20*(IF(ISNUMBER(AD167),AD167*IF($D167="Unlabeled-13",MCDM_Settings!$E$6,MCDM_Settings!$C$6),0)+IF(ISNUMBER(AG167),AG167*IF($D167="Unlabeled-13",MCDM_Settings!$E$7,MCDM_Settings!$C$7),0)+IF(ISNUMBER(AJ167),AJ167*IF($D167="Unlabeled-13",MCDM_Settings!$E$8,MCDM_Settings!$C$8),0)+IF(ISNUMBER(AM167),AM167*IF($D167="Unlabeled-13",MCDM_Settings!$E$9,MCDM_Settings!$C$9),0)+IF(ISNUMBER(AP167),AP167*IF($D167="Unlabeled-13",MCDM_Settings!$E$10,MCDM_Settings!$C$10),0)+IF(ISNUMBER(AS167),AS167*IF($D167="Unlabeled-13",MCDM_Settings!$E$11,MCDM_Settings!$C$11),0)))</f>
        <v>99.999999999999986</v>
      </c>
      <c r="G167" s="13">
        <f>IF(OR(AY167&lt;&gt;"Valid",AZ167&lt;&gt;"16 keys present"),"Review settings",1*(IF(ISNUMBER(AE167),AE167*IF($D167="Unlabeled-13",MCDM_Settings!$E$6,MCDM_Settings!$C$6),0)+IF(ISNUMBER(AH167),AH167*IF($D167="Unlabeled-13",MCDM_Settings!$E$7,MCDM_Settings!$C$7),0)+IF(ISNUMBER(AK167),AK167*IF($D167="Unlabeled-13",MCDM_Settings!$E$8,MCDM_Settings!$C$8),0)+IF(ISNUMBER(AN167),AN167*IF($D167="Unlabeled-13",MCDM_Settings!$E$9,MCDM_Settings!$C$9),0)+IF(ISNUMBER(AQ167),AQ167*IF($D167="Unlabeled-13",MCDM_Settings!$E$10,MCDM_Settings!$C$10),0)+IF(ISNUMBER(AT167),AT167*IF($D167="Unlabeled-13",MCDM_Settings!$E$11,MCDM_Settings!$C$11),0)))</f>
        <v>0.38888888888888884</v>
      </c>
      <c r="H167" s="5" t="str">
        <f>INDEX(Manual_Review!$AH$6:$AH$238,MATCH(A167,Manual_Review!$A$6:$A$238,0))</f>
        <v>Not started</v>
      </c>
      <c r="I167" s="5" t="s">
        <v>128</v>
      </c>
      <c r="J167" s="5" t="s">
        <v>1601</v>
      </c>
      <c r="K167" s="5" t="str">
        <f>HYPERLINK("https://www.kaggle.com/datasets/juusos/rdd2022es","Dataset")</f>
        <v>Dataset</v>
      </c>
      <c r="L167" s="5" t="str">
        <f>HYPERLINK("#'Manual_Review'!A"&amp;(MATCH("DS-162",Manual_Review!$A$6:$A$238,0)+5),"Enter review")</f>
        <v>Enter review</v>
      </c>
      <c r="M167" s="5" t="str">
        <f>INDEX(MCDM_Checks!$K$6:$K$3733,MATCH(A167&amp;"|"&amp;M$5,MCDM_Checks!$A$6:$A$3733,0))</f>
        <v>Y</v>
      </c>
      <c r="N167" s="5" t="str">
        <f>INDEX(MCDM_Checks!$K$6:$K$3733,MATCH(A167&amp;"|"&amp;N$5,MCDM_Checks!$A$6:$A$3733,0))</f>
        <v>Y</v>
      </c>
      <c r="O167" s="5" t="str">
        <f>INDEX(MCDM_Checks!$K$6:$K$3733,MATCH(A167&amp;"|"&amp;O$5,MCDM_Checks!$A$6:$A$3733,0))</f>
        <v>X</v>
      </c>
      <c r="P167" s="5" t="str">
        <f>INDEX(MCDM_Checks!$K$6:$K$3733,MATCH(A167&amp;"|"&amp;P$5,MCDM_Checks!$A$6:$A$3733,0))</f>
        <v>Y</v>
      </c>
      <c r="Q167" s="5" t="str">
        <f>INDEX(MCDM_Checks!$K$6:$K$3733,MATCH(A167&amp;"|"&amp;Q$5,MCDM_Checks!$A$6:$A$3733,0))</f>
        <v>U</v>
      </c>
      <c r="R167" s="5" t="str">
        <f>INDEX(MCDM_Checks!$K$6:$K$3733,MATCH(A167&amp;"|"&amp;R$5,MCDM_Checks!$A$6:$A$3733,0))</f>
        <v>Y</v>
      </c>
      <c r="S167" s="5" t="str">
        <f>INDEX(MCDM_Checks!$K$6:$K$3733,MATCH(A167&amp;"|"&amp;S$5,MCDM_Checks!$A$6:$A$3733,0))</f>
        <v>U</v>
      </c>
      <c r="T167" s="5" t="str">
        <f>INDEX(MCDM_Checks!$K$6:$K$3733,MATCH(A167&amp;"|"&amp;T$5,MCDM_Checks!$A$6:$A$3733,0))</f>
        <v>Y</v>
      </c>
      <c r="U167" s="5" t="str">
        <f>INDEX(MCDM_Checks!$K$6:$K$3733,MATCH(A167&amp;"|"&amp;U$5,MCDM_Checks!$A$6:$A$3733,0))</f>
        <v>Y</v>
      </c>
      <c r="V167" s="5" t="str">
        <f>INDEX(MCDM_Checks!$K$6:$K$3733,MATCH(A167&amp;"|"&amp;V$5,MCDM_Checks!$A$6:$A$3733,0))</f>
        <v>U</v>
      </c>
      <c r="W167" s="5" t="str">
        <f>INDEX(MCDM_Checks!$K$6:$K$3733,MATCH(A167&amp;"|"&amp;W$5,MCDM_Checks!$A$6:$A$3733,0))</f>
        <v>U</v>
      </c>
      <c r="X167" s="5" t="str">
        <f>INDEX(MCDM_Checks!$K$6:$K$3733,MATCH(A167&amp;"|"&amp;X$5,MCDM_Checks!$A$6:$A$3733,0))</f>
        <v>U</v>
      </c>
      <c r="Y167" s="5" t="str">
        <f>INDEX(MCDM_Checks!$K$6:$K$3733,MATCH(A167&amp;"|"&amp;Y$5,MCDM_Checks!$A$6:$A$3733,0))</f>
        <v>U</v>
      </c>
      <c r="Z167" s="5" t="str">
        <f>INDEX(MCDM_Checks!$K$6:$K$3733,MATCH(A167&amp;"|"&amp;Z$5,MCDM_Checks!$A$6:$A$3733,0))</f>
        <v>U</v>
      </c>
      <c r="AA167" s="5" t="str">
        <f>INDEX(MCDM_Checks!$K$6:$K$3733,MATCH(A167&amp;"|"&amp;AA$5,MCDM_Checks!$A$6:$A$3733,0))</f>
        <v>U</v>
      </c>
      <c r="AB167" s="5" t="str">
        <f>INDEX(MCDM_Checks!$K$6:$K$3733,MATCH(A167&amp;"|"&amp;AB$5,MCDM_Checks!$A$6:$A$3733,0))</f>
        <v>Y</v>
      </c>
      <c r="AC167" s="12">
        <f>IF(IF($D167="Unlabeled-13",MCDM_Settings!$F$6,MCDM_Settings!$D$6)=0,"n.a.",5*COUNTIF(M167:O167,"Y")/IF($D167="Unlabeled-13",MCDM_Settings!$F$6,MCDM_Settings!$D$6))</f>
        <v>3.3333333333333335</v>
      </c>
      <c r="AD167" s="12">
        <f>IF(IF($D167="Unlabeled-13",MCDM_Settings!$F$6,MCDM_Settings!$D$6)=0,"n.a.",5*(COUNTIF(M167:O167,"Y")+COUNTIF(M167:O167,"U")+COUNTIF(M167:O167,"X"))/IF($D167="Unlabeled-13",MCDM_Settings!$F$6,MCDM_Settings!$D$6))</f>
        <v>5</v>
      </c>
      <c r="AE167" s="13">
        <f>IF(IF($D167="Unlabeled-13",MCDM_Settings!$F$6,MCDM_Settings!$D$6)=0,"n.a.",(COUNTIF(M167:O167,"Y")+COUNTIF(M167:O167,"N"))/IF($D167="Unlabeled-13",MCDM_Settings!$F$6,MCDM_Settings!$D$6))</f>
        <v>0.66666666666666663</v>
      </c>
      <c r="AF167" s="12">
        <f>IF(IF($D167="Unlabeled-13",MCDM_Settings!$F$7,MCDM_Settings!$D$7)=0,"n.a.",5*COUNTIF(P167:R167,"Y")/IF($D167="Unlabeled-13",MCDM_Settings!$F$7,MCDM_Settings!$D$7))</f>
        <v>3.3333333333333335</v>
      </c>
      <c r="AG167" s="12">
        <f>IF(IF($D167="Unlabeled-13",MCDM_Settings!$F$7,MCDM_Settings!$D$7)=0,"n.a.",5*(COUNTIF(P167:R167,"Y")+COUNTIF(P167:R167,"U")+COUNTIF(P167:R167,"X"))/IF($D167="Unlabeled-13",MCDM_Settings!$F$7,MCDM_Settings!$D$7))</f>
        <v>5</v>
      </c>
      <c r="AH167" s="13">
        <f>IF(IF($D167="Unlabeled-13",MCDM_Settings!$F$7,MCDM_Settings!$D$7)=0,"n.a.",(COUNTIF(P167:R167,"Y")+COUNTIF(P167:R167,"N"))/IF($D167="Unlabeled-13",MCDM_Settings!$F$7,MCDM_Settings!$D$7))</f>
        <v>0.66666666666666663</v>
      </c>
      <c r="AI167" s="12">
        <f>IF(IF($D167="Unlabeled-13",MCDM_Settings!$F$8,MCDM_Settings!$D$8)=0,"n.a.",5*COUNTIF(S167:U167,"Y")/IF($D167="Unlabeled-13",MCDM_Settings!$F$8,MCDM_Settings!$D$8))</f>
        <v>3.3333333333333335</v>
      </c>
      <c r="AJ167" s="12">
        <f>IF(IF($D167="Unlabeled-13",MCDM_Settings!$F$8,MCDM_Settings!$D$8)=0,"n.a.",5*(COUNTIF(S167:U167,"Y")+COUNTIF(S167:U167,"U")+COUNTIF(S167:U167,"X"))/IF($D167="Unlabeled-13",MCDM_Settings!$F$8,MCDM_Settings!$D$8))</f>
        <v>5</v>
      </c>
      <c r="AK167" s="13">
        <f>IF(IF($D167="Unlabeled-13",MCDM_Settings!$F$8,MCDM_Settings!$D$8)=0,"n.a.",(COUNTIF(S167:U167,"Y")+COUNTIF(S167:U167,"N"))/IF($D167="Unlabeled-13",MCDM_Settings!$F$8,MCDM_Settings!$D$8))</f>
        <v>0.66666666666666663</v>
      </c>
      <c r="AL167" s="12">
        <f>IF(IF($D167="Unlabeled-13",MCDM_Settings!$F$9,MCDM_Settings!$D$9)=0,"n.a.",5*COUNTIF(V167:W167,"Y")/IF($D167="Unlabeled-13",MCDM_Settings!$F$9,MCDM_Settings!$D$9))</f>
        <v>0</v>
      </c>
      <c r="AM167" s="12">
        <f>IF(IF($D167="Unlabeled-13",MCDM_Settings!$F$9,MCDM_Settings!$D$9)=0,"n.a.",5*(COUNTIF(V167:W167,"Y")+COUNTIF(V167:W167,"U")+COUNTIF(V167:W167,"X"))/IF($D167="Unlabeled-13",MCDM_Settings!$F$9,MCDM_Settings!$D$9))</f>
        <v>5</v>
      </c>
      <c r="AN167" s="13">
        <f>IF(IF($D167="Unlabeled-13",MCDM_Settings!$F$9,MCDM_Settings!$D$9)=0,"n.a.",(COUNTIF(V167:W167,"Y")+COUNTIF(V167:W167,"N"))/IF($D167="Unlabeled-13",MCDM_Settings!$F$9,MCDM_Settings!$D$9))</f>
        <v>0</v>
      </c>
      <c r="AO167" s="12">
        <f>IF(IF($D167="Unlabeled-13",MCDM_Settings!$F$10,MCDM_Settings!$D$10)=0,"n.a.",5*COUNTIF(X167:Y167,"Y")/IF($D167="Unlabeled-13",MCDM_Settings!$F$10,MCDM_Settings!$D$10))</f>
        <v>0</v>
      </c>
      <c r="AP167" s="12">
        <f>IF(IF($D167="Unlabeled-13",MCDM_Settings!$F$10,MCDM_Settings!$D$10)=0,"n.a.",5*(COUNTIF(X167:Y167,"Y")+COUNTIF(X167:Y167,"U")+COUNTIF(X167:Y167,"X"))/IF($D167="Unlabeled-13",MCDM_Settings!$F$10,MCDM_Settings!$D$10))</f>
        <v>5</v>
      </c>
      <c r="AQ167" s="13">
        <f>IF(IF($D167="Unlabeled-13",MCDM_Settings!$F$10,MCDM_Settings!$D$10)=0,"n.a.",(COUNTIF(X167:Y167,"Y")+COUNTIF(X167:Y167,"N"))/IF($D167="Unlabeled-13",MCDM_Settings!$F$10,MCDM_Settings!$D$10))</f>
        <v>0</v>
      </c>
      <c r="AR167" s="12">
        <f>IF(IF($D167="Unlabeled-13",MCDM_Settings!$F$11,MCDM_Settings!$D$11)=0,"n.a.",5*COUNTIF(Z167:AB167,"Y")/IF($D167="Unlabeled-13",MCDM_Settings!$F$11,MCDM_Settings!$D$11))</f>
        <v>1.6666666666666667</v>
      </c>
      <c r="AS167" s="12">
        <f>IF(IF($D167="Unlabeled-13",MCDM_Settings!$F$11,MCDM_Settings!$D$11)=0,"n.a.",5*(COUNTIF(Z167:AB167,"Y")+COUNTIF(Z167:AB167,"U")+COUNTIF(Z167:AB167,"X"))/IF($D167="Unlabeled-13",MCDM_Settings!$F$11,MCDM_Settings!$D$11))</f>
        <v>5</v>
      </c>
      <c r="AT167" s="13">
        <f>IF(IF($D167="Unlabeled-13",MCDM_Settings!$F$11,MCDM_Settings!$D$11)=0,"n.a.",(COUNTIF(Z167:AB167,"Y")+COUNTIF(Z167:AB167,"N"))/IF($D167="Unlabeled-13",MCDM_Settings!$F$11,MCDM_Settings!$D$11))</f>
        <v>0.33333333333333331</v>
      </c>
      <c r="AU167" s="5" t="str">
        <f>IF(AND(INDEX(Manual_Review!$G$6:$G$238,MATCH(A167,Manual_Review!$A$6:$A$238,0))&lt;&gt;"",ISNUMBER(INDEX(Manual_Review!$H$6:$H$238,MATCH(A167,Manual_Review!$A$6:$A$238,0))),INDEX(Manual_Review!$H$6:$H$238,MATCH(A167,Manual_Review!$A$6:$A$238,0))&gt;0,INDEX(Manual_Review!$I$6:$I$238,MATCH(A167,Manual_Review!$A$6:$A$238,0))="Confirmed",INDEX(Manual_Review!$AF$6:$AF$238,MATCH(A167,Manual_Review!$A$6:$A$238,0))&lt;&gt;""),IF(INDEX(Manual_Review!$AA$6:$AA$238,MATCH(A167,Manual_Review!$A$6:$A$238,0))="Pass","Pass",IF(INDEX(Manual_Review!$AA$6:$AA$238,MATCH(A167,Manual_Review!$A$6:$A$238,0))="Fail","Fail","Pending")),"Pending human identity confirmation")</f>
        <v>Pending human identity confirmation</v>
      </c>
      <c r="AV167" s="5" t="str">
        <f>IF(AND(AND(INDEX(Manual_Review!$G$6:$G$238,MATCH(A167,Manual_Review!$A$6:$A$238,0))&lt;&gt;"",ISNUMBER(INDEX(Manual_Review!$H$6:$H$238,MATCH(A167,Manual_Review!$A$6:$A$238,0))),INDEX(Manual_Review!$H$6:$H$238,MATCH(A167,Manual_Review!$A$6:$A$238,0))&gt;0,INDEX(Manual_Review!$I$6:$I$238,MATCH(A167,Manual_Review!$A$6:$A$238,0))="Confirmed",INDEX(Manual_Review!$AF$6:$AF$238,MATCH(A167,Manual_Review!$A$6:$A$238,0))&lt;&gt;""),INDEX(Manual_Review!$AG$6:$AG$238,MATCH(A167,Manual_Review!$A$6:$A$238,0))&lt;&gt;""),IF(INDEX(Manual_Review!$AB$6:$AB$238,MATCH(A167,Manual_Review!$A$6:$A$238,0))="Pass","Pass",IF(INDEX(Manual_Review!$AB$6:$AB$238,MATCH(A167,Manual_Review!$A$6:$A$238,0))="Fail","Fail","Pending")),"Not assessed: define intended task")</f>
        <v>Not assessed: define intended task</v>
      </c>
      <c r="AW167" s="5" t="str">
        <f>IF(AND(AND(INDEX(Manual_Review!$G$6:$G$238,MATCH(A167,Manual_Review!$A$6:$A$238,0))&lt;&gt;"",ISNUMBER(INDEX(Manual_Review!$H$6:$H$238,MATCH(A167,Manual_Review!$A$6:$A$238,0))),INDEX(Manual_Review!$H$6:$H$238,MATCH(A167,Manual_Review!$A$6:$A$238,0))&gt;0,INDEX(Manual_Review!$I$6:$I$238,MATCH(A167,Manual_Review!$A$6:$A$238,0))="Confirmed",INDEX(Manual_Review!$AF$6:$AF$238,MATCH(A167,Manual_Review!$A$6:$A$238,0))&lt;&gt;""),INDEX(Manual_Review!$AG$6:$AG$238,MATCH(A167,Manual_Review!$A$6:$A$238,0))&lt;&gt;""),IF(OR(INDEX(Manual_Review!$AC$6:$AC$238,MATCH(A167,Manual_Review!$A$6:$A$238,0))="Fail",INDEX(Manual_Review!$AD$6:$AD$238,MATCH(A167,Manual_Review!$A$6:$A$238,0))="Fail"),"Fail: rights or retrieval",IF(AND(INDEX(Manual_Review!$AC$6:$AC$238,MATCH(A167,Manual_Review!$A$6:$A$238,0))="Pass",INDEX(Manual_Review!$AD$6:$AD$238,MATCH(A167,Manual_Review!$A$6:$A$238,0))="Pass"),"Pass","Pending rights and retrieval")),"Pending rights and retrieval")</f>
        <v>Pending rights and retrieval</v>
      </c>
      <c r="AX167" s="5" t="str">
        <f>IF(INDEX(Manual_Review!$AG$6:$AG$238,MATCH(A167,Manual_Review!$A$6:$A$238,0))="","N/A: documentation inventory",IF(AND(INDEX(Manual_Review!$G$6:$G$238,MATCH(A167,Manual_Review!$A$6:$A$238,0))&lt;&gt;"",ISNUMBER(INDEX(Manual_Review!$H$6:$H$238,MATCH(A167,Manual_Review!$A$6:$A$238,0))),INDEX(Manual_Review!$H$6:$H$238,MATCH(A167,Manual_Review!$A$6:$A$238,0))&gt;0,INDEX(Manual_Review!$I$6:$I$238,MATCH(A167,Manual_Review!$A$6:$A$238,0))="Confirmed",INDEX(Manual_Review!$AF$6:$AF$238,MATCH(A167,Manual_Review!$A$6:$A$238,0))&lt;&gt;""),IF(INDEX(Manual_Review!$AE$6:$AE$238,MATCH(A167,Manual_Review!$A$6:$A$238,0))="Pass","Pass",IF(INDEX(Manual_Review!$AE$6:$AE$238,MATCH(A167,Manual_Review!$A$6:$A$238,0))="Fail","Fail: benchmark leakage",IF(INDEX(Manual_Review!$AE$6:$AE$238,MATCH(A167,Manual_Review!$A$6:$A$238,0))="N/A","N/A: nonbenchmark task","Pending task-specific leakage check"))),"Pending task-specific leakage check"))</f>
        <v>N/A: documentation inventory</v>
      </c>
      <c r="AY167" s="5" t="str">
        <f>IF(IF(D167="Unlabeled-13",AND(ABS(MCDM_Settings!$D$14-1)&lt;0.0000001,MIN(MCDM_Settings!$E$6:$E$11)&gt;=0,MCDM_Settings!$E$7=0),AND(ABS(MCDM_Settings!$B$14-1)&lt;0.0000001,MIN(MCDM_Settings!$C$6:$C$11)&gt;=0)),"Valid","Check weights")</f>
        <v>Valid</v>
      </c>
      <c r="AZ167" s="5" t="str">
        <f>IF(AND(COUNTIF(MCDM_Checks!$B$6:$B$3733,A167)=16,COUNTIF(Manual_Review!$A$6:$A$238,A167)=1),"16 keys present","Check key count")</f>
        <v>16 keys present</v>
      </c>
    </row>
    <row r="168" spans="1:52">
      <c r="A168" s="5" t="s">
        <v>1837</v>
      </c>
      <c r="B168" s="5" t="s">
        <v>1838</v>
      </c>
      <c r="C168" s="5"/>
      <c r="D168" s="5" t="s">
        <v>118</v>
      </c>
      <c r="E168" s="12">
        <f>IF(OR(AY168&lt;&gt;"Valid",AZ168&lt;&gt;"16 keys present"),"Review settings",20*(IF(ISNUMBER(AC168),AC168*IF($D168="Unlabeled-13",MCDM_Settings!$E$6,MCDM_Settings!$C$6),0)+IF(ISNUMBER(AF168),AF168*IF($D168="Unlabeled-13",MCDM_Settings!$E$7,MCDM_Settings!$C$7),0)+IF(ISNUMBER(AI168),AI168*IF($D168="Unlabeled-13",MCDM_Settings!$E$8,MCDM_Settings!$C$8),0)+IF(ISNUMBER(AL168),AL168*IF($D168="Unlabeled-13",MCDM_Settings!$E$9,MCDM_Settings!$C$9),0)+IF(ISNUMBER(AO168),AO168*IF($D168="Unlabeled-13",MCDM_Settings!$E$10,MCDM_Settings!$C$10),0)+IF(ISNUMBER(AR168),AR168*IF($D168="Unlabeled-13",MCDM_Settings!$E$11,MCDM_Settings!$C$11),0)))</f>
        <v>22.222222222222221</v>
      </c>
      <c r="F168" s="12">
        <f>IF(OR(AY168&lt;&gt;"Valid",AZ168&lt;&gt;"16 keys present"),"Review settings",20*(IF(ISNUMBER(AD168),AD168*IF($D168="Unlabeled-13",MCDM_Settings!$E$6,MCDM_Settings!$C$6),0)+IF(ISNUMBER(AG168),AG168*IF($D168="Unlabeled-13",MCDM_Settings!$E$7,MCDM_Settings!$C$7),0)+IF(ISNUMBER(AJ168),AJ168*IF($D168="Unlabeled-13",MCDM_Settings!$E$8,MCDM_Settings!$C$8),0)+IF(ISNUMBER(AM168),AM168*IF($D168="Unlabeled-13",MCDM_Settings!$E$9,MCDM_Settings!$C$9),0)+IF(ISNUMBER(AP168),AP168*IF($D168="Unlabeled-13",MCDM_Settings!$E$10,MCDM_Settings!$C$10),0)+IF(ISNUMBER(AS168),AS168*IF($D168="Unlabeled-13",MCDM_Settings!$E$11,MCDM_Settings!$C$11),0)))</f>
        <v>99.999999999999986</v>
      </c>
      <c r="G168" s="13">
        <f>IF(OR(AY168&lt;&gt;"Valid",AZ168&lt;&gt;"16 keys present"),"Review settings",1*(IF(ISNUMBER(AE168),AE168*IF($D168="Unlabeled-13",MCDM_Settings!$E$6,MCDM_Settings!$C$6),0)+IF(ISNUMBER(AH168),AH168*IF($D168="Unlabeled-13",MCDM_Settings!$E$7,MCDM_Settings!$C$7),0)+IF(ISNUMBER(AK168),AK168*IF($D168="Unlabeled-13",MCDM_Settings!$E$8,MCDM_Settings!$C$8),0)+IF(ISNUMBER(AN168),AN168*IF($D168="Unlabeled-13",MCDM_Settings!$E$9,MCDM_Settings!$C$9),0)+IF(ISNUMBER(AQ168),AQ168*IF($D168="Unlabeled-13",MCDM_Settings!$E$10,MCDM_Settings!$C$10),0)+IF(ISNUMBER(AT168),AT168*IF($D168="Unlabeled-13",MCDM_Settings!$E$11,MCDM_Settings!$C$11),0)))</f>
        <v>0.22222222222222221</v>
      </c>
      <c r="H168" s="5" t="str">
        <f>INDEX(Manual_Review!$AH$6:$AH$238,MATCH(A168,Manual_Review!$A$6:$A$238,0))</f>
        <v>Not started</v>
      </c>
      <c r="I168" s="5" t="s">
        <v>128</v>
      </c>
      <c r="J168" s="5" t="s">
        <v>1823</v>
      </c>
      <c r="K168" s="5" t="str">
        <f>HYPERLINK("https://www.kaggle.com/datasets/rukiyeaydn/road-crack-dataset","Dataset")</f>
        <v>Dataset</v>
      </c>
      <c r="L168" s="5" t="str">
        <f>HYPERLINK("#'Manual_Review'!A"&amp;(MATCH("DS-163",Manual_Review!$A$6:$A$238,0)+5),"Enter review")</f>
        <v>Enter review</v>
      </c>
      <c r="M168" s="5" t="str">
        <f>INDEX(MCDM_Checks!$K$6:$K$3733,MATCH(A168&amp;"|"&amp;M$5,MCDM_Checks!$A$6:$A$3733,0))</f>
        <v>Y</v>
      </c>
      <c r="N168" s="5" t="str">
        <f>INDEX(MCDM_Checks!$K$6:$K$3733,MATCH(A168&amp;"|"&amp;N$5,MCDM_Checks!$A$6:$A$3733,0))</f>
        <v>Y</v>
      </c>
      <c r="O168" s="5" t="str">
        <f>INDEX(MCDM_Checks!$K$6:$K$3733,MATCH(A168&amp;"|"&amp;O$5,MCDM_Checks!$A$6:$A$3733,0))</f>
        <v>Y</v>
      </c>
      <c r="P168" s="5" t="str">
        <f>INDEX(MCDM_Checks!$K$6:$K$3733,MATCH(A168&amp;"|"&amp;P$5,MCDM_Checks!$A$6:$A$3733,0))</f>
        <v>Y</v>
      </c>
      <c r="Q168" s="5" t="str">
        <f>INDEX(MCDM_Checks!$K$6:$K$3733,MATCH(A168&amp;"|"&amp;Q$5,MCDM_Checks!$A$6:$A$3733,0))</f>
        <v>U</v>
      </c>
      <c r="R168" s="5" t="str">
        <f>INDEX(MCDM_Checks!$K$6:$K$3733,MATCH(A168&amp;"|"&amp;R$5,MCDM_Checks!$A$6:$A$3733,0))</f>
        <v>U</v>
      </c>
      <c r="S168" s="5" t="str">
        <f>INDEX(MCDM_Checks!$K$6:$K$3733,MATCH(A168&amp;"|"&amp;S$5,MCDM_Checks!$A$6:$A$3733,0))</f>
        <v>U</v>
      </c>
      <c r="T168" s="5" t="str">
        <f>INDEX(MCDM_Checks!$K$6:$K$3733,MATCH(A168&amp;"|"&amp;T$5,MCDM_Checks!$A$6:$A$3733,0))</f>
        <v>U</v>
      </c>
      <c r="U168" s="5" t="str">
        <f>INDEX(MCDM_Checks!$K$6:$K$3733,MATCH(A168&amp;"|"&amp;U$5,MCDM_Checks!$A$6:$A$3733,0))</f>
        <v>U</v>
      </c>
      <c r="V168" s="5" t="str">
        <f>INDEX(MCDM_Checks!$K$6:$K$3733,MATCH(A168&amp;"|"&amp;V$5,MCDM_Checks!$A$6:$A$3733,0))</f>
        <v>U</v>
      </c>
      <c r="W168" s="5" t="str">
        <f>INDEX(MCDM_Checks!$K$6:$K$3733,MATCH(A168&amp;"|"&amp;W$5,MCDM_Checks!$A$6:$A$3733,0))</f>
        <v>U</v>
      </c>
      <c r="X168" s="5" t="str">
        <f>INDEX(MCDM_Checks!$K$6:$K$3733,MATCH(A168&amp;"|"&amp;X$5,MCDM_Checks!$A$6:$A$3733,0))</f>
        <v>U</v>
      </c>
      <c r="Y168" s="5" t="str">
        <f>INDEX(MCDM_Checks!$K$6:$K$3733,MATCH(A168&amp;"|"&amp;Y$5,MCDM_Checks!$A$6:$A$3733,0))</f>
        <v>U</v>
      </c>
      <c r="Z168" s="5" t="str">
        <f>INDEX(MCDM_Checks!$K$6:$K$3733,MATCH(A168&amp;"|"&amp;Z$5,MCDM_Checks!$A$6:$A$3733,0))</f>
        <v>U</v>
      </c>
      <c r="AA168" s="5" t="str">
        <f>INDEX(MCDM_Checks!$K$6:$K$3733,MATCH(A168&amp;"|"&amp;AA$5,MCDM_Checks!$A$6:$A$3733,0))</f>
        <v>U</v>
      </c>
      <c r="AB168" s="5" t="str">
        <f>INDEX(MCDM_Checks!$K$6:$K$3733,MATCH(A168&amp;"|"&amp;AB$5,MCDM_Checks!$A$6:$A$3733,0))</f>
        <v>U</v>
      </c>
      <c r="AC168" s="12">
        <f>IF(IF($D168="Unlabeled-13",MCDM_Settings!$F$6,MCDM_Settings!$D$6)=0,"n.a.",5*COUNTIF(M168:O168,"Y")/IF($D168="Unlabeled-13",MCDM_Settings!$F$6,MCDM_Settings!$D$6))</f>
        <v>5</v>
      </c>
      <c r="AD168" s="12">
        <f>IF(IF($D168="Unlabeled-13",MCDM_Settings!$F$6,MCDM_Settings!$D$6)=0,"n.a.",5*(COUNTIF(M168:O168,"Y")+COUNTIF(M168:O168,"U")+COUNTIF(M168:O168,"X"))/IF($D168="Unlabeled-13",MCDM_Settings!$F$6,MCDM_Settings!$D$6))</f>
        <v>5</v>
      </c>
      <c r="AE168" s="13">
        <f>IF(IF($D168="Unlabeled-13",MCDM_Settings!$F$6,MCDM_Settings!$D$6)=0,"n.a.",(COUNTIF(M168:O168,"Y")+COUNTIF(M168:O168,"N"))/IF($D168="Unlabeled-13",MCDM_Settings!$F$6,MCDM_Settings!$D$6))</f>
        <v>1</v>
      </c>
      <c r="AF168" s="12">
        <f>IF(IF($D168="Unlabeled-13",MCDM_Settings!$F$7,MCDM_Settings!$D$7)=0,"n.a.",5*COUNTIF(P168:R168,"Y")/IF($D168="Unlabeled-13",MCDM_Settings!$F$7,MCDM_Settings!$D$7))</f>
        <v>1.6666666666666667</v>
      </c>
      <c r="AG168" s="12">
        <f>IF(IF($D168="Unlabeled-13",MCDM_Settings!$F$7,MCDM_Settings!$D$7)=0,"n.a.",5*(COUNTIF(P168:R168,"Y")+COUNTIF(P168:R168,"U")+COUNTIF(P168:R168,"X"))/IF($D168="Unlabeled-13",MCDM_Settings!$F$7,MCDM_Settings!$D$7))</f>
        <v>5</v>
      </c>
      <c r="AH168" s="13">
        <f>IF(IF($D168="Unlabeled-13",MCDM_Settings!$F$7,MCDM_Settings!$D$7)=0,"n.a.",(COUNTIF(P168:R168,"Y")+COUNTIF(P168:R168,"N"))/IF($D168="Unlabeled-13",MCDM_Settings!$F$7,MCDM_Settings!$D$7))</f>
        <v>0.33333333333333331</v>
      </c>
      <c r="AI168" s="12">
        <f>IF(IF($D168="Unlabeled-13",MCDM_Settings!$F$8,MCDM_Settings!$D$8)=0,"n.a.",5*COUNTIF(S168:U168,"Y")/IF($D168="Unlabeled-13",MCDM_Settings!$F$8,MCDM_Settings!$D$8))</f>
        <v>0</v>
      </c>
      <c r="AJ168" s="12">
        <f>IF(IF($D168="Unlabeled-13",MCDM_Settings!$F$8,MCDM_Settings!$D$8)=0,"n.a.",5*(COUNTIF(S168:U168,"Y")+COUNTIF(S168:U168,"U")+COUNTIF(S168:U168,"X"))/IF($D168="Unlabeled-13",MCDM_Settings!$F$8,MCDM_Settings!$D$8))</f>
        <v>5</v>
      </c>
      <c r="AK168" s="13">
        <f>IF(IF($D168="Unlabeled-13",MCDM_Settings!$F$8,MCDM_Settings!$D$8)=0,"n.a.",(COUNTIF(S168:U168,"Y")+COUNTIF(S168:U168,"N"))/IF($D168="Unlabeled-13",MCDM_Settings!$F$8,MCDM_Settings!$D$8))</f>
        <v>0</v>
      </c>
      <c r="AL168" s="12">
        <f>IF(IF($D168="Unlabeled-13",MCDM_Settings!$F$9,MCDM_Settings!$D$9)=0,"n.a.",5*COUNTIF(V168:W168,"Y")/IF($D168="Unlabeled-13",MCDM_Settings!$F$9,MCDM_Settings!$D$9))</f>
        <v>0</v>
      </c>
      <c r="AM168" s="12">
        <f>IF(IF($D168="Unlabeled-13",MCDM_Settings!$F$9,MCDM_Settings!$D$9)=0,"n.a.",5*(COUNTIF(V168:W168,"Y")+COUNTIF(V168:W168,"U")+COUNTIF(V168:W168,"X"))/IF($D168="Unlabeled-13",MCDM_Settings!$F$9,MCDM_Settings!$D$9))</f>
        <v>5</v>
      </c>
      <c r="AN168" s="13">
        <f>IF(IF($D168="Unlabeled-13",MCDM_Settings!$F$9,MCDM_Settings!$D$9)=0,"n.a.",(COUNTIF(V168:W168,"Y")+COUNTIF(V168:W168,"N"))/IF($D168="Unlabeled-13",MCDM_Settings!$F$9,MCDM_Settings!$D$9))</f>
        <v>0</v>
      </c>
      <c r="AO168" s="12">
        <f>IF(IF($D168="Unlabeled-13",MCDM_Settings!$F$10,MCDM_Settings!$D$10)=0,"n.a.",5*COUNTIF(X168:Y168,"Y")/IF($D168="Unlabeled-13",MCDM_Settings!$F$10,MCDM_Settings!$D$10))</f>
        <v>0</v>
      </c>
      <c r="AP168" s="12">
        <f>IF(IF($D168="Unlabeled-13",MCDM_Settings!$F$10,MCDM_Settings!$D$10)=0,"n.a.",5*(COUNTIF(X168:Y168,"Y")+COUNTIF(X168:Y168,"U")+COUNTIF(X168:Y168,"X"))/IF($D168="Unlabeled-13",MCDM_Settings!$F$10,MCDM_Settings!$D$10))</f>
        <v>5</v>
      </c>
      <c r="AQ168" s="13">
        <f>IF(IF($D168="Unlabeled-13",MCDM_Settings!$F$10,MCDM_Settings!$D$10)=0,"n.a.",(COUNTIF(X168:Y168,"Y")+COUNTIF(X168:Y168,"N"))/IF($D168="Unlabeled-13",MCDM_Settings!$F$10,MCDM_Settings!$D$10))</f>
        <v>0</v>
      </c>
      <c r="AR168" s="12">
        <f>IF(IF($D168="Unlabeled-13",MCDM_Settings!$F$11,MCDM_Settings!$D$11)=0,"n.a.",5*COUNTIF(Z168:AB168,"Y")/IF($D168="Unlabeled-13",MCDM_Settings!$F$11,MCDM_Settings!$D$11))</f>
        <v>0</v>
      </c>
      <c r="AS168" s="12">
        <f>IF(IF($D168="Unlabeled-13",MCDM_Settings!$F$11,MCDM_Settings!$D$11)=0,"n.a.",5*(COUNTIF(Z168:AB168,"Y")+COUNTIF(Z168:AB168,"U")+COUNTIF(Z168:AB168,"X"))/IF($D168="Unlabeled-13",MCDM_Settings!$F$11,MCDM_Settings!$D$11))</f>
        <v>5</v>
      </c>
      <c r="AT168" s="13">
        <f>IF(IF($D168="Unlabeled-13",MCDM_Settings!$F$11,MCDM_Settings!$D$11)=0,"n.a.",(COUNTIF(Z168:AB168,"Y")+COUNTIF(Z168:AB168,"N"))/IF($D168="Unlabeled-13",MCDM_Settings!$F$11,MCDM_Settings!$D$11))</f>
        <v>0</v>
      </c>
      <c r="AU168" s="5" t="str">
        <f>IF(AND(INDEX(Manual_Review!$G$6:$G$238,MATCH(A168,Manual_Review!$A$6:$A$238,0))&lt;&gt;"",ISNUMBER(INDEX(Manual_Review!$H$6:$H$238,MATCH(A168,Manual_Review!$A$6:$A$238,0))),INDEX(Manual_Review!$H$6:$H$238,MATCH(A168,Manual_Review!$A$6:$A$238,0))&gt;0,INDEX(Manual_Review!$I$6:$I$238,MATCH(A168,Manual_Review!$A$6:$A$238,0))="Confirmed",INDEX(Manual_Review!$AF$6:$AF$238,MATCH(A168,Manual_Review!$A$6:$A$238,0))&lt;&gt;""),IF(INDEX(Manual_Review!$AA$6:$AA$238,MATCH(A168,Manual_Review!$A$6:$A$238,0))="Pass","Pass",IF(INDEX(Manual_Review!$AA$6:$AA$238,MATCH(A168,Manual_Review!$A$6:$A$238,0))="Fail","Fail","Pending")),"Pending human identity confirmation")</f>
        <v>Pending human identity confirmation</v>
      </c>
      <c r="AV168" s="5" t="str">
        <f>IF(AND(AND(INDEX(Manual_Review!$G$6:$G$238,MATCH(A168,Manual_Review!$A$6:$A$238,0))&lt;&gt;"",ISNUMBER(INDEX(Manual_Review!$H$6:$H$238,MATCH(A168,Manual_Review!$A$6:$A$238,0))),INDEX(Manual_Review!$H$6:$H$238,MATCH(A168,Manual_Review!$A$6:$A$238,0))&gt;0,INDEX(Manual_Review!$I$6:$I$238,MATCH(A168,Manual_Review!$A$6:$A$238,0))="Confirmed",INDEX(Manual_Review!$AF$6:$AF$238,MATCH(A168,Manual_Review!$A$6:$A$238,0))&lt;&gt;""),INDEX(Manual_Review!$AG$6:$AG$238,MATCH(A168,Manual_Review!$A$6:$A$238,0))&lt;&gt;""),IF(INDEX(Manual_Review!$AB$6:$AB$238,MATCH(A168,Manual_Review!$A$6:$A$238,0))="Pass","Pass",IF(INDEX(Manual_Review!$AB$6:$AB$238,MATCH(A168,Manual_Review!$A$6:$A$238,0))="Fail","Fail","Pending")),"Not assessed: define intended task")</f>
        <v>Not assessed: define intended task</v>
      </c>
      <c r="AW168" s="5" t="str">
        <f>IF(AND(AND(INDEX(Manual_Review!$G$6:$G$238,MATCH(A168,Manual_Review!$A$6:$A$238,0))&lt;&gt;"",ISNUMBER(INDEX(Manual_Review!$H$6:$H$238,MATCH(A168,Manual_Review!$A$6:$A$238,0))),INDEX(Manual_Review!$H$6:$H$238,MATCH(A168,Manual_Review!$A$6:$A$238,0))&gt;0,INDEX(Manual_Review!$I$6:$I$238,MATCH(A168,Manual_Review!$A$6:$A$238,0))="Confirmed",INDEX(Manual_Review!$AF$6:$AF$238,MATCH(A168,Manual_Review!$A$6:$A$238,0))&lt;&gt;""),INDEX(Manual_Review!$AG$6:$AG$238,MATCH(A168,Manual_Review!$A$6:$A$238,0))&lt;&gt;""),IF(OR(INDEX(Manual_Review!$AC$6:$AC$238,MATCH(A168,Manual_Review!$A$6:$A$238,0))="Fail",INDEX(Manual_Review!$AD$6:$AD$238,MATCH(A168,Manual_Review!$A$6:$A$238,0))="Fail"),"Fail: rights or retrieval",IF(AND(INDEX(Manual_Review!$AC$6:$AC$238,MATCH(A168,Manual_Review!$A$6:$A$238,0))="Pass",INDEX(Manual_Review!$AD$6:$AD$238,MATCH(A168,Manual_Review!$A$6:$A$238,0))="Pass"),"Pass","Pending rights and retrieval")),"Pending rights and retrieval")</f>
        <v>Pending rights and retrieval</v>
      </c>
      <c r="AX168" s="5" t="str">
        <f>IF(INDEX(Manual_Review!$AG$6:$AG$238,MATCH(A168,Manual_Review!$A$6:$A$238,0))="","N/A: documentation inventory",IF(AND(INDEX(Manual_Review!$G$6:$G$238,MATCH(A168,Manual_Review!$A$6:$A$238,0))&lt;&gt;"",ISNUMBER(INDEX(Manual_Review!$H$6:$H$238,MATCH(A168,Manual_Review!$A$6:$A$238,0))),INDEX(Manual_Review!$H$6:$H$238,MATCH(A168,Manual_Review!$A$6:$A$238,0))&gt;0,INDEX(Manual_Review!$I$6:$I$238,MATCH(A168,Manual_Review!$A$6:$A$238,0))="Confirmed",INDEX(Manual_Review!$AF$6:$AF$238,MATCH(A168,Manual_Review!$A$6:$A$238,0))&lt;&gt;""),IF(INDEX(Manual_Review!$AE$6:$AE$238,MATCH(A168,Manual_Review!$A$6:$A$238,0))="Pass","Pass",IF(INDEX(Manual_Review!$AE$6:$AE$238,MATCH(A168,Manual_Review!$A$6:$A$238,0))="Fail","Fail: benchmark leakage",IF(INDEX(Manual_Review!$AE$6:$AE$238,MATCH(A168,Manual_Review!$A$6:$A$238,0))="N/A","N/A: nonbenchmark task","Pending task-specific leakage check"))),"Pending task-specific leakage check"))</f>
        <v>N/A: documentation inventory</v>
      </c>
      <c r="AY168" s="5" t="str">
        <f>IF(IF(D168="Unlabeled-13",AND(ABS(MCDM_Settings!$D$14-1)&lt;0.0000001,MIN(MCDM_Settings!$E$6:$E$11)&gt;=0,MCDM_Settings!$E$7=0),AND(ABS(MCDM_Settings!$B$14-1)&lt;0.0000001,MIN(MCDM_Settings!$C$6:$C$11)&gt;=0)),"Valid","Check weights")</f>
        <v>Valid</v>
      </c>
      <c r="AZ168" s="5" t="str">
        <f>IF(AND(COUNTIF(MCDM_Checks!$B$6:$B$3733,A168)=16,COUNTIF(Manual_Review!$A$6:$A$238,A168)=1),"16 keys present","Check key count")</f>
        <v>16 keys present</v>
      </c>
    </row>
    <row r="169" spans="1:52">
      <c r="A169" s="5" t="s">
        <v>1844</v>
      </c>
      <c r="B169" s="5" t="s">
        <v>1845</v>
      </c>
      <c r="C169" s="5"/>
      <c r="D169" s="5" t="s">
        <v>118</v>
      </c>
      <c r="E169" s="12">
        <f>IF(OR(AY169&lt;&gt;"Valid",AZ169&lt;&gt;"16 keys present"),"Review settings",20*(IF(ISNUMBER(AC169),AC169*IF($D169="Unlabeled-13",MCDM_Settings!$E$6,MCDM_Settings!$C$6),0)+IF(ISNUMBER(AF169),AF169*IF($D169="Unlabeled-13",MCDM_Settings!$E$7,MCDM_Settings!$C$7),0)+IF(ISNUMBER(AI169),AI169*IF($D169="Unlabeled-13",MCDM_Settings!$E$8,MCDM_Settings!$C$8),0)+IF(ISNUMBER(AL169),AL169*IF($D169="Unlabeled-13",MCDM_Settings!$E$9,MCDM_Settings!$C$9),0)+IF(ISNUMBER(AO169),AO169*IF($D169="Unlabeled-13",MCDM_Settings!$E$10,MCDM_Settings!$C$10),0)+IF(ISNUMBER(AR169),AR169*IF($D169="Unlabeled-13",MCDM_Settings!$E$11,MCDM_Settings!$C$11),0)))</f>
        <v>41.666666666666657</v>
      </c>
      <c r="F169" s="12">
        <f>IF(OR(AY169&lt;&gt;"Valid",AZ169&lt;&gt;"16 keys present"),"Review settings",20*(IF(ISNUMBER(AD169),AD169*IF($D169="Unlabeled-13",MCDM_Settings!$E$6,MCDM_Settings!$C$6),0)+IF(ISNUMBER(AG169),AG169*IF($D169="Unlabeled-13",MCDM_Settings!$E$7,MCDM_Settings!$C$7),0)+IF(ISNUMBER(AJ169),AJ169*IF($D169="Unlabeled-13",MCDM_Settings!$E$8,MCDM_Settings!$C$8),0)+IF(ISNUMBER(AM169),AM169*IF($D169="Unlabeled-13",MCDM_Settings!$E$9,MCDM_Settings!$C$9),0)+IF(ISNUMBER(AP169),AP169*IF($D169="Unlabeled-13",MCDM_Settings!$E$10,MCDM_Settings!$C$10),0)+IF(ISNUMBER(AS169),AS169*IF($D169="Unlabeled-13",MCDM_Settings!$E$11,MCDM_Settings!$C$11),0)))</f>
        <v>99.999999999999986</v>
      </c>
      <c r="G169" s="13">
        <f>IF(OR(AY169&lt;&gt;"Valid",AZ169&lt;&gt;"16 keys present"),"Review settings",1*(IF(ISNUMBER(AE169),AE169*IF($D169="Unlabeled-13",MCDM_Settings!$E$6,MCDM_Settings!$C$6),0)+IF(ISNUMBER(AH169),AH169*IF($D169="Unlabeled-13",MCDM_Settings!$E$7,MCDM_Settings!$C$7),0)+IF(ISNUMBER(AK169),AK169*IF($D169="Unlabeled-13",MCDM_Settings!$E$8,MCDM_Settings!$C$8),0)+IF(ISNUMBER(AN169),AN169*IF($D169="Unlabeled-13",MCDM_Settings!$E$9,MCDM_Settings!$C$9),0)+IF(ISNUMBER(AQ169),AQ169*IF($D169="Unlabeled-13",MCDM_Settings!$E$10,MCDM_Settings!$C$10),0)+IF(ISNUMBER(AT169),AT169*IF($D169="Unlabeled-13",MCDM_Settings!$E$11,MCDM_Settings!$C$11),0)))</f>
        <v>0.41666666666666663</v>
      </c>
      <c r="H169" s="5" t="str">
        <f>INDEX(Manual_Review!$AH$6:$AH$238,MATCH(A169,Manual_Review!$A$6:$A$238,0))</f>
        <v>Not started</v>
      </c>
      <c r="I169" s="5" t="s">
        <v>128</v>
      </c>
      <c r="J169" s="5" t="s">
        <v>121</v>
      </c>
      <c r="K169" s="5" t="str">
        <f>HYPERLINK("https://www.kaggle.com/datasets/alvarobasily/road-damage","Dataset")</f>
        <v>Dataset</v>
      </c>
      <c r="L169" s="5" t="str">
        <f>HYPERLINK("#'Manual_Review'!A"&amp;(MATCH("DS-164",Manual_Review!$A$6:$A$238,0)+5),"Enter review")</f>
        <v>Enter review</v>
      </c>
      <c r="M169" s="5" t="str">
        <f>INDEX(MCDM_Checks!$K$6:$K$3733,MATCH(A169&amp;"|"&amp;M$5,MCDM_Checks!$A$6:$A$3733,0))</f>
        <v>Y</v>
      </c>
      <c r="N169" s="5" t="str">
        <f>INDEX(MCDM_Checks!$K$6:$K$3733,MATCH(A169&amp;"|"&amp;N$5,MCDM_Checks!$A$6:$A$3733,0))</f>
        <v>Y</v>
      </c>
      <c r="O169" s="5" t="str">
        <f>INDEX(MCDM_Checks!$K$6:$K$3733,MATCH(A169&amp;"|"&amp;O$5,MCDM_Checks!$A$6:$A$3733,0))</f>
        <v>Y</v>
      </c>
      <c r="P169" s="5" t="str">
        <f>INDEX(MCDM_Checks!$K$6:$K$3733,MATCH(A169&amp;"|"&amp;P$5,MCDM_Checks!$A$6:$A$3733,0))</f>
        <v>U</v>
      </c>
      <c r="Q169" s="5" t="str">
        <f>INDEX(MCDM_Checks!$K$6:$K$3733,MATCH(A169&amp;"|"&amp;Q$5,MCDM_Checks!$A$6:$A$3733,0))</f>
        <v>U</v>
      </c>
      <c r="R169" s="5" t="str">
        <f>INDEX(MCDM_Checks!$K$6:$K$3733,MATCH(A169&amp;"|"&amp;R$5,MCDM_Checks!$A$6:$A$3733,0))</f>
        <v>U</v>
      </c>
      <c r="S169" s="5" t="str">
        <f>INDEX(MCDM_Checks!$K$6:$K$3733,MATCH(A169&amp;"|"&amp;S$5,MCDM_Checks!$A$6:$A$3733,0))</f>
        <v>U</v>
      </c>
      <c r="T169" s="5" t="str">
        <f>INDEX(MCDM_Checks!$K$6:$K$3733,MATCH(A169&amp;"|"&amp;T$5,MCDM_Checks!$A$6:$A$3733,0))</f>
        <v>Y</v>
      </c>
      <c r="U169" s="5" t="str">
        <f>INDEX(MCDM_Checks!$K$6:$K$3733,MATCH(A169&amp;"|"&amp;U$5,MCDM_Checks!$A$6:$A$3733,0))</f>
        <v>U</v>
      </c>
      <c r="V169" s="5" t="str">
        <f>INDEX(MCDM_Checks!$K$6:$K$3733,MATCH(A169&amp;"|"&amp;V$5,MCDM_Checks!$A$6:$A$3733,0))</f>
        <v>U</v>
      </c>
      <c r="W169" s="5" t="str">
        <f>INDEX(MCDM_Checks!$K$6:$K$3733,MATCH(A169&amp;"|"&amp;W$5,MCDM_Checks!$A$6:$A$3733,0))</f>
        <v>U</v>
      </c>
      <c r="X169" s="5" t="str">
        <f>INDEX(MCDM_Checks!$K$6:$K$3733,MATCH(A169&amp;"|"&amp;X$5,MCDM_Checks!$A$6:$A$3733,0))</f>
        <v>U</v>
      </c>
      <c r="Y169" s="5" t="str">
        <f>INDEX(MCDM_Checks!$K$6:$K$3733,MATCH(A169&amp;"|"&amp;Y$5,MCDM_Checks!$A$6:$A$3733,0))</f>
        <v>Y</v>
      </c>
      <c r="Z169" s="5" t="str">
        <f>INDEX(MCDM_Checks!$K$6:$K$3733,MATCH(A169&amp;"|"&amp;Z$5,MCDM_Checks!$A$6:$A$3733,0))</f>
        <v>Y</v>
      </c>
      <c r="AA169" s="5" t="str">
        <f>INDEX(MCDM_Checks!$K$6:$K$3733,MATCH(A169&amp;"|"&amp;AA$5,MCDM_Checks!$A$6:$A$3733,0))</f>
        <v>Y</v>
      </c>
      <c r="AB169" s="5" t="str">
        <f>INDEX(MCDM_Checks!$K$6:$K$3733,MATCH(A169&amp;"|"&amp;AB$5,MCDM_Checks!$A$6:$A$3733,0))</f>
        <v>U</v>
      </c>
      <c r="AC169" s="12">
        <f>IF(IF($D169="Unlabeled-13",MCDM_Settings!$F$6,MCDM_Settings!$D$6)=0,"n.a.",5*COUNTIF(M169:O169,"Y")/IF($D169="Unlabeled-13",MCDM_Settings!$F$6,MCDM_Settings!$D$6))</f>
        <v>5</v>
      </c>
      <c r="AD169" s="12">
        <f>IF(IF($D169="Unlabeled-13",MCDM_Settings!$F$6,MCDM_Settings!$D$6)=0,"n.a.",5*(COUNTIF(M169:O169,"Y")+COUNTIF(M169:O169,"U")+COUNTIF(M169:O169,"X"))/IF($D169="Unlabeled-13",MCDM_Settings!$F$6,MCDM_Settings!$D$6))</f>
        <v>5</v>
      </c>
      <c r="AE169" s="13">
        <f>IF(IF($D169="Unlabeled-13",MCDM_Settings!$F$6,MCDM_Settings!$D$6)=0,"n.a.",(COUNTIF(M169:O169,"Y")+COUNTIF(M169:O169,"N"))/IF($D169="Unlabeled-13",MCDM_Settings!$F$6,MCDM_Settings!$D$6))</f>
        <v>1</v>
      </c>
      <c r="AF169" s="12">
        <f>IF(IF($D169="Unlabeled-13",MCDM_Settings!$F$7,MCDM_Settings!$D$7)=0,"n.a.",5*COUNTIF(P169:R169,"Y")/IF($D169="Unlabeled-13",MCDM_Settings!$F$7,MCDM_Settings!$D$7))</f>
        <v>0</v>
      </c>
      <c r="AG169" s="12">
        <f>IF(IF($D169="Unlabeled-13",MCDM_Settings!$F$7,MCDM_Settings!$D$7)=0,"n.a.",5*(COUNTIF(P169:R169,"Y")+COUNTIF(P169:R169,"U")+COUNTIF(P169:R169,"X"))/IF($D169="Unlabeled-13",MCDM_Settings!$F$7,MCDM_Settings!$D$7))</f>
        <v>5</v>
      </c>
      <c r="AH169" s="13">
        <f>IF(IF($D169="Unlabeled-13",MCDM_Settings!$F$7,MCDM_Settings!$D$7)=0,"n.a.",(COUNTIF(P169:R169,"Y")+COUNTIF(P169:R169,"N"))/IF($D169="Unlabeled-13",MCDM_Settings!$F$7,MCDM_Settings!$D$7))</f>
        <v>0</v>
      </c>
      <c r="AI169" s="12">
        <f>IF(IF($D169="Unlabeled-13",MCDM_Settings!$F$8,MCDM_Settings!$D$8)=0,"n.a.",5*COUNTIF(S169:U169,"Y")/IF($D169="Unlabeled-13",MCDM_Settings!$F$8,MCDM_Settings!$D$8))</f>
        <v>1.6666666666666667</v>
      </c>
      <c r="AJ169" s="12">
        <f>IF(IF($D169="Unlabeled-13",MCDM_Settings!$F$8,MCDM_Settings!$D$8)=0,"n.a.",5*(COUNTIF(S169:U169,"Y")+COUNTIF(S169:U169,"U")+COUNTIF(S169:U169,"X"))/IF($D169="Unlabeled-13",MCDM_Settings!$F$8,MCDM_Settings!$D$8))</f>
        <v>5</v>
      </c>
      <c r="AK169" s="13">
        <f>IF(IF($D169="Unlabeled-13",MCDM_Settings!$F$8,MCDM_Settings!$D$8)=0,"n.a.",(COUNTIF(S169:U169,"Y")+COUNTIF(S169:U169,"N"))/IF($D169="Unlabeled-13",MCDM_Settings!$F$8,MCDM_Settings!$D$8))</f>
        <v>0.33333333333333331</v>
      </c>
      <c r="AL169" s="12">
        <f>IF(IF($D169="Unlabeled-13",MCDM_Settings!$F$9,MCDM_Settings!$D$9)=0,"n.a.",5*COUNTIF(V169:W169,"Y")/IF($D169="Unlabeled-13",MCDM_Settings!$F$9,MCDM_Settings!$D$9))</f>
        <v>0</v>
      </c>
      <c r="AM169" s="12">
        <f>IF(IF($D169="Unlabeled-13",MCDM_Settings!$F$9,MCDM_Settings!$D$9)=0,"n.a.",5*(COUNTIF(V169:W169,"Y")+COUNTIF(V169:W169,"U")+COUNTIF(V169:W169,"X"))/IF($D169="Unlabeled-13",MCDM_Settings!$F$9,MCDM_Settings!$D$9))</f>
        <v>5</v>
      </c>
      <c r="AN169" s="13">
        <f>IF(IF($D169="Unlabeled-13",MCDM_Settings!$F$9,MCDM_Settings!$D$9)=0,"n.a.",(COUNTIF(V169:W169,"Y")+COUNTIF(V169:W169,"N"))/IF($D169="Unlabeled-13",MCDM_Settings!$F$9,MCDM_Settings!$D$9))</f>
        <v>0</v>
      </c>
      <c r="AO169" s="12">
        <f>IF(IF($D169="Unlabeled-13",MCDM_Settings!$F$10,MCDM_Settings!$D$10)=0,"n.a.",5*COUNTIF(X169:Y169,"Y")/IF($D169="Unlabeled-13",MCDM_Settings!$F$10,MCDM_Settings!$D$10))</f>
        <v>2.5</v>
      </c>
      <c r="AP169" s="12">
        <f>IF(IF($D169="Unlabeled-13",MCDM_Settings!$F$10,MCDM_Settings!$D$10)=0,"n.a.",5*(COUNTIF(X169:Y169,"Y")+COUNTIF(X169:Y169,"U")+COUNTIF(X169:Y169,"X"))/IF($D169="Unlabeled-13",MCDM_Settings!$F$10,MCDM_Settings!$D$10))</f>
        <v>5</v>
      </c>
      <c r="AQ169" s="13">
        <f>IF(IF($D169="Unlabeled-13",MCDM_Settings!$F$10,MCDM_Settings!$D$10)=0,"n.a.",(COUNTIF(X169:Y169,"Y")+COUNTIF(X169:Y169,"N"))/IF($D169="Unlabeled-13",MCDM_Settings!$F$10,MCDM_Settings!$D$10))</f>
        <v>0.5</v>
      </c>
      <c r="AR169" s="12">
        <f>IF(IF($D169="Unlabeled-13",MCDM_Settings!$F$11,MCDM_Settings!$D$11)=0,"n.a.",5*COUNTIF(Z169:AB169,"Y")/IF($D169="Unlabeled-13",MCDM_Settings!$F$11,MCDM_Settings!$D$11))</f>
        <v>3.3333333333333335</v>
      </c>
      <c r="AS169" s="12">
        <f>IF(IF($D169="Unlabeled-13",MCDM_Settings!$F$11,MCDM_Settings!$D$11)=0,"n.a.",5*(COUNTIF(Z169:AB169,"Y")+COUNTIF(Z169:AB169,"U")+COUNTIF(Z169:AB169,"X"))/IF($D169="Unlabeled-13",MCDM_Settings!$F$11,MCDM_Settings!$D$11))</f>
        <v>5</v>
      </c>
      <c r="AT169" s="13">
        <f>IF(IF($D169="Unlabeled-13",MCDM_Settings!$F$11,MCDM_Settings!$D$11)=0,"n.a.",(COUNTIF(Z169:AB169,"Y")+COUNTIF(Z169:AB169,"N"))/IF($D169="Unlabeled-13",MCDM_Settings!$F$11,MCDM_Settings!$D$11))</f>
        <v>0.66666666666666663</v>
      </c>
      <c r="AU169" s="5" t="str">
        <f>IF(AND(INDEX(Manual_Review!$G$6:$G$238,MATCH(A169,Manual_Review!$A$6:$A$238,0))&lt;&gt;"",ISNUMBER(INDEX(Manual_Review!$H$6:$H$238,MATCH(A169,Manual_Review!$A$6:$A$238,0))),INDEX(Manual_Review!$H$6:$H$238,MATCH(A169,Manual_Review!$A$6:$A$238,0))&gt;0,INDEX(Manual_Review!$I$6:$I$238,MATCH(A169,Manual_Review!$A$6:$A$238,0))="Confirmed",INDEX(Manual_Review!$AF$6:$AF$238,MATCH(A169,Manual_Review!$A$6:$A$238,0))&lt;&gt;""),IF(INDEX(Manual_Review!$AA$6:$AA$238,MATCH(A169,Manual_Review!$A$6:$A$238,0))="Pass","Pass",IF(INDEX(Manual_Review!$AA$6:$AA$238,MATCH(A169,Manual_Review!$A$6:$A$238,0))="Fail","Fail","Pending")),"Pending human identity confirmation")</f>
        <v>Pending human identity confirmation</v>
      </c>
      <c r="AV169" s="5" t="str">
        <f>IF(AND(AND(INDEX(Manual_Review!$G$6:$G$238,MATCH(A169,Manual_Review!$A$6:$A$238,0))&lt;&gt;"",ISNUMBER(INDEX(Manual_Review!$H$6:$H$238,MATCH(A169,Manual_Review!$A$6:$A$238,0))),INDEX(Manual_Review!$H$6:$H$238,MATCH(A169,Manual_Review!$A$6:$A$238,0))&gt;0,INDEX(Manual_Review!$I$6:$I$238,MATCH(A169,Manual_Review!$A$6:$A$238,0))="Confirmed",INDEX(Manual_Review!$AF$6:$AF$238,MATCH(A169,Manual_Review!$A$6:$A$238,0))&lt;&gt;""),INDEX(Manual_Review!$AG$6:$AG$238,MATCH(A169,Manual_Review!$A$6:$A$238,0))&lt;&gt;""),IF(INDEX(Manual_Review!$AB$6:$AB$238,MATCH(A169,Manual_Review!$A$6:$A$238,0))="Pass","Pass",IF(INDEX(Manual_Review!$AB$6:$AB$238,MATCH(A169,Manual_Review!$A$6:$A$238,0))="Fail","Fail","Pending")),"Not assessed: define intended task")</f>
        <v>Not assessed: define intended task</v>
      </c>
      <c r="AW169" s="5" t="str">
        <f>IF(AND(AND(INDEX(Manual_Review!$G$6:$G$238,MATCH(A169,Manual_Review!$A$6:$A$238,0))&lt;&gt;"",ISNUMBER(INDEX(Manual_Review!$H$6:$H$238,MATCH(A169,Manual_Review!$A$6:$A$238,0))),INDEX(Manual_Review!$H$6:$H$238,MATCH(A169,Manual_Review!$A$6:$A$238,0))&gt;0,INDEX(Manual_Review!$I$6:$I$238,MATCH(A169,Manual_Review!$A$6:$A$238,0))="Confirmed",INDEX(Manual_Review!$AF$6:$AF$238,MATCH(A169,Manual_Review!$A$6:$A$238,0))&lt;&gt;""),INDEX(Manual_Review!$AG$6:$AG$238,MATCH(A169,Manual_Review!$A$6:$A$238,0))&lt;&gt;""),IF(OR(INDEX(Manual_Review!$AC$6:$AC$238,MATCH(A169,Manual_Review!$A$6:$A$238,0))="Fail",INDEX(Manual_Review!$AD$6:$AD$238,MATCH(A169,Manual_Review!$A$6:$A$238,0))="Fail"),"Fail: rights or retrieval",IF(AND(INDEX(Manual_Review!$AC$6:$AC$238,MATCH(A169,Manual_Review!$A$6:$A$238,0))="Pass",INDEX(Manual_Review!$AD$6:$AD$238,MATCH(A169,Manual_Review!$A$6:$A$238,0))="Pass"),"Pass","Pending rights and retrieval")),"Pending rights and retrieval")</f>
        <v>Pending rights and retrieval</v>
      </c>
      <c r="AX169" s="5" t="str">
        <f>IF(INDEX(Manual_Review!$AG$6:$AG$238,MATCH(A169,Manual_Review!$A$6:$A$238,0))="","N/A: documentation inventory",IF(AND(INDEX(Manual_Review!$G$6:$G$238,MATCH(A169,Manual_Review!$A$6:$A$238,0))&lt;&gt;"",ISNUMBER(INDEX(Manual_Review!$H$6:$H$238,MATCH(A169,Manual_Review!$A$6:$A$238,0))),INDEX(Manual_Review!$H$6:$H$238,MATCH(A169,Manual_Review!$A$6:$A$238,0))&gt;0,INDEX(Manual_Review!$I$6:$I$238,MATCH(A169,Manual_Review!$A$6:$A$238,0))="Confirmed",INDEX(Manual_Review!$AF$6:$AF$238,MATCH(A169,Manual_Review!$A$6:$A$238,0))&lt;&gt;""),IF(INDEX(Manual_Review!$AE$6:$AE$238,MATCH(A169,Manual_Review!$A$6:$A$238,0))="Pass","Pass",IF(INDEX(Manual_Review!$AE$6:$AE$238,MATCH(A169,Manual_Review!$A$6:$A$238,0))="Fail","Fail: benchmark leakage",IF(INDEX(Manual_Review!$AE$6:$AE$238,MATCH(A169,Manual_Review!$A$6:$A$238,0))="N/A","N/A: nonbenchmark task","Pending task-specific leakage check"))),"Pending task-specific leakage check"))</f>
        <v>N/A: documentation inventory</v>
      </c>
      <c r="AY169" s="5" t="str">
        <f>IF(IF(D169="Unlabeled-13",AND(ABS(MCDM_Settings!$D$14-1)&lt;0.0000001,MIN(MCDM_Settings!$E$6:$E$11)&gt;=0,MCDM_Settings!$E$7=0),AND(ABS(MCDM_Settings!$B$14-1)&lt;0.0000001,MIN(MCDM_Settings!$C$6:$C$11)&gt;=0)),"Valid","Check weights")</f>
        <v>Valid</v>
      </c>
      <c r="AZ169" s="5" t="str">
        <f>IF(AND(COUNTIF(MCDM_Checks!$B$6:$B$3733,A169)=16,COUNTIF(Manual_Review!$A$6:$A$238,A169)=1),"16 keys present","Check key count")</f>
        <v>16 keys present</v>
      </c>
    </row>
    <row r="170" spans="1:52">
      <c r="A170" s="5" t="s">
        <v>1855</v>
      </c>
      <c r="B170" s="5" t="s">
        <v>1856</v>
      </c>
      <c r="C170" s="5"/>
      <c r="D170" s="5" t="s">
        <v>118</v>
      </c>
      <c r="E170" s="12">
        <f>IF(OR(AY170&lt;&gt;"Valid",AZ170&lt;&gt;"16 keys present"),"Review settings",20*(IF(ISNUMBER(AC170),AC170*IF($D170="Unlabeled-13",MCDM_Settings!$E$6,MCDM_Settings!$C$6),0)+IF(ISNUMBER(AF170),AF170*IF($D170="Unlabeled-13",MCDM_Settings!$E$7,MCDM_Settings!$C$7),0)+IF(ISNUMBER(AI170),AI170*IF($D170="Unlabeled-13",MCDM_Settings!$E$8,MCDM_Settings!$C$8),0)+IF(ISNUMBER(AL170),AL170*IF($D170="Unlabeled-13",MCDM_Settings!$E$9,MCDM_Settings!$C$9),0)+IF(ISNUMBER(AO170),AO170*IF($D170="Unlabeled-13",MCDM_Settings!$E$10,MCDM_Settings!$C$10),0)+IF(ISNUMBER(AR170),AR170*IF($D170="Unlabeled-13",MCDM_Settings!$E$11,MCDM_Settings!$C$11),0)))</f>
        <v>16.666666666666664</v>
      </c>
      <c r="F170" s="12">
        <f>IF(OR(AY170&lt;&gt;"Valid",AZ170&lt;&gt;"16 keys present"),"Review settings",20*(IF(ISNUMBER(AD170),AD170*IF($D170="Unlabeled-13",MCDM_Settings!$E$6,MCDM_Settings!$C$6),0)+IF(ISNUMBER(AG170),AG170*IF($D170="Unlabeled-13",MCDM_Settings!$E$7,MCDM_Settings!$C$7),0)+IF(ISNUMBER(AJ170),AJ170*IF($D170="Unlabeled-13",MCDM_Settings!$E$8,MCDM_Settings!$C$8),0)+IF(ISNUMBER(AM170),AM170*IF($D170="Unlabeled-13",MCDM_Settings!$E$9,MCDM_Settings!$C$9),0)+IF(ISNUMBER(AP170),AP170*IF($D170="Unlabeled-13",MCDM_Settings!$E$10,MCDM_Settings!$C$10),0)+IF(ISNUMBER(AS170),AS170*IF($D170="Unlabeled-13",MCDM_Settings!$E$11,MCDM_Settings!$C$11),0)))</f>
        <v>99.999999999999986</v>
      </c>
      <c r="G170" s="13">
        <f>IF(OR(AY170&lt;&gt;"Valid",AZ170&lt;&gt;"16 keys present"),"Review settings",1*(IF(ISNUMBER(AE170),AE170*IF($D170="Unlabeled-13",MCDM_Settings!$E$6,MCDM_Settings!$C$6),0)+IF(ISNUMBER(AH170),AH170*IF($D170="Unlabeled-13",MCDM_Settings!$E$7,MCDM_Settings!$C$7),0)+IF(ISNUMBER(AK170),AK170*IF($D170="Unlabeled-13",MCDM_Settings!$E$8,MCDM_Settings!$C$8),0)+IF(ISNUMBER(AN170),AN170*IF($D170="Unlabeled-13",MCDM_Settings!$E$9,MCDM_Settings!$C$9),0)+IF(ISNUMBER(AQ170),AQ170*IF($D170="Unlabeled-13",MCDM_Settings!$E$10,MCDM_Settings!$C$10),0)+IF(ISNUMBER(AT170),AT170*IF($D170="Unlabeled-13",MCDM_Settings!$E$11,MCDM_Settings!$C$11),0)))</f>
        <v>0.16666666666666666</v>
      </c>
      <c r="H170" s="5" t="str">
        <f>INDEX(Manual_Review!$AH$6:$AH$238,MATCH(A170,Manual_Review!$A$6:$A$238,0))</f>
        <v>Not started</v>
      </c>
      <c r="I170" s="5" t="s">
        <v>128</v>
      </c>
      <c r="J170" s="5" t="s">
        <v>1601</v>
      </c>
      <c r="K170" s="5" t="str">
        <f>HYPERLINK("https://www.kaggle.com/datasets/yuzhang0211/road-defect-classification-dataset","Dataset")</f>
        <v>Dataset</v>
      </c>
      <c r="L170" s="5" t="str">
        <f>HYPERLINK("#'Manual_Review'!A"&amp;(MATCH("DS-165",Manual_Review!$A$6:$A$238,0)+5),"Enter review")</f>
        <v>Enter review</v>
      </c>
      <c r="M170" s="5" t="str">
        <f>INDEX(MCDM_Checks!$K$6:$K$3733,MATCH(A170&amp;"|"&amp;M$5,MCDM_Checks!$A$6:$A$3733,0))</f>
        <v>Y</v>
      </c>
      <c r="N170" s="5" t="str">
        <f>INDEX(MCDM_Checks!$K$6:$K$3733,MATCH(A170&amp;"|"&amp;N$5,MCDM_Checks!$A$6:$A$3733,0))</f>
        <v>Y</v>
      </c>
      <c r="O170" s="5" t="str">
        <f>INDEX(MCDM_Checks!$K$6:$K$3733,MATCH(A170&amp;"|"&amp;O$5,MCDM_Checks!$A$6:$A$3733,0))</f>
        <v>Y</v>
      </c>
      <c r="P170" s="5" t="str">
        <f>INDEX(MCDM_Checks!$K$6:$K$3733,MATCH(A170&amp;"|"&amp;P$5,MCDM_Checks!$A$6:$A$3733,0))</f>
        <v>U</v>
      </c>
      <c r="Q170" s="5" t="str">
        <f>INDEX(MCDM_Checks!$K$6:$K$3733,MATCH(A170&amp;"|"&amp;Q$5,MCDM_Checks!$A$6:$A$3733,0))</f>
        <v>U</v>
      </c>
      <c r="R170" s="5" t="str">
        <f>INDEX(MCDM_Checks!$K$6:$K$3733,MATCH(A170&amp;"|"&amp;R$5,MCDM_Checks!$A$6:$A$3733,0))</f>
        <v>U</v>
      </c>
      <c r="S170" s="5" t="str">
        <f>INDEX(MCDM_Checks!$K$6:$K$3733,MATCH(A170&amp;"|"&amp;S$5,MCDM_Checks!$A$6:$A$3733,0))</f>
        <v>U</v>
      </c>
      <c r="T170" s="5" t="str">
        <f>INDEX(MCDM_Checks!$K$6:$K$3733,MATCH(A170&amp;"|"&amp;T$5,MCDM_Checks!$A$6:$A$3733,0))</f>
        <v>U</v>
      </c>
      <c r="U170" s="5" t="str">
        <f>INDEX(MCDM_Checks!$K$6:$K$3733,MATCH(A170&amp;"|"&amp;U$5,MCDM_Checks!$A$6:$A$3733,0))</f>
        <v>U</v>
      </c>
      <c r="V170" s="5" t="str">
        <f>INDEX(MCDM_Checks!$K$6:$K$3733,MATCH(A170&amp;"|"&amp;V$5,MCDM_Checks!$A$6:$A$3733,0))</f>
        <v>U</v>
      </c>
      <c r="W170" s="5" t="str">
        <f>INDEX(MCDM_Checks!$K$6:$K$3733,MATCH(A170&amp;"|"&amp;W$5,MCDM_Checks!$A$6:$A$3733,0))</f>
        <v>U</v>
      </c>
      <c r="X170" s="5" t="str">
        <f>INDEX(MCDM_Checks!$K$6:$K$3733,MATCH(A170&amp;"|"&amp;X$5,MCDM_Checks!$A$6:$A$3733,0))</f>
        <v>U</v>
      </c>
      <c r="Y170" s="5" t="str">
        <f>INDEX(MCDM_Checks!$K$6:$K$3733,MATCH(A170&amp;"|"&amp;Y$5,MCDM_Checks!$A$6:$A$3733,0))</f>
        <v>U</v>
      </c>
      <c r="Z170" s="5" t="str">
        <f>INDEX(MCDM_Checks!$K$6:$K$3733,MATCH(A170&amp;"|"&amp;Z$5,MCDM_Checks!$A$6:$A$3733,0))</f>
        <v>U</v>
      </c>
      <c r="AA170" s="5" t="str">
        <f>INDEX(MCDM_Checks!$K$6:$K$3733,MATCH(A170&amp;"|"&amp;AA$5,MCDM_Checks!$A$6:$A$3733,0))</f>
        <v>U</v>
      </c>
      <c r="AB170" s="5" t="str">
        <f>INDEX(MCDM_Checks!$K$6:$K$3733,MATCH(A170&amp;"|"&amp;AB$5,MCDM_Checks!$A$6:$A$3733,0))</f>
        <v>U</v>
      </c>
      <c r="AC170" s="12">
        <f>IF(IF($D170="Unlabeled-13",MCDM_Settings!$F$6,MCDM_Settings!$D$6)=0,"n.a.",5*COUNTIF(M170:O170,"Y")/IF($D170="Unlabeled-13",MCDM_Settings!$F$6,MCDM_Settings!$D$6))</f>
        <v>5</v>
      </c>
      <c r="AD170" s="12">
        <f>IF(IF($D170="Unlabeled-13",MCDM_Settings!$F$6,MCDM_Settings!$D$6)=0,"n.a.",5*(COUNTIF(M170:O170,"Y")+COUNTIF(M170:O170,"U")+COUNTIF(M170:O170,"X"))/IF($D170="Unlabeled-13",MCDM_Settings!$F$6,MCDM_Settings!$D$6))</f>
        <v>5</v>
      </c>
      <c r="AE170" s="13">
        <f>IF(IF($D170="Unlabeled-13",MCDM_Settings!$F$6,MCDM_Settings!$D$6)=0,"n.a.",(COUNTIF(M170:O170,"Y")+COUNTIF(M170:O170,"N"))/IF($D170="Unlabeled-13",MCDM_Settings!$F$6,MCDM_Settings!$D$6))</f>
        <v>1</v>
      </c>
      <c r="AF170" s="12">
        <f>IF(IF($D170="Unlabeled-13",MCDM_Settings!$F$7,MCDM_Settings!$D$7)=0,"n.a.",5*COUNTIF(P170:R170,"Y")/IF($D170="Unlabeled-13",MCDM_Settings!$F$7,MCDM_Settings!$D$7))</f>
        <v>0</v>
      </c>
      <c r="AG170" s="12">
        <f>IF(IF($D170="Unlabeled-13",MCDM_Settings!$F$7,MCDM_Settings!$D$7)=0,"n.a.",5*(COUNTIF(P170:R170,"Y")+COUNTIF(P170:R170,"U")+COUNTIF(P170:R170,"X"))/IF($D170="Unlabeled-13",MCDM_Settings!$F$7,MCDM_Settings!$D$7))</f>
        <v>5</v>
      </c>
      <c r="AH170" s="13">
        <f>IF(IF($D170="Unlabeled-13",MCDM_Settings!$F$7,MCDM_Settings!$D$7)=0,"n.a.",(COUNTIF(P170:R170,"Y")+COUNTIF(P170:R170,"N"))/IF($D170="Unlabeled-13",MCDM_Settings!$F$7,MCDM_Settings!$D$7))</f>
        <v>0</v>
      </c>
      <c r="AI170" s="12">
        <f>IF(IF($D170="Unlabeled-13",MCDM_Settings!$F$8,MCDM_Settings!$D$8)=0,"n.a.",5*COUNTIF(S170:U170,"Y")/IF($D170="Unlabeled-13",MCDM_Settings!$F$8,MCDM_Settings!$D$8))</f>
        <v>0</v>
      </c>
      <c r="AJ170" s="12">
        <f>IF(IF($D170="Unlabeled-13",MCDM_Settings!$F$8,MCDM_Settings!$D$8)=0,"n.a.",5*(COUNTIF(S170:U170,"Y")+COUNTIF(S170:U170,"U")+COUNTIF(S170:U170,"X"))/IF($D170="Unlabeled-13",MCDM_Settings!$F$8,MCDM_Settings!$D$8))</f>
        <v>5</v>
      </c>
      <c r="AK170" s="13">
        <f>IF(IF($D170="Unlabeled-13",MCDM_Settings!$F$8,MCDM_Settings!$D$8)=0,"n.a.",(COUNTIF(S170:U170,"Y")+COUNTIF(S170:U170,"N"))/IF($D170="Unlabeled-13",MCDM_Settings!$F$8,MCDM_Settings!$D$8))</f>
        <v>0</v>
      </c>
      <c r="AL170" s="12">
        <f>IF(IF($D170="Unlabeled-13",MCDM_Settings!$F$9,MCDM_Settings!$D$9)=0,"n.a.",5*COUNTIF(V170:W170,"Y")/IF($D170="Unlabeled-13",MCDM_Settings!$F$9,MCDM_Settings!$D$9))</f>
        <v>0</v>
      </c>
      <c r="AM170" s="12">
        <f>IF(IF($D170="Unlabeled-13",MCDM_Settings!$F$9,MCDM_Settings!$D$9)=0,"n.a.",5*(COUNTIF(V170:W170,"Y")+COUNTIF(V170:W170,"U")+COUNTIF(V170:W170,"X"))/IF($D170="Unlabeled-13",MCDM_Settings!$F$9,MCDM_Settings!$D$9))</f>
        <v>5</v>
      </c>
      <c r="AN170" s="13">
        <f>IF(IF($D170="Unlabeled-13",MCDM_Settings!$F$9,MCDM_Settings!$D$9)=0,"n.a.",(COUNTIF(V170:W170,"Y")+COUNTIF(V170:W170,"N"))/IF($D170="Unlabeled-13",MCDM_Settings!$F$9,MCDM_Settings!$D$9))</f>
        <v>0</v>
      </c>
      <c r="AO170" s="12">
        <f>IF(IF($D170="Unlabeled-13",MCDM_Settings!$F$10,MCDM_Settings!$D$10)=0,"n.a.",5*COUNTIF(X170:Y170,"Y")/IF($D170="Unlabeled-13",MCDM_Settings!$F$10,MCDM_Settings!$D$10))</f>
        <v>0</v>
      </c>
      <c r="AP170" s="12">
        <f>IF(IF($D170="Unlabeled-13",MCDM_Settings!$F$10,MCDM_Settings!$D$10)=0,"n.a.",5*(COUNTIF(X170:Y170,"Y")+COUNTIF(X170:Y170,"U")+COUNTIF(X170:Y170,"X"))/IF($D170="Unlabeled-13",MCDM_Settings!$F$10,MCDM_Settings!$D$10))</f>
        <v>5</v>
      </c>
      <c r="AQ170" s="13">
        <f>IF(IF($D170="Unlabeled-13",MCDM_Settings!$F$10,MCDM_Settings!$D$10)=0,"n.a.",(COUNTIF(X170:Y170,"Y")+COUNTIF(X170:Y170,"N"))/IF($D170="Unlabeled-13",MCDM_Settings!$F$10,MCDM_Settings!$D$10))</f>
        <v>0</v>
      </c>
      <c r="AR170" s="12">
        <f>IF(IF($D170="Unlabeled-13",MCDM_Settings!$F$11,MCDM_Settings!$D$11)=0,"n.a.",5*COUNTIF(Z170:AB170,"Y")/IF($D170="Unlabeled-13",MCDM_Settings!$F$11,MCDM_Settings!$D$11))</f>
        <v>0</v>
      </c>
      <c r="AS170" s="12">
        <f>IF(IF($D170="Unlabeled-13",MCDM_Settings!$F$11,MCDM_Settings!$D$11)=0,"n.a.",5*(COUNTIF(Z170:AB170,"Y")+COUNTIF(Z170:AB170,"U")+COUNTIF(Z170:AB170,"X"))/IF($D170="Unlabeled-13",MCDM_Settings!$F$11,MCDM_Settings!$D$11))</f>
        <v>5</v>
      </c>
      <c r="AT170" s="13">
        <f>IF(IF($D170="Unlabeled-13",MCDM_Settings!$F$11,MCDM_Settings!$D$11)=0,"n.a.",(COUNTIF(Z170:AB170,"Y")+COUNTIF(Z170:AB170,"N"))/IF($D170="Unlabeled-13",MCDM_Settings!$F$11,MCDM_Settings!$D$11))</f>
        <v>0</v>
      </c>
      <c r="AU170" s="5" t="str">
        <f>IF(AND(INDEX(Manual_Review!$G$6:$G$238,MATCH(A170,Manual_Review!$A$6:$A$238,0))&lt;&gt;"",ISNUMBER(INDEX(Manual_Review!$H$6:$H$238,MATCH(A170,Manual_Review!$A$6:$A$238,0))),INDEX(Manual_Review!$H$6:$H$238,MATCH(A170,Manual_Review!$A$6:$A$238,0))&gt;0,INDEX(Manual_Review!$I$6:$I$238,MATCH(A170,Manual_Review!$A$6:$A$238,0))="Confirmed",INDEX(Manual_Review!$AF$6:$AF$238,MATCH(A170,Manual_Review!$A$6:$A$238,0))&lt;&gt;""),IF(INDEX(Manual_Review!$AA$6:$AA$238,MATCH(A170,Manual_Review!$A$6:$A$238,0))="Pass","Pass",IF(INDEX(Manual_Review!$AA$6:$AA$238,MATCH(A170,Manual_Review!$A$6:$A$238,0))="Fail","Fail","Pending")),"Pending human identity confirmation")</f>
        <v>Pending human identity confirmation</v>
      </c>
      <c r="AV170" s="5" t="str">
        <f>IF(AND(AND(INDEX(Manual_Review!$G$6:$G$238,MATCH(A170,Manual_Review!$A$6:$A$238,0))&lt;&gt;"",ISNUMBER(INDEX(Manual_Review!$H$6:$H$238,MATCH(A170,Manual_Review!$A$6:$A$238,0))),INDEX(Manual_Review!$H$6:$H$238,MATCH(A170,Manual_Review!$A$6:$A$238,0))&gt;0,INDEX(Manual_Review!$I$6:$I$238,MATCH(A170,Manual_Review!$A$6:$A$238,0))="Confirmed",INDEX(Manual_Review!$AF$6:$AF$238,MATCH(A170,Manual_Review!$A$6:$A$238,0))&lt;&gt;""),INDEX(Manual_Review!$AG$6:$AG$238,MATCH(A170,Manual_Review!$A$6:$A$238,0))&lt;&gt;""),IF(INDEX(Manual_Review!$AB$6:$AB$238,MATCH(A170,Manual_Review!$A$6:$A$238,0))="Pass","Pass",IF(INDEX(Manual_Review!$AB$6:$AB$238,MATCH(A170,Manual_Review!$A$6:$A$238,0))="Fail","Fail","Pending")),"Not assessed: define intended task")</f>
        <v>Not assessed: define intended task</v>
      </c>
      <c r="AW170" s="5" t="str">
        <f>IF(AND(AND(INDEX(Manual_Review!$G$6:$G$238,MATCH(A170,Manual_Review!$A$6:$A$238,0))&lt;&gt;"",ISNUMBER(INDEX(Manual_Review!$H$6:$H$238,MATCH(A170,Manual_Review!$A$6:$A$238,0))),INDEX(Manual_Review!$H$6:$H$238,MATCH(A170,Manual_Review!$A$6:$A$238,0))&gt;0,INDEX(Manual_Review!$I$6:$I$238,MATCH(A170,Manual_Review!$A$6:$A$238,0))="Confirmed",INDEX(Manual_Review!$AF$6:$AF$238,MATCH(A170,Manual_Review!$A$6:$A$238,0))&lt;&gt;""),INDEX(Manual_Review!$AG$6:$AG$238,MATCH(A170,Manual_Review!$A$6:$A$238,0))&lt;&gt;""),IF(OR(INDEX(Manual_Review!$AC$6:$AC$238,MATCH(A170,Manual_Review!$A$6:$A$238,0))="Fail",INDEX(Manual_Review!$AD$6:$AD$238,MATCH(A170,Manual_Review!$A$6:$A$238,0))="Fail"),"Fail: rights or retrieval",IF(AND(INDEX(Manual_Review!$AC$6:$AC$238,MATCH(A170,Manual_Review!$A$6:$A$238,0))="Pass",INDEX(Manual_Review!$AD$6:$AD$238,MATCH(A170,Manual_Review!$A$6:$A$238,0))="Pass"),"Pass","Pending rights and retrieval")),"Pending rights and retrieval")</f>
        <v>Pending rights and retrieval</v>
      </c>
      <c r="AX170" s="5" t="str">
        <f>IF(INDEX(Manual_Review!$AG$6:$AG$238,MATCH(A170,Manual_Review!$A$6:$A$238,0))="","N/A: documentation inventory",IF(AND(INDEX(Manual_Review!$G$6:$G$238,MATCH(A170,Manual_Review!$A$6:$A$238,0))&lt;&gt;"",ISNUMBER(INDEX(Manual_Review!$H$6:$H$238,MATCH(A170,Manual_Review!$A$6:$A$238,0))),INDEX(Manual_Review!$H$6:$H$238,MATCH(A170,Manual_Review!$A$6:$A$238,0))&gt;0,INDEX(Manual_Review!$I$6:$I$238,MATCH(A170,Manual_Review!$A$6:$A$238,0))="Confirmed",INDEX(Manual_Review!$AF$6:$AF$238,MATCH(A170,Manual_Review!$A$6:$A$238,0))&lt;&gt;""),IF(INDEX(Manual_Review!$AE$6:$AE$238,MATCH(A170,Manual_Review!$A$6:$A$238,0))="Pass","Pass",IF(INDEX(Manual_Review!$AE$6:$AE$238,MATCH(A170,Manual_Review!$A$6:$A$238,0))="Fail","Fail: benchmark leakage",IF(INDEX(Manual_Review!$AE$6:$AE$238,MATCH(A170,Manual_Review!$A$6:$A$238,0))="N/A","N/A: nonbenchmark task","Pending task-specific leakage check"))),"Pending task-specific leakage check"))</f>
        <v>N/A: documentation inventory</v>
      </c>
      <c r="AY170" s="5" t="str">
        <f>IF(IF(D170="Unlabeled-13",AND(ABS(MCDM_Settings!$D$14-1)&lt;0.0000001,MIN(MCDM_Settings!$E$6:$E$11)&gt;=0,MCDM_Settings!$E$7=0),AND(ABS(MCDM_Settings!$B$14-1)&lt;0.0000001,MIN(MCDM_Settings!$C$6:$C$11)&gt;=0)),"Valid","Check weights")</f>
        <v>Valid</v>
      </c>
      <c r="AZ170" s="5" t="str">
        <f>IF(AND(COUNTIF(MCDM_Checks!$B$6:$B$3733,A170)=16,COUNTIF(Manual_Review!$A$6:$A$238,A170)=1),"16 keys present","Check key count")</f>
        <v>16 keys present</v>
      </c>
    </row>
    <row r="171" spans="1:52">
      <c r="A171" s="5" t="s">
        <v>1860</v>
      </c>
      <c r="B171" s="5" t="s">
        <v>1861</v>
      </c>
      <c r="C171" s="5"/>
      <c r="D171" s="5" t="s">
        <v>118</v>
      </c>
      <c r="E171" s="12">
        <f>IF(OR(AY171&lt;&gt;"Valid",AZ171&lt;&gt;"16 keys present"),"Review settings",20*(IF(ISNUMBER(AC171),AC171*IF($D171="Unlabeled-13",MCDM_Settings!$E$6,MCDM_Settings!$C$6),0)+IF(ISNUMBER(AF171),AF171*IF($D171="Unlabeled-13",MCDM_Settings!$E$7,MCDM_Settings!$C$7),0)+IF(ISNUMBER(AI171),AI171*IF($D171="Unlabeled-13",MCDM_Settings!$E$8,MCDM_Settings!$C$8),0)+IF(ISNUMBER(AL171),AL171*IF($D171="Unlabeled-13",MCDM_Settings!$E$9,MCDM_Settings!$C$9),0)+IF(ISNUMBER(AO171),AO171*IF($D171="Unlabeled-13",MCDM_Settings!$E$10,MCDM_Settings!$C$10),0)+IF(ISNUMBER(AR171),AR171*IF($D171="Unlabeled-13",MCDM_Settings!$E$11,MCDM_Settings!$C$11),0)))</f>
        <v>22.222222222222221</v>
      </c>
      <c r="F171" s="12">
        <f>IF(OR(AY171&lt;&gt;"Valid",AZ171&lt;&gt;"16 keys present"),"Review settings",20*(IF(ISNUMBER(AD171),AD171*IF($D171="Unlabeled-13",MCDM_Settings!$E$6,MCDM_Settings!$C$6),0)+IF(ISNUMBER(AG171),AG171*IF($D171="Unlabeled-13",MCDM_Settings!$E$7,MCDM_Settings!$C$7),0)+IF(ISNUMBER(AJ171),AJ171*IF($D171="Unlabeled-13",MCDM_Settings!$E$8,MCDM_Settings!$C$8),0)+IF(ISNUMBER(AM171),AM171*IF($D171="Unlabeled-13",MCDM_Settings!$E$9,MCDM_Settings!$C$9),0)+IF(ISNUMBER(AP171),AP171*IF($D171="Unlabeled-13",MCDM_Settings!$E$10,MCDM_Settings!$C$10),0)+IF(ISNUMBER(AS171),AS171*IF($D171="Unlabeled-13",MCDM_Settings!$E$11,MCDM_Settings!$C$11),0)))</f>
        <v>99.999999999999986</v>
      </c>
      <c r="G171" s="13">
        <f>IF(OR(AY171&lt;&gt;"Valid",AZ171&lt;&gt;"16 keys present"),"Review settings",1*(IF(ISNUMBER(AE171),AE171*IF($D171="Unlabeled-13",MCDM_Settings!$E$6,MCDM_Settings!$C$6),0)+IF(ISNUMBER(AH171),AH171*IF($D171="Unlabeled-13",MCDM_Settings!$E$7,MCDM_Settings!$C$7),0)+IF(ISNUMBER(AK171),AK171*IF($D171="Unlabeled-13",MCDM_Settings!$E$8,MCDM_Settings!$C$8),0)+IF(ISNUMBER(AN171),AN171*IF($D171="Unlabeled-13",MCDM_Settings!$E$9,MCDM_Settings!$C$9),0)+IF(ISNUMBER(AQ171),AQ171*IF($D171="Unlabeled-13",MCDM_Settings!$E$10,MCDM_Settings!$C$10),0)+IF(ISNUMBER(AT171),AT171*IF($D171="Unlabeled-13",MCDM_Settings!$E$11,MCDM_Settings!$C$11),0)))</f>
        <v>0.22222222222222221</v>
      </c>
      <c r="H171" s="5" t="str">
        <f>INDEX(Manual_Review!$AH$6:$AH$238,MATCH(A171,Manual_Review!$A$6:$A$238,0))</f>
        <v>Not started</v>
      </c>
      <c r="I171" s="5" t="s">
        <v>128</v>
      </c>
      <c r="J171" s="5" t="s">
        <v>1601</v>
      </c>
      <c r="K171" s="5" t="str">
        <f>HYPERLINK("https://www.kaggle.com/datasets/patelmihir/road-defects-nonaugmented","Dataset")</f>
        <v>Dataset</v>
      </c>
      <c r="L171" s="5" t="str">
        <f>HYPERLINK("#'Manual_Review'!A"&amp;(MATCH("DS-166",Manual_Review!$A$6:$A$238,0)+5),"Enter review")</f>
        <v>Enter review</v>
      </c>
      <c r="M171" s="5" t="str">
        <f>INDEX(MCDM_Checks!$K$6:$K$3733,MATCH(A171&amp;"|"&amp;M$5,MCDM_Checks!$A$6:$A$3733,0))</f>
        <v>Y</v>
      </c>
      <c r="N171" s="5" t="str">
        <f>INDEX(MCDM_Checks!$K$6:$K$3733,MATCH(A171&amp;"|"&amp;N$5,MCDM_Checks!$A$6:$A$3733,0))</f>
        <v>Y</v>
      </c>
      <c r="O171" s="5" t="str">
        <f>INDEX(MCDM_Checks!$K$6:$K$3733,MATCH(A171&amp;"|"&amp;O$5,MCDM_Checks!$A$6:$A$3733,0))</f>
        <v>Y</v>
      </c>
      <c r="P171" s="5" t="str">
        <f>INDEX(MCDM_Checks!$K$6:$K$3733,MATCH(A171&amp;"|"&amp;P$5,MCDM_Checks!$A$6:$A$3733,0))</f>
        <v>X</v>
      </c>
      <c r="Q171" s="5" t="str">
        <f>INDEX(MCDM_Checks!$K$6:$K$3733,MATCH(A171&amp;"|"&amp;Q$5,MCDM_Checks!$A$6:$A$3733,0))</f>
        <v>U</v>
      </c>
      <c r="R171" s="5" t="str">
        <f>INDEX(MCDM_Checks!$K$6:$K$3733,MATCH(A171&amp;"|"&amp;R$5,MCDM_Checks!$A$6:$A$3733,0))</f>
        <v>U</v>
      </c>
      <c r="S171" s="5" t="str">
        <f>INDEX(MCDM_Checks!$K$6:$K$3733,MATCH(A171&amp;"|"&amp;S$5,MCDM_Checks!$A$6:$A$3733,0))</f>
        <v>U</v>
      </c>
      <c r="T171" s="5" t="str">
        <f>INDEX(MCDM_Checks!$K$6:$K$3733,MATCH(A171&amp;"|"&amp;T$5,MCDM_Checks!$A$6:$A$3733,0))</f>
        <v>U</v>
      </c>
      <c r="U171" s="5" t="str">
        <f>INDEX(MCDM_Checks!$K$6:$K$3733,MATCH(A171&amp;"|"&amp;U$5,MCDM_Checks!$A$6:$A$3733,0))</f>
        <v>U</v>
      </c>
      <c r="V171" s="5" t="str">
        <f>INDEX(MCDM_Checks!$K$6:$K$3733,MATCH(A171&amp;"|"&amp;V$5,MCDM_Checks!$A$6:$A$3733,0))</f>
        <v>X</v>
      </c>
      <c r="W171" s="5" t="str">
        <f>INDEX(MCDM_Checks!$K$6:$K$3733,MATCH(A171&amp;"|"&amp;W$5,MCDM_Checks!$A$6:$A$3733,0))</f>
        <v>U</v>
      </c>
      <c r="X171" s="5" t="str">
        <f>INDEX(MCDM_Checks!$K$6:$K$3733,MATCH(A171&amp;"|"&amp;X$5,MCDM_Checks!$A$6:$A$3733,0))</f>
        <v>U</v>
      </c>
      <c r="Y171" s="5" t="str">
        <f>INDEX(MCDM_Checks!$K$6:$K$3733,MATCH(A171&amp;"|"&amp;Y$5,MCDM_Checks!$A$6:$A$3733,0))</f>
        <v>U</v>
      </c>
      <c r="Z171" s="5" t="str">
        <f>INDEX(MCDM_Checks!$K$6:$K$3733,MATCH(A171&amp;"|"&amp;Z$5,MCDM_Checks!$A$6:$A$3733,0))</f>
        <v>Y</v>
      </c>
      <c r="AA171" s="5" t="str">
        <f>INDEX(MCDM_Checks!$K$6:$K$3733,MATCH(A171&amp;"|"&amp;AA$5,MCDM_Checks!$A$6:$A$3733,0))</f>
        <v>U</v>
      </c>
      <c r="AB171" s="5" t="str">
        <f>INDEX(MCDM_Checks!$K$6:$K$3733,MATCH(A171&amp;"|"&amp;AB$5,MCDM_Checks!$A$6:$A$3733,0))</f>
        <v>U</v>
      </c>
      <c r="AC171" s="12">
        <f>IF(IF($D171="Unlabeled-13",MCDM_Settings!$F$6,MCDM_Settings!$D$6)=0,"n.a.",5*COUNTIF(M171:O171,"Y")/IF($D171="Unlabeled-13",MCDM_Settings!$F$6,MCDM_Settings!$D$6))</f>
        <v>5</v>
      </c>
      <c r="AD171" s="12">
        <f>IF(IF($D171="Unlabeled-13",MCDM_Settings!$F$6,MCDM_Settings!$D$6)=0,"n.a.",5*(COUNTIF(M171:O171,"Y")+COUNTIF(M171:O171,"U")+COUNTIF(M171:O171,"X"))/IF($D171="Unlabeled-13",MCDM_Settings!$F$6,MCDM_Settings!$D$6))</f>
        <v>5</v>
      </c>
      <c r="AE171" s="13">
        <f>IF(IF($D171="Unlabeled-13",MCDM_Settings!$F$6,MCDM_Settings!$D$6)=0,"n.a.",(COUNTIF(M171:O171,"Y")+COUNTIF(M171:O171,"N"))/IF($D171="Unlabeled-13",MCDM_Settings!$F$6,MCDM_Settings!$D$6))</f>
        <v>1</v>
      </c>
      <c r="AF171" s="12">
        <f>IF(IF($D171="Unlabeled-13",MCDM_Settings!$F$7,MCDM_Settings!$D$7)=0,"n.a.",5*COUNTIF(P171:R171,"Y")/IF($D171="Unlabeled-13",MCDM_Settings!$F$7,MCDM_Settings!$D$7))</f>
        <v>0</v>
      </c>
      <c r="AG171" s="12">
        <f>IF(IF($D171="Unlabeled-13",MCDM_Settings!$F$7,MCDM_Settings!$D$7)=0,"n.a.",5*(COUNTIF(P171:R171,"Y")+COUNTIF(P171:R171,"U")+COUNTIF(P171:R171,"X"))/IF($D171="Unlabeled-13",MCDM_Settings!$F$7,MCDM_Settings!$D$7))</f>
        <v>5</v>
      </c>
      <c r="AH171" s="13">
        <f>IF(IF($D171="Unlabeled-13",MCDM_Settings!$F$7,MCDM_Settings!$D$7)=0,"n.a.",(COUNTIF(P171:R171,"Y")+COUNTIF(P171:R171,"N"))/IF($D171="Unlabeled-13",MCDM_Settings!$F$7,MCDM_Settings!$D$7))</f>
        <v>0</v>
      </c>
      <c r="AI171" s="12">
        <f>IF(IF($D171="Unlabeled-13",MCDM_Settings!$F$8,MCDM_Settings!$D$8)=0,"n.a.",5*COUNTIF(S171:U171,"Y")/IF($D171="Unlabeled-13",MCDM_Settings!$F$8,MCDM_Settings!$D$8))</f>
        <v>0</v>
      </c>
      <c r="AJ171" s="12">
        <f>IF(IF($D171="Unlabeled-13",MCDM_Settings!$F$8,MCDM_Settings!$D$8)=0,"n.a.",5*(COUNTIF(S171:U171,"Y")+COUNTIF(S171:U171,"U")+COUNTIF(S171:U171,"X"))/IF($D171="Unlabeled-13",MCDM_Settings!$F$8,MCDM_Settings!$D$8))</f>
        <v>5</v>
      </c>
      <c r="AK171" s="13">
        <f>IF(IF($D171="Unlabeled-13",MCDM_Settings!$F$8,MCDM_Settings!$D$8)=0,"n.a.",(COUNTIF(S171:U171,"Y")+COUNTIF(S171:U171,"N"))/IF($D171="Unlabeled-13",MCDM_Settings!$F$8,MCDM_Settings!$D$8))</f>
        <v>0</v>
      </c>
      <c r="AL171" s="12">
        <f>IF(IF($D171="Unlabeled-13",MCDM_Settings!$F$9,MCDM_Settings!$D$9)=0,"n.a.",5*COUNTIF(V171:W171,"Y")/IF($D171="Unlabeled-13",MCDM_Settings!$F$9,MCDM_Settings!$D$9))</f>
        <v>0</v>
      </c>
      <c r="AM171" s="12">
        <f>IF(IF($D171="Unlabeled-13",MCDM_Settings!$F$9,MCDM_Settings!$D$9)=0,"n.a.",5*(COUNTIF(V171:W171,"Y")+COUNTIF(V171:W171,"U")+COUNTIF(V171:W171,"X"))/IF($D171="Unlabeled-13",MCDM_Settings!$F$9,MCDM_Settings!$D$9))</f>
        <v>5</v>
      </c>
      <c r="AN171" s="13">
        <f>IF(IF($D171="Unlabeled-13",MCDM_Settings!$F$9,MCDM_Settings!$D$9)=0,"n.a.",(COUNTIF(V171:W171,"Y")+COUNTIF(V171:W171,"N"))/IF($D171="Unlabeled-13",MCDM_Settings!$F$9,MCDM_Settings!$D$9))</f>
        <v>0</v>
      </c>
      <c r="AO171" s="12">
        <f>IF(IF($D171="Unlabeled-13",MCDM_Settings!$F$10,MCDM_Settings!$D$10)=0,"n.a.",5*COUNTIF(X171:Y171,"Y")/IF($D171="Unlabeled-13",MCDM_Settings!$F$10,MCDM_Settings!$D$10))</f>
        <v>0</v>
      </c>
      <c r="AP171" s="12">
        <f>IF(IF($D171="Unlabeled-13",MCDM_Settings!$F$10,MCDM_Settings!$D$10)=0,"n.a.",5*(COUNTIF(X171:Y171,"Y")+COUNTIF(X171:Y171,"U")+COUNTIF(X171:Y171,"X"))/IF($D171="Unlabeled-13",MCDM_Settings!$F$10,MCDM_Settings!$D$10))</f>
        <v>5</v>
      </c>
      <c r="AQ171" s="13">
        <f>IF(IF($D171="Unlabeled-13",MCDM_Settings!$F$10,MCDM_Settings!$D$10)=0,"n.a.",(COUNTIF(X171:Y171,"Y")+COUNTIF(X171:Y171,"N"))/IF($D171="Unlabeled-13",MCDM_Settings!$F$10,MCDM_Settings!$D$10))</f>
        <v>0</v>
      </c>
      <c r="AR171" s="12">
        <f>IF(IF($D171="Unlabeled-13",MCDM_Settings!$F$11,MCDM_Settings!$D$11)=0,"n.a.",5*COUNTIF(Z171:AB171,"Y")/IF($D171="Unlabeled-13",MCDM_Settings!$F$11,MCDM_Settings!$D$11))</f>
        <v>1.6666666666666667</v>
      </c>
      <c r="AS171" s="12">
        <f>IF(IF($D171="Unlabeled-13",MCDM_Settings!$F$11,MCDM_Settings!$D$11)=0,"n.a.",5*(COUNTIF(Z171:AB171,"Y")+COUNTIF(Z171:AB171,"U")+COUNTIF(Z171:AB171,"X"))/IF($D171="Unlabeled-13",MCDM_Settings!$F$11,MCDM_Settings!$D$11))</f>
        <v>5</v>
      </c>
      <c r="AT171" s="13">
        <f>IF(IF($D171="Unlabeled-13",MCDM_Settings!$F$11,MCDM_Settings!$D$11)=0,"n.a.",(COUNTIF(Z171:AB171,"Y")+COUNTIF(Z171:AB171,"N"))/IF($D171="Unlabeled-13",MCDM_Settings!$F$11,MCDM_Settings!$D$11))</f>
        <v>0.33333333333333331</v>
      </c>
      <c r="AU171" s="5" t="str">
        <f>IF(AND(INDEX(Manual_Review!$G$6:$G$238,MATCH(A171,Manual_Review!$A$6:$A$238,0))&lt;&gt;"",ISNUMBER(INDEX(Manual_Review!$H$6:$H$238,MATCH(A171,Manual_Review!$A$6:$A$238,0))),INDEX(Manual_Review!$H$6:$H$238,MATCH(A171,Manual_Review!$A$6:$A$238,0))&gt;0,INDEX(Manual_Review!$I$6:$I$238,MATCH(A171,Manual_Review!$A$6:$A$238,0))="Confirmed",INDEX(Manual_Review!$AF$6:$AF$238,MATCH(A171,Manual_Review!$A$6:$A$238,0))&lt;&gt;""),IF(INDEX(Manual_Review!$AA$6:$AA$238,MATCH(A171,Manual_Review!$A$6:$A$238,0))="Pass","Pass",IF(INDEX(Manual_Review!$AA$6:$AA$238,MATCH(A171,Manual_Review!$A$6:$A$238,0))="Fail","Fail","Pending")),"Pending human identity confirmation")</f>
        <v>Pending human identity confirmation</v>
      </c>
      <c r="AV171" s="5" t="str">
        <f>IF(AND(AND(INDEX(Manual_Review!$G$6:$G$238,MATCH(A171,Manual_Review!$A$6:$A$238,0))&lt;&gt;"",ISNUMBER(INDEX(Manual_Review!$H$6:$H$238,MATCH(A171,Manual_Review!$A$6:$A$238,0))),INDEX(Manual_Review!$H$6:$H$238,MATCH(A171,Manual_Review!$A$6:$A$238,0))&gt;0,INDEX(Manual_Review!$I$6:$I$238,MATCH(A171,Manual_Review!$A$6:$A$238,0))="Confirmed",INDEX(Manual_Review!$AF$6:$AF$238,MATCH(A171,Manual_Review!$A$6:$A$238,0))&lt;&gt;""),INDEX(Manual_Review!$AG$6:$AG$238,MATCH(A171,Manual_Review!$A$6:$A$238,0))&lt;&gt;""),IF(INDEX(Manual_Review!$AB$6:$AB$238,MATCH(A171,Manual_Review!$A$6:$A$238,0))="Pass","Pass",IF(INDEX(Manual_Review!$AB$6:$AB$238,MATCH(A171,Manual_Review!$A$6:$A$238,0))="Fail","Fail","Pending")),"Not assessed: define intended task")</f>
        <v>Not assessed: define intended task</v>
      </c>
      <c r="AW171" s="5" t="str">
        <f>IF(AND(AND(INDEX(Manual_Review!$G$6:$G$238,MATCH(A171,Manual_Review!$A$6:$A$238,0))&lt;&gt;"",ISNUMBER(INDEX(Manual_Review!$H$6:$H$238,MATCH(A171,Manual_Review!$A$6:$A$238,0))),INDEX(Manual_Review!$H$6:$H$238,MATCH(A171,Manual_Review!$A$6:$A$238,0))&gt;0,INDEX(Manual_Review!$I$6:$I$238,MATCH(A171,Manual_Review!$A$6:$A$238,0))="Confirmed",INDEX(Manual_Review!$AF$6:$AF$238,MATCH(A171,Manual_Review!$A$6:$A$238,0))&lt;&gt;""),INDEX(Manual_Review!$AG$6:$AG$238,MATCH(A171,Manual_Review!$A$6:$A$238,0))&lt;&gt;""),IF(OR(INDEX(Manual_Review!$AC$6:$AC$238,MATCH(A171,Manual_Review!$A$6:$A$238,0))="Fail",INDEX(Manual_Review!$AD$6:$AD$238,MATCH(A171,Manual_Review!$A$6:$A$238,0))="Fail"),"Fail: rights or retrieval",IF(AND(INDEX(Manual_Review!$AC$6:$AC$238,MATCH(A171,Manual_Review!$A$6:$A$238,0))="Pass",INDEX(Manual_Review!$AD$6:$AD$238,MATCH(A171,Manual_Review!$A$6:$A$238,0))="Pass"),"Pass","Pending rights and retrieval")),"Pending rights and retrieval")</f>
        <v>Pending rights and retrieval</v>
      </c>
      <c r="AX171" s="5" t="str">
        <f>IF(INDEX(Manual_Review!$AG$6:$AG$238,MATCH(A171,Manual_Review!$A$6:$A$238,0))="","N/A: documentation inventory",IF(AND(INDEX(Manual_Review!$G$6:$G$238,MATCH(A171,Manual_Review!$A$6:$A$238,0))&lt;&gt;"",ISNUMBER(INDEX(Manual_Review!$H$6:$H$238,MATCH(A171,Manual_Review!$A$6:$A$238,0))),INDEX(Manual_Review!$H$6:$H$238,MATCH(A171,Manual_Review!$A$6:$A$238,0))&gt;0,INDEX(Manual_Review!$I$6:$I$238,MATCH(A171,Manual_Review!$A$6:$A$238,0))="Confirmed",INDEX(Manual_Review!$AF$6:$AF$238,MATCH(A171,Manual_Review!$A$6:$A$238,0))&lt;&gt;""),IF(INDEX(Manual_Review!$AE$6:$AE$238,MATCH(A171,Manual_Review!$A$6:$A$238,0))="Pass","Pass",IF(INDEX(Manual_Review!$AE$6:$AE$238,MATCH(A171,Manual_Review!$A$6:$A$238,0))="Fail","Fail: benchmark leakage",IF(INDEX(Manual_Review!$AE$6:$AE$238,MATCH(A171,Manual_Review!$A$6:$A$238,0))="N/A","N/A: nonbenchmark task","Pending task-specific leakage check"))),"Pending task-specific leakage check"))</f>
        <v>N/A: documentation inventory</v>
      </c>
      <c r="AY171" s="5" t="str">
        <f>IF(IF(D171="Unlabeled-13",AND(ABS(MCDM_Settings!$D$14-1)&lt;0.0000001,MIN(MCDM_Settings!$E$6:$E$11)&gt;=0,MCDM_Settings!$E$7=0),AND(ABS(MCDM_Settings!$B$14-1)&lt;0.0000001,MIN(MCDM_Settings!$C$6:$C$11)&gt;=0)),"Valid","Check weights")</f>
        <v>Valid</v>
      </c>
      <c r="AZ171" s="5" t="str">
        <f>IF(AND(COUNTIF(MCDM_Checks!$B$6:$B$3733,A171)=16,COUNTIF(Manual_Review!$A$6:$A$238,A171)=1),"16 keys present","Check key count")</f>
        <v>16 keys present</v>
      </c>
    </row>
    <row r="172" spans="1:52">
      <c r="A172" s="5" t="s">
        <v>1868</v>
      </c>
      <c r="B172" s="5" t="s">
        <v>1869</v>
      </c>
      <c r="C172" s="5"/>
      <c r="D172" s="5" t="s">
        <v>118</v>
      </c>
      <c r="E172" s="12">
        <f>IF(OR(AY172&lt;&gt;"Valid",AZ172&lt;&gt;"16 keys present"),"Review settings",20*(IF(ISNUMBER(AC172),AC172*IF($D172="Unlabeled-13",MCDM_Settings!$E$6,MCDM_Settings!$C$6),0)+IF(ISNUMBER(AF172),AF172*IF($D172="Unlabeled-13",MCDM_Settings!$E$7,MCDM_Settings!$C$7),0)+IF(ISNUMBER(AI172),AI172*IF($D172="Unlabeled-13",MCDM_Settings!$E$8,MCDM_Settings!$C$8),0)+IF(ISNUMBER(AL172),AL172*IF($D172="Unlabeled-13",MCDM_Settings!$E$9,MCDM_Settings!$C$9),0)+IF(ISNUMBER(AO172),AO172*IF($D172="Unlabeled-13",MCDM_Settings!$E$10,MCDM_Settings!$C$10),0)+IF(ISNUMBER(AR172),AR172*IF($D172="Unlabeled-13",MCDM_Settings!$E$11,MCDM_Settings!$C$11),0)))</f>
        <v>61.111111111111107</v>
      </c>
      <c r="F172" s="12">
        <f>IF(OR(AY172&lt;&gt;"Valid",AZ172&lt;&gt;"16 keys present"),"Review settings",20*(IF(ISNUMBER(AD172),AD172*IF($D172="Unlabeled-13",MCDM_Settings!$E$6,MCDM_Settings!$C$6),0)+IF(ISNUMBER(AG172),AG172*IF($D172="Unlabeled-13",MCDM_Settings!$E$7,MCDM_Settings!$C$7),0)+IF(ISNUMBER(AJ172),AJ172*IF($D172="Unlabeled-13",MCDM_Settings!$E$8,MCDM_Settings!$C$8),0)+IF(ISNUMBER(AM172),AM172*IF($D172="Unlabeled-13",MCDM_Settings!$E$9,MCDM_Settings!$C$9),0)+IF(ISNUMBER(AP172),AP172*IF($D172="Unlabeled-13",MCDM_Settings!$E$10,MCDM_Settings!$C$10),0)+IF(ISNUMBER(AS172),AS172*IF($D172="Unlabeled-13",MCDM_Settings!$E$11,MCDM_Settings!$C$11),0)))</f>
        <v>99.999999999999986</v>
      </c>
      <c r="G172" s="13">
        <f>IF(OR(AY172&lt;&gt;"Valid",AZ172&lt;&gt;"16 keys present"),"Review settings",1*(IF(ISNUMBER(AE172),AE172*IF($D172="Unlabeled-13",MCDM_Settings!$E$6,MCDM_Settings!$C$6),0)+IF(ISNUMBER(AH172),AH172*IF($D172="Unlabeled-13",MCDM_Settings!$E$7,MCDM_Settings!$C$7),0)+IF(ISNUMBER(AK172),AK172*IF($D172="Unlabeled-13",MCDM_Settings!$E$8,MCDM_Settings!$C$8),0)+IF(ISNUMBER(AN172),AN172*IF($D172="Unlabeled-13",MCDM_Settings!$E$9,MCDM_Settings!$C$9),0)+IF(ISNUMBER(AQ172),AQ172*IF($D172="Unlabeled-13",MCDM_Settings!$E$10,MCDM_Settings!$C$10),0)+IF(ISNUMBER(AT172),AT172*IF($D172="Unlabeled-13",MCDM_Settings!$E$11,MCDM_Settings!$C$11),0)))</f>
        <v>0.61111111111111105</v>
      </c>
      <c r="H172" s="5" t="str">
        <f>INDEX(Manual_Review!$AH$6:$AH$238,MATCH(A172,Manual_Review!$A$6:$A$238,0))</f>
        <v>Not started</v>
      </c>
      <c r="I172" s="5" t="s">
        <v>128</v>
      </c>
      <c r="J172" s="5" t="s">
        <v>1664</v>
      </c>
      <c r="K172" s="5" t="str">
        <f>HYPERLINK("https://www.kaggle.com/datasets/sovitrath/road-pothole-images-for-pothole-detection","Dataset")</f>
        <v>Dataset</v>
      </c>
      <c r="L172" s="5" t="str">
        <f>HYPERLINK("#'Manual_Review'!A"&amp;(MATCH("DS-167",Manual_Review!$A$6:$A$238,0)+5),"Enter review")</f>
        <v>Enter review</v>
      </c>
      <c r="M172" s="5" t="str">
        <f>INDEX(MCDM_Checks!$K$6:$K$3733,MATCH(A172&amp;"|"&amp;M$5,MCDM_Checks!$A$6:$A$3733,0))</f>
        <v>Y</v>
      </c>
      <c r="N172" s="5" t="str">
        <f>INDEX(MCDM_Checks!$K$6:$K$3733,MATCH(A172&amp;"|"&amp;N$5,MCDM_Checks!$A$6:$A$3733,0))</f>
        <v>Y</v>
      </c>
      <c r="O172" s="5" t="str">
        <f>INDEX(MCDM_Checks!$K$6:$K$3733,MATCH(A172&amp;"|"&amp;O$5,MCDM_Checks!$A$6:$A$3733,0))</f>
        <v>Y</v>
      </c>
      <c r="P172" s="5" t="str">
        <f>INDEX(MCDM_Checks!$K$6:$K$3733,MATCH(A172&amp;"|"&amp;P$5,MCDM_Checks!$A$6:$A$3733,0))</f>
        <v>Y</v>
      </c>
      <c r="Q172" s="5" t="str">
        <f>INDEX(MCDM_Checks!$K$6:$K$3733,MATCH(A172&amp;"|"&amp;Q$5,MCDM_Checks!$A$6:$A$3733,0))</f>
        <v>U</v>
      </c>
      <c r="R172" s="5" t="str">
        <f>INDEX(MCDM_Checks!$K$6:$K$3733,MATCH(A172&amp;"|"&amp;R$5,MCDM_Checks!$A$6:$A$3733,0))</f>
        <v>U</v>
      </c>
      <c r="S172" s="5" t="str">
        <f>INDEX(MCDM_Checks!$K$6:$K$3733,MATCH(A172&amp;"|"&amp;S$5,MCDM_Checks!$A$6:$A$3733,0))</f>
        <v>Y</v>
      </c>
      <c r="T172" s="5" t="str">
        <f>INDEX(MCDM_Checks!$K$6:$K$3733,MATCH(A172&amp;"|"&amp;T$5,MCDM_Checks!$A$6:$A$3733,0))</f>
        <v>Y</v>
      </c>
      <c r="U172" s="5" t="str">
        <f>INDEX(MCDM_Checks!$K$6:$K$3733,MATCH(A172&amp;"|"&amp;U$5,MCDM_Checks!$A$6:$A$3733,0))</f>
        <v>Y</v>
      </c>
      <c r="V172" s="5" t="str">
        <f>INDEX(MCDM_Checks!$K$6:$K$3733,MATCH(A172&amp;"|"&amp;V$5,MCDM_Checks!$A$6:$A$3733,0))</f>
        <v>U</v>
      </c>
      <c r="W172" s="5" t="str">
        <f>INDEX(MCDM_Checks!$K$6:$K$3733,MATCH(A172&amp;"|"&amp;W$5,MCDM_Checks!$A$6:$A$3733,0))</f>
        <v>U</v>
      </c>
      <c r="X172" s="5" t="str">
        <f>INDEX(MCDM_Checks!$K$6:$K$3733,MATCH(A172&amp;"|"&amp;X$5,MCDM_Checks!$A$6:$A$3733,0))</f>
        <v>Y</v>
      </c>
      <c r="Y172" s="5" t="str">
        <f>INDEX(MCDM_Checks!$K$6:$K$3733,MATCH(A172&amp;"|"&amp;Y$5,MCDM_Checks!$A$6:$A$3733,0))</f>
        <v>Y</v>
      </c>
      <c r="Z172" s="5" t="str">
        <f>INDEX(MCDM_Checks!$K$6:$K$3733,MATCH(A172&amp;"|"&amp;Z$5,MCDM_Checks!$A$6:$A$3733,0))</f>
        <v>Y</v>
      </c>
      <c r="AA172" s="5" t="str">
        <f>INDEX(MCDM_Checks!$K$6:$K$3733,MATCH(A172&amp;"|"&amp;AA$5,MCDM_Checks!$A$6:$A$3733,0))</f>
        <v>U</v>
      </c>
      <c r="AB172" s="5" t="str">
        <f>INDEX(MCDM_Checks!$K$6:$K$3733,MATCH(A172&amp;"|"&amp;AB$5,MCDM_Checks!$A$6:$A$3733,0))</f>
        <v>U</v>
      </c>
      <c r="AC172" s="12">
        <f>IF(IF($D172="Unlabeled-13",MCDM_Settings!$F$6,MCDM_Settings!$D$6)=0,"n.a.",5*COUNTIF(M172:O172,"Y")/IF($D172="Unlabeled-13",MCDM_Settings!$F$6,MCDM_Settings!$D$6))</f>
        <v>5</v>
      </c>
      <c r="AD172" s="12">
        <f>IF(IF($D172="Unlabeled-13",MCDM_Settings!$F$6,MCDM_Settings!$D$6)=0,"n.a.",5*(COUNTIF(M172:O172,"Y")+COUNTIF(M172:O172,"U")+COUNTIF(M172:O172,"X"))/IF($D172="Unlabeled-13",MCDM_Settings!$F$6,MCDM_Settings!$D$6))</f>
        <v>5</v>
      </c>
      <c r="AE172" s="13">
        <f>IF(IF($D172="Unlabeled-13",MCDM_Settings!$F$6,MCDM_Settings!$D$6)=0,"n.a.",(COUNTIF(M172:O172,"Y")+COUNTIF(M172:O172,"N"))/IF($D172="Unlabeled-13",MCDM_Settings!$F$6,MCDM_Settings!$D$6))</f>
        <v>1</v>
      </c>
      <c r="AF172" s="12">
        <f>IF(IF($D172="Unlabeled-13",MCDM_Settings!$F$7,MCDM_Settings!$D$7)=0,"n.a.",5*COUNTIF(P172:R172,"Y")/IF($D172="Unlabeled-13",MCDM_Settings!$F$7,MCDM_Settings!$D$7))</f>
        <v>1.6666666666666667</v>
      </c>
      <c r="AG172" s="12">
        <f>IF(IF($D172="Unlabeled-13",MCDM_Settings!$F$7,MCDM_Settings!$D$7)=0,"n.a.",5*(COUNTIF(P172:R172,"Y")+COUNTIF(P172:R172,"U")+COUNTIF(P172:R172,"X"))/IF($D172="Unlabeled-13",MCDM_Settings!$F$7,MCDM_Settings!$D$7))</f>
        <v>5</v>
      </c>
      <c r="AH172" s="13">
        <f>IF(IF($D172="Unlabeled-13",MCDM_Settings!$F$7,MCDM_Settings!$D$7)=0,"n.a.",(COUNTIF(P172:R172,"Y")+COUNTIF(P172:R172,"N"))/IF($D172="Unlabeled-13",MCDM_Settings!$F$7,MCDM_Settings!$D$7))</f>
        <v>0.33333333333333331</v>
      </c>
      <c r="AI172" s="12">
        <f>IF(IF($D172="Unlabeled-13",MCDM_Settings!$F$8,MCDM_Settings!$D$8)=0,"n.a.",5*COUNTIF(S172:U172,"Y")/IF($D172="Unlabeled-13",MCDM_Settings!$F$8,MCDM_Settings!$D$8))</f>
        <v>5</v>
      </c>
      <c r="AJ172" s="12">
        <f>IF(IF($D172="Unlabeled-13",MCDM_Settings!$F$8,MCDM_Settings!$D$8)=0,"n.a.",5*(COUNTIF(S172:U172,"Y")+COUNTIF(S172:U172,"U")+COUNTIF(S172:U172,"X"))/IF($D172="Unlabeled-13",MCDM_Settings!$F$8,MCDM_Settings!$D$8))</f>
        <v>5</v>
      </c>
      <c r="AK172" s="13">
        <f>IF(IF($D172="Unlabeled-13",MCDM_Settings!$F$8,MCDM_Settings!$D$8)=0,"n.a.",(COUNTIF(S172:U172,"Y")+COUNTIF(S172:U172,"N"))/IF($D172="Unlabeled-13",MCDM_Settings!$F$8,MCDM_Settings!$D$8))</f>
        <v>1</v>
      </c>
      <c r="AL172" s="12">
        <f>IF(IF($D172="Unlabeled-13",MCDM_Settings!$F$9,MCDM_Settings!$D$9)=0,"n.a.",5*COUNTIF(V172:W172,"Y")/IF($D172="Unlabeled-13",MCDM_Settings!$F$9,MCDM_Settings!$D$9))</f>
        <v>0</v>
      </c>
      <c r="AM172" s="12">
        <f>IF(IF($D172="Unlabeled-13",MCDM_Settings!$F$9,MCDM_Settings!$D$9)=0,"n.a.",5*(COUNTIF(V172:W172,"Y")+COUNTIF(V172:W172,"U")+COUNTIF(V172:W172,"X"))/IF($D172="Unlabeled-13",MCDM_Settings!$F$9,MCDM_Settings!$D$9))</f>
        <v>5</v>
      </c>
      <c r="AN172" s="13">
        <f>IF(IF($D172="Unlabeled-13",MCDM_Settings!$F$9,MCDM_Settings!$D$9)=0,"n.a.",(COUNTIF(V172:W172,"Y")+COUNTIF(V172:W172,"N"))/IF($D172="Unlabeled-13",MCDM_Settings!$F$9,MCDM_Settings!$D$9))</f>
        <v>0</v>
      </c>
      <c r="AO172" s="12">
        <f>IF(IF($D172="Unlabeled-13",MCDM_Settings!$F$10,MCDM_Settings!$D$10)=0,"n.a.",5*COUNTIF(X172:Y172,"Y")/IF($D172="Unlabeled-13",MCDM_Settings!$F$10,MCDM_Settings!$D$10))</f>
        <v>5</v>
      </c>
      <c r="AP172" s="12">
        <f>IF(IF($D172="Unlabeled-13",MCDM_Settings!$F$10,MCDM_Settings!$D$10)=0,"n.a.",5*(COUNTIF(X172:Y172,"Y")+COUNTIF(X172:Y172,"U")+COUNTIF(X172:Y172,"X"))/IF($D172="Unlabeled-13",MCDM_Settings!$F$10,MCDM_Settings!$D$10))</f>
        <v>5</v>
      </c>
      <c r="AQ172" s="13">
        <f>IF(IF($D172="Unlabeled-13",MCDM_Settings!$F$10,MCDM_Settings!$D$10)=0,"n.a.",(COUNTIF(X172:Y172,"Y")+COUNTIF(X172:Y172,"N"))/IF($D172="Unlabeled-13",MCDM_Settings!$F$10,MCDM_Settings!$D$10))</f>
        <v>1</v>
      </c>
      <c r="AR172" s="12">
        <f>IF(IF($D172="Unlabeled-13",MCDM_Settings!$F$11,MCDM_Settings!$D$11)=0,"n.a.",5*COUNTIF(Z172:AB172,"Y")/IF($D172="Unlabeled-13",MCDM_Settings!$F$11,MCDM_Settings!$D$11))</f>
        <v>1.6666666666666667</v>
      </c>
      <c r="AS172" s="12">
        <f>IF(IF($D172="Unlabeled-13",MCDM_Settings!$F$11,MCDM_Settings!$D$11)=0,"n.a.",5*(COUNTIF(Z172:AB172,"Y")+COUNTIF(Z172:AB172,"U")+COUNTIF(Z172:AB172,"X"))/IF($D172="Unlabeled-13",MCDM_Settings!$F$11,MCDM_Settings!$D$11))</f>
        <v>5</v>
      </c>
      <c r="AT172" s="13">
        <f>IF(IF($D172="Unlabeled-13",MCDM_Settings!$F$11,MCDM_Settings!$D$11)=0,"n.a.",(COUNTIF(Z172:AB172,"Y")+COUNTIF(Z172:AB172,"N"))/IF($D172="Unlabeled-13",MCDM_Settings!$F$11,MCDM_Settings!$D$11))</f>
        <v>0.33333333333333331</v>
      </c>
      <c r="AU172" s="5" t="str">
        <f>IF(AND(INDEX(Manual_Review!$G$6:$G$238,MATCH(A172,Manual_Review!$A$6:$A$238,0))&lt;&gt;"",ISNUMBER(INDEX(Manual_Review!$H$6:$H$238,MATCH(A172,Manual_Review!$A$6:$A$238,0))),INDEX(Manual_Review!$H$6:$H$238,MATCH(A172,Manual_Review!$A$6:$A$238,0))&gt;0,INDEX(Manual_Review!$I$6:$I$238,MATCH(A172,Manual_Review!$A$6:$A$238,0))="Confirmed",INDEX(Manual_Review!$AF$6:$AF$238,MATCH(A172,Manual_Review!$A$6:$A$238,0))&lt;&gt;""),IF(INDEX(Manual_Review!$AA$6:$AA$238,MATCH(A172,Manual_Review!$A$6:$A$238,0))="Pass","Pass",IF(INDEX(Manual_Review!$AA$6:$AA$238,MATCH(A172,Manual_Review!$A$6:$A$238,0))="Fail","Fail","Pending")),"Pending human identity confirmation")</f>
        <v>Pending human identity confirmation</v>
      </c>
      <c r="AV172" s="5" t="str">
        <f>IF(AND(AND(INDEX(Manual_Review!$G$6:$G$238,MATCH(A172,Manual_Review!$A$6:$A$238,0))&lt;&gt;"",ISNUMBER(INDEX(Manual_Review!$H$6:$H$238,MATCH(A172,Manual_Review!$A$6:$A$238,0))),INDEX(Manual_Review!$H$6:$H$238,MATCH(A172,Manual_Review!$A$6:$A$238,0))&gt;0,INDEX(Manual_Review!$I$6:$I$238,MATCH(A172,Manual_Review!$A$6:$A$238,0))="Confirmed",INDEX(Manual_Review!$AF$6:$AF$238,MATCH(A172,Manual_Review!$A$6:$A$238,0))&lt;&gt;""),INDEX(Manual_Review!$AG$6:$AG$238,MATCH(A172,Manual_Review!$A$6:$A$238,0))&lt;&gt;""),IF(INDEX(Manual_Review!$AB$6:$AB$238,MATCH(A172,Manual_Review!$A$6:$A$238,0))="Pass","Pass",IF(INDEX(Manual_Review!$AB$6:$AB$238,MATCH(A172,Manual_Review!$A$6:$A$238,0))="Fail","Fail","Pending")),"Not assessed: define intended task")</f>
        <v>Not assessed: define intended task</v>
      </c>
      <c r="AW172" s="5" t="str">
        <f>IF(AND(AND(INDEX(Manual_Review!$G$6:$G$238,MATCH(A172,Manual_Review!$A$6:$A$238,0))&lt;&gt;"",ISNUMBER(INDEX(Manual_Review!$H$6:$H$238,MATCH(A172,Manual_Review!$A$6:$A$238,0))),INDEX(Manual_Review!$H$6:$H$238,MATCH(A172,Manual_Review!$A$6:$A$238,0))&gt;0,INDEX(Manual_Review!$I$6:$I$238,MATCH(A172,Manual_Review!$A$6:$A$238,0))="Confirmed",INDEX(Manual_Review!$AF$6:$AF$238,MATCH(A172,Manual_Review!$A$6:$A$238,0))&lt;&gt;""),INDEX(Manual_Review!$AG$6:$AG$238,MATCH(A172,Manual_Review!$A$6:$A$238,0))&lt;&gt;""),IF(OR(INDEX(Manual_Review!$AC$6:$AC$238,MATCH(A172,Manual_Review!$A$6:$A$238,0))="Fail",INDEX(Manual_Review!$AD$6:$AD$238,MATCH(A172,Manual_Review!$A$6:$A$238,0))="Fail"),"Fail: rights or retrieval",IF(AND(INDEX(Manual_Review!$AC$6:$AC$238,MATCH(A172,Manual_Review!$A$6:$A$238,0))="Pass",INDEX(Manual_Review!$AD$6:$AD$238,MATCH(A172,Manual_Review!$A$6:$A$238,0))="Pass"),"Pass","Pending rights and retrieval")),"Pending rights and retrieval")</f>
        <v>Pending rights and retrieval</v>
      </c>
      <c r="AX172" s="5" t="str">
        <f>IF(INDEX(Manual_Review!$AG$6:$AG$238,MATCH(A172,Manual_Review!$A$6:$A$238,0))="","N/A: documentation inventory",IF(AND(INDEX(Manual_Review!$G$6:$G$238,MATCH(A172,Manual_Review!$A$6:$A$238,0))&lt;&gt;"",ISNUMBER(INDEX(Manual_Review!$H$6:$H$238,MATCH(A172,Manual_Review!$A$6:$A$238,0))),INDEX(Manual_Review!$H$6:$H$238,MATCH(A172,Manual_Review!$A$6:$A$238,0))&gt;0,INDEX(Manual_Review!$I$6:$I$238,MATCH(A172,Manual_Review!$A$6:$A$238,0))="Confirmed",INDEX(Manual_Review!$AF$6:$AF$238,MATCH(A172,Manual_Review!$A$6:$A$238,0))&lt;&gt;""),IF(INDEX(Manual_Review!$AE$6:$AE$238,MATCH(A172,Manual_Review!$A$6:$A$238,0))="Pass","Pass",IF(INDEX(Manual_Review!$AE$6:$AE$238,MATCH(A172,Manual_Review!$A$6:$A$238,0))="Fail","Fail: benchmark leakage",IF(INDEX(Manual_Review!$AE$6:$AE$238,MATCH(A172,Manual_Review!$A$6:$A$238,0))="N/A","N/A: nonbenchmark task","Pending task-specific leakage check"))),"Pending task-specific leakage check"))</f>
        <v>N/A: documentation inventory</v>
      </c>
      <c r="AY172" s="5" t="str">
        <f>IF(IF(D172="Unlabeled-13",AND(ABS(MCDM_Settings!$D$14-1)&lt;0.0000001,MIN(MCDM_Settings!$E$6:$E$11)&gt;=0,MCDM_Settings!$E$7=0),AND(ABS(MCDM_Settings!$B$14-1)&lt;0.0000001,MIN(MCDM_Settings!$C$6:$C$11)&gt;=0)),"Valid","Check weights")</f>
        <v>Valid</v>
      </c>
      <c r="AZ172" s="5" t="str">
        <f>IF(AND(COUNTIF(MCDM_Checks!$B$6:$B$3733,A172)=16,COUNTIF(Manual_Review!$A$6:$A$238,A172)=1),"16 keys present","Check key count")</f>
        <v>16 keys present</v>
      </c>
    </row>
    <row r="173" spans="1:52">
      <c r="A173" s="5" t="s">
        <v>1877</v>
      </c>
      <c r="B173" s="5" t="s">
        <v>1878</v>
      </c>
      <c r="C173" s="5"/>
      <c r="D173" s="5" t="s">
        <v>118</v>
      </c>
      <c r="E173" s="12">
        <f>IF(OR(AY173&lt;&gt;"Valid",AZ173&lt;&gt;"16 keys present"),"Review settings",20*(IF(ISNUMBER(AC173),AC173*IF($D173="Unlabeled-13",MCDM_Settings!$E$6,MCDM_Settings!$C$6),0)+IF(ISNUMBER(AF173),AF173*IF($D173="Unlabeled-13",MCDM_Settings!$E$7,MCDM_Settings!$C$7),0)+IF(ISNUMBER(AI173),AI173*IF($D173="Unlabeled-13",MCDM_Settings!$E$8,MCDM_Settings!$C$8),0)+IF(ISNUMBER(AL173),AL173*IF($D173="Unlabeled-13",MCDM_Settings!$E$9,MCDM_Settings!$C$9),0)+IF(ISNUMBER(AO173),AO173*IF($D173="Unlabeled-13",MCDM_Settings!$E$10,MCDM_Settings!$C$10),0)+IF(ISNUMBER(AR173),AR173*IF($D173="Unlabeled-13",MCDM_Settings!$E$11,MCDM_Settings!$C$11),0)))</f>
        <v>36.111111111111114</v>
      </c>
      <c r="F173" s="12">
        <f>IF(OR(AY173&lt;&gt;"Valid",AZ173&lt;&gt;"16 keys present"),"Review settings",20*(IF(ISNUMBER(AD173),AD173*IF($D173="Unlabeled-13",MCDM_Settings!$E$6,MCDM_Settings!$C$6),0)+IF(ISNUMBER(AG173),AG173*IF($D173="Unlabeled-13",MCDM_Settings!$E$7,MCDM_Settings!$C$7),0)+IF(ISNUMBER(AJ173),AJ173*IF($D173="Unlabeled-13",MCDM_Settings!$E$8,MCDM_Settings!$C$8),0)+IF(ISNUMBER(AM173),AM173*IF($D173="Unlabeled-13",MCDM_Settings!$E$9,MCDM_Settings!$C$9),0)+IF(ISNUMBER(AP173),AP173*IF($D173="Unlabeled-13",MCDM_Settings!$E$10,MCDM_Settings!$C$10),0)+IF(ISNUMBER(AS173),AS173*IF($D173="Unlabeled-13",MCDM_Settings!$E$11,MCDM_Settings!$C$11),0)))</f>
        <v>99.999999999999986</v>
      </c>
      <c r="G173" s="13">
        <f>IF(OR(AY173&lt;&gt;"Valid",AZ173&lt;&gt;"16 keys present"),"Review settings",1*(IF(ISNUMBER(AE173),AE173*IF($D173="Unlabeled-13",MCDM_Settings!$E$6,MCDM_Settings!$C$6),0)+IF(ISNUMBER(AH173),AH173*IF($D173="Unlabeled-13",MCDM_Settings!$E$7,MCDM_Settings!$C$7),0)+IF(ISNUMBER(AK173),AK173*IF($D173="Unlabeled-13",MCDM_Settings!$E$8,MCDM_Settings!$C$8),0)+IF(ISNUMBER(AN173),AN173*IF($D173="Unlabeled-13",MCDM_Settings!$E$9,MCDM_Settings!$C$9),0)+IF(ISNUMBER(AQ173),AQ173*IF($D173="Unlabeled-13",MCDM_Settings!$E$10,MCDM_Settings!$C$10),0)+IF(ISNUMBER(AT173),AT173*IF($D173="Unlabeled-13",MCDM_Settings!$E$11,MCDM_Settings!$C$11),0)))</f>
        <v>0.3611111111111111</v>
      </c>
      <c r="H173" s="5" t="str">
        <f>INDEX(Manual_Review!$AH$6:$AH$238,MATCH(A173,Manual_Review!$A$6:$A$238,0))</f>
        <v>Not started</v>
      </c>
      <c r="I173" s="5" t="s">
        <v>128</v>
      </c>
      <c r="J173" s="5" t="s">
        <v>121</v>
      </c>
      <c r="K173" s="5" t="str">
        <f>HYPERLINK("https://www.kaggle.com/datasets/nickkotarelas/road-quality-dataset","Dataset")</f>
        <v>Dataset</v>
      </c>
      <c r="L173" s="5" t="str">
        <f>HYPERLINK("#'Manual_Review'!A"&amp;(MATCH("DS-168",Manual_Review!$A$6:$A$238,0)+5),"Enter review")</f>
        <v>Enter review</v>
      </c>
      <c r="M173" s="5" t="str">
        <f>INDEX(MCDM_Checks!$K$6:$K$3733,MATCH(A173&amp;"|"&amp;M$5,MCDM_Checks!$A$6:$A$3733,0))</f>
        <v>Y</v>
      </c>
      <c r="N173" s="5" t="str">
        <f>INDEX(MCDM_Checks!$K$6:$K$3733,MATCH(A173&amp;"|"&amp;N$5,MCDM_Checks!$A$6:$A$3733,0))</f>
        <v>Y</v>
      </c>
      <c r="O173" s="5" t="str">
        <f>INDEX(MCDM_Checks!$K$6:$K$3733,MATCH(A173&amp;"|"&amp;O$5,MCDM_Checks!$A$6:$A$3733,0))</f>
        <v>Y</v>
      </c>
      <c r="P173" s="5" t="str">
        <f>INDEX(MCDM_Checks!$K$6:$K$3733,MATCH(A173&amp;"|"&amp;P$5,MCDM_Checks!$A$6:$A$3733,0))</f>
        <v>U</v>
      </c>
      <c r="Q173" s="5" t="str">
        <f>INDEX(MCDM_Checks!$K$6:$K$3733,MATCH(A173&amp;"|"&amp;Q$5,MCDM_Checks!$A$6:$A$3733,0))</f>
        <v>U</v>
      </c>
      <c r="R173" s="5" t="str">
        <f>INDEX(MCDM_Checks!$K$6:$K$3733,MATCH(A173&amp;"|"&amp;R$5,MCDM_Checks!$A$6:$A$3733,0))</f>
        <v>U</v>
      </c>
      <c r="S173" s="5" t="str">
        <f>INDEX(MCDM_Checks!$K$6:$K$3733,MATCH(A173&amp;"|"&amp;S$5,MCDM_Checks!$A$6:$A$3733,0))</f>
        <v>U</v>
      </c>
      <c r="T173" s="5" t="str">
        <f>INDEX(MCDM_Checks!$K$6:$K$3733,MATCH(A173&amp;"|"&amp;T$5,MCDM_Checks!$A$6:$A$3733,0))</f>
        <v>U</v>
      </c>
      <c r="U173" s="5" t="str">
        <f>INDEX(MCDM_Checks!$K$6:$K$3733,MATCH(A173&amp;"|"&amp;U$5,MCDM_Checks!$A$6:$A$3733,0))</f>
        <v>U</v>
      </c>
      <c r="V173" s="5" t="str">
        <f>INDEX(MCDM_Checks!$K$6:$K$3733,MATCH(A173&amp;"|"&amp;V$5,MCDM_Checks!$A$6:$A$3733,0))</f>
        <v>U</v>
      </c>
      <c r="W173" s="5" t="str">
        <f>INDEX(MCDM_Checks!$K$6:$K$3733,MATCH(A173&amp;"|"&amp;W$5,MCDM_Checks!$A$6:$A$3733,0))</f>
        <v>U</v>
      </c>
      <c r="X173" s="5" t="str">
        <f>INDEX(MCDM_Checks!$K$6:$K$3733,MATCH(A173&amp;"|"&amp;X$5,MCDM_Checks!$A$6:$A$3733,0))</f>
        <v>U</v>
      </c>
      <c r="Y173" s="5" t="str">
        <f>INDEX(MCDM_Checks!$K$6:$K$3733,MATCH(A173&amp;"|"&amp;Y$5,MCDM_Checks!$A$6:$A$3733,0))</f>
        <v>Y</v>
      </c>
      <c r="Z173" s="5" t="str">
        <f>INDEX(MCDM_Checks!$K$6:$K$3733,MATCH(A173&amp;"|"&amp;Z$5,MCDM_Checks!$A$6:$A$3733,0))</f>
        <v>Y</v>
      </c>
      <c r="AA173" s="5" t="str">
        <f>INDEX(MCDM_Checks!$K$6:$K$3733,MATCH(A173&amp;"|"&amp;AA$5,MCDM_Checks!$A$6:$A$3733,0))</f>
        <v>Y</v>
      </c>
      <c r="AB173" s="5" t="str">
        <f>INDEX(MCDM_Checks!$K$6:$K$3733,MATCH(A173&amp;"|"&amp;AB$5,MCDM_Checks!$A$6:$A$3733,0))</f>
        <v>U</v>
      </c>
      <c r="AC173" s="12">
        <f>IF(IF($D173="Unlabeled-13",MCDM_Settings!$F$6,MCDM_Settings!$D$6)=0,"n.a.",5*COUNTIF(M173:O173,"Y")/IF($D173="Unlabeled-13",MCDM_Settings!$F$6,MCDM_Settings!$D$6))</f>
        <v>5</v>
      </c>
      <c r="AD173" s="12">
        <f>IF(IF($D173="Unlabeled-13",MCDM_Settings!$F$6,MCDM_Settings!$D$6)=0,"n.a.",5*(COUNTIF(M173:O173,"Y")+COUNTIF(M173:O173,"U")+COUNTIF(M173:O173,"X"))/IF($D173="Unlabeled-13",MCDM_Settings!$F$6,MCDM_Settings!$D$6))</f>
        <v>5</v>
      </c>
      <c r="AE173" s="13">
        <f>IF(IF($D173="Unlabeled-13",MCDM_Settings!$F$6,MCDM_Settings!$D$6)=0,"n.a.",(COUNTIF(M173:O173,"Y")+COUNTIF(M173:O173,"N"))/IF($D173="Unlabeled-13",MCDM_Settings!$F$6,MCDM_Settings!$D$6))</f>
        <v>1</v>
      </c>
      <c r="AF173" s="12">
        <f>IF(IF($D173="Unlabeled-13",MCDM_Settings!$F$7,MCDM_Settings!$D$7)=0,"n.a.",5*COUNTIF(P173:R173,"Y")/IF($D173="Unlabeled-13",MCDM_Settings!$F$7,MCDM_Settings!$D$7))</f>
        <v>0</v>
      </c>
      <c r="AG173" s="12">
        <f>IF(IF($D173="Unlabeled-13",MCDM_Settings!$F$7,MCDM_Settings!$D$7)=0,"n.a.",5*(COUNTIF(P173:R173,"Y")+COUNTIF(P173:R173,"U")+COUNTIF(P173:R173,"X"))/IF($D173="Unlabeled-13",MCDM_Settings!$F$7,MCDM_Settings!$D$7))</f>
        <v>5</v>
      </c>
      <c r="AH173" s="13">
        <f>IF(IF($D173="Unlabeled-13",MCDM_Settings!$F$7,MCDM_Settings!$D$7)=0,"n.a.",(COUNTIF(P173:R173,"Y")+COUNTIF(P173:R173,"N"))/IF($D173="Unlabeled-13",MCDM_Settings!$F$7,MCDM_Settings!$D$7))</f>
        <v>0</v>
      </c>
      <c r="AI173" s="12">
        <f>IF(IF($D173="Unlabeled-13",MCDM_Settings!$F$8,MCDM_Settings!$D$8)=0,"n.a.",5*COUNTIF(S173:U173,"Y")/IF($D173="Unlabeled-13",MCDM_Settings!$F$8,MCDM_Settings!$D$8))</f>
        <v>0</v>
      </c>
      <c r="AJ173" s="12">
        <f>IF(IF($D173="Unlabeled-13",MCDM_Settings!$F$8,MCDM_Settings!$D$8)=0,"n.a.",5*(COUNTIF(S173:U173,"Y")+COUNTIF(S173:U173,"U")+COUNTIF(S173:U173,"X"))/IF($D173="Unlabeled-13",MCDM_Settings!$F$8,MCDM_Settings!$D$8))</f>
        <v>5</v>
      </c>
      <c r="AK173" s="13">
        <f>IF(IF($D173="Unlabeled-13",MCDM_Settings!$F$8,MCDM_Settings!$D$8)=0,"n.a.",(COUNTIF(S173:U173,"Y")+COUNTIF(S173:U173,"N"))/IF($D173="Unlabeled-13",MCDM_Settings!$F$8,MCDM_Settings!$D$8))</f>
        <v>0</v>
      </c>
      <c r="AL173" s="12">
        <f>IF(IF($D173="Unlabeled-13",MCDM_Settings!$F$9,MCDM_Settings!$D$9)=0,"n.a.",5*COUNTIF(V173:W173,"Y")/IF($D173="Unlabeled-13",MCDM_Settings!$F$9,MCDM_Settings!$D$9))</f>
        <v>0</v>
      </c>
      <c r="AM173" s="12">
        <f>IF(IF($D173="Unlabeled-13",MCDM_Settings!$F$9,MCDM_Settings!$D$9)=0,"n.a.",5*(COUNTIF(V173:W173,"Y")+COUNTIF(V173:W173,"U")+COUNTIF(V173:W173,"X"))/IF($D173="Unlabeled-13",MCDM_Settings!$F$9,MCDM_Settings!$D$9))</f>
        <v>5</v>
      </c>
      <c r="AN173" s="13">
        <f>IF(IF($D173="Unlabeled-13",MCDM_Settings!$F$9,MCDM_Settings!$D$9)=0,"n.a.",(COUNTIF(V173:W173,"Y")+COUNTIF(V173:W173,"N"))/IF($D173="Unlabeled-13",MCDM_Settings!$F$9,MCDM_Settings!$D$9))</f>
        <v>0</v>
      </c>
      <c r="AO173" s="12">
        <f>IF(IF($D173="Unlabeled-13",MCDM_Settings!$F$10,MCDM_Settings!$D$10)=0,"n.a.",5*COUNTIF(X173:Y173,"Y")/IF($D173="Unlabeled-13",MCDM_Settings!$F$10,MCDM_Settings!$D$10))</f>
        <v>2.5</v>
      </c>
      <c r="AP173" s="12">
        <f>IF(IF($D173="Unlabeled-13",MCDM_Settings!$F$10,MCDM_Settings!$D$10)=0,"n.a.",5*(COUNTIF(X173:Y173,"Y")+COUNTIF(X173:Y173,"U")+COUNTIF(X173:Y173,"X"))/IF($D173="Unlabeled-13",MCDM_Settings!$F$10,MCDM_Settings!$D$10))</f>
        <v>5</v>
      </c>
      <c r="AQ173" s="13">
        <f>IF(IF($D173="Unlabeled-13",MCDM_Settings!$F$10,MCDM_Settings!$D$10)=0,"n.a.",(COUNTIF(X173:Y173,"Y")+COUNTIF(X173:Y173,"N"))/IF($D173="Unlabeled-13",MCDM_Settings!$F$10,MCDM_Settings!$D$10))</f>
        <v>0.5</v>
      </c>
      <c r="AR173" s="12">
        <f>IF(IF($D173="Unlabeled-13",MCDM_Settings!$F$11,MCDM_Settings!$D$11)=0,"n.a.",5*COUNTIF(Z173:AB173,"Y")/IF($D173="Unlabeled-13",MCDM_Settings!$F$11,MCDM_Settings!$D$11))</f>
        <v>3.3333333333333335</v>
      </c>
      <c r="AS173" s="12">
        <f>IF(IF($D173="Unlabeled-13",MCDM_Settings!$F$11,MCDM_Settings!$D$11)=0,"n.a.",5*(COUNTIF(Z173:AB173,"Y")+COUNTIF(Z173:AB173,"U")+COUNTIF(Z173:AB173,"X"))/IF($D173="Unlabeled-13",MCDM_Settings!$F$11,MCDM_Settings!$D$11))</f>
        <v>5</v>
      </c>
      <c r="AT173" s="13">
        <f>IF(IF($D173="Unlabeled-13",MCDM_Settings!$F$11,MCDM_Settings!$D$11)=0,"n.a.",(COUNTIF(Z173:AB173,"Y")+COUNTIF(Z173:AB173,"N"))/IF($D173="Unlabeled-13",MCDM_Settings!$F$11,MCDM_Settings!$D$11))</f>
        <v>0.66666666666666663</v>
      </c>
      <c r="AU173" s="5" t="str">
        <f>IF(AND(INDEX(Manual_Review!$G$6:$G$238,MATCH(A173,Manual_Review!$A$6:$A$238,0))&lt;&gt;"",ISNUMBER(INDEX(Manual_Review!$H$6:$H$238,MATCH(A173,Manual_Review!$A$6:$A$238,0))),INDEX(Manual_Review!$H$6:$H$238,MATCH(A173,Manual_Review!$A$6:$A$238,0))&gt;0,INDEX(Manual_Review!$I$6:$I$238,MATCH(A173,Manual_Review!$A$6:$A$238,0))="Confirmed",INDEX(Manual_Review!$AF$6:$AF$238,MATCH(A173,Manual_Review!$A$6:$A$238,0))&lt;&gt;""),IF(INDEX(Manual_Review!$AA$6:$AA$238,MATCH(A173,Manual_Review!$A$6:$A$238,0))="Pass","Pass",IF(INDEX(Manual_Review!$AA$6:$AA$238,MATCH(A173,Manual_Review!$A$6:$A$238,0))="Fail","Fail","Pending")),"Pending human identity confirmation")</f>
        <v>Pending human identity confirmation</v>
      </c>
      <c r="AV173" s="5" t="str">
        <f>IF(AND(AND(INDEX(Manual_Review!$G$6:$G$238,MATCH(A173,Manual_Review!$A$6:$A$238,0))&lt;&gt;"",ISNUMBER(INDEX(Manual_Review!$H$6:$H$238,MATCH(A173,Manual_Review!$A$6:$A$238,0))),INDEX(Manual_Review!$H$6:$H$238,MATCH(A173,Manual_Review!$A$6:$A$238,0))&gt;0,INDEX(Manual_Review!$I$6:$I$238,MATCH(A173,Manual_Review!$A$6:$A$238,0))="Confirmed",INDEX(Manual_Review!$AF$6:$AF$238,MATCH(A173,Manual_Review!$A$6:$A$238,0))&lt;&gt;""),INDEX(Manual_Review!$AG$6:$AG$238,MATCH(A173,Manual_Review!$A$6:$A$238,0))&lt;&gt;""),IF(INDEX(Manual_Review!$AB$6:$AB$238,MATCH(A173,Manual_Review!$A$6:$A$238,0))="Pass","Pass",IF(INDEX(Manual_Review!$AB$6:$AB$238,MATCH(A173,Manual_Review!$A$6:$A$238,0))="Fail","Fail","Pending")),"Not assessed: define intended task")</f>
        <v>Not assessed: define intended task</v>
      </c>
      <c r="AW173" s="5" t="str">
        <f>IF(AND(AND(INDEX(Manual_Review!$G$6:$G$238,MATCH(A173,Manual_Review!$A$6:$A$238,0))&lt;&gt;"",ISNUMBER(INDEX(Manual_Review!$H$6:$H$238,MATCH(A173,Manual_Review!$A$6:$A$238,0))),INDEX(Manual_Review!$H$6:$H$238,MATCH(A173,Manual_Review!$A$6:$A$238,0))&gt;0,INDEX(Manual_Review!$I$6:$I$238,MATCH(A173,Manual_Review!$A$6:$A$238,0))="Confirmed",INDEX(Manual_Review!$AF$6:$AF$238,MATCH(A173,Manual_Review!$A$6:$A$238,0))&lt;&gt;""),INDEX(Manual_Review!$AG$6:$AG$238,MATCH(A173,Manual_Review!$A$6:$A$238,0))&lt;&gt;""),IF(OR(INDEX(Manual_Review!$AC$6:$AC$238,MATCH(A173,Manual_Review!$A$6:$A$238,0))="Fail",INDEX(Manual_Review!$AD$6:$AD$238,MATCH(A173,Manual_Review!$A$6:$A$238,0))="Fail"),"Fail: rights or retrieval",IF(AND(INDEX(Manual_Review!$AC$6:$AC$238,MATCH(A173,Manual_Review!$A$6:$A$238,0))="Pass",INDEX(Manual_Review!$AD$6:$AD$238,MATCH(A173,Manual_Review!$A$6:$A$238,0))="Pass"),"Pass","Pending rights and retrieval")),"Pending rights and retrieval")</f>
        <v>Pending rights and retrieval</v>
      </c>
      <c r="AX173" s="5" t="str">
        <f>IF(INDEX(Manual_Review!$AG$6:$AG$238,MATCH(A173,Manual_Review!$A$6:$A$238,0))="","N/A: documentation inventory",IF(AND(INDEX(Manual_Review!$G$6:$G$238,MATCH(A173,Manual_Review!$A$6:$A$238,0))&lt;&gt;"",ISNUMBER(INDEX(Manual_Review!$H$6:$H$238,MATCH(A173,Manual_Review!$A$6:$A$238,0))),INDEX(Manual_Review!$H$6:$H$238,MATCH(A173,Manual_Review!$A$6:$A$238,0))&gt;0,INDEX(Manual_Review!$I$6:$I$238,MATCH(A173,Manual_Review!$A$6:$A$238,0))="Confirmed",INDEX(Manual_Review!$AF$6:$AF$238,MATCH(A173,Manual_Review!$A$6:$A$238,0))&lt;&gt;""),IF(INDEX(Manual_Review!$AE$6:$AE$238,MATCH(A173,Manual_Review!$A$6:$A$238,0))="Pass","Pass",IF(INDEX(Manual_Review!$AE$6:$AE$238,MATCH(A173,Manual_Review!$A$6:$A$238,0))="Fail","Fail: benchmark leakage",IF(INDEX(Manual_Review!$AE$6:$AE$238,MATCH(A173,Manual_Review!$A$6:$A$238,0))="N/A","N/A: nonbenchmark task","Pending task-specific leakage check"))),"Pending task-specific leakage check"))</f>
        <v>N/A: documentation inventory</v>
      </c>
      <c r="AY173" s="5" t="str">
        <f>IF(IF(D173="Unlabeled-13",AND(ABS(MCDM_Settings!$D$14-1)&lt;0.0000001,MIN(MCDM_Settings!$E$6:$E$11)&gt;=0,MCDM_Settings!$E$7=0),AND(ABS(MCDM_Settings!$B$14-1)&lt;0.0000001,MIN(MCDM_Settings!$C$6:$C$11)&gt;=0)),"Valid","Check weights")</f>
        <v>Valid</v>
      </c>
      <c r="AZ173" s="5" t="str">
        <f>IF(AND(COUNTIF(MCDM_Checks!$B$6:$B$3733,A173)=16,COUNTIF(Manual_Review!$A$6:$A$238,A173)=1),"16 keys present","Check key count")</f>
        <v>16 keys present</v>
      </c>
    </row>
    <row r="174" spans="1:52">
      <c r="A174" s="5" t="s">
        <v>1888</v>
      </c>
      <c r="B174" s="5" t="s">
        <v>1889</v>
      </c>
      <c r="C174" s="5"/>
      <c r="D174" s="5" t="s">
        <v>118</v>
      </c>
      <c r="E174" s="12">
        <f>IF(OR(AY174&lt;&gt;"Valid",AZ174&lt;&gt;"16 keys present"),"Review settings",20*(IF(ISNUMBER(AC174),AC174*IF($D174="Unlabeled-13",MCDM_Settings!$E$6,MCDM_Settings!$C$6),0)+IF(ISNUMBER(AF174),AF174*IF($D174="Unlabeled-13",MCDM_Settings!$E$7,MCDM_Settings!$C$7),0)+IF(ISNUMBER(AI174),AI174*IF($D174="Unlabeled-13",MCDM_Settings!$E$8,MCDM_Settings!$C$8),0)+IF(ISNUMBER(AL174),AL174*IF($D174="Unlabeled-13",MCDM_Settings!$E$9,MCDM_Settings!$C$9),0)+IF(ISNUMBER(AO174),AO174*IF($D174="Unlabeled-13",MCDM_Settings!$E$10,MCDM_Settings!$C$10),0)+IF(ISNUMBER(AR174),AR174*IF($D174="Unlabeled-13",MCDM_Settings!$E$11,MCDM_Settings!$C$11),0)))</f>
        <v>16.666666666666664</v>
      </c>
      <c r="F174" s="12">
        <f>IF(OR(AY174&lt;&gt;"Valid",AZ174&lt;&gt;"16 keys present"),"Review settings",20*(IF(ISNUMBER(AD174),AD174*IF($D174="Unlabeled-13",MCDM_Settings!$E$6,MCDM_Settings!$C$6),0)+IF(ISNUMBER(AG174),AG174*IF($D174="Unlabeled-13",MCDM_Settings!$E$7,MCDM_Settings!$C$7),0)+IF(ISNUMBER(AJ174),AJ174*IF($D174="Unlabeled-13",MCDM_Settings!$E$8,MCDM_Settings!$C$8),0)+IF(ISNUMBER(AM174),AM174*IF($D174="Unlabeled-13",MCDM_Settings!$E$9,MCDM_Settings!$C$9),0)+IF(ISNUMBER(AP174),AP174*IF($D174="Unlabeled-13",MCDM_Settings!$E$10,MCDM_Settings!$C$10),0)+IF(ISNUMBER(AS174),AS174*IF($D174="Unlabeled-13",MCDM_Settings!$E$11,MCDM_Settings!$C$11),0)))</f>
        <v>99.999999999999986</v>
      </c>
      <c r="G174" s="13">
        <f>IF(OR(AY174&lt;&gt;"Valid",AZ174&lt;&gt;"16 keys present"),"Review settings",1*(IF(ISNUMBER(AE174),AE174*IF($D174="Unlabeled-13",MCDM_Settings!$E$6,MCDM_Settings!$C$6),0)+IF(ISNUMBER(AH174),AH174*IF($D174="Unlabeled-13",MCDM_Settings!$E$7,MCDM_Settings!$C$7),0)+IF(ISNUMBER(AK174),AK174*IF($D174="Unlabeled-13",MCDM_Settings!$E$8,MCDM_Settings!$C$8),0)+IF(ISNUMBER(AN174),AN174*IF($D174="Unlabeled-13",MCDM_Settings!$E$9,MCDM_Settings!$C$9),0)+IF(ISNUMBER(AQ174),AQ174*IF($D174="Unlabeled-13",MCDM_Settings!$E$10,MCDM_Settings!$C$10),0)+IF(ISNUMBER(AT174),AT174*IF($D174="Unlabeled-13",MCDM_Settings!$E$11,MCDM_Settings!$C$11),0)))</f>
        <v>0.16666666666666666</v>
      </c>
      <c r="H174" s="5" t="str">
        <f>INDEX(Manual_Review!$AH$6:$AH$238,MATCH(A174,Manual_Review!$A$6:$A$238,0))</f>
        <v>Not started</v>
      </c>
      <c r="I174" s="5" t="s">
        <v>128</v>
      </c>
      <c r="J174" s="5" t="s">
        <v>1601</v>
      </c>
      <c r="K174" s="5" t="str">
        <f>HYPERLINK("https://www.kaggle.com/datasets/angelikafarahmanoppo/road-surface-dataset-datasetjalan","Dataset")</f>
        <v>Dataset</v>
      </c>
      <c r="L174" s="5" t="str">
        <f>HYPERLINK("#'Manual_Review'!A"&amp;(MATCH("DS-169",Manual_Review!$A$6:$A$238,0)+5),"Enter review")</f>
        <v>Enter review</v>
      </c>
      <c r="M174" s="5" t="str">
        <f>INDEX(MCDM_Checks!$K$6:$K$3733,MATCH(A174&amp;"|"&amp;M$5,MCDM_Checks!$A$6:$A$3733,0))</f>
        <v>Y</v>
      </c>
      <c r="N174" s="5" t="str">
        <f>INDEX(MCDM_Checks!$K$6:$K$3733,MATCH(A174&amp;"|"&amp;N$5,MCDM_Checks!$A$6:$A$3733,0))</f>
        <v>Y</v>
      </c>
      <c r="O174" s="5" t="str">
        <f>INDEX(MCDM_Checks!$K$6:$K$3733,MATCH(A174&amp;"|"&amp;O$5,MCDM_Checks!$A$6:$A$3733,0))</f>
        <v>Y</v>
      </c>
      <c r="P174" s="5" t="str">
        <f>INDEX(MCDM_Checks!$K$6:$K$3733,MATCH(A174&amp;"|"&amp;P$5,MCDM_Checks!$A$6:$A$3733,0))</f>
        <v>U</v>
      </c>
      <c r="Q174" s="5" t="str">
        <f>INDEX(MCDM_Checks!$K$6:$K$3733,MATCH(A174&amp;"|"&amp;Q$5,MCDM_Checks!$A$6:$A$3733,0))</f>
        <v>U</v>
      </c>
      <c r="R174" s="5" t="str">
        <f>INDEX(MCDM_Checks!$K$6:$K$3733,MATCH(A174&amp;"|"&amp;R$5,MCDM_Checks!$A$6:$A$3733,0))</f>
        <v>U</v>
      </c>
      <c r="S174" s="5" t="str">
        <f>INDEX(MCDM_Checks!$K$6:$K$3733,MATCH(A174&amp;"|"&amp;S$5,MCDM_Checks!$A$6:$A$3733,0))</f>
        <v>U</v>
      </c>
      <c r="T174" s="5" t="str">
        <f>INDEX(MCDM_Checks!$K$6:$K$3733,MATCH(A174&amp;"|"&amp;T$5,MCDM_Checks!$A$6:$A$3733,0))</f>
        <v>U</v>
      </c>
      <c r="U174" s="5" t="str">
        <f>INDEX(MCDM_Checks!$K$6:$K$3733,MATCH(A174&amp;"|"&amp;U$5,MCDM_Checks!$A$6:$A$3733,0))</f>
        <v>U</v>
      </c>
      <c r="V174" s="5" t="str">
        <f>INDEX(MCDM_Checks!$K$6:$K$3733,MATCH(A174&amp;"|"&amp;V$5,MCDM_Checks!$A$6:$A$3733,0))</f>
        <v>U</v>
      </c>
      <c r="W174" s="5" t="str">
        <f>INDEX(MCDM_Checks!$K$6:$K$3733,MATCH(A174&amp;"|"&amp;W$5,MCDM_Checks!$A$6:$A$3733,0))</f>
        <v>U</v>
      </c>
      <c r="X174" s="5" t="str">
        <f>INDEX(MCDM_Checks!$K$6:$K$3733,MATCH(A174&amp;"|"&amp;X$5,MCDM_Checks!$A$6:$A$3733,0))</f>
        <v>U</v>
      </c>
      <c r="Y174" s="5" t="str">
        <f>INDEX(MCDM_Checks!$K$6:$K$3733,MATCH(A174&amp;"|"&amp;Y$5,MCDM_Checks!$A$6:$A$3733,0))</f>
        <v>U</v>
      </c>
      <c r="Z174" s="5" t="str">
        <f>INDEX(MCDM_Checks!$K$6:$K$3733,MATCH(A174&amp;"|"&amp;Z$5,MCDM_Checks!$A$6:$A$3733,0))</f>
        <v>U</v>
      </c>
      <c r="AA174" s="5" t="str">
        <f>INDEX(MCDM_Checks!$K$6:$K$3733,MATCH(A174&amp;"|"&amp;AA$5,MCDM_Checks!$A$6:$A$3733,0))</f>
        <v>U</v>
      </c>
      <c r="AB174" s="5" t="str">
        <f>INDEX(MCDM_Checks!$K$6:$K$3733,MATCH(A174&amp;"|"&amp;AB$5,MCDM_Checks!$A$6:$A$3733,0))</f>
        <v>U</v>
      </c>
      <c r="AC174" s="12">
        <f>IF(IF($D174="Unlabeled-13",MCDM_Settings!$F$6,MCDM_Settings!$D$6)=0,"n.a.",5*COUNTIF(M174:O174,"Y")/IF($D174="Unlabeled-13",MCDM_Settings!$F$6,MCDM_Settings!$D$6))</f>
        <v>5</v>
      </c>
      <c r="AD174" s="12">
        <f>IF(IF($D174="Unlabeled-13",MCDM_Settings!$F$6,MCDM_Settings!$D$6)=0,"n.a.",5*(COUNTIF(M174:O174,"Y")+COUNTIF(M174:O174,"U")+COUNTIF(M174:O174,"X"))/IF($D174="Unlabeled-13",MCDM_Settings!$F$6,MCDM_Settings!$D$6))</f>
        <v>5</v>
      </c>
      <c r="AE174" s="13">
        <f>IF(IF($D174="Unlabeled-13",MCDM_Settings!$F$6,MCDM_Settings!$D$6)=0,"n.a.",(COUNTIF(M174:O174,"Y")+COUNTIF(M174:O174,"N"))/IF($D174="Unlabeled-13",MCDM_Settings!$F$6,MCDM_Settings!$D$6))</f>
        <v>1</v>
      </c>
      <c r="AF174" s="12">
        <f>IF(IF($D174="Unlabeled-13",MCDM_Settings!$F$7,MCDM_Settings!$D$7)=0,"n.a.",5*COUNTIF(P174:R174,"Y")/IF($D174="Unlabeled-13",MCDM_Settings!$F$7,MCDM_Settings!$D$7))</f>
        <v>0</v>
      </c>
      <c r="AG174" s="12">
        <f>IF(IF($D174="Unlabeled-13",MCDM_Settings!$F$7,MCDM_Settings!$D$7)=0,"n.a.",5*(COUNTIF(P174:R174,"Y")+COUNTIF(P174:R174,"U")+COUNTIF(P174:R174,"X"))/IF($D174="Unlabeled-13",MCDM_Settings!$F$7,MCDM_Settings!$D$7))</f>
        <v>5</v>
      </c>
      <c r="AH174" s="13">
        <f>IF(IF($D174="Unlabeled-13",MCDM_Settings!$F$7,MCDM_Settings!$D$7)=0,"n.a.",(COUNTIF(P174:R174,"Y")+COUNTIF(P174:R174,"N"))/IF($D174="Unlabeled-13",MCDM_Settings!$F$7,MCDM_Settings!$D$7))</f>
        <v>0</v>
      </c>
      <c r="AI174" s="12">
        <f>IF(IF($D174="Unlabeled-13",MCDM_Settings!$F$8,MCDM_Settings!$D$8)=0,"n.a.",5*COUNTIF(S174:U174,"Y")/IF($D174="Unlabeled-13",MCDM_Settings!$F$8,MCDM_Settings!$D$8))</f>
        <v>0</v>
      </c>
      <c r="AJ174" s="12">
        <f>IF(IF($D174="Unlabeled-13",MCDM_Settings!$F$8,MCDM_Settings!$D$8)=0,"n.a.",5*(COUNTIF(S174:U174,"Y")+COUNTIF(S174:U174,"U")+COUNTIF(S174:U174,"X"))/IF($D174="Unlabeled-13",MCDM_Settings!$F$8,MCDM_Settings!$D$8))</f>
        <v>5</v>
      </c>
      <c r="AK174" s="13">
        <f>IF(IF($D174="Unlabeled-13",MCDM_Settings!$F$8,MCDM_Settings!$D$8)=0,"n.a.",(COUNTIF(S174:U174,"Y")+COUNTIF(S174:U174,"N"))/IF($D174="Unlabeled-13",MCDM_Settings!$F$8,MCDM_Settings!$D$8))</f>
        <v>0</v>
      </c>
      <c r="AL174" s="12">
        <f>IF(IF($D174="Unlabeled-13",MCDM_Settings!$F$9,MCDM_Settings!$D$9)=0,"n.a.",5*COUNTIF(V174:W174,"Y")/IF($D174="Unlabeled-13",MCDM_Settings!$F$9,MCDM_Settings!$D$9))</f>
        <v>0</v>
      </c>
      <c r="AM174" s="12">
        <f>IF(IF($D174="Unlabeled-13",MCDM_Settings!$F$9,MCDM_Settings!$D$9)=0,"n.a.",5*(COUNTIF(V174:W174,"Y")+COUNTIF(V174:W174,"U")+COUNTIF(V174:W174,"X"))/IF($D174="Unlabeled-13",MCDM_Settings!$F$9,MCDM_Settings!$D$9))</f>
        <v>5</v>
      </c>
      <c r="AN174" s="13">
        <f>IF(IF($D174="Unlabeled-13",MCDM_Settings!$F$9,MCDM_Settings!$D$9)=0,"n.a.",(COUNTIF(V174:W174,"Y")+COUNTIF(V174:W174,"N"))/IF($D174="Unlabeled-13",MCDM_Settings!$F$9,MCDM_Settings!$D$9))</f>
        <v>0</v>
      </c>
      <c r="AO174" s="12">
        <f>IF(IF($D174="Unlabeled-13",MCDM_Settings!$F$10,MCDM_Settings!$D$10)=0,"n.a.",5*COUNTIF(X174:Y174,"Y")/IF($D174="Unlabeled-13",MCDM_Settings!$F$10,MCDM_Settings!$D$10))</f>
        <v>0</v>
      </c>
      <c r="AP174" s="12">
        <f>IF(IF($D174="Unlabeled-13",MCDM_Settings!$F$10,MCDM_Settings!$D$10)=0,"n.a.",5*(COUNTIF(X174:Y174,"Y")+COUNTIF(X174:Y174,"U")+COUNTIF(X174:Y174,"X"))/IF($D174="Unlabeled-13",MCDM_Settings!$F$10,MCDM_Settings!$D$10))</f>
        <v>5</v>
      </c>
      <c r="AQ174" s="13">
        <f>IF(IF($D174="Unlabeled-13",MCDM_Settings!$F$10,MCDM_Settings!$D$10)=0,"n.a.",(COUNTIF(X174:Y174,"Y")+COUNTIF(X174:Y174,"N"))/IF($D174="Unlabeled-13",MCDM_Settings!$F$10,MCDM_Settings!$D$10))</f>
        <v>0</v>
      </c>
      <c r="AR174" s="12">
        <f>IF(IF($D174="Unlabeled-13",MCDM_Settings!$F$11,MCDM_Settings!$D$11)=0,"n.a.",5*COUNTIF(Z174:AB174,"Y")/IF($D174="Unlabeled-13",MCDM_Settings!$F$11,MCDM_Settings!$D$11))</f>
        <v>0</v>
      </c>
      <c r="AS174" s="12">
        <f>IF(IF($D174="Unlabeled-13",MCDM_Settings!$F$11,MCDM_Settings!$D$11)=0,"n.a.",5*(COUNTIF(Z174:AB174,"Y")+COUNTIF(Z174:AB174,"U")+COUNTIF(Z174:AB174,"X"))/IF($D174="Unlabeled-13",MCDM_Settings!$F$11,MCDM_Settings!$D$11))</f>
        <v>5</v>
      </c>
      <c r="AT174" s="13">
        <f>IF(IF($D174="Unlabeled-13",MCDM_Settings!$F$11,MCDM_Settings!$D$11)=0,"n.a.",(COUNTIF(Z174:AB174,"Y")+COUNTIF(Z174:AB174,"N"))/IF($D174="Unlabeled-13",MCDM_Settings!$F$11,MCDM_Settings!$D$11))</f>
        <v>0</v>
      </c>
      <c r="AU174" s="5" t="str">
        <f>IF(AND(INDEX(Manual_Review!$G$6:$G$238,MATCH(A174,Manual_Review!$A$6:$A$238,0))&lt;&gt;"",ISNUMBER(INDEX(Manual_Review!$H$6:$H$238,MATCH(A174,Manual_Review!$A$6:$A$238,0))),INDEX(Manual_Review!$H$6:$H$238,MATCH(A174,Manual_Review!$A$6:$A$238,0))&gt;0,INDEX(Manual_Review!$I$6:$I$238,MATCH(A174,Manual_Review!$A$6:$A$238,0))="Confirmed",INDEX(Manual_Review!$AF$6:$AF$238,MATCH(A174,Manual_Review!$A$6:$A$238,0))&lt;&gt;""),IF(INDEX(Manual_Review!$AA$6:$AA$238,MATCH(A174,Manual_Review!$A$6:$A$238,0))="Pass","Pass",IF(INDEX(Manual_Review!$AA$6:$AA$238,MATCH(A174,Manual_Review!$A$6:$A$238,0))="Fail","Fail","Pending")),"Pending human identity confirmation")</f>
        <v>Pending human identity confirmation</v>
      </c>
      <c r="AV174" s="5" t="str">
        <f>IF(AND(AND(INDEX(Manual_Review!$G$6:$G$238,MATCH(A174,Manual_Review!$A$6:$A$238,0))&lt;&gt;"",ISNUMBER(INDEX(Manual_Review!$H$6:$H$238,MATCH(A174,Manual_Review!$A$6:$A$238,0))),INDEX(Manual_Review!$H$6:$H$238,MATCH(A174,Manual_Review!$A$6:$A$238,0))&gt;0,INDEX(Manual_Review!$I$6:$I$238,MATCH(A174,Manual_Review!$A$6:$A$238,0))="Confirmed",INDEX(Manual_Review!$AF$6:$AF$238,MATCH(A174,Manual_Review!$A$6:$A$238,0))&lt;&gt;""),INDEX(Manual_Review!$AG$6:$AG$238,MATCH(A174,Manual_Review!$A$6:$A$238,0))&lt;&gt;""),IF(INDEX(Manual_Review!$AB$6:$AB$238,MATCH(A174,Manual_Review!$A$6:$A$238,0))="Pass","Pass",IF(INDEX(Manual_Review!$AB$6:$AB$238,MATCH(A174,Manual_Review!$A$6:$A$238,0))="Fail","Fail","Pending")),"Not assessed: define intended task")</f>
        <v>Not assessed: define intended task</v>
      </c>
      <c r="AW174" s="5" t="str">
        <f>IF(AND(AND(INDEX(Manual_Review!$G$6:$G$238,MATCH(A174,Manual_Review!$A$6:$A$238,0))&lt;&gt;"",ISNUMBER(INDEX(Manual_Review!$H$6:$H$238,MATCH(A174,Manual_Review!$A$6:$A$238,0))),INDEX(Manual_Review!$H$6:$H$238,MATCH(A174,Manual_Review!$A$6:$A$238,0))&gt;0,INDEX(Manual_Review!$I$6:$I$238,MATCH(A174,Manual_Review!$A$6:$A$238,0))="Confirmed",INDEX(Manual_Review!$AF$6:$AF$238,MATCH(A174,Manual_Review!$A$6:$A$238,0))&lt;&gt;""),INDEX(Manual_Review!$AG$6:$AG$238,MATCH(A174,Manual_Review!$A$6:$A$238,0))&lt;&gt;""),IF(OR(INDEX(Manual_Review!$AC$6:$AC$238,MATCH(A174,Manual_Review!$A$6:$A$238,0))="Fail",INDEX(Manual_Review!$AD$6:$AD$238,MATCH(A174,Manual_Review!$A$6:$A$238,0))="Fail"),"Fail: rights or retrieval",IF(AND(INDEX(Manual_Review!$AC$6:$AC$238,MATCH(A174,Manual_Review!$A$6:$A$238,0))="Pass",INDEX(Manual_Review!$AD$6:$AD$238,MATCH(A174,Manual_Review!$A$6:$A$238,0))="Pass"),"Pass","Pending rights and retrieval")),"Pending rights and retrieval")</f>
        <v>Pending rights and retrieval</v>
      </c>
      <c r="AX174" s="5" t="str">
        <f>IF(INDEX(Manual_Review!$AG$6:$AG$238,MATCH(A174,Manual_Review!$A$6:$A$238,0))="","N/A: documentation inventory",IF(AND(INDEX(Manual_Review!$G$6:$G$238,MATCH(A174,Manual_Review!$A$6:$A$238,0))&lt;&gt;"",ISNUMBER(INDEX(Manual_Review!$H$6:$H$238,MATCH(A174,Manual_Review!$A$6:$A$238,0))),INDEX(Manual_Review!$H$6:$H$238,MATCH(A174,Manual_Review!$A$6:$A$238,0))&gt;0,INDEX(Manual_Review!$I$6:$I$238,MATCH(A174,Manual_Review!$A$6:$A$238,0))="Confirmed",INDEX(Manual_Review!$AF$6:$AF$238,MATCH(A174,Manual_Review!$A$6:$A$238,0))&lt;&gt;""),IF(INDEX(Manual_Review!$AE$6:$AE$238,MATCH(A174,Manual_Review!$A$6:$A$238,0))="Pass","Pass",IF(INDEX(Manual_Review!$AE$6:$AE$238,MATCH(A174,Manual_Review!$A$6:$A$238,0))="Fail","Fail: benchmark leakage",IF(INDEX(Manual_Review!$AE$6:$AE$238,MATCH(A174,Manual_Review!$A$6:$A$238,0))="N/A","N/A: nonbenchmark task","Pending task-specific leakage check"))),"Pending task-specific leakage check"))</f>
        <v>N/A: documentation inventory</v>
      </c>
      <c r="AY174" s="5" t="str">
        <f>IF(IF(D174="Unlabeled-13",AND(ABS(MCDM_Settings!$D$14-1)&lt;0.0000001,MIN(MCDM_Settings!$E$6:$E$11)&gt;=0,MCDM_Settings!$E$7=0),AND(ABS(MCDM_Settings!$B$14-1)&lt;0.0000001,MIN(MCDM_Settings!$C$6:$C$11)&gt;=0)),"Valid","Check weights")</f>
        <v>Valid</v>
      </c>
      <c r="AZ174" s="5" t="str">
        <f>IF(AND(COUNTIF(MCDM_Checks!$B$6:$B$3733,A174)=16,COUNTIF(Manual_Review!$A$6:$A$238,A174)=1),"16 keys present","Check key count")</f>
        <v>16 keys present</v>
      </c>
    </row>
    <row r="175" spans="1:52">
      <c r="A175" s="5" t="s">
        <v>1895</v>
      </c>
      <c r="B175" s="5" t="s">
        <v>1896</v>
      </c>
      <c r="C175" s="5"/>
      <c r="D175" s="5" t="s">
        <v>118</v>
      </c>
      <c r="E175" s="12">
        <f>IF(OR(AY175&lt;&gt;"Valid",AZ175&lt;&gt;"16 keys present"),"Review settings",20*(IF(ISNUMBER(AC175),AC175*IF($D175="Unlabeled-13",MCDM_Settings!$E$6,MCDM_Settings!$C$6),0)+IF(ISNUMBER(AF175),AF175*IF($D175="Unlabeled-13",MCDM_Settings!$E$7,MCDM_Settings!$C$7),0)+IF(ISNUMBER(AI175),AI175*IF($D175="Unlabeled-13",MCDM_Settings!$E$8,MCDM_Settings!$C$8),0)+IF(ISNUMBER(AL175),AL175*IF($D175="Unlabeled-13",MCDM_Settings!$E$9,MCDM_Settings!$C$9),0)+IF(ISNUMBER(AO175),AO175*IF($D175="Unlabeled-13",MCDM_Settings!$E$10,MCDM_Settings!$C$10),0)+IF(ISNUMBER(AR175),AR175*IF($D175="Unlabeled-13",MCDM_Settings!$E$11,MCDM_Settings!$C$11),0)))</f>
        <v>47.222222222222214</v>
      </c>
      <c r="F175" s="12">
        <f>IF(OR(AY175&lt;&gt;"Valid",AZ175&lt;&gt;"16 keys present"),"Review settings",20*(IF(ISNUMBER(AD175),AD175*IF($D175="Unlabeled-13",MCDM_Settings!$E$6,MCDM_Settings!$C$6),0)+IF(ISNUMBER(AG175),AG175*IF($D175="Unlabeled-13",MCDM_Settings!$E$7,MCDM_Settings!$C$7),0)+IF(ISNUMBER(AJ175),AJ175*IF($D175="Unlabeled-13",MCDM_Settings!$E$8,MCDM_Settings!$C$8),0)+IF(ISNUMBER(AM175),AM175*IF($D175="Unlabeled-13",MCDM_Settings!$E$9,MCDM_Settings!$C$9),0)+IF(ISNUMBER(AP175),AP175*IF($D175="Unlabeled-13",MCDM_Settings!$E$10,MCDM_Settings!$C$10),0)+IF(ISNUMBER(AS175),AS175*IF($D175="Unlabeled-13",MCDM_Settings!$E$11,MCDM_Settings!$C$11),0)))</f>
        <v>99.999999999999986</v>
      </c>
      <c r="G175" s="13">
        <f>IF(OR(AY175&lt;&gt;"Valid",AZ175&lt;&gt;"16 keys present"),"Review settings",1*(IF(ISNUMBER(AE175),AE175*IF($D175="Unlabeled-13",MCDM_Settings!$E$6,MCDM_Settings!$C$6),0)+IF(ISNUMBER(AH175),AH175*IF($D175="Unlabeled-13",MCDM_Settings!$E$7,MCDM_Settings!$C$7),0)+IF(ISNUMBER(AK175),AK175*IF($D175="Unlabeled-13",MCDM_Settings!$E$8,MCDM_Settings!$C$8),0)+IF(ISNUMBER(AN175),AN175*IF($D175="Unlabeled-13",MCDM_Settings!$E$9,MCDM_Settings!$C$9),0)+IF(ISNUMBER(AQ175),AQ175*IF($D175="Unlabeled-13",MCDM_Settings!$E$10,MCDM_Settings!$C$10),0)+IF(ISNUMBER(AT175),AT175*IF($D175="Unlabeled-13",MCDM_Settings!$E$11,MCDM_Settings!$C$11),0)))</f>
        <v>0.47222222222222221</v>
      </c>
      <c r="H175" s="5" t="str">
        <f>INDEX(Manual_Review!$AH$6:$AH$238,MATCH(A175,Manual_Review!$A$6:$A$238,0))</f>
        <v>Not started</v>
      </c>
      <c r="I175" s="5" t="s">
        <v>128</v>
      </c>
      <c r="J175" s="5" t="s">
        <v>1601</v>
      </c>
      <c r="K175" s="5" t="str">
        <f>HYPERLINK("https://www.kaggle.com/datasets/zara2099/road-surface-recognition-dataset","Dataset")</f>
        <v>Dataset</v>
      </c>
      <c r="L175" s="5" t="str">
        <f>HYPERLINK("#'Manual_Review'!A"&amp;(MATCH("DS-170",Manual_Review!$A$6:$A$238,0)+5),"Enter review")</f>
        <v>Enter review</v>
      </c>
      <c r="M175" s="5" t="str">
        <f>INDEX(MCDM_Checks!$K$6:$K$3733,MATCH(A175&amp;"|"&amp;M$5,MCDM_Checks!$A$6:$A$3733,0))</f>
        <v>Y</v>
      </c>
      <c r="N175" s="5" t="str">
        <f>INDEX(MCDM_Checks!$K$6:$K$3733,MATCH(A175&amp;"|"&amp;N$5,MCDM_Checks!$A$6:$A$3733,0))</f>
        <v>Y</v>
      </c>
      <c r="O175" s="5" t="str">
        <f>INDEX(MCDM_Checks!$K$6:$K$3733,MATCH(A175&amp;"|"&amp;O$5,MCDM_Checks!$A$6:$A$3733,0))</f>
        <v>Y</v>
      </c>
      <c r="P175" s="5" t="str">
        <f>INDEX(MCDM_Checks!$K$6:$K$3733,MATCH(A175&amp;"|"&amp;P$5,MCDM_Checks!$A$6:$A$3733,0))</f>
        <v>Y</v>
      </c>
      <c r="Q175" s="5" t="str">
        <f>INDEX(MCDM_Checks!$K$6:$K$3733,MATCH(A175&amp;"|"&amp;Q$5,MCDM_Checks!$A$6:$A$3733,0))</f>
        <v>U</v>
      </c>
      <c r="R175" s="5" t="str">
        <f>INDEX(MCDM_Checks!$K$6:$K$3733,MATCH(A175&amp;"|"&amp;R$5,MCDM_Checks!$A$6:$A$3733,0))</f>
        <v>U</v>
      </c>
      <c r="S175" s="5" t="str">
        <f>INDEX(MCDM_Checks!$K$6:$K$3733,MATCH(A175&amp;"|"&amp;S$5,MCDM_Checks!$A$6:$A$3733,0))</f>
        <v>U</v>
      </c>
      <c r="T175" s="5" t="str">
        <f>INDEX(MCDM_Checks!$K$6:$K$3733,MATCH(A175&amp;"|"&amp;T$5,MCDM_Checks!$A$6:$A$3733,0))</f>
        <v>Y</v>
      </c>
      <c r="U175" s="5" t="str">
        <f>INDEX(MCDM_Checks!$K$6:$K$3733,MATCH(A175&amp;"|"&amp;U$5,MCDM_Checks!$A$6:$A$3733,0))</f>
        <v>U</v>
      </c>
      <c r="V175" s="5" t="str">
        <f>INDEX(MCDM_Checks!$K$6:$K$3733,MATCH(A175&amp;"|"&amp;V$5,MCDM_Checks!$A$6:$A$3733,0))</f>
        <v>U</v>
      </c>
      <c r="W175" s="5" t="str">
        <f>INDEX(MCDM_Checks!$K$6:$K$3733,MATCH(A175&amp;"|"&amp;W$5,MCDM_Checks!$A$6:$A$3733,0))</f>
        <v>U</v>
      </c>
      <c r="X175" s="5" t="str">
        <f>INDEX(MCDM_Checks!$K$6:$K$3733,MATCH(A175&amp;"|"&amp;X$5,MCDM_Checks!$A$6:$A$3733,0))</f>
        <v>U</v>
      </c>
      <c r="Y175" s="5" t="str">
        <f>INDEX(MCDM_Checks!$K$6:$K$3733,MATCH(A175&amp;"|"&amp;Y$5,MCDM_Checks!$A$6:$A$3733,0))</f>
        <v>Y</v>
      </c>
      <c r="Z175" s="5" t="str">
        <f>INDEX(MCDM_Checks!$K$6:$K$3733,MATCH(A175&amp;"|"&amp;Z$5,MCDM_Checks!$A$6:$A$3733,0))</f>
        <v>Y</v>
      </c>
      <c r="AA175" s="5" t="str">
        <f>INDEX(MCDM_Checks!$K$6:$K$3733,MATCH(A175&amp;"|"&amp;AA$5,MCDM_Checks!$A$6:$A$3733,0))</f>
        <v>Y</v>
      </c>
      <c r="AB175" s="5" t="str">
        <f>INDEX(MCDM_Checks!$K$6:$K$3733,MATCH(A175&amp;"|"&amp;AB$5,MCDM_Checks!$A$6:$A$3733,0))</f>
        <v>U</v>
      </c>
      <c r="AC175" s="12">
        <f>IF(IF($D175="Unlabeled-13",MCDM_Settings!$F$6,MCDM_Settings!$D$6)=0,"n.a.",5*COUNTIF(M175:O175,"Y")/IF($D175="Unlabeled-13",MCDM_Settings!$F$6,MCDM_Settings!$D$6))</f>
        <v>5</v>
      </c>
      <c r="AD175" s="12">
        <f>IF(IF($D175="Unlabeled-13",MCDM_Settings!$F$6,MCDM_Settings!$D$6)=0,"n.a.",5*(COUNTIF(M175:O175,"Y")+COUNTIF(M175:O175,"U")+COUNTIF(M175:O175,"X"))/IF($D175="Unlabeled-13",MCDM_Settings!$F$6,MCDM_Settings!$D$6))</f>
        <v>5</v>
      </c>
      <c r="AE175" s="13">
        <f>IF(IF($D175="Unlabeled-13",MCDM_Settings!$F$6,MCDM_Settings!$D$6)=0,"n.a.",(COUNTIF(M175:O175,"Y")+COUNTIF(M175:O175,"N"))/IF($D175="Unlabeled-13",MCDM_Settings!$F$6,MCDM_Settings!$D$6))</f>
        <v>1</v>
      </c>
      <c r="AF175" s="12">
        <f>IF(IF($D175="Unlabeled-13",MCDM_Settings!$F$7,MCDM_Settings!$D$7)=0,"n.a.",5*COUNTIF(P175:R175,"Y")/IF($D175="Unlabeled-13",MCDM_Settings!$F$7,MCDM_Settings!$D$7))</f>
        <v>1.6666666666666667</v>
      </c>
      <c r="AG175" s="12">
        <f>IF(IF($D175="Unlabeled-13",MCDM_Settings!$F$7,MCDM_Settings!$D$7)=0,"n.a.",5*(COUNTIF(P175:R175,"Y")+COUNTIF(P175:R175,"U")+COUNTIF(P175:R175,"X"))/IF($D175="Unlabeled-13",MCDM_Settings!$F$7,MCDM_Settings!$D$7))</f>
        <v>5</v>
      </c>
      <c r="AH175" s="13">
        <f>IF(IF($D175="Unlabeled-13",MCDM_Settings!$F$7,MCDM_Settings!$D$7)=0,"n.a.",(COUNTIF(P175:R175,"Y")+COUNTIF(P175:R175,"N"))/IF($D175="Unlabeled-13",MCDM_Settings!$F$7,MCDM_Settings!$D$7))</f>
        <v>0.33333333333333331</v>
      </c>
      <c r="AI175" s="12">
        <f>IF(IF($D175="Unlabeled-13",MCDM_Settings!$F$8,MCDM_Settings!$D$8)=0,"n.a.",5*COUNTIF(S175:U175,"Y")/IF($D175="Unlabeled-13",MCDM_Settings!$F$8,MCDM_Settings!$D$8))</f>
        <v>1.6666666666666667</v>
      </c>
      <c r="AJ175" s="12">
        <f>IF(IF($D175="Unlabeled-13",MCDM_Settings!$F$8,MCDM_Settings!$D$8)=0,"n.a.",5*(COUNTIF(S175:U175,"Y")+COUNTIF(S175:U175,"U")+COUNTIF(S175:U175,"X"))/IF($D175="Unlabeled-13",MCDM_Settings!$F$8,MCDM_Settings!$D$8))</f>
        <v>5</v>
      </c>
      <c r="AK175" s="13">
        <f>IF(IF($D175="Unlabeled-13",MCDM_Settings!$F$8,MCDM_Settings!$D$8)=0,"n.a.",(COUNTIF(S175:U175,"Y")+COUNTIF(S175:U175,"N"))/IF($D175="Unlabeled-13",MCDM_Settings!$F$8,MCDM_Settings!$D$8))</f>
        <v>0.33333333333333331</v>
      </c>
      <c r="AL175" s="12">
        <f>IF(IF($D175="Unlabeled-13",MCDM_Settings!$F$9,MCDM_Settings!$D$9)=0,"n.a.",5*COUNTIF(V175:W175,"Y")/IF($D175="Unlabeled-13",MCDM_Settings!$F$9,MCDM_Settings!$D$9))</f>
        <v>0</v>
      </c>
      <c r="AM175" s="12">
        <f>IF(IF($D175="Unlabeled-13",MCDM_Settings!$F$9,MCDM_Settings!$D$9)=0,"n.a.",5*(COUNTIF(V175:W175,"Y")+COUNTIF(V175:W175,"U")+COUNTIF(V175:W175,"X"))/IF($D175="Unlabeled-13",MCDM_Settings!$F$9,MCDM_Settings!$D$9))</f>
        <v>5</v>
      </c>
      <c r="AN175" s="13">
        <f>IF(IF($D175="Unlabeled-13",MCDM_Settings!$F$9,MCDM_Settings!$D$9)=0,"n.a.",(COUNTIF(V175:W175,"Y")+COUNTIF(V175:W175,"N"))/IF($D175="Unlabeled-13",MCDM_Settings!$F$9,MCDM_Settings!$D$9))</f>
        <v>0</v>
      </c>
      <c r="AO175" s="12">
        <f>IF(IF($D175="Unlabeled-13",MCDM_Settings!$F$10,MCDM_Settings!$D$10)=0,"n.a.",5*COUNTIF(X175:Y175,"Y")/IF($D175="Unlabeled-13",MCDM_Settings!$F$10,MCDM_Settings!$D$10))</f>
        <v>2.5</v>
      </c>
      <c r="AP175" s="12">
        <f>IF(IF($D175="Unlabeled-13",MCDM_Settings!$F$10,MCDM_Settings!$D$10)=0,"n.a.",5*(COUNTIF(X175:Y175,"Y")+COUNTIF(X175:Y175,"U")+COUNTIF(X175:Y175,"X"))/IF($D175="Unlabeled-13",MCDM_Settings!$F$10,MCDM_Settings!$D$10))</f>
        <v>5</v>
      </c>
      <c r="AQ175" s="13">
        <f>IF(IF($D175="Unlabeled-13",MCDM_Settings!$F$10,MCDM_Settings!$D$10)=0,"n.a.",(COUNTIF(X175:Y175,"Y")+COUNTIF(X175:Y175,"N"))/IF($D175="Unlabeled-13",MCDM_Settings!$F$10,MCDM_Settings!$D$10))</f>
        <v>0.5</v>
      </c>
      <c r="AR175" s="12">
        <f>IF(IF($D175="Unlabeled-13",MCDM_Settings!$F$11,MCDM_Settings!$D$11)=0,"n.a.",5*COUNTIF(Z175:AB175,"Y")/IF($D175="Unlabeled-13",MCDM_Settings!$F$11,MCDM_Settings!$D$11))</f>
        <v>3.3333333333333335</v>
      </c>
      <c r="AS175" s="12">
        <f>IF(IF($D175="Unlabeled-13",MCDM_Settings!$F$11,MCDM_Settings!$D$11)=0,"n.a.",5*(COUNTIF(Z175:AB175,"Y")+COUNTIF(Z175:AB175,"U")+COUNTIF(Z175:AB175,"X"))/IF($D175="Unlabeled-13",MCDM_Settings!$F$11,MCDM_Settings!$D$11))</f>
        <v>5</v>
      </c>
      <c r="AT175" s="13">
        <f>IF(IF($D175="Unlabeled-13",MCDM_Settings!$F$11,MCDM_Settings!$D$11)=0,"n.a.",(COUNTIF(Z175:AB175,"Y")+COUNTIF(Z175:AB175,"N"))/IF($D175="Unlabeled-13",MCDM_Settings!$F$11,MCDM_Settings!$D$11))</f>
        <v>0.66666666666666663</v>
      </c>
      <c r="AU175" s="5" t="str">
        <f>IF(AND(INDEX(Manual_Review!$G$6:$G$238,MATCH(A175,Manual_Review!$A$6:$A$238,0))&lt;&gt;"",ISNUMBER(INDEX(Manual_Review!$H$6:$H$238,MATCH(A175,Manual_Review!$A$6:$A$238,0))),INDEX(Manual_Review!$H$6:$H$238,MATCH(A175,Manual_Review!$A$6:$A$238,0))&gt;0,INDEX(Manual_Review!$I$6:$I$238,MATCH(A175,Manual_Review!$A$6:$A$238,0))="Confirmed",INDEX(Manual_Review!$AF$6:$AF$238,MATCH(A175,Manual_Review!$A$6:$A$238,0))&lt;&gt;""),IF(INDEX(Manual_Review!$AA$6:$AA$238,MATCH(A175,Manual_Review!$A$6:$A$238,0))="Pass","Pass",IF(INDEX(Manual_Review!$AA$6:$AA$238,MATCH(A175,Manual_Review!$A$6:$A$238,0))="Fail","Fail","Pending")),"Pending human identity confirmation")</f>
        <v>Pending human identity confirmation</v>
      </c>
      <c r="AV175" s="5" t="str">
        <f>IF(AND(AND(INDEX(Manual_Review!$G$6:$G$238,MATCH(A175,Manual_Review!$A$6:$A$238,0))&lt;&gt;"",ISNUMBER(INDEX(Manual_Review!$H$6:$H$238,MATCH(A175,Manual_Review!$A$6:$A$238,0))),INDEX(Manual_Review!$H$6:$H$238,MATCH(A175,Manual_Review!$A$6:$A$238,0))&gt;0,INDEX(Manual_Review!$I$6:$I$238,MATCH(A175,Manual_Review!$A$6:$A$238,0))="Confirmed",INDEX(Manual_Review!$AF$6:$AF$238,MATCH(A175,Manual_Review!$A$6:$A$238,0))&lt;&gt;""),INDEX(Manual_Review!$AG$6:$AG$238,MATCH(A175,Manual_Review!$A$6:$A$238,0))&lt;&gt;""),IF(INDEX(Manual_Review!$AB$6:$AB$238,MATCH(A175,Manual_Review!$A$6:$A$238,0))="Pass","Pass",IF(INDEX(Manual_Review!$AB$6:$AB$238,MATCH(A175,Manual_Review!$A$6:$A$238,0))="Fail","Fail","Pending")),"Not assessed: define intended task")</f>
        <v>Not assessed: define intended task</v>
      </c>
      <c r="AW175" s="5" t="str">
        <f>IF(AND(AND(INDEX(Manual_Review!$G$6:$G$238,MATCH(A175,Manual_Review!$A$6:$A$238,0))&lt;&gt;"",ISNUMBER(INDEX(Manual_Review!$H$6:$H$238,MATCH(A175,Manual_Review!$A$6:$A$238,0))),INDEX(Manual_Review!$H$6:$H$238,MATCH(A175,Manual_Review!$A$6:$A$238,0))&gt;0,INDEX(Manual_Review!$I$6:$I$238,MATCH(A175,Manual_Review!$A$6:$A$238,0))="Confirmed",INDEX(Manual_Review!$AF$6:$AF$238,MATCH(A175,Manual_Review!$A$6:$A$238,0))&lt;&gt;""),INDEX(Manual_Review!$AG$6:$AG$238,MATCH(A175,Manual_Review!$A$6:$A$238,0))&lt;&gt;""),IF(OR(INDEX(Manual_Review!$AC$6:$AC$238,MATCH(A175,Manual_Review!$A$6:$A$238,0))="Fail",INDEX(Manual_Review!$AD$6:$AD$238,MATCH(A175,Manual_Review!$A$6:$A$238,0))="Fail"),"Fail: rights or retrieval",IF(AND(INDEX(Manual_Review!$AC$6:$AC$238,MATCH(A175,Manual_Review!$A$6:$A$238,0))="Pass",INDEX(Manual_Review!$AD$6:$AD$238,MATCH(A175,Manual_Review!$A$6:$A$238,0))="Pass"),"Pass","Pending rights and retrieval")),"Pending rights and retrieval")</f>
        <v>Pending rights and retrieval</v>
      </c>
      <c r="AX175" s="5" t="str">
        <f>IF(INDEX(Manual_Review!$AG$6:$AG$238,MATCH(A175,Manual_Review!$A$6:$A$238,0))="","N/A: documentation inventory",IF(AND(INDEX(Manual_Review!$G$6:$G$238,MATCH(A175,Manual_Review!$A$6:$A$238,0))&lt;&gt;"",ISNUMBER(INDEX(Manual_Review!$H$6:$H$238,MATCH(A175,Manual_Review!$A$6:$A$238,0))),INDEX(Manual_Review!$H$6:$H$238,MATCH(A175,Manual_Review!$A$6:$A$238,0))&gt;0,INDEX(Manual_Review!$I$6:$I$238,MATCH(A175,Manual_Review!$A$6:$A$238,0))="Confirmed",INDEX(Manual_Review!$AF$6:$AF$238,MATCH(A175,Manual_Review!$A$6:$A$238,0))&lt;&gt;""),IF(INDEX(Manual_Review!$AE$6:$AE$238,MATCH(A175,Manual_Review!$A$6:$A$238,0))="Pass","Pass",IF(INDEX(Manual_Review!$AE$6:$AE$238,MATCH(A175,Manual_Review!$A$6:$A$238,0))="Fail","Fail: benchmark leakage",IF(INDEX(Manual_Review!$AE$6:$AE$238,MATCH(A175,Manual_Review!$A$6:$A$238,0))="N/A","N/A: nonbenchmark task","Pending task-specific leakage check"))),"Pending task-specific leakage check"))</f>
        <v>N/A: documentation inventory</v>
      </c>
      <c r="AY175" s="5" t="str">
        <f>IF(IF(D175="Unlabeled-13",AND(ABS(MCDM_Settings!$D$14-1)&lt;0.0000001,MIN(MCDM_Settings!$E$6:$E$11)&gt;=0,MCDM_Settings!$E$7=0),AND(ABS(MCDM_Settings!$B$14-1)&lt;0.0000001,MIN(MCDM_Settings!$C$6:$C$11)&gt;=0)),"Valid","Check weights")</f>
        <v>Valid</v>
      </c>
      <c r="AZ175" s="5" t="str">
        <f>IF(AND(COUNTIF(MCDM_Checks!$B$6:$B$3733,A175)=16,COUNTIF(Manual_Review!$A$6:$A$238,A175)=1),"16 keys present","Check key count")</f>
        <v>16 keys present</v>
      </c>
    </row>
    <row r="176" spans="1:52">
      <c r="A176" s="5" t="s">
        <v>1905</v>
      </c>
      <c r="B176" s="5" t="s">
        <v>1906</v>
      </c>
      <c r="C176" s="5"/>
      <c r="D176" s="5" t="s">
        <v>118</v>
      </c>
      <c r="E176" s="12">
        <f>IF(OR(AY176&lt;&gt;"Valid",AZ176&lt;&gt;"16 keys present"),"Review settings",20*(IF(ISNUMBER(AC176),AC176*IF($D176="Unlabeled-13",MCDM_Settings!$E$6,MCDM_Settings!$C$6),0)+IF(ISNUMBER(AF176),AF176*IF($D176="Unlabeled-13",MCDM_Settings!$E$7,MCDM_Settings!$C$7),0)+IF(ISNUMBER(AI176),AI176*IF($D176="Unlabeled-13",MCDM_Settings!$E$8,MCDM_Settings!$C$8),0)+IF(ISNUMBER(AL176),AL176*IF($D176="Unlabeled-13",MCDM_Settings!$E$9,MCDM_Settings!$C$9),0)+IF(ISNUMBER(AO176),AO176*IF($D176="Unlabeled-13",MCDM_Settings!$E$10,MCDM_Settings!$C$10),0)+IF(ISNUMBER(AR176),AR176*IF($D176="Unlabeled-13",MCDM_Settings!$E$11,MCDM_Settings!$C$11),0)))</f>
        <v>63.888888888888893</v>
      </c>
      <c r="F176" s="12">
        <f>IF(OR(AY176&lt;&gt;"Valid",AZ176&lt;&gt;"16 keys present"),"Review settings",20*(IF(ISNUMBER(AD176),AD176*IF($D176="Unlabeled-13",MCDM_Settings!$E$6,MCDM_Settings!$C$6),0)+IF(ISNUMBER(AG176),AG176*IF($D176="Unlabeled-13",MCDM_Settings!$E$7,MCDM_Settings!$C$7),0)+IF(ISNUMBER(AJ176),AJ176*IF($D176="Unlabeled-13",MCDM_Settings!$E$8,MCDM_Settings!$C$8),0)+IF(ISNUMBER(AM176),AM176*IF($D176="Unlabeled-13",MCDM_Settings!$E$9,MCDM_Settings!$C$9),0)+IF(ISNUMBER(AP176),AP176*IF($D176="Unlabeled-13",MCDM_Settings!$E$10,MCDM_Settings!$C$10),0)+IF(ISNUMBER(AS176),AS176*IF($D176="Unlabeled-13",MCDM_Settings!$E$11,MCDM_Settings!$C$11),0)))</f>
        <v>99.999999999999986</v>
      </c>
      <c r="G176" s="13">
        <f>IF(OR(AY176&lt;&gt;"Valid",AZ176&lt;&gt;"16 keys present"),"Review settings",1*(IF(ISNUMBER(AE176),AE176*IF($D176="Unlabeled-13",MCDM_Settings!$E$6,MCDM_Settings!$C$6),0)+IF(ISNUMBER(AH176),AH176*IF($D176="Unlabeled-13",MCDM_Settings!$E$7,MCDM_Settings!$C$7),0)+IF(ISNUMBER(AK176),AK176*IF($D176="Unlabeled-13",MCDM_Settings!$E$8,MCDM_Settings!$C$8),0)+IF(ISNUMBER(AN176),AN176*IF($D176="Unlabeled-13",MCDM_Settings!$E$9,MCDM_Settings!$C$9),0)+IF(ISNUMBER(AQ176),AQ176*IF($D176="Unlabeled-13",MCDM_Settings!$E$10,MCDM_Settings!$C$10),0)+IF(ISNUMBER(AT176),AT176*IF($D176="Unlabeled-13",MCDM_Settings!$E$11,MCDM_Settings!$C$11),0)))</f>
        <v>0.63888888888888884</v>
      </c>
      <c r="H176" s="5" t="str">
        <f>INDEX(Manual_Review!$AH$6:$AH$238,MATCH(A176,Manual_Review!$A$6:$A$238,0))</f>
        <v>Not started</v>
      </c>
      <c r="I176" s="5" t="s">
        <v>128</v>
      </c>
      <c r="J176" s="5" t="s">
        <v>1601</v>
      </c>
      <c r="K176" s="5" t="str">
        <f>HYPERLINK("https://www.kaggle.com/datasets/saadkhan0/road-conditionalert-dataset","Dataset")</f>
        <v>Dataset</v>
      </c>
      <c r="L176" s="5" t="str">
        <f>HYPERLINK("#'Manual_Review'!A"&amp;(MATCH("DS-171",Manual_Review!$A$6:$A$238,0)+5),"Enter review")</f>
        <v>Enter review</v>
      </c>
      <c r="M176" s="5" t="str">
        <f>INDEX(MCDM_Checks!$K$6:$K$3733,MATCH(A176&amp;"|"&amp;M$5,MCDM_Checks!$A$6:$A$3733,0))</f>
        <v>Y</v>
      </c>
      <c r="N176" s="5" t="str">
        <f>INDEX(MCDM_Checks!$K$6:$K$3733,MATCH(A176&amp;"|"&amp;N$5,MCDM_Checks!$A$6:$A$3733,0))</f>
        <v>Y</v>
      </c>
      <c r="O176" s="5" t="str">
        <f>INDEX(MCDM_Checks!$K$6:$K$3733,MATCH(A176&amp;"|"&amp;O$5,MCDM_Checks!$A$6:$A$3733,0))</f>
        <v>Y</v>
      </c>
      <c r="P176" s="5" t="str">
        <f>INDEX(MCDM_Checks!$K$6:$K$3733,MATCH(A176&amp;"|"&amp;P$5,MCDM_Checks!$A$6:$A$3733,0))</f>
        <v>Y</v>
      </c>
      <c r="Q176" s="5" t="str">
        <f>INDEX(MCDM_Checks!$K$6:$K$3733,MATCH(A176&amp;"|"&amp;Q$5,MCDM_Checks!$A$6:$A$3733,0))</f>
        <v>U</v>
      </c>
      <c r="R176" s="5" t="str">
        <f>INDEX(MCDM_Checks!$K$6:$K$3733,MATCH(A176&amp;"|"&amp;R$5,MCDM_Checks!$A$6:$A$3733,0))</f>
        <v>U</v>
      </c>
      <c r="S176" s="5" t="str">
        <f>INDEX(MCDM_Checks!$K$6:$K$3733,MATCH(A176&amp;"|"&amp;S$5,MCDM_Checks!$A$6:$A$3733,0))</f>
        <v>Y</v>
      </c>
      <c r="T176" s="5" t="str">
        <f>INDEX(MCDM_Checks!$K$6:$K$3733,MATCH(A176&amp;"|"&amp;T$5,MCDM_Checks!$A$6:$A$3733,0))</f>
        <v>Y</v>
      </c>
      <c r="U176" s="5" t="str">
        <f>INDEX(MCDM_Checks!$K$6:$K$3733,MATCH(A176&amp;"|"&amp;U$5,MCDM_Checks!$A$6:$A$3733,0))</f>
        <v>Y</v>
      </c>
      <c r="V176" s="5" t="str">
        <f>INDEX(MCDM_Checks!$K$6:$K$3733,MATCH(A176&amp;"|"&amp;V$5,MCDM_Checks!$A$6:$A$3733,0))</f>
        <v>U</v>
      </c>
      <c r="W176" s="5" t="str">
        <f>INDEX(MCDM_Checks!$K$6:$K$3733,MATCH(A176&amp;"|"&amp;W$5,MCDM_Checks!$A$6:$A$3733,0))</f>
        <v>U</v>
      </c>
      <c r="X176" s="5" t="str">
        <f>INDEX(MCDM_Checks!$K$6:$K$3733,MATCH(A176&amp;"|"&amp;X$5,MCDM_Checks!$A$6:$A$3733,0))</f>
        <v>U</v>
      </c>
      <c r="Y176" s="5" t="str">
        <f>INDEX(MCDM_Checks!$K$6:$K$3733,MATCH(A176&amp;"|"&amp;Y$5,MCDM_Checks!$A$6:$A$3733,0))</f>
        <v>Y</v>
      </c>
      <c r="Z176" s="5" t="str">
        <f>INDEX(MCDM_Checks!$K$6:$K$3733,MATCH(A176&amp;"|"&amp;Z$5,MCDM_Checks!$A$6:$A$3733,0))</f>
        <v>Y</v>
      </c>
      <c r="AA176" s="5" t="str">
        <f>INDEX(MCDM_Checks!$K$6:$K$3733,MATCH(A176&amp;"|"&amp;AA$5,MCDM_Checks!$A$6:$A$3733,0))</f>
        <v>Y</v>
      </c>
      <c r="AB176" s="5" t="str">
        <f>INDEX(MCDM_Checks!$K$6:$K$3733,MATCH(A176&amp;"|"&amp;AB$5,MCDM_Checks!$A$6:$A$3733,0))</f>
        <v>Y</v>
      </c>
      <c r="AC176" s="12">
        <f>IF(IF($D176="Unlabeled-13",MCDM_Settings!$F$6,MCDM_Settings!$D$6)=0,"n.a.",5*COUNTIF(M176:O176,"Y")/IF($D176="Unlabeled-13",MCDM_Settings!$F$6,MCDM_Settings!$D$6))</f>
        <v>5</v>
      </c>
      <c r="AD176" s="12">
        <f>IF(IF($D176="Unlabeled-13",MCDM_Settings!$F$6,MCDM_Settings!$D$6)=0,"n.a.",5*(COUNTIF(M176:O176,"Y")+COUNTIF(M176:O176,"U")+COUNTIF(M176:O176,"X"))/IF($D176="Unlabeled-13",MCDM_Settings!$F$6,MCDM_Settings!$D$6))</f>
        <v>5</v>
      </c>
      <c r="AE176" s="13">
        <f>IF(IF($D176="Unlabeled-13",MCDM_Settings!$F$6,MCDM_Settings!$D$6)=0,"n.a.",(COUNTIF(M176:O176,"Y")+COUNTIF(M176:O176,"N"))/IF($D176="Unlabeled-13",MCDM_Settings!$F$6,MCDM_Settings!$D$6))</f>
        <v>1</v>
      </c>
      <c r="AF176" s="12">
        <f>IF(IF($D176="Unlabeled-13",MCDM_Settings!$F$7,MCDM_Settings!$D$7)=0,"n.a.",5*COUNTIF(P176:R176,"Y")/IF($D176="Unlabeled-13",MCDM_Settings!$F$7,MCDM_Settings!$D$7))</f>
        <v>1.6666666666666667</v>
      </c>
      <c r="AG176" s="12">
        <f>IF(IF($D176="Unlabeled-13",MCDM_Settings!$F$7,MCDM_Settings!$D$7)=0,"n.a.",5*(COUNTIF(P176:R176,"Y")+COUNTIF(P176:R176,"U")+COUNTIF(P176:R176,"X"))/IF($D176="Unlabeled-13",MCDM_Settings!$F$7,MCDM_Settings!$D$7))</f>
        <v>5</v>
      </c>
      <c r="AH176" s="13">
        <f>IF(IF($D176="Unlabeled-13",MCDM_Settings!$F$7,MCDM_Settings!$D$7)=0,"n.a.",(COUNTIF(P176:R176,"Y")+COUNTIF(P176:R176,"N"))/IF($D176="Unlabeled-13",MCDM_Settings!$F$7,MCDM_Settings!$D$7))</f>
        <v>0.33333333333333331</v>
      </c>
      <c r="AI176" s="12">
        <f>IF(IF($D176="Unlabeled-13",MCDM_Settings!$F$8,MCDM_Settings!$D$8)=0,"n.a.",5*COUNTIF(S176:U176,"Y")/IF($D176="Unlabeled-13",MCDM_Settings!$F$8,MCDM_Settings!$D$8))</f>
        <v>5</v>
      </c>
      <c r="AJ176" s="12">
        <f>IF(IF($D176="Unlabeled-13",MCDM_Settings!$F$8,MCDM_Settings!$D$8)=0,"n.a.",5*(COUNTIF(S176:U176,"Y")+COUNTIF(S176:U176,"U")+COUNTIF(S176:U176,"X"))/IF($D176="Unlabeled-13",MCDM_Settings!$F$8,MCDM_Settings!$D$8))</f>
        <v>5</v>
      </c>
      <c r="AK176" s="13">
        <f>IF(IF($D176="Unlabeled-13",MCDM_Settings!$F$8,MCDM_Settings!$D$8)=0,"n.a.",(COUNTIF(S176:U176,"Y")+COUNTIF(S176:U176,"N"))/IF($D176="Unlabeled-13",MCDM_Settings!$F$8,MCDM_Settings!$D$8))</f>
        <v>1</v>
      </c>
      <c r="AL176" s="12">
        <f>IF(IF($D176="Unlabeled-13",MCDM_Settings!$F$9,MCDM_Settings!$D$9)=0,"n.a.",5*COUNTIF(V176:W176,"Y")/IF($D176="Unlabeled-13",MCDM_Settings!$F$9,MCDM_Settings!$D$9))</f>
        <v>0</v>
      </c>
      <c r="AM176" s="12">
        <f>IF(IF($D176="Unlabeled-13",MCDM_Settings!$F$9,MCDM_Settings!$D$9)=0,"n.a.",5*(COUNTIF(V176:W176,"Y")+COUNTIF(V176:W176,"U")+COUNTIF(V176:W176,"X"))/IF($D176="Unlabeled-13",MCDM_Settings!$F$9,MCDM_Settings!$D$9))</f>
        <v>5</v>
      </c>
      <c r="AN176" s="13">
        <f>IF(IF($D176="Unlabeled-13",MCDM_Settings!$F$9,MCDM_Settings!$D$9)=0,"n.a.",(COUNTIF(V176:W176,"Y")+COUNTIF(V176:W176,"N"))/IF($D176="Unlabeled-13",MCDM_Settings!$F$9,MCDM_Settings!$D$9))</f>
        <v>0</v>
      </c>
      <c r="AO176" s="12">
        <f>IF(IF($D176="Unlabeled-13",MCDM_Settings!$F$10,MCDM_Settings!$D$10)=0,"n.a.",5*COUNTIF(X176:Y176,"Y")/IF($D176="Unlabeled-13",MCDM_Settings!$F$10,MCDM_Settings!$D$10))</f>
        <v>2.5</v>
      </c>
      <c r="AP176" s="12">
        <f>IF(IF($D176="Unlabeled-13",MCDM_Settings!$F$10,MCDM_Settings!$D$10)=0,"n.a.",5*(COUNTIF(X176:Y176,"Y")+COUNTIF(X176:Y176,"U")+COUNTIF(X176:Y176,"X"))/IF($D176="Unlabeled-13",MCDM_Settings!$F$10,MCDM_Settings!$D$10))</f>
        <v>5</v>
      </c>
      <c r="AQ176" s="13">
        <f>IF(IF($D176="Unlabeled-13",MCDM_Settings!$F$10,MCDM_Settings!$D$10)=0,"n.a.",(COUNTIF(X176:Y176,"Y")+COUNTIF(X176:Y176,"N"))/IF($D176="Unlabeled-13",MCDM_Settings!$F$10,MCDM_Settings!$D$10))</f>
        <v>0.5</v>
      </c>
      <c r="AR176" s="12">
        <f>IF(IF($D176="Unlabeled-13",MCDM_Settings!$F$11,MCDM_Settings!$D$11)=0,"n.a.",5*COUNTIF(Z176:AB176,"Y")/IF($D176="Unlabeled-13",MCDM_Settings!$F$11,MCDM_Settings!$D$11))</f>
        <v>5</v>
      </c>
      <c r="AS176" s="12">
        <f>IF(IF($D176="Unlabeled-13",MCDM_Settings!$F$11,MCDM_Settings!$D$11)=0,"n.a.",5*(COUNTIF(Z176:AB176,"Y")+COUNTIF(Z176:AB176,"U")+COUNTIF(Z176:AB176,"X"))/IF($D176="Unlabeled-13",MCDM_Settings!$F$11,MCDM_Settings!$D$11))</f>
        <v>5</v>
      </c>
      <c r="AT176" s="13">
        <f>IF(IF($D176="Unlabeled-13",MCDM_Settings!$F$11,MCDM_Settings!$D$11)=0,"n.a.",(COUNTIF(Z176:AB176,"Y")+COUNTIF(Z176:AB176,"N"))/IF($D176="Unlabeled-13",MCDM_Settings!$F$11,MCDM_Settings!$D$11))</f>
        <v>1</v>
      </c>
      <c r="AU176" s="5" t="str">
        <f>IF(AND(INDEX(Manual_Review!$G$6:$G$238,MATCH(A176,Manual_Review!$A$6:$A$238,0))&lt;&gt;"",ISNUMBER(INDEX(Manual_Review!$H$6:$H$238,MATCH(A176,Manual_Review!$A$6:$A$238,0))),INDEX(Manual_Review!$H$6:$H$238,MATCH(A176,Manual_Review!$A$6:$A$238,0))&gt;0,INDEX(Manual_Review!$I$6:$I$238,MATCH(A176,Manual_Review!$A$6:$A$238,0))="Confirmed",INDEX(Manual_Review!$AF$6:$AF$238,MATCH(A176,Manual_Review!$A$6:$A$238,0))&lt;&gt;""),IF(INDEX(Manual_Review!$AA$6:$AA$238,MATCH(A176,Manual_Review!$A$6:$A$238,0))="Pass","Pass",IF(INDEX(Manual_Review!$AA$6:$AA$238,MATCH(A176,Manual_Review!$A$6:$A$238,0))="Fail","Fail","Pending")),"Pending human identity confirmation")</f>
        <v>Pending human identity confirmation</v>
      </c>
      <c r="AV176" s="5" t="str">
        <f>IF(AND(AND(INDEX(Manual_Review!$G$6:$G$238,MATCH(A176,Manual_Review!$A$6:$A$238,0))&lt;&gt;"",ISNUMBER(INDEX(Manual_Review!$H$6:$H$238,MATCH(A176,Manual_Review!$A$6:$A$238,0))),INDEX(Manual_Review!$H$6:$H$238,MATCH(A176,Manual_Review!$A$6:$A$238,0))&gt;0,INDEX(Manual_Review!$I$6:$I$238,MATCH(A176,Manual_Review!$A$6:$A$238,0))="Confirmed",INDEX(Manual_Review!$AF$6:$AF$238,MATCH(A176,Manual_Review!$A$6:$A$238,0))&lt;&gt;""),INDEX(Manual_Review!$AG$6:$AG$238,MATCH(A176,Manual_Review!$A$6:$A$238,0))&lt;&gt;""),IF(INDEX(Manual_Review!$AB$6:$AB$238,MATCH(A176,Manual_Review!$A$6:$A$238,0))="Pass","Pass",IF(INDEX(Manual_Review!$AB$6:$AB$238,MATCH(A176,Manual_Review!$A$6:$A$238,0))="Fail","Fail","Pending")),"Not assessed: define intended task")</f>
        <v>Not assessed: define intended task</v>
      </c>
      <c r="AW176" s="5" t="str">
        <f>IF(AND(AND(INDEX(Manual_Review!$G$6:$G$238,MATCH(A176,Manual_Review!$A$6:$A$238,0))&lt;&gt;"",ISNUMBER(INDEX(Manual_Review!$H$6:$H$238,MATCH(A176,Manual_Review!$A$6:$A$238,0))),INDEX(Manual_Review!$H$6:$H$238,MATCH(A176,Manual_Review!$A$6:$A$238,0))&gt;0,INDEX(Manual_Review!$I$6:$I$238,MATCH(A176,Manual_Review!$A$6:$A$238,0))="Confirmed",INDEX(Manual_Review!$AF$6:$AF$238,MATCH(A176,Manual_Review!$A$6:$A$238,0))&lt;&gt;""),INDEX(Manual_Review!$AG$6:$AG$238,MATCH(A176,Manual_Review!$A$6:$A$238,0))&lt;&gt;""),IF(OR(INDEX(Manual_Review!$AC$6:$AC$238,MATCH(A176,Manual_Review!$A$6:$A$238,0))="Fail",INDEX(Manual_Review!$AD$6:$AD$238,MATCH(A176,Manual_Review!$A$6:$A$238,0))="Fail"),"Fail: rights or retrieval",IF(AND(INDEX(Manual_Review!$AC$6:$AC$238,MATCH(A176,Manual_Review!$A$6:$A$238,0))="Pass",INDEX(Manual_Review!$AD$6:$AD$238,MATCH(A176,Manual_Review!$A$6:$A$238,0))="Pass"),"Pass","Pending rights and retrieval")),"Pending rights and retrieval")</f>
        <v>Pending rights and retrieval</v>
      </c>
      <c r="AX176" s="5" t="str">
        <f>IF(INDEX(Manual_Review!$AG$6:$AG$238,MATCH(A176,Manual_Review!$A$6:$A$238,0))="","N/A: documentation inventory",IF(AND(INDEX(Manual_Review!$G$6:$G$238,MATCH(A176,Manual_Review!$A$6:$A$238,0))&lt;&gt;"",ISNUMBER(INDEX(Manual_Review!$H$6:$H$238,MATCH(A176,Manual_Review!$A$6:$A$238,0))),INDEX(Manual_Review!$H$6:$H$238,MATCH(A176,Manual_Review!$A$6:$A$238,0))&gt;0,INDEX(Manual_Review!$I$6:$I$238,MATCH(A176,Manual_Review!$A$6:$A$238,0))="Confirmed",INDEX(Manual_Review!$AF$6:$AF$238,MATCH(A176,Manual_Review!$A$6:$A$238,0))&lt;&gt;""),IF(INDEX(Manual_Review!$AE$6:$AE$238,MATCH(A176,Manual_Review!$A$6:$A$238,0))="Pass","Pass",IF(INDEX(Manual_Review!$AE$6:$AE$238,MATCH(A176,Manual_Review!$A$6:$A$238,0))="Fail","Fail: benchmark leakage",IF(INDEX(Manual_Review!$AE$6:$AE$238,MATCH(A176,Manual_Review!$A$6:$A$238,0))="N/A","N/A: nonbenchmark task","Pending task-specific leakage check"))),"Pending task-specific leakage check"))</f>
        <v>N/A: documentation inventory</v>
      </c>
      <c r="AY176" s="5" t="str">
        <f>IF(IF(D176="Unlabeled-13",AND(ABS(MCDM_Settings!$D$14-1)&lt;0.0000001,MIN(MCDM_Settings!$E$6:$E$11)&gt;=0,MCDM_Settings!$E$7=0),AND(ABS(MCDM_Settings!$B$14-1)&lt;0.0000001,MIN(MCDM_Settings!$C$6:$C$11)&gt;=0)),"Valid","Check weights")</f>
        <v>Valid</v>
      </c>
      <c r="AZ176" s="5" t="str">
        <f>IF(AND(COUNTIF(MCDM_Checks!$B$6:$B$3733,A176)=16,COUNTIF(Manual_Review!$A$6:$A$238,A176)=1),"16 keys present","Check key count")</f>
        <v>16 keys present</v>
      </c>
    </row>
    <row r="177" spans="1:52">
      <c r="A177" s="5" t="s">
        <v>1913</v>
      </c>
      <c r="B177" s="5" t="s">
        <v>1914</v>
      </c>
      <c r="C177" s="5"/>
      <c r="D177" s="5" t="s">
        <v>118</v>
      </c>
      <c r="E177" s="12">
        <f>IF(OR(AY177&lt;&gt;"Valid",AZ177&lt;&gt;"16 keys present"),"Review settings",20*(IF(ISNUMBER(AC177),AC177*IF($D177="Unlabeled-13",MCDM_Settings!$E$6,MCDM_Settings!$C$6),0)+IF(ISNUMBER(AF177),AF177*IF($D177="Unlabeled-13",MCDM_Settings!$E$7,MCDM_Settings!$C$7),0)+IF(ISNUMBER(AI177),AI177*IF($D177="Unlabeled-13",MCDM_Settings!$E$8,MCDM_Settings!$C$8),0)+IF(ISNUMBER(AL177),AL177*IF($D177="Unlabeled-13",MCDM_Settings!$E$9,MCDM_Settings!$C$9),0)+IF(ISNUMBER(AO177),AO177*IF($D177="Unlabeled-13",MCDM_Settings!$E$10,MCDM_Settings!$C$10),0)+IF(ISNUMBER(AR177),AR177*IF($D177="Unlabeled-13",MCDM_Settings!$E$11,MCDM_Settings!$C$11),0)))</f>
        <v>36.111111111111107</v>
      </c>
      <c r="F177" s="12">
        <f>IF(OR(AY177&lt;&gt;"Valid",AZ177&lt;&gt;"16 keys present"),"Review settings",20*(IF(ISNUMBER(AD177),AD177*IF($D177="Unlabeled-13",MCDM_Settings!$E$6,MCDM_Settings!$C$6),0)+IF(ISNUMBER(AG177),AG177*IF($D177="Unlabeled-13",MCDM_Settings!$E$7,MCDM_Settings!$C$7),0)+IF(ISNUMBER(AJ177),AJ177*IF($D177="Unlabeled-13",MCDM_Settings!$E$8,MCDM_Settings!$C$8),0)+IF(ISNUMBER(AM177),AM177*IF($D177="Unlabeled-13",MCDM_Settings!$E$9,MCDM_Settings!$C$9),0)+IF(ISNUMBER(AP177),AP177*IF($D177="Unlabeled-13",MCDM_Settings!$E$10,MCDM_Settings!$C$10),0)+IF(ISNUMBER(AS177),AS177*IF($D177="Unlabeled-13",MCDM_Settings!$E$11,MCDM_Settings!$C$11),0)))</f>
        <v>99.999999999999986</v>
      </c>
      <c r="G177" s="13">
        <f>IF(OR(AY177&lt;&gt;"Valid",AZ177&lt;&gt;"16 keys present"),"Review settings",1*(IF(ISNUMBER(AE177),AE177*IF($D177="Unlabeled-13",MCDM_Settings!$E$6,MCDM_Settings!$C$6),0)+IF(ISNUMBER(AH177),AH177*IF($D177="Unlabeled-13",MCDM_Settings!$E$7,MCDM_Settings!$C$7),0)+IF(ISNUMBER(AK177),AK177*IF($D177="Unlabeled-13",MCDM_Settings!$E$8,MCDM_Settings!$C$8),0)+IF(ISNUMBER(AN177),AN177*IF($D177="Unlabeled-13",MCDM_Settings!$E$9,MCDM_Settings!$C$9),0)+IF(ISNUMBER(AQ177),AQ177*IF($D177="Unlabeled-13",MCDM_Settings!$E$10,MCDM_Settings!$C$10),0)+IF(ISNUMBER(AT177),AT177*IF($D177="Unlabeled-13",MCDM_Settings!$E$11,MCDM_Settings!$C$11),0)))</f>
        <v>0.3611111111111111</v>
      </c>
      <c r="H177" s="5" t="str">
        <f>INDEX(Manual_Review!$AH$6:$AH$238,MATCH(A177,Manual_Review!$A$6:$A$238,0))</f>
        <v>Not started</v>
      </c>
      <c r="I177" s="5" t="s">
        <v>128</v>
      </c>
      <c r="J177" s="5" t="s">
        <v>1601</v>
      </c>
      <c r="K177" s="5" t="str">
        <f>HYPERLINK("https://www.kaggle.com/datasets/danishghaffar786/roads-and-bridges-cracks-yolov8-format","Dataset")</f>
        <v>Dataset</v>
      </c>
      <c r="L177" s="5" t="str">
        <f>HYPERLINK("#'Manual_Review'!A"&amp;(MATCH("DS-172",Manual_Review!$A$6:$A$238,0)+5),"Enter review")</f>
        <v>Enter review</v>
      </c>
      <c r="M177" s="5" t="str">
        <f>INDEX(MCDM_Checks!$K$6:$K$3733,MATCH(A177&amp;"|"&amp;M$5,MCDM_Checks!$A$6:$A$3733,0))</f>
        <v>Y</v>
      </c>
      <c r="N177" s="5" t="str">
        <f>INDEX(MCDM_Checks!$K$6:$K$3733,MATCH(A177&amp;"|"&amp;N$5,MCDM_Checks!$A$6:$A$3733,0))</f>
        <v>Y</v>
      </c>
      <c r="O177" s="5" t="str">
        <f>INDEX(MCDM_Checks!$K$6:$K$3733,MATCH(A177&amp;"|"&amp;O$5,MCDM_Checks!$A$6:$A$3733,0))</f>
        <v>Y</v>
      </c>
      <c r="P177" s="5" t="str">
        <f>INDEX(MCDM_Checks!$K$6:$K$3733,MATCH(A177&amp;"|"&amp;P$5,MCDM_Checks!$A$6:$A$3733,0))</f>
        <v>Y</v>
      </c>
      <c r="Q177" s="5" t="str">
        <f>INDEX(MCDM_Checks!$K$6:$K$3733,MATCH(A177&amp;"|"&amp;Q$5,MCDM_Checks!$A$6:$A$3733,0))</f>
        <v>U</v>
      </c>
      <c r="R177" s="5" t="str">
        <f>INDEX(MCDM_Checks!$K$6:$K$3733,MATCH(A177&amp;"|"&amp;R$5,MCDM_Checks!$A$6:$A$3733,0))</f>
        <v>U</v>
      </c>
      <c r="S177" s="5" t="str">
        <f>INDEX(MCDM_Checks!$K$6:$K$3733,MATCH(A177&amp;"|"&amp;S$5,MCDM_Checks!$A$6:$A$3733,0))</f>
        <v>U</v>
      </c>
      <c r="T177" s="5" t="str">
        <f>INDEX(MCDM_Checks!$K$6:$K$3733,MATCH(A177&amp;"|"&amp;T$5,MCDM_Checks!$A$6:$A$3733,0))</f>
        <v>U</v>
      </c>
      <c r="U177" s="5" t="str">
        <f>INDEX(MCDM_Checks!$K$6:$K$3733,MATCH(A177&amp;"|"&amp;U$5,MCDM_Checks!$A$6:$A$3733,0))</f>
        <v>Y</v>
      </c>
      <c r="V177" s="5" t="str">
        <f>INDEX(MCDM_Checks!$K$6:$K$3733,MATCH(A177&amp;"|"&amp;V$5,MCDM_Checks!$A$6:$A$3733,0))</f>
        <v>U</v>
      </c>
      <c r="W177" s="5" t="str">
        <f>INDEX(MCDM_Checks!$K$6:$K$3733,MATCH(A177&amp;"|"&amp;W$5,MCDM_Checks!$A$6:$A$3733,0))</f>
        <v>U</v>
      </c>
      <c r="X177" s="5" t="str">
        <f>INDEX(MCDM_Checks!$K$6:$K$3733,MATCH(A177&amp;"|"&amp;X$5,MCDM_Checks!$A$6:$A$3733,0))</f>
        <v>U</v>
      </c>
      <c r="Y177" s="5" t="str">
        <f>INDEX(MCDM_Checks!$K$6:$K$3733,MATCH(A177&amp;"|"&amp;Y$5,MCDM_Checks!$A$6:$A$3733,0))</f>
        <v>Y</v>
      </c>
      <c r="Z177" s="5" t="str">
        <f>INDEX(MCDM_Checks!$K$6:$K$3733,MATCH(A177&amp;"|"&amp;Z$5,MCDM_Checks!$A$6:$A$3733,0))</f>
        <v>U</v>
      </c>
      <c r="AA177" s="5" t="str">
        <f>INDEX(MCDM_Checks!$K$6:$K$3733,MATCH(A177&amp;"|"&amp;AA$5,MCDM_Checks!$A$6:$A$3733,0))</f>
        <v>U</v>
      </c>
      <c r="AB177" s="5" t="str">
        <f>INDEX(MCDM_Checks!$K$6:$K$3733,MATCH(A177&amp;"|"&amp;AB$5,MCDM_Checks!$A$6:$A$3733,0))</f>
        <v>U</v>
      </c>
      <c r="AC177" s="12">
        <f>IF(IF($D177="Unlabeled-13",MCDM_Settings!$F$6,MCDM_Settings!$D$6)=0,"n.a.",5*COUNTIF(M177:O177,"Y")/IF($D177="Unlabeled-13",MCDM_Settings!$F$6,MCDM_Settings!$D$6))</f>
        <v>5</v>
      </c>
      <c r="AD177" s="12">
        <f>IF(IF($D177="Unlabeled-13",MCDM_Settings!$F$6,MCDM_Settings!$D$6)=0,"n.a.",5*(COUNTIF(M177:O177,"Y")+COUNTIF(M177:O177,"U")+COUNTIF(M177:O177,"X"))/IF($D177="Unlabeled-13",MCDM_Settings!$F$6,MCDM_Settings!$D$6))</f>
        <v>5</v>
      </c>
      <c r="AE177" s="13">
        <f>IF(IF($D177="Unlabeled-13",MCDM_Settings!$F$6,MCDM_Settings!$D$6)=0,"n.a.",(COUNTIF(M177:O177,"Y")+COUNTIF(M177:O177,"N"))/IF($D177="Unlabeled-13",MCDM_Settings!$F$6,MCDM_Settings!$D$6))</f>
        <v>1</v>
      </c>
      <c r="AF177" s="12">
        <f>IF(IF($D177="Unlabeled-13",MCDM_Settings!$F$7,MCDM_Settings!$D$7)=0,"n.a.",5*COUNTIF(P177:R177,"Y")/IF($D177="Unlabeled-13",MCDM_Settings!$F$7,MCDM_Settings!$D$7))</f>
        <v>1.6666666666666667</v>
      </c>
      <c r="AG177" s="12">
        <f>IF(IF($D177="Unlabeled-13",MCDM_Settings!$F$7,MCDM_Settings!$D$7)=0,"n.a.",5*(COUNTIF(P177:R177,"Y")+COUNTIF(P177:R177,"U")+COUNTIF(P177:R177,"X"))/IF($D177="Unlabeled-13",MCDM_Settings!$F$7,MCDM_Settings!$D$7))</f>
        <v>5</v>
      </c>
      <c r="AH177" s="13">
        <f>IF(IF($D177="Unlabeled-13",MCDM_Settings!$F$7,MCDM_Settings!$D$7)=0,"n.a.",(COUNTIF(P177:R177,"Y")+COUNTIF(P177:R177,"N"))/IF($D177="Unlabeled-13",MCDM_Settings!$F$7,MCDM_Settings!$D$7))</f>
        <v>0.33333333333333331</v>
      </c>
      <c r="AI177" s="12">
        <f>IF(IF($D177="Unlabeled-13",MCDM_Settings!$F$8,MCDM_Settings!$D$8)=0,"n.a.",5*COUNTIF(S177:U177,"Y")/IF($D177="Unlabeled-13",MCDM_Settings!$F$8,MCDM_Settings!$D$8))</f>
        <v>1.6666666666666667</v>
      </c>
      <c r="AJ177" s="12">
        <f>IF(IF($D177="Unlabeled-13",MCDM_Settings!$F$8,MCDM_Settings!$D$8)=0,"n.a.",5*(COUNTIF(S177:U177,"Y")+COUNTIF(S177:U177,"U")+COUNTIF(S177:U177,"X"))/IF($D177="Unlabeled-13",MCDM_Settings!$F$8,MCDM_Settings!$D$8))</f>
        <v>5</v>
      </c>
      <c r="AK177" s="13">
        <f>IF(IF($D177="Unlabeled-13",MCDM_Settings!$F$8,MCDM_Settings!$D$8)=0,"n.a.",(COUNTIF(S177:U177,"Y")+COUNTIF(S177:U177,"N"))/IF($D177="Unlabeled-13",MCDM_Settings!$F$8,MCDM_Settings!$D$8))</f>
        <v>0.33333333333333331</v>
      </c>
      <c r="AL177" s="12">
        <f>IF(IF($D177="Unlabeled-13",MCDM_Settings!$F$9,MCDM_Settings!$D$9)=0,"n.a.",5*COUNTIF(V177:W177,"Y")/IF($D177="Unlabeled-13",MCDM_Settings!$F$9,MCDM_Settings!$D$9))</f>
        <v>0</v>
      </c>
      <c r="AM177" s="12">
        <f>IF(IF($D177="Unlabeled-13",MCDM_Settings!$F$9,MCDM_Settings!$D$9)=0,"n.a.",5*(COUNTIF(V177:W177,"Y")+COUNTIF(V177:W177,"U")+COUNTIF(V177:W177,"X"))/IF($D177="Unlabeled-13",MCDM_Settings!$F$9,MCDM_Settings!$D$9))</f>
        <v>5</v>
      </c>
      <c r="AN177" s="13">
        <f>IF(IF($D177="Unlabeled-13",MCDM_Settings!$F$9,MCDM_Settings!$D$9)=0,"n.a.",(COUNTIF(V177:W177,"Y")+COUNTIF(V177:W177,"N"))/IF($D177="Unlabeled-13",MCDM_Settings!$F$9,MCDM_Settings!$D$9))</f>
        <v>0</v>
      </c>
      <c r="AO177" s="12">
        <f>IF(IF($D177="Unlabeled-13",MCDM_Settings!$F$10,MCDM_Settings!$D$10)=0,"n.a.",5*COUNTIF(X177:Y177,"Y")/IF($D177="Unlabeled-13",MCDM_Settings!$F$10,MCDM_Settings!$D$10))</f>
        <v>2.5</v>
      </c>
      <c r="AP177" s="12">
        <f>IF(IF($D177="Unlabeled-13",MCDM_Settings!$F$10,MCDM_Settings!$D$10)=0,"n.a.",5*(COUNTIF(X177:Y177,"Y")+COUNTIF(X177:Y177,"U")+COUNTIF(X177:Y177,"X"))/IF($D177="Unlabeled-13",MCDM_Settings!$F$10,MCDM_Settings!$D$10))</f>
        <v>5</v>
      </c>
      <c r="AQ177" s="13">
        <f>IF(IF($D177="Unlabeled-13",MCDM_Settings!$F$10,MCDM_Settings!$D$10)=0,"n.a.",(COUNTIF(X177:Y177,"Y")+COUNTIF(X177:Y177,"N"))/IF($D177="Unlabeled-13",MCDM_Settings!$F$10,MCDM_Settings!$D$10))</f>
        <v>0.5</v>
      </c>
      <c r="AR177" s="12">
        <f>IF(IF($D177="Unlabeled-13",MCDM_Settings!$F$11,MCDM_Settings!$D$11)=0,"n.a.",5*COUNTIF(Z177:AB177,"Y")/IF($D177="Unlabeled-13",MCDM_Settings!$F$11,MCDM_Settings!$D$11))</f>
        <v>0</v>
      </c>
      <c r="AS177" s="12">
        <f>IF(IF($D177="Unlabeled-13",MCDM_Settings!$F$11,MCDM_Settings!$D$11)=0,"n.a.",5*(COUNTIF(Z177:AB177,"Y")+COUNTIF(Z177:AB177,"U")+COUNTIF(Z177:AB177,"X"))/IF($D177="Unlabeled-13",MCDM_Settings!$F$11,MCDM_Settings!$D$11))</f>
        <v>5</v>
      </c>
      <c r="AT177" s="13">
        <f>IF(IF($D177="Unlabeled-13",MCDM_Settings!$F$11,MCDM_Settings!$D$11)=0,"n.a.",(COUNTIF(Z177:AB177,"Y")+COUNTIF(Z177:AB177,"N"))/IF($D177="Unlabeled-13",MCDM_Settings!$F$11,MCDM_Settings!$D$11))</f>
        <v>0</v>
      </c>
      <c r="AU177" s="5" t="str">
        <f>IF(AND(INDEX(Manual_Review!$G$6:$G$238,MATCH(A177,Manual_Review!$A$6:$A$238,0))&lt;&gt;"",ISNUMBER(INDEX(Manual_Review!$H$6:$H$238,MATCH(A177,Manual_Review!$A$6:$A$238,0))),INDEX(Manual_Review!$H$6:$H$238,MATCH(A177,Manual_Review!$A$6:$A$238,0))&gt;0,INDEX(Manual_Review!$I$6:$I$238,MATCH(A177,Manual_Review!$A$6:$A$238,0))="Confirmed",INDEX(Manual_Review!$AF$6:$AF$238,MATCH(A177,Manual_Review!$A$6:$A$238,0))&lt;&gt;""),IF(INDEX(Manual_Review!$AA$6:$AA$238,MATCH(A177,Manual_Review!$A$6:$A$238,0))="Pass","Pass",IF(INDEX(Manual_Review!$AA$6:$AA$238,MATCH(A177,Manual_Review!$A$6:$A$238,0))="Fail","Fail","Pending")),"Pending human identity confirmation")</f>
        <v>Pending human identity confirmation</v>
      </c>
      <c r="AV177" s="5" t="str">
        <f>IF(AND(AND(INDEX(Manual_Review!$G$6:$G$238,MATCH(A177,Manual_Review!$A$6:$A$238,0))&lt;&gt;"",ISNUMBER(INDEX(Manual_Review!$H$6:$H$238,MATCH(A177,Manual_Review!$A$6:$A$238,0))),INDEX(Manual_Review!$H$6:$H$238,MATCH(A177,Manual_Review!$A$6:$A$238,0))&gt;0,INDEX(Manual_Review!$I$6:$I$238,MATCH(A177,Manual_Review!$A$6:$A$238,0))="Confirmed",INDEX(Manual_Review!$AF$6:$AF$238,MATCH(A177,Manual_Review!$A$6:$A$238,0))&lt;&gt;""),INDEX(Manual_Review!$AG$6:$AG$238,MATCH(A177,Manual_Review!$A$6:$A$238,0))&lt;&gt;""),IF(INDEX(Manual_Review!$AB$6:$AB$238,MATCH(A177,Manual_Review!$A$6:$A$238,0))="Pass","Pass",IF(INDEX(Manual_Review!$AB$6:$AB$238,MATCH(A177,Manual_Review!$A$6:$A$238,0))="Fail","Fail","Pending")),"Not assessed: define intended task")</f>
        <v>Not assessed: define intended task</v>
      </c>
      <c r="AW177" s="5" t="str">
        <f>IF(AND(AND(INDEX(Manual_Review!$G$6:$G$238,MATCH(A177,Manual_Review!$A$6:$A$238,0))&lt;&gt;"",ISNUMBER(INDEX(Manual_Review!$H$6:$H$238,MATCH(A177,Manual_Review!$A$6:$A$238,0))),INDEX(Manual_Review!$H$6:$H$238,MATCH(A177,Manual_Review!$A$6:$A$238,0))&gt;0,INDEX(Manual_Review!$I$6:$I$238,MATCH(A177,Manual_Review!$A$6:$A$238,0))="Confirmed",INDEX(Manual_Review!$AF$6:$AF$238,MATCH(A177,Manual_Review!$A$6:$A$238,0))&lt;&gt;""),INDEX(Manual_Review!$AG$6:$AG$238,MATCH(A177,Manual_Review!$A$6:$A$238,0))&lt;&gt;""),IF(OR(INDEX(Manual_Review!$AC$6:$AC$238,MATCH(A177,Manual_Review!$A$6:$A$238,0))="Fail",INDEX(Manual_Review!$AD$6:$AD$238,MATCH(A177,Manual_Review!$A$6:$A$238,0))="Fail"),"Fail: rights or retrieval",IF(AND(INDEX(Manual_Review!$AC$6:$AC$238,MATCH(A177,Manual_Review!$A$6:$A$238,0))="Pass",INDEX(Manual_Review!$AD$6:$AD$238,MATCH(A177,Manual_Review!$A$6:$A$238,0))="Pass"),"Pass","Pending rights and retrieval")),"Pending rights and retrieval")</f>
        <v>Pending rights and retrieval</v>
      </c>
      <c r="AX177" s="5" t="str">
        <f>IF(INDEX(Manual_Review!$AG$6:$AG$238,MATCH(A177,Manual_Review!$A$6:$A$238,0))="","N/A: documentation inventory",IF(AND(INDEX(Manual_Review!$G$6:$G$238,MATCH(A177,Manual_Review!$A$6:$A$238,0))&lt;&gt;"",ISNUMBER(INDEX(Manual_Review!$H$6:$H$238,MATCH(A177,Manual_Review!$A$6:$A$238,0))),INDEX(Manual_Review!$H$6:$H$238,MATCH(A177,Manual_Review!$A$6:$A$238,0))&gt;0,INDEX(Manual_Review!$I$6:$I$238,MATCH(A177,Manual_Review!$A$6:$A$238,0))="Confirmed",INDEX(Manual_Review!$AF$6:$AF$238,MATCH(A177,Manual_Review!$A$6:$A$238,0))&lt;&gt;""),IF(INDEX(Manual_Review!$AE$6:$AE$238,MATCH(A177,Manual_Review!$A$6:$A$238,0))="Pass","Pass",IF(INDEX(Manual_Review!$AE$6:$AE$238,MATCH(A177,Manual_Review!$A$6:$A$238,0))="Fail","Fail: benchmark leakage",IF(INDEX(Manual_Review!$AE$6:$AE$238,MATCH(A177,Manual_Review!$A$6:$A$238,0))="N/A","N/A: nonbenchmark task","Pending task-specific leakage check"))),"Pending task-specific leakage check"))</f>
        <v>N/A: documentation inventory</v>
      </c>
      <c r="AY177" s="5" t="str">
        <f>IF(IF(D177="Unlabeled-13",AND(ABS(MCDM_Settings!$D$14-1)&lt;0.0000001,MIN(MCDM_Settings!$E$6:$E$11)&gt;=0,MCDM_Settings!$E$7=0),AND(ABS(MCDM_Settings!$B$14-1)&lt;0.0000001,MIN(MCDM_Settings!$C$6:$C$11)&gt;=0)),"Valid","Check weights")</f>
        <v>Valid</v>
      </c>
      <c r="AZ177" s="5" t="str">
        <f>IF(AND(COUNTIF(MCDM_Checks!$B$6:$B$3733,A177)=16,COUNTIF(Manual_Review!$A$6:$A$238,A177)=1),"16 keys present","Check key count")</f>
        <v>16 keys present</v>
      </c>
    </row>
    <row r="178" spans="1:52" ht="25.5">
      <c r="A178" s="5" t="s">
        <v>1922</v>
      </c>
      <c r="B178" s="5" t="s">
        <v>1923</v>
      </c>
      <c r="C178" s="5"/>
      <c r="D178" s="5" t="s">
        <v>118</v>
      </c>
      <c r="E178" s="12">
        <f>IF(OR(AY178&lt;&gt;"Valid",AZ178&lt;&gt;"16 keys present"),"Review settings",20*(IF(ISNUMBER(AC178),AC178*IF($D178="Unlabeled-13",MCDM_Settings!$E$6,MCDM_Settings!$C$6),0)+IF(ISNUMBER(AF178),AF178*IF($D178="Unlabeled-13",MCDM_Settings!$E$7,MCDM_Settings!$C$7),0)+IF(ISNUMBER(AI178),AI178*IF($D178="Unlabeled-13",MCDM_Settings!$E$8,MCDM_Settings!$C$8),0)+IF(ISNUMBER(AL178),AL178*IF($D178="Unlabeled-13",MCDM_Settings!$E$9,MCDM_Settings!$C$9),0)+IF(ISNUMBER(AO178),AO178*IF($D178="Unlabeled-13",MCDM_Settings!$E$10,MCDM_Settings!$C$10),0)+IF(ISNUMBER(AR178),AR178*IF($D178="Unlabeled-13",MCDM_Settings!$E$11,MCDM_Settings!$C$11),0)))</f>
        <v>61.111111111111107</v>
      </c>
      <c r="F178" s="12">
        <f>IF(OR(AY178&lt;&gt;"Valid",AZ178&lt;&gt;"16 keys present"),"Review settings",20*(IF(ISNUMBER(AD178),AD178*IF($D178="Unlabeled-13",MCDM_Settings!$E$6,MCDM_Settings!$C$6),0)+IF(ISNUMBER(AG178),AG178*IF($D178="Unlabeled-13",MCDM_Settings!$E$7,MCDM_Settings!$C$7),0)+IF(ISNUMBER(AJ178),AJ178*IF($D178="Unlabeled-13",MCDM_Settings!$E$8,MCDM_Settings!$C$8),0)+IF(ISNUMBER(AM178),AM178*IF($D178="Unlabeled-13",MCDM_Settings!$E$9,MCDM_Settings!$C$9),0)+IF(ISNUMBER(AP178),AP178*IF($D178="Unlabeled-13",MCDM_Settings!$E$10,MCDM_Settings!$C$10),0)+IF(ISNUMBER(AS178),AS178*IF($D178="Unlabeled-13",MCDM_Settings!$E$11,MCDM_Settings!$C$11),0)))</f>
        <v>99.999999999999986</v>
      </c>
      <c r="G178" s="13">
        <f>IF(OR(AY178&lt;&gt;"Valid",AZ178&lt;&gt;"16 keys present"),"Review settings",1*(IF(ISNUMBER(AE178),AE178*IF($D178="Unlabeled-13",MCDM_Settings!$E$6,MCDM_Settings!$C$6),0)+IF(ISNUMBER(AH178),AH178*IF($D178="Unlabeled-13",MCDM_Settings!$E$7,MCDM_Settings!$C$7),0)+IF(ISNUMBER(AK178),AK178*IF($D178="Unlabeled-13",MCDM_Settings!$E$8,MCDM_Settings!$C$8),0)+IF(ISNUMBER(AN178),AN178*IF($D178="Unlabeled-13",MCDM_Settings!$E$9,MCDM_Settings!$C$9),0)+IF(ISNUMBER(AQ178),AQ178*IF($D178="Unlabeled-13",MCDM_Settings!$E$10,MCDM_Settings!$C$10),0)+IF(ISNUMBER(AT178),AT178*IF($D178="Unlabeled-13",MCDM_Settings!$E$11,MCDM_Settings!$C$11),0)))</f>
        <v>0.61111111111111116</v>
      </c>
      <c r="H178" s="5" t="str">
        <f>INDEX(Manual_Review!$AH$6:$AH$238,MATCH(A178,Manual_Review!$A$6:$A$238,0))</f>
        <v>Not started</v>
      </c>
      <c r="I178" s="5" t="s">
        <v>128</v>
      </c>
      <c r="J178" s="5" t="s">
        <v>1601</v>
      </c>
      <c r="K178" s="5" t="str">
        <f>HYPERLINK("https://www.kaggle.com/datasets/mohamedaminebelasri7/roadscan-dataset","Dataset")</f>
        <v>Dataset</v>
      </c>
      <c r="L178" s="5" t="str">
        <f>HYPERLINK("#'Manual_Review'!A"&amp;(MATCH("DS-173",Manual_Review!$A$6:$A$238,0)+5),"Enter review")</f>
        <v>Enter review</v>
      </c>
      <c r="M178" s="5" t="str">
        <f>INDEX(MCDM_Checks!$K$6:$K$3733,MATCH(A178&amp;"|"&amp;M$5,MCDM_Checks!$A$6:$A$3733,0))</f>
        <v>Y</v>
      </c>
      <c r="N178" s="5" t="str">
        <f>INDEX(MCDM_Checks!$K$6:$K$3733,MATCH(A178&amp;"|"&amp;N$5,MCDM_Checks!$A$6:$A$3733,0))</f>
        <v>Y</v>
      </c>
      <c r="O178" s="5" t="str">
        <f>INDEX(MCDM_Checks!$K$6:$K$3733,MATCH(A178&amp;"|"&amp;O$5,MCDM_Checks!$A$6:$A$3733,0))</f>
        <v>Y</v>
      </c>
      <c r="P178" s="5" t="str">
        <f>INDEX(MCDM_Checks!$K$6:$K$3733,MATCH(A178&amp;"|"&amp;P$5,MCDM_Checks!$A$6:$A$3733,0))</f>
        <v>Y</v>
      </c>
      <c r="Q178" s="5" t="str">
        <f>INDEX(MCDM_Checks!$K$6:$K$3733,MATCH(A178&amp;"|"&amp;Q$5,MCDM_Checks!$A$6:$A$3733,0))</f>
        <v>Y</v>
      </c>
      <c r="R178" s="5" t="str">
        <f>INDEX(MCDM_Checks!$K$6:$K$3733,MATCH(A178&amp;"|"&amp;R$5,MCDM_Checks!$A$6:$A$3733,0))</f>
        <v>U</v>
      </c>
      <c r="S178" s="5" t="str">
        <f>INDEX(MCDM_Checks!$K$6:$K$3733,MATCH(A178&amp;"|"&amp;S$5,MCDM_Checks!$A$6:$A$3733,0))</f>
        <v>U</v>
      </c>
      <c r="T178" s="5" t="str">
        <f>INDEX(MCDM_Checks!$K$6:$K$3733,MATCH(A178&amp;"|"&amp;T$5,MCDM_Checks!$A$6:$A$3733,0))</f>
        <v>Y</v>
      </c>
      <c r="U178" s="5" t="str">
        <f>INDEX(MCDM_Checks!$K$6:$K$3733,MATCH(A178&amp;"|"&amp;U$5,MCDM_Checks!$A$6:$A$3733,0))</f>
        <v>U</v>
      </c>
      <c r="V178" s="5" t="str">
        <f>INDEX(MCDM_Checks!$K$6:$K$3733,MATCH(A178&amp;"|"&amp;V$5,MCDM_Checks!$A$6:$A$3733,0))</f>
        <v>U</v>
      </c>
      <c r="W178" s="5" t="str">
        <f>INDEX(MCDM_Checks!$K$6:$K$3733,MATCH(A178&amp;"|"&amp;W$5,MCDM_Checks!$A$6:$A$3733,0))</f>
        <v>U</v>
      </c>
      <c r="X178" s="5" t="str">
        <f>INDEX(MCDM_Checks!$K$6:$K$3733,MATCH(A178&amp;"|"&amp;X$5,MCDM_Checks!$A$6:$A$3733,0))</f>
        <v>Y</v>
      </c>
      <c r="Y178" s="5" t="str">
        <f>INDEX(MCDM_Checks!$K$6:$K$3733,MATCH(A178&amp;"|"&amp;Y$5,MCDM_Checks!$A$6:$A$3733,0))</f>
        <v>Y</v>
      </c>
      <c r="Z178" s="5" t="str">
        <f>INDEX(MCDM_Checks!$K$6:$K$3733,MATCH(A178&amp;"|"&amp;Z$5,MCDM_Checks!$A$6:$A$3733,0))</f>
        <v>Y</v>
      </c>
      <c r="AA178" s="5" t="str">
        <f>INDEX(MCDM_Checks!$K$6:$K$3733,MATCH(A178&amp;"|"&amp;AA$5,MCDM_Checks!$A$6:$A$3733,0))</f>
        <v>U</v>
      </c>
      <c r="AB178" s="5" t="str">
        <f>INDEX(MCDM_Checks!$K$6:$K$3733,MATCH(A178&amp;"|"&amp;AB$5,MCDM_Checks!$A$6:$A$3733,0))</f>
        <v>Y</v>
      </c>
      <c r="AC178" s="12">
        <f>IF(IF($D178="Unlabeled-13",MCDM_Settings!$F$6,MCDM_Settings!$D$6)=0,"n.a.",5*COUNTIF(M178:O178,"Y")/IF($D178="Unlabeled-13",MCDM_Settings!$F$6,MCDM_Settings!$D$6))</f>
        <v>5</v>
      </c>
      <c r="AD178" s="12">
        <f>IF(IF($D178="Unlabeled-13",MCDM_Settings!$F$6,MCDM_Settings!$D$6)=0,"n.a.",5*(COUNTIF(M178:O178,"Y")+COUNTIF(M178:O178,"U")+COUNTIF(M178:O178,"X"))/IF($D178="Unlabeled-13",MCDM_Settings!$F$6,MCDM_Settings!$D$6))</f>
        <v>5</v>
      </c>
      <c r="AE178" s="13">
        <f>IF(IF($D178="Unlabeled-13",MCDM_Settings!$F$6,MCDM_Settings!$D$6)=0,"n.a.",(COUNTIF(M178:O178,"Y")+COUNTIF(M178:O178,"N"))/IF($D178="Unlabeled-13",MCDM_Settings!$F$6,MCDM_Settings!$D$6))</f>
        <v>1</v>
      </c>
      <c r="AF178" s="12">
        <f>IF(IF($D178="Unlabeled-13",MCDM_Settings!$F$7,MCDM_Settings!$D$7)=0,"n.a.",5*COUNTIF(P178:R178,"Y")/IF($D178="Unlabeled-13",MCDM_Settings!$F$7,MCDM_Settings!$D$7))</f>
        <v>3.3333333333333335</v>
      </c>
      <c r="AG178" s="12">
        <f>IF(IF($D178="Unlabeled-13",MCDM_Settings!$F$7,MCDM_Settings!$D$7)=0,"n.a.",5*(COUNTIF(P178:R178,"Y")+COUNTIF(P178:R178,"U")+COUNTIF(P178:R178,"X"))/IF($D178="Unlabeled-13",MCDM_Settings!$F$7,MCDM_Settings!$D$7))</f>
        <v>5</v>
      </c>
      <c r="AH178" s="13">
        <f>IF(IF($D178="Unlabeled-13",MCDM_Settings!$F$7,MCDM_Settings!$D$7)=0,"n.a.",(COUNTIF(P178:R178,"Y")+COUNTIF(P178:R178,"N"))/IF($D178="Unlabeled-13",MCDM_Settings!$F$7,MCDM_Settings!$D$7))</f>
        <v>0.66666666666666663</v>
      </c>
      <c r="AI178" s="12">
        <f>IF(IF($D178="Unlabeled-13",MCDM_Settings!$F$8,MCDM_Settings!$D$8)=0,"n.a.",5*COUNTIF(S178:U178,"Y")/IF($D178="Unlabeled-13",MCDM_Settings!$F$8,MCDM_Settings!$D$8))</f>
        <v>1.6666666666666667</v>
      </c>
      <c r="AJ178" s="12">
        <f>IF(IF($D178="Unlabeled-13",MCDM_Settings!$F$8,MCDM_Settings!$D$8)=0,"n.a.",5*(COUNTIF(S178:U178,"Y")+COUNTIF(S178:U178,"U")+COUNTIF(S178:U178,"X"))/IF($D178="Unlabeled-13",MCDM_Settings!$F$8,MCDM_Settings!$D$8))</f>
        <v>5</v>
      </c>
      <c r="AK178" s="13">
        <f>IF(IF($D178="Unlabeled-13",MCDM_Settings!$F$8,MCDM_Settings!$D$8)=0,"n.a.",(COUNTIF(S178:U178,"Y")+COUNTIF(S178:U178,"N"))/IF($D178="Unlabeled-13",MCDM_Settings!$F$8,MCDM_Settings!$D$8))</f>
        <v>0.33333333333333331</v>
      </c>
      <c r="AL178" s="12">
        <f>IF(IF($D178="Unlabeled-13",MCDM_Settings!$F$9,MCDM_Settings!$D$9)=0,"n.a.",5*COUNTIF(V178:W178,"Y")/IF($D178="Unlabeled-13",MCDM_Settings!$F$9,MCDM_Settings!$D$9))</f>
        <v>0</v>
      </c>
      <c r="AM178" s="12">
        <f>IF(IF($D178="Unlabeled-13",MCDM_Settings!$F$9,MCDM_Settings!$D$9)=0,"n.a.",5*(COUNTIF(V178:W178,"Y")+COUNTIF(V178:W178,"U")+COUNTIF(V178:W178,"X"))/IF($D178="Unlabeled-13",MCDM_Settings!$F$9,MCDM_Settings!$D$9))</f>
        <v>5</v>
      </c>
      <c r="AN178" s="13">
        <f>IF(IF($D178="Unlabeled-13",MCDM_Settings!$F$9,MCDM_Settings!$D$9)=0,"n.a.",(COUNTIF(V178:W178,"Y")+COUNTIF(V178:W178,"N"))/IF($D178="Unlabeled-13",MCDM_Settings!$F$9,MCDM_Settings!$D$9))</f>
        <v>0</v>
      </c>
      <c r="AO178" s="12">
        <f>IF(IF($D178="Unlabeled-13",MCDM_Settings!$F$10,MCDM_Settings!$D$10)=0,"n.a.",5*COUNTIF(X178:Y178,"Y")/IF($D178="Unlabeled-13",MCDM_Settings!$F$10,MCDM_Settings!$D$10))</f>
        <v>5</v>
      </c>
      <c r="AP178" s="12">
        <f>IF(IF($D178="Unlabeled-13",MCDM_Settings!$F$10,MCDM_Settings!$D$10)=0,"n.a.",5*(COUNTIF(X178:Y178,"Y")+COUNTIF(X178:Y178,"U")+COUNTIF(X178:Y178,"X"))/IF($D178="Unlabeled-13",MCDM_Settings!$F$10,MCDM_Settings!$D$10))</f>
        <v>5</v>
      </c>
      <c r="AQ178" s="13">
        <f>IF(IF($D178="Unlabeled-13",MCDM_Settings!$F$10,MCDM_Settings!$D$10)=0,"n.a.",(COUNTIF(X178:Y178,"Y")+COUNTIF(X178:Y178,"N"))/IF($D178="Unlabeled-13",MCDM_Settings!$F$10,MCDM_Settings!$D$10))</f>
        <v>1</v>
      </c>
      <c r="AR178" s="12">
        <f>IF(IF($D178="Unlabeled-13",MCDM_Settings!$F$11,MCDM_Settings!$D$11)=0,"n.a.",5*COUNTIF(Z178:AB178,"Y")/IF($D178="Unlabeled-13",MCDM_Settings!$F$11,MCDM_Settings!$D$11))</f>
        <v>3.3333333333333335</v>
      </c>
      <c r="AS178" s="12">
        <f>IF(IF($D178="Unlabeled-13",MCDM_Settings!$F$11,MCDM_Settings!$D$11)=0,"n.a.",5*(COUNTIF(Z178:AB178,"Y")+COUNTIF(Z178:AB178,"U")+COUNTIF(Z178:AB178,"X"))/IF($D178="Unlabeled-13",MCDM_Settings!$F$11,MCDM_Settings!$D$11))</f>
        <v>5</v>
      </c>
      <c r="AT178" s="13">
        <f>IF(IF($D178="Unlabeled-13",MCDM_Settings!$F$11,MCDM_Settings!$D$11)=0,"n.a.",(COUNTIF(Z178:AB178,"Y")+COUNTIF(Z178:AB178,"N"))/IF($D178="Unlabeled-13",MCDM_Settings!$F$11,MCDM_Settings!$D$11))</f>
        <v>0.66666666666666663</v>
      </c>
      <c r="AU178" s="5" t="str">
        <f>IF(AND(INDEX(Manual_Review!$G$6:$G$238,MATCH(A178,Manual_Review!$A$6:$A$238,0))&lt;&gt;"",ISNUMBER(INDEX(Manual_Review!$H$6:$H$238,MATCH(A178,Manual_Review!$A$6:$A$238,0))),INDEX(Manual_Review!$H$6:$H$238,MATCH(A178,Manual_Review!$A$6:$A$238,0))&gt;0,INDEX(Manual_Review!$I$6:$I$238,MATCH(A178,Manual_Review!$A$6:$A$238,0))="Confirmed",INDEX(Manual_Review!$AF$6:$AF$238,MATCH(A178,Manual_Review!$A$6:$A$238,0))&lt;&gt;""),IF(INDEX(Manual_Review!$AA$6:$AA$238,MATCH(A178,Manual_Review!$A$6:$A$238,0))="Pass","Pass",IF(INDEX(Manual_Review!$AA$6:$AA$238,MATCH(A178,Manual_Review!$A$6:$A$238,0))="Fail","Fail","Pending")),"Pending human identity confirmation")</f>
        <v>Pending human identity confirmation</v>
      </c>
      <c r="AV178" s="5" t="str">
        <f>IF(AND(AND(INDEX(Manual_Review!$G$6:$G$238,MATCH(A178,Manual_Review!$A$6:$A$238,0))&lt;&gt;"",ISNUMBER(INDEX(Manual_Review!$H$6:$H$238,MATCH(A178,Manual_Review!$A$6:$A$238,0))),INDEX(Manual_Review!$H$6:$H$238,MATCH(A178,Manual_Review!$A$6:$A$238,0))&gt;0,INDEX(Manual_Review!$I$6:$I$238,MATCH(A178,Manual_Review!$A$6:$A$238,0))="Confirmed",INDEX(Manual_Review!$AF$6:$AF$238,MATCH(A178,Manual_Review!$A$6:$A$238,0))&lt;&gt;""),INDEX(Manual_Review!$AG$6:$AG$238,MATCH(A178,Manual_Review!$A$6:$A$238,0))&lt;&gt;""),IF(INDEX(Manual_Review!$AB$6:$AB$238,MATCH(A178,Manual_Review!$A$6:$A$238,0))="Pass","Pass",IF(INDEX(Manual_Review!$AB$6:$AB$238,MATCH(A178,Manual_Review!$A$6:$A$238,0))="Fail","Fail","Pending")),"Not assessed: define intended task")</f>
        <v>Not assessed: define intended task</v>
      </c>
      <c r="AW178" s="5" t="str">
        <f>IF(AND(AND(INDEX(Manual_Review!$G$6:$G$238,MATCH(A178,Manual_Review!$A$6:$A$238,0))&lt;&gt;"",ISNUMBER(INDEX(Manual_Review!$H$6:$H$238,MATCH(A178,Manual_Review!$A$6:$A$238,0))),INDEX(Manual_Review!$H$6:$H$238,MATCH(A178,Manual_Review!$A$6:$A$238,0))&gt;0,INDEX(Manual_Review!$I$6:$I$238,MATCH(A178,Manual_Review!$A$6:$A$238,0))="Confirmed",INDEX(Manual_Review!$AF$6:$AF$238,MATCH(A178,Manual_Review!$A$6:$A$238,0))&lt;&gt;""),INDEX(Manual_Review!$AG$6:$AG$238,MATCH(A178,Manual_Review!$A$6:$A$238,0))&lt;&gt;""),IF(OR(INDEX(Manual_Review!$AC$6:$AC$238,MATCH(A178,Manual_Review!$A$6:$A$238,0))="Fail",INDEX(Manual_Review!$AD$6:$AD$238,MATCH(A178,Manual_Review!$A$6:$A$238,0))="Fail"),"Fail: rights or retrieval",IF(AND(INDEX(Manual_Review!$AC$6:$AC$238,MATCH(A178,Manual_Review!$A$6:$A$238,0))="Pass",INDEX(Manual_Review!$AD$6:$AD$238,MATCH(A178,Manual_Review!$A$6:$A$238,0))="Pass"),"Pass","Pending rights and retrieval")),"Pending rights and retrieval")</f>
        <v>Pending rights and retrieval</v>
      </c>
      <c r="AX178" s="5" t="str">
        <f>IF(INDEX(Manual_Review!$AG$6:$AG$238,MATCH(A178,Manual_Review!$A$6:$A$238,0))="","N/A: documentation inventory",IF(AND(INDEX(Manual_Review!$G$6:$G$238,MATCH(A178,Manual_Review!$A$6:$A$238,0))&lt;&gt;"",ISNUMBER(INDEX(Manual_Review!$H$6:$H$238,MATCH(A178,Manual_Review!$A$6:$A$238,0))),INDEX(Manual_Review!$H$6:$H$238,MATCH(A178,Manual_Review!$A$6:$A$238,0))&gt;0,INDEX(Manual_Review!$I$6:$I$238,MATCH(A178,Manual_Review!$A$6:$A$238,0))="Confirmed",INDEX(Manual_Review!$AF$6:$AF$238,MATCH(A178,Manual_Review!$A$6:$A$238,0))&lt;&gt;""),IF(INDEX(Manual_Review!$AE$6:$AE$238,MATCH(A178,Manual_Review!$A$6:$A$238,0))="Pass","Pass",IF(INDEX(Manual_Review!$AE$6:$AE$238,MATCH(A178,Manual_Review!$A$6:$A$238,0))="Fail","Fail: benchmark leakage",IF(INDEX(Manual_Review!$AE$6:$AE$238,MATCH(A178,Manual_Review!$A$6:$A$238,0))="N/A","N/A: nonbenchmark task","Pending task-specific leakage check"))),"Pending task-specific leakage check"))</f>
        <v>N/A: documentation inventory</v>
      </c>
      <c r="AY178" s="5" t="str">
        <f>IF(IF(D178="Unlabeled-13",AND(ABS(MCDM_Settings!$D$14-1)&lt;0.0000001,MIN(MCDM_Settings!$E$6:$E$11)&gt;=0,MCDM_Settings!$E$7=0),AND(ABS(MCDM_Settings!$B$14-1)&lt;0.0000001,MIN(MCDM_Settings!$C$6:$C$11)&gt;=0)),"Valid","Check weights")</f>
        <v>Valid</v>
      </c>
      <c r="AZ178" s="5" t="str">
        <f>IF(AND(COUNTIF(MCDM_Checks!$B$6:$B$3733,A178)=16,COUNTIF(Manual_Review!$A$6:$A$238,A178)=1),"16 keys present","Check key count")</f>
        <v>16 keys present</v>
      </c>
    </row>
    <row r="179" spans="1:52">
      <c r="A179" s="5" t="s">
        <v>1930</v>
      </c>
      <c r="B179" s="5" t="s">
        <v>1931</v>
      </c>
      <c r="C179" s="5"/>
      <c r="D179" s="5" t="s">
        <v>118</v>
      </c>
      <c r="E179" s="12">
        <f>IF(OR(AY179&lt;&gt;"Valid",AZ179&lt;&gt;"16 keys present"),"Review settings",20*(IF(ISNUMBER(AC179),AC179*IF($D179="Unlabeled-13",MCDM_Settings!$E$6,MCDM_Settings!$C$6),0)+IF(ISNUMBER(AF179),AF179*IF($D179="Unlabeled-13",MCDM_Settings!$E$7,MCDM_Settings!$C$7),0)+IF(ISNUMBER(AI179),AI179*IF($D179="Unlabeled-13",MCDM_Settings!$E$8,MCDM_Settings!$C$8),0)+IF(ISNUMBER(AL179),AL179*IF($D179="Unlabeled-13",MCDM_Settings!$E$9,MCDM_Settings!$C$9),0)+IF(ISNUMBER(AO179),AO179*IF($D179="Unlabeled-13",MCDM_Settings!$E$10,MCDM_Settings!$C$10),0)+IF(ISNUMBER(AR179),AR179*IF($D179="Unlabeled-13",MCDM_Settings!$E$11,MCDM_Settings!$C$11),0)))</f>
        <v>88.888888888888872</v>
      </c>
      <c r="F179" s="12">
        <f>IF(OR(AY179&lt;&gt;"Valid",AZ179&lt;&gt;"16 keys present"),"Review settings",20*(IF(ISNUMBER(AD179),AD179*IF($D179="Unlabeled-13",MCDM_Settings!$E$6,MCDM_Settings!$C$6),0)+IF(ISNUMBER(AG179),AG179*IF($D179="Unlabeled-13",MCDM_Settings!$E$7,MCDM_Settings!$C$7),0)+IF(ISNUMBER(AJ179),AJ179*IF($D179="Unlabeled-13",MCDM_Settings!$E$8,MCDM_Settings!$C$8),0)+IF(ISNUMBER(AM179),AM179*IF($D179="Unlabeled-13",MCDM_Settings!$E$9,MCDM_Settings!$C$9),0)+IF(ISNUMBER(AP179),AP179*IF($D179="Unlabeled-13",MCDM_Settings!$E$10,MCDM_Settings!$C$10),0)+IF(ISNUMBER(AS179),AS179*IF($D179="Unlabeled-13",MCDM_Settings!$E$11,MCDM_Settings!$C$11),0)))</f>
        <v>99.999999999999986</v>
      </c>
      <c r="G179" s="13">
        <f>IF(OR(AY179&lt;&gt;"Valid",AZ179&lt;&gt;"16 keys present"),"Review settings",1*(IF(ISNUMBER(AE179),AE179*IF($D179="Unlabeled-13",MCDM_Settings!$E$6,MCDM_Settings!$C$6),0)+IF(ISNUMBER(AH179),AH179*IF($D179="Unlabeled-13",MCDM_Settings!$E$7,MCDM_Settings!$C$7),0)+IF(ISNUMBER(AK179),AK179*IF($D179="Unlabeled-13",MCDM_Settings!$E$8,MCDM_Settings!$C$8),0)+IF(ISNUMBER(AN179),AN179*IF($D179="Unlabeled-13",MCDM_Settings!$E$9,MCDM_Settings!$C$9),0)+IF(ISNUMBER(AQ179),AQ179*IF($D179="Unlabeled-13",MCDM_Settings!$E$10,MCDM_Settings!$C$10),0)+IF(ISNUMBER(AT179),AT179*IF($D179="Unlabeled-13",MCDM_Settings!$E$11,MCDM_Settings!$C$11),0)))</f>
        <v>0.88888888888888884</v>
      </c>
      <c r="H179" s="5" t="str">
        <f>INDEX(Manual_Review!$AH$6:$AH$238,MATCH(A179,Manual_Review!$A$6:$A$238,0))</f>
        <v>Not started</v>
      </c>
      <c r="I179" s="5" t="s">
        <v>128</v>
      </c>
      <c r="J179" s="5" t="s">
        <v>1601</v>
      </c>
      <c r="K179" s="5" t="str">
        <f>HYPERLINK("https://www.kaggle.com/datasets/guijiezhu/stu-camcrack792","Dataset")</f>
        <v>Dataset</v>
      </c>
      <c r="L179" s="5" t="str">
        <f>HYPERLINK("#'Manual_Review'!A"&amp;(MATCH("DS-174",Manual_Review!$A$6:$A$238,0)+5),"Enter review")</f>
        <v>Enter review</v>
      </c>
      <c r="M179" s="5" t="str">
        <f>INDEX(MCDM_Checks!$K$6:$K$3733,MATCH(A179&amp;"|"&amp;M$5,MCDM_Checks!$A$6:$A$3733,0))</f>
        <v>Y</v>
      </c>
      <c r="N179" s="5" t="str">
        <f>INDEX(MCDM_Checks!$K$6:$K$3733,MATCH(A179&amp;"|"&amp;N$5,MCDM_Checks!$A$6:$A$3733,0))</f>
        <v>Y</v>
      </c>
      <c r="O179" s="5" t="str">
        <f>INDEX(MCDM_Checks!$K$6:$K$3733,MATCH(A179&amp;"|"&amp;O$5,MCDM_Checks!$A$6:$A$3733,0))</f>
        <v>Y</v>
      </c>
      <c r="P179" s="5" t="str">
        <f>INDEX(MCDM_Checks!$K$6:$K$3733,MATCH(A179&amp;"|"&amp;P$5,MCDM_Checks!$A$6:$A$3733,0))</f>
        <v>Y</v>
      </c>
      <c r="Q179" s="5" t="str">
        <f>INDEX(MCDM_Checks!$K$6:$K$3733,MATCH(A179&amp;"|"&amp;Q$5,MCDM_Checks!$A$6:$A$3733,0))</f>
        <v>Y</v>
      </c>
      <c r="R179" s="5" t="str">
        <f>INDEX(MCDM_Checks!$K$6:$K$3733,MATCH(A179&amp;"|"&amp;R$5,MCDM_Checks!$A$6:$A$3733,0))</f>
        <v>U</v>
      </c>
      <c r="S179" s="5" t="str">
        <f>INDEX(MCDM_Checks!$K$6:$K$3733,MATCH(A179&amp;"|"&amp;S$5,MCDM_Checks!$A$6:$A$3733,0))</f>
        <v>Y</v>
      </c>
      <c r="T179" s="5" t="str">
        <f>INDEX(MCDM_Checks!$K$6:$K$3733,MATCH(A179&amp;"|"&amp;T$5,MCDM_Checks!$A$6:$A$3733,0))</f>
        <v>Y</v>
      </c>
      <c r="U179" s="5" t="str">
        <f>INDEX(MCDM_Checks!$K$6:$K$3733,MATCH(A179&amp;"|"&amp;U$5,MCDM_Checks!$A$6:$A$3733,0))</f>
        <v>U</v>
      </c>
      <c r="V179" s="5" t="str">
        <f>INDEX(MCDM_Checks!$K$6:$K$3733,MATCH(A179&amp;"|"&amp;V$5,MCDM_Checks!$A$6:$A$3733,0))</f>
        <v>Y</v>
      </c>
      <c r="W179" s="5" t="str">
        <f>INDEX(MCDM_Checks!$K$6:$K$3733,MATCH(A179&amp;"|"&amp;W$5,MCDM_Checks!$A$6:$A$3733,0))</f>
        <v>Y</v>
      </c>
      <c r="X179" s="5" t="str">
        <f>INDEX(MCDM_Checks!$K$6:$K$3733,MATCH(A179&amp;"|"&amp;X$5,MCDM_Checks!$A$6:$A$3733,0))</f>
        <v>Y</v>
      </c>
      <c r="Y179" s="5" t="str">
        <f>INDEX(MCDM_Checks!$K$6:$K$3733,MATCH(A179&amp;"|"&amp;Y$5,MCDM_Checks!$A$6:$A$3733,0))</f>
        <v>Y</v>
      </c>
      <c r="Z179" s="5" t="str">
        <f>INDEX(MCDM_Checks!$K$6:$K$3733,MATCH(A179&amp;"|"&amp;Z$5,MCDM_Checks!$A$6:$A$3733,0))</f>
        <v>Y</v>
      </c>
      <c r="AA179" s="5" t="str">
        <f>INDEX(MCDM_Checks!$K$6:$K$3733,MATCH(A179&amp;"|"&amp;AA$5,MCDM_Checks!$A$6:$A$3733,0))</f>
        <v>Y</v>
      </c>
      <c r="AB179" s="5" t="str">
        <f>INDEX(MCDM_Checks!$K$6:$K$3733,MATCH(A179&amp;"|"&amp;AB$5,MCDM_Checks!$A$6:$A$3733,0))</f>
        <v>Y</v>
      </c>
      <c r="AC179" s="12">
        <f>IF(IF($D179="Unlabeled-13",MCDM_Settings!$F$6,MCDM_Settings!$D$6)=0,"n.a.",5*COUNTIF(M179:O179,"Y")/IF($D179="Unlabeled-13",MCDM_Settings!$F$6,MCDM_Settings!$D$6))</f>
        <v>5</v>
      </c>
      <c r="AD179" s="12">
        <f>IF(IF($D179="Unlabeled-13",MCDM_Settings!$F$6,MCDM_Settings!$D$6)=0,"n.a.",5*(COUNTIF(M179:O179,"Y")+COUNTIF(M179:O179,"U")+COUNTIF(M179:O179,"X"))/IF($D179="Unlabeled-13",MCDM_Settings!$F$6,MCDM_Settings!$D$6))</f>
        <v>5</v>
      </c>
      <c r="AE179" s="13">
        <f>IF(IF($D179="Unlabeled-13",MCDM_Settings!$F$6,MCDM_Settings!$D$6)=0,"n.a.",(COUNTIF(M179:O179,"Y")+COUNTIF(M179:O179,"N"))/IF($D179="Unlabeled-13",MCDM_Settings!$F$6,MCDM_Settings!$D$6))</f>
        <v>1</v>
      </c>
      <c r="AF179" s="12">
        <f>IF(IF($D179="Unlabeled-13",MCDM_Settings!$F$7,MCDM_Settings!$D$7)=0,"n.a.",5*COUNTIF(P179:R179,"Y")/IF($D179="Unlabeled-13",MCDM_Settings!$F$7,MCDM_Settings!$D$7))</f>
        <v>3.3333333333333335</v>
      </c>
      <c r="AG179" s="12">
        <f>IF(IF($D179="Unlabeled-13",MCDM_Settings!$F$7,MCDM_Settings!$D$7)=0,"n.a.",5*(COUNTIF(P179:R179,"Y")+COUNTIF(P179:R179,"U")+COUNTIF(P179:R179,"X"))/IF($D179="Unlabeled-13",MCDM_Settings!$F$7,MCDM_Settings!$D$7))</f>
        <v>5</v>
      </c>
      <c r="AH179" s="13">
        <f>IF(IF($D179="Unlabeled-13",MCDM_Settings!$F$7,MCDM_Settings!$D$7)=0,"n.a.",(COUNTIF(P179:R179,"Y")+COUNTIF(P179:R179,"N"))/IF($D179="Unlabeled-13",MCDM_Settings!$F$7,MCDM_Settings!$D$7))</f>
        <v>0.66666666666666663</v>
      </c>
      <c r="AI179" s="12">
        <f>IF(IF($D179="Unlabeled-13",MCDM_Settings!$F$8,MCDM_Settings!$D$8)=0,"n.a.",5*COUNTIF(S179:U179,"Y")/IF($D179="Unlabeled-13",MCDM_Settings!$F$8,MCDM_Settings!$D$8))</f>
        <v>3.3333333333333335</v>
      </c>
      <c r="AJ179" s="12">
        <f>IF(IF($D179="Unlabeled-13",MCDM_Settings!$F$8,MCDM_Settings!$D$8)=0,"n.a.",5*(COUNTIF(S179:U179,"Y")+COUNTIF(S179:U179,"U")+COUNTIF(S179:U179,"X"))/IF($D179="Unlabeled-13",MCDM_Settings!$F$8,MCDM_Settings!$D$8))</f>
        <v>5</v>
      </c>
      <c r="AK179" s="13">
        <f>IF(IF($D179="Unlabeled-13",MCDM_Settings!$F$8,MCDM_Settings!$D$8)=0,"n.a.",(COUNTIF(S179:U179,"Y")+COUNTIF(S179:U179,"N"))/IF($D179="Unlabeled-13",MCDM_Settings!$F$8,MCDM_Settings!$D$8))</f>
        <v>0.66666666666666663</v>
      </c>
      <c r="AL179" s="12">
        <f>IF(IF($D179="Unlabeled-13",MCDM_Settings!$F$9,MCDM_Settings!$D$9)=0,"n.a.",5*COUNTIF(V179:W179,"Y")/IF($D179="Unlabeled-13",MCDM_Settings!$F$9,MCDM_Settings!$D$9))</f>
        <v>5</v>
      </c>
      <c r="AM179" s="12">
        <f>IF(IF($D179="Unlabeled-13",MCDM_Settings!$F$9,MCDM_Settings!$D$9)=0,"n.a.",5*(COUNTIF(V179:W179,"Y")+COUNTIF(V179:W179,"U")+COUNTIF(V179:W179,"X"))/IF($D179="Unlabeled-13",MCDM_Settings!$F$9,MCDM_Settings!$D$9))</f>
        <v>5</v>
      </c>
      <c r="AN179" s="13">
        <f>IF(IF($D179="Unlabeled-13",MCDM_Settings!$F$9,MCDM_Settings!$D$9)=0,"n.a.",(COUNTIF(V179:W179,"Y")+COUNTIF(V179:W179,"N"))/IF($D179="Unlabeled-13",MCDM_Settings!$F$9,MCDM_Settings!$D$9))</f>
        <v>1</v>
      </c>
      <c r="AO179" s="12">
        <f>IF(IF($D179="Unlabeled-13",MCDM_Settings!$F$10,MCDM_Settings!$D$10)=0,"n.a.",5*COUNTIF(X179:Y179,"Y")/IF($D179="Unlabeled-13",MCDM_Settings!$F$10,MCDM_Settings!$D$10))</f>
        <v>5</v>
      </c>
      <c r="AP179" s="12">
        <f>IF(IF($D179="Unlabeled-13",MCDM_Settings!$F$10,MCDM_Settings!$D$10)=0,"n.a.",5*(COUNTIF(X179:Y179,"Y")+COUNTIF(X179:Y179,"U")+COUNTIF(X179:Y179,"X"))/IF($D179="Unlabeled-13",MCDM_Settings!$F$10,MCDM_Settings!$D$10))</f>
        <v>5</v>
      </c>
      <c r="AQ179" s="13">
        <f>IF(IF($D179="Unlabeled-13",MCDM_Settings!$F$10,MCDM_Settings!$D$10)=0,"n.a.",(COUNTIF(X179:Y179,"Y")+COUNTIF(X179:Y179,"N"))/IF($D179="Unlabeled-13",MCDM_Settings!$F$10,MCDM_Settings!$D$10))</f>
        <v>1</v>
      </c>
      <c r="AR179" s="12">
        <f>IF(IF($D179="Unlabeled-13",MCDM_Settings!$F$11,MCDM_Settings!$D$11)=0,"n.a.",5*COUNTIF(Z179:AB179,"Y")/IF($D179="Unlabeled-13",MCDM_Settings!$F$11,MCDM_Settings!$D$11))</f>
        <v>5</v>
      </c>
      <c r="AS179" s="12">
        <f>IF(IF($D179="Unlabeled-13",MCDM_Settings!$F$11,MCDM_Settings!$D$11)=0,"n.a.",5*(COUNTIF(Z179:AB179,"Y")+COUNTIF(Z179:AB179,"U")+COUNTIF(Z179:AB179,"X"))/IF($D179="Unlabeled-13",MCDM_Settings!$F$11,MCDM_Settings!$D$11))</f>
        <v>5</v>
      </c>
      <c r="AT179" s="13">
        <f>IF(IF($D179="Unlabeled-13",MCDM_Settings!$F$11,MCDM_Settings!$D$11)=0,"n.a.",(COUNTIF(Z179:AB179,"Y")+COUNTIF(Z179:AB179,"N"))/IF($D179="Unlabeled-13",MCDM_Settings!$F$11,MCDM_Settings!$D$11))</f>
        <v>1</v>
      </c>
      <c r="AU179" s="5" t="str">
        <f>IF(AND(INDEX(Manual_Review!$G$6:$G$238,MATCH(A179,Manual_Review!$A$6:$A$238,0))&lt;&gt;"",ISNUMBER(INDEX(Manual_Review!$H$6:$H$238,MATCH(A179,Manual_Review!$A$6:$A$238,0))),INDEX(Manual_Review!$H$6:$H$238,MATCH(A179,Manual_Review!$A$6:$A$238,0))&gt;0,INDEX(Manual_Review!$I$6:$I$238,MATCH(A179,Manual_Review!$A$6:$A$238,0))="Confirmed",INDEX(Manual_Review!$AF$6:$AF$238,MATCH(A179,Manual_Review!$A$6:$A$238,0))&lt;&gt;""),IF(INDEX(Manual_Review!$AA$6:$AA$238,MATCH(A179,Manual_Review!$A$6:$A$238,0))="Pass","Pass",IF(INDEX(Manual_Review!$AA$6:$AA$238,MATCH(A179,Manual_Review!$A$6:$A$238,0))="Fail","Fail","Pending")),"Pending human identity confirmation")</f>
        <v>Pending human identity confirmation</v>
      </c>
      <c r="AV179" s="5" t="str">
        <f>IF(AND(AND(INDEX(Manual_Review!$G$6:$G$238,MATCH(A179,Manual_Review!$A$6:$A$238,0))&lt;&gt;"",ISNUMBER(INDEX(Manual_Review!$H$6:$H$238,MATCH(A179,Manual_Review!$A$6:$A$238,0))),INDEX(Manual_Review!$H$6:$H$238,MATCH(A179,Manual_Review!$A$6:$A$238,0))&gt;0,INDEX(Manual_Review!$I$6:$I$238,MATCH(A179,Manual_Review!$A$6:$A$238,0))="Confirmed",INDEX(Manual_Review!$AF$6:$AF$238,MATCH(A179,Manual_Review!$A$6:$A$238,0))&lt;&gt;""),INDEX(Manual_Review!$AG$6:$AG$238,MATCH(A179,Manual_Review!$A$6:$A$238,0))&lt;&gt;""),IF(INDEX(Manual_Review!$AB$6:$AB$238,MATCH(A179,Manual_Review!$A$6:$A$238,0))="Pass","Pass",IF(INDEX(Manual_Review!$AB$6:$AB$238,MATCH(A179,Manual_Review!$A$6:$A$238,0))="Fail","Fail","Pending")),"Not assessed: define intended task")</f>
        <v>Not assessed: define intended task</v>
      </c>
      <c r="AW179" s="5" t="str">
        <f>IF(AND(AND(INDEX(Manual_Review!$G$6:$G$238,MATCH(A179,Manual_Review!$A$6:$A$238,0))&lt;&gt;"",ISNUMBER(INDEX(Manual_Review!$H$6:$H$238,MATCH(A179,Manual_Review!$A$6:$A$238,0))),INDEX(Manual_Review!$H$6:$H$238,MATCH(A179,Manual_Review!$A$6:$A$238,0))&gt;0,INDEX(Manual_Review!$I$6:$I$238,MATCH(A179,Manual_Review!$A$6:$A$238,0))="Confirmed",INDEX(Manual_Review!$AF$6:$AF$238,MATCH(A179,Manual_Review!$A$6:$A$238,0))&lt;&gt;""),INDEX(Manual_Review!$AG$6:$AG$238,MATCH(A179,Manual_Review!$A$6:$A$238,0))&lt;&gt;""),IF(OR(INDEX(Manual_Review!$AC$6:$AC$238,MATCH(A179,Manual_Review!$A$6:$A$238,0))="Fail",INDEX(Manual_Review!$AD$6:$AD$238,MATCH(A179,Manual_Review!$A$6:$A$238,0))="Fail"),"Fail: rights or retrieval",IF(AND(INDEX(Manual_Review!$AC$6:$AC$238,MATCH(A179,Manual_Review!$A$6:$A$238,0))="Pass",INDEX(Manual_Review!$AD$6:$AD$238,MATCH(A179,Manual_Review!$A$6:$A$238,0))="Pass"),"Pass","Pending rights and retrieval")),"Pending rights and retrieval")</f>
        <v>Pending rights and retrieval</v>
      </c>
      <c r="AX179" s="5" t="str">
        <f>IF(INDEX(Manual_Review!$AG$6:$AG$238,MATCH(A179,Manual_Review!$A$6:$A$238,0))="","N/A: documentation inventory",IF(AND(INDEX(Manual_Review!$G$6:$G$238,MATCH(A179,Manual_Review!$A$6:$A$238,0))&lt;&gt;"",ISNUMBER(INDEX(Manual_Review!$H$6:$H$238,MATCH(A179,Manual_Review!$A$6:$A$238,0))),INDEX(Manual_Review!$H$6:$H$238,MATCH(A179,Manual_Review!$A$6:$A$238,0))&gt;0,INDEX(Manual_Review!$I$6:$I$238,MATCH(A179,Manual_Review!$A$6:$A$238,0))="Confirmed",INDEX(Manual_Review!$AF$6:$AF$238,MATCH(A179,Manual_Review!$A$6:$A$238,0))&lt;&gt;""),IF(INDEX(Manual_Review!$AE$6:$AE$238,MATCH(A179,Manual_Review!$A$6:$A$238,0))="Pass","Pass",IF(INDEX(Manual_Review!$AE$6:$AE$238,MATCH(A179,Manual_Review!$A$6:$A$238,0))="Fail","Fail: benchmark leakage",IF(INDEX(Manual_Review!$AE$6:$AE$238,MATCH(A179,Manual_Review!$A$6:$A$238,0))="N/A","N/A: nonbenchmark task","Pending task-specific leakage check"))),"Pending task-specific leakage check"))</f>
        <v>N/A: documentation inventory</v>
      </c>
      <c r="AY179" s="5" t="str">
        <f>IF(IF(D179="Unlabeled-13",AND(ABS(MCDM_Settings!$D$14-1)&lt;0.0000001,MIN(MCDM_Settings!$E$6:$E$11)&gt;=0,MCDM_Settings!$E$7=0),AND(ABS(MCDM_Settings!$B$14-1)&lt;0.0000001,MIN(MCDM_Settings!$C$6:$C$11)&gt;=0)),"Valid","Check weights")</f>
        <v>Valid</v>
      </c>
      <c r="AZ179" s="5" t="str">
        <f>IF(AND(COUNTIF(MCDM_Checks!$B$6:$B$3733,A179)=16,COUNTIF(Manual_Review!$A$6:$A$238,A179)=1),"16 keys present","Check key count")</f>
        <v>16 keys present</v>
      </c>
    </row>
    <row r="180" spans="1:52" ht="25.5">
      <c r="A180" s="5" t="s">
        <v>1941</v>
      </c>
      <c r="B180" s="5" t="s">
        <v>1942</v>
      </c>
      <c r="C180" s="5"/>
      <c r="D180" s="5" t="s">
        <v>118</v>
      </c>
      <c r="E180" s="12">
        <f>IF(OR(AY180&lt;&gt;"Valid",AZ180&lt;&gt;"16 keys present"),"Review settings",20*(IF(ISNUMBER(AC180),AC180*IF($D180="Unlabeled-13",MCDM_Settings!$E$6,MCDM_Settings!$C$6),0)+IF(ISNUMBER(AF180),AF180*IF($D180="Unlabeled-13",MCDM_Settings!$E$7,MCDM_Settings!$C$7),0)+IF(ISNUMBER(AI180),AI180*IF($D180="Unlabeled-13",MCDM_Settings!$E$8,MCDM_Settings!$C$8),0)+IF(ISNUMBER(AL180),AL180*IF($D180="Unlabeled-13",MCDM_Settings!$E$9,MCDM_Settings!$C$9),0)+IF(ISNUMBER(AO180),AO180*IF($D180="Unlabeled-13",MCDM_Settings!$E$10,MCDM_Settings!$C$10),0)+IF(ISNUMBER(AR180),AR180*IF($D180="Unlabeled-13",MCDM_Settings!$E$11,MCDM_Settings!$C$11),0)))</f>
        <v>36.111111111111107</v>
      </c>
      <c r="F180" s="12">
        <f>IF(OR(AY180&lt;&gt;"Valid",AZ180&lt;&gt;"16 keys present"),"Review settings",20*(IF(ISNUMBER(AD180),AD180*IF($D180="Unlabeled-13",MCDM_Settings!$E$6,MCDM_Settings!$C$6),0)+IF(ISNUMBER(AG180),AG180*IF($D180="Unlabeled-13",MCDM_Settings!$E$7,MCDM_Settings!$C$7),0)+IF(ISNUMBER(AJ180),AJ180*IF($D180="Unlabeled-13",MCDM_Settings!$E$8,MCDM_Settings!$C$8),0)+IF(ISNUMBER(AM180),AM180*IF($D180="Unlabeled-13",MCDM_Settings!$E$9,MCDM_Settings!$C$9),0)+IF(ISNUMBER(AP180),AP180*IF($D180="Unlabeled-13",MCDM_Settings!$E$10,MCDM_Settings!$C$10),0)+IF(ISNUMBER(AS180),AS180*IF($D180="Unlabeled-13",MCDM_Settings!$E$11,MCDM_Settings!$C$11),0)))</f>
        <v>99.999999999999986</v>
      </c>
      <c r="G180" s="13">
        <f>IF(OR(AY180&lt;&gt;"Valid",AZ180&lt;&gt;"16 keys present"),"Review settings",1*(IF(ISNUMBER(AE180),AE180*IF($D180="Unlabeled-13",MCDM_Settings!$E$6,MCDM_Settings!$C$6),0)+IF(ISNUMBER(AH180),AH180*IF($D180="Unlabeled-13",MCDM_Settings!$E$7,MCDM_Settings!$C$7),0)+IF(ISNUMBER(AK180),AK180*IF($D180="Unlabeled-13",MCDM_Settings!$E$8,MCDM_Settings!$C$8),0)+IF(ISNUMBER(AN180),AN180*IF($D180="Unlabeled-13",MCDM_Settings!$E$9,MCDM_Settings!$C$9),0)+IF(ISNUMBER(AQ180),AQ180*IF($D180="Unlabeled-13",MCDM_Settings!$E$10,MCDM_Settings!$C$10),0)+IF(ISNUMBER(AT180),AT180*IF($D180="Unlabeled-13",MCDM_Settings!$E$11,MCDM_Settings!$C$11),0)))</f>
        <v>0.36111111111111105</v>
      </c>
      <c r="H180" s="5" t="str">
        <f>INDEX(Manual_Review!$AH$6:$AH$238,MATCH(A180,Manual_Review!$A$6:$A$238,0))</f>
        <v>Not started</v>
      </c>
      <c r="I180" s="5" t="s">
        <v>128</v>
      </c>
      <c r="J180" s="5" t="s">
        <v>1601</v>
      </c>
      <c r="K180" s="5" t="str">
        <f>HYPERLINK("https://www.kaggle.com/datasets/patelravi07/enhanced-uav-pdd","Dataset")</f>
        <v>Dataset</v>
      </c>
      <c r="L180" s="5" t="str">
        <f>HYPERLINK("#'Manual_Review'!A"&amp;(MATCH("DS-175",Manual_Review!$A$6:$A$238,0)+5),"Enter review")</f>
        <v>Enter review</v>
      </c>
      <c r="M180" s="5" t="str">
        <f>INDEX(MCDM_Checks!$K$6:$K$3733,MATCH(A180&amp;"|"&amp;M$5,MCDM_Checks!$A$6:$A$3733,0))</f>
        <v>Y</v>
      </c>
      <c r="N180" s="5" t="str">
        <f>INDEX(MCDM_Checks!$K$6:$K$3733,MATCH(A180&amp;"|"&amp;N$5,MCDM_Checks!$A$6:$A$3733,0))</f>
        <v>Y</v>
      </c>
      <c r="O180" s="5" t="str">
        <f>INDEX(MCDM_Checks!$K$6:$K$3733,MATCH(A180&amp;"|"&amp;O$5,MCDM_Checks!$A$6:$A$3733,0))</f>
        <v>Y</v>
      </c>
      <c r="P180" s="5" t="str">
        <f>INDEX(MCDM_Checks!$K$6:$K$3733,MATCH(A180&amp;"|"&amp;P$5,MCDM_Checks!$A$6:$A$3733,0))</f>
        <v>U</v>
      </c>
      <c r="Q180" s="5" t="str">
        <f>INDEX(MCDM_Checks!$K$6:$K$3733,MATCH(A180&amp;"|"&amp;Q$5,MCDM_Checks!$A$6:$A$3733,0))</f>
        <v>U</v>
      </c>
      <c r="R180" s="5" t="str">
        <f>INDEX(MCDM_Checks!$K$6:$K$3733,MATCH(A180&amp;"|"&amp;R$5,MCDM_Checks!$A$6:$A$3733,0))</f>
        <v>U</v>
      </c>
      <c r="S180" s="5" t="str">
        <f>INDEX(MCDM_Checks!$K$6:$K$3733,MATCH(A180&amp;"|"&amp;S$5,MCDM_Checks!$A$6:$A$3733,0))</f>
        <v>U</v>
      </c>
      <c r="T180" s="5" t="str">
        <f>INDEX(MCDM_Checks!$K$6:$K$3733,MATCH(A180&amp;"|"&amp;T$5,MCDM_Checks!$A$6:$A$3733,0))</f>
        <v>Y</v>
      </c>
      <c r="U180" s="5" t="str">
        <f>INDEX(MCDM_Checks!$K$6:$K$3733,MATCH(A180&amp;"|"&amp;U$5,MCDM_Checks!$A$6:$A$3733,0))</f>
        <v>U</v>
      </c>
      <c r="V180" s="5" t="str">
        <f>INDEX(MCDM_Checks!$K$6:$K$3733,MATCH(A180&amp;"|"&amp;V$5,MCDM_Checks!$A$6:$A$3733,0))</f>
        <v>U</v>
      </c>
      <c r="W180" s="5" t="str">
        <f>INDEX(MCDM_Checks!$K$6:$K$3733,MATCH(A180&amp;"|"&amp;W$5,MCDM_Checks!$A$6:$A$3733,0))</f>
        <v>U</v>
      </c>
      <c r="X180" s="5" t="str">
        <f>INDEX(MCDM_Checks!$K$6:$K$3733,MATCH(A180&amp;"|"&amp;X$5,MCDM_Checks!$A$6:$A$3733,0))</f>
        <v>Y</v>
      </c>
      <c r="Y180" s="5" t="str">
        <f>INDEX(MCDM_Checks!$K$6:$K$3733,MATCH(A180&amp;"|"&amp;Y$5,MCDM_Checks!$A$6:$A$3733,0))</f>
        <v>U</v>
      </c>
      <c r="Z180" s="5" t="str">
        <f>INDEX(MCDM_Checks!$K$6:$K$3733,MATCH(A180&amp;"|"&amp;Z$5,MCDM_Checks!$A$6:$A$3733,0))</f>
        <v>Y</v>
      </c>
      <c r="AA180" s="5" t="str">
        <f>INDEX(MCDM_Checks!$K$6:$K$3733,MATCH(A180&amp;"|"&amp;AA$5,MCDM_Checks!$A$6:$A$3733,0))</f>
        <v>U</v>
      </c>
      <c r="AB180" s="5" t="str">
        <f>INDEX(MCDM_Checks!$K$6:$K$3733,MATCH(A180&amp;"|"&amp;AB$5,MCDM_Checks!$A$6:$A$3733,0))</f>
        <v>U</v>
      </c>
      <c r="AC180" s="12">
        <f>IF(IF($D180="Unlabeled-13",MCDM_Settings!$F$6,MCDM_Settings!$D$6)=0,"n.a.",5*COUNTIF(M180:O180,"Y")/IF($D180="Unlabeled-13",MCDM_Settings!$F$6,MCDM_Settings!$D$6))</f>
        <v>5</v>
      </c>
      <c r="AD180" s="12">
        <f>IF(IF($D180="Unlabeled-13",MCDM_Settings!$F$6,MCDM_Settings!$D$6)=0,"n.a.",5*(COUNTIF(M180:O180,"Y")+COUNTIF(M180:O180,"U")+COUNTIF(M180:O180,"X"))/IF($D180="Unlabeled-13",MCDM_Settings!$F$6,MCDM_Settings!$D$6))</f>
        <v>5</v>
      </c>
      <c r="AE180" s="13">
        <f>IF(IF($D180="Unlabeled-13",MCDM_Settings!$F$6,MCDM_Settings!$D$6)=0,"n.a.",(COUNTIF(M180:O180,"Y")+COUNTIF(M180:O180,"N"))/IF($D180="Unlabeled-13",MCDM_Settings!$F$6,MCDM_Settings!$D$6))</f>
        <v>1</v>
      </c>
      <c r="AF180" s="12">
        <f>IF(IF($D180="Unlabeled-13",MCDM_Settings!$F$7,MCDM_Settings!$D$7)=0,"n.a.",5*COUNTIF(P180:R180,"Y")/IF($D180="Unlabeled-13",MCDM_Settings!$F$7,MCDM_Settings!$D$7))</f>
        <v>0</v>
      </c>
      <c r="AG180" s="12">
        <f>IF(IF($D180="Unlabeled-13",MCDM_Settings!$F$7,MCDM_Settings!$D$7)=0,"n.a.",5*(COUNTIF(P180:R180,"Y")+COUNTIF(P180:R180,"U")+COUNTIF(P180:R180,"X"))/IF($D180="Unlabeled-13",MCDM_Settings!$F$7,MCDM_Settings!$D$7))</f>
        <v>5</v>
      </c>
      <c r="AH180" s="13">
        <f>IF(IF($D180="Unlabeled-13",MCDM_Settings!$F$7,MCDM_Settings!$D$7)=0,"n.a.",(COUNTIF(P180:R180,"Y")+COUNTIF(P180:R180,"N"))/IF($D180="Unlabeled-13",MCDM_Settings!$F$7,MCDM_Settings!$D$7))</f>
        <v>0</v>
      </c>
      <c r="AI180" s="12">
        <f>IF(IF($D180="Unlabeled-13",MCDM_Settings!$F$8,MCDM_Settings!$D$8)=0,"n.a.",5*COUNTIF(S180:U180,"Y")/IF($D180="Unlabeled-13",MCDM_Settings!$F$8,MCDM_Settings!$D$8))</f>
        <v>1.6666666666666667</v>
      </c>
      <c r="AJ180" s="12">
        <f>IF(IF($D180="Unlabeled-13",MCDM_Settings!$F$8,MCDM_Settings!$D$8)=0,"n.a.",5*(COUNTIF(S180:U180,"Y")+COUNTIF(S180:U180,"U")+COUNTIF(S180:U180,"X"))/IF($D180="Unlabeled-13",MCDM_Settings!$F$8,MCDM_Settings!$D$8))</f>
        <v>5</v>
      </c>
      <c r="AK180" s="13">
        <f>IF(IF($D180="Unlabeled-13",MCDM_Settings!$F$8,MCDM_Settings!$D$8)=0,"n.a.",(COUNTIF(S180:U180,"Y")+COUNTIF(S180:U180,"N"))/IF($D180="Unlabeled-13",MCDM_Settings!$F$8,MCDM_Settings!$D$8))</f>
        <v>0.33333333333333331</v>
      </c>
      <c r="AL180" s="12">
        <f>IF(IF($D180="Unlabeled-13",MCDM_Settings!$F$9,MCDM_Settings!$D$9)=0,"n.a.",5*COUNTIF(V180:W180,"Y")/IF($D180="Unlabeled-13",MCDM_Settings!$F$9,MCDM_Settings!$D$9))</f>
        <v>0</v>
      </c>
      <c r="AM180" s="12">
        <f>IF(IF($D180="Unlabeled-13",MCDM_Settings!$F$9,MCDM_Settings!$D$9)=0,"n.a.",5*(COUNTIF(V180:W180,"Y")+COUNTIF(V180:W180,"U")+COUNTIF(V180:W180,"X"))/IF($D180="Unlabeled-13",MCDM_Settings!$F$9,MCDM_Settings!$D$9))</f>
        <v>5</v>
      </c>
      <c r="AN180" s="13">
        <f>IF(IF($D180="Unlabeled-13",MCDM_Settings!$F$9,MCDM_Settings!$D$9)=0,"n.a.",(COUNTIF(V180:W180,"Y")+COUNTIF(V180:W180,"N"))/IF($D180="Unlabeled-13",MCDM_Settings!$F$9,MCDM_Settings!$D$9))</f>
        <v>0</v>
      </c>
      <c r="AO180" s="12">
        <f>IF(IF($D180="Unlabeled-13",MCDM_Settings!$F$10,MCDM_Settings!$D$10)=0,"n.a.",5*COUNTIF(X180:Y180,"Y")/IF($D180="Unlabeled-13",MCDM_Settings!$F$10,MCDM_Settings!$D$10))</f>
        <v>2.5</v>
      </c>
      <c r="AP180" s="12">
        <f>IF(IF($D180="Unlabeled-13",MCDM_Settings!$F$10,MCDM_Settings!$D$10)=0,"n.a.",5*(COUNTIF(X180:Y180,"Y")+COUNTIF(X180:Y180,"U")+COUNTIF(X180:Y180,"X"))/IF($D180="Unlabeled-13",MCDM_Settings!$F$10,MCDM_Settings!$D$10))</f>
        <v>5</v>
      </c>
      <c r="AQ180" s="13">
        <f>IF(IF($D180="Unlabeled-13",MCDM_Settings!$F$10,MCDM_Settings!$D$10)=0,"n.a.",(COUNTIF(X180:Y180,"Y")+COUNTIF(X180:Y180,"N"))/IF($D180="Unlabeled-13",MCDM_Settings!$F$10,MCDM_Settings!$D$10))</f>
        <v>0.5</v>
      </c>
      <c r="AR180" s="12">
        <f>IF(IF($D180="Unlabeled-13",MCDM_Settings!$F$11,MCDM_Settings!$D$11)=0,"n.a.",5*COUNTIF(Z180:AB180,"Y")/IF($D180="Unlabeled-13",MCDM_Settings!$F$11,MCDM_Settings!$D$11))</f>
        <v>1.6666666666666667</v>
      </c>
      <c r="AS180" s="12">
        <f>IF(IF($D180="Unlabeled-13",MCDM_Settings!$F$11,MCDM_Settings!$D$11)=0,"n.a.",5*(COUNTIF(Z180:AB180,"Y")+COUNTIF(Z180:AB180,"U")+COUNTIF(Z180:AB180,"X"))/IF($D180="Unlabeled-13",MCDM_Settings!$F$11,MCDM_Settings!$D$11))</f>
        <v>5</v>
      </c>
      <c r="AT180" s="13">
        <f>IF(IF($D180="Unlabeled-13",MCDM_Settings!$F$11,MCDM_Settings!$D$11)=0,"n.a.",(COUNTIF(Z180:AB180,"Y")+COUNTIF(Z180:AB180,"N"))/IF($D180="Unlabeled-13",MCDM_Settings!$F$11,MCDM_Settings!$D$11))</f>
        <v>0.33333333333333331</v>
      </c>
      <c r="AU180" s="5" t="str">
        <f>IF(AND(INDEX(Manual_Review!$G$6:$G$238,MATCH(A180,Manual_Review!$A$6:$A$238,0))&lt;&gt;"",ISNUMBER(INDEX(Manual_Review!$H$6:$H$238,MATCH(A180,Manual_Review!$A$6:$A$238,0))),INDEX(Manual_Review!$H$6:$H$238,MATCH(A180,Manual_Review!$A$6:$A$238,0))&gt;0,INDEX(Manual_Review!$I$6:$I$238,MATCH(A180,Manual_Review!$A$6:$A$238,0))="Confirmed",INDEX(Manual_Review!$AF$6:$AF$238,MATCH(A180,Manual_Review!$A$6:$A$238,0))&lt;&gt;""),IF(INDEX(Manual_Review!$AA$6:$AA$238,MATCH(A180,Manual_Review!$A$6:$A$238,0))="Pass","Pass",IF(INDEX(Manual_Review!$AA$6:$AA$238,MATCH(A180,Manual_Review!$A$6:$A$238,0))="Fail","Fail","Pending")),"Pending human identity confirmation")</f>
        <v>Pending human identity confirmation</v>
      </c>
      <c r="AV180" s="5" t="str">
        <f>IF(AND(AND(INDEX(Manual_Review!$G$6:$G$238,MATCH(A180,Manual_Review!$A$6:$A$238,0))&lt;&gt;"",ISNUMBER(INDEX(Manual_Review!$H$6:$H$238,MATCH(A180,Manual_Review!$A$6:$A$238,0))),INDEX(Manual_Review!$H$6:$H$238,MATCH(A180,Manual_Review!$A$6:$A$238,0))&gt;0,INDEX(Manual_Review!$I$6:$I$238,MATCH(A180,Manual_Review!$A$6:$A$238,0))="Confirmed",INDEX(Manual_Review!$AF$6:$AF$238,MATCH(A180,Manual_Review!$A$6:$A$238,0))&lt;&gt;""),INDEX(Manual_Review!$AG$6:$AG$238,MATCH(A180,Manual_Review!$A$6:$A$238,0))&lt;&gt;""),IF(INDEX(Manual_Review!$AB$6:$AB$238,MATCH(A180,Manual_Review!$A$6:$A$238,0))="Pass","Pass",IF(INDEX(Manual_Review!$AB$6:$AB$238,MATCH(A180,Manual_Review!$A$6:$A$238,0))="Fail","Fail","Pending")),"Not assessed: define intended task")</f>
        <v>Not assessed: define intended task</v>
      </c>
      <c r="AW180" s="5" t="str">
        <f>IF(AND(AND(INDEX(Manual_Review!$G$6:$G$238,MATCH(A180,Manual_Review!$A$6:$A$238,0))&lt;&gt;"",ISNUMBER(INDEX(Manual_Review!$H$6:$H$238,MATCH(A180,Manual_Review!$A$6:$A$238,0))),INDEX(Manual_Review!$H$6:$H$238,MATCH(A180,Manual_Review!$A$6:$A$238,0))&gt;0,INDEX(Manual_Review!$I$6:$I$238,MATCH(A180,Manual_Review!$A$6:$A$238,0))="Confirmed",INDEX(Manual_Review!$AF$6:$AF$238,MATCH(A180,Manual_Review!$A$6:$A$238,0))&lt;&gt;""),INDEX(Manual_Review!$AG$6:$AG$238,MATCH(A180,Manual_Review!$A$6:$A$238,0))&lt;&gt;""),IF(OR(INDEX(Manual_Review!$AC$6:$AC$238,MATCH(A180,Manual_Review!$A$6:$A$238,0))="Fail",INDEX(Manual_Review!$AD$6:$AD$238,MATCH(A180,Manual_Review!$A$6:$A$238,0))="Fail"),"Fail: rights or retrieval",IF(AND(INDEX(Manual_Review!$AC$6:$AC$238,MATCH(A180,Manual_Review!$A$6:$A$238,0))="Pass",INDEX(Manual_Review!$AD$6:$AD$238,MATCH(A180,Manual_Review!$A$6:$A$238,0))="Pass"),"Pass","Pending rights and retrieval")),"Pending rights and retrieval")</f>
        <v>Pending rights and retrieval</v>
      </c>
      <c r="AX180" s="5" t="str">
        <f>IF(INDEX(Manual_Review!$AG$6:$AG$238,MATCH(A180,Manual_Review!$A$6:$A$238,0))="","N/A: documentation inventory",IF(AND(INDEX(Manual_Review!$G$6:$G$238,MATCH(A180,Manual_Review!$A$6:$A$238,0))&lt;&gt;"",ISNUMBER(INDEX(Manual_Review!$H$6:$H$238,MATCH(A180,Manual_Review!$A$6:$A$238,0))),INDEX(Manual_Review!$H$6:$H$238,MATCH(A180,Manual_Review!$A$6:$A$238,0))&gt;0,INDEX(Manual_Review!$I$6:$I$238,MATCH(A180,Manual_Review!$A$6:$A$238,0))="Confirmed",INDEX(Manual_Review!$AF$6:$AF$238,MATCH(A180,Manual_Review!$A$6:$A$238,0))&lt;&gt;""),IF(INDEX(Manual_Review!$AE$6:$AE$238,MATCH(A180,Manual_Review!$A$6:$A$238,0))="Pass","Pass",IF(INDEX(Manual_Review!$AE$6:$AE$238,MATCH(A180,Manual_Review!$A$6:$A$238,0))="Fail","Fail: benchmark leakage",IF(INDEX(Manual_Review!$AE$6:$AE$238,MATCH(A180,Manual_Review!$A$6:$A$238,0))="N/A","N/A: nonbenchmark task","Pending task-specific leakage check"))),"Pending task-specific leakage check"))</f>
        <v>N/A: documentation inventory</v>
      </c>
      <c r="AY180" s="5" t="str">
        <f>IF(IF(D180="Unlabeled-13",AND(ABS(MCDM_Settings!$D$14-1)&lt;0.0000001,MIN(MCDM_Settings!$E$6:$E$11)&gt;=0,MCDM_Settings!$E$7=0),AND(ABS(MCDM_Settings!$B$14-1)&lt;0.0000001,MIN(MCDM_Settings!$C$6:$C$11)&gt;=0)),"Valid","Check weights")</f>
        <v>Valid</v>
      </c>
      <c r="AZ180" s="5" t="str">
        <f>IF(AND(COUNTIF(MCDM_Checks!$B$6:$B$3733,A180)=16,COUNTIF(Manual_Review!$A$6:$A$238,A180)=1),"16 keys present","Check key count")</f>
        <v>16 keys present</v>
      </c>
    </row>
    <row r="181" spans="1:52" ht="25.5">
      <c r="A181" s="5" t="s">
        <v>1954</v>
      </c>
      <c r="B181" s="5" t="s">
        <v>1955</v>
      </c>
      <c r="C181" s="5"/>
      <c r="D181" s="5" t="s">
        <v>118</v>
      </c>
      <c r="E181" s="12">
        <f>IF(OR(AY181&lt;&gt;"Valid",AZ181&lt;&gt;"16 keys present"),"Review settings",20*(IF(ISNUMBER(AC181),AC181*IF($D181="Unlabeled-13",MCDM_Settings!$E$6,MCDM_Settings!$C$6),0)+IF(ISNUMBER(AF181),AF181*IF($D181="Unlabeled-13",MCDM_Settings!$E$7,MCDM_Settings!$C$7),0)+IF(ISNUMBER(AI181),AI181*IF($D181="Unlabeled-13",MCDM_Settings!$E$8,MCDM_Settings!$C$8),0)+IF(ISNUMBER(AL181),AL181*IF($D181="Unlabeled-13",MCDM_Settings!$E$9,MCDM_Settings!$C$9),0)+IF(ISNUMBER(AO181),AO181*IF($D181="Unlabeled-13",MCDM_Settings!$E$10,MCDM_Settings!$C$10),0)+IF(ISNUMBER(AR181),AR181*IF($D181="Unlabeled-13",MCDM_Settings!$E$11,MCDM_Settings!$C$11),0)))</f>
        <v>36.111111111111114</v>
      </c>
      <c r="F181" s="12">
        <f>IF(OR(AY181&lt;&gt;"Valid",AZ181&lt;&gt;"16 keys present"),"Review settings",20*(IF(ISNUMBER(AD181),AD181*IF($D181="Unlabeled-13",MCDM_Settings!$E$6,MCDM_Settings!$C$6),0)+IF(ISNUMBER(AG181),AG181*IF($D181="Unlabeled-13",MCDM_Settings!$E$7,MCDM_Settings!$C$7),0)+IF(ISNUMBER(AJ181),AJ181*IF($D181="Unlabeled-13",MCDM_Settings!$E$8,MCDM_Settings!$C$8),0)+IF(ISNUMBER(AM181),AM181*IF($D181="Unlabeled-13",MCDM_Settings!$E$9,MCDM_Settings!$C$9),0)+IF(ISNUMBER(AP181),AP181*IF($D181="Unlabeled-13",MCDM_Settings!$E$10,MCDM_Settings!$C$10),0)+IF(ISNUMBER(AS181),AS181*IF($D181="Unlabeled-13",MCDM_Settings!$E$11,MCDM_Settings!$C$11),0)))</f>
        <v>99.999999999999986</v>
      </c>
      <c r="G181" s="13">
        <f>IF(OR(AY181&lt;&gt;"Valid",AZ181&lt;&gt;"16 keys present"),"Review settings",1*(IF(ISNUMBER(AE181),AE181*IF($D181="Unlabeled-13",MCDM_Settings!$E$6,MCDM_Settings!$C$6),0)+IF(ISNUMBER(AH181),AH181*IF($D181="Unlabeled-13",MCDM_Settings!$E$7,MCDM_Settings!$C$7),0)+IF(ISNUMBER(AK181),AK181*IF($D181="Unlabeled-13",MCDM_Settings!$E$8,MCDM_Settings!$C$8),0)+IF(ISNUMBER(AN181),AN181*IF($D181="Unlabeled-13",MCDM_Settings!$E$9,MCDM_Settings!$C$9),0)+IF(ISNUMBER(AQ181),AQ181*IF($D181="Unlabeled-13",MCDM_Settings!$E$10,MCDM_Settings!$C$10),0)+IF(ISNUMBER(AT181),AT181*IF($D181="Unlabeled-13",MCDM_Settings!$E$11,MCDM_Settings!$C$11),0)))</f>
        <v>0.3611111111111111</v>
      </c>
      <c r="H181" s="5" t="str">
        <f>INDEX(Manual_Review!$AH$6:$AH$238,MATCH(A181,Manual_Review!$A$6:$A$238,0))</f>
        <v>Not started</v>
      </c>
      <c r="I181" s="5" t="s">
        <v>182</v>
      </c>
      <c r="J181" s="5" t="s">
        <v>1956</v>
      </c>
      <c r="K181" s="5" t="str">
        <f>HYPERLINK("https://www.kaggle.com/datasets/adamnovozmsk/ward-weather-aware-road-dataset","Dataset")</f>
        <v>Dataset</v>
      </c>
      <c r="L181" s="5" t="str">
        <f>HYPERLINK("#'Manual_Review'!A"&amp;(MATCH("DS-176",Manual_Review!$A$6:$A$238,0)+5),"Enter review")</f>
        <v>Enter review</v>
      </c>
      <c r="M181" s="5" t="str">
        <f>INDEX(MCDM_Checks!$K$6:$K$3733,MATCH(A181&amp;"|"&amp;M$5,MCDM_Checks!$A$6:$A$3733,0))</f>
        <v>Y</v>
      </c>
      <c r="N181" s="5" t="str">
        <f>INDEX(MCDM_Checks!$K$6:$K$3733,MATCH(A181&amp;"|"&amp;N$5,MCDM_Checks!$A$6:$A$3733,0))</f>
        <v>U</v>
      </c>
      <c r="O181" s="5" t="str">
        <f>INDEX(MCDM_Checks!$K$6:$K$3733,MATCH(A181&amp;"|"&amp;O$5,MCDM_Checks!$A$6:$A$3733,0))</f>
        <v>U</v>
      </c>
      <c r="P181" s="5" t="str">
        <f>INDEX(MCDM_Checks!$K$6:$K$3733,MATCH(A181&amp;"|"&amp;P$5,MCDM_Checks!$A$6:$A$3733,0))</f>
        <v>Y</v>
      </c>
      <c r="Q181" s="5" t="str">
        <f>INDEX(MCDM_Checks!$K$6:$K$3733,MATCH(A181&amp;"|"&amp;Q$5,MCDM_Checks!$A$6:$A$3733,0))</f>
        <v>U</v>
      </c>
      <c r="R181" s="5" t="str">
        <f>INDEX(MCDM_Checks!$K$6:$K$3733,MATCH(A181&amp;"|"&amp;R$5,MCDM_Checks!$A$6:$A$3733,0))</f>
        <v>U</v>
      </c>
      <c r="S181" s="5" t="str">
        <f>INDEX(MCDM_Checks!$K$6:$K$3733,MATCH(A181&amp;"|"&amp;S$5,MCDM_Checks!$A$6:$A$3733,0))</f>
        <v>U</v>
      </c>
      <c r="T181" s="5" t="str">
        <f>INDEX(MCDM_Checks!$K$6:$K$3733,MATCH(A181&amp;"|"&amp;T$5,MCDM_Checks!$A$6:$A$3733,0))</f>
        <v>Y</v>
      </c>
      <c r="U181" s="5" t="str">
        <f>INDEX(MCDM_Checks!$K$6:$K$3733,MATCH(A181&amp;"|"&amp;U$5,MCDM_Checks!$A$6:$A$3733,0))</f>
        <v>U</v>
      </c>
      <c r="V181" s="5" t="str">
        <f>INDEX(MCDM_Checks!$K$6:$K$3733,MATCH(A181&amp;"|"&amp;V$5,MCDM_Checks!$A$6:$A$3733,0))</f>
        <v>U</v>
      </c>
      <c r="W181" s="5" t="str">
        <f>INDEX(MCDM_Checks!$K$6:$K$3733,MATCH(A181&amp;"|"&amp;W$5,MCDM_Checks!$A$6:$A$3733,0))</f>
        <v>U</v>
      </c>
      <c r="X181" s="5" t="str">
        <f>INDEX(MCDM_Checks!$K$6:$K$3733,MATCH(A181&amp;"|"&amp;X$5,MCDM_Checks!$A$6:$A$3733,0))</f>
        <v>Y</v>
      </c>
      <c r="Y181" s="5" t="str">
        <f>INDEX(MCDM_Checks!$K$6:$K$3733,MATCH(A181&amp;"|"&amp;Y$5,MCDM_Checks!$A$6:$A$3733,0))</f>
        <v>U</v>
      </c>
      <c r="Z181" s="5" t="str">
        <f>INDEX(MCDM_Checks!$K$6:$K$3733,MATCH(A181&amp;"|"&amp;Z$5,MCDM_Checks!$A$6:$A$3733,0))</f>
        <v>Y</v>
      </c>
      <c r="AA181" s="5" t="str">
        <f>INDEX(MCDM_Checks!$K$6:$K$3733,MATCH(A181&amp;"|"&amp;AA$5,MCDM_Checks!$A$6:$A$3733,0))</f>
        <v>U</v>
      </c>
      <c r="AB181" s="5" t="str">
        <f>INDEX(MCDM_Checks!$K$6:$K$3733,MATCH(A181&amp;"|"&amp;AB$5,MCDM_Checks!$A$6:$A$3733,0))</f>
        <v>Y</v>
      </c>
      <c r="AC181" s="12">
        <f>IF(IF($D181="Unlabeled-13",MCDM_Settings!$F$6,MCDM_Settings!$D$6)=0,"n.a.",5*COUNTIF(M181:O181,"Y")/IF($D181="Unlabeled-13",MCDM_Settings!$F$6,MCDM_Settings!$D$6))</f>
        <v>1.6666666666666667</v>
      </c>
      <c r="AD181" s="12">
        <f>IF(IF($D181="Unlabeled-13",MCDM_Settings!$F$6,MCDM_Settings!$D$6)=0,"n.a.",5*(COUNTIF(M181:O181,"Y")+COUNTIF(M181:O181,"U")+COUNTIF(M181:O181,"X"))/IF($D181="Unlabeled-13",MCDM_Settings!$F$6,MCDM_Settings!$D$6))</f>
        <v>5</v>
      </c>
      <c r="AE181" s="13">
        <f>IF(IF($D181="Unlabeled-13",MCDM_Settings!$F$6,MCDM_Settings!$D$6)=0,"n.a.",(COUNTIF(M181:O181,"Y")+COUNTIF(M181:O181,"N"))/IF($D181="Unlabeled-13",MCDM_Settings!$F$6,MCDM_Settings!$D$6))</f>
        <v>0.33333333333333331</v>
      </c>
      <c r="AF181" s="12">
        <f>IF(IF($D181="Unlabeled-13",MCDM_Settings!$F$7,MCDM_Settings!$D$7)=0,"n.a.",5*COUNTIF(P181:R181,"Y")/IF($D181="Unlabeled-13",MCDM_Settings!$F$7,MCDM_Settings!$D$7))</f>
        <v>1.6666666666666667</v>
      </c>
      <c r="AG181" s="12">
        <f>IF(IF($D181="Unlabeled-13",MCDM_Settings!$F$7,MCDM_Settings!$D$7)=0,"n.a.",5*(COUNTIF(P181:R181,"Y")+COUNTIF(P181:R181,"U")+COUNTIF(P181:R181,"X"))/IF($D181="Unlabeled-13",MCDM_Settings!$F$7,MCDM_Settings!$D$7))</f>
        <v>5</v>
      </c>
      <c r="AH181" s="13">
        <f>IF(IF($D181="Unlabeled-13",MCDM_Settings!$F$7,MCDM_Settings!$D$7)=0,"n.a.",(COUNTIF(P181:R181,"Y")+COUNTIF(P181:R181,"N"))/IF($D181="Unlabeled-13",MCDM_Settings!$F$7,MCDM_Settings!$D$7))</f>
        <v>0.33333333333333331</v>
      </c>
      <c r="AI181" s="12">
        <f>IF(IF($D181="Unlabeled-13",MCDM_Settings!$F$8,MCDM_Settings!$D$8)=0,"n.a.",5*COUNTIF(S181:U181,"Y")/IF($D181="Unlabeled-13",MCDM_Settings!$F$8,MCDM_Settings!$D$8))</f>
        <v>1.6666666666666667</v>
      </c>
      <c r="AJ181" s="12">
        <f>IF(IF($D181="Unlabeled-13",MCDM_Settings!$F$8,MCDM_Settings!$D$8)=0,"n.a.",5*(COUNTIF(S181:U181,"Y")+COUNTIF(S181:U181,"U")+COUNTIF(S181:U181,"X"))/IF($D181="Unlabeled-13",MCDM_Settings!$F$8,MCDM_Settings!$D$8))</f>
        <v>5</v>
      </c>
      <c r="AK181" s="13">
        <f>IF(IF($D181="Unlabeled-13",MCDM_Settings!$F$8,MCDM_Settings!$D$8)=0,"n.a.",(COUNTIF(S181:U181,"Y")+COUNTIF(S181:U181,"N"))/IF($D181="Unlabeled-13",MCDM_Settings!$F$8,MCDM_Settings!$D$8))</f>
        <v>0.33333333333333331</v>
      </c>
      <c r="AL181" s="12">
        <f>IF(IF($D181="Unlabeled-13",MCDM_Settings!$F$9,MCDM_Settings!$D$9)=0,"n.a.",5*COUNTIF(V181:W181,"Y")/IF($D181="Unlabeled-13",MCDM_Settings!$F$9,MCDM_Settings!$D$9))</f>
        <v>0</v>
      </c>
      <c r="AM181" s="12">
        <f>IF(IF($D181="Unlabeled-13",MCDM_Settings!$F$9,MCDM_Settings!$D$9)=0,"n.a.",5*(COUNTIF(V181:W181,"Y")+COUNTIF(V181:W181,"U")+COUNTIF(V181:W181,"X"))/IF($D181="Unlabeled-13",MCDM_Settings!$F$9,MCDM_Settings!$D$9))</f>
        <v>5</v>
      </c>
      <c r="AN181" s="13">
        <f>IF(IF($D181="Unlabeled-13",MCDM_Settings!$F$9,MCDM_Settings!$D$9)=0,"n.a.",(COUNTIF(V181:W181,"Y")+COUNTIF(V181:W181,"N"))/IF($D181="Unlabeled-13",MCDM_Settings!$F$9,MCDM_Settings!$D$9))</f>
        <v>0</v>
      </c>
      <c r="AO181" s="12">
        <f>IF(IF($D181="Unlabeled-13",MCDM_Settings!$F$10,MCDM_Settings!$D$10)=0,"n.a.",5*COUNTIF(X181:Y181,"Y")/IF($D181="Unlabeled-13",MCDM_Settings!$F$10,MCDM_Settings!$D$10))</f>
        <v>2.5</v>
      </c>
      <c r="AP181" s="12">
        <f>IF(IF($D181="Unlabeled-13",MCDM_Settings!$F$10,MCDM_Settings!$D$10)=0,"n.a.",5*(COUNTIF(X181:Y181,"Y")+COUNTIF(X181:Y181,"U")+COUNTIF(X181:Y181,"X"))/IF($D181="Unlabeled-13",MCDM_Settings!$F$10,MCDM_Settings!$D$10))</f>
        <v>5</v>
      </c>
      <c r="AQ181" s="13">
        <f>IF(IF($D181="Unlabeled-13",MCDM_Settings!$F$10,MCDM_Settings!$D$10)=0,"n.a.",(COUNTIF(X181:Y181,"Y")+COUNTIF(X181:Y181,"N"))/IF($D181="Unlabeled-13",MCDM_Settings!$F$10,MCDM_Settings!$D$10))</f>
        <v>0.5</v>
      </c>
      <c r="AR181" s="12">
        <f>IF(IF($D181="Unlabeled-13",MCDM_Settings!$F$11,MCDM_Settings!$D$11)=0,"n.a.",5*COUNTIF(Z181:AB181,"Y")/IF($D181="Unlabeled-13",MCDM_Settings!$F$11,MCDM_Settings!$D$11))</f>
        <v>3.3333333333333335</v>
      </c>
      <c r="AS181" s="12">
        <f>IF(IF($D181="Unlabeled-13",MCDM_Settings!$F$11,MCDM_Settings!$D$11)=0,"n.a.",5*(COUNTIF(Z181:AB181,"Y")+COUNTIF(Z181:AB181,"U")+COUNTIF(Z181:AB181,"X"))/IF($D181="Unlabeled-13",MCDM_Settings!$F$11,MCDM_Settings!$D$11))</f>
        <v>5</v>
      </c>
      <c r="AT181" s="13">
        <f>IF(IF($D181="Unlabeled-13",MCDM_Settings!$F$11,MCDM_Settings!$D$11)=0,"n.a.",(COUNTIF(Z181:AB181,"Y")+COUNTIF(Z181:AB181,"N"))/IF($D181="Unlabeled-13",MCDM_Settings!$F$11,MCDM_Settings!$D$11))</f>
        <v>0.66666666666666663</v>
      </c>
      <c r="AU181" s="5" t="str">
        <f>IF(AND(INDEX(Manual_Review!$G$6:$G$238,MATCH(A181,Manual_Review!$A$6:$A$238,0))&lt;&gt;"",ISNUMBER(INDEX(Manual_Review!$H$6:$H$238,MATCH(A181,Manual_Review!$A$6:$A$238,0))),INDEX(Manual_Review!$H$6:$H$238,MATCH(A181,Manual_Review!$A$6:$A$238,0))&gt;0,INDEX(Manual_Review!$I$6:$I$238,MATCH(A181,Manual_Review!$A$6:$A$238,0))="Confirmed",INDEX(Manual_Review!$AF$6:$AF$238,MATCH(A181,Manual_Review!$A$6:$A$238,0))&lt;&gt;""),IF(INDEX(Manual_Review!$AA$6:$AA$238,MATCH(A181,Manual_Review!$A$6:$A$238,0))="Pass","Pass",IF(INDEX(Manual_Review!$AA$6:$AA$238,MATCH(A181,Manual_Review!$A$6:$A$238,0))="Fail","Fail","Pending")),"Pending human identity confirmation")</f>
        <v>Pending human identity confirmation</v>
      </c>
      <c r="AV181" s="5" t="str">
        <f>IF(AND(AND(INDEX(Manual_Review!$G$6:$G$238,MATCH(A181,Manual_Review!$A$6:$A$238,0))&lt;&gt;"",ISNUMBER(INDEX(Manual_Review!$H$6:$H$238,MATCH(A181,Manual_Review!$A$6:$A$238,0))),INDEX(Manual_Review!$H$6:$H$238,MATCH(A181,Manual_Review!$A$6:$A$238,0))&gt;0,INDEX(Manual_Review!$I$6:$I$238,MATCH(A181,Manual_Review!$A$6:$A$238,0))="Confirmed",INDEX(Manual_Review!$AF$6:$AF$238,MATCH(A181,Manual_Review!$A$6:$A$238,0))&lt;&gt;""),INDEX(Manual_Review!$AG$6:$AG$238,MATCH(A181,Manual_Review!$A$6:$A$238,0))&lt;&gt;""),IF(INDEX(Manual_Review!$AB$6:$AB$238,MATCH(A181,Manual_Review!$A$6:$A$238,0))="Pass","Pass",IF(INDEX(Manual_Review!$AB$6:$AB$238,MATCH(A181,Manual_Review!$A$6:$A$238,0))="Fail","Fail","Pending")),"Not assessed: define intended task")</f>
        <v>Not assessed: define intended task</v>
      </c>
      <c r="AW181" s="5" t="str">
        <f>IF(AND(AND(INDEX(Manual_Review!$G$6:$G$238,MATCH(A181,Manual_Review!$A$6:$A$238,0))&lt;&gt;"",ISNUMBER(INDEX(Manual_Review!$H$6:$H$238,MATCH(A181,Manual_Review!$A$6:$A$238,0))),INDEX(Manual_Review!$H$6:$H$238,MATCH(A181,Manual_Review!$A$6:$A$238,0))&gt;0,INDEX(Manual_Review!$I$6:$I$238,MATCH(A181,Manual_Review!$A$6:$A$238,0))="Confirmed",INDEX(Manual_Review!$AF$6:$AF$238,MATCH(A181,Manual_Review!$A$6:$A$238,0))&lt;&gt;""),INDEX(Manual_Review!$AG$6:$AG$238,MATCH(A181,Manual_Review!$A$6:$A$238,0))&lt;&gt;""),IF(OR(INDEX(Manual_Review!$AC$6:$AC$238,MATCH(A181,Manual_Review!$A$6:$A$238,0))="Fail",INDEX(Manual_Review!$AD$6:$AD$238,MATCH(A181,Manual_Review!$A$6:$A$238,0))="Fail"),"Fail: rights or retrieval",IF(AND(INDEX(Manual_Review!$AC$6:$AC$238,MATCH(A181,Manual_Review!$A$6:$A$238,0))="Pass",INDEX(Manual_Review!$AD$6:$AD$238,MATCH(A181,Manual_Review!$A$6:$A$238,0))="Pass"),"Pass","Pending rights and retrieval")),"Pending rights and retrieval")</f>
        <v>Pending rights and retrieval</v>
      </c>
      <c r="AX181" s="5" t="str">
        <f>IF(INDEX(Manual_Review!$AG$6:$AG$238,MATCH(A181,Manual_Review!$A$6:$A$238,0))="","N/A: documentation inventory",IF(AND(INDEX(Manual_Review!$G$6:$G$238,MATCH(A181,Manual_Review!$A$6:$A$238,0))&lt;&gt;"",ISNUMBER(INDEX(Manual_Review!$H$6:$H$238,MATCH(A181,Manual_Review!$A$6:$A$238,0))),INDEX(Manual_Review!$H$6:$H$238,MATCH(A181,Manual_Review!$A$6:$A$238,0))&gt;0,INDEX(Manual_Review!$I$6:$I$238,MATCH(A181,Manual_Review!$A$6:$A$238,0))="Confirmed",INDEX(Manual_Review!$AF$6:$AF$238,MATCH(A181,Manual_Review!$A$6:$A$238,0))&lt;&gt;""),IF(INDEX(Manual_Review!$AE$6:$AE$238,MATCH(A181,Manual_Review!$A$6:$A$238,0))="Pass","Pass",IF(INDEX(Manual_Review!$AE$6:$AE$238,MATCH(A181,Manual_Review!$A$6:$A$238,0))="Fail","Fail: benchmark leakage",IF(INDEX(Manual_Review!$AE$6:$AE$238,MATCH(A181,Manual_Review!$A$6:$A$238,0))="N/A","N/A: nonbenchmark task","Pending task-specific leakage check"))),"Pending task-specific leakage check"))</f>
        <v>N/A: documentation inventory</v>
      </c>
      <c r="AY181" s="5" t="str">
        <f>IF(IF(D181="Unlabeled-13",AND(ABS(MCDM_Settings!$D$14-1)&lt;0.0000001,MIN(MCDM_Settings!$E$6:$E$11)&gt;=0,MCDM_Settings!$E$7=0),AND(ABS(MCDM_Settings!$B$14-1)&lt;0.0000001,MIN(MCDM_Settings!$C$6:$C$11)&gt;=0)),"Valid","Check weights")</f>
        <v>Valid</v>
      </c>
      <c r="AZ181" s="5" t="str">
        <f>IF(AND(COUNTIF(MCDM_Checks!$B$6:$B$3733,A181)=16,COUNTIF(Manual_Review!$A$6:$A$238,A181)=1),"16 keys present","Check key count")</f>
        <v>16 keys present</v>
      </c>
    </row>
    <row r="182" spans="1:52">
      <c r="A182" s="5" t="s">
        <v>1971</v>
      </c>
      <c r="B182" s="5" t="s">
        <v>1972</v>
      </c>
      <c r="C182" s="5"/>
      <c r="D182" s="5" t="s">
        <v>118</v>
      </c>
      <c r="E182" s="12">
        <f>IF(OR(AY182&lt;&gt;"Valid",AZ182&lt;&gt;"16 keys present"),"Review settings",20*(IF(ISNUMBER(AC182),AC182*IF($D182="Unlabeled-13",MCDM_Settings!$E$6,MCDM_Settings!$C$6),0)+IF(ISNUMBER(AF182),AF182*IF($D182="Unlabeled-13",MCDM_Settings!$E$7,MCDM_Settings!$C$7),0)+IF(ISNUMBER(AI182),AI182*IF($D182="Unlabeled-13",MCDM_Settings!$E$8,MCDM_Settings!$C$8),0)+IF(ISNUMBER(AL182),AL182*IF($D182="Unlabeled-13",MCDM_Settings!$E$9,MCDM_Settings!$C$9),0)+IF(ISNUMBER(AO182),AO182*IF($D182="Unlabeled-13",MCDM_Settings!$E$10,MCDM_Settings!$C$10),0)+IF(ISNUMBER(AR182),AR182*IF($D182="Unlabeled-13",MCDM_Settings!$E$11,MCDM_Settings!$C$11),0)))</f>
        <v>0</v>
      </c>
      <c r="F182" s="12">
        <f>IF(OR(AY182&lt;&gt;"Valid",AZ182&lt;&gt;"16 keys present"),"Review settings",20*(IF(ISNUMBER(AD182),AD182*IF($D182="Unlabeled-13",MCDM_Settings!$E$6,MCDM_Settings!$C$6),0)+IF(ISNUMBER(AG182),AG182*IF($D182="Unlabeled-13",MCDM_Settings!$E$7,MCDM_Settings!$C$7),0)+IF(ISNUMBER(AJ182),AJ182*IF($D182="Unlabeled-13",MCDM_Settings!$E$8,MCDM_Settings!$C$8),0)+IF(ISNUMBER(AM182),AM182*IF($D182="Unlabeled-13",MCDM_Settings!$E$9,MCDM_Settings!$C$9),0)+IF(ISNUMBER(AP182),AP182*IF($D182="Unlabeled-13",MCDM_Settings!$E$10,MCDM_Settings!$C$10),0)+IF(ISNUMBER(AS182),AS182*IF($D182="Unlabeled-13",MCDM_Settings!$E$11,MCDM_Settings!$C$11),0)))</f>
        <v>99.999999999999986</v>
      </c>
      <c r="G182" s="13">
        <f>IF(OR(AY182&lt;&gt;"Valid",AZ182&lt;&gt;"16 keys present"),"Review settings",1*(IF(ISNUMBER(AE182),AE182*IF($D182="Unlabeled-13",MCDM_Settings!$E$6,MCDM_Settings!$C$6),0)+IF(ISNUMBER(AH182),AH182*IF($D182="Unlabeled-13",MCDM_Settings!$E$7,MCDM_Settings!$C$7),0)+IF(ISNUMBER(AK182),AK182*IF($D182="Unlabeled-13",MCDM_Settings!$E$8,MCDM_Settings!$C$8),0)+IF(ISNUMBER(AN182),AN182*IF($D182="Unlabeled-13",MCDM_Settings!$E$9,MCDM_Settings!$C$9),0)+IF(ISNUMBER(AQ182),AQ182*IF($D182="Unlabeled-13",MCDM_Settings!$E$10,MCDM_Settings!$C$10),0)+IF(ISNUMBER(AT182),AT182*IF($D182="Unlabeled-13",MCDM_Settings!$E$11,MCDM_Settings!$C$11),0)))</f>
        <v>0</v>
      </c>
      <c r="H182" s="5" t="str">
        <f>INDEX(Manual_Review!$AH$6:$AH$238,MATCH(A182,Manual_Review!$A$6:$A$238,0))</f>
        <v>Not started</v>
      </c>
      <c r="I182" s="5" t="s">
        <v>128</v>
      </c>
      <c r="J182" s="5" t="s">
        <v>1973</v>
      </c>
      <c r="K182" s="5" t="str">
        <f>HYPERLINK("https://www.irit.fr/~Sylvie.Chambon/Crack_Detection_Database.html","Dataset")</f>
        <v>Dataset</v>
      </c>
      <c r="L182" s="5" t="str">
        <f>HYPERLINK("#'Manual_Review'!A"&amp;(MATCH("DS-177",Manual_Review!$A$6:$A$238,0)+5),"Enter review")</f>
        <v>Enter review</v>
      </c>
      <c r="M182" s="5" t="str">
        <f>INDEX(MCDM_Checks!$K$6:$K$3733,MATCH(A182&amp;"|"&amp;M$5,MCDM_Checks!$A$6:$A$3733,0))</f>
        <v>U</v>
      </c>
      <c r="N182" s="5" t="str">
        <f>INDEX(MCDM_Checks!$K$6:$K$3733,MATCH(A182&amp;"|"&amp;N$5,MCDM_Checks!$A$6:$A$3733,0))</f>
        <v>U</v>
      </c>
      <c r="O182" s="5" t="str">
        <f>INDEX(MCDM_Checks!$K$6:$K$3733,MATCH(A182&amp;"|"&amp;O$5,MCDM_Checks!$A$6:$A$3733,0))</f>
        <v>U</v>
      </c>
      <c r="P182" s="5" t="str">
        <f>INDEX(MCDM_Checks!$K$6:$K$3733,MATCH(A182&amp;"|"&amp;P$5,MCDM_Checks!$A$6:$A$3733,0))</f>
        <v>U</v>
      </c>
      <c r="Q182" s="5" t="str">
        <f>INDEX(MCDM_Checks!$K$6:$K$3733,MATCH(A182&amp;"|"&amp;Q$5,MCDM_Checks!$A$6:$A$3733,0))</f>
        <v>U</v>
      </c>
      <c r="R182" s="5" t="str">
        <f>INDEX(MCDM_Checks!$K$6:$K$3733,MATCH(A182&amp;"|"&amp;R$5,MCDM_Checks!$A$6:$A$3733,0))</f>
        <v>U</v>
      </c>
      <c r="S182" s="5" t="str">
        <f>INDEX(MCDM_Checks!$K$6:$K$3733,MATCH(A182&amp;"|"&amp;S$5,MCDM_Checks!$A$6:$A$3733,0))</f>
        <v>U</v>
      </c>
      <c r="T182" s="5" t="str">
        <f>INDEX(MCDM_Checks!$K$6:$K$3733,MATCH(A182&amp;"|"&amp;T$5,MCDM_Checks!$A$6:$A$3733,0))</f>
        <v>U</v>
      </c>
      <c r="U182" s="5" t="str">
        <f>INDEX(MCDM_Checks!$K$6:$K$3733,MATCH(A182&amp;"|"&amp;U$5,MCDM_Checks!$A$6:$A$3733,0))</f>
        <v>U</v>
      </c>
      <c r="V182" s="5" t="str">
        <f>INDEX(MCDM_Checks!$K$6:$K$3733,MATCH(A182&amp;"|"&amp;V$5,MCDM_Checks!$A$6:$A$3733,0))</f>
        <v>U</v>
      </c>
      <c r="W182" s="5" t="str">
        <f>INDEX(MCDM_Checks!$K$6:$K$3733,MATCH(A182&amp;"|"&amp;W$5,MCDM_Checks!$A$6:$A$3733,0))</f>
        <v>U</v>
      </c>
      <c r="X182" s="5" t="str">
        <f>INDEX(MCDM_Checks!$K$6:$K$3733,MATCH(A182&amp;"|"&amp;X$5,MCDM_Checks!$A$6:$A$3733,0))</f>
        <v>U</v>
      </c>
      <c r="Y182" s="5" t="str">
        <f>INDEX(MCDM_Checks!$K$6:$K$3733,MATCH(A182&amp;"|"&amp;Y$5,MCDM_Checks!$A$6:$A$3733,0))</f>
        <v>U</v>
      </c>
      <c r="Z182" s="5" t="str">
        <f>INDEX(MCDM_Checks!$K$6:$K$3733,MATCH(A182&amp;"|"&amp;Z$5,MCDM_Checks!$A$6:$A$3733,0))</f>
        <v>U</v>
      </c>
      <c r="AA182" s="5" t="str">
        <f>INDEX(MCDM_Checks!$K$6:$K$3733,MATCH(A182&amp;"|"&amp;AA$5,MCDM_Checks!$A$6:$A$3733,0))</f>
        <v>U</v>
      </c>
      <c r="AB182" s="5" t="str">
        <f>INDEX(MCDM_Checks!$K$6:$K$3733,MATCH(A182&amp;"|"&amp;AB$5,MCDM_Checks!$A$6:$A$3733,0))</f>
        <v>U</v>
      </c>
      <c r="AC182" s="12">
        <f>IF(IF($D182="Unlabeled-13",MCDM_Settings!$F$6,MCDM_Settings!$D$6)=0,"n.a.",5*COUNTIF(M182:O182,"Y")/IF($D182="Unlabeled-13",MCDM_Settings!$F$6,MCDM_Settings!$D$6))</f>
        <v>0</v>
      </c>
      <c r="AD182" s="12">
        <f>IF(IF($D182="Unlabeled-13",MCDM_Settings!$F$6,MCDM_Settings!$D$6)=0,"n.a.",5*(COUNTIF(M182:O182,"Y")+COUNTIF(M182:O182,"U")+COUNTIF(M182:O182,"X"))/IF($D182="Unlabeled-13",MCDM_Settings!$F$6,MCDM_Settings!$D$6))</f>
        <v>5</v>
      </c>
      <c r="AE182" s="13">
        <f>IF(IF($D182="Unlabeled-13",MCDM_Settings!$F$6,MCDM_Settings!$D$6)=0,"n.a.",(COUNTIF(M182:O182,"Y")+COUNTIF(M182:O182,"N"))/IF($D182="Unlabeled-13",MCDM_Settings!$F$6,MCDM_Settings!$D$6))</f>
        <v>0</v>
      </c>
      <c r="AF182" s="12">
        <f>IF(IF($D182="Unlabeled-13",MCDM_Settings!$F$7,MCDM_Settings!$D$7)=0,"n.a.",5*COUNTIF(P182:R182,"Y")/IF($D182="Unlabeled-13",MCDM_Settings!$F$7,MCDM_Settings!$D$7))</f>
        <v>0</v>
      </c>
      <c r="AG182" s="12">
        <f>IF(IF($D182="Unlabeled-13",MCDM_Settings!$F$7,MCDM_Settings!$D$7)=0,"n.a.",5*(COUNTIF(P182:R182,"Y")+COUNTIF(P182:R182,"U")+COUNTIF(P182:R182,"X"))/IF($D182="Unlabeled-13",MCDM_Settings!$F$7,MCDM_Settings!$D$7))</f>
        <v>5</v>
      </c>
      <c r="AH182" s="13">
        <f>IF(IF($D182="Unlabeled-13",MCDM_Settings!$F$7,MCDM_Settings!$D$7)=0,"n.a.",(COUNTIF(P182:R182,"Y")+COUNTIF(P182:R182,"N"))/IF($D182="Unlabeled-13",MCDM_Settings!$F$7,MCDM_Settings!$D$7))</f>
        <v>0</v>
      </c>
      <c r="AI182" s="12">
        <f>IF(IF($D182="Unlabeled-13",MCDM_Settings!$F$8,MCDM_Settings!$D$8)=0,"n.a.",5*COUNTIF(S182:U182,"Y")/IF($D182="Unlabeled-13",MCDM_Settings!$F$8,MCDM_Settings!$D$8))</f>
        <v>0</v>
      </c>
      <c r="AJ182" s="12">
        <f>IF(IF($D182="Unlabeled-13",MCDM_Settings!$F$8,MCDM_Settings!$D$8)=0,"n.a.",5*(COUNTIF(S182:U182,"Y")+COUNTIF(S182:U182,"U")+COUNTIF(S182:U182,"X"))/IF($D182="Unlabeled-13",MCDM_Settings!$F$8,MCDM_Settings!$D$8))</f>
        <v>5</v>
      </c>
      <c r="AK182" s="13">
        <f>IF(IF($D182="Unlabeled-13",MCDM_Settings!$F$8,MCDM_Settings!$D$8)=0,"n.a.",(COUNTIF(S182:U182,"Y")+COUNTIF(S182:U182,"N"))/IF($D182="Unlabeled-13",MCDM_Settings!$F$8,MCDM_Settings!$D$8))</f>
        <v>0</v>
      </c>
      <c r="AL182" s="12">
        <f>IF(IF($D182="Unlabeled-13",MCDM_Settings!$F$9,MCDM_Settings!$D$9)=0,"n.a.",5*COUNTIF(V182:W182,"Y")/IF($D182="Unlabeled-13",MCDM_Settings!$F$9,MCDM_Settings!$D$9))</f>
        <v>0</v>
      </c>
      <c r="AM182" s="12">
        <f>IF(IF($D182="Unlabeled-13",MCDM_Settings!$F$9,MCDM_Settings!$D$9)=0,"n.a.",5*(COUNTIF(V182:W182,"Y")+COUNTIF(V182:W182,"U")+COUNTIF(V182:W182,"X"))/IF($D182="Unlabeled-13",MCDM_Settings!$F$9,MCDM_Settings!$D$9))</f>
        <v>5</v>
      </c>
      <c r="AN182" s="13">
        <f>IF(IF($D182="Unlabeled-13",MCDM_Settings!$F$9,MCDM_Settings!$D$9)=0,"n.a.",(COUNTIF(V182:W182,"Y")+COUNTIF(V182:W182,"N"))/IF($D182="Unlabeled-13",MCDM_Settings!$F$9,MCDM_Settings!$D$9))</f>
        <v>0</v>
      </c>
      <c r="AO182" s="12">
        <f>IF(IF($D182="Unlabeled-13",MCDM_Settings!$F$10,MCDM_Settings!$D$10)=0,"n.a.",5*COUNTIF(X182:Y182,"Y")/IF($D182="Unlabeled-13",MCDM_Settings!$F$10,MCDM_Settings!$D$10))</f>
        <v>0</v>
      </c>
      <c r="AP182" s="12">
        <f>IF(IF($D182="Unlabeled-13",MCDM_Settings!$F$10,MCDM_Settings!$D$10)=0,"n.a.",5*(COUNTIF(X182:Y182,"Y")+COUNTIF(X182:Y182,"U")+COUNTIF(X182:Y182,"X"))/IF($D182="Unlabeled-13",MCDM_Settings!$F$10,MCDM_Settings!$D$10))</f>
        <v>5</v>
      </c>
      <c r="AQ182" s="13">
        <f>IF(IF($D182="Unlabeled-13",MCDM_Settings!$F$10,MCDM_Settings!$D$10)=0,"n.a.",(COUNTIF(X182:Y182,"Y")+COUNTIF(X182:Y182,"N"))/IF($D182="Unlabeled-13",MCDM_Settings!$F$10,MCDM_Settings!$D$10))</f>
        <v>0</v>
      </c>
      <c r="AR182" s="12">
        <f>IF(IF($D182="Unlabeled-13",MCDM_Settings!$F$11,MCDM_Settings!$D$11)=0,"n.a.",5*COUNTIF(Z182:AB182,"Y")/IF($D182="Unlabeled-13",MCDM_Settings!$F$11,MCDM_Settings!$D$11))</f>
        <v>0</v>
      </c>
      <c r="AS182" s="12">
        <f>IF(IF($D182="Unlabeled-13",MCDM_Settings!$F$11,MCDM_Settings!$D$11)=0,"n.a.",5*(COUNTIF(Z182:AB182,"Y")+COUNTIF(Z182:AB182,"U")+COUNTIF(Z182:AB182,"X"))/IF($D182="Unlabeled-13",MCDM_Settings!$F$11,MCDM_Settings!$D$11))</f>
        <v>5</v>
      </c>
      <c r="AT182" s="13">
        <f>IF(IF($D182="Unlabeled-13",MCDM_Settings!$F$11,MCDM_Settings!$D$11)=0,"n.a.",(COUNTIF(Z182:AB182,"Y")+COUNTIF(Z182:AB182,"N"))/IF($D182="Unlabeled-13",MCDM_Settings!$F$11,MCDM_Settings!$D$11))</f>
        <v>0</v>
      </c>
      <c r="AU182" s="5" t="str">
        <f>IF(AND(INDEX(Manual_Review!$G$6:$G$238,MATCH(A182,Manual_Review!$A$6:$A$238,0))&lt;&gt;"",ISNUMBER(INDEX(Manual_Review!$H$6:$H$238,MATCH(A182,Manual_Review!$A$6:$A$238,0))),INDEX(Manual_Review!$H$6:$H$238,MATCH(A182,Manual_Review!$A$6:$A$238,0))&gt;0,INDEX(Manual_Review!$I$6:$I$238,MATCH(A182,Manual_Review!$A$6:$A$238,0))="Confirmed",INDEX(Manual_Review!$AF$6:$AF$238,MATCH(A182,Manual_Review!$A$6:$A$238,0))&lt;&gt;""),IF(INDEX(Manual_Review!$AA$6:$AA$238,MATCH(A182,Manual_Review!$A$6:$A$238,0))="Pass","Pass",IF(INDEX(Manual_Review!$AA$6:$AA$238,MATCH(A182,Manual_Review!$A$6:$A$238,0))="Fail","Fail","Pending")),"Pending human identity confirmation")</f>
        <v>Pending human identity confirmation</v>
      </c>
      <c r="AV182" s="5" t="str">
        <f>IF(AND(AND(INDEX(Manual_Review!$G$6:$G$238,MATCH(A182,Manual_Review!$A$6:$A$238,0))&lt;&gt;"",ISNUMBER(INDEX(Manual_Review!$H$6:$H$238,MATCH(A182,Manual_Review!$A$6:$A$238,0))),INDEX(Manual_Review!$H$6:$H$238,MATCH(A182,Manual_Review!$A$6:$A$238,0))&gt;0,INDEX(Manual_Review!$I$6:$I$238,MATCH(A182,Manual_Review!$A$6:$A$238,0))="Confirmed",INDEX(Manual_Review!$AF$6:$AF$238,MATCH(A182,Manual_Review!$A$6:$A$238,0))&lt;&gt;""),INDEX(Manual_Review!$AG$6:$AG$238,MATCH(A182,Manual_Review!$A$6:$A$238,0))&lt;&gt;""),IF(INDEX(Manual_Review!$AB$6:$AB$238,MATCH(A182,Manual_Review!$A$6:$A$238,0))="Pass","Pass",IF(INDEX(Manual_Review!$AB$6:$AB$238,MATCH(A182,Manual_Review!$A$6:$A$238,0))="Fail","Fail","Pending")),"Not assessed: define intended task")</f>
        <v>Not assessed: define intended task</v>
      </c>
      <c r="AW182" s="5" t="str">
        <f>IF(AND(AND(INDEX(Manual_Review!$G$6:$G$238,MATCH(A182,Manual_Review!$A$6:$A$238,0))&lt;&gt;"",ISNUMBER(INDEX(Manual_Review!$H$6:$H$238,MATCH(A182,Manual_Review!$A$6:$A$238,0))),INDEX(Manual_Review!$H$6:$H$238,MATCH(A182,Manual_Review!$A$6:$A$238,0))&gt;0,INDEX(Manual_Review!$I$6:$I$238,MATCH(A182,Manual_Review!$A$6:$A$238,0))="Confirmed",INDEX(Manual_Review!$AF$6:$AF$238,MATCH(A182,Manual_Review!$A$6:$A$238,0))&lt;&gt;""),INDEX(Manual_Review!$AG$6:$AG$238,MATCH(A182,Manual_Review!$A$6:$A$238,0))&lt;&gt;""),IF(OR(INDEX(Manual_Review!$AC$6:$AC$238,MATCH(A182,Manual_Review!$A$6:$A$238,0))="Fail",INDEX(Manual_Review!$AD$6:$AD$238,MATCH(A182,Manual_Review!$A$6:$A$238,0))="Fail"),"Fail: rights or retrieval",IF(AND(INDEX(Manual_Review!$AC$6:$AC$238,MATCH(A182,Manual_Review!$A$6:$A$238,0))="Pass",INDEX(Manual_Review!$AD$6:$AD$238,MATCH(A182,Manual_Review!$A$6:$A$238,0))="Pass"),"Pass","Pending rights and retrieval")),"Pending rights and retrieval")</f>
        <v>Pending rights and retrieval</v>
      </c>
      <c r="AX182" s="5" t="str">
        <f>IF(INDEX(Manual_Review!$AG$6:$AG$238,MATCH(A182,Manual_Review!$A$6:$A$238,0))="","N/A: documentation inventory",IF(AND(INDEX(Manual_Review!$G$6:$G$238,MATCH(A182,Manual_Review!$A$6:$A$238,0))&lt;&gt;"",ISNUMBER(INDEX(Manual_Review!$H$6:$H$238,MATCH(A182,Manual_Review!$A$6:$A$238,0))),INDEX(Manual_Review!$H$6:$H$238,MATCH(A182,Manual_Review!$A$6:$A$238,0))&gt;0,INDEX(Manual_Review!$I$6:$I$238,MATCH(A182,Manual_Review!$A$6:$A$238,0))="Confirmed",INDEX(Manual_Review!$AF$6:$AF$238,MATCH(A182,Manual_Review!$A$6:$A$238,0))&lt;&gt;""),IF(INDEX(Manual_Review!$AE$6:$AE$238,MATCH(A182,Manual_Review!$A$6:$A$238,0))="Pass","Pass",IF(INDEX(Manual_Review!$AE$6:$AE$238,MATCH(A182,Manual_Review!$A$6:$A$238,0))="Fail","Fail: benchmark leakage",IF(INDEX(Manual_Review!$AE$6:$AE$238,MATCH(A182,Manual_Review!$A$6:$A$238,0))="N/A","N/A: nonbenchmark task","Pending task-specific leakage check"))),"Pending task-specific leakage check"))</f>
        <v>N/A: documentation inventory</v>
      </c>
      <c r="AY182" s="5" t="str">
        <f>IF(IF(D182="Unlabeled-13",AND(ABS(MCDM_Settings!$D$14-1)&lt;0.0000001,MIN(MCDM_Settings!$E$6:$E$11)&gt;=0,MCDM_Settings!$E$7=0),AND(ABS(MCDM_Settings!$B$14-1)&lt;0.0000001,MIN(MCDM_Settings!$C$6:$C$11)&gt;=0)),"Valid","Check weights")</f>
        <v>Valid</v>
      </c>
      <c r="AZ182" s="5" t="str">
        <f>IF(AND(COUNTIF(MCDM_Checks!$B$6:$B$3733,A182)=16,COUNTIF(Manual_Review!$A$6:$A$238,A182)=1),"16 keys present","Check key count")</f>
        <v>16 keys present</v>
      </c>
    </row>
    <row r="183" spans="1:52">
      <c r="A183" s="5" t="s">
        <v>1981</v>
      </c>
      <c r="B183" s="5" t="s">
        <v>1982</v>
      </c>
      <c r="C183" s="5"/>
      <c r="D183" s="5" t="s">
        <v>118</v>
      </c>
      <c r="E183" s="12">
        <f>IF(OR(AY183&lt;&gt;"Valid",AZ183&lt;&gt;"16 keys present"),"Review settings",20*(IF(ISNUMBER(AC183),AC183*IF($D183="Unlabeled-13",MCDM_Settings!$E$6,MCDM_Settings!$C$6),0)+IF(ISNUMBER(AF183),AF183*IF($D183="Unlabeled-13",MCDM_Settings!$E$7,MCDM_Settings!$C$7),0)+IF(ISNUMBER(AI183),AI183*IF($D183="Unlabeled-13",MCDM_Settings!$E$8,MCDM_Settings!$C$8),0)+IF(ISNUMBER(AL183),AL183*IF($D183="Unlabeled-13",MCDM_Settings!$E$9,MCDM_Settings!$C$9),0)+IF(ISNUMBER(AO183),AO183*IF($D183="Unlabeled-13",MCDM_Settings!$E$10,MCDM_Settings!$C$10),0)+IF(ISNUMBER(AR183),AR183*IF($D183="Unlabeled-13",MCDM_Settings!$E$11,MCDM_Settings!$C$11),0)))</f>
        <v>75</v>
      </c>
      <c r="F183" s="12">
        <f>IF(OR(AY183&lt;&gt;"Valid",AZ183&lt;&gt;"16 keys present"),"Review settings",20*(IF(ISNUMBER(AD183),AD183*IF($D183="Unlabeled-13",MCDM_Settings!$E$6,MCDM_Settings!$C$6),0)+IF(ISNUMBER(AG183),AG183*IF($D183="Unlabeled-13",MCDM_Settings!$E$7,MCDM_Settings!$C$7),0)+IF(ISNUMBER(AJ183),AJ183*IF($D183="Unlabeled-13",MCDM_Settings!$E$8,MCDM_Settings!$C$8),0)+IF(ISNUMBER(AM183),AM183*IF($D183="Unlabeled-13",MCDM_Settings!$E$9,MCDM_Settings!$C$9),0)+IF(ISNUMBER(AP183),AP183*IF($D183="Unlabeled-13",MCDM_Settings!$E$10,MCDM_Settings!$C$10),0)+IF(ISNUMBER(AS183),AS183*IF($D183="Unlabeled-13",MCDM_Settings!$E$11,MCDM_Settings!$C$11),0)))</f>
        <v>99.999999999999986</v>
      </c>
      <c r="G183" s="13">
        <f>IF(OR(AY183&lt;&gt;"Valid",AZ183&lt;&gt;"16 keys present"),"Review settings",1*(IF(ISNUMBER(AE183),AE183*IF($D183="Unlabeled-13",MCDM_Settings!$E$6,MCDM_Settings!$C$6),0)+IF(ISNUMBER(AH183),AH183*IF($D183="Unlabeled-13",MCDM_Settings!$E$7,MCDM_Settings!$C$7),0)+IF(ISNUMBER(AK183),AK183*IF($D183="Unlabeled-13",MCDM_Settings!$E$8,MCDM_Settings!$C$8),0)+IF(ISNUMBER(AN183),AN183*IF($D183="Unlabeled-13",MCDM_Settings!$E$9,MCDM_Settings!$C$9),0)+IF(ISNUMBER(AQ183),AQ183*IF($D183="Unlabeled-13",MCDM_Settings!$E$10,MCDM_Settings!$C$10),0)+IF(ISNUMBER(AT183),AT183*IF($D183="Unlabeled-13",MCDM_Settings!$E$11,MCDM_Settings!$C$11),0)))</f>
        <v>0.75</v>
      </c>
      <c r="H183" s="5" t="str">
        <f>INDEX(Manual_Review!$AH$6:$AH$238,MATCH(A183,Manual_Review!$A$6:$A$238,0))</f>
        <v>Not started</v>
      </c>
      <c r="I183" s="5" t="s">
        <v>182</v>
      </c>
      <c r="J183" s="5" t="s">
        <v>1983</v>
      </c>
      <c r="K183" s="5" t="str">
        <f>HYPERLINK("https://huggingface.co/datasets/natix-network-org/natix-edge-case-driving-dataset","Dataset")</f>
        <v>Dataset</v>
      </c>
      <c r="L183" s="5" t="str">
        <f>HYPERLINK("#'Manual_Review'!A"&amp;(MATCH("DS-178",Manual_Review!$A$6:$A$238,0)+5),"Enter review")</f>
        <v>Enter review</v>
      </c>
      <c r="M183" s="5" t="str">
        <f>INDEX(MCDM_Checks!$K$6:$K$3733,MATCH(A183&amp;"|"&amp;M$5,MCDM_Checks!$A$6:$A$3733,0))</f>
        <v>Y</v>
      </c>
      <c r="N183" s="5" t="str">
        <f>INDEX(MCDM_Checks!$K$6:$K$3733,MATCH(A183&amp;"|"&amp;N$5,MCDM_Checks!$A$6:$A$3733,0))</f>
        <v>Y</v>
      </c>
      <c r="O183" s="5" t="str">
        <f>INDEX(MCDM_Checks!$K$6:$K$3733,MATCH(A183&amp;"|"&amp;O$5,MCDM_Checks!$A$6:$A$3733,0))</f>
        <v>Y</v>
      </c>
      <c r="P183" s="5" t="str">
        <f>INDEX(MCDM_Checks!$K$6:$K$3733,MATCH(A183&amp;"|"&amp;P$5,MCDM_Checks!$A$6:$A$3733,0))</f>
        <v>Y</v>
      </c>
      <c r="Q183" s="5" t="str">
        <f>INDEX(MCDM_Checks!$K$6:$K$3733,MATCH(A183&amp;"|"&amp;Q$5,MCDM_Checks!$A$6:$A$3733,0))</f>
        <v>Y</v>
      </c>
      <c r="R183" s="5" t="str">
        <f>INDEX(MCDM_Checks!$K$6:$K$3733,MATCH(A183&amp;"|"&amp;R$5,MCDM_Checks!$A$6:$A$3733,0))</f>
        <v>U</v>
      </c>
      <c r="S183" s="5" t="str">
        <f>INDEX(MCDM_Checks!$K$6:$K$3733,MATCH(A183&amp;"|"&amp;S$5,MCDM_Checks!$A$6:$A$3733,0))</f>
        <v>Y</v>
      </c>
      <c r="T183" s="5" t="str">
        <f>INDEX(MCDM_Checks!$K$6:$K$3733,MATCH(A183&amp;"|"&amp;T$5,MCDM_Checks!$A$6:$A$3733,0))</f>
        <v>Y</v>
      </c>
      <c r="U183" s="5" t="str">
        <f>INDEX(MCDM_Checks!$K$6:$K$3733,MATCH(A183&amp;"|"&amp;U$5,MCDM_Checks!$A$6:$A$3733,0))</f>
        <v>Y</v>
      </c>
      <c r="V183" s="5" t="str">
        <f>INDEX(MCDM_Checks!$K$6:$K$3733,MATCH(A183&amp;"|"&amp;V$5,MCDM_Checks!$A$6:$A$3733,0))</f>
        <v>Y</v>
      </c>
      <c r="W183" s="5" t="str">
        <f>INDEX(MCDM_Checks!$K$6:$K$3733,MATCH(A183&amp;"|"&amp;W$5,MCDM_Checks!$A$6:$A$3733,0))</f>
        <v>U</v>
      </c>
      <c r="X183" s="5" t="str">
        <f>INDEX(MCDM_Checks!$K$6:$K$3733,MATCH(A183&amp;"|"&amp;X$5,MCDM_Checks!$A$6:$A$3733,0))</f>
        <v>Y</v>
      </c>
      <c r="Y183" s="5" t="str">
        <f>INDEX(MCDM_Checks!$K$6:$K$3733,MATCH(A183&amp;"|"&amp;Y$5,MCDM_Checks!$A$6:$A$3733,0))</f>
        <v>Y</v>
      </c>
      <c r="Z183" s="5" t="str">
        <f>INDEX(MCDM_Checks!$K$6:$K$3733,MATCH(A183&amp;"|"&amp;Z$5,MCDM_Checks!$A$6:$A$3733,0))</f>
        <v>Y</v>
      </c>
      <c r="AA183" s="5" t="str">
        <f>INDEX(MCDM_Checks!$K$6:$K$3733,MATCH(A183&amp;"|"&amp;AA$5,MCDM_Checks!$A$6:$A$3733,0))</f>
        <v>U</v>
      </c>
      <c r="AB183" s="5" t="str">
        <f>INDEX(MCDM_Checks!$K$6:$K$3733,MATCH(A183&amp;"|"&amp;AB$5,MCDM_Checks!$A$6:$A$3733,0))</f>
        <v>U</v>
      </c>
      <c r="AC183" s="12">
        <f>IF(IF($D183="Unlabeled-13",MCDM_Settings!$F$6,MCDM_Settings!$D$6)=0,"n.a.",5*COUNTIF(M183:O183,"Y")/IF($D183="Unlabeled-13",MCDM_Settings!$F$6,MCDM_Settings!$D$6))</f>
        <v>5</v>
      </c>
      <c r="AD183" s="12">
        <f>IF(IF($D183="Unlabeled-13",MCDM_Settings!$F$6,MCDM_Settings!$D$6)=0,"n.a.",5*(COUNTIF(M183:O183,"Y")+COUNTIF(M183:O183,"U")+COUNTIF(M183:O183,"X"))/IF($D183="Unlabeled-13",MCDM_Settings!$F$6,MCDM_Settings!$D$6))</f>
        <v>5</v>
      </c>
      <c r="AE183" s="13">
        <f>IF(IF($D183="Unlabeled-13",MCDM_Settings!$F$6,MCDM_Settings!$D$6)=0,"n.a.",(COUNTIF(M183:O183,"Y")+COUNTIF(M183:O183,"N"))/IF($D183="Unlabeled-13",MCDM_Settings!$F$6,MCDM_Settings!$D$6))</f>
        <v>1</v>
      </c>
      <c r="AF183" s="12">
        <f>IF(IF($D183="Unlabeled-13",MCDM_Settings!$F$7,MCDM_Settings!$D$7)=0,"n.a.",5*COUNTIF(P183:R183,"Y")/IF($D183="Unlabeled-13",MCDM_Settings!$F$7,MCDM_Settings!$D$7))</f>
        <v>3.3333333333333335</v>
      </c>
      <c r="AG183" s="12">
        <f>IF(IF($D183="Unlabeled-13",MCDM_Settings!$F$7,MCDM_Settings!$D$7)=0,"n.a.",5*(COUNTIF(P183:R183,"Y")+COUNTIF(P183:R183,"U")+COUNTIF(P183:R183,"X"))/IF($D183="Unlabeled-13",MCDM_Settings!$F$7,MCDM_Settings!$D$7))</f>
        <v>5</v>
      </c>
      <c r="AH183" s="13">
        <f>IF(IF($D183="Unlabeled-13",MCDM_Settings!$F$7,MCDM_Settings!$D$7)=0,"n.a.",(COUNTIF(P183:R183,"Y")+COUNTIF(P183:R183,"N"))/IF($D183="Unlabeled-13",MCDM_Settings!$F$7,MCDM_Settings!$D$7))</f>
        <v>0.66666666666666663</v>
      </c>
      <c r="AI183" s="12">
        <f>IF(IF($D183="Unlabeled-13",MCDM_Settings!$F$8,MCDM_Settings!$D$8)=0,"n.a.",5*COUNTIF(S183:U183,"Y")/IF($D183="Unlabeled-13",MCDM_Settings!$F$8,MCDM_Settings!$D$8))</f>
        <v>5</v>
      </c>
      <c r="AJ183" s="12">
        <f>IF(IF($D183="Unlabeled-13",MCDM_Settings!$F$8,MCDM_Settings!$D$8)=0,"n.a.",5*(COUNTIF(S183:U183,"Y")+COUNTIF(S183:U183,"U")+COUNTIF(S183:U183,"X"))/IF($D183="Unlabeled-13",MCDM_Settings!$F$8,MCDM_Settings!$D$8))</f>
        <v>5</v>
      </c>
      <c r="AK183" s="13">
        <f>IF(IF($D183="Unlabeled-13",MCDM_Settings!$F$8,MCDM_Settings!$D$8)=0,"n.a.",(COUNTIF(S183:U183,"Y")+COUNTIF(S183:U183,"N"))/IF($D183="Unlabeled-13",MCDM_Settings!$F$8,MCDM_Settings!$D$8))</f>
        <v>1</v>
      </c>
      <c r="AL183" s="12">
        <f>IF(IF($D183="Unlabeled-13",MCDM_Settings!$F$9,MCDM_Settings!$D$9)=0,"n.a.",5*COUNTIF(V183:W183,"Y")/IF($D183="Unlabeled-13",MCDM_Settings!$F$9,MCDM_Settings!$D$9))</f>
        <v>2.5</v>
      </c>
      <c r="AM183" s="12">
        <f>IF(IF($D183="Unlabeled-13",MCDM_Settings!$F$9,MCDM_Settings!$D$9)=0,"n.a.",5*(COUNTIF(V183:W183,"Y")+COUNTIF(V183:W183,"U")+COUNTIF(V183:W183,"X"))/IF($D183="Unlabeled-13",MCDM_Settings!$F$9,MCDM_Settings!$D$9))</f>
        <v>5</v>
      </c>
      <c r="AN183" s="13">
        <f>IF(IF($D183="Unlabeled-13",MCDM_Settings!$F$9,MCDM_Settings!$D$9)=0,"n.a.",(COUNTIF(V183:W183,"Y")+COUNTIF(V183:W183,"N"))/IF($D183="Unlabeled-13",MCDM_Settings!$F$9,MCDM_Settings!$D$9))</f>
        <v>0.5</v>
      </c>
      <c r="AO183" s="12">
        <f>IF(IF($D183="Unlabeled-13",MCDM_Settings!$F$10,MCDM_Settings!$D$10)=0,"n.a.",5*COUNTIF(X183:Y183,"Y")/IF($D183="Unlabeled-13",MCDM_Settings!$F$10,MCDM_Settings!$D$10))</f>
        <v>5</v>
      </c>
      <c r="AP183" s="12">
        <f>IF(IF($D183="Unlabeled-13",MCDM_Settings!$F$10,MCDM_Settings!$D$10)=0,"n.a.",5*(COUNTIF(X183:Y183,"Y")+COUNTIF(X183:Y183,"U")+COUNTIF(X183:Y183,"X"))/IF($D183="Unlabeled-13",MCDM_Settings!$F$10,MCDM_Settings!$D$10))</f>
        <v>5</v>
      </c>
      <c r="AQ183" s="13">
        <f>IF(IF($D183="Unlabeled-13",MCDM_Settings!$F$10,MCDM_Settings!$D$10)=0,"n.a.",(COUNTIF(X183:Y183,"Y")+COUNTIF(X183:Y183,"N"))/IF($D183="Unlabeled-13",MCDM_Settings!$F$10,MCDM_Settings!$D$10))</f>
        <v>1</v>
      </c>
      <c r="AR183" s="12">
        <f>IF(IF($D183="Unlabeled-13",MCDM_Settings!$F$11,MCDM_Settings!$D$11)=0,"n.a.",5*COUNTIF(Z183:AB183,"Y")/IF($D183="Unlabeled-13",MCDM_Settings!$F$11,MCDM_Settings!$D$11))</f>
        <v>1.6666666666666667</v>
      </c>
      <c r="AS183" s="12">
        <f>IF(IF($D183="Unlabeled-13",MCDM_Settings!$F$11,MCDM_Settings!$D$11)=0,"n.a.",5*(COUNTIF(Z183:AB183,"Y")+COUNTIF(Z183:AB183,"U")+COUNTIF(Z183:AB183,"X"))/IF($D183="Unlabeled-13",MCDM_Settings!$F$11,MCDM_Settings!$D$11))</f>
        <v>5</v>
      </c>
      <c r="AT183" s="13">
        <f>IF(IF($D183="Unlabeled-13",MCDM_Settings!$F$11,MCDM_Settings!$D$11)=0,"n.a.",(COUNTIF(Z183:AB183,"Y")+COUNTIF(Z183:AB183,"N"))/IF($D183="Unlabeled-13",MCDM_Settings!$F$11,MCDM_Settings!$D$11))</f>
        <v>0.33333333333333331</v>
      </c>
      <c r="AU183" s="5" t="str">
        <f>IF(AND(INDEX(Manual_Review!$G$6:$G$238,MATCH(A183,Manual_Review!$A$6:$A$238,0))&lt;&gt;"",ISNUMBER(INDEX(Manual_Review!$H$6:$H$238,MATCH(A183,Manual_Review!$A$6:$A$238,0))),INDEX(Manual_Review!$H$6:$H$238,MATCH(A183,Manual_Review!$A$6:$A$238,0))&gt;0,INDEX(Manual_Review!$I$6:$I$238,MATCH(A183,Manual_Review!$A$6:$A$238,0))="Confirmed",INDEX(Manual_Review!$AF$6:$AF$238,MATCH(A183,Manual_Review!$A$6:$A$238,0))&lt;&gt;""),IF(INDEX(Manual_Review!$AA$6:$AA$238,MATCH(A183,Manual_Review!$A$6:$A$238,0))="Pass","Pass",IF(INDEX(Manual_Review!$AA$6:$AA$238,MATCH(A183,Manual_Review!$A$6:$A$238,0))="Fail","Fail","Pending")),"Pending human identity confirmation")</f>
        <v>Pending human identity confirmation</v>
      </c>
      <c r="AV183" s="5" t="str">
        <f>IF(AND(AND(INDEX(Manual_Review!$G$6:$G$238,MATCH(A183,Manual_Review!$A$6:$A$238,0))&lt;&gt;"",ISNUMBER(INDEX(Manual_Review!$H$6:$H$238,MATCH(A183,Manual_Review!$A$6:$A$238,0))),INDEX(Manual_Review!$H$6:$H$238,MATCH(A183,Manual_Review!$A$6:$A$238,0))&gt;0,INDEX(Manual_Review!$I$6:$I$238,MATCH(A183,Manual_Review!$A$6:$A$238,0))="Confirmed",INDEX(Manual_Review!$AF$6:$AF$238,MATCH(A183,Manual_Review!$A$6:$A$238,0))&lt;&gt;""),INDEX(Manual_Review!$AG$6:$AG$238,MATCH(A183,Manual_Review!$A$6:$A$238,0))&lt;&gt;""),IF(INDEX(Manual_Review!$AB$6:$AB$238,MATCH(A183,Manual_Review!$A$6:$A$238,0))="Pass","Pass",IF(INDEX(Manual_Review!$AB$6:$AB$238,MATCH(A183,Manual_Review!$A$6:$A$238,0))="Fail","Fail","Pending")),"Not assessed: define intended task")</f>
        <v>Not assessed: define intended task</v>
      </c>
      <c r="AW183" s="5" t="str">
        <f>IF(AND(AND(INDEX(Manual_Review!$G$6:$G$238,MATCH(A183,Manual_Review!$A$6:$A$238,0))&lt;&gt;"",ISNUMBER(INDEX(Manual_Review!$H$6:$H$238,MATCH(A183,Manual_Review!$A$6:$A$238,0))),INDEX(Manual_Review!$H$6:$H$238,MATCH(A183,Manual_Review!$A$6:$A$238,0))&gt;0,INDEX(Manual_Review!$I$6:$I$238,MATCH(A183,Manual_Review!$A$6:$A$238,0))="Confirmed",INDEX(Manual_Review!$AF$6:$AF$238,MATCH(A183,Manual_Review!$A$6:$A$238,0))&lt;&gt;""),INDEX(Manual_Review!$AG$6:$AG$238,MATCH(A183,Manual_Review!$A$6:$A$238,0))&lt;&gt;""),IF(OR(INDEX(Manual_Review!$AC$6:$AC$238,MATCH(A183,Manual_Review!$A$6:$A$238,0))="Fail",INDEX(Manual_Review!$AD$6:$AD$238,MATCH(A183,Manual_Review!$A$6:$A$238,0))="Fail"),"Fail: rights or retrieval",IF(AND(INDEX(Manual_Review!$AC$6:$AC$238,MATCH(A183,Manual_Review!$A$6:$A$238,0))="Pass",INDEX(Manual_Review!$AD$6:$AD$238,MATCH(A183,Manual_Review!$A$6:$A$238,0))="Pass"),"Pass","Pending rights and retrieval")),"Pending rights and retrieval")</f>
        <v>Pending rights and retrieval</v>
      </c>
      <c r="AX183" s="5" t="str">
        <f>IF(INDEX(Manual_Review!$AG$6:$AG$238,MATCH(A183,Manual_Review!$A$6:$A$238,0))="","N/A: documentation inventory",IF(AND(INDEX(Manual_Review!$G$6:$G$238,MATCH(A183,Manual_Review!$A$6:$A$238,0))&lt;&gt;"",ISNUMBER(INDEX(Manual_Review!$H$6:$H$238,MATCH(A183,Manual_Review!$A$6:$A$238,0))),INDEX(Manual_Review!$H$6:$H$238,MATCH(A183,Manual_Review!$A$6:$A$238,0))&gt;0,INDEX(Manual_Review!$I$6:$I$238,MATCH(A183,Manual_Review!$A$6:$A$238,0))="Confirmed",INDEX(Manual_Review!$AF$6:$AF$238,MATCH(A183,Manual_Review!$A$6:$A$238,0))&lt;&gt;""),IF(INDEX(Manual_Review!$AE$6:$AE$238,MATCH(A183,Manual_Review!$A$6:$A$238,0))="Pass","Pass",IF(INDEX(Manual_Review!$AE$6:$AE$238,MATCH(A183,Manual_Review!$A$6:$A$238,0))="Fail","Fail: benchmark leakage",IF(INDEX(Manual_Review!$AE$6:$AE$238,MATCH(A183,Manual_Review!$A$6:$A$238,0))="N/A","N/A: nonbenchmark task","Pending task-specific leakage check"))),"Pending task-specific leakage check"))</f>
        <v>N/A: documentation inventory</v>
      </c>
      <c r="AY183" s="5" t="str">
        <f>IF(IF(D183="Unlabeled-13",AND(ABS(MCDM_Settings!$D$14-1)&lt;0.0000001,MIN(MCDM_Settings!$E$6:$E$11)&gt;=0,MCDM_Settings!$E$7=0),AND(ABS(MCDM_Settings!$B$14-1)&lt;0.0000001,MIN(MCDM_Settings!$C$6:$C$11)&gt;=0)),"Valid","Check weights")</f>
        <v>Valid</v>
      </c>
      <c r="AZ183" s="5" t="str">
        <f>IF(AND(COUNTIF(MCDM_Checks!$B$6:$B$3733,A183)=16,COUNTIF(Manual_Review!$A$6:$A$238,A183)=1),"16 keys present","Check key count")</f>
        <v>16 keys present</v>
      </c>
    </row>
    <row r="184" spans="1:52">
      <c r="A184" s="5" t="s">
        <v>1997</v>
      </c>
      <c r="B184" s="5" t="s">
        <v>1998</v>
      </c>
      <c r="C184" s="5"/>
      <c r="D184" s="5" t="s">
        <v>118</v>
      </c>
      <c r="E184" s="12">
        <f>IF(OR(AY184&lt;&gt;"Valid",AZ184&lt;&gt;"16 keys present"),"Review settings",20*(IF(ISNUMBER(AC184),AC184*IF($D184="Unlabeled-13",MCDM_Settings!$E$6,MCDM_Settings!$C$6),0)+IF(ISNUMBER(AF184),AF184*IF($D184="Unlabeled-13",MCDM_Settings!$E$7,MCDM_Settings!$C$7),0)+IF(ISNUMBER(AI184),AI184*IF($D184="Unlabeled-13",MCDM_Settings!$E$8,MCDM_Settings!$C$8),0)+IF(ISNUMBER(AL184),AL184*IF($D184="Unlabeled-13",MCDM_Settings!$E$9,MCDM_Settings!$C$9),0)+IF(ISNUMBER(AO184),AO184*IF($D184="Unlabeled-13",MCDM_Settings!$E$10,MCDM_Settings!$C$10),0)+IF(ISNUMBER(AR184),AR184*IF($D184="Unlabeled-13",MCDM_Settings!$E$11,MCDM_Settings!$C$11),0)))</f>
        <v>69.444444444444443</v>
      </c>
      <c r="F184" s="12">
        <f>IF(OR(AY184&lt;&gt;"Valid",AZ184&lt;&gt;"16 keys present"),"Review settings",20*(IF(ISNUMBER(AD184),AD184*IF($D184="Unlabeled-13",MCDM_Settings!$E$6,MCDM_Settings!$C$6),0)+IF(ISNUMBER(AG184),AG184*IF($D184="Unlabeled-13",MCDM_Settings!$E$7,MCDM_Settings!$C$7),0)+IF(ISNUMBER(AJ184),AJ184*IF($D184="Unlabeled-13",MCDM_Settings!$E$8,MCDM_Settings!$C$8),0)+IF(ISNUMBER(AM184),AM184*IF($D184="Unlabeled-13",MCDM_Settings!$E$9,MCDM_Settings!$C$9),0)+IF(ISNUMBER(AP184),AP184*IF($D184="Unlabeled-13",MCDM_Settings!$E$10,MCDM_Settings!$C$10),0)+IF(ISNUMBER(AS184),AS184*IF($D184="Unlabeled-13",MCDM_Settings!$E$11,MCDM_Settings!$C$11),0)))</f>
        <v>99.999999999999986</v>
      </c>
      <c r="G184" s="13">
        <f>IF(OR(AY184&lt;&gt;"Valid",AZ184&lt;&gt;"16 keys present"),"Review settings",1*(IF(ISNUMBER(AE184),AE184*IF($D184="Unlabeled-13",MCDM_Settings!$E$6,MCDM_Settings!$C$6),0)+IF(ISNUMBER(AH184),AH184*IF($D184="Unlabeled-13",MCDM_Settings!$E$7,MCDM_Settings!$C$7),0)+IF(ISNUMBER(AK184),AK184*IF($D184="Unlabeled-13",MCDM_Settings!$E$8,MCDM_Settings!$C$8),0)+IF(ISNUMBER(AN184),AN184*IF($D184="Unlabeled-13",MCDM_Settings!$E$9,MCDM_Settings!$C$9),0)+IF(ISNUMBER(AQ184),AQ184*IF($D184="Unlabeled-13",MCDM_Settings!$E$10,MCDM_Settings!$C$10),0)+IF(ISNUMBER(AT184),AT184*IF($D184="Unlabeled-13",MCDM_Settings!$E$11,MCDM_Settings!$C$11),0)))</f>
        <v>0.69444444444444442</v>
      </c>
      <c r="H184" s="5" t="str">
        <f>INDEX(Manual_Review!$AH$6:$AH$238,MATCH(A184,Manual_Review!$A$6:$A$238,0))</f>
        <v>Not started</v>
      </c>
      <c r="I184" s="5" t="s">
        <v>182</v>
      </c>
      <c r="J184" s="5" t="s">
        <v>1999</v>
      </c>
      <c r="K184" s="5" t="str">
        <f>HYPERLINK("https://huggingface.co/datasets/DarrylT/M2S-RoAD","Dataset")</f>
        <v>Dataset</v>
      </c>
      <c r="L184" s="5" t="str">
        <f>HYPERLINK("#'Manual_Review'!A"&amp;(MATCH("DS-179",Manual_Review!$A$6:$A$238,0)+5),"Enter review")</f>
        <v>Enter review</v>
      </c>
      <c r="M184" s="5" t="str">
        <f>INDEX(MCDM_Checks!$K$6:$K$3733,MATCH(A184&amp;"|"&amp;M$5,MCDM_Checks!$A$6:$A$3733,0))</f>
        <v>Y</v>
      </c>
      <c r="N184" s="5" t="str">
        <f>INDEX(MCDM_Checks!$K$6:$K$3733,MATCH(A184&amp;"|"&amp;N$5,MCDM_Checks!$A$6:$A$3733,0))</f>
        <v>Y</v>
      </c>
      <c r="O184" s="5" t="str">
        <f>INDEX(MCDM_Checks!$K$6:$K$3733,MATCH(A184&amp;"|"&amp;O$5,MCDM_Checks!$A$6:$A$3733,0))</f>
        <v>Y</v>
      </c>
      <c r="P184" s="5" t="str">
        <f>INDEX(MCDM_Checks!$K$6:$K$3733,MATCH(A184&amp;"|"&amp;P$5,MCDM_Checks!$A$6:$A$3733,0))</f>
        <v>Y</v>
      </c>
      <c r="Q184" s="5" t="str">
        <f>INDEX(MCDM_Checks!$K$6:$K$3733,MATCH(A184&amp;"|"&amp;Q$5,MCDM_Checks!$A$6:$A$3733,0))</f>
        <v>Y</v>
      </c>
      <c r="R184" s="5" t="str">
        <f>INDEX(MCDM_Checks!$K$6:$K$3733,MATCH(A184&amp;"|"&amp;R$5,MCDM_Checks!$A$6:$A$3733,0))</f>
        <v>U</v>
      </c>
      <c r="S184" s="5" t="str">
        <f>INDEX(MCDM_Checks!$K$6:$K$3733,MATCH(A184&amp;"|"&amp;S$5,MCDM_Checks!$A$6:$A$3733,0))</f>
        <v>U</v>
      </c>
      <c r="T184" s="5" t="str">
        <f>INDEX(MCDM_Checks!$K$6:$K$3733,MATCH(A184&amp;"|"&amp;T$5,MCDM_Checks!$A$6:$A$3733,0))</f>
        <v>Y</v>
      </c>
      <c r="U184" s="5" t="str">
        <f>INDEX(MCDM_Checks!$K$6:$K$3733,MATCH(A184&amp;"|"&amp;U$5,MCDM_Checks!$A$6:$A$3733,0))</f>
        <v>U</v>
      </c>
      <c r="V184" s="5" t="str">
        <f>INDEX(MCDM_Checks!$K$6:$K$3733,MATCH(A184&amp;"|"&amp;V$5,MCDM_Checks!$A$6:$A$3733,0))</f>
        <v>Y</v>
      </c>
      <c r="W184" s="5" t="str">
        <f>INDEX(MCDM_Checks!$K$6:$K$3733,MATCH(A184&amp;"|"&amp;W$5,MCDM_Checks!$A$6:$A$3733,0))</f>
        <v>Y</v>
      </c>
      <c r="X184" s="5" t="str">
        <f>INDEX(MCDM_Checks!$K$6:$K$3733,MATCH(A184&amp;"|"&amp;X$5,MCDM_Checks!$A$6:$A$3733,0))</f>
        <v>Y</v>
      </c>
      <c r="Y184" s="5" t="str">
        <f>INDEX(MCDM_Checks!$K$6:$K$3733,MATCH(A184&amp;"|"&amp;Y$5,MCDM_Checks!$A$6:$A$3733,0))</f>
        <v>U</v>
      </c>
      <c r="Z184" s="5" t="str">
        <f>INDEX(MCDM_Checks!$K$6:$K$3733,MATCH(A184&amp;"|"&amp;Z$5,MCDM_Checks!$A$6:$A$3733,0))</f>
        <v>Y</v>
      </c>
      <c r="AA184" s="5" t="str">
        <f>INDEX(MCDM_Checks!$K$6:$K$3733,MATCH(A184&amp;"|"&amp;AA$5,MCDM_Checks!$A$6:$A$3733,0))</f>
        <v>U</v>
      </c>
      <c r="AB184" s="5" t="str">
        <f>INDEX(MCDM_Checks!$K$6:$K$3733,MATCH(A184&amp;"|"&amp;AB$5,MCDM_Checks!$A$6:$A$3733,0))</f>
        <v>Y</v>
      </c>
      <c r="AC184" s="12">
        <f>IF(IF($D184="Unlabeled-13",MCDM_Settings!$F$6,MCDM_Settings!$D$6)=0,"n.a.",5*COUNTIF(M184:O184,"Y")/IF($D184="Unlabeled-13",MCDM_Settings!$F$6,MCDM_Settings!$D$6))</f>
        <v>5</v>
      </c>
      <c r="AD184" s="12">
        <f>IF(IF($D184="Unlabeled-13",MCDM_Settings!$F$6,MCDM_Settings!$D$6)=0,"n.a.",5*(COUNTIF(M184:O184,"Y")+COUNTIF(M184:O184,"U")+COUNTIF(M184:O184,"X"))/IF($D184="Unlabeled-13",MCDM_Settings!$F$6,MCDM_Settings!$D$6))</f>
        <v>5</v>
      </c>
      <c r="AE184" s="13">
        <f>IF(IF($D184="Unlabeled-13",MCDM_Settings!$F$6,MCDM_Settings!$D$6)=0,"n.a.",(COUNTIF(M184:O184,"Y")+COUNTIF(M184:O184,"N"))/IF($D184="Unlabeled-13",MCDM_Settings!$F$6,MCDM_Settings!$D$6))</f>
        <v>1</v>
      </c>
      <c r="AF184" s="12">
        <f>IF(IF($D184="Unlabeled-13",MCDM_Settings!$F$7,MCDM_Settings!$D$7)=0,"n.a.",5*COUNTIF(P184:R184,"Y")/IF($D184="Unlabeled-13",MCDM_Settings!$F$7,MCDM_Settings!$D$7))</f>
        <v>3.3333333333333335</v>
      </c>
      <c r="AG184" s="12">
        <f>IF(IF($D184="Unlabeled-13",MCDM_Settings!$F$7,MCDM_Settings!$D$7)=0,"n.a.",5*(COUNTIF(P184:R184,"Y")+COUNTIF(P184:R184,"U")+COUNTIF(P184:R184,"X"))/IF($D184="Unlabeled-13",MCDM_Settings!$F$7,MCDM_Settings!$D$7))</f>
        <v>5</v>
      </c>
      <c r="AH184" s="13">
        <f>IF(IF($D184="Unlabeled-13",MCDM_Settings!$F$7,MCDM_Settings!$D$7)=0,"n.a.",(COUNTIF(P184:R184,"Y")+COUNTIF(P184:R184,"N"))/IF($D184="Unlabeled-13",MCDM_Settings!$F$7,MCDM_Settings!$D$7))</f>
        <v>0.66666666666666663</v>
      </c>
      <c r="AI184" s="12">
        <f>IF(IF($D184="Unlabeled-13",MCDM_Settings!$F$8,MCDM_Settings!$D$8)=0,"n.a.",5*COUNTIF(S184:U184,"Y")/IF($D184="Unlabeled-13",MCDM_Settings!$F$8,MCDM_Settings!$D$8))</f>
        <v>1.6666666666666667</v>
      </c>
      <c r="AJ184" s="12">
        <f>IF(IF($D184="Unlabeled-13",MCDM_Settings!$F$8,MCDM_Settings!$D$8)=0,"n.a.",5*(COUNTIF(S184:U184,"Y")+COUNTIF(S184:U184,"U")+COUNTIF(S184:U184,"X"))/IF($D184="Unlabeled-13",MCDM_Settings!$F$8,MCDM_Settings!$D$8))</f>
        <v>5</v>
      </c>
      <c r="AK184" s="13">
        <f>IF(IF($D184="Unlabeled-13",MCDM_Settings!$F$8,MCDM_Settings!$D$8)=0,"n.a.",(COUNTIF(S184:U184,"Y")+COUNTIF(S184:U184,"N"))/IF($D184="Unlabeled-13",MCDM_Settings!$F$8,MCDM_Settings!$D$8))</f>
        <v>0.33333333333333331</v>
      </c>
      <c r="AL184" s="12">
        <f>IF(IF($D184="Unlabeled-13",MCDM_Settings!$F$9,MCDM_Settings!$D$9)=0,"n.a.",5*COUNTIF(V184:W184,"Y")/IF($D184="Unlabeled-13",MCDM_Settings!$F$9,MCDM_Settings!$D$9))</f>
        <v>5</v>
      </c>
      <c r="AM184" s="12">
        <f>IF(IF($D184="Unlabeled-13",MCDM_Settings!$F$9,MCDM_Settings!$D$9)=0,"n.a.",5*(COUNTIF(V184:W184,"Y")+COUNTIF(V184:W184,"U")+COUNTIF(V184:W184,"X"))/IF($D184="Unlabeled-13",MCDM_Settings!$F$9,MCDM_Settings!$D$9))</f>
        <v>5</v>
      </c>
      <c r="AN184" s="13">
        <f>IF(IF($D184="Unlabeled-13",MCDM_Settings!$F$9,MCDM_Settings!$D$9)=0,"n.a.",(COUNTIF(V184:W184,"Y")+COUNTIF(V184:W184,"N"))/IF($D184="Unlabeled-13",MCDM_Settings!$F$9,MCDM_Settings!$D$9))</f>
        <v>1</v>
      </c>
      <c r="AO184" s="12">
        <f>IF(IF($D184="Unlabeled-13",MCDM_Settings!$F$10,MCDM_Settings!$D$10)=0,"n.a.",5*COUNTIF(X184:Y184,"Y")/IF($D184="Unlabeled-13",MCDM_Settings!$F$10,MCDM_Settings!$D$10))</f>
        <v>2.5</v>
      </c>
      <c r="AP184" s="12">
        <f>IF(IF($D184="Unlabeled-13",MCDM_Settings!$F$10,MCDM_Settings!$D$10)=0,"n.a.",5*(COUNTIF(X184:Y184,"Y")+COUNTIF(X184:Y184,"U")+COUNTIF(X184:Y184,"X"))/IF($D184="Unlabeled-13",MCDM_Settings!$F$10,MCDM_Settings!$D$10))</f>
        <v>5</v>
      </c>
      <c r="AQ184" s="13">
        <f>IF(IF($D184="Unlabeled-13",MCDM_Settings!$F$10,MCDM_Settings!$D$10)=0,"n.a.",(COUNTIF(X184:Y184,"Y")+COUNTIF(X184:Y184,"N"))/IF($D184="Unlabeled-13",MCDM_Settings!$F$10,MCDM_Settings!$D$10))</f>
        <v>0.5</v>
      </c>
      <c r="AR184" s="12">
        <f>IF(IF($D184="Unlabeled-13",MCDM_Settings!$F$11,MCDM_Settings!$D$11)=0,"n.a.",5*COUNTIF(Z184:AB184,"Y")/IF($D184="Unlabeled-13",MCDM_Settings!$F$11,MCDM_Settings!$D$11))</f>
        <v>3.3333333333333335</v>
      </c>
      <c r="AS184" s="12">
        <f>IF(IF($D184="Unlabeled-13",MCDM_Settings!$F$11,MCDM_Settings!$D$11)=0,"n.a.",5*(COUNTIF(Z184:AB184,"Y")+COUNTIF(Z184:AB184,"U")+COUNTIF(Z184:AB184,"X"))/IF($D184="Unlabeled-13",MCDM_Settings!$F$11,MCDM_Settings!$D$11))</f>
        <v>5</v>
      </c>
      <c r="AT184" s="13">
        <f>IF(IF($D184="Unlabeled-13",MCDM_Settings!$F$11,MCDM_Settings!$D$11)=0,"n.a.",(COUNTIF(Z184:AB184,"Y")+COUNTIF(Z184:AB184,"N"))/IF($D184="Unlabeled-13",MCDM_Settings!$F$11,MCDM_Settings!$D$11))</f>
        <v>0.66666666666666663</v>
      </c>
      <c r="AU184" s="5" t="str">
        <f>IF(AND(INDEX(Manual_Review!$G$6:$G$238,MATCH(A184,Manual_Review!$A$6:$A$238,0))&lt;&gt;"",ISNUMBER(INDEX(Manual_Review!$H$6:$H$238,MATCH(A184,Manual_Review!$A$6:$A$238,0))),INDEX(Manual_Review!$H$6:$H$238,MATCH(A184,Manual_Review!$A$6:$A$238,0))&gt;0,INDEX(Manual_Review!$I$6:$I$238,MATCH(A184,Manual_Review!$A$6:$A$238,0))="Confirmed",INDEX(Manual_Review!$AF$6:$AF$238,MATCH(A184,Manual_Review!$A$6:$A$238,0))&lt;&gt;""),IF(INDEX(Manual_Review!$AA$6:$AA$238,MATCH(A184,Manual_Review!$A$6:$A$238,0))="Pass","Pass",IF(INDEX(Manual_Review!$AA$6:$AA$238,MATCH(A184,Manual_Review!$A$6:$A$238,0))="Fail","Fail","Pending")),"Pending human identity confirmation")</f>
        <v>Pending human identity confirmation</v>
      </c>
      <c r="AV184" s="5" t="str">
        <f>IF(AND(AND(INDEX(Manual_Review!$G$6:$G$238,MATCH(A184,Manual_Review!$A$6:$A$238,0))&lt;&gt;"",ISNUMBER(INDEX(Manual_Review!$H$6:$H$238,MATCH(A184,Manual_Review!$A$6:$A$238,0))),INDEX(Manual_Review!$H$6:$H$238,MATCH(A184,Manual_Review!$A$6:$A$238,0))&gt;0,INDEX(Manual_Review!$I$6:$I$238,MATCH(A184,Manual_Review!$A$6:$A$238,0))="Confirmed",INDEX(Manual_Review!$AF$6:$AF$238,MATCH(A184,Manual_Review!$A$6:$A$238,0))&lt;&gt;""),INDEX(Manual_Review!$AG$6:$AG$238,MATCH(A184,Manual_Review!$A$6:$A$238,0))&lt;&gt;""),IF(INDEX(Manual_Review!$AB$6:$AB$238,MATCH(A184,Manual_Review!$A$6:$A$238,0))="Pass","Pass",IF(INDEX(Manual_Review!$AB$6:$AB$238,MATCH(A184,Manual_Review!$A$6:$A$238,0))="Fail","Fail","Pending")),"Not assessed: define intended task")</f>
        <v>Not assessed: define intended task</v>
      </c>
      <c r="AW184" s="5" t="str">
        <f>IF(AND(AND(INDEX(Manual_Review!$G$6:$G$238,MATCH(A184,Manual_Review!$A$6:$A$238,0))&lt;&gt;"",ISNUMBER(INDEX(Manual_Review!$H$6:$H$238,MATCH(A184,Manual_Review!$A$6:$A$238,0))),INDEX(Manual_Review!$H$6:$H$238,MATCH(A184,Manual_Review!$A$6:$A$238,0))&gt;0,INDEX(Manual_Review!$I$6:$I$238,MATCH(A184,Manual_Review!$A$6:$A$238,0))="Confirmed",INDEX(Manual_Review!$AF$6:$AF$238,MATCH(A184,Manual_Review!$A$6:$A$238,0))&lt;&gt;""),INDEX(Manual_Review!$AG$6:$AG$238,MATCH(A184,Manual_Review!$A$6:$A$238,0))&lt;&gt;""),IF(OR(INDEX(Manual_Review!$AC$6:$AC$238,MATCH(A184,Manual_Review!$A$6:$A$238,0))="Fail",INDEX(Manual_Review!$AD$6:$AD$238,MATCH(A184,Manual_Review!$A$6:$A$238,0))="Fail"),"Fail: rights or retrieval",IF(AND(INDEX(Manual_Review!$AC$6:$AC$238,MATCH(A184,Manual_Review!$A$6:$A$238,0))="Pass",INDEX(Manual_Review!$AD$6:$AD$238,MATCH(A184,Manual_Review!$A$6:$A$238,0))="Pass"),"Pass","Pending rights and retrieval")),"Pending rights and retrieval")</f>
        <v>Pending rights and retrieval</v>
      </c>
      <c r="AX184" s="5" t="str">
        <f>IF(INDEX(Manual_Review!$AG$6:$AG$238,MATCH(A184,Manual_Review!$A$6:$A$238,0))="","N/A: documentation inventory",IF(AND(INDEX(Manual_Review!$G$6:$G$238,MATCH(A184,Manual_Review!$A$6:$A$238,0))&lt;&gt;"",ISNUMBER(INDEX(Manual_Review!$H$6:$H$238,MATCH(A184,Manual_Review!$A$6:$A$238,0))),INDEX(Manual_Review!$H$6:$H$238,MATCH(A184,Manual_Review!$A$6:$A$238,0))&gt;0,INDEX(Manual_Review!$I$6:$I$238,MATCH(A184,Manual_Review!$A$6:$A$238,0))="Confirmed",INDEX(Manual_Review!$AF$6:$AF$238,MATCH(A184,Manual_Review!$A$6:$A$238,0))&lt;&gt;""),IF(INDEX(Manual_Review!$AE$6:$AE$238,MATCH(A184,Manual_Review!$A$6:$A$238,0))="Pass","Pass",IF(INDEX(Manual_Review!$AE$6:$AE$238,MATCH(A184,Manual_Review!$A$6:$A$238,0))="Fail","Fail: benchmark leakage",IF(INDEX(Manual_Review!$AE$6:$AE$238,MATCH(A184,Manual_Review!$A$6:$A$238,0))="N/A","N/A: nonbenchmark task","Pending task-specific leakage check"))),"Pending task-specific leakage check"))</f>
        <v>N/A: documentation inventory</v>
      </c>
      <c r="AY184" s="5" t="str">
        <f>IF(IF(D184="Unlabeled-13",AND(ABS(MCDM_Settings!$D$14-1)&lt;0.0000001,MIN(MCDM_Settings!$E$6:$E$11)&gt;=0,MCDM_Settings!$E$7=0),AND(ABS(MCDM_Settings!$B$14-1)&lt;0.0000001,MIN(MCDM_Settings!$C$6:$C$11)&gt;=0)),"Valid","Check weights")</f>
        <v>Valid</v>
      </c>
      <c r="AZ184" s="5" t="str">
        <f>IF(AND(COUNTIF(MCDM_Checks!$B$6:$B$3733,A184)=16,COUNTIF(Manual_Review!$A$6:$A$238,A184)=1),"16 keys present","Check key count")</f>
        <v>16 keys present</v>
      </c>
    </row>
    <row r="185" spans="1:52">
      <c r="A185" s="5" t="s">
        <v>2011</v>
      </c>
      <c r="B185" s="5" t="s">
        <v>2012</v>
      </c>
      <c r="C185" s="5"/>
      <c r="D185" s="5" t="s">
        <v>118</v>
      </c>
      <c r="E185" s="12">
        <f>IF(OR(AY185&lt;&gt;"Valid",AZ185&lt;&gt;"16 keys present"),"Review settings",20*(IF(ISNUMBER(AC185),AC185*IF($D185="Unlabeled-13",MCDM_Settings!$E$6,MCDM_Settings!$C$6),0)+IF(ISNUMBER(AF185),AF185*IF($D185="Unlabeled-13",MCDM_Settings!$E$7,MCDM_Settings!$C$7),0)+IF(ISNUMBER(AI185),AI185*IF($D185="Unlabeled-13",MCDM_Settings!$E$8,MCDM_Settings!$C$8),0)+IF(ISNUMBER(AL185),AL185*IF($D185="Unlabeled-13",MCDM_Settings!$E$9,MCDM_Settings!$C$9),0)+IF(ISNUMBER(AO185),AO185*IF($D185="Unlabeled-13",MCDM_Settings!$E$10,MCDM_Settings!$C$10),0)+IF(ISNUMBER(AR185),AR185*IF($D185="Unlabeled-13",MCDM_Settings!$E$11,MCDM_Settings!$C$11),0)))</f>
        <v>61.111111111111107</v>
      </c>
      <c r="F185" s="12">
        <f>IF(OR(AY185&lt;&gt;"Valid",AZ185&lt;&gt;"16 keys present"),"Review settings",20*(IF(ISNUMBER(AD185),AD185*IF($D185="Unlabeled-13",MCDM_Settings!$E$6,MCDM_Settings!$C$6),0)+IF(ISNUMBER(AG185),AG185*IF($D185="Unlabeled-13",MCDM_Settings!$E$7,MCDM_Settings!$C$7),0)+IF(ISNUMBER(AJ185),AJ185*IF($D185="Unlabeled-13",MCDM_Settings!$E$8,MCDM_Settings!$C$8),0)+IF(ISNUMBER(AM185),AM185*IF($D185="Unlabeled-13",MCDM_Settings!$E$9,MCDM_Settings!$C$9),0)+IF(ISNUMBER(AP185),AP185*IF($D185="Unlabeled-13",MCDM_Settings!$E$10,MCDM_Settings!$C$10),0)+IF(ISNUMBER(AS185),AS185*IF($D185="Unlabeled-13",MCDM_Settings!$E$11,MCDM_Settings!$C$11),0)))</f>
        <v>99.999999999999986</v>
      </c>
      <c r="G185" s="13">
        <f>IF(OR(AY185&lt;&gt;"Valid",AZ185&lt;&gt;"16 keys present"),"Review settings",1*(IF(ISNUMBER(AE185),AE185*IF($D185="Unlabeled-13",MCDM_Settings!$E$6,MCDM_Settings!$C$6),0)+IF(ISNUMBER(AH185),AH185*IF($D185="Unlabeled-13",MCDM_Settings!$E$7,MCDM_Settings!$C$7),0)+IF(ISNUMBER(AK185),AK185*IF($D185="Unlabeled-13",MCDM_Settings!$E$8,MCDM_Settings!$C$8),0)+IF(ISNUMBER(AN185),AN185*IF($D185="Unlabeled-13",MCDM_Settings!$E$9,MCDM_Settings!$C$9),0)+IF(ISNUMBER(AQ185),AQ185*IF($D185="Unlabeled-13",MCDM_Settings!$E$10,MCDM_Settings!$C$10),0)+IF(ISNUMBER(AT185),AT185*IF($D185="Unlabeled-13",MCDM_Settings!$E$11,MCDM_Settings!$C$11),0)))</f>
        <v>0.61111111111111116</v>
      </c>
      <c r="H185" s="5" t="str">
        <f>INDEX(Manual_Review!$AH$6:$AH$238,MATCH(A185,Manual_Review!$A$6:$A$238,0))</f>
        <v>Not started</v>
      </c>
      <c r="I185" s="5" t="s">
        <v>182</v>
      </c>
      <c r="J185" s="5" t="s">
        <v>2013</v>
      </c>
      <c r="K185" s="5" t="str">
        <f>HYPERLINK("https://huggingface.co/datasets/AD-Assurance-Lab/winter-driving-dataset","Dataset")</f>
        <v>Dataset</v>
      </c>
      <c r="L185" s="5" t="str">
        <f>HYPERLINK("#'Manual_Review'!A"&amp;(MATCH("DS-180",Manual_Review!$A$6:$A$238,0)+5),"Enter review")</f>
        <v>Enter review</v>
      </c>
      <c r="M185" s="5" t="str">
        <f>INDEX(MCDM_Checks!$K$6:$K$3733,MATCH(A185&amp;"|"&amp;M$5,MCDM_Checks!$A$6:$A$3733,0))</f>
        <v>Y</v>
      </c>
      <c r="N185" s="5" t="str">
        <f>INDEX(MCDM_Checks!$K$6:$K$3733,MATCH(A185&amp;"|"&amp;N$5,MCDM_Checks!$A$6:$A$3733,0))</f>
        <v>Y</v>
      </c>
      <c r="O185" s="5" t="str">
        <f>INDEX(MCDM_Checks!$K$6:$K$3733,MATCH(A185&amp;"|"&amp;O$5,MCDM_Checks!$A$6:$A$3733,0))</f>
        <v>Y</v>
      </c>
      <c r="P185" s="5" t="str">
        <f>INDEX(MCDM_Checks!$K$6:$K$3733,MATCH(A185&amp;"|"&amp;P$5,MCDM_Checks!$A$6:$A$3733,0))</f>
        <v>Y</v>
      </c>
      <c r="Q185" s="5" t="str">
        <f>INDEX(MCDM_Checks!$K$6:$K$3733,MATCH(A185&amp;"|"&amp;Q$5,MCDM_Checks!$A$6:$A$3733,0))</f>
        <v>Y</v>
      </c>
      <c r="R185" s="5" t="str">
        <f>INDEX(MCDM_Checks!$K$6:$K$3733,MATCH(A185&amp;"|"&amp;R$5,MCDM_Checks!$A$6:$A$3733,0))</f>
        <v>U</v>
      </c>
      <c r="S185" s="5" t="str">
        <f>INDEX(MCDM_Checks!$K$6:$K$3733,MATCH(A185&amp;"|"&amp;S$5,MCDM_Checks!$A$6:$A$3733,0))</f>
        <v>Y</v>
      </c>
      <c r="T185" s="5" t="str">
        <f>INDEX(MCDM_Checks!$K$6:$K$3733,MATCH(A185&amp;"|"&amp;T$5,MCDM_Checks!$A$6:$A$3733,0))</f>
        <v>Y</v>
      </c>
      <c r="U185" s="5" t="str">
        <f>INDEX(MCDM_Checks!$K$6:$K$3733,MATCH(A185&amp;"|"&amp;U$5,MCDM_Checks!$A$6:$A$3733,0))</f>
        <v>U</v>
      </c>
      <c r="V185" s="5" t="str">
        <f>INDEX(MCDM_Checks!$K$6:$K$3733,MATCH(A185&amp;"|"&amp;V$5,MCDM_Checks!$A$6:$A$3733,0))</f>
        <v>U</v>
      </c>
      <c r="W185" s="5" t="str">
        <f>INDEX(MCDM_Checks!$K$6:$K$3733,MATCH(A185&amp;"|"&amp;W$5,MCDM_Checks!$A$6:$A$3733,0))</f>
        <v>U</v>
      </c>
      <c r="X185" s="5" t="str">
        <f>INDEX(MCDM_Checks!$K$6:$K$3733,MATCH(A185&amp;"|"&amp;X$5,MCDM_Checks!$A$6:$A$3733,0))</f>
        <v>Y</v>
      </c>
      <c r="Y185" s="5" t="str">
        <f>INDEX(MCDM_Checks!$K$6:$K$3733,MATCH(A185&amp;"|"&amp;Y$5,MCDM_Checks!$A$6:$A$3733,0))</f>
        <v>Y</v>
      </c>
      <c r="Z185" s="5" t="str">
        <f>INDEX(MCDM_Checks!$K$6:$K$3733,MATCH(A185&amp;"|"&amp;Z$5,MCDM_Checks!$A$6:$A$3733,0))</f>
        <v>Y</v>
      </c>
      <c r="AA185" s="5" t="str">
        <f>INDEX(MCDM_Checks!$K$6:$K$3733,MATCH(A185&amp;"|"&amp;AA$5,MCDM_Checks!$A$6:$A$3733,0))</f>
        <v>U</v>
      </c>
      <c r="AB185" s="5" t="str">
        <f>INDEX(MCDM_Checks!$K$6:$K$3733,MATCH(A185&amp;"|"&amp;AB$5,MCDM_Checks!$A$6:$A$3733,0))</f>
        <v>U</v>
      </c>
      <c r="AC185" s="12">
        <f>IF(IF($D185="Unlabeled-13",MCDM_Settings!$F$6,MCDM_Settings!$D$6)=0,"n.a.",5*COUNTIF(M185:O185,"Y")/IF($D185="Unlabeled-13",MCDM_Settings!$F$6,MCDM_Settings!$D$6))</f>
        <v>5</v>
      </c>
      <c r="AD185" s="12">
        <f>IF(IF($D185="Unlabeled-13",MCDM_Settings!$F$6,MCDM_Settings!$D$6)=0,"n.a.",5*(COUNTIF(M185:O185,"Y")+COUNTIF(M185:O185,"U")+COUNTIF(M185:O185,"X"))/IF($D185="Unlabeled-13",MCDM_Settings!$F$6,MCDM_Settings!$D$6))</f>
        <v>5</v>
      </c>
      <c r="AE185" s="13">
        <f>IF(IF($D185="Unlabeled-13",MCDM_Settings!$F$6,MCDM_Settings!$D$6)=0,"n.a.",(COUNTIF(M185:O185,"Y")+COUNTIF(M185:O185,"N"))/IF($D185="Unlabeled-13",MCDM_Settings!$F$6,MCDM_Settings!$D$6))</f>
        <v>1</v>
      </c>
      <c r="AF185" s="12">
        <f>IF(IF($D185="Unlabeled-13",MCDM_Settings!$F$7,MCDM_Settings!$D$7)=0,"n.a.",5*COUNTIF(P185:R185,"Y")/IF($D185="Unlabeled-13",MCDM_Settings!$F$7,MCDM_Settings!$D$7))</f>
        <v>3.3333333333333335</v>
      </c>
      <c r="AG185" s="12">
        <f>IF(IF($D185="Unlabeled-13",MCDM_Settings!$F$7,MCDM_Settings!$D$7)=0,"n.a.",5*(COUNTIF(P185:R185,"Y")+COUNTIF(P185:R185,"U")+COUNTIF(P185:R185,"X"))/IF($D185="Unlabeled-13",MCDM_Settings!$F$7,MCDM_Settings!$D$7))</f>
        <v>5</v>
      </c>
      <c r="AH185" s="13">
        <f>IF(IF($D185="Unlabeled-13",MCDM_Settings!$F$7,MCDM_Settings!$D$7)=0,"n.a.",(COUNTIF(P185:R185,"Y")+COUNTIF(P185:R185,"N"))/IF($D185="Unlabeled-13",MCDM_Settings!$F$7,MCDM_Settings!$D$7))</f>
        <v>0.66666666666666663</v>
      </c>
      <c r="AI185" s="12">
        <f>IF(IF($D185="Unlabeled-13",MCDM_Settings!$F$8,MCDM_Settings!$D$8)=0,"n.a.",5*COUNTIF(S185:U185,"Y")/IF($D185="Unlabeled-13",MCDM_Settings!$F$8,MCDM_Settings!$D$8))</f>
        <v>3.3333333333333335</v>
      </c>
      <c r="AJ185" s="12">
        <f>IF(IF($D185="Unlabeled-13",MCDM_Settings!$F$8,MCDM_Settings!$D$8)=0,"n.a.",5*(COUNTIF(S185:U185,"Y")+COUNTIF(S185:U185,"U")+COUNTIF(S185:U185,"X"))/IF($D185="Unlabeled-13",MCDM_Settings!$F$8,MCDM_Settings!$D$8))</f>
        <v>5</v>
      </c>
      <c r="AK185" s="13">
        <f>IF(IF($D185="Unlabeled-13",MCDM_Settings!$F$8,MCDM_Settings!$D$8)=0,"n.a.",(COUNTIF(S185:U185,"Y")+COUNTIF(S185:U185,"N"))/IF($D185="Unlabeled-13",MCDM_Settings!$F$8,MCDM_Settings!$D$8))</f>
        <v>0.66666666666666663</v>
      </c>
      <c r="AL185" s="12">
        <f>IF(IF($D185="Unlabeled-13",MCDM_Settings!$F$9,MCDM_Settings!$D$9)=0,"n.a.",5*COUNTIF(V185:W185,"Y")/IF($D185="Unlabeled-13",MCDM_Settings!$F$9,MCDM_Settings!$D$9))</f>
        <v>0</v>
      </c>
      <c r="AM185" s="12">
        <f>IF(IF($D185="Unlabeled-13",MCDM_Settings!$F$9,MCDM_Settings!$D$9)=0,"n.a.",5*(COUNTIF(V185:W185,"Y")+COUNTIF(V185:W185,"U")+COUNTIF(V185:W185,"X"))/IF($D185="Unlabeled-13",MCDM_Settings!$F$9,MCDM_Settings!$D$9))</f>
        <v>5</v>
      </c>
      <c r="AN185" s="13">
        <f>IF(IF($D185="Unlabeled-13",MCDM_Settings!$F$9,MCDM_Settings!$D$9)=0,"n.a.",(COUNTIF(V185:W185,"Y")+COUNTIF(V185:W185,"N"))/IF($D185="Unlabeled-13",MCDM_Settings!$F$9,MCDM_Settings!$D$9))</f>
        <v>0</v>
      </c>
      <c r="AO185" s="12">
        <f>IF(IF($D185="Unlabeled-13",MCDM_Settings!$F$10,MCDM_Settings!$D$10)=0,"n.a.",5*COUNTIF(X185:Y185,"Y")/IF($D185="Unlabeled-13",MCDM_Settings!$F$10,MCDM_Settings!$D$10))</f>
        <v>5</v>
      </c>
      <c r="AP185" s="12">
        <f>IF(IF($D185="Unlabeled-13",MCDM_Settings!$F$10,MCDM_Settings!$D$10)=0,"n.a.",5*(COUNTIF(X185:Y185,"Y")+COUNTIF(X185:Y185,"U")+COUNTIF(X185:Y185,"X"))/IF($D185="Unlabeled-13",MCDM_Settings!$F$10,MCDM_Settings!$D$10))</f>
        <v>5</v>
      </c>
      <c r="AQ185" s="13">
        <f>IF(IF($D185="Unlabeled-13",MCDM_Settings!$F$10,MCDM_Settings!$D$10)=0,"n.a.",(COUNTIF(X185:Y185,"Y")+COUNTIF(X185:Y185,"N"))/IF($D185="Unlabeled-13",MCDM_Settings!$F$10,MCDM_Settings!$D$10))</f>
        <v>1</v>
      </c>
      <c r="AR185" s="12">
        <f>IF(IF($D185="Unlabeled-13",MCDM_Settings!$F$11,MCDM_Settings!$D$11)=0,"n.a.",5*COUNTIF(Z185:AB185,"Y")/IF($D185="Unlabeled-13",MCDM_Settings!$F$11,MCDM_Settings!$D$11))</f>
        <v>1.6666666666666667</v>
      </c>
      <c r="AS185" s="12">
        <f>IF(IF($D185="Unlabeled-13",MCDM_Settings!$F$11,MCDM_Settings!$D$11)=0,"n.a.",5*(COUNTIF(Z185:AB185,"Y")+COUNTIF(Z185:AB185,"U")+COUNTIF(Z185:AB185,"X"))/IF($D185="Unlabeled-13",MCDM_Settings!$F$11,MCDM_Settings!$D$11))</f>
        <v>5</v>
      </c>
      <c r="AT185" s="13">
        <f>IF(IF($D185="Unlabeled-13",MCDM_Settings!$F$11,MCDM_Settings!$D$11)=0,"n.a.",(COUNTIF(Z185:AB185,"Y")+COUNTIF(Z185:AB185,"N"))/IF($D185="Unlabeled-13",MCDM_Settings!$F$11,MCDM_Settings!$D$11))</f>
        <v>0.33333333333333331</v>
      </c>
      <c r="AU185" s="5" t="str">
        <f>IF(AND(INDEX(Manual_Review!$G$6:$G$238,MATCH(A185,Manual_Review!$A$6:$A$238,0))&lt;&gt;"",ISNUMBER(INDEX(Manual_Review!$H$6:$H$238,MATCH(A185,Manual_Review!$A$6:$A$238,0))),INDEX(Manual_Review!$H$6:$H$238,MATCH(A185,Manual_Review!$A$6:$A$238,0))&gt;0,INDEX(Manual_Review!$I$6:$I$238,MATCH(A185,Manual_Review!$A$6:$A$238,0))="Confirmed",INDEX(Manual_Review!$AF$6:$AF$238,MATCH(A185,Manual_Review!$A$6:$A$238,0))&lt;&gt;""),IF(INDEX(Manual_Review!$AA$6:$AA$238,MATCH(A185,Manual_Review!$A$6:$A$238,0))="Pass","Pass",IF(INDEX(Manual_Review!$AA$6:$AA$238,MATCH(A185,Manual_Review!$A$6:$A$238,0))="Fail","Fail","Pending")),"Pending human identity confirmation")</f>
        <v>Pending human identity confirmation</v>
      </c>
      <c r="AV185" s="5" t="str">
        <f>IF(AND(AND(INDEX(Manual_Review!$G$6:$G$238,MATCH(A185,Manual_Review!$A$6:$A$238,0))&lt;&gt;"",ISNUMBER(INDEX(Manual_Review!$H$6:$H$238,MATCH(A185,Manual_Review!$A$6:$A$238,0))),INDEX(Manual_Review!$H$6:$H$238,MATCH(A185,Manual_Review!$A$6:$A$238,0))&gt;0,INDEX(Manual_Review!$I$6:$I$238,MATCH(A185,Manual_Review!$A$6:$A$238,0))="Confirmed",INDEX(Manual_Review!$AF$6:$AF$238,MATCH(A185,Manual_Review!$A$6:$A$238,0))&lt;&gt;""),INDEX(Manual_Review!$AG$6:$AG$238,MATCH(A185,Manual_Review!$A$6:$A$238,0))&lt;&gt;""),IF(INDEX(Manual_Review!$AB$6:$AB$238,MATCH(A185,Manual_Review!$A$6:$A$238,0))="Pass","Pass",IF(INDEX(Manual_Review!$AB$6:$AB$238,MATCH(A185,Manual_Review!$A$6:$A$238,0))="Fail","Fail","Pending")),"Not assessed: define intended task")</f>
        <v>Not assessed: define intended task</v>
      </c>
      <c r="AW185" s="5" t="str">
        <f>IF(AND(AND(INDEX(Manual_Review!$G$6:$G$238,MATCH(A185,Manual_Review!$A$6:$A$238,0))&lt;&gt;"",ISNUMBER(INDEX(Manual_Review!$H$6:$H$238,MATCH(A185,Manual_Review!$A$6:$A$238,0))),INDEX(Manual_Review!$H$6:$H$238,MATCH(A185,Manual_Review!$A$6:$A$238,0))&gt;0,INDEX(Manual_Review!$I$6:$I$238,MATCH(A185,Manual_Review!$A$6:$A$238,0))="Confirmed",INDEX(Manual_Review!$AF$6:$AF$238,MATCH(A185,Manual_Review!$A$6:$A$238,0))&lt;&gt;""),INDEX(Manual_Review!$AG$6:$AG$238,MATCH(A185,Manual_Review!$A$6:$A$238,0))&lt;&gt;""),IF(OR(INDEX(Manual_Review!$AC$6:$AC$238,MATCH(A185,Manual_Review!$A$6:$A$238,0))="Fail",INDEX(Manual_Review!$AD$6:$AD$238,MATCH(A185,Manual_Review!$A$6:$A$238,0))="Fail"),"Fail: rights or retrieval",IF(AND(INDEX(Manual_Review!$AC$6:$AC$238,MATCH(A185,Manual_Review!$A$6:$A$238,0))="Pass",INDEX(Manual_Review!$AD$6:$AD$238,MATCH(A185,Manual_Review!$A$6:$A$238,0))="Pass"),"Pass","Pending rights and retrieval")),"Pending rights and retrieval")</f>
        <v>Pending rights and retrieval</v>
      </c>
      <c r="AX185" s="5" t="str">
        <f>IF(INDEX(Manual_Review!$AG$6:$AG$238,MATCH(A185,Manual_Review!$A$6:$A$238,0))="","N/A: documentation inventory",IF(AND(INDEX(Manual_Review!$G$6:$G$238,MATCH(A185,Manual_Review!$A$6:$A$238,0))&lt;&gt;"",ISNUMBER(INDEX(Manual_Review!$H$6:$H$238,MATCH(A185,Manual_Review!$A$6:$A$238,0))),INDEX(Manual_Review!$H$6:$H$238,MATCH(A185,Manual_Review!$A$6:$A$238,0))&gt;0,INDEX(Manual_Review!$I$6:$I$238,MATCH(A185,Manual_Review!$A$6:$A$238,0))="Confirmed",INDEX(Manual_Review!$AF$6:$AF$238,MATCH(A185,Manual_Review!$A$6:$A$238,0))&lt;&gt;""),IF(INDEX(Manual_Review!$AE$6:$AE$238,MATCH(A185,Manual_Review!$A$6:$A$238,0))="Pass","Pass",IF(INDEX(Manual_Review!$AE$6:$AE$238,MATCH(A185,Manual_Review!$A$6:$A$238,0))="Fail","Fail: benchmark leakage",IF(INDEX(Manual_Review!$AE$6:$AE$238,MATCH(A185,Manual_Review!$A$6:$A$238,0))="N/A","N/A: nonbenchmark task","Pending task-specific leakage check"))),"Pending task-specific leakage check"))</f>
        <v>N/A: documentation inventory</v>
      </c>
      <c r="AY185" s="5" t="str">
        <f>IF(IF(D185="Unlabeled-13",AND(ABS(MCDM_Settings!$D$14-1)&lt;0.0000001,MIN(MCDM_Settings!$E$6:$E$11)&gt;=0,MCDM_Settings!$E$7=0),AND(ABS(MCDM_Settings!$B$14-1)&lt;0.0000001,MIN(MCDM_Settings!$C$6:$C$11)&gt;=0)),"Valid","Check weights")</f>
        <v>Valid</v>
      </c>
      <c r="AZ185" s="5" t="str">
        <f>IF(AND(COUNTIF(MCDM_Checks!$B$6:$B$3733,A185)=16,COUNTIF(Manual_Review!$A$6:$A$238,A185)=1),"16 keys present","Check key count")</f>
        <v>16 keys present</v>
      </c>
    </row>
    <row r="186" spans="1:52" ht="25.5">
      <c r="A186" s="5" t="s">
        <v>2025</v>
      </c>
      <c r="B186" s="5" t="s">
        <v>2026</v>
      </c>
      <c r="C186" s="5"/>
      <c r="D186" s="5" t="s">
        <v>118</v>
      </c>
      <c r="E186" s="12">
        <f>IF(OR(AY186&lt;&gt;"Valid",AZ186&lt;&gt;"16 keys present"),"Review settings",20*(IF(ISNUMBER(AC186),AC186*IF($D186="Unlabeled-13",MCDM_Settings!$E$6,MCDM_Settings!$C$6),0)+IF(ISNUMBER(AF186),AF186*IF($D186="Unlabeled-13",MCDM_Settings!$E$7,MCDM_Settings!$C$7),0)+IF(ISNUMBER(AI186),AI186*IF($D186="Unlabeled-13",MCDM_Settings!$E$8,MCDM_Settings!$C$8),0)+IF(ISNUMBER(AL186),AL186*IF($D186="Unlabeled-13",MCDM_Settings!$E$9,MCDM_Settings!$C$9),0)+IF(ISNUMBER(AO186),AO186*IF($D186="Unlabeled-13",MCDM_Settings!$E$10,MCDM_Settings!$C$10),0)+IF(ISNUMBER(AR186),AR186*IF($D186="Unlabeled-13",MCDM_Settings!$E$11,MCDM_Settings!$C$11),0)))</f>
        <v>77.777777777777771</v>
      </c>
      <c r="F186" s="12">
        <f>IF(OR(AY186&lt;&gt;"Valid",AZ186&lt;&gt;"16 keys present"),"Review settings",20*(IF(ISNUMBER(AD186),AD186*IF($D186="Unlabeled-13",MCDM_Settings!$E$6,MCDM_Settings!$C$6),0)+IF(ISNUMBER(AG186),AG186*IF($D186="Unlabeled-13",MCDM_Settings!$E$7,MCDM_Settings!$C$7),0)+IF(ISNUMBER(AJ186),AJ186*IF($D186="Unlabeled-13",MCDM_Settings!$E$8,MCDM_Settings!$C$8),0)+IF(ISNUMBER(AM186),AM186*IF($D186="Unlabeled-13",MCDM_Settings!$E$9,MCDM_Settings!$C$9),0)+IF(ISNUMBER(AP186),AP186*IF($D186="Unlabeled-13",MCDM_Settings!$E$10,MCDM_Settings!$C$10),0)+IF(ISNUMBER(AS186),AS186*IF($D186="Unlabeled-13",MCDM_Settings!$E$11,MCDM_Settings!$C$11),0)))</f>
        <v>99.999999999999986</v>
      </c>
      <c r="G186" s="13">
        <f>IF(OR(AY186&lt;&gt;"Valid",AZ186&lt;&gt;"16 keys present"),"Review settings",1*(IF(ISNUMBER(AE186),AE186*IF($D186="Unlabeled-13",MCDM_Settings!$E$6,MCDM_Settings!$C$6),0)+IF(ISNUMBER(AH186),AH186*IF($D186="Unlabeled-13",MCDM_Settings!$E$7,MCDM_Settings!$C$7),0)+IF(ISNUMBER(AK186),AK186*IF($D186="Unlabeled-13",MCDM_Settings!$E$8,MCDM_Settings!$C$8),0)+IF(ISNUMBER(AN186),AN186*IF($D186="Unlabeled-13",MCDM_Settings!$E$9,MCDM_Settings!$C$9),0)+IF(ISNUMBER(AQ186),AQ186*IF($D186="Unlabeled-13",MCDM_Settings!$E$10,MCDM_Settings!$C$10),0)+IF(ISNUMBER(AT186),AT186*IF($D186="Unlabeled-13",MCDM_Settings!$E$11,MCDM_Settings!$C$11),0)))</f>
        <v>0.77777777777777768</v>
      </c>
      <c r="H186" s="5" t="str">
        <f>INDEX(Manual_Review!$AH$6:$AH$238,MATCH(A186,Manual_Review!$A$6:$A$238,0))</f>
        <v>Not started</v>
      </c>
      <c r="I186" s="5" t="s">
        <v>182</v>
      </c>
      <c r="J186" s="5" t="s">
        <v>2027</v>
      </c>
      <c r="K186" s="5" t="str">
        <f>HYPERLINK("https://lapix.ufsc.br/pesquisas/projeto-veiculo-autonomo/datasets/?lang=en","Dataset")</f>
        <v>Dataset</v>
      </c>
      <c r="L186" s="5" t="str">
        <f>HYPERLINK("#'Manual_Review'!A"&amp;(MATCH("DS-181",Manual_Review!$A$6:$A$238,0)+5),"Enter review")</f>
        <v>Enter review</v>
      </c>
      <c r="M186" s="5" t="str">
        <f>INDEX(MCDM_Checks!$K$6:$K$3733,MATCH(A186&amp;"|"&amp;M$5,MCDM_Checks!$A$6:$A$3733,0))</f>
        <v>Y</v>
      </c>
      <c r="N186" s="5" t="str">
        <f>INDEX(MCDM_Checks!$K$6:$K$3733,MATCH(A186&amp;"|"&amp;N$5,MCDM_Checks!$A$6:$A$3733,0))</f>
        <v>Y</v>
      </c>
      <c r="O186" s="5" t="str">
        <f>INDEX(MCDM_Checks!$K$6:$K$3733,MATCH(A186&amp;"|"&amp;O$5,MCDM_Checks!$A$6:$A$3733,0))</f>
        <v>U</v>
      </c>
      <c r="P186" s="5" t="str">
        <f>INDEX(MCDM_Checks!$K$6:$K$3733,MATCH(A186&amp;"|"&amp;P$5,MCDM_Checks!$A$6:$A$3733,0))</f>
        <v>Y</v>
      </c>
      <c r="Q186" s="5" t="str">
        <f>INDEX(MCDM_Checks!$K$6:$K$3733,MATCH(A186&amp;"|"&amp;Q$5,MCDM_Checks!$A$6:$A$3733,0))</f>
        <v>U</v>
      </c>
      <c r="R186" s="5" t="str">
        <f>INDEX(MCDM_Checks!$K$6:$K$3733,MATCH(A186&amp;"|"&amp;R$5,MCDM_Checks!$A$6:$A$3733,0))</f>
        <v>U</v>
      </c>
      <c r="S186" s="5" t="str">
        <f>INDEX(MCDM_Checks!$K$6:$K$3733,MATCH(A186&amp;"|"&amp;S$5,MCDM_Checks!$A$6:$A$3733,0))</f>
        <v>Y</v>
      </c>
      <c r="T186" s="5" t="str">
        <f>INDEX(MCDM_Checks!$K$6:$K$3733,MATCH(A186&amp;"|"&amp;T$5,MCDM_Checks!$A$6:$A$3733,0))</f>
        <v>Y</v>
      </c>
      <c r="U186" s="5" t="str">
        <f>INDEX(MCDM_Checks!$K$6:$K$3733,MATCH(A186&amp;"|"&amp;U$5,MCDM_Checks!$A$6:$A$3733,0))</f>
        <v>Y</v>
      </c>
      <c r="V186" s="5" t="str">
        <f>INDEX(MCDM_Checks!$K$6:$K$3733,MATCH(A186&amp;"|"&amp;V$5,MCDM_Checks!$A$6:$A$3733,0))</f>
        <v>Y</v>
      </c>
      <c r="W186" s="5" t="str">
        <f>INDEX(MCDM_Checks!$K$6:$K$3733,MATCH(A186&amp;"|"&amp;W$5,MCDM_Checks!$A$6:$A$3733,0))</f>
        <v>Y</v>
      </c>
      <c r="X186" s="5" t="str">
        <f>INDEX(MCDM_Checks!$K$6:$K$3733,MATCH(A186&amp;"|"&amp;X$5,MCDM_Checks!$A$6:$A$3733,0))</f>
        <v>Y</v>
      </c>
      <c r="Y186" s="5" t="str">
        <f>INDEX(MCDM_Checks!$K$6:$K$3733,MATCH(A186&amp;"|"&amp;Y$5,MCDM_Checks!$A$6:$A$3733,0))</f>
        <v>Y</v>
      </c>
      <c r="Z186" s="5" t="str">
        <f>INDEX(MCDM_Checks!$K$6:$K$3733,MATCH(A186&amp;"|"&amp;Z$5,MCDM_Checks!$A$6:$A$3733,0))</f>
        <v>Y</v>
      </c>
      <c r="AA186" s="5" t="str">
        <f>INDEX(MCDM_Checks!$K$6:$K$3733,MATCH(A186&amp;"|"&amp;AA$5,MCDM_Checks!$A$6:$A$3733,0))</f>
        <v>U</v>
      </c>
      <c r="AB186" s="5" t="str">
        <f>INDEX(MCDM_Checks!$K$6:$K$3733,MATCH(A186&amp;"|"&amp;AB$5,MCDM_Checks!$A$6:$A$3733,0))</f>
        <v>Y</v>
      </c>
      <c r="AC186" s="12">
        <f>IF(IF($D186="Unlabeled-13",MCDM_Settings!$F$6,MCDM_Settings!$D$6)=0,"n.a.",5*COUNTIF(M186:O186,"Y")/IF($D186="Unlabeled-13",MCDM_Settings!$F$6,MCDM_Settings!$D$6))</f>
        <v>3.3333333333333335</v>
      </c>
      <c r="AD186" s="12">
        <f>IF(IF($D186="Unlabeled-13",MCDM_Settings!$F$6,MCDM_Settings!$D$6)=0,"n.a.",5*(COUNTIF(M186:O186,"Y")+COUNTIF(M186:O186,"U")+COUNTIF(M186:O186,"X"))/IF($D186="Unlabeled-13",MCDM_Settings!$F$6,MCDM_Settings!$D$6))</f>
        <v>5</v>
      </c>
      <c r="AE186" s="13">
        <f>IF(IF($D186="Unlabeled-13",MCDM_Settings!$F$6,MCDM_Settings!$D$6)=0,"n.a.",(COUNTIF(M186:O186,"Y")+COUNTIF(M186:O186,"N"))/IF($D186="Unlabeled-13",MCDM_Settings!$F$6,MCDM_Settings!$D$6))</f>
        <v>0.66666666666666663</v>
      </c>
      <c r="AF186" s="12">
        <f>IF(IF($D186="Unlabeled-13",MCDM_Settings!$F$7,MCDM_Settings!$D$7)=0,"n.a.",5*COUNTIF(P186:R186,"Y")/IF($D186="Unlabeled-13",MCDM_Settings!$F$7,MCDM_Settings!$D$7))</f>
        <v>1.6666666666666667</v>
      </c>
      <c r="AG186" s="12">
        <f>IF(IF($D186="Unlabeled-13",MCDM_Settings!$F$7,MCDM_Settings!$D$7)=0,"n.a.",5*(COUNTIF(P186:R186,"Y")+COUNTIF(P186:R186,"U")+COUNTIF(P186:R186,"X"))/IF($D186="Unlabeled-13",MCDM_Settings!$F$7,MCDM_Settings!$D$7))</f>
        <v>5</v>
      </c>
      <c r="AH186" s="13">
        <f>IF(IF($D186="Unlabeled-13",MCDM_Settings!$F$7,MCDM_Settings!$D$7)=0,"n.a.",(COUNTIF(P186:R186,"Y")+COUNTIF(P186:R186,"N"))/IF($D186="Unlabeled-13",MCDM_Settings!$F$7,MCDM_Settings!$D$7))</f>
        <v>0.33333333333333331</v>
      </c>
      <c r="AI186" s="12">
        <f>IF(IF($D186="Unlabeled-13",MCDM_Settings!$F$8,MCDM_Settings!$D$8)=0,"n.a.",5*COUNTIF(S186:U186,"Y")/IF($D186="Unlabeled-13",MCDM_Settings!$F$8,MCDM_Settings!$D$8))</f>
        <v>5</v>
      </c>
      <c r="AJ186" s="12">
        <f>IF(IF($D186="Unlabeled-13",MCDM_Settings!$F$8,MCDM_Settings!$D$8)=0,"n.a.",5*(COUNTIF(S186:U186,"Y")+COUNTIF(S186:U186,"U")+COUNTIF(S186:U186,"X"))/IF($D186="Unlabeled-13",MCDM_Settings!$F$8,MCDM_Settings!$D$8))</f>
        <v>5</v>
      </c>
      <c r="AK186" s="13">
        <f>IF(IF($D186="Unlabeled-13",MCDM_Settings!$F$8,MCDM_Settings!$D$8)=0,"n.a.",(COUNTIF(S186:U186,"Y")+COUNTIF(S186:U186,"N"))/IF($D186="Unlabeled-13",MCDM_Settings!$F$8,MCDM_Settings!$D$8))</f>
        <v>1</v>
      </c>
      <c r="AL186" s="12">
        <f>IF(IF($D186="Unlabeled-13",MCDM_Settings!$F$9,MCDM_Settings!$D$9)=0,"n.a.",5*COUNTIF(V186:W186,"Y")/IF($D186="Unlabeled-13",MCDM_Settings!$F$9,MCDM_Settings!$D$9))</f>
        <v>5</v>
      </c>
      <c r="AM186" s="12">
        <f>IF(IF($D186="Unlabeled-13",MCDM_Settings!$F$9,MCDM_Settings!$D$9)=0,"n.a.",5*(COUNTIF(V186:W186,"Y")+COUNTIF(V186:W186,"U")+COUNTIF(V186:W186,"X"))/IF($D186="Unlabeled-13",MCDM_Settings!$F$9,MCDM_Settings!$D$9))</f>
        <v>5</v>
      </c>
      <c r="AN186" s="13">
        <f>IF(IF($D186="Unlabeled-13",MCDM_Settings!$F$9,MCDM_Settings!$D$9)=0,"n.a.",(COUNTIF(V186:W186,"Y")+COUNTIF(V186:W186,"N"))/IF($D186="Unlabeled-13",MCDM_Settings!$F$9,MCDM_Settings!$D$9))</f>
        <v>1</v>
      </c>
      <c r="AO186" s="12">
        <f>IF(IF($D186="Unlabeled-13",MCDM_Settings!$F$10,MCDM_Settings!$D$10)=0,"n.a.",5*COUNTIF(X186:Y186,"Y")/IF($D186="Unlabeled-13",MCDM_Settings!$F$10,MCDM_Settings!$D$10))</f>
        <v>5</v>
      </c>
      <c r="AP186" s="12">
        <f>IF(IF($D186="Unlabeled-13",MCDM_Settings!$F$10,MCDM_Settings!$D$10)=0,"n.a.",5*(COUNTIF(X186:Y186,"Y")+COUNTIF(X186:Y186,"U")+COUNTIF(X186:Y186,"X"))/IF($D186="Unlabeled-13",MCDM_Settings!$F$10,MCDM_Settings!$D$10))</f>
        <v>5</v>
      </c>
      <c r="AQ186" s="13">
        <f>IF(IF($D186="Unlabeled-13",MCDM_Settings!$F$10,MCDM_Settings!$D$10)=0,"n.a.",(COUNTIF(X186:Y186,"Y")+COUNTIF(X186:Y186,"N"))/IF($D186="Unlabeled-13",MCDM_Settings!$F$10,MCDM_Settings!$D$10))</f>
        <v>1</v>
      </c>
      <c r="AR186" s="12">
        <f>IF(IF($D186="Unlabeled-13",MCDM_Settings!$F$11,MCDM_Settings!$D$11)=0,"n.a.",5*COUNTIF(Z186:AB186,"Y")/IF($D186="Unlabeled-13",MCDM_Settings!$F$11,MCDM_Settings!$D$11))</f>
        <v>3.3333333333333335</v>
      </c>
      <c r="AS186" s="12">
        <f>IF(IF($D186="Unlabeled-13",MCDM_Settings!$F$11,MCDM_Settings!$D$11)=0,"n.a.",5*(COUNTIF(Z186:AB186,"Y")+COUNTIF(Z186:AB186,"U")+COUNTIF(Z186:AB186,"X"))/IF($D186="Unlabeled-13",MCDM_Settings!$F$11,MCDM_Settings!$D$11))</f>
        <v>5</v>
      </c>
      <c r="AT186" s="13">
        <f>IF(IF($D186="Unlabeled-13",MCDM_Settings!$F$11,MCDM_Settings!$D$11)=0,"n.a.",(COUNTIF(Z186:AB186,"Y")+COUNTIF(Z186:AB186,"N"))/IF($D186="Unlabeled-13",MCDM_Settings!$F$11,MCDM_Settings!$D$11))</f>
        <v>0.66666666666666663</v>
      </c>
      <c r="AU186" s="5" t="str">
        <f>IF(AND(INDEX(Manual_Review!$G$6:$G$238,MATCH(A186,Manual_Review!$A$6:$A$238,0))&lt;&gt;"",ISNUMBER(INDEX(Manual_Review!$H$6:$H$238,MATCH(A186,Manual_Review!$A$6:$A$238,0))),INDEX(Manual_Review!$H$6:$H$238,MATCH(A186,Manual_Review!$A$6:$A$238,0))&gt;0,INDEX(Manual_Review!$I$6:$I$238,MATCH(A186,Manual_Review!$A$6:$A$238,0))="Confirmed",INDEX(Manual_Review!$AF$6:$AF$238,MATCH(A186,Manual_Review!$A$6:$A$238,0))&lt;&gt;""),IF(INDEX(Manual_Review!$AA$6:$AA$238,MATCH(A186,Manual_Review!$A$6:$A$238,0))="Pass","Pass",IF(INDEX(Manual_Review!$AA$6:$AA$238,MATCH(A186,Manual_Review!$A$6:$A$238,0))="Fail","Fail","Pending")),"Pending human identity confirmation")</f>
        <v>Pending human identity confirmation</v>
      </c>
      <c r="AV186" s="5" t="str">
        <f>IF(AND(AND(INDEX(Manual_Review!$G$6:$G$238,MATCH(A186,Manual_Review!$A$6:$A$238,0))&lt;&gt;"",ISNUMBER(INDEX(Manual_Review!$H$6:$H$238,MATCH(A186,Manual_Review!$A$6:$A$238,0))),INDEX(Manual_Review!$H$6:$H$238,MATCH(A186,Manual_Review!$A$6:$A$238,0))&gt;0,INDEX(Manual_Review!$I$6:$I$238,MATCH(A186,Manual_Review!$A$6:$A$238,0))="Confirmed",INDEX(Manual_Review!$AF$6:$AF$238,MATCH(A186,Manual_Review!$A$6:$A$238,0))&lt;&gt;""),INDEX(Manual_Review!$AG$6:$AG$238,MATCH(A186,Manual_Review!$A$6:$A$238,0))&lt;&gt;""),IF(INDEX(Manual_Review!$AB$6:$AB$238,MATCH(A186,Manual_Review!$A$6:$A$238,0))="Pass","Pass",IF(INDEX(Manual_Review!$AB$6:$AB$238,MATCH(A186,Manual_Review!$A$6:$A$238,0))="Fail","Fail","Pending")),"Not assessed: define intended task")</f>
        <v>Not assessed: define intended task</v>
      </c>
      <c r="AW186" s="5" t="str">
        <f>IF(AND(AND(INDEX(Manual_Review!$G$6:$G$238,MATCH(A186,Manual_Review!$A$6:$A$238,0))&lt;&gt;"",ISNUMBER(INDEX(Manual_Review!$H$6:$H$238,MATCH(A186,Manual_Review!$A$6:$A$238,0))),INDEX(Manual_Review!$H$6:$H$238,MATCH(A186,Manual_Review!$A$6:$A$238,0))&gt;0,INDEX(Manual_Review!$I$6:$I$238,MATCH(A186,Manual_Review!$A$6:$A$238,0))="Confirmed",INDEX(Manual_Review!$AF$6:$AF$238,MATCH(A186,Manual_Review!$A$6:$A$238,0))&lt;&gt;""),INDEX(Manual_Review!$AG$6:$AG$238,MATCH(A186,Manual_Review!$A$6:$A$238,0))&lt;&gt;""),IF(OR(INDEX(Manual_Review!$AC$6:$AC$238,MATCH(A186,Manual_Review!$A$6:$A$238,0))="Fail",INDEX(Manual_Review!$AD$6:$AD$238,MATCH(A186,Manual_Review!$A$6:$A$238,0))="Fail"),"Fail: rights or retrieval",IF(AND(INDEX(Manual_Review!$AC$6:$AC$238,MATCH(A186,Manual_Review!$A$6:$A$238,0))="Pass",INDEX(Manual_Review!$AD$6:$AD$238,MATCH(A186,Manual_Review!$A$6:$A$238,0))="Pass"),"Pass","Pending rights and retrieval")),"Pending rights and retrieval")</f>
        <v>Pending rights and retrieval</v>
      </c>
      <c r="AX186" s="5" t="str">
        <f>IF(INDEX(Manual_Review!$AG$6:$AG$238,MATCH(A186,Manual_Review!$A$6:$A$238,0))="","N/A: documentation inventory",IF(AND(INDEX(Manual_Review!$G$6:$G$238,MATCH(A186,Manual_Review!$A$6:$A$238,0))&lt;&gt;"",ISNUMBER(INDEX(Manual_Review!$H$6:$H$238,MATCH(A186,Manual_Review!$A$6:$A$238,0))),INDEX(Manual_Review!$H$6:$H$238,MATCH(A186,Manual_Review!$A$6:$A$238,0))&gt;0,INDEX(Manual_Review!$I$6:$I$238,MATCH(A186,Manual_Review!$A$6:$A$238,0))="Confirmed",INDEX(Manual_Review!$AF$6:$AF$238,MATCH(A186,Manual_Review!$A$6:$A$238,0))&lt;&gt;""),IF(INDEX(Manual_Review!$AE$6:$AE$238,MATCH(A186,Manual_Review!$A$6:$A$238,0))="Pass","Pass",IF(INDEX(Manual_Review!$AE$6:$AE$238,MATCH(A186,Manual_Review!$A$6:$A$238,0))="Fail","Fail: benchmark leakage",IF(INDEX(Manual_Review!$AE$6:$AE$238,MATCH(A186,Manual_Review!$A$6:$A$238,0))="N/A","N/A: nonbenchmark task","Pending task-specific leakage check"))),"Pending task-specific leakage check"))</f>
        <v>N/A: documentation inventory</v>
      </c>
      <c r="AY186" s="5" t="str">
        <f>IF(IF(D186="Unlabeled-13",AND(ABS(MCDM_Settings!$D$14-1)&lt;0.0000001,MIN(MCDM_Settings!$E$6:$E$11)&gt;=0,MCDM_Settings!$E$7=0),AND(ABS(MCDM_Settings!$B$14-1)&lt;0.0000001,MIN(MCDM_Settings!$C$6:$C$11)&gt;=0)),"Valid","Check weights")</f>
        <v>Valid</v>
      </c>
      <c r="AZ186" s="5" t="str">
        <f>IF(AND(COUNTIF(MCDM_Checks!$B$6:$B$3733,A186)=16,COUNTIF(Manual_Review!$A$6:$A$238,A186)=1),"16 keys present","Check key count")</f>
        <v>16 keys present</v>
      </c>
    </row>
    <row r="187" spans="1:52" ht="25.5">
      <c r="A187" s="5" t="s">
        <v>2040</v>
      </c>
      <c r="B187" s="5" t="s">
        <v>2041</v>
      </c>
      <c r="C187" s="5"/>
      <c r="D187" s="5" t="s">
        <v>118</v>
      </c>
      <c r="E187" s="12">
        <f>IF(OR(AY187&lt;&gt;"Valid",AZ187&lt;&gt;"16 keys present"),"Review settings",20*(IF(ISNUMBER(AC187),AC187*IF($D187="Unlabeled-13",MCDM_Settings!$E$6,MCDM_Settings!$C$6),0)+IF(ISNUMBER(AF187),AF187*IF($D187="Unlabeled-13",MCDM_Settings!$E$7,MCDM_Settings!$C$7),0)+IF(ISNUMBER(AI187),AI187*IF($D187="Unlabeled-13",MCDM_Settings!$E$8,MCDM_Settings!$C$8),0)+IF(ISNUMBER(AL187),AL187*IF($D187="Unlabeled-13",MCDM_Settings!$E$9,MCDM_Settings!$C$9),0)+IF(ISNUMBER(AO187),AO187*IF($D187="Unlabeled-13",MCDM_Settings!$E$10,MCDM_Settings!$C$10),0)+IF(ISNUMBER(AR187),AR187*IF($D187="Unlabeled-13",MCDM_Settings!$E$11,MCDM_Settings!$C$11),0)))</f>
        <v>86.111111111111114</v>
      </c>
      <c r="F187" s="12">
        <f>IF(OR(AY187&lt;&gt;"Valid",AZ187&lt;&gt;"16 keys present"),"Review settings",20*(IF(ISNUMBER(AD187),AD187*IF($D187="Unlabeled-13",MCDM_Settings!$E$6,MCDM_Settings!$C$6),0)+IF(ISNUMBER(AG187),AG187*IF($D187="Unlabeled-13",MCDM_Settings!$E$7,MCDM_Settings!$C$7),0)+IF(ISNUMBER(AJ187),AJ187*IF($D187="Unlabeled-13",MCDM_Settings!$E$8,MCDM_Settings!$C$8),0)+IF(ISNUMBER(AM187),AM187*IF($D187="Unlabeled-13",MCDM_Settings!$E$9,MCDM_Settings!$C$9),0)+IF(ISNUMBER(AP187),AP187*IF($D187="Unlabeled-13",MCDM_Settings!$E$10,MCDM_Settings!$C$10),0)+IF(ISNUMBER(AS187),AS187*IF($D187="Unlabeled-13",MCDM_Settings!$E$11,MCDM_Settings!$C$11),0)))</f>
        <v>99.999999999999986</v>
      </c>
      <c r="G187" s="13">
        <f>IF(OR(AY187&lt;&gt;"Valid",AZ187&lt;&gt;"16 keys present"),"Review settings",1*(IF(ISNUMBER(AE187),AE187*IF($D187="Unlabeled-13",MCDM_Settings!$E$6,MCDM_Settings!$C$6),0)+IF(ISNUMBER(AH187),AH187*IF($D187="Unlabeled-13",MCDM_Settings!$E$7,MCDM_Settings!$C$7),0)+IF(ISNUMBER(AK187),AK187*IF($D187="Unlabeled-13",MCDM_Settings!$E$8,MCDM_Settings!$C$8),0)+IF(ISNUMBER(AN187),AN187*IF($D187="Unlabeled-13",MCDM_Settings!$E$9,MCDM_Settings!$C$9),0)+IF(ISNUMBER(AQ187),AQ187*IF($D187="Unlabeled-13",MCDM_Settings!$E$10,MCDM_Settings!$C$10),0)+IF(ISNUMBER(AT187),AT187*IF($D187="Unlabeled-13",MCDM_Settings!$E$11,MCDM_Settings!$C$11),0)))</f>
        <v>0.86111111111111116</v>
      </c>
      <c r="H187" s="5" t="str">
        <f>INDEX(Manual_Review!$AH$6:$AH$238,MATCH(A187,Manual_Review!$A$6:$A$238,0))</f>
        <v>Not started</v>
      </c>
      <c r="I187" s="5" t="s">
        <v>182</v>
      </c>
      <c r="J187" s="5" t="s">
        <v>2042</v>
      </c>
      <c r="K187" s="5" t="str">
        <f>HYPERLINK("https://huggingface.co/datasets/ysilabs/latam-urban-driving-sample","Dataset")</f>
        <v>Dataset</v>
      </c>
      <c r="L187" s="5" t="str">
        <f>HYPERLINK("#'Manual_Review'!A"&amp;(MATCH("DS-182",Manual_Review!$A$6:$A$238,0)+5),"Enter review")</f>
        <v>Enter review</v>
      </c>
      <c r="M187" s="5" t="str">
        <f>INDEX(MCDM_Checks!$K$6:$K$3733,MATCH(A187&amp;"|"&amp;M$5,MCDM_Checks!$A$6:$A$3733,0))</f>
        <v>Y</v>
      </c>
      <c r="N187" s="5" t="str">
        <f>INDEX(MCDM_Checks!$K$6:$K$3733,MATCH(A187&amp;"|"&amp;N$5,MCDM_Checks!$A$6:$A$3733,0))</f>
        <v>Y</v>
      </c>
      <c r="O187" s="5" t="str">
        <f>INDEX(MCDM_Checks!$K$6:$K$3733,MATCH(A187&amp;"|"&amp;O$5,MCDM_Checks!$A$6:$A$3733,0))</f>
        <v>Y</v>
      </c>
      <c r="P187" s="5" t="str">
        <f>INDEX(MCDM_Checks!$K$6:$K$3733,MATCH(A187&amp;"|"&amp;P$5,MCDM_Checks!$A$6:$A$3733,0))</f>
        <v>Y</v>
      </c>
      <c r="Q187" s="5" t="str">
        <f>INDEX(MCDM_Checks!$K$6:$K$3733,MATCH(A187&amp;"|"&amp;Q$5,MCDM_Checks!$A$6:$A$3733,0))</f>
        <v>Y</v>
      </c>
      <c r="R187" s="5" t="str">
        <f>INDEX(MCDM_Checks!$K$6:$K$3733,MATCH(A187&amp;"|"&amp;R$5,MCDM_Checks!$A$6:$A$3733,0))</f>
        <v>Y</v>
      </c>
      <c r="S187" s="5" t="str">
        <f>INDEX(MCDM_Checks!$K$6:$K$3733,MATCH(A187&amp;"|"&amp;S$5,MCDM_Checks!$A$6:$A$3733,0))</f>
        <v>Y</v>
      </c>
      <c r="T187" s="5" t="str">
        <f>INDEX(MCDM_Checks!$K$6:$K$3733,MATCH(A187&amp;"|"&amp;T$5,MCDM_Checks!$A$6:$A$3733,0))</f>
        <v>Y</v>
      </c>
      <c r="U187" s="5" t="str">
        <f>INDEX(MCDM_Checks!$K$6:$K$3733,MATCH(A187&amp;"|"&amp;U$5,MCDM_Checks!$A$6:$A$3733,0))</f>
        <v>Y</v>
      </c>
      <c r="V187" s="5" t="str">
        <f>INDEX(MCDM_Checks!$K$6:$K$3733,MATCH(A187&amp;"|"&amp;V$5,MCDM_Checks!$A$6:$A$3733,0))</f>
        <v>Y</v>
      </c>
      <c r="W187" s="5" t="str">
        <f>INDEX(MCDM_Checks!$K$6:$K$3733,MATCH(A187&amp;"|"&amp;W$5,MCDM_Checks!$A$6:$A$3733,0))</f>
        <v>U</v>
      </c>
      <c r="X187" s="5" t="str">
        <f>INDEX(MCDM_Checks!$K$6:$K$3733,MATCH(A187&amp;"|"&amp;X$5,MCDM_Checks!$A$6:$A$3733,0))</f>
        <v>Y</v>
      </c>
      <c r="Y187" s="5" t="str">
        <f>INDEX(MCDM_Checks!$K$6:$K$3733,MATCH(A187&amp;"|"&amp;Y$5,MCDM_Checks!$A$6:$A$3733,0))</f>
        <v>Y</v>
      </c>
      <c r="Z187" s="5" t="str">
        <f>INDEX(MCDM_Checks!$K$6:$K$3733,MATCH(A187&amp;"|"&amp;Z$5,MCDM_Checks!$A$6:$A$3733,0))</f>
        <v>Y</v>
      </c>
      <c r="AA187" s="5" t="str">
        <f>INDEX(MCDM_Checks!$K$6:$K$3733,MATCH(A187&amp;"|"&amp;AA$5,MCDM_Checks!$A$6:$A$3733,0))</f>
        <v>Y</v>
      </c>
      <c r="AB187" s="5" t="str">
        <f>INDEX(MCDM_Checks!$K$6:$K$3733,MATCH(A187&amp;"|"&amp;AB$5,MCDM_Checks!$A$6:$A$3733,0))</f>
        <v>U</v>
      </c>
      <c r="AC187" s="12">
        <f>IF(IF($D187="Unlabeled-13",MCDM_Settings!$F$6,MCDM_Settings!$D$6)=0,"n.a.",5*COUNTIF(M187:O187,"Y")/IF($D187="Unlabeled-13",MCDM_Settings!$F$6,MCDM_Settings!$D$6))</f>
        <v>5</v>
      </c>
      <c r="AD187" s="12">
        <f>IF(IF($D187="Unlabeled-13",MCDM_Settings!$F$6,MCDM_Settings!$D$6)=0,"n.a.",5*(COUNTIF(M187:O187,"Y")+COUNTIF(M187:O187,"U")+COUNTIF(M187:O187,"X"))/IF($D187="Unlabeled-13",MCDM_Settings!$F$6,MCDM_Settings!$D$6))</f>
        <v>5</v>
      </c>
      <c r="AE187" s="13">
        <f>IF(IF($D187="Unlabeled-13",MCDM_Settings!$F$6,MCDM_Settings!$D$6)=0,"n.a.",(COUNTIF(M187:O187,"Y")+COUNTIF(M187:O187,"N"))/IF($D187="Unlabeled-13",MCDM_Settings!$F$6,MCDM_Settings!$D$6))</f>
        <v>1</v>
      </c>
      <c r="AF187" s="12">
        <f>IF(IF($D187="Unlabeled-13",MCDM_Settings!$F$7,MCDM_Settings!$D$7)=0,"n.a.",5*COUNTIF(P187:R187,"Y")/IF($D187="Unlabeled-13",MCDM_Settings!$F$7,MCDM_Settings!$D$7))</f>
        <v>5</v>
      </c>
      <c r="AG187" s="12">
        <f>IF(IF($D187="Unlabeled-13",MCDM_Settings!$F$7,MCDM_Settings!$D$7)=0,"n.a.",5*(COUNTIF(P187:R187,"Y")+COUNTIF(P187:R187,"U")+COUNTIF(P187:R187,"X"))/IF($D187="Unlabeled-13",MCDM_Settings!$F$7,MCDM_Settings!$D$7))</f>
        <v>5</v>
      </c>
      <c r="AH187" s="13">
        <f>IF(IF($D187="Unlabeled-13",MCDM_Settings!$F$7,MCDM_Settings!$D$7)=0,"n.a.",(COUNTIF(P187:R187,"Y")+COUNTIF(P187:R187,"N"))/IF($D187="Unlabeled-13",MCDM_Settings!$F$7,MCDM_Settings!$D$7))</f>
        <v>1</v>
      </c>
      <c r="AI187" s="12">
        <f>IF(IF($D187="Unlabeled-13",MCDM_Settings!$F$8,MCDM_Settings!$D$8)=0,"n.a.",5*COUNTIF(S187:U187,"Y")/IF($D187="Unlabeled-13",MCDM_Settings!$F$8,MCDM_Settings!$D$8))</f>
        <v>5</v>
      </c>
      <c r="AJ187" s="12">
        <f>IF(IF($D187="Unlabeled-13",MCDM_Settings!$F$8,MCDM_Settings!$D$8)=0,"n.a.",5*(COUNTIF(S187:U187,"Y")+COUNTIF(S187:U187,"U")+COUNTIF(S187:U187,"X"))/IF($D187="Unlabeled-13",MCDM_Settings!$F$8,MCDM_Settings!$D$8))</f>
        <v>5</v>
      </c>
      <c r="AK187" s="13">
        <f>IF(IF($D187="Unlabeled-13",MCDM_Settings!$F$8,MCDM_Settings!$D$8)=0,"n.a.",(COUNTIF(S187:U187,"Y")+COUNTIF(S187:U187,"N"))/IF($D187="Unlabeled-13",MCDM_Settings!$F$8,MCDM_Settings!$D$8))</f>
        <v>1</v>
      </c>
      <c r="AL187" s="12">
        <f>IF(IF($D187="Unlabeled-13",MCDM_Settings!$F$9,MCDM_Settings!$D$9)=0,"n.a.",5*COUNTIF(V187:W187,"Y")/IF($D187="Unlabeled-13",MCDM_Settings!$F$9,MCDM_Settings!$D$9))</f>
        <v>2.5</v>
      </c>
      <c r="AM187" s="12">
        <f>IF(IF($D187="Unlabeled-13",MCDM_Settings!$F$9,MCDM_Settings!$D$9)=0,"n.a.",5*(COUNTIF(V187:W187,"Y")+COUNTIF(V187:W187,"U")+COUNTIF(V187:W187,"X"))/IF($D187="Unlabeled-13",MCDM_Settings!$F$9,MCDM_Settings!$D$9))</f>
        <v>5</v>
      </c>
      <c r="AN187" s="13">
        <f>IF(IF($D187="Unlabeled-13",MCDM_Settings!$F$9,MCDM_Settings!$D$9)=0,"n.a.",(COUNTIF(V187:W187,"Y")+COUNTIF(V187:W187,"N"))/IF($D187="Unlabeled-13",MCDM_Settings!$F$9,MCDM_Settings!$D$9))</f>
        <v>0.5</v>
      </c>
      <c r="AO187" s="12">
        <f>IF(IF($D187="Unlabeled-13",MCDM_Settings!$F$10,MCDM_Settings!$D$10)=0,"n.a.",5*COUNTIF(X187:Y187,"Y")/IF($D187="Unlabeled-13",MCDM_Settings!$F$10,MCDM_Settings!$D$10))</f>
        <v>5</v>
      </c>
      <c r="AP187" s="12">
        <f>IF(IF($D187="Unlabeled-13",MCDM_Settings!$F$10,MCDM_Settings!$D$10)=0,"n.a.",5*(COUNTIF(X187:Y187,"Y")+COUNTIF(X187:Y187,"U")+COUNTIF(X187:Y187,"X"))/IF($D187="Unlabeled-13",MCDM_Settings!$F$10,MCDM_Settings!$D$10))</f>
        <v>5</v>
      </c>
      <c r="AQ187" s="13">
        <f>IF(IF($D187="Unlabeled-13",MCDM_Settings!$F$10,MCDM_Settings!$D$10)=0,"n.a.",(COUNTIF(X187:Y187,"Y")+COUNTIF(X187:Y187,"N"))/IF($D187="Unlabeled-13",MCDM_Settings!$F$10,MCDM_Settings!$D$10))</f>
        <v>1</v>
      </c>
      <c r="AR187" s="12">
        <f>IF(IF($D187="Unlabeled-13",MCDM_Settings!$F$11,MCDM_Settings!$D$11)=0,"n.a.",5*COUNTIF(Z187:AB187,"Y")/IF($D187="Unlabeled-13",MCDM_Settings!$F$11,MCDM_Settings!$D$11))</f>
        <v>3.3333333333333335</v>
      </c>
      <c r="AS187" s="12">
        <f>IF(IF($D187="Unlabeled-13",MCDM_Settings!$F$11,MCDM_Settings!$D$11)=0,"n.a.",5*(COUNTIF(Z187:AB187,"Y")+COUNTIF(Z187:AB187,"U")+COUNTIF(Z187:AB187,"X"))/IF($D187="Unlabeled-13",MCDM_Settings!$F$11,MCDM_Settings!$D$11))</f>
        <v>5</v>
      </c>
      <c r="AT187" s="13">
        <f>IF(IF($D187="Unlabeled-13",MCDM_Settings!$F$11,MCDM_Settings!$D$11)=0,"n.a.",(COUNTIF(Z187:AB187,"Y")+COUNTIF(Z187:AB187,"N"))/IF($D187="Unlabeled-13",MCDM_Settings!$F$11,MCDM_Settings!$D$11))</f>
        <v>0.66666666666666663</v>
      </c>
      <c r="AU187" s="5" t="str">
        <f>IF(AND(INDEX(Manual_Review!$G$6:$G$238,MATCH(A187,Manual_Review!$A$6:$A$238,0))&lt;&gt;"",ISNUMBER(INDEX(Manual_Review!$H$6:$H$238,MATCH(A187,Manual_Review!$A$6:$A$238,0))),INDEX(Manual_Review!$H$6:$H$238,MATCH(A187,Manual_Review!$A$6:$A$238,0))&gt;0,INDEX(Manual_Review!$I$6:$I$238,MATCH(A187,Manual_Review!$A$6:$A$238,0))="Confirmed",INDEX(Manual_Review!$AF$6:$AF$238,MATCH(A187,Manual_Review!$A$6:$A$238,0))&lt;&gt;""),IF(INDEX(Manual_Review!$AA$6:$AA$238,MATCH(A187,Manual_Review!$A$6:$A$238,0))="Pass","Pass",IF(INDEX(Manual_Review!$AA$6:$AA$238,MATCH(A187,Manual_Review!$A$6:$A$238,0))="Fail","Fail","Pending")),"Pending human identity confirmation")</f>
        <v>Pending human identity confirmation</v>
      </c>
      <c r="AV187" s="5" t="str">
        <f>IF(AND(AND(INDEX(Manual_Review!$G$6:$G$238,MATCH(A187,Manual_Review!$A$6:$A$238,0))&lt;&gt;"",ISNUMBER(INDEX(Manual_Review!$H$6:$H$238,MATCH(A187,Manual_Review!$A$6:$A$238,0))),INDEX(Manual_Review!$H$6:$H$238,MATCH(A187,Manual_Review!$A$6:$A$238,0))&gt;0,INDEX(Manual_Review!$I$6:$I$238,MATCH(A187,Manual_Review!$A$6:$A$238,0))="Confirmed",INDEX(Manual_Review!$AF$6:$AF$238,MATCH(A187,Manual_Review!$A$6:$A$238,0))&lt;&gt;""),INDEX(Manual_Review!$AG$6:$AG$238,MATCH(A187,Manual_Review!$A$6:$A$238,0))&lt;&gt;""),IF(INDEX(Manual_Review!$AB$6:$AB$238,MATCH(A187,Manual_Review!$A$6:$A$238,0))="Pass","Pass",IF(INDEX(Manual_Review!$AB$6:$AB$238,MATCH(A187,Manual_Review!$A$6:$A$238,0))="Fail","Fail","Pending")),"Not assessed: define intended task")</f>
        <v>Not assessed: define intended task</v>
      </c>
      <c r="AW187" s="5" t="str">
        <f>IF(AND(AND(INDEX(Manual_Review!$G$6:$G$238,MATCH(A187,Manual_Review!$A$6:$A$238,0))&lt;&gt;"",ISNUMBER(INDEX(Manual_Review!$H$6:$H$238,MATCH(A187,Manual_Review!$A$6:$A$238,0))),INDEX(Manual_Review!$H$6:$H$238,MATCH(A187,Manual_Review!$A$6:$A$238,0))&gt;0,INDEX(Manual_Review!$I$6:$I$238,MATCH(A187,Manual_Review!$A$6:$A$238,0))="Confirmed",INDEX(Manual_Review!$AF$6:$AF$238,MATCH(A187,Manual_Review!$A$6:$A$238,0))&lt;&gt;""),INDEX(Manual_Review!$AG$6:$AG$238,MATCH(A187,Manual_Review!$A$6:$A$238,0))&lt;&gt;""),IF(OR(INDEX(Manual_Review!$AC$6:$AC$238,MATCH(A187,Manual_Review!$A$6:$A$238,0))="Fail",INDEX(Manual_Review!$AD$6:$AD$238,MATCH(A187,Manual_Review!$A$6:$A$238,0))="Fail"),"Fail: rights or retrieval",IF(AND(INDEX(Manual_Review!$AC$6:$AC$238,MATCH(A187,Manual_Review!$A$6:$A$238,0))="Pass",INDEX(Manual_Review!$AD$6:$AD$238,MATCH(A187,Manual_Review!$A$6:$A$238,0))="Pass"),"Pass","Pending rights and retrieval")),"Pending rights and retrieval")</f>
        <v>Pending rights and retrieval</v>
      </c>
      <c r="AX187" s="5" t="str">
        <f>IF(INDEX(Manual_Review!$AG$6:$AG$238,MATCH(A187,Manual_Review!$A$6:$A$238,0))="","N/A: documentation inventory",IF(AND(INDEX(Manual_Review!$G$6:$G$238,MATCH(A187,Manual_Review!$A$6:$A$238,0))&lt;&gt;"",ISNUMBER(INDEX(Manual_Review!$H$6:$H$238,MATCH(A187,Manual_Review!$A$6:$A$238,0))),INDEX(Manual_Review!$H$6:$H$238,MATCH(A187,Manual_Review!$A$6:$A$238,0))&gt;0,INDEX(Manual_Review!$I$6:$I$238,MATCH(A187,Manual_Review!$A$6:$A$238,0))="Confirmed",INDEX(Manual_Review!$AF$6:$AF$238,MATCH(A187,Manual_Review!$A$6:$A$238,0))&lt;&gt;""),IF(INDEX(Manual_Review!$AE$6:$AE$238,MATCH(A187,Manual_Review!$A$6:$A$238,0))="Pass","Pass",IF(INDEX(Manual_Review!$AE$6:$AE$238,MATCH(A187,Manual_Review!$A$6:$A$238,0))="Fail","Fail: benchmark leakage",IF(INDEX(Manual_Review!$AE$6:$AE$238,MATCH(A187,Manual_Review!$A$6:$A$238,0))="N/A","N/A: nonbenchmark task","Pending task-specific leakage check"))),"Pending task-specific leakage check"))</f>
        <v>N/A: documentation inventory</v>
      </c>
      <c r="AY187" s="5" t="str">
        <f>IF(IF(D187="Unlabeled-13",AND(ABS(MCDM_Settings!$D$14-1)&lt;0.0000001,MIN(MCDM_Settings!$E$6:$E$11)&gt;=0,MCDM_Settings!$E$7=0),AND(ABS(MCDM_Settings!$B$14-1)&lt;0.0000001,MIN(MCDM_Settings!$C$6:$C$11)&gt;=0)),"Valid","Check weights")</f>
        <v>Valid</v>
      </c>
      <c r="AZ187" s="5" t="str">
        <f>IF(AND(COUNTIF(MCDM_Checks!$B$6:$B$3733,A187)=16,COUNTIF(Manual_Review!$A$6:$A$238,A187)=1),"16 keys present","Check key count")</f>
        <v>16 keys present</v>
      </c>
    </row>
    <row r="188" spans="1:52" ht="25.5">
      <c r="A188" s="5" t="s">
        <v>81</v>
      </c>
      <c r="B188" s="5" t="s">
        <v>2053</v>
      </c>
      <c r="C188" s="5">
        <v>10</v>
      </c>
      <c r="D188" s="5" t="s">
        <v>118</v>
      </c>
      <c r="E188" s="12">
        <f>IF(OR(AY188&lt;&gt;"Valid",AZ188&lt;&gt;"16 keys present"),"Review settings",20*(IF(ISNUMBER(AC188),AC188*IF($D188="Unlabeled-13",MCDM_Settings!$E$6,MCDM_Settings!$C$6),0)+IF(ISNUMBER(AF188),AF188*IF($D188="Unlabeled-13",MCDM_Settings!$E$7,MCDM_Settings!$C$7),0)+IF(ISNUMBER(AI188),AI188*IF($D188="Unlabeled-13",MCDM_Settings!$E$8,MCDM_Settings!$C$8),0)+IF(ISNUMBER(AL188),AL188*IF($D188="Unlabeled-13",MCDM_Settings!$E$9,MCDM_Settings!$C$9),0)+IF(ISNUMBER(AO188),AO188*IF($D188="Unlabeled-13",MCDM_Settings!$E$10,MCDM_Settings!$C$10),0)+IF(ISNUMBER(AR188),AR188*IF($D188="Unlabeled-13",MCDM_Settings!$E$11,MCDM_Settings!$C$11),0)))</f>
        <v>88.888888888888872</v>
      </c>
      <c r="F188" s="12">
        <f>IF(OR(AY188&lt;&gt;"Valid",AZ188&lt;&gt;"16 keys present"),"Review settings",20*(IF(ISNUMBER(AD188),AD188*IF($D188="Unlabeled-13",MCDM_Settings!$E$6,MCDM_Settings!$C$6),0)+IF(ISNUMBER(AG188),AG188*IF($D188="Unlabeled-13",MCDM_Settings!$E$7,MCDM_Settings!$C$7),0)+IF(ISNUMBER(AJ188),AJ188*IF($D188="Unlabeled-13",MCDM_Settings!$E$8,MCDM_Settings!$C$8),0)+IF(ISNUMBER(AM188),AM188*IF($D188="Unlabeled-13",MCDM_Settings!$E$9,MCDM_Settings!$C$9),0)+IF(ISNUMBER(AP188),AP188*IF($D188="Unlabeled-13",MCDM_Settings!$E$10,MCDM_Settings!$C$10),0)+IF(ISNUMBER(AS188),AS188*IF($D188="Unlabeled-13",MCDM_Settings!$E$11,MCDM_Settings!$C$11),0)))</f>
        <v>99.999999999999986</v>
      </c>
      <c r="G188" s="13">
        <f>IF(OR(AY188&lt;&gt;"Valid",AZ188&lt;&gt;"16 keys present"),"Review settings",1*(IF(ISNUMBER(AE188),AE188*IF($D188="Unlabeled-13",MCDM_Settings!$E$6,MCDM_Settings!$C$6),0)+IF(ISNUMBER(AH188),AH188*IF($D188="Unlabeled-13",MCDM_Settings!$E$7,MCDM_Settings!$C$7),0)+IF(ISNUMBER(AK188),AK188*IF($D188="Unlabeled-13",MCDM_Settings!$E$8,MCDM_Settings!$C$8),0)+IF(ISNUMBER(AN188),AN188*IF($D188="Unlabeled-13",MCDM_Settings!$E$9,MCDM_Settings!$C$9),0)+IF(ISNUMBER(AQ188),AQ188*IF($D188="Unlabeled-13",MCDM_Settings!$E$10,MCDM_Settings!$C$10),0)+IF(ISNUMBER(AT188),AT188*IF($D188="Unlabeled-13",MCDM_Settings!$E$11,MCDM_Settings!$C$11),0)))</f>
        <v>0.88888888888888884</v>
      </c>
      <c r="H188" s="5" t="str">
        <f>INDEX(Manual_Review!$AH$6:$AH$238,MATCH(A188,Manual_Review!$A$6:$A$238,0))</f>
        <v>Not started</v>
      </c>
      <c r="I188" s="5" t="s">
        <v>206</v>
      </c>
      <c r="J188" s="5" t="s">
        <v>86</v>
      </c>
      <c r="K188" s="5" t="str">
        <f>HYPERLINK("https://zod.zenseact.com/frames/","Dataset")</f>
        <v>Dataset</v>
      </c>
      <c r="L188" s="5" t="str">
        <f>HYPERLINK("#'Manual_Review'!A"&amp;(MATCH("DS-183",Manual_Review!$A$6:$A$238,0)+5),"Enter review")</f>
        <v>Enter review</v>
      </c>
      <c r="M188" s="5" t="str">
        <f>INDEX(MCDM_Checks!$K$6:$K$3733,MATCH(A188&amp;"|"&amp;M$5,MCDM_Checks!$A$6:$A$3733,0))</f>
        <v>Y</v>
      </c>
      <c r="N188" s="5" t="str">
        <f>INDEX(MCDM_Checks!$K$6:$K$3733,MATCH(A188&amp;"|"&amp;N$5,MCDM_Checks!$A$6:$A$3733,0))</f>
        <v>Y</v>
      </c>
      <c r="O188" s="5" t="str">
        <f>INDEX(MCDM_Checks!$K$6:$K$3733,MATCH(A188&amp;"|"&amp;O$5,MCDM_Checks!$A$6:$A$3733,0))</f>
        <v>Y</v>
      </c>
      <c r="P188" s="5" t="str">
        <f>INDEX(MCDM_Checks!$K$6:$K$3733,MATCH(A188&amp;"|"&amp;P$5,MCDM_Checks!$A$6:$A$3733,0))</f>
        <v>Y</v>
      </c>
      <c r="Q188" s="5" t="str">
        <f>INDEX(MCDM_Checks!$K$6:$K$3733,MATCH(A188&amp;"|"&amp;Q$5,MCDM_Checks!$A$6:$A$3733,0))</f>
        <v>Y</v>
      </c>
      <c r="R188" s="5" t="str">
        <f>INDEX(MCDM_Checks!$K$6:$K$3733,MATCH(A188&amp;"|"&amp;R$5,MCDM_Checks!$A$6:$A$3733,0))</f>
        <v>U</v>
      </c>
      <c r="S188" s="5" t="str">
        <f>INDEX(MCDM_Checks!$K$6:$K$3733,MATCH(A188&amp;"|"&amp;S$5,MCDM_Checks!$A$6:$A$3733,0))</f>
        <v>U</v>
      </c>
      <c r="T188" s="5" t="str">
        <f>INDEX(MCDM_Checks!$K$6:$K$3733,MATCH(A188&amp;"|"&amp;T$5,MCDM_Checks!$A$6:$A$3733,0))</f>
        <v>Y</v>
      </c>
      <c r="U188" s="5" t="str">
        <f>INDEX(MCDM_Checks!$K$6:$K$3733,MATCH(A188&amp;"|"&amp;U$5,MCDM_Checks!$A$6:$A$3733,0))</f>
        <v>Y</v>
      </c>
      <c r="V188" s="5" t="str">
        <f>INDEX(MCDM_Checks!$K$6:$K$3733,MATCH(A188&amp;"|"&amp;V$5,MCDM_Checks!$A$6:$A$3733,0))</f>
        <v>Y</v>
      </c>
      <c r="W188" s="5" t="str">
        <f>INDEX(MCDM_Checks!$K$6:$K$3733,MATCH(A188&amp;"|"&amp;W$5,MCDM_Checks!$A$6:$A$3733,0))</f>
        <v>Y</v>
      </c>
      <c r="X188" s="5" t="str">
        <f>INDEX(MCDM_Checks!$K$6:$K$3733,MATCH(A188&amp;"|"&amp;X$5,MCDM_Checks!$A$6:$A$3733,0))</f>
        <v>Y</v>
      </c>
      <c r="Y188" s="5" t="str">
        <f>INDEX(MCDM_Checks!$K$6:$K$3733,MATCH(A188&amp;"|"&amp;Y$5,MCDM_Checks!$A$6:$A$3733,0))</f>
        <v>Y</v>
      </c>
      <c r="Z188" s="5" t="str">
        <f>INDEX(MCDM_Checks!$K$6:$K$3733,MATCH(A188&amp;"|"&amp;Z$5,MCDM_Checks!$A$6:$A$3733,0))</f>
        <v>Y</v>
      </c>
      <c r="AA188" s="5" t="str">
        <f>INDEX(MCDM_Checks!$K$6:$K$3733,MATCH(A188&amp;"|"&amp;AA$5,MCDM_Checks!$A$6:$A$3733,0))</f>
        <v>Y</v>
      </c>
      <c r="AB188" s="5" t="str">
        <f>INDEX(MCDM_Checks!$K$6:$K$3733,MATCH(A188&amp;"|"&amp;AB$5,MCDM_Checks!$A$6:$A$3733,0))</f>
        <v>Y</v>
      </c>
      <c r="AC188" s="12">
        <f>IF(IF($D188="Unlabeled-13",MCDM_Settings!$F$6,MCDM_Settings!$D$6)=0,"n.a.",5*COUNTIF(M188:O188,"Y")/IF($D188="Unlabeled-13",MCDM_Settings!$F$6,MCDM_Settings!$D$6))</f>
        <v>5</v>
      </c>
      <c r="AD188" s="12">
        <f>IF(IF($D188="Unlabeled-13",MCDM_Settings!$F$6,MCDM_Settings!$D$6)=0,"n.a.",5*(COUNTIF(M188:O188,"Y")+COUNTIF(M188:O188,"U")+COUNTIF(M188:O188,"X"))/IF($D188="Unlabeled-13",MCDM_Settings!$F$6,MCDM_Settings!$D$6))</f>
        <v>5</v>
      </c>
      <c r="AE188" s="13">
        <f>IF(IF($D188="Unlabeled-13",MCDM_Settings!$F$6,MCDM_Settings!$D$6)=0,"n.a.",(COUNTIF(M188:O188,"Y")+COUNTIF(M188:O188,"N"))/IF($D188="Unlabeled-13",MCDM_Settings!$F$6,MCDM_Settings!$D$6))</f>
        <v>1</v>
      </c>
      <c r="AF188" s="12">
        <f>IF(IF($D188="Unlabeled-13",MCDM_Settings!$F$7,MCDM_Settings!$D$7)=0,"n.a.",5*COUNTIF(P188:R188,"Y")/IF($D188="Unlabeled-13",MCDM_Settings!$F$7,MCDM_Settings!$D$7))</f>
        <v>3.3333333333333335</v>
      </c>
      <c r="AG188" s="12">
        <f>IF(IF($D188="Unlabeled-13",MCDM_Settings!$F$7,MCDM_Settings!$D$7)=0,"n.a.",5*(COUNTIF(P188:R188,"Y")+COUNTIF(P188:R188,"U")+COUNTIF(P188:R188,"X"))/IF($D188="Unlabeled-13",MCDM_Settings!$F$7,MCDM_Settings!$D$7))</f>
        <v>5</v>
      </c>
      <c r="AH188" s="13">
        <f>IF(IF($D188="Unlabeled-13",MCDM_Settings!$F$7,MCDM_Settings!$D$7)=0,"n.a.",(COUNTIF(P188:R188,"Y")+COUNTIF(P188:R188,"N"))/IF($D188="Unlabeled-13",MCDM_Settings!$F$7,MCDM_Settings!$D$7))</f>
        <v>0.66666666666666663</v>
      </c>
      <c r="AI188" s="12">
        <f>IF(IF($D188="Unlabeled-13",MCDM_Settings!$F$8,MCDM_Settings!$D$8)=0,"n.a.",5*COUNTIF(S188:U188,"Y")/IF($D188="Unlabeled-13",MCDM_Settings!$F$8,MCDM_Settings!$D$8))</f>
        <v>3.3333333333333335</v>
      </c>
      <c r="AJ188" s="12">
        <f>IF(IF($D188="Unlabeled-13",MCDM_Settings!$F$8,MCDM_Settings!$D$8)=0,"n.a.",5*(COUNTIF(S188:U188,"Y")+COUNTIF(S188:U188,"U")+COUNTIF(S188:U188,"X"))/IF($D188="Unlabeled-13",MCDM_Settings!$F$8,MCDM_Settings!$D$8))</f>
        <v>5</v>
      </c>
      <c r="AK188" s="13">
        <f>IF(IF($D188="Unlabeled-13",MCDM_Settings!$F$8,MCDM_Settings!$D$8)=0,"n.a.",(COUNTIF(S188:U188,"Y")+COUNTIF(S188:U188,"N"))/IF($D188="Unlabeled-13",MCDM_Settings!$F$8,MCDM_Settings!$D$8))</f>
        <v>0.66666666666666663</v>
      </c>
      <c r="AL188" s="12">
        <f>IF(IF($D188="Unlabeled-13",MCDM_Settings!$F$9,MCDM_Settings!$D$9)=0,"n.a.",5*COUNTIF(V188:W188,"Y")/IF($D188="Unlabeled-13",MCDM_Settings!$F$9,MCDM_Settings!$D$9))</f>
        <v>5</v>
      </c>
      <c r="AM188" s="12">
        <f>IF(IF($D188="Unlabeled-13",MCDM_Settings!$F$9,MCDM_Settings!$D$9)=0,"n.a.",5*(COUNTIF(V188:W188,"Y")+COUNTIF(V188:W188,"U")+COUNTIF(V188:W188,"X"))/IF($D188="Unlabeled-13",MCDM_Settings!$F$9,MCDM_Settings!$D$9))</f>
        <v>5</v>
      </c>
      <c r="AN188" s="13">
        <f>IF(IF($D188="Unlabeled-13",MCDM_Settings!$F$9,MCDM_Settings!$D$9)=0,"n.a.",(COUNTIF(V188:W188,"Y")+COUNTIF(V188:W188,"N"))/IF($D188="Unlabeled-13",MCDM_Settings!$F$9,MCDM_Settings!$D$9))</f>
        <v>1</v>
      </c>
      <c r="AO188" s="12">
        <f>IF(IF($D188="Unlabeled-13",MCDM_Settings!$F$10,MCDM_Settings!$D$10)=0,"n.a.",5*COUNTIF(X188:Y188,"Y")/IF($D188="Unlabeled-13",MCDM_Settings!$F$10,MCDM_Settings!$D$10))</f>
        <v>5</v>
      </c>
      <c r="AP188" s="12">
        <f>IF(IF($D188="Unlabeled-13",MCDM_Settings!$F$10,MCDM_Settings!$D$10)=0,"n.a.",5*(COUNTIF(X188:Y188,"Y")+COUNTIF(X188:Y188,"U")+COUNTIF(X188:Y188,"X"))/IF($D188="Unlabeled-13",MCDM_Settings!$F$10,MCDM_Settings!$D$10))</f>
        <v>5</v>
      </c>
      <c r="AQ188" s="13">
        <f>IF(IF($D188="Unlabeled-13",MCDM_Settings!$F$10,MCDM_Settings!$D$10)=0,"n.a.",(COUNTIF(X188:Y188,"Y")+COUNTIF(X188:Y188,"N"))/IF($D188="Unlabeled-13",MCDM_Settings!$F$10,MCDM_Settings!$D$10))</f>
        <v>1</v>
      </c>
      <c r="AR188" s="12">
        <f>IF(IF($D188="Unlabeled-13",MCDM_Settings!$F$11,MCDM_Settings!$D$11)=0,"n.a.",5*COUNTIF(Z188:AB188,"Y")/IF($D188="Unlabeled-13",MCDM_Settings!$F$11,MCDM_Settings!$D$11))</f>
        <v>5</v>
      </c>
      <c r="AS188" s="12">
        <f>IF(IF($D188="Unlabeled-13",MCDM_Settings!$F$11,MCDM_Settings!$D$11)=0,"n.a.",5*(COUNTIF(Z188:AB188,"Y")+COUNTIF(Z188:AB188,"U")+COUNTIF(Z188:AB188,"X"))/IF($D188="Unlabeled-13",MCDM_Settings!$F$11,MCDM_Settings!$D$11))</f>
        <v>5</v>
      </c>
      <c r="AT188" s="13">
        <f>IF(IF($D188="Unlabeled-13",MCDM_Settings!$F$11,MCDM_Settings!$D$11)=0,"n.a.",(COUNTIF(Z188:AB188,"Y")+COUNTIF(Z188:AB188,"N"))/IF($D188="Unlabeled-13",MCDM_Settings!$F$11,MCDM_Settings!$D$11))</f>
        <v>1</v>
      </c>
      <c r="AU188" s="5" t="str">
        <f>IF(AND(INDEX(Manual_Review!$G$6:$G$238,MATCH(A188,Manual_Review!$A$6:$A$238,0))&lt;&gt;"",ISNUMBER(INDEX(Manual_Review!$H$6:$H$238,MATCH(A188,Manual_Review!$A$6:$A$238,0))),INDEX(Manual_Review!$H$6:$H$238,MATCH(A188,Manual_Review!$A$6:$A$238,0))&gt;0,INDEX(Manual_Review!$I$6:$I$238,MATCH(A188,Manual_Review!$A$6:$A$238,0))="Confirmed",INDEX(Manual_Review!$AF$6:$AF$238,MATCH(A188,Manual_Review!$A$6:$A$238,0))&lt;&gt;""),IF(INDEX(Manual_Review!$AA$6:$AA$238,MATCH(A188,Manual_Review!$A$6:$A$238,0))="Pass","Pass",IF(INDEX(Manual_Review!$AA$6:$AA$238,MATCH(A188,Manual_Review!$A$6:$A$238,0))="Fail","Fail","Pending")),"Pending human identity confirmation")</f>
        <v>Pending human identity confirmation</v>
      </c>
      <c r="AV188" s="5" t="str">
        <f>IF(AND(AND(INDEX(Manual_Review!$G$6:$G$238,MATCH(A188,Manual_Review!$A$6:$A$238,0))&lt;&gt;"",ISNUMBER(INDEX(Manual_Review!$H$6:$H$238,MATCH(A188,Manual_Review!$A$6:$A$238,0))),INDEX(Manual_Review!$H$6:$H$238,MATCH(A188,Manual_Review!$A$6:$A$238,0))&gt;0,INDEX(Manual_Review!$I$6:$I$238,MATCH(A188,Manual_Review!$A$6:$A$238,0))="Confirmed",INDEX(Manual_Review!$AF$6:$AF$238,MATCH(A188,Manual_Review!$A$6:$A$238,0))&lt;&gt;""),INDEX(Manual_Review!$AG$6:$AG$238,MATCH(A188,Manual_Review!$A$6:$A$238,0))&lt;&gt;""),IF(INDEX(Manual_Review!$AB$6:$AB$238,MATCH(A188,Manual_Review!$A$6:$A$238,0))="Pass","Pass",IF(INDEX(Manual_Review!$AB$6:$AB$238,MATCH(A188,Manual_Review!$A$6:$A$238,0))="Fail","Fail","Pending")),"Not assessed: define intended task")</f>
        <v>Not assessed: define intended task</v>
      </c>
      <c r="AW188" s="5" t="str">
        <f>IF(AND(AND(INDEX(Manual_Review!$G$6:$G$238,MATCH(A188,Manual_Review!$A$6:$A$238,0))&lt;&gt;"",ISNUMBER(INDEX(Manual_Review!$H$6:$H$238,MATCH(A188,Manual_Review!$A$6:$A$238,0))),INDEX(Manual_Review!$H$6:$H$238,MATCH(A188,Manual_Review!$A$6:$A$238,0))&gt;0,INDEX(Manual_Review!$I$6:$I$238,MATCH(A188,Manual_Review!$A$6:$A$238,0))="Confirmed",INDEX(Manual_Review!$AF$6:$AF$238,MATCH(A188,Manual_Review!$A$6:$A$238,0))&lt;&gt;""),INDEX(Manual_Review!$AG$6:$AG$238,MATCH(A188,Manual_Review!$A$6:$A$238,0))&lt;&gt;""),IF(OR(INDEX(Manual_Review!$AC$6:$AC$238,MATCH(A188,Manual_Review!$A$6:$A$238,0))="Fail",INDEX(Manual_Review!$AD$6:$AD$238,MATCH(A188,Manual_Review!$A$6:$A$238,0))="Fail"),"Fail: rights or retrieval",IF(AND(INDEX(Manual_Review!$AC$6:$AC$238,MATCH(A188,Manual_Review!$A$6:$A$238,0))="Pass",INDEX(Manual_Review!$AD$6:$AD$238,MATCH(A188,Manual_Review!$A$6:$A$238,0))="Pass"),"Pass","Pending rights and retrieval")),"Pending rights and retrieval")</f>
        <v>Pending rights and retrieval</v>
      </c>
      <c r="AX188" s="5" t="str">
        <f>IF(INDEX(Manual_Review!$AG$6:$AG$238,MATCH(A188,Manual_Review!$A$6:$A$238,0))="","N/A: documentation inventory",IF(AND(INDEX(Manual_Review!$G$6:$G$238,MATCH(A188,Manual_Review!$A$6:$A$238,0))&lt;&gt;"",ISNUMBER(INDEX(Manual_Review!$H$6:$H$238,MATCH(A188,Manual_Review!$A$6:$A$238,0))),INDEX(Manual_Review!$H$6:$H$238,MATCH(A188,Manual_Review!$A$6:$A$238,0))&gt;0,INDEX(Manual_Review!$I$6:$I$238,MATCH(A188,Manual_Review!$A$6:$A$238,0))="Confirmed",INDEX(Manual_Review!$AF$6:$AF$238,MATCH(A188,Manual_Review!$A$6:$A$238,0))&lt;&gt;""),IF(INDEX(Manual_Review!$AE$6:$AE$238,MATCH(A188,Manual_Review!$A$6:$A$238,0))="Pass","Pass",IF(INDEX(Manual_Review!$AE$6:$AE$238,MATCH(A188,Manual_Review!$A$6:$A$238,0))="Fail","Fail: benchmark leakage",IF(INDEX(Manual_Review!$AE$6:$AE$238,MATCH(A188,Manual_Review!$A$6:$A$238,0))="N/A","N/A: nonbenchmark task","Pending task-specific leakage check"))),"Pending task-specific leakage check"))</f>
        <v>N/A: documentation inventory</v>
      </c>
      <c r="AY188" s="5" t="str">
        <f>IF(IF(D188="Unlabeled-13",AND(ABS(MCDM_Settings!$D$14-1)&lt;0.0000001,MIN(MCDM_Settings!$E$6:$E$11)&gt;=0,MCDM_Settings!$E$7=0),AND(ABS(MCDM_Settings!$B$14-1)&lt;0.0000001,MIN(MCDM_Settings!$C$6:$C$11)&gt;=0)),"Valid","Check weights")</f>
        <v>Valid</v>
      </c>
      <c r="AZ188" s="5" t="str">
        <f>IF(AND(COUNTIF(MCDM_Checks!$B$6:$B$3733,A188)=16,COUNTIF(Manual_Review!$A$6:$A$238,A188)=1),"16 keys present","Check key count")</f>
        <v>16 keys present</v>
      </c>
    </row>
    <row r="189" spans="1:52">
      <c r="A189" s="5" t="s">
        <v>2066</v>
      </c>
      <c r="B189" s="5" t="s">
        <v>2067</v>
      </c>
      <c r="C189" s="5"/>
      <c r="D189" s="5" t="s">
        <v>118</v>
      </c>
      <c r="E189" s="12">
        <f>IF(OR(AY189&lt;&gt;"Valid",AZ189&lt;&gt;"16 keys present"),"Review settings",20*(IF(ISNUMBER(AC189),AC189*IF($D189="Unlabeled-13",MCDM_Settings!$E$6,MCDM_Settings!$C$6),0)+IF(ISNUMBER(AF189),AF189*IF($D189="Unlabeled-13",MCDM_Settings!$E$7,MCDM_Settings!$C$7),0)+IF(ISNUMBER(AI189),AI189*IF($D189="Unlabeled-13",MCDM_Settings!$E$8,MCDM_Settings!$C$8),0)+IF(ISNUMBER(AL189),AL189*IF($D189="Unlabeled-13",MCDM_Settings!$E$9,MCDM_Settings!$C$9),0)+IF(ISNUMBER(AO189),AO189*IF($D189="Unlabeled-13",MCDM_Settings!$E$10,MCDM_Settings!$C$10),0)+IF(ISNUMBER(AR189),AR189*IF($D189="Unlabeled-13",MCDM_Settings!$E$11,MCDM_Settings!$C$11),0)))</f>
        <v>72.222222222222214</v>
      </c>
      <c r="F189" s="12">
        <f>IF(OR(AY189&lt;&gt;"Valid",AZ189&lt;&gt;"16 keys present"),"Review settings",20*(IF(ISNUMBER(AD189),AD189*IF($D189="Unlabeled-13",MCDM_Settings!$E$6,MCDM_Settings!$C$6),0)+IF(ISNUMBER(AG189),AG189*IF($D189="Unlabeled-13",MCDM_Settings!$E$7,MCDM_Settings!$C$7),0)+IF(ISNUMBER(AJ189),AJ189*IF($D189="Unlabeled-13",MCDM_Settings!$E$8,MCDM_Settings!$C$8),0)+IF(ISNUMBER(AM189),AM189*IF($D189="Unlabeled-13",MCDM_Settings!$E$9,MCDM_Settings!$C$9),0)+IF(ISNUMBER(AP189),AP189*IF($D189="Unlabeled-13",MCDM_Settings!$E$10,MCDM_Settings!$C$10),0)+IF(ISNUMBER(AS189),AS189*IF($D189="Unlabeled-13",MCDM_Settings!$E$11,MCDM_Settings!$C$11),0)))</f>
        <v>99.999999999999986</v>
      </c>
      <c r="G189" s="13">
        <f>IF(OR(AY189&lt;&gt;"Valid",AZ189&lt;&gt;"16 keys present"),"Review settings",1*(IF(ISNUMBER(AE189),AE189*IF($D189="Unlabeled-13",MCDM_Settings!$E$6,MCDM_Settings!$C$6),0)+IF(ISNUMBER(AH189),AH189*IF($D189="Unlabeled-13",MCDM_Settings!$E$7,MCDM_Settings!$C$7),0)+IF(ISNUMBER(AK189),AK189*IF($D189="Unlabeled-13",MCDM_Settings!$E$8,MCDM_Settings!$C$8),0)+IF(ISNUMBER(AN189),AN189*IF($D189="Unlabeled-13",MCDM_Settings!$E$9,MCDM_Settings!$C$9),0)+IF(ISNUMBER(AQ189),AQ189*IF($D189="Unlabeled-13",MCDM_Settings!$E$10,MCDM_Settings!$C$10),0)+IF(ISNUMBER(AT189),AT189*IF($D189="Unlabeled-13",MCDM_Settings!$E$11,MCDM_Settings!$C$11),0)))</f>
        <v>0.72222222222222221</v>
      </c>
      <c r="H189" s="5" t="str">
        <f>INDEX(Manual_Review!$AH$6:$AH$238,MATCH(A189,Manual_Review!$A$6:$A$238,0))</f>
        <v>Not started</v>
      </c>
      <c r="I189" s="5" t="s">
        <v>182</v>
      </c>
      <c r="J189" s="5" t="s">
        <v>2068</v>
      </c>
      <c r="K189" s="5" t="str">
        <f>HYPERLINK("https://www.uni-ulm.de/en/in/institute-of-measurement-control-and-microtechnology/research/data-sets/dense-datasets/","Dataset")</f>
        <v>Dataset</v>
      </c>
      <c r="L189" s="5" t="str">
        <f>HYPERLINK("#'Manual_Review'!A"&amp;(MATCH("DS-184",Manual_Review!$A$6:$A$238,0)+5),"Enter review")</f>
        <v>Enter review</v>
      </c>
      <c r="M189" s="5" t="str">
        <f>INDEX(MCDM_Checks!$K$6:$K$3733,MATCH(A189&amp;"|"&amp;M$5,MCDM_Checks!$A$6:$A$3733,0))</f>
        <v>Y</v>
      </c>
      <c r="N189" s="5" t="str">
        <f>INDEX(MCDM_Checks!$K$6:$K$3733,MATCH(A189&amp;"|"&amp;N$5,MCDM_Checks!$A$6:$A$3733,0))</f>
        <v>Y</v>
      </c>
      <c r="O189" s="5" t="str">
        <f>INDEX(MCDM_Checks!$K$6:$K$3733,MATCH(A189&amp;"|"&amp;O$5,MCDM_Checks!$A$6:$A$3733,0))</f>
        <v>Y</v>
      </c>
      <c r="P189" s="5" t="str">
        <f>INDEX(MCDM_Checks!$K$6:$K$3733,MATCH(A189&amp;"|"&amp;P$5,MCDM_Checks!$A$6:$A$3733,0))</f>
        <v>Y</v>
      </c>
      <c r="Q189" s="5" t="str">
        <f>INDEX(MCDM_Checks!$K$6:$K$3733,MATCH(A189&amp;"|"&amp;Q$5,MCDM_Checks!$A$6:$A$3733,0))</f>
        <v>U</v>
      </c>
      <c r="R189" s="5" t="str">
        <f>INDEX(MCDM_Checks!$K$6:$K$3733,MATCH(A189&amp;"|"&amp;R$5,MCDM_Checks!$A$6:$A$3733,0))</f>
        <v>U</v>
      </c>
      <c r="S189" s="5" t="str">
        <f>INDEX(MCDM_Checks!$K$6:$K$3733,MATCH(A189&amp;"|"&amp;S$5,MCDM_Checks!$A$6:$A$3733,0))</f>
        <v>U</v>
      </c>
      <c r="T189" s="5" t="str">
        <f>INDEX(MCDM_Checks!$K$6:$K$3733,MATCH(A189&amp;"|"&amp;T$5,MCDM_Checks!$A$6:$A$3733,0))</f>
        <v>Y</v>
      </c>
      <c r="U189" s="5" t="str">
        <f>INDEX(MCDM_Checks!$K$6:$K$3733,MATCH(A189&amp;"|"&amp;U$5,MCDM_Checks!$A$6:$A$3733,0))</f>
        <v>Y</v>
      </c>
      <c r="V189" s="5" t="str">
        <f>INDEX(MCDM_Checks!$K$6:$K$3733,MATCH(A189&amp;"|"&amp;V$5,MCDM_Checks!$A$6:$A$3733,0))</f>
        <v>Y</v>
      </c>
      <c r="W189" s="5" t="str">
        <f>INDEX(MCDM_Checks!$K$6:$K$3733,MATCH(A189&amp;"|"&amp;W$5,MCDM_Checks!$A$6:$A$3733,0))</f>
        <v>Y</v>
      </c>
      <c r="X189" s="5" t="str">
        <f>INDEX(MCDM_Checks!$K$6:$K$3733,MATCH(A189&amp;"|"&amp;X$5,MCDM_Checks!$A$6:$A$3733,0))</f>
        <v>Y</v>
      </c>
      <c r="Y189" s="5" t="str">
        <f>INDEX(MCDM_Checks!$K$6:$K$3733,MATCH(A189&amp;"|"&amp;Y$5,MCDM_Checks!$A$6:$A$3733,0))</f>
        <v>Y</v>
      </c>
      <c r="Z189" s="5" t="str">
        <f>INDEX(MCDM_Checks!$K$6:$K$3733,MATCH(A189&amp;"|"&amp;Z$5,MCDM_Checks!$A$6:$A$3733,0))</f>
        <v>Y</v>
      </c>
      <c r="AA189" s="5" t="str">
        <f>INDEX(MCDM_Checks!$K$6:$K$3733,MATCH(A189&amp;"|"&amp;AA$5,MCDM_Checks!$A$6:$A$3733,0))</f>
        <v>U</v>
      </c>
      <c r="AB189" s="5" t="str">
        <f>INDEX(MCDM_Checks!$K$6:$K$3733,MATCH(A189&amp;"|"&amp;AB$5,MCDM_Checks!$A$6:$A$3733,0))</f>
        <v>U</v>
      </c>
      <c r="AC189" s="12">
        <f>IF(IF($D189="Unlabeled-13",MCDM_Settings!$F$6,MCDM_Settings!$D$6)=0,"n.a.",5*COUNTIF(M189:O189,"Y")/IF($D189="Unlabeled-13",MCDM_Settings!$F$6,MCDM_Settings!$D$6))</f>
        <v>5</v>
      </c>
      <c r="AD189" s="12">
        <f>IF(IF($D189="Unlabeled-13",MCDM_Settings!$F$6,MCDM_Settings!$D$6)=0,"n.a.",5*(COUNTIF(M189:O189,"Y")+COUNTIF(M189:O189,"U")+COUNTIF(M189:O189,"X"))/IF($D189="Unlabeled-13",MCDM_Settings!$F$6,MCDM_Settings!$D$6))</f>
        <v>5</v>
      </c>
      <c r="AE189" s="13">
        <f>IF(IF($D189="Unlabeled-13",MCDM_Settings!$F$6,MCDM_Settings!$D$6)=0,"n.a.",(COUNTIF(M189:O189,"Y")+COUNTIF(M189:O189,"N"))/IF($D189="Unlabeled-13",MCDM_Settings!$F$6,MCDM_Settings!$D$6))</f>
        <v>1</v>
      </c>
      <c r="AF189" s="12">
        <f>IF(IF($D189="Unlabeled-13",MCDM_Settings!$F$7,MCDM_Settings!$D$7)=0,"n.a.",5*COUNTIF(P189:R189,"Y")/IF($D189="Unlabeled-13",MCDM_Settings!$F$7,MCDM_Settings!$D$7))</f>
        <v>1.6666666666666667</v>
      </c>
      <c r="AG189" s="12">
        <f>IF(IF($D189="Unlabeled-13",MCDM_Settings!$F$7,MCDM_Settings!$D$7)=0,"n.a.",5*(COUNTIF(P189:R189,"Y")+COUNTIF(P189:R189,"U")+COUNTIF(P189:R189,"X"))/IF($D189="Unlabeled-13",MCDM_Settings!$F$7,MCDM_Settings!$D$7))</f>
        <v>5</v>
      </c>
      <c r="AH189" s="13">
        <f>IF(IF($D189="Unlabeled-13",MCDM_Settings!$F$7,MCDM_Settings!$D$7)=0,"n.a.",(COUNTIF(P189:R189,"Y")+COUNTIF(P189:R189,"N"))/IF($D189="Unlabeled-13",MCDM_Settings!$F$7,MCDM_Settings!$D$7))</f>
        <v>0.33333333333333331</v>
      </c>
      <c r="AI189" s="12">
        <f>IF(IF($D189="Unlabeled-13",MCDM_Settings!$F$8,MCDM_Settings!$D$8)=0,"n.a.",5*COUNTIF(S189:U189,"Y")/IF($D189="Unlabeled-13",MCDM_Settings!$F$8,MCDM_Settings!$D$8))</f>
        <v>3.3333333333333335</v>
      </c>
      <c r="AJ189" s="12">
        <f>IF(IF($D189="Unlabeled-13",MCDM_Settings!$F$8,MCDM_Settings!$D$8)=0,"n.a.",5*(COUNTIF(S189:U189,"Y")+COUNTIF(S189:U189,"U")+COUNTIF(S189:U189,"X"))/IF($D189="Unlabeled-13",MCDM_Settings!$F$8,MCDM_Settings!$D$8))</f>
        <v>5</v>
      </c>
      <c r="AK189" s="13">
        <f>IF(IF($D189="Unlabeled-13",MCDM_Settings!$F$8,MCDM_Settings!$D$8)=0,"n.a.",(COUNTIF(S189:U189,"Y")+COUNTIF(S189:U189,"N"))/IF($D189="Unlabeled-13",MCDM_Settings!$F$8,MCDM_Settings!$D$8))</f>
        <v>0.66666666666666663</v>
      </c>
      <c r="AL189" s="12">
        <f>IF(IF($D189="Unlabeled-13",MCDM_Settings!$F$9,MCDM_Settings!$D$9)=0,"n.a.",5*COUNTIF(V189:W189,"Y")/IF($D189="Unlabeled-13",MCDM_Settings!$F$9,MCDM_Settings!$D$9))</f>
        <v>5</v>
      </c>
      <c r="AM189" s="12">
        <f>IF(IF($D189="Unlabeled-13",MCDM_Settings!$F$9,MCDM_Settings!$D$9)=0,"n.a.",5*(COUNTIF(V189:W189,"Y")+COUNTIF(V189:W189,"U")+COUNTIF(V189:W189,"X"))/IF($D189="Unlabeled-13",MCDM_Settings!$F$9,MCDM_Settings!$D$9))</f>
        <v>5</v>
      </c>
      <c r="AN189" s="13">
        <f>IF(IF($D189="Unlabeled-13",MCDM_Settings!$F$9,MCDM_Settings!$D$9)=0,"n.a.",(COUNTIF(V189:W189,"Y")+COUNTIF(V189:W189,"N"))/IF($D189="Unlabeled-13",MCDM_Settings!$F$9,MCDM_Settings!$D$9))</f>
        <v>1</v>
      </c>
      <c r="AO189" s="12">
        <f>IF(IF($D189="Unlabeled-13",MCDM_Settings!$F$10,MCDM_Settings!$D$10)=0,"n.a.",5*COUNTIF(X189:Y189,"Y")/IF($D189="Unlabeled-13",MCDM_Settings!$F$10,MCDM_Settings!$D$10))</f>
        <v>5</v>
      </c>
      <c r="AP189" s="12">
        <f>IF(IF($D189="Unlabeled-13",MCDM_Settings!$F$10,MCDM_Settings!$D$10)=0,"n.a.",5*(COUNTIF(X189:Y189,"Y")+COUNTIF(X189:Y189,"U")+COUNTIF(X189:Y189,"X"))/IF($D189="Unlabeled-13",MCDM_Settings!$F$10,MCDM_Settings!$D$10))</f>
        <v>5</v>
      </c>
      <c r="AQ189" s="13">
        <f>IF(IF($D189="Unlabeled-13",MCDM_Settings!$F$10,MCDM_Settings!$D$10)=0,"n.a.",(COUNTIF(X189:Y189,"Y")+COUNTIF(X189:Y189,"N"))/IF($D189="Unlabeled-13",MCDM_Settings!$F$10,MCDM_Settings!$D$10))</f>
        <v>1</v>
      </c>
      <c r="AR189" s="12">
        <f>IF(IF($D189="Unlabeled-13",MCDM_Settings!$F$11,MCDM_Settings!$D$11)=0,"n.a.",5*COUNTIF(Z189:AB189,"Y")/IF($D189="Unlabeled-13",MCDM_Settings!$F$11,MCDM_Settings!$D$11))</f>
        <v>1.6666666666666667</v>
      </c>
      <c r="AS189" s="12">
        <f>IF(IF($D189="Unlabeled-13",MCDM_Settings!$F$11,MCDM_Settings!$D$11)=0,"n.a.",5*(COUNTIF(Z189:AB189,"Y")+COUNTIF(Z189:AB189,"U")+COUNTIF(Z189:AB189,"X"))/IF($D189="Unlabeled-13",MCDM_Settings!$F$11,MCDM_Settings!$D$11))</f>
        <v>5</v>
      </c>
      <c r="AT189" s="13">
        <f>IF(IF($D189="Unlabeled-13",MCDM_Settings!$F$11,MCDM_Settings!$D$11)=0,"n.a.",(COUNTIF(Z189:AB189,"Y")+COUNTIF(Z189:AB189,"N"))/IF($D189="Unlabeled-13",MCDM_Settings!$F$11,MCDM_Settings!$D$11))</f>
        <v>0.33333333333333331</v>
      </c>
      <c r="AU189" s="5" t="str">
        <f>IF(AND(INDEX(Manual_Review!$G$6:$G$238,MATCH(A189,Manual_Review!$A$6:$A$238,0))&lt;&gt;"",ISNUMBER(INDEX(Manual_Review!$H$6:$H$238,MATCH(A189,Manual_Review!$A$6:$A$238,0))),INDEX(Manual_Review!$H$6:$H$238,MATCH(A189,Manual_Review!$A$6:$A$238,0))&gt;0,INDEX(Manual_Review!$I$6:$I$238,MATCH(A189,Manual_Review!$A$6:$A$238,0))="Confirmed",INDEX(Manual_Review!$AF$6:$AF$238,MATCH(A189,Manual_Review!$A$6:$A$238,0))&lt;&gt;""),IF(INDEX(Manual_Review!$AA$6:$AA$238,MATCH(A189,Manual_Review!$A$6:$A$238,0))="Pass","Pass",IF(INDEX(Manual_Review!$AA$6:$AA$238,MATCH(A189,Manual_Review!$A$6:$A$238,0))="Fail","Fail","Pending")),"Pending human identity confirmation")</f>
        <v>Pending human identity confirmation</v>
      </c>
      <c r="AV189" s="5" t="str">
        <f>IF(AND(AND(INDEX(Manual_Review!$G$6:$G$238,MATCH(A189,Manual_Review!$A$6:$A$238,0))&lt;&gt;"",ISNUMBER(INDEX(Manual_Review!$H$6:$H$238,MATCH(A189,Manual_Review!$A$6:$A$238,0))),INDEX(Manual_Review!$H$6:$H$238,MATCH(A189,Manual_Review!$A$6:$A$238,0))&gt;0,INDEX(Manual_Review!$I$6:$I$238,MATCH(A189,Manual_Review!$A$6:$A$238,0))="Confirmed",INDEX(Manual_Review!$AF$6:$AF$238,MATCH(A189,Manual_Review!$A$6:$A$238,0))&lt;&gt;""),INDEX(Manual_Review!$AG$6:$AG$238,MATCH(A189,Manual_Review!$A$6:$A$238,0))&lt;&gt;""),IF(INDEX(Manual_Review!$AB$6:$AB$238,MATCH(A189,Manual_Review!$A$6:$A$238,0))="Pass","Pass",IF(INDEX(Manual_Review!$AB$6:$AB$238,MATCH(A189,Manual_Review!$A$6:$A$238,0))="Fail","Fail","Pending")),"Not assessed: define intended task")</f>
        <v>Not assessed: define intended task</v>
      </c>
      <c r="AW189" s="5" t="str">
        <f>IF(AND(AND(INDEX(Manual_Review!$G$6:$G$238,MATCH(A189,Manual_Review!$A$6:$A$238,0))&lt;&gt;"",ISNUMBER(INDEX(Manual_Review!$H$6:$H$238,MATCH(A189,Manual_Review!$A$6:$A$238,0))),INDEX(Manual_Review!$H$6:$H$238,MATCH(A189,Manual_Review!$A$6:$A$238,0))&gt;0,INDEX(Manual_Review!$I$6:$I$238,MATCH(A189,Manual_Review!$A$6:$A$238,0))="Confirmed",INDEX(Manual_Review!$AF$6:$AF$238,MATCH(A189,Manual_Review!$A$6:$A$238,0))&lt;&gt;""),INDEX(Manual_Review!$AG$6:$AG$238,MATCH(A189,Manual_Review!$A$6:$A$238,0))&lt;&gt;""),IF(OR(INDEX(Manual_Review!$AC$6:$AC$238,MATCH(A189,Manual_Review!$A$6:$A$238,0))="Fail",INDEX(Manual_Review!$AD$6:$AD$238,MATCH(A189,Manual_Review!$A$6:$A$238,0))="Fail"),"Fail: rights or retrieval",IF(AND(INDEX(Manual_Review!$AC$6:$AC$238,MATCH(A189,Manual_Review!$A$6:$A$238,0))="Pass",INDEX(Manual_Review!$AD$6:$AD$238,MATCH(A189,Manual_Review!$A$6:$A$238,0))="Pass"),"Pass","Pending rights and retrieval")),"Pending rights and retrieval")</f>
        <v>Pending rights and retrieval</v>
      </c>
      <c r="AX189" s="5" t="str">
        <f>IF(INDEX(Manual_Review!$AG$6:$AG$238,MATCH(A189,Manual_Review!$A$6:$A$238,0))="","N/A: documentation inventory",IF(AND(INDEX(Manual_Review!$G$6:$G$238,MATCH(A189,Manual_Review!$A$6:$A$238,0))&lt;&gt;"",ISNUMBER(INDEX(Manual_Review!$H$6:$H$238,MATCH(A189,Manual_Review!$A$6:$A$238,0))),INDEX(Manual_Review!$H$6:$H$238,MATCH(A189,Manual_Review!$A$6:$A$238,0))&gt;0,INDEX(Manual_Review!$I$6:$I$238,MATCH(A189,Manual_Review!$A$6:$A$238,0))="Confirmed",INDEX(Manual_Review!$AF$6:$AF$238,MATCH(A189,Manual_Review!$A$6:$A$238,0))&lt;&gt;""),IF(INDEX(Manual_Review!$AE$6:$AE$238,MATCH(A189,Manual_Review!$A$6:$A$238,0))="Pass","Pass",IF(INDEX(Manual_Review!$AE$6:$AE$238,MATCH(A189,Manual_Review!$A$6:$A$238,0))="Fail","Fail: benchmark leakage",IF(INDEX(Manual_Review!$AE$6:$AE$238,MATCH(A189,Manual_Review!$A$6:$A$238,0))="N/A","N/A: nonbenchmark task","Pending task-specific leakage check"))),"Pending task-specific leakage check"))</f>
        <v>N/A: documentation inventory</v>
      </c>
      <c r="AY189" s="5" t="str">
        <f>IF(IF(D189="Unlabeled-13",AND(ABS(MCDM_Settings!$D$14-1)&lt;0.0000001,MIN(MCDM_Settings!$E$6:$E$11)&gt;=0,MCDM_Settings!$E$7=0),AND(ABS(MCDM_Settings!$B$14-1)&lt;0.0000001,MIN(MCDM_Settings!$C$6:$C$11)&gt;=0)),"Valid","Check weights")</f>
        <v>Valid</v>
      </c>
      <c r="AZ189" s="5" t="str">
        <f>IF(AND(COUNTIF(MCDM_Checks!$B$6:$B$3733,A189)=16,COUNTIF(Manual_Review!$A$6:$A$238,A189)=1),"16 keys present","Check key count")</f>
        <v>16 keys present</v>
      </c>
    </row>
    <row r="190" spans="1:52">
      <c r="A190" s="5" t="s">
        <v>2080</v>
      </c>
      <c r="B190" s="5" t="s">
        <v>2081</v>
      </c>
      <c r="C190" s="5"/>
      <c r="D190" s="5" t="s">
        <v>118</v>
      </c>
      <c r="E190" s="12">
        <f>IF(OR(AY190&lt;&gt;"Valid",AZ190&lt;&gt;"16 keys present"),"Review settings",20*(IF(ISNUMBER(AC190),AC190*IF($D190="Unlabeled-13",MCDM_Settings!$E$6,MCDM_Settings!$C$6),0)+IF(ISNUMBER(AF190),AF190*IF($D190="Unlabeled-13",MCDM_Settings!$E$7,MCDM_Settings!$C$7),0)+IF(ISNUMBER(AI190),AI190*IF($D190="Unlabeled-13",MCDM_Settings!$E$8,MCDM_Settings!$C$8),0)+IF(ISNUMBER(AL190),AL190*IF($D190="Unlabeled-13",MCDM_Settings!$E$9,MCDM_Settings!$C$9),0)+IF(ISNUMBER(AO190),AO190*IF($D190="Unlabeled-13",MCDM_Settings!$E$10,MCDM_Settings!$C$10),0)+IF(ISNUMBER(AR190),AR190*IF($D190="Unlabeled-13",MCDM_Settings!$E$11,MCDM_Settings!$C$11),0)))</f>
        <v>66.666666666666657</v>
      </c>
      <c r="F190" s="12">
        <f>IF(OR(AY190&lt;&gt;"Valid",AZ190&lt;&gt;"16 keys present"),"Review settings",20*(IF(ISNUMBER(AD190),AD190*IF($D190="Unlabeled-13",MCDM_Settings!$E$6,MCDM_Settings!$C$6),0)+IF(ISNUMBER(AG190),AG190*IF($D190="Unlabeled-13",MCDM_Settings!$E$7,MCDM_Settings!$C$7),0)+IF(ISNUMBER(AJ190),AJ190*IF($D190="Unlabeled-13",MCDM_Settings!$E$8,MCDM_Settings!$C$8),0)+IF(ISNUMBER(AM190),AM190*IF($D190="Unlabeled-13",MCDM_Settings!$E$9,MCDM_Settings!$C$9),0)+IF(ISNUMBER(AP190),AP190*IF($D190="Unlabeled-13",MCDM_Settings!$E$10,MCDM_Settings!$C$10),0)+IF(ISNUMBER(AS190),AS190*IF($D190="Unlabeled-13",MCDM_Settings!$E$11,MCDM_Settings!$C$11),0)))</f>
        <v>99.999999999999986</v>
      </c>
      <c r="G190" s="13">
        <f>IF(OR(AY190&lt;&gt;"Valid",AZ190&lt;&gt;"16 keys present"),"Review settings",1*(IF(ISNUMBER(AE190),AE190*IF($D190="Unlabeled-13",MCDM_Settings!$E$6,MCDM_Settings!$C$6),0)+IF(ISNUMBER(AH190),AH190*IF($D190="Unlabeled-13",MCDM_Settings!$E$7,MCDM_Settings!$C$7),0)+IF(ISNUMBER(AK190),AK190*IF($D190="Unlabeled-13",MCDM_Settings!$E$8,MCDM_Settings!$C$8),0)+IF(ISNUMBER(AN190),AN190*IF($D190="Unlabeled-13",MCDM_Settings!$E$9,MCDM_Settings!$C$9),0)+IF(ISNUMBER(AQ190),AQ190*IF($D190="Unlabeled-13",MCDM_Settings!$E$10,MCDM_Settings!$C$10),0)+IF(ISNUMBER(AT190),AT190*IF($D190="Unlabeled-13",MCDM_Settings!$E$11,MCDM_Settings!$C$11),0)))</f>
        <v>0.66666666666666674</v>
      </c>
      <c r="H190" s="5" t="str">
        <f>INDEX(Manual_Review!$AH$6:$AH$238,MATCH(A190,Manual_Review!$A$6:$A$238,0))</f>
        <v>Not started</v>
      </c>
      <c r="I190" s="5" t="s">
        <v>182</v>
      </c>
      <c r="J190" s="5" t="s">
        <v>2082</v>
      </c>
      <c r="K190" s="5" t="str">
        <f>HYPERLINK("https://www.viscoda.com/index.php/en/downloads-en/roadsaw-dataset","Dataset")</f>
        <v>Dataset</v>
      </c>
      <c r="L190" s="5" t="str">
        <f>HYPERLINK("#'Manual_Review'!A"&amp;(MATCH("DS-185",Manual_Review!$A$6:$A$238,0)+5),"Enter review")</f>
        <v>Enter review</v>
      </c>
      <c r="M190" s="5" t="str">
        <f>INDEX(MCDM_Checks!$K$6:$K$3733,MATCH(A190&amp;"|"&amp;M$5,MCDM_Checks!$A$6:$A$3733,0))</f>
        <v>Y</v>
      </c>
      <c r="N190" s="5" t="str">
        <f>INDEX(MCDM_Checks!$K$6:$K$3733,MATCH(A190&amp;"|"&amp;N$5,MCDM_Checks!$A$6:$A$3733,0))</f>
        <v>Y</v>
      </c>
      <c r="O190" s="5" t="str">
        <f>INDEX(MCDM_Checks!$K$6:$K$3733,MATCH(A190&amp;"|"&amp;O$5,MCDM_Checks!$A$6:$A$3733,0))</f>
        <v>Y</v>
      </c>
      <c r="P190" s="5" t="str">
        <f>INDEX(MCDM_Checks!$K$6:$K$3733,MATCH(A190&amp;"|"&amp;P$5,MCDM_Checks!$A$6:$A$3733,0))</f>
        <v>Y</v>
      </c>
      <c r="Q190" s="5" t="str">
        <f>INDEX(MCDM_Checks!$K$6:$K$3733,MATCH(A190&amp;"|"&amp;Q$5,MCDM_Checks!$A$6:$A$3733,0))</f>
        <v>Y</v>
      </c>
      <c r="R190" s="5" t="str">
        <f>INDEX(MCDM_Checks!$K$6:$K$3733,MATCH(A190&amp;"|"&amp;R$5,MCDM_Checks!$A$6:$A$3733,0))</f>
        <v>U</v>
      </c>
      <c r="S190" s="5" t="str">
        <f>INDEX(MCDM_Checks!$K$6:$K$3733,MATCH(A190&amp;"|"&amp;S$5,MCDM_Checks!$A$6:$A$3733,0))</f>
        <v>U</v>
      </c>
      <c r="T190" s="5" t="str">
        <f>INDEX(MCDM_Checks!$K$6:$K$3733,MATCH(A190&amp;"|"&amp;T$5,MCDM_Checks!$A$6:$A$3733,0))</f>
        <v>Y</v>
      </c>
      <c r="U190" s="5" t="str">
        <f>INDEX(MCDM_Checks!$K$6:$K$3733,MATCH(A190&amp;"|"&amp;U$5,MCDM_Checks!$A$6:$A$3733,0))</f>
        <v>Y</v>
      </c>
      <c r="V190" s="5" t="str">
        <f>INDEX(MCDM_Checks!$K$6:$K$3733,MATCH(A190&amp;"|"&amp;V$5,MCDM_Checks!$A$6:$A$3733,0))</f>
        <v>U</v>
      </c>
      <c r="W190" s="5" t="str">
        <f>INDEX(MCDM_Checks!$K$6:$K$3733,MATCH(A190&amp;"|"&amp;W$5,MCDM_Checks!$A$6:$A$3733,0))</f>
        <v>Y</v>
      </c>
      <c r="X190" s="5" t="str">
        <f>INDEX(MCDM_Checks!$K$6:$K$3733,MATCH(A190&amp;"|"&amp;X$5,MCDM_Checks!$A$6:$A$3733,0))</f>
        <v>U</v>
      </c>
      <c r="Y190" s="5" t="str">
        <f>INDEX(MCDM_Checks!$K$6:$K$3733,MATCH(A190&amp;"|"&amp;Y$5,MCDM_Checks!$A$6:$A$3733,0))</f>
        <v>Y</v>
      </c>
      <c r="Z190" s="5" t="str">
        <f>INDEX(MCDM_Checks!$K$6:$K$3733,MATCH(A190&amp;"|"&amp;Z$5,MCDM_Checks!$A$6:$A$3733,0))</f>
        <v>Y</v>
      </c>
      <c r="AA190" s="5" t="str">
        <f>INDEX(MCDM_Checks!$K$6:$K$3733,MATCH(A190&amp;"|"&amp;AA$5,MCDM_Checks!$A$6:$A$3733,0))</f>
        <v>U</v>
      </c>
      <c r="AB190" s="5" t="str">
        <f>INDEX(MCDM_Checks!$K$6:$K$3733,MATCH(A190&amp;"|"&amp;AB$5,MCDM_Checks!$A$6:$A$3733,0))</f>
        <v>Y</v>
      </c>
      <c r="AC190" s="12">
        <f>IF(IF($D190="Unlabeled-13",MCDM_Settings!$F$6,MCDM_Settings!$D$6)=0,"n.a.",5*COUNTIF(M190:O190,"Y")/IF($D190="Unlabeled-13",MCDM_Settings!$F$6,MCDM_Settings!$D$6))</f>
        <v>5</v>
      </c>
      <c r="AD190" s="12">
        <f>IF(IF($D190="Unlabeled-13",MCDM_Settings!$F$6,MCDM_Settings!$D$6)=0,"n.a.",5*(COUNTIF(M190:O190,"Y")+COUNTIF(M190:O190,"U")+COUNTIF(M190:O190,"X"))/IF($D190="Unlabeled-13",MCDM_Settings!$F$6,MCDM_Settings!$D$6))</f>
        <v>5</v>
      </c>
      <c r="AE190" s="13">
        <f>IF(IF($D190="Unlabeled-13",MCDM_Settings!$F$6,MCDM_Settings!$D$6)=0,"n.a.",(COUNTIF(M190:O190,"Y")+COUNTIF(M190:O190,"N"))/IF($D190="Unlabeled-13",MCDM_Settings!$F$6,MCDM_Settings!$D$6))</f>
        <v>1</v>
      </c>
      <c r="AF190" s="12">
        <f>IF(IF($D190="Unlabeled-13",MCDM_Settings!$F$7,MCDM_Settings!$D$7)=0,"n.a.",5*COUNTIF(P190:R190,"Y")/IF($D190="Unlabeled-13",MCDM_Settings!$F$7,MCDM_Settings!$D$7))</f>
        <v>3.3333333333333335</v>
      </c>
      <c r="AG190" s="12">
        <f>IF(IF($D190="Unlabeled-13",MCDM_Settings!$F$7,MCDM_Settings!$D$7)=0,"n.a.",5*(COUNTIF(P190:R190,"Y")+COUNTIF(P190:R190,"U")+COUNTIF(P190:R190,"X"))/IF($D190="Unlabeled-13",MCDM_Settings!$F$7,MCDM_Settings!$D$7))</f>
        <v>5</v>
      </c>
      <c r="AH190" s="13">
        <f>IF(IF($D190="Unlabeled-13",MCDM_Settings!$F$7,MCDM_Settings!$D$7)=0,"n.a.",(COUNTIF(P190:R190,"Y")+COUNTIF(P190:R190,"N"))/IF($D190="Unlabeled-13",MCDM_Settings!$F$7,MCDM_Settings!$D$7))</f>
        <v>0.66666666666666663</v>
      </c>
      <c r="AI190" s="12">
        <f>IF(IF($D190="Unlabeled-13",MCDM_Settings!$F$8,MCDM_Settings!$D$8)=0,"n.a.",5*COUNTIF(S190:U190,"Y")/IF($D190="Unlabeled-13",MCDM_Settings!$F$8,MCDM_Settings!$D$8))</f>
        <v>3.3333333333333335</v>
      </c>
      <c r="AJ190" s="12">
        <f>IF(IF($D190="Unlabeled-13",MCDM_Settings!$F$8,MCDM_Settings!$D$8)=0,"n.a.",5*(COUNTIF(S190:U190,"Y")+COUNTIF(S190:U190,"U")+COUNTIF(S190:U190,"X"))/IF($D190="Unlabeled-13",MCDM_Settings!$F$8,MCDM_Settings!$D$8))</f>
        <v>5</v>
      </c>
      <c r="AK190" s="13">
        <f>IF(IF($D190="Unlabeled-13",MCDM_Settings!$F$8,MCDM_Settings!$D$8)=0,"n.a.",(COUNTIF(S190:U190,"Y")+COUNTIF(S190:U190,"N"))/IF($D190="Unlabeled-13",MCDM_Settings!$F$8,MCDM_Settings!$D$8))</f>
        <v>0.66666666666666663</v>
      </c>
      <c r="AL190" s="12">
        <f>IF(IF($D190="Unlabeled-13",MCDM_Settings!$F$9,MCDM_Settings!$D$9)=0,"n.a.",5*COUNTIF(V190:W190,"Y")/IF($D190="Unlabeled-13",MCDM_Settings!$F$9,MCDM_Settings!$D$9))</f>
        <v>2.5</v>
      </c>
      <c r="AM190" s="12">
        <f>IF(IF($D190="Unlabeled-13",MCDM_Settings!$F$9,MCDM_Settings!$D$9)=0,"n.a.",5*(COUNTIF(V190:W190,"Y")+COUNTIF(V190:W190,"U")+COUNTIF(V190:W190,"X"))/IF($D190="Unlabeled-13",MCDM_Settings!$F$9,MCDM_Settings!$D$9))</f>
        <v>5</v>
      </c>
      <c r="AN190" s="13">
        <f>IF(IF($D190="Unlabeled-13",MCDM_Settings!$F$9,MCDM_Settings!$D$9)=0,"n.a.",(COUNTIF(V190:W190,"Y")+COUNTIF(V190:W190,"N"))/IF($D190="Unlabeled-13",MCDM_Settings!$F$9,MCDM_Settings!$D$9))</f>
        <v>0.5</v>
      </c>
      <c r="AO190" s="12">
        <f>IF(IF($D190="Unlabeled-13",MCDM_Settings!$F$10,MCDM_Settings!$D$10)=0,"n.a.",5*COUNTIF(X190:Y190,"Y")/IF($D190="Unlabeled-13",MCDM_Settings!$F$10,MCDM_Settings!$D$10))</f>
        <v>2.5</v>
      </c>
      <c r="AP190" s="12">
        <f>IF(IF($D190="Unlabeled-13",MCDM_Settings!$F$10,MCDM_Settings!$D$10)=0,"n.a.",5*(COUNTIF(X190:Y190,"Y")+COUNTIF(X190:Y190,"U")+COUNTIF(X190:Y190,"X"))/IF($D190="Unlabeled-13",MCDM_Settings!$F$10,MCDM_Settings!$D$10))</f>
        <v>5</v>
      </c>
      <c r="AQ190" s="13">
        <f>IF(IF($D190="Unlabeled-13",MCDM_Settings!$F$10,MCDM_Settings!$D$10)=0,"n.a.",(COUNTIF(X190:Y190,"Y")+COUNTIF(X190:Y190,"N"))/IF($D190="Unlabeled-13",MCDM_Settings!$F$10,MCDM_Settings!$D$10))</f>
        <v>0.5</v>
      </c>
      <c r="AR190" s="12">
        <f>IF(IF($D190="Unlabeled-13",MCDM_Settings!$F$11,MCDM_Settings!$D$11)=0,"n.a.",5*COUNTIF(Z190:AB190,"Y")/IF($D190="Unlabeled-13",MCDM_Settings!$F$11,MCDM_Settings!$D$11))</f>
        <v>3.3333333333333335</v>
      </c>
      <c r="AS190" s="12">
        <f>IF(IF($D190="Unlabeled-13",MCDM_Settings!$F$11,MCDM_Settings!$D$11)=0,"n.a.",5*(COUNTIF(Z190:AB190,"Y")+COUNTIF(Z190:AB190,"U")+COUNTIF(Z190:AB190,"X"))/IF($D190="Unlabeled-13",MCDM_Settings!$F$11,MCDM_Settings!$D$11))</f>
        <v>5</v>
      </c>
      <c r="AT190" s="13">
        <f>IF(IF($D190="Unlabeled-13",MCDM_Settings!$F$11,MCDM_Settings!$D$11)=0,"n.a.",(COUNTIF(Z190:AB190,"Y")+COUNTIF(Z190:AB190,"N"))/IF($D190="Unlabeled-13",MCDM_Settings!$F$11,MCDM_Settings!$D$11))</f>
        <v>0.66666666666666663</v>
      </c>
      <c r="AU190" s="5" t="str">
        <f>IF(AND(INDEX(Manual_Review!$G$6:$G$238,MATCH(A190,Manual_Review!$A$6:$A$238,0))&lt;&gt;"",ISNUMBER(INDEX(Manual_Review!$H$6:$H$238,MATCH(A190,Manual_Review!$A$6:$A$238,0))),INDEX(Manual_Review!$H$6:$H$238,MATCH(A190,Manual_Review!$A$6:$A$238,0))&gt;0,INDEX(Manual_Review!$I$6:$I$238,MATCH(A190,Manual_Review!$A$6:$A$238,0))="Confirmed",INDEX(Manual_Review!$AF$6:$AF$238,MATCH(A190,Manual_Review!$A$6:$A$238,0))&lt;&gt;""),IF(INDEX(Manual_Review!$AA$6:$AA$238,MATCH(A190,Manual_Review!$A$6:$A$238,0))="Pass","Pass",IF(INDEX(Manual_Review!$AA$6:$AA$238,MATCH(A190,Manual_Review!$A$6:$A$238,0))="Fail","Fail","Pending")),"Pending human identity confirmation")</f>
        <v>Pending human identity confirmation</v>
      </c>
      <c r="AV190" s="5" t="str">
        <f>IF(AND(AND(INDEX(Manual_Review!$G$6:$G$238,MATCH(A190,Manual_Review!$A$6:$A$238,0))&lt;&gt;"",ISNUMBER(INDEX(Manual_Review!$H$6:$H$238,MATCH(A190,Manual_Review!$A$6:$A$238,0))),INDEX(Manual_Review!$H$6:$H$238,MATCH(A190,Manual_Review!$A$6:$A$238,0))&gt;0,INDEX(Manual_Review!$I$6:$I$238,MATCH(A190,Manual_Review!$A$6:$A$238,0))="Confirmed",INDEX(Manual_Review!$AF$6:$AF$238,MATCH(A190,Manual_Review!$A$6:$A$238,0))&lt;&gt;""),INDEX(Manual_Review!$AG$6:$AG$238,MATCH(A190,Manual_Review!$A$6:$A$238,0))&lt;&gt;""),IF(INDEX(Manual_Review!$AB$6:$AB$238,MATCH(A190,Manual_Review!$A$6:$A$238,0))="Pass","Pass",IF(INDEX(Manual_Review!$AB$6:$AB$238,MATCH(A190,Manual_Review!$A$6:$A$238,0))="Fail","Fail","Pending")),"Not assessed: define intended task")</f>
        <v>Not assessed: define intended task</v>
      </c>
      <c r="AW190" s="5" t="str">
        <f>IF(AND(AND(INDEX(Manual_Review!$G$6:$G$238,MATCH(A190,Manual_Review!$A$6:$A$238,0))&lt;&gt;"",ISNUMBER(INDEX(Manual_Review!$H$6:$H$238,MATCH(A190,Manual_Review!$A$6:$A$238,0))),INDEX(Manual_Review!$H$6:$H$238,MATCH(A190,Manual_Review!$A$6:$A$238,0))&gt;0,INDEX(Manual_Review!$I$6:$I$238,MATCH(A190,Manual_Review!$A$6:$A$238,0))="Confirmed",INDEX(Manual_Review!$AF$6:$AF$238,MATCH(A190,Manual_Review!$A$6:$A$238,0))&lt;&gt;""),INDEX(Manual_Review!$AG$6:$AG$238,MATCH(A190,Manual_Review!$A$6:$A$238,0))&lt;&gt;""),IF(OR(INDEX(Manual_Review!$AC$6:$AC$238,MATCH(A190,Manual_Review!$A$6:$A$238,0))="Fail",INDEX(Manual_Review!$AD$6:$AD$238,MATCH(A190,Manual_Review!$A$6:$A$238,0))="Fail"),"Fail: rights or retrieval",IF(AND(INDEX(Manual_Review!$AC$6:$AC$238,MATCH(A190,Manual_Review!$A$6:$A$238,0))="Pass",INDEX(Manual_Review!$AD$6:$AD$238,MATCH(A190,Manual_Review!$A$6:$A$238,0))="Pass"),"Pass","Pending rights and retrieval")),"Pending rights and retrieval")</f>
        <v>Pending rights and retrieval</v>
      </c>
      <c r="AX190" s="5" t="str">
        <f>IF(INDEX(Manual_Review!$AG$6:$AG$238,MATCH(A190,Manual_Review!$A$6:$A$238,0))="","N/A: documentation inventory",IF(AND(INDEX(Manual_Review!$G$6:$G$238,MATCH(A190,Manual_Review!$A$6:$A$238,0))&lt;&gt;"",ISNUMBER(INDEX(Manual_Review!$H$6:$H$238,MATCH(A190,Manual_Review!$A$6:$A$238,0))),INDEX(Manual_Review!$H$6:$H$238,MATCH(A190,Manual_Review!$A$6:$A$238,0))&gt;0,INDEX(Manual_Review!$I$6:$I$238,MATCH(A190,Manual_Review!$A$6:$A$238,0))="Confirmed",INDEX(Manual_Review!$AF$6:$AF$238,MATCH(A190,Manual_Review!$A$6:$A$238,0))&lt;&gt;""),IF(INDEX(Manual_Review!$AE$6:$AE$238,MATCH(A190,Manual_Review!$A$6:$A$238,0))="Pass","Pass",IF(INDEX(Manual_Review!$AE$6:$AE$238,MATCH(A190,Manual_Review!$A$6:$A$238,0))="Fail","Fail: benchmark leakage",IF(INDEX(Manual_Review!$AE$6:$AE$238,MATCH(A190,Manual_Review!$A$6:$A$238,0))="N/A","N/A: nonbenchmark task","Pending task-specific leakage check"))),"Pending task-specific leakage check"))</f>
        <v>N/A: documentation inventory</v>
      </c>
      <c r="AY190" s="5" t="str">
        <f>IF(IF(D190="Unlabeled-13",AND(ABS(MCDM_Settings!$D$14-1)&lt;0.0000001,MIN(MCDM_Settings!$E$6:$E$11)&gt;=0,MCDM_Settings!$E$7=0),AND(ABS(MCDM_Settings!$B$14-1)&lt;0.0000001,MIN(MCDM_Settings!$C$6:$C$11)&gt;=0)),"Valid","Check weights")</f>
        <v>Valid</v>
      </c>
      <c r="AZ190" s="5" t="str">
        <f>IF(AND(COUNTIF(MCDM_Checks!$B$6:$B$3733,A190)=16,COUNTIF(Manual_Review!$A$6:$A$238,A190)=1),"16 keys present","Check key count")</f>
        <v>16 keys present</v>
      </c>
    </row>
    <row r="191" spans="1:52">
      <c r="A191" s="5" t="s">
        <v>2095</v>
      </c>
      <c r="B191" s="5" t="s">
        <v>2096</v>
      </c>
      <c r="C191" s="5"/>
      <c r="D191" s="5" t="s">
        <v>118</v>
      </c>
      <c r="E191" s="12">
        <f>IF(OR(AY191&lt;&gt;"Valid",AZ191&lt;&gt;"16 keys present"),"Review settings",20*(IF(ISNUMBER(AC191),AC191*IF($D191="Unlabeled-13",MCDM_Settings!$E$6,MCDM_Settings!$C$6),0)+IF(ISNUMBER(AF191),AF191*IF($D191="Unlabeled-13",MCDM_Settings!$E$7,MCDM_Settings!$C$7),0)+IF(ISNUMBER(AI191),AI191*IF($D191="Unlabeled-13",MCDM_Settings!$E$8,MCDM_Settings!$C$8),0)+IF(ISNUMBER(AL191),AL191*IF($D191="Unlabeled-13",MCDM_Settings!$E$9,MCDM_Settings!$C$9),0)+IF(ISNUMBER(AO191),AO191*IF($D191="Unlabeled-13",MCDM_Settings!$E$10,MCDM_Settings!$C$10),0)+IF(ISNUMBER(AR191),AR191*IF($D191="Unlabeled-13",MCDM_Settings!$E$11,MCDM_Settings!$C$11),0)))</f>
        <v>69.444444444444443</v>
      </c>
      <c r="F191" s="12">
        <f>IF(OR(AY191&lt;&gt;"Valid",AZ191&lt;&gt;"16 keys present"),"Review settings",20*(IF(ISNUMBER(AD191),AD191*IF($D191="Unlabeled-13",MCDM_Settings!$E$6,MCDM_Settings!$C$6),0)+IF(ISNUMBER(AG191),AG191*IF($D191="Unlabeled-13",MCDM_Settings!$E$7,MCDM_Settings!$C$7),0)+IF(ISNUMBER(AJ191),AJ191*IF($D191="Unlabeled-13",MCDM_Settings!$E$8,MCDM_Settings!$C$8),0)+IF(ISNUMBER(AM191),AM191*IF($D191="Unlabeled-13",MCDM_Settings!$E$9,MCDM_Settings!$C$9),0)+IF(ISNUMBER(AP191),AP191*IF($D191="Unlabeled-13",MCDM_Settings!$E$10,MCDM_Settings!$C$10),0)+IF(ISNUMBER(AS191),AS191*IF($D191="Unlabeled-13",MCDM_Settings!$E$11,MCDM_Settings!$C$11),0)))</f>
        <v>99.999999999999986</v>
      </c>
      <c r="G191" s="13">
        <f>IF(OR(AY191&lt;&gt;"Valid",AZ191&lt;&gt;"16 keys present"),"Review settings",1*(IF(ISNUMBER(AE191),AE191*IF($D191="Unlabeled-13",MCDM_Settings!$E$6,MCDM_Settings!$C$6),0)+IF(ISNUMBER(AH191),AH191*IF($D191="Unlabeled-13",MCDM_Settings!$E$7,MCDM_Settings!$C$7),0)+IF(ISNUMBER(AK191),AK191*IF($D191="Unlabeled-13",MCDM_Settings!$E$8,MCDM_Settings!$C$8),0)+IF(ISNUMBER(AN191),AN191*IF($D191="Unlabeled-13",MCDM_Settings!$E$9,MCDM_Settings!$C$9),0)+IF(ISNUMBER(AQ191),AQ191*IF($D191="Unlabeled-13",MCDM_Settings!$E$10,MCDM_Settings!$C$10),0)+IF(ISNUMBER(AT191),AT191*IF($D191="Unlabeled-13",MCDM_Settings!$E$11,MCDM_Settings!$C$11),0)))</f>
        <v>0.69444444444444442</v>
      </c>
      <c r="H191" s="5" t="str">
        <f>INDEX(Manual_Review!$AH$6:$AH$238,MATCH(A191,Manual_Review!$A$6:$A$238,0))</f>
        <v>Not started</v>
      </c>
      <c r="I191" s="5" t="s">
        <v>182</v>
      </c>
      <c r="J191" s="5" t="s">
        <v>2097</v>
      </c>
      <c r="K191" s="5" t="str">
        <f>HYPERLINK("https://www.viscoda.com/index.php/en/downloads-en/roadsc-dataset","Dataset")</f>
        <v>Dataset</v>
      </c>
      <c r="L191" s="5" t="str">
        <f>HYPERLINK("#'Manual_Review'!A"&amp;(MATCH("DS-186",Manual_Review!$A$6:$A$238,0)+5),"Enter review")</f>
        <v>Enter review</v>
      </c>
      <c r="M191" s="5" t="str">
        <f>INDEX(MCDM_Checks!$K$6:$K$3733,MATCH(A191&amp;"|"&amp;M$5,MCDM_Checks!$A$6:$A$3733,0))</f>
        <v>Y</v>
      </c>
      <c r="N191" s="5" t="str">
        <f>INDEX(MCDM_Checks!$K$6:$K$3733,MATCH(A191&amp;"|"&amp;N$5,MCDM_Checks!$A$6:$A$3733,0))</f>
        <v>Y</v>
      </c>
      <c r="O191" s="5" t="str">
        <f>INDEX(MCDM_Checks!$K$6:$K$3733,MATCH(A191&amp;"|"&amp;O$5,MCDM_Checks!$A$6:$A$3733,0))</f>
        <v>Y</v>
      </c>
      <c r="P191" s="5" t="str">
        <f>INDEX(MCDM_Checks!$K$6:$K$3733,MATCH(A191&amp;"|"&amp;P$5,MCDM_Checks!$A$6:$A$3733,0))</f>
        <v>Y</v>
      </c>
      <c r="Q191" s="5" t="str">
        <f>INDEX(MCDM_Checks!$K$6:$K$3733,MATCH(A191&amp;"|"&amp;Q$5,MCDM_Checks!$A$6:$A$3733,0))</f>
        <v>U</v>
      </c>
      <c r="R191" s="5" t="str">
        <f>INDEX(MCDM_Checks!$K$6:$K$3733,MATCH(A191&amp;"|"&amp;R$5,MCDM_Checks!$A$6:$A$3733,0))</f>
        <v>U</v>
      </c>
      <c r="S191" s="5" t="str">
        <f>INDEX(MCDM_Checks!$K$6:$K$3733,MATCH(A191&amp;"|"&amp;S$5,MCDM_Checks!$A$6:$A$3733,0))</f>
        <v>U</v>
      </c>
      <c r="T191" s="5" t="str">
        <f>INDEX(MCDM_Checks!$K$6:$K$3733,MATCH(A191&amp;"|"&amp;T$5,MCDM_Checks!$A$6:$A$3733,0))</f>
        <v>Y</v>
      </c>
      <c r="U191" s="5" t="str">
        <f>INDEX(MCDM_Checks!$K$6:$K$3733,MATCH(A191&amp;"|"&amp;U$5,MCDM_Checks!$A$6:$A$3733,0))</f>
        <v>Y</v>
      </c>
      <c r="V191" s="5" t="str">
        <f>INDEX(MCDM_Checks!$K$6:$K$3733,MATCH(A191&amp;"|"&amp;V$5,MCDM_Checks!$A$6:$A$3733,0))</f>
        <v>Y</v>
      </c>
      <c r="W191" s="5" t="str">
        <f>INDEX(MCDM_Checks!$K$6:$K$3733,MATCH(A191&amp;"|"&amp;W$5,MCDM_Checks!$A$6:$A$3733,0))</f>
        <v>Y</v>
      </c>
      <c r="X191" s="5" t="str">
        <f>INDEX(MCDM_Checks!$K$6:$K$3733,MATCH(A191&amp;"|"&amp;X$5,MCDM_Checks!$A$6:$A$3733,0))</f>
        <v>U</v>
      </c>
      <c r="Y191" s="5" t="str">
        <f>INDEX(MCDM_Checks!$K$6:$K$3733,MATCH(A191&amp;"|"&amp;Y$5,MCDM_Checks!$A$6:$A$3733,0))</f>
        <v>Y</v>
      </c>
      <c r="Z191" s="5" t="str">
        <f>INDEX(MCDM_Checks!$K$6:$K$3733,MATCH(A191&amp;"|"&amp;Z$5,MCDM_Checks!$A$6:$A$3733,0))</f>
        <v>Y</v>
      </c>
      <c r="AA191" s="5" t="str">
        <f>INDEX(MCDM_Checks!$K$6:$K$3733,MATCH(A191&amp;"|"&amp;AA$5,MCDM_Checks!$A$6:$A$3733,0))</f>
        <v>U</v>
      </c>
      <c r="AB191" s="5" t="str">
        <f>INDEX(MCDM_Checks!$K$6:$K$3733,MATCH(A191&amp;"|"&amp;AB$5,MCDM_Checks!$A$6:$A$3733,0))</f>
        <v>Y</v>
      </c>
      <c r="AC191" s="12">
        <f>IF(IF($D191="Unlabeled-13",MCDM_Settings!$F$6,MCDM_Settings!$D$6)=0,"n.a.",5*COUNTIF(M191:O191,"Y")/IF($D191="Unlabeled-13",MCDM_Settings!$F$6,MCDM_Settings!$D$6))</f>
        <v>5</v>
      </c>
      <c r="AD191" s="12">
        <f>IF(IF($D191="Unlabeled-13",MCDM_Settings!$F$6,MCDM_Settings!$D$6)=0,"n.a.",5*(COUNTIF(M191:O191,"Y")+COUNTIF(M191:O191,"U")+COUNTIF(M191:O191,"X"))/IF($D191="Unlabeled-13",MCDM_Settings!$F$6,MCDM_Settings!$D$6))</f>
        <v>5</v>
      </c>
      <c r="AE191" s="13">
        <f>IF(IF($D191="Unlabeled-13",MCDM_Settings!$F$6,MCDM_Settings!$D$6)=0,"n.a.",(COUNTIF(M191:O191,"Y")+COUNTIF(M191:O191,"N"))/IF($D191="Unlabeled-13",MCDM_Settings!$F$6,MCDM_Settings!$D$6))</f>
        <v>1</v>
      </c>
      <c r="AF191" s="12">
        <f>IF(IF($D191="Unlabeled-13",MCDM_Settings!$F$7,MCDM_Settings!$D$7)=0,"n.a.",5*COUNTIF(P191:R191,"Y")/IF($D191="Unlabeled-13",MCDM_Settings!$F$7,MCDM_Settings!$D$7))</f>
        <v>1.6666666666666667</v>
      </c>
      <c r="AG191" s="12">
        <f>IF(IF($D191="Unlabeled-13",MCDM_Settings!$F$7,MCDM_Settings!$D$7)=0,"n.a.",5*(COUNTIF(P191:R191,"Y")+COUNTIF(P191:R191,"U")+COUNTIF(P191:R191,"X"))/IF($D191="Unlabeled-13",MCDM_Settings!$F$7,MCDM_Settings!$D$7))</f>
        <v>5</v>
      </c>
      <c r="AH191" s="13">
        <f>IF(IF($D191="Unlabeled-13",MCDM_Settings!$F$7,MCDM_Settings!$D$7)=0,"n.a.",(COUNTIF(P191:R191,"Y")+COUNTIF(P191:R191,"N"))/IF($D191="Unlabeled-13",MCDM_Settings!$F$7,MCDM_Settings!$D$7))</f>
        <v>0.33333333333333331</v>
      </c>
      <c r="AI191" s="12">
        <f>IF(IF($D191="Unlabeled-13",MCDM_Settings!$F$8,MCDM_Settings!$D$8)=0,"n.a.",5*COUNTIF(S191:U191,"Y")/IF($D191="Unlabeled-13",MCDM_Settings!$F$8,MCDM_Settings!$D$8))</f>
        <v>3.3333333333333335</v>
      </c>
      <c r="AJ191" s="12">
        <f>IF(IF($D191="Unlabeled-13",MCDM_Settings!$F$8,MCDM_Settings!$D$8)=0,"n.a.",5*(COUNTIF(S191:U191,"Y")+COUNTIF(S191:U191,"U")+COUNTIF(S191:U191,"X"))/IF($D191="Unlabeled-13",MCDM_Settings!$F$8,MCDM_Settings!$D$8))</f>
        <v>5</v>
      </c>
      <c r="AK191" s="13">
        <f>IF(IF($D191="Unlabeled-13",MCDM_Settings!$F$8,MCDM_Settings!$D$8)=0,"n.a.",(COUNTIF(S191:U191,"Y")+COUNTIF(S191:U191,"N"))/IF($D191="Unlabeled-13",MCDM_Settings!$F$8,MCDM_Settings!$D$8))</f>
        <v>0.66666666666666663</v>
      </c>
      <c r="AL191" s="12">
        <f>IF(IF($D191="Unlabeled-13",MCDM_Settings!$F$9,MCDM_Settings!$D$9)=0,"n.a.",5*COUNTIF(V191:W191,"Y")/IF($D191="Unlabeled-13",MCDM_Settings!$F$9,MCDM_Settings!$D$9))</f>
        <v>5</v>
      </c>
      <c r="AM191" s="12">
        <f>IF(IF($D191="Unlabeled-13",MCDM_Settings!$F$9,MCDM_Settings!$D$9)=0,"n.a.",5*(COUNTIF(V191:W191,"Y")+COUNTIF(V191:W191,"U")+COUNTIF(V191:W191,"X"))/IF($D191="Unlabeled-13",MCDM_Settings!$F$9,MCDM_Settings!$D$9))</f>
        <v>5</v>
      </c>
      <c r="AN191" s="13">
        <f>IF(IF($D191="Unlabeled-13",MCDM_Settings!$F$9,MCDM_Settings!$D$9)=0,"n.a.",(COUNTIF(V191:W191,"Y")+COUNTIF(V191:W191,"N"))/IF($D191="Unlabeled-13",MCDM_Settings!$F$9,MCDM_Settings!$D$9))</f>
        <v>1</v>
      </c>
      <c r="AO191" s="12">
        <f>IF(IF($D191="Unlabeled-13",MCDM_Settings!$F$10,MCDM_Settings!$D$10)=0,"n.a.",5*COUNTIF(X191:Y191,"Y")/IF($D191="Unlabeled-13",MCDM_Settings!$F$10,MCDM_Settings!$D$10))</f>
        <v>2.5</v>
      </c>
      <c r="AP191" s="12">
        <f>IF(IF($D191="Unlabeled-13",MCDM_Settings!$F$10,MCDM_Settings!$D$10)=0,"n.a.",5*(COUNTIF(X191:Y191,"Y")+COUNTIF(X191:Y191,"U")+COUNTIF(X191:Y191,"X"))/IF($D191="Unlabeled-13",MCDM_Settings!$F$10,MCDM_Settings!$D$10))</f>
        <v>5</v>
      </c>
      <c r="AQ191" s="13">
        <f>IF(IF($D191="Unlabeled-13",MCDM_Settings!$F$10,MCDM_Settings!$D$10)=0,"n.a.",(COUNTIF(X191:Y191,"Y")+COUNTIF(X191:Y191,"N"))/IF($D191="Unlabeled-13",MCDM_Settings!$F$10,MCDM_Settings!$D$10))</f>
        <v>0.5</v>
      </c>
      <c r="AR191" s="12">
        <f>IF(IF($D191="Unlabeled-13",MCDM_Settings!$F$11,MCDM_Settings!$D$11)=0,"n.a.",5*COUNTIF(Z191:AB191,"Y")/IF($D191="Unlabeled-13",MCDM_Settings!$F$11,MCDM_Settings!$D$11))</f>
        <v>3.3333333333333335</v>
      </c>
      <c r="AS191" s="12">
        <f>IF(IF($D191="Unlabeled-13",MCDM_Settings!$F$11,MCDM_Settings!$D$11)=0,"n.a.",5*(COUNTIF(Z191:AB191,"Y")+COUNTIF(Z191:AB191,"U")+COUNTIF(Z191:AB191,"X"))/IF($D191="Unlabeled-13",MCDM_Settings!$F$11,MCDM_Settings!$D$11))</f>
        <v>5</v>
      </c>
      <c r="AT191" s="13">
        <f>IF(IF($D191="Unlabeled-13",MCDM_Settings!$F$11,MCDM_Settings!$D$11)=0,"n.a.",(COUNTIF(Z191:AB191,"Y")+COUNTIF(Z191:AB191,"N"))/IF($D191="Unlabeled-13",MCDM_Settings!$F$11,MCDM_Settings!$D$11))</f>
        <v>0.66666666666666663</v>
      </c>
      <c r="AU191" s="5" t="str">
        <f>IF(AND(INDEX(Manual_Review!$G$6:$G$238,MATCH(A191,Manual_Review!$A$6:$A$238,0))&lt;&gt;"",ISNUMBER(INDEX(Manual_Review!$H$6:$H$238,MATCH(A191,Manual_Review!$A$6:$A$238,0))),INDEX(Manual_Review!$H$6:$H$238,MATCH(A191,Manual_Review!$A$6:$A$238,0))&gt;0,INDEX(Manual_Review!$I$6:$I$238,MATCH(A191,Manual_Review!$A$6:$A$238,0))="Confirmed",INDEX(Manual_Review!$AF$6:$AF$238,MATCH(A191,Manual_Review!$A$6:$A$238,0))&lt;&gt;""),IF(INDEX(Manual_Review!$AA$6:$AA$238,MATCH(A191,Manual_Review!$A$6:$A$238,0))="Pass","Pass",IF(INDEX(Manual_Review!$AA$6:$AA$238,MATCH(A191,Manual_Review!$A$6:$A$238,0))="Fail","Fail","Pending")),"Pending human identity confirmation")</f>
        <v>Pending human identity confirmation</v>
      </c>
      <c r="AV191" s="5" t="str">
        <f>IF(AND(AND(INDEX(Manual_Review!$G$6:$G$238,MATCH(A191,Manual_Review!$A$6:$A$238,0))&lt;&gt;"",ISNUMBER(INDEX(Manual_Review!$H$6:$H$238,MATCH(A191,Manual_Review!$A$6:$A$238,0))),INDEX(Manual_Review!$H$6:$H$238,MATCH(A191,Manual_Review!$A$6:$A$238,0))&gt;0,INDEX(Manual_Review!$I$6:$I$238,MATCH(A191,Manual_Review!$A$6:$A$238,0))="Confirmed",INDEX(Manual_Review!$AF$6:$AF$238,MATCH(A191,Manual_Review!$A$6:$A$238,0))&lt;&gt;""),INDEX(Manual_Review!$AG$6:$AG$238,MATCH(A191,Manual_Review!$A$6:$A$238,0))&lt;&gt;""),IF(INDEX(Manual_Review!$AB$6:$AB$238,MATCH(A191,Manual_Review!$A$6:$A$238,0))="Pass","Pass",IF(INDEX(Manual_Review!$AB$6:$AB$238,MATCH(A191,Manual_Review!$A$6:$A$238,0))="Fail","Fail","Pending")),"Not assessed: define intended task")</f>
        <v>Not assessed: define intended task</v>
      </c>
      <c r="AW191" s="5" t="str">
        <f>IF(AND(AND(INDEX(Manual_Review!$G$6:$G$238,MATCH(A191,Manual_Review!$A$6:$A$238,0))&lt;&gt;"",ISNUMBER(INDEX(Manual_Review!$H$6:$H$238,MATCH(A191,Manual_Review!$A$6:$A$238,0))),INDEX(Manual_Review!$H$6:$H$238,MATCH(A191,Manual_Review!$A$6:$A$238,0))&gt;0,INDEX(Manual_Review!$I$6:$I$238,MATCH(A191,Manual_Review!$A$6:$A$238,0))="Confirmed",INDEX(Manual_Review!$AF$6:$AF$238,MATCH(A191,Manual_Review!$A$6:$A$238,0))&lt;&gt;""),INDEX(Manual_Review!$AG$6:$AG$238,MATCH(A191,Manual_Review!$A$6:$A$238,0))&lt;&gt;""),IF(OR(INDEX(Manual_Review!$AC$6:$AC$238,MATCH(A191,Manual_Review!$A$6:$A$238,0))="Fail",INDEX(Manual_Review!$AD$6:$AD$238,MATCH(A191,Manual_Review!$A$6:$A$238,0))="Fail"),"Fail: rights or retrieval",IF(AND(INDEX(Manual_Review!$AC$6:$AC$238,MATCH(A191,Manual_Review!$A$6:$A$238,0))="Pass",INDEX(Manual_Review!$AD$6:$AD$238,MATCH(A191,Manual_Review!$A$6:$A$238,0))="Pass"),"Pass","Pending rights and retrieval")),"Pending rights and retrieval")</f>
        <v>Pending rights and retrieval</v>
      </c>
      <c r="AX191" s="5" t="str">
        <f>IF(INDEX(Manual_Review!$AG$6:$AG$238,MATCH(A191,Manual_Review!$A$6:$A$238,0))="","N/A: documentation inventory",IF(AND(INDEX(Manual_Review!$G$6:$G$238,MATCH(A191,Manual_Review!$A$6:$A$238,0))&lt;&gt;"",ISNUMBER(INDEX(Manual_Review!$H$6:$H$238,MATCH(A191,Manual_Review!$A$6:$A$238,0))),INDEX(Manual_Review!$H$6:$H$238,MATCH(A191,Manual_Review!$A$6:$A$238,0))&gt;0,INDEX(Manual_Review!$I$6:$I$238,MATCH(A191,Manual_Review!$A$6:$A$238,0))="Confirmed",INDEX(Manual_Review!$AF$6:$AF$238,MATCH(A191,Manual_Review!$A$6:$A$238,0))&lt;&gt;""),IF(INDEX(Manual_Review!$AE$6:$AE$238,MATCH(A191,Manual_Review!$A$6:$A$238,0))="Pass","Pass",IF(INDEX(Manual_Review!$AE$6:$AE$238,MATCH(A191,Manual_Review!$A$6:$A$238,0))="Fail","Fail: benchmark leakage",IF(INDEX(Manual_Review!$AE$6:$AE$238,MATCH(A191,Manual_Review!$A$6:$A$238,0))="N/A","N/A: nonbenchmark task","Pending task-specific leakage check"))),"Pending task-specific leakage check"))</f>
        <v>N/A: documentation inventory</v>
      </c>
      <c r="AY191" s="5" t="str">
        <f>IF(IF(D191="Unlabeled-13",AND(ABS(MCDM_Settings!$D$14-1)&lt;0.0000001,MIN(MCDM_Settings!$E$6:$E$11)&gt;=0,MCDM_Settings!$E$7=0),AND(ABS(MCDM_Settings!$B$14-1)&lt;0.0000001,MIN(MCDM_Settings!$C$6:$C$11)&gt;=0)),"Valid","Check weights")</f>
        <v>Valid</v>
      </c>
      <c r="AZ191" s="5" t="str">
        <f>IF(AND(COUNTIF(MCDM_Checks!$B$6:$B$3733,A191)=16,COUNTIF(Manual_Review!$A$6:$A$238,A191)=1),"16 keys present","Check key count")</f>
        <v>16 keys present</v>
      </c>
    </row>
    <row r="192" spans="1:52" ht="25.5">
      <c r="A192" s="5" t="s">
        <v>2107</v>
      </c>
      <c r="B192" s="5" t="s">
        <v>2108</v>
      </c>
      <c r="C192" s="5"/>
      <c r="D192" s="5" t="s">
        <v>118</v>
      </c>
      <c r="E192" s="12">
        <f>IF(OR(AY192&lt;&gt;"Valid",AZ192&lt;&gt;"16 keys present"),"Review settings",20*(IF(ISNUMBER(AC192),AC192*IF($D192="Unlabeled-13",MCDM_Settings!$E$6,MCDM_Settings!$C$6),0)+IF(ISNUMBER(AF192),AF192*IF($D192="Unlabeled-13",MCDM_Settings!$E$7,MCDM_Settings!$C$7),0)+IF(ISNUMBER(AI192),AI192*IF($D192="Unlabeled-13",MCDM_Settings!$E$8,MCDM_Settings!$C$8),0)+IF(ISNUMBER(AL192),AL192*IF($D192="Unlabeled-13",MCDM_Settings!$E$9,MCDM_Settings!$C$9),0)+IF(ISNUMBER(AO192),AO192*IF($D192="Unlabeled-13",MCDM_Settings!$E$10,MCDM_Settings!$C$10),0)+IF(ISNUMBER(AR192),AR192*IF($D192="Unlabeled-13",MCDM_Settings!$E$11,MCDM_Settings!$C$11),0)))</f>
        <v>69.444444444444443</v>
      </c>
      <c r="F192" s="12">
        <f>IF(OR(AY192&lt;&gt;"Valid",AZ192&lt;&gt;"16 keys present"),"Review settings",20*(IF(ISNUMBER(AD192),AD192*IF($D192="Unlabeled-13",MCDM_Settings!$E$6,MCDM_Settings!$C$6),0)+IF(ISNUMBER(AG192),AG192*IF($D192="Unlabeled-13",MCDM_Settings!$E$7,MCDM_Settings!$C$7),0)+IF(ISNUMBER(AJ192),AJ192*IF($D192="Unlabeled-13",MCDM_Settings!$E$8,MCDM_Settings!$C$8),0)+IF(ISNUMBER(AM192),AM192*IF($D192="Unlabeled-13",MCDM_Settings!$E$9,MCDM_Settings!$C$9),0)+IF(ISNUMBER(AP192),AP192*IF($D192="Unlabeled-13",MCDM_Settings!$E$10,MCDM_Settings!$C$10),0)+IF(ISNUMBER(AS192),AS192*IF($D192="Unlabeled-13",MCDM_Settings!$E$11,MCDM_Settings!$C$11),0)))</f>
        <v>99.999999999999986</v>
      </c>
      <c r="G192" s="13">
        <f>IF(OR(AY192&lt;&gt;"Valid",AZ192&lt;&gt;"16 keys present"),"Review settings",1*(IF(ISNUMBER(AE192),AE192*IF($D192="Unlabeled-13",MCDM_Settings!$E$6,MCDM_Settings!$C$6),0)+IF(ISNUMBER(AH192),AH192*IF($D192="Unlabeled-13",MCDM_Settings!$E$7,MCDM_Settings!$C$7),0)+IF(ISNUMBER(AK192),AK192*IF($D192="Unlabeled-13",MCDM_Settings!$E$8,MCDM_Settings!$C$8),0)+IF(ISNUMBER(AN192),AN192*IF($D192="Unlabeled-13",MCDM_Settings!$E$9,MCDM_Settings!$C$9),0)+IF(ISNUMBER(AQ192),AQ192*IF($D192="Unlabeled-13",MCDM_Settings!$E$10,MCDM_Settings!$C$10),0)+IF(ISNUMBER(AT192),AT192*IF($D192="Unlabeled-13",MCDM_Settings!$E$11,MCDM_Settings!$C$11),0)))</f>
        <v>0.69444444444444442</v>
      </c>
      <c r="H192" s="5" t="str">
        <f>INDEX(Manual_Review!$AH$6:$AH$238,MATCH(A192,Manual_Review!$A$6:$A$238,0))</f>
        <v>Not started</v>
      </c>
      <c r="I192" s="5" t="s">
        <v>182</v>
      </c>
      <c r="J192" s="5" t="s">
        <v>2109</v>
      </c>
      <c r="K192" s="5" t="str">
        <f>HYPERLINK("https://github.com/ShaoyanZhai2001/SAVeD","Dataset")</f>
        <v>Dataset</v>
      </c>
      <c r="L192" s="5" t="str">
        <f>HYPERLINK("#'Manual_Review'!A"&amp;(MATCH("DS-187",Manual_Review!$A$6:$A$238,0)+5),"Enter review")</f>
        <v>Enter review</v>
      </c>
      <c r="M192" s="5" t="str">
        <f>INDEX(MCDM_Checks!$K$6:$K$3733,MATCH(A192&amp;"|"&amp;M$5,MCDM_Checks!$A$6:$A$3733,0))</f>
        <v>Y</v>
      </c>
      <c r="N192" s="5" t="str">
        <f>INDEX(MCDM_Checks!$K$6:$K$3733,MATCH(A192&amp;"|"&amp;N$5,MCDM_Checks!$A$6:$A$3733,0))</f>
        <v>Y</v>
      </c>
      <c r="O192" s="5" t="str">
        <f>INDEX(MCDM_Checks!$K$6:$K$3733,MATCH(A192&amp;"|"&amp;O$5,MCDM_Checks!$A$6:$A$3733,0))</f>
        <v>Y</v>
      </c>
      <c r="P192" s="5" t="str">
        <f>INDEX(MCDM_Checks!$K$6:$K$3733,MATCH(A192&amp;"|"&amp;P$5,MCDM_Checks!$A$6:$A$3733,0))</f>
        <v>Y</v>
      </c>
      <c r="Q192" s="5" t="str">
        <f>INDEX(MCDM_Checks!$K$6:$K$3733,MATCH(A192&amp;"|"&amp;Q$5,MCDM_Checks!$A$6:$A$3733,0))</f>
        <v>U</v>
      </c>
      <c r="R192" s="5" t="str">
        <f>INDEX(MCDM_Checks!$K$6:$K$3733,MATCH(A192&amp;"|"&amp;R$5,MCDM_Checks!$A$6:$A$3733,0))</f>
        <v>U</v>
      </c>
      <c r="S192" s="5" t="str">
        <f>INDEX(MCDM_Checks!$K$6:$K$3733,MATCH(A192&amp;"|"&amp;S$5,MCDM_Checks!$A$6:$A$3733,0))</f>
        <v>Y</v>
      </c>
      <c r="T192" s="5" t="str">
        <f>INDEX(MCDM_Checks!$K$6:$K$3733,MATCH(A192&amp;"|"&amp;T$5,MCDM_Checks!$A$6:$A$3733,0))</f>
        <v>Y</v>
      </c>
      <c r="U192" s="5" t="str">
        <f>INDEX(MCDM_Checks!$K$6:$K$3733,MATCH(A192&amp;"|"&amp;U$5,MCDM_Checks!$A$6:$A$3733,0))</f>
        <v>Y</v>
      </c>
      <c r="V192" s="5" t="str">
        <f>INDEX(MCDM_Checks!$K$6:$K$3733,MATCH(A192&amp;"|"&amp;V$5,MCDM_Checks!$A$6:$A$3733,0))</f>
        <v>Y</v>
      </c>
      <c r="W192" s="5" t="str">
        <f>INDEX(MCDM_Checks!$K$6:$K$3733,MATCH(A192&amp;"|"&amp;W$5,MCDM_Checks!$A$6:$A$3733,0))</f>
        <v>U</v>
      </c>
      <c r="X192" s="5" t="str">
        <f>INDEX(MCDM_Checks!$K$6:$K$3733,MATCH(A192&amp;"|"&amp;X$5,MCDM_Checks!$A$6:$A$3733,0))</f>
        <v>Y</v>
      </c>
      <c r="Y192" s="5" t="str">
        <f>INDEX(MCDM_Checks!$K$6:$K$3733,MATCH(A192&amp;"|"&amp;Y$5,MCDM_Checks!$A$6:$A$3733,0))</f>
        <v>Y</v>
      </c>
      <c r="Z192" s="5" t="str">
        <f>INDEX(MCDM_Checks!$K$6:$K$3733,MATCH(A192&amp;"|"&amp;Z$5,MCDM_Checks!$A$6:$A$3733,0))</f>
        <v>Y</v>
      </c>
      <c r="AA192" s="5" t="str">
        <f>INDEX(MCDM_Checks!$K$6:$K$3733,MATCH(A192&amp;"|"&amp;AA$5,MCDM_Checks!$A$6:$A$3733,0))</f>
        <v>U</v>
      </c>
      <c r="AB192" s="5" t="str">
        <f>INDEX(MCDM_Checks!$K$6:$K$3733,MATCH(A192&amp;"|"&amp;AB$5,MCDM_Checks!$A$6:$A$3733,0))</f>
        <v>U</v>
      </c>
      <c r="AC192" s="12">
        <f>IF(IF($D192="Unlabeled-13",MCDM_Settings!$F$6,MCDM_Settings!$D$6)=0,"n.a.",5*COUNTIF(M192:O192,"Y")/IF($D192="Unlabeled-13",MCDM_Settings!$F$6,MCDM_Settings!$D$6))</f>
        <v>5</v>
      </c>
      <c r="AD192" s="12">
        <f>IF(IF($D192="Unlabeled-13",MCDM_Settings!$F$6,MCDM_Settings!$D$6)=0,"n.a.",5*(COUNTIF(M192:O192,"Y")+COUNTIF(M192:O192,"U")+COUNTIF(M192:O192,"X"))/IF($D192="Unlabeled-13",MCDM_Settings!$F$6,MCDM_Settings!$D$6))</f>
        <v>5</v>
      </c>
      <c r="AE192" s="13">
        <f>IF(IF($D192="Unlabeled-13",MCDM_Settings!$F$6,MCDM_Settings!$D$6)=0,"n.a.",(COUNTIF(M192:O192,"Y")+COUNTIF(M192:O192,"N"))/IF($D192="Unlabeled-13",MCDM_Settings!$F$6,MCDM_Settings!$D$6))</f>
        <v>1</v>
      </c>
      <c r="AF192" s="12">
        <f>IF(IF($D192="Unlabeled-13",MCDM_Settings!$F$7,MCDM_Settings!$D$7)=0,"n.a.",5*COUNTIF(P192:R192,"Y")/IF($D192="Unlabeled-13",MCDM_Settings!$F$7,MCDM_Settings!$D$7))</f>
        <v>1.6666666666666667</v>
      </c>
      <c r="AG192" s="12">
        <f>IF(IF($D192="Unlabeled-13",MCDM_Settings!$F$7,MCDM_Settings!$D$7)=0,"n.a.",5*(COUNTIF(P192:R192,"Y")+COUNTIF(P192:R192,"U")+COUNTIF(P192:R192,"X"))/IF($D192="Unlabeled-13",MCDM_Settings!$F$7,MCDM_Settings!$D$7))</f>
        <v>5</v>
      </c>
      <c r="AH192" s="13">
        <f>IF(IF($D192="Unlabeled-13",MCDM_Settings!$F$7,MCDM_Settings!$D$7)=0,"n.a.",(COUNTIF(P192:R192,"Y")+COUNTIF(P192:R192,"N"))/IF($D192="Unlabeled-13",MCDM_Settings!$F$7,MCDM_Settings!$D$7))</f>
        <v>0.33333333333333331</v>
      </c>
      <c r="AI192" s="12">
        <f>IF(IF($D192="Unlabeled-13",MCDM_Settings!$F$8,MCDM_Settings!$D$8)=0,"n.a.",5*COUNTIF(S192:U192,"Y")/IF($D192="Unlabeled-13",MCDM_Settings!$F$8,MCDM_Settings!$D$8))</f>
        <v>5</v>
      </c>
      <c r="AJ192" s="12">
        <f>IF(IF($D192="Unlabeled-13",MCDM_Settings!$F$8,MCDM_Settings!$D$8)=0,"n.a.",5*(COUNTIF(S192:U192,"Y")+COUNTIF(S192:U192,"U")+COUNTIF(S192:U192,"X"))/IF($D192="Unlabeled-13",MCDM_Settings!$F$8,MCDM_Settings!$D$8))</f>
        <v>5</v>
      </c>
      <c r="AK192" s="13">
        <f>IF(IF($D192="Unlabeled-13",MCDM_Settings!$F$8,MCDM_Settings!$D$8)=0,"n.a.",(COUNTIF(S192:U192,"Y")+COUNTIF(S192:U192,"N"))/IF($D192="Unlabeled-13",MCDM_Settings!$F$8,MCDM_Settings!$D$8))</f>
        <v>1</v>
      </c>
      <c r="AL192" s="12">
        <f>IF(IF($D192="Unlabeled-13",MCDM_Settings!$F$9,MCDM_Settings!$D$9)=0,"n.a.",5*COUNTIF(V192:W192,"Y")/IF($D192="Unlabeled-13",MCDM_Settings!$F$9,MCDM_Settings!$D$9))</f>
        <v>2.5</v>
      </c>
      <c r="AM192" s="12">
        <f>IF(IF($D192="Unlabeled-13",MCDM_Settings!$F$9,MCDM_Settings!$D$9)=0,"n.a.",5*(COUNTIF(V192:W192,"Y")+COUNTIF(V192:W192,"U")+COUNTIF(V192:W192,"X"))/IF($D192="Unlabeled-13",MCDM_Settings!$F$9,MCDM_Settings!$D$9))</f>
        <v>5</v>
      </c>
      <c r="AN192" s="13">
        <f>IF(IF($D192="Unlabeled-13",MCDM_Settings!$F$9,MCDM_Settings!$D$9)=0,"n.a.",(COUNTIF(V192:W192,"Y")+COUNTIF(V192:W192,"N"))/IF($D192="Unlabeled-13",MCDM_Settings!$F$9,MCDM_Settings!$D$9))</f>
        <v>0.5</v>
      </c>
      <c r="AO192" s="12">
        <f>IF(IF($D192="Unlabeled-13",MCDM_Settings!$F$10,MCDM_Settings!$D$10)=0,"n.a.",5*COUNTIF(X192:Y192,"Y")/IF($D192="Unlabeled-13",MCDM_Settings!$F$10,MCDM_Settings!$D$10))</f>
        <v>5</v>
      </c>
      <c r="AP192" s="12">
        <f>IF(IF($D192="Unlabeled-13",MCDM_Settings!$F$10,MCDM_Settings!$D$10)=0,"n.a.",5*(COUNTIF(X192:Y192,"Y")+COUNTIF(X192:Y192,"U")+COUNTIF(X192:Y192,"X"))/IF($D192="Unlabeled-13",MCDM_Settings!$F$10,MCDM_Settings!$D$10))</f>
        <v>5</v>
      </c>
      <c r="AQ192" s="13">
        <f>IF(IF($D192="Unlabeled-13",MCDM_Settings!$F$10,MCDM_Settings!$D$10)=0,"n.a.",(COUNTIF(X192:Y192,"Y")+COUNTIF(X192:Y192,"N"))/IF($D192="Unlabeled-13",MCDM_Settings!$F$10,MCDM_Settings!$D$10))</f>
        <v>1</v>
      </c>
      <c r="AR192" s="12">
        <f>IF(IF($D192="Unlabeled-13",MCDM_Settings!$F$11,MCDM_Settings!$D$11)=0,"n.a.",5*COUNTIF(Z192:AB192,"Y")/IF($D192="Unlabeled-13",MCDM_Settings!$F$11,MCDM_Settings!$D$11))</f>
        <v>1.6666666666666667</v>
      </c>
      <c r="AS192" s="12">
        <f>IF(IF($D192="Unlabeled-13",MCDM_Settings!$F$11,MCDM_Settings!$D$11)=0,"n.a.",5*(COUNTIF(Z192:AB192,"Y")+COUNTIF(Z192:AB192,"U")+COUNTIF(Z192:AB192,"X"))/IF($D192="Unlabeled-13",MCDM_Settings!$F$11,MCDM_Settings!$D$11))</f>
        <v>5</v>
      </c>
      <c r="AT192" s="13">
        <f>IF(IF($D192="Unlabeled-13",MCDM_Settings!$F$11,MCDM_Settings!$D$11)=0,"n.a.",(COUNTIF(Z192:AB192,"Y")+COUNTIF(Z192:AB192,"N"))/IF($D192="Unlabeled-13",MCDM_Settings!$F$11,MCDM_Settings!$D$11))</f>
        <v>0.33333333333333331</v>
      </c>
      <c r="AU192" s="5" t="str">
        <f>IF(AND(INDEX(Manual_Review!$G$6:$G$238,MATCH(A192,Manual_Review!$A$6:$A$238,0))&lt;&gt;"",ISNUMBER(INDEX(Manual_Review!$H$6:$H$238,MATCH(A192,Manual_Review!$A$6:$A$238,0))),INDEX(Manual_Review!$H$6:$H$238,MATCH(A192,Manual_Review!$A$6:$A$238,0))&gt;0,INDEX(Manual_Review!$I$6:$I$238,MATCH(A192,Manual_Review!$A$6:$A$238,0))="Confirmed",INDEX(Manual_Review!$AF$6:$AF$238,MATCH(A192,Manual_Review!$A$6:$A$238,0))&lt;&gt;""),IF(INDEX(Manual_Review!$AA$6:$AA$238,MATCH(A192,Manual_Review!$A$6:$A$238,0))="Pass","Pass",IF(INDEX(Manual_Review!$AA$6:$AA$238,MATCH(A192,Manual_Review!$A$6:$A$238,0))="Fail","Fail","Pending")),"Pending human identity confirmation")</f>
        <v>Pending human identity confirmation</v>
      </c>
      <c r="AV192" s="5" t="str">
        <f>IF(AND(AND(INDEX(Manual_Review!$G$6:$G$238,MATCH(A192,Manual_Review!$A$6:$A$238,0))&lt;&gt;"",ISNUMBER(INDEX(Manual_Review!$H$6:$H$238,MATCH(A192,Manual_Review!$A$6:$A$238,0))),INDEX(Manual_Review!$H$6:$H$238,MATCH(A192,Manual_Review!$A$6:$A$238,0))&gt;0,INDEX(Manual_Review!$I$6:$I$238,MATCH(A192,Manual_Review!$A$6:$A$238,0))="Confirmed",INDEX(Manual_Review!$AF$6:$AF$238,MATCH(A192,Manual_Review!$A$6:$A$238,0))&lt;&gt;""),INDEX(Manual_Review!$AG$6:$AG$238,MATCH(A192,Manual_Review!$A$6:$A$238,0))&lt;&gt;""),IF(INDEX(Manual_Review!$AB$6:$AB$238,MATCH(A192,Manual_Review!$A$6:$A$238,0))="Pass","Pass",IF(INDEX(Manual_Review!$AB$6:$AB$238,MATCH(A192,Manual_Review!$A$6:$A$238,0))="Fail","Fail","Pending")),"Not assessed: define intended task")</f>
        <v>Not assessed: define intended task</v>
      </c>
      <c r="AW192" s="5" t="str">
        <f>IF(AND(AND(INDEX(Manual_Review!$G$6:$G$238,MATCH(A192,Manual_Review!$A$6:$A$238,0))&lt;&gt;"",ISNUMBER(INDEX(Manual_Review!$H$6:$H$238,MATCH(A192,Manual_Review!$A$6:$A$238,0))),INDEX(Manual_Review!$H$6:$H$238,MATCH(A192,Manual_Review!$A$6:$A$238,0))&gt;0,INDEX(Manual_Review!$I$6:$I$238,MATCH(A192,Manual_Review!$A$6:$A$238,0))="Confirmed",INDEX(Manual_Review!$AF$6:$AF$238,MATCH(A192,Manual_Review!$A$6:$A$238,0))&lt;&gt;""),INDEX(Manual_Review!$AG$6:$AG$238,MATCH(A192,Manual_Review!$A$6:$A$238,0))&lt;&gt;""),IF(OR(INDEX(Manual_Review!$AC$6:$AC$238,MATCH(A192,Manual_Review!$A$6:$A$238,0))="Fail",INDEX(Manual_Review!$AD$6:$AD$238,MATCH(A192,Manual_Review!$A$6:$A$238,0))="Fail"),"Fail: rights or retrieval",IF(AND(INDEX(Manual_Review!$AC$6:$AC$238,MATCH(A192,Manual_Review!$A$6:$A$238,0))="Pass",INDEX(Manual_Review!$AD$6:$AD$238,MATCH(A192,Manual_Review!$A$6:$A$238,0))="Pass"),"Pass","Pending rights and retrieval")),"Pending rights and retrieval")</f>
        <v>Pending rights and retrieval</v>
      </c>
      <c r="AX192" s="5" t="str">
        <f>IF(INDEX(Manual_Review!$AG$6:$AG$238,MATCH(A192,Manual_Review!$A$6:$A$238,0))="","N/A: documentation inventory",IF(AND(INDEX(Manual_Review!$G$6:$G$238,MATCH(A192,Manual_Review!$A$6:$A$238,0))&lt;&gt;"",ISNUMBER(INDEX(Manual_Review!$H$6:$H$238,MATCH(A192,Manual_Review!$A$6:$A$238,0))),INDEX(Manual_Review!$H$6:$H$238,MATCH(A192,Manual_Review!$A$6:$A$238,0))&gt;0,INDEX(Manual_Review!$I$6:$I$238,MATCH(A192,Manual_Review!$A$6:$A$238,0))="Confirmed",INDEX(Manual_Review!$AF$6:$AF$238,MATCH(A192,Manual_Review!$A$6:$A$238,0))&lt;&gt;""),IF(INDEX(Manual_Review!$AE$6:$AE$238,MATCH(A192,Manual_Review!$A$6:$A$238,0))="Pass","Pass",IF(INDEX(Manual_Review!$AE$6:$AE$238,MATCH(A192,Manual_Review!$A$6:$A$238,0))="Fail","Fail: benchmark leakage",IF(INDEX(Manual_Review!$AE$6:$AE$238,MATCH(A192,Manual_Review!$A$6:$A$238,0))="N/A","N/A: nonbenchmark task","Pending task-specific leakage check"))),"Pending task-specific leakage check"))</f>
        <v>N/A: documentation inventory</v>
      </c>
      <c r="AY192" s="5" t="str">
        <f>IF(IF(D192="Unlabeled-13",AND(ABS(MCDM_Settings!$D$14-1)&lt;0.0000001,MIN(MCDM_Settings!$E$6:$E$11)&gt;=0,MCDM_Settings!$E$7=0),AND(ABS(MCDM_Settings!$B$14-1)&lt;0.0000001,MIN(MCDM_Settings!$C$6:$C$11)&gt;=0)),"Valid","Check weights")</f>
        <v>Valid</v>
      </c>
      <c r="AZ192" s="5" t="str">
        <f>IF(AND(COUNTIF(MCDM_Checks!$B$6:$B$3733,A192)=16,COUNTIF(Manual_Review!$A$6:$A$238,A192)=1),"16 keys present","Check key count")</f>
        <v>16 keys present</v>
      </c>
    </row>
    <row r="193" spans="1:52">
      <c r="A193" s="5" t="s">
        <v>2122</v>
      </c>
      <c r="B193" s="5" t="s">
        <v>2123</v>
      </c>
      <c r="C193" s="5"/>
      <c r="D193" s="5" t="s">
        <v>118</v>
      </c>
      <c r="E193" s="12">
        <f>IF(OR(AY193&lt;&gt;"Valid",AZ193&lt;&gt;"16 keys present"),"Review settings",20*(IF(ISNUMBER(AC193),AC193*IF($D193="Unlabeled-13",MCDM_Settings!$E$6,MCDM_Settings!$C$6),0)+IF(ISNUMBER(AF193),AF193*IF($D193="Unlabeled-13",MCDM_Settings!$E$7,MCDM_Settings!$C$7),0)+IF(ISNUMBER(AI193),AI193*IF($D193="Unlabeled-13",MCDM_Settings!$E$8,MCDM_Settings!$C$8),0)+IF(ISNUMBER(AL193),AL193*IF($D193="Unlabeled-13",MCDM_Settings!$E$9,MCDM_Settings!$C$9),0)+IF(ISNUMBER(AO193),AO193*IF($D193="Unlabeled-13",MCDM_Settings!$E$10,MCDM_Settings!$C$10),0)+IF(ISNUMBER(AR193),AR193*IF($D193="Unlabeled-13",MCDM_Settings!$E$11,MCDM_Settings!$C$11),0)))</f>
        <v>50</v>
      </c>
      <c r="F193" s="12">
        <f>IF(OR(AY193&lt;&gt;"Valid",AZ193&lt;&gt;"16 keys present"),"Review settings",20*(IF(ISNUMBER(AD193),AD193*IF($D193="Unlabeled-13",MCDM_Settings!$E$6,MCDM_Settings!$C$6),0)+IF(ISNUMBER(AG193),AG193*IF($D193="Unlabeled-13",MCDM_Settings!$E$7,MCDM_Settings!$C$7),0)+IF(ISNUMBER(AJ193),AJ193*IF($D193="Unlabeled-13",MCDM_Settings!$E$8,MCDM_Settings!$C$8),0)+IF(ISNUMBER(AM193),AM193*IF($D193="Unlabeled-13",MCDM_Settings!$E$9,MCDM_Settings!$C$9),0)+IF(ISNUMBER(AP193),AP193*IF($D193="Unlabeled-13",MCDM_Settings!$E$10,MCDM_Settings!$C$10),0)+IF(ISNUMBER(AS193),AS193*IF($D193="Unlabeled-13",MCDM_Settings!$E$11,MCDM_Settings!$C$11),0)))</f>
        <v>99.999999999999986</v>
      </c>
      <c r="G193" s="13">
        <f>IF(OR(AY193&lt;&gt;"Valid",AZ193&lt;&gt;"16 keys present"),"Review settings",1*(IF(ISNUMBER(AE193),AE193*IF($D193="Unlabeled-13",MCDM_Settings!$E$6,MCDM_Settings!$C$6),0)+IF(ISNUMBER(AH193),AH193*IF($D193="Unlabeled-13",MCDM_Settings!$E$7,MCDM_Settings!$C$7),0)+IF(ISNUMBER(AK193),AK193*IF($D193="Unlabeled-13",MCDM_Settings!$E$8,MCDM_Settings!$C$8),0)+IF(ISNUMBER(AN193),AN193*IF($D193="Unlabeled-13",MCDM_Settings!$E$9,MCDM_Settings!$C$9),0)+IF(ISNUMBER(AQ193),AQ193*IF($D193="Unlabeled-13",MCDM_Settings!$E$10,MCDM_Settings!$C$10),0)+IF(ISNUMBER(AT193),AT193*IF($D193="Unlabeled-13",MCDM_Settings!$E$11,MCDM_Settings!$C$11),0)))</f>
        <v>0.49999999999999994</v>
      </c>
      <c r="H193" s="5" t="str">
        <f>INDEX(Manual_Review!$AH$6:$AH$238,MATCH(A193,Manual_Review!$A$6:$A$238,0))</f>
        <v>Not started</v>
      </c>
      <c r="I193" s="5" t="s">
        <v>182</v>
      </c>
      <c r="J193" s="5" t="s">
        <v>2124</v>
      </c>
      <c r="K193" s="5" t="str">
        <f>HYPERLINK("https://doi.org/10.6084/m9.figshare.30341143.v3","Dataset")</f>
        <v>Dataset</v>
      </c>
      <c r="L193" s="5" t="str">
        <f>HYPERLINK("#'Manual_Review'!A"&amp;(MATCH("DS-188",Manual_Review!$A$6:$A$238,0)+5),"Enter review")</f>
        <v>Enter review</v>
      </c>
      <c r="M193" s="5" t="str">
        <f>INDEX(MCDM_Checks!$K$6:$K$3733,MATCH(A193&amp;"|"&amp;M$5,MCDM_Checks!$A$6:$A$3733,0))</f>
        <v>Y</v>
      </c>
      <c r="N193" s="5" t="str">
        <f>INDEX(MCDM_Checks!$K$6:$K$3733,MATCH(A193&amp;"|"&amp;N$5,MCDM_Checks!$A$6:$A$3733,0))</f>
        <v>U</v>
      </c>
      <c r="O193" s="5" t="str">
        <f>INDEX(MCDM_Checks!$K$6:$K$3733,MATCH(A193&amp;"|"&amp;O$5,MCDM_Checks!$A$6:$A$3733,0))</f>
        <v>U</v>
      </c>
      <c r="P193" s="5" t="str">
        <f>INDEX(MCDM_Checks!$K$6:$K$3733,MATCH(A193&amp;"|"&amp;P$5,MCDM_Checks!$A$6:$A$3733,0))</f>
        <v>Y</v>
      </c>
      <c r="Q193" s="5" t="str">
        <f>INDEX(MCDM_Checks!$K$6:$K$3733,MATCH(A193&amp;"|"&amp;Q$5,MCDM_Checks!$A$6:$A$3733,0))</f>
        <v>U</v>
      </c>
      <c r="R193" s="5" t="str">
        <f>INDEX(MCDM_Checks!$K$6:$K$3733,MATCH(A193&amp;"|"&amp;R$5,MCDM_Checks!$A$6:$A$3733,0))</f>
        <v>U</v>
      </c>
      <c r="S193" s="5" t="str">
        <f>INDEX(MCDM_Checks!$K$6:$K$3733,MATCH(A193&amp;"|"&amp;S$5,MCDM_Checks!$A$6:$A$3733,0))</f>
        <v>Y</v>
      </c>
      <c r="T193" s="5" t="str">
        <f>INDEX(MCDM_Checks!$K$6:$K$3733,MATCH(A193&amp;"|"&amp;T$5,MCDM_Checks!$A$6:$A$3733,0))</f>
        <v>Y</v>
      </c>
      <c r="U193" s="5" t="str">
        <f>INDEX(MCDM_Checks!$K$6:$K$3733,MATCH(A193&amp;"|"&amp;U$5,MCDM_Checks!$A$6:$A$3733,0))</f>
        <v>U</v>
      </c>
      <c r="V193" s="5" t="str">
        <f>INDEX(MCDM_Checks!$K$6:$K$3733,MATCH(A193&amp;"|"&amp;V$5,MCDM_Checks!$A$6:$A$3733,0))</f>
        <v>Y</v>
      </c>
      <c r="W193" s="5" t="str">
        <f>INDEX(MCDM_Checks!$K$6:$K$3733,MATCH(A193&amp;"|"&amp;W$5,MCDM_Checks!$A$6:$A$3733,0))</f>
        <v>U</v>
      </c>
      <c r="X193" s="5" t="str">
        <f>INDEX(MCDM_Checks!$K$6:$K$3733,MATCH(A193&amp;"|"&amp;X$5,MCDM_Checks!$A$6:$A$3733,0))</f>
        <v>Y</v>
      </c>
      <c r="Y193" s="5" t="str">
        <f>INDEX(MCDM_Checks!$K$6:$K$3733,MATCH(A193&amp;"|"&amp;Y$5,MCDM_Checks!$A$6:$A$3733,0))</f>
        <v>U</v>
      </c>
      <c r="Z193" s="5" t="str">
        <f>INDEX(MCDM_Checks!$K$6:$K$3733,MATCH(A193&amp;"|"&amp;Z$5,MCDM_Checks!$A$6:$A$3733,0))</f>
        <v>Y</v>
      </c>
      <c r="AA193" s="5" t="str">
        <f>INDEX(MCDM_Checks!$K$6:$K$3733,MATCH(A193&amp;"|"&amp;AA$5,MCDM_Checks!$A$6:$A$3733,0))</f>
        <v>Y</v>
      </c>
      <c r="AB193" s="5" t="str">
        <f>INDEX(MCDM_Checks!$K$6:$K$3733,MATCH(A193&amp;"|"&amp;AB$5,MCDM_Checks!$A$6:$A$3733,0))</f>
        <v>U</v>
      </c>
      <c r="AC193" s="12">
        <f>IF(IF($D193="Unlabeled-13",MCDM_Settings!$F$6,MCDM_Settings!$D$6)=0,"n.a.",5*COUNTIF(M193:O193,"Y")/IF($D193="Unlabeled-13",MCDM_Settings!$F$6,MCDM_Settings!$D$6))</f>
        <v>1.6666666666666667</v>
      </c>
      <c r="AD193" s="12">
        <f>IF(IF($D193="Unlabeled-13",MCDM_Settings!$F$6,MCDM_Settings!$D$6)=0,"n.a.",5*(COUNTIF(M193:O193,"Y")+COUNTIF(M193:O193,"U")+COUNTIF(M193:O193,"X"))/IF($D193="Unlabeled-13",MCDM_Settings!$F$6,MCDM_Settings!$D$6))</f>
        <v>5</v>
      </c>
      <c r="AE193" s="13">
        <f>IF(IF($D193="Unlabeled-13",MCDM_Settings!$F$6,MCDM_Settings!$D$6)=0,"n.a.",(COUNTIF(M193:O193,"Y")+COUNTIF(M193:O193,"N"))/IF($D193="Unlabeled-13",MCDM_Settings!$F$6,MCDM_Settings!$D$6))</f>
        <v>0.33333333333333331</v>
      </c>
      <c r="AF193" s="12">
        <f>IF(IF($D193="Unlabeled-13",MCDM_Settings!$F$7,MCDM_Settings!$D$7)=0,"n.a.",5*COUNTIF(P193:R193,"Y")/IF($D193="Unlabeled-13",MCDM_Settings!$F$7,MCDM_Settings!$D$7))</f>
        <v>1.6666666666666667</v>
      </c>
      <c r="AG193" s="12">
        <f>IF(IF($D193="Unlabeled-13",MCDM_Settings!$F$7,MCDM_Settings!$D$7)=0,"n.a.",5*(COUNTIF(P193:R193,"Y")+COUNTIF(P193:R193,"U")+COUNTIF(P193:R193,"X"))/IF($D193="Unlabeled-13",MCDM_Settings!$F$7,MCDM_Settings!$D$7))</f>
        <v>5</v>
      </c>
      <c r="AH193" s="13">
        <f>IF(IF($D193="Unlabeled-13",MCDM_Settings!$F$7,MCDM_Settings!$D$7)=0,"n.a.",(COUNTIF(P193:R193,"Y")+COUNTIF(P193:R193,"N"))/IF($D193="Unlabeled-13",MCDM_Settings!$F$7,MCDM_Settings!$D$7))</f>
        <v>0.33333333333333331</v>
      </c>
      <c r="AI193" s="12">
        <f>IF(IF($D193="Unlabeled-13",MCDM_Settings!$F$8,MCDM_Settings!$D$8)=0,"n.a.",5*COUNTIF(S193:U193,"Y")/IF($D193="Unlabeled-13",MCDM_Settings!$F$8,MCDM_Settings!$D$8))</f>
        <v>3.3333333333333335</v>
      </c>
      <c r="AJ193" s="12">
        <f>IF(IF($D193="Unlabeled-13",MCDM_Settings!$F$8,MCDM_Settings!$D$8)=0,"n.a.",5*(COUNTIF(S193:U193,"Y")+COUNTIF(S193:U193,"U")+COUNTIF(S193:U193,"X"))/IF($D193="Unlabeled-13",MCDM_Settings!$F$8,MCDM_Settings!$D$8))</f>
        <v>5</v>
      </c>
      <c r="AK193" s="13">
        <f>IF(IF($D193="Unlabeled-13",MCDM_Settings!$F$8,MCDM_Settings!$D$8)=0,"n.a.",(COUNTIF(S193:U193,"Y")+COUNTIF(S193:U193,"N"))/IF($D193="Unlabeled-13",MCDM_Settings!$F$8,MCDM_Settings!$D$8))</f>
        <v>0.66666666666666663</v>
      </c>
      <c r="AL193" s="12">
        <f>IF(IF($D193="Unlabeled-13",MCDM_Settings!$F$9,MCDM_Settings!$D$9)=0,"n.a.",5*COUNTIF(V193:W193,"Y")/IF($D193="Unlabeled-13",MCDM_Settings!$F$9,MCDM_Settings!$D$9))</f>
        <v>2.5</v>
      </c>
      <c r="AM193" s="12">
        <f>IF(IF($D193="Unlabeled-13",MCDM_Settings!$F$9,MCDM_Settings!$D$9)=0,"n.a.",5*(COUNTIF(V193:W193,"Y")+COUNTIF(V193:W193,"U")+COUNTIF(V193:W193,"X"))/IF($D193="Unlabeled-13",MCDM_Settings!$F$9,MCDM_Settings!$D$9))</f>
        <v>5</v>
      </c>
      <c r="AN193" s="13">
        <f>IF(IF($D193="Unlabeled-13",MCDM_Settings!$F$9,MCDM_Settings!$D$9)=0,"n.a.",(COUNTIF(V193:W193,"Y")+COUNTIF(V193:W193,"N"))/IF($D193="Unlabeled-13",MCDM_Settings!$F$9,MCDM_Settings!$D$9))</f>
        <v>0.5</v>
      </c>
      <c r="AO193" s="12">
        <f>IF(IF($D193="Unlabeled-13",MCDM_Settings!$F$10,MCDM_Settings!$D$10)=0,"n.a.",5*COUNTIF(X193:Y193,"Y")/IF($D193="Unlabeled-13",MCDM_Settings!$F$10,MCDM_Settings!$D$10))</f>
        <v>2.5</v>
      </c>
      <c r="AP193" s="12">
        <f>IF(IF($D193="Unlabeled-13",MCDM_Settings!$F$10,MCDM_Settings!$D$10)=0,"n.a.",5*(COUNTIF(X193:Y193,"Y")+COUNTIF(X193:Y193,"U")+COUNTIF(X193:Y193,"X"))/IF($D193="Unlabeled-13",MCDM_Settings!$F$10,MCDM_Settings!$D$10))</f>
        <v>5</v>
      </c>
      <c r="AQ193" s="13">
        <f>IF(IF($D193="Unlabeled-13",MCDM_Settings!$F$10,MCDM_Settings!$D$10)=0,"n.a.",(COUNTIF(X193:Y193,"Y")+COUNTIF(X193:Y193,"N"))/IF($D193="Unlabeled-13",MCDM_Settings!$F$10,MCDM_Settings!$D$10))</f>
        <v>0.5</v>
      </c>
      <c r="AR193" s="12">
        <f>IF(IF($D193="Unlabeled-13",MCDM_Settings!$F$11,MCDM_Settings!$D$11)=0,"n.a.",5*COUNTIF(Z193:AB193,"Y")/IF($D193="Unlabeled-13",MCDM_Settings!$F$11,MCDM_Settings!$D$11))</f>
        <v>3.3333333333333335</v>
      </c>
      <c r="AS193" s="12">
        <f>IF(IF($D193="Unlabeled-13",MCDM_Settings!$F$11,MCDM_Settings!$D$11)=0,"n.a.",5*(COUNTIF(Z193:AB193,"Y")+COUNTIF(Z193:AB193,"U")+COUNTIF(Z193:AB193,"X"))/IF($D193="Unlabeled-13",MCDM_Settings!$F$11,MCDM_Settings!$D$11))</f>
        <v>5</v>
      </c>
      <c r="AT193" s="13">
        <f>IF(IF($D193="Unlabeled-13",MCDM_Settings!$F$11,MCDM_Settings!$D$11)=0,"n.a.",(COUNTIF(Z193:AB193,"Y")+COUNTIF(Z193:AB193,"N"))/IF($D193="Unlabeled-13",MCDM_Settings!$F$11,MCDM_Settings!$D$11))</f>
        <v>0.66666666666666663</v>
      </c>
      <c r="AU193" s="5" t="str">
        <f>IF(AND(INDEX(Manual_Review!$G$6:$G$238,MATCH(A193,Manual_Review!$A$6:$A$238,0))&lt;&gt;"",ISNUMBER(INDEX(Manual_Review!$H$6:$H$238,MATCH(A193,Manual_Review!$A$6:$A$238,0))),INDEX(Manual_Review!$H$6:$H$238,MATCH(A193,Manual_Review!$A$6:$A$238,0))&gt;0,INDEX(Manual_Review!$I$6:$I$238,MATCH(A193,Manual_Review!$A$6:$A$238,0))="Confirmed",INDEX(Manual_Review!$AF$6:$AF$238,MATCH(A193,Manual_Review!$A$6:$A$238,0))&lt;&gt;""),IF(INDEX(Manual_Review!$AA$6:$AA$238,MATCH(A193,Manual_Review!$A$6:$A$238,0))="Pass","Pass",IF(INDEX(Manual_Review!$AA$6:$AA$238,MATCH(A193,Manual_Review!$A$6:$A$238,0))="Fail","Fail","Pending")),"Pending human identity confirmation")</f>
        <v>Pending human identity confirmation</v>
      </c>
      <c r="AV193" s="5" t="str">
        <f>IF(AND(AND(INDEX(Manual_Review!$G$6:$G$238,MATCH(A193,Manual_Review!$A$6:$A$238,0))&lt;&gt;"",ISNUMBER(INDEX(Manual_Review!$H$6:$H$238,MATCH(A193,Manual_Review!$A$6:$A$238,0))),INDEX(Manual_Review!$H$6:$H$238,MATCH(A193,Manual_Review!$A$6:$A$238,0))&gt;0,INDEX(Manual_Review!$I$6:$I$238,MATCH(A193,Manual_Review!$A$6:$A$238,0))="Confirmed",INDEX(Manual_Review!$AF$6:$AF$238,MATCH(A193,Manual_Review!$A$6:$A$238,0))&lt;&gt;""),INDEX(Manual_Review!$AG$6:$AG$238,MATCH(A193,Manual_Review!$A$6:$A$238,0))&lt;&gt;""),IF(INDEX(Manual_Review!$AB$6:$AB$238,MATCH(A193,Manual_Review!$A$6:$A$238,0))="Pass","Pass",IF(INDEX(Manual_Review!$AB$6:$AB$238,MATCH(A193,Manual_Review!$A$6:$A$238,0))="Fail","Fail","Pending")),"Not assessed: define intended task")</f>
        <v>Not assessed: define intended task</v>
      </c>
      <c r="AW193" s="5" t="str">
        <f>IF(AND(AND(INDEX(Manual_Review!$G$6:$G$238,MATCH(A193,Manual_Review!$A$6:$A$238,0))&lt;&gt;"",ISNUMBER(INDEX(Manual_Review!$H$6:$H$238,MATCH(A193,Manual_Review!$A$6:$A$238,0))),INDEX(Manual_Review!$H$6:$H$238,MATCH(A193,Manual_Review!$A$6:$A$238,0))&gt;0,INDEX(Manual_Review!$I$6:$I$238,MATCH(A193,Manual_Review!$A$6:$A$238,0))="Confirmed",INDEX(Manual_Review!$AF$6:$AF$238,MATCH(A193,Manual_Review!$A$6:$A$238,0))&lt;&gt;""),INDEX(Manual_Review!$AG$6:$AG$238,MATCH(A193,Manual_Review!$A$6:$A$238,0))&lt;&gt;""),IF(OR(INDEX(Manual_Review!$AC$6:$AC$238,MATCH(A193,Manual_Review!$A$6:$A$238,0))="Fail",INDEX(Manual_Review!$AD$6:$AD$238,MATCH(A193,Manual_Review!$A$6:$A$238,0))="Fail"),"Fail: rights or retrieval",IF(AND(INDEX(Manual_Review!$AC$6:$AC$238,MATCH(A193,Manual_Review!$A$6:$A$238,0))="Pass",INDEX(Manual_Review!$AD$6:$AD$238,MATCH(A193,Manual_Review!$A$6:$A$238,0))="Pass"),"Pass","Pending rights and retrieval")),"Pending rights and retrieval")</f>
        <v>Pending rights and retrieval</v>
      </c>
      <c r="AX193" s="5" t="str">
        <f>IF(INDEX(Manual_Review!$AG$6:$AG$238,MATCH(A193,Manual_Review!$A$6:$A$238,0))="","N/A: documentation inventory",IF(AND(INDEX(Manual_Review!$G$6:$G$238,MATCH(A193,Manual_Review!$A$6:$A$238,0))&lt;&gt;"",ISNUMBER(INDEX(Manual_Review!$H$6:$H$238,MATCH(A193,Manual_Review!$A$6:$A$238,0))),INDEX(Manual_Review!$H$6:$H$238,MATCH(A193,Manual_Review!$A$6:$A$238,0))&gt;0,INDEX(Manual_Review!$I$6:$I$238,MATCH(A193,Manual_Review!$A$6:$A$238,0))="Confirmed",INDEX(Manual_Review!$AF$6:$AF$238,MATCH(A193,Manual_Review!$A$6:$A$238,0))&lt;&gt;""),IF(INDEX(Manual_Review!$AE$6:$AE$238,MATCH(A193,Manual_Review!$A$6:$A$238,0))="Pass","Pass",IF(INDEX(Manual_Review!$AE$6:$AE$238,MATCH(A193,Manual_Review!$A$6:$A$238,0))="Fail","Fail: benchmark leakage",IF(INDEX(Manual_Review!$AE$6:$AE$238,MATCH(A193,Manual_Review!$A$6:$A$238,0))="N/A","N/A: nonbenchmark task","Pending task-specific leakage check"))),"Pending task-specific leakage check"))</f>
        <v>N/A: documentation inventory</v>
      </c>
      <c r="AY193" s="5" t="str">
        <f>IF(IF(D193="Unlabeled-13",AND(ABS(MCDM_Settings!$D$14-1)&lt;0.0000001,MIN(MCDM_Settings!$E$6:$E$11)&gt;=0,MCDM_Settings!$E$7=0),AND(ABS(MCDM_Settings!$B$14-1)&lt;0.0000001,MIN(MCDM_Settings!$C$6:$C$11)&gt;=0)),"Valid","Check weights")</f>
        <v>Valid</v>
      </c>
      <c r="AZ193" s="5" t="str">
        <f>IF(AND(COUNTIF(MCDM_Checks!$B$6:$B$3733,A193)=16,COUNTIF(Manual_Review!$A$6:$A$238,A193)=1),"16 keys present","Check key count")</f>
        <v>16 keys present</v>
      </c>
    </row>
    <row r="194" spans="1:52">
      <c r="A194" s="5" t="s">
        <v>2136</v>
      </c>
      <c r="B194" s="5" t="s">
        <v>2137</v>
      </c>
      <c r="C194" s="5"/>
      <c r="D194" s="5" t="s">
        <v>118</v>
      </c>
      <c r="E194" s="12">
        <f>IF(OR(AY194&lt;&gt;"Valid",AZ194&lt;&gt;"16 keys present"),"Review settings",20*(IF(ISNUMBER(AC194),AC194*IF($D194="Unlabeled-13",MCDM_Settings!$E$6,MCDM_Settings!$C$6),0)+IF(ISNUMBER(AF194),AF194*IF($D194="Unlabeled-13",MCDM_Settings!$E$7,MCDM_Settings!$C$7),0)+IF(ISNUMBER(AI194),AI194*IF($D194="Unlabeled-13",MCDM_Settings!$E$8,MCDM_Settings!$C$8),0)+IF(ISNUMBER(AL194),AL194*IF($D194="Unlabeled-13",MCDM_Settings!$E$9,MCDM_Settings!$C$9),0)+IF(ISNUMBER(AO194),AO194*IF($D194="Unlabeled-13",MCDM_Settings!$E$10,MCDM_Settings!$C$10),0)+IF(ISNUMBER(AR194),AR194*IF($D194="Unlabeled-13",MCDM_Settings!$E$11,MCDM_Settings!$C$11),0)))</f>
        <v>88.888888888888872</v>
      </c>
      <c r="F194" s="12">
        <f>IF(OR(AY194&lt;&gt;"Valid",AZ194&lt;&gt;"16 keys present"),"Review settings",20*(IF(ISNUMBER(AD194),AD194*IF($D194="Unlabeled-13",MCDM_Settings!$E$6,MCDM_Settings!$C$6),0)+IF(ISNUMBER(AG194),AG194*IF($D194="Unlabeled-13",MCDM_Settings!$E$7,MCDM_Settings!$C$7),0)+IF(ISNUMBER(AJ194),AJ194*IF($D194="Unlabeled-13",MCDM_Settings!$E$8,MCDM_Settings!$C$8),0)+IF(ISNUMBER(AM194),AM194*IF($D194="Unlabeled-13",MCDM_Settings!$E$9,MCDM_Settings!$C$9),0)+IF(ISNUMBER(AP194),AP194*IF($D194="Unlabeled-13",MCDM_Settings!$E$10,MCDM_Settings!$C$10),0)+IF(ISNUMBER(AS194),AS194*IF($D194="Unlabeled-13",MCDM_Settings!$E$11,MCDM_Settings!$C$11),0)))</f>
        <v>99.999999999999986</v>
      </c>
      <c r="G194" s="13">
        <f>IF(OR(AY194&lt;&gt;"Valid",AZ194&lt;&gt;"16 keys present"),"Review settings",1*(IF(ISNUMBER(AE194),AE194*IF($D194="Unlabeled-13",MCDM_Settings!$E$6,MCDM_Settings!$C$6),0)+IF(ISNUMBER(AH194),AH194*IF($D194="Unlabeled-13",MCDM_Settings!$E$7,MCDM_Settings!$C$7),0)+IF(ISNUMBER(AK194),AK194*IF($D194="Unlabeled-13",MCDM_Settings!$E$8,MCDM_Settings!$C$8),0)+IF(ISNUMBER(AN194),AN194*IF($D194="Unlabeled-13",MCDM_Settings!$E$9,MCDM_Settings!$C$9),0)+IF(ISNUMBER(AQ194),AQ194*IF($D194="Unlabeled-13",MCDM_Settings!$E$10,MCDM_Settings!$C$10),0)+IF(ISNUMBER(AT194),AT194*IF($D194="Unlabeled-13",MCDM_Settings!$E$11,MCDM_Settings!$C$11),0)))</f>
        <v>0.88888888888888873</v>
      </c>
      <c r="H194" s="5" t="str">
        <f>INDEX(Manual_Review!$AH$6:$AH$238,MATCH(A194,Manual_Review!$A$6:$A$238,0))</f>
        <v>Not started</v>
      </c>
      <c r="I194" s="5" t="s">
        <v>182</v>
      </c>
      <c r="J194" s="5" t="s">
        <v>2138</v>
      </c>
      <c r="K194" s="5" t="str">
        <f>HYPERLINK("https://thu-rsxd.com/dxhdiefb/","Dataset")</f>
        <v>Dataset</v>
      </c>
      <c r="L194" s="5" t="str">
        <f>HYPERLINK("#'Manual_Review'!A"&amp;(MATCH("DS-189",Manual_Review!$A$6:$A$238,0)+5),"Enter review")</f>
        <v>Enter review</v>
      </c>
      <c r="M194" s="5" t="str">
        <f>INDEX(MCDM_Checks!$K$6:$K$3733,MATCH(A194&amp;"|"&amp;M$5,MCDM_Checks!$A$6:$A$3733,0))</f>
        <v>Y</v>
      </c>
      <c r="N194" s="5" t="str">
        <f>INDEX(MCDM_Checks!$K$6:$K$3733,MATCH(A194&amp;"|"&amp;N$5,MCDM_Checks!$A$6:$A$3733,0))</f>
        <v>Y</v>
      </c>
      <c r="O194" s="5" t="str">
        <f>INDEX(MCDM_Checks!$K$6:$K$3733,MATCH(A194&amp;"|"&amp;O$5,MCDM_Checks!$A$6:$A$3733,0))</f>
        <v>Y</v>
      </c>
      <c r="P194" s="5" t="str">
        <f>INDEX(MCDM_Checks!$K$6:$K$3733,MATCH(A194&amp;"|"&amp;P$5,MCDM_Checks!$A$6:$A$3733,0))</f>
        <v>Y</v>
      </c>
      <c r="Q194" s="5" t="str">
        <f>INDEX(MCDM_Checks!$K$6:$K$3733,MATCH(A194&amp;"|"&amp;Q$5,MCDM_Checks!$A$6:$A$3733,0))</f>
        <v>U</v>
      </c>
      <c r="R194" s="5" t="str">
        <f>INDEX(MCDM_Checks!$K$6:$K$3733,MATCH(A194&amp;"|"&amp;R$5,MCDM_Checks!$A$6:$A$3733,0))</f>
        <v>U</v>
      </c>
      <c r="S194" s="5" t="str">
        <f>INDEX(MCDM_Checks!$K$6:$K$3733,MATCH(A194&amp;"|"&amp;S$5,MCDM_Checks!$A$6:$A$3733,0))</f>
        <v>Y</v>
      </c>
      <c r="T194" s="5" t="str">
        <f>INDEX(MCDM_Checks!$K$6:$K$3733,MATCH(A194&amp;"|"&amp;T$5,MCDM_Checks!$A$6:$A$3733,0))</f>
        <v>Y</v>
      </c>
      <c r="U194" s="5" t="str">
        <f>INDEX(MCDM_Checks!$K$6:$K$3733,MATCH(A194&amp;"|"&amp;U$5,MCDM_Checks!$A$6:$A$3733,0))</f>
        <v>Y</v>
      </c>
      <c r="V194" s="5" t="str">
        <f>INDEX(MCDM_Checks!$K$6:$K$3733,MATCH(A194&amp;"|"&amp;V$5,MCDM_Checks!$A$6:$A$3733,0))</f>
        <v>Y</v>
      </c>
      <c r="W194" s="5" t="str">
        <f>INDEX(MCDM_Checks!$K$6:$K$3733,MATCH(A194&amp;"|"&amp;W$5,MCDM_Checks!$A$6:$A$3733,0))</f>
        <v>Y</v>
      </c>
      <c r="X194" s="5" t="str">
        <f>INDEX(MCDM_Checks!$K$6:$K$3733,MATCH(A194&amp;"|"&amp;X$5,MCDM_Checks!$A$6:$A$3733,0))</f>
        <v>Y</v>
      </c>
      <c r="Y194" s="5" t="str">
        <f>INDEX(MCDM_Checks!$K$6:$K$3733,MATCH(A194&amp;"|"&amp;Y$5,MCDM_Checks!$A$6:$A$3733,0))</f>
        <v>Y</v>
      </c>
      <c r="Z194" s="5" t="str">
        <f>INDEX(MCDM_Checks!$K$6:$K$3733,MATCH(A194&amp;"|"&amp;Z$5,MCDM_Checks!$A$6:$A$3733,0))</f>
        <v>Y</v>
      </c>
      <c r="AA194" s="5" t="str">
        <f>INDEX(MCDM_Checks!$K$6:$K$3733,MATCH(A194&amp;"|"&amp;AA$5,MCDM_Checks!$A$6:$A$3733,0))</f>
        <v>Y</v>
      </c>
      <c r="AB194" s="5" t="str">
        <f>INDEX(MCDM_Checks!$K$6:$K$3733,MATCH(A194&amp;"|"&amp;AB$5,MCDM_Checks!$A$6:$A$3733,0))</f>
        <v>Y</v>
      </c>
      <c r="AC194" s="12">
        <f>IF(IF($D194="Unlabeled-13",MCDM_Settings!$F$6,MCDM_Settings!$D$6)=0,"n.a.",5*COUNTIF(M194:O194,"Y")/IF($D194="Unlabeled-13",MCDM_Settings!$F$6,MCDM_Settings!$D$6))</f>
        <v>5</v>
      </c>
      <c r="AD194" s="12">
        <f>IF(IF($D194="Unlabeled-13",MCDM_Settings!$F$6,MCDM_Settings!$D$6)=0,"n.a.",5*(COUNTIF(M194:O194,"Y")+COUNTIF(M194:O194,"U")+COUNTIF(M194:O194,"X"))/IF($D194="Unlabeled-13",MCDM_Settings!$F$6,MCDM_Settings!$D$6))</f>
        <v>5</v>
      </c>
      <c r="AE194" s="13">
        <f>IF(IF($D194="Unlabeled-13",MCDM_Settings!$F$6,MCDM_Settings!$D$6)=0,"n.a.",(COUNTIF(M194:O194,"Y")+COUNTIF(M194:O194,"N"))/IF($D194="Unlabeled-13",MCDM_Settings!$F$6,MCDM_Settings!$D$6))</f>
        <v>1</v>
      </c>
      <c r="AF194" s="12">
        <f>IF(IF($D194="Unlabeled-13",MCDM_Settings!$F$7,MCDM_Settings!$D$7)=0,"n.a.",5*COUNTIF(P194:R194,"Y")/IF($D194="Unlabeled-13",MCDM_Settings!$F$7,MCDM_Settings!$D$7))</f>
        <v>1.6666666666666667</v>
      </c>
      <c r="AG194" s="12">
        <f>IF(IF($D194="Unlabeled-13",MCDM_Settings!$F$7,MCDM_Settings!$D$7)=0,"n.a.",5*(COUNTIF(P194:R194,"Y")+COUNTIF(P194:R194,"U")+COUNTIF(P194:R194,"X"))/IF($D194="Unlabeled-13",MCDM_Settings!$F$7,MCDM_Settings!$D$7))</f>
        <v>5</v>
      </c>
      <c r="AH194" s="13">
        <f>IF(IF($D194="Unlabeled-13",MCDM_Settings!$F$7,MCDM_Settings!$D$7)=0,"n.a.",(COUNTIF(P194:R194,"Y")+COUNTIF(P194:R194,"N"))/IF($D194="Unlabeled-13",MCDM_Settings!$F$7,MCDM_Settings!$D$7))</f>
        <v>0.33333333333333331</v>
      </c>
      <c r="AI194" s="12">
        <f>IF(IF($D194="Unlabeled-13",MCDM_Settings!$F$8,MCDM_Settings!$D$8)=0,"n.a.",5*COUNTIF(S194:U194,"Y")/IF($D194="Unlabeled-13",MCDM_Settings!$F$8,MCDM_Settings!$D$8))</f>
        <v>5</v>
      </c>
      <c r="AJ194" s="12">
        <f>IF(IF($D194="Unlabeled-13",MCDM_Settings!$F$8,MCDM_Settings!$D$8)=0,"n.a.",5*(COUNTIF(S194:U194,"Y")+COUNTIF(S194:U194,"U")+COUNTIF(S194:U194,"X"))/IF($D194="Unlabeled-13",MCDM_Settings!$F$8,MCDM_Settings!$D$8))</f>
        <v>5</v>
      </c>
      <c r="AK194" s="13">
        <f>IF(IF($D194="Unlabeled-13",MCDM_Settings!$F$8,MCDM_Settings!$D$8)=0,"n.a.",(COUNTIF(S194:U194,"Y")+COUNTIF(S194:U194,"N"))/IF($D194="Unlabeled-13",MCDM_Settings!$F$8,MCDM_Settings!$D$8))</f>
        <v>1</v>
      </c>
      <c r="AL194" s="12">
        <f>IF(IF($D194="Unlabeled-13",MCDM_Settings!$F$9,MCDM_Settings!$D$9)=0,"n.a.",5*COUNTIF(V194:W194,"Y")/IF($D194="Unlabeled-13",MCDM_Settings!$F$9,MCDM_Settings!$D$9))</f>
        <v>5</v>
      </c>
      <c r="AM194" s="12">
        <f>IF(IF($D194="Unlabeled-13",MCDM_Settings!$F$9,MCDM_Settings!$D$9)=0,"n.a.",5*(COUNTIF(V194:W194,"Y")+COUNTIF(V194:W194,"U")+COUNTIF(V194:W194,"X"))/IF($D194="Unlabeled-13",MCDM_Settings!$F$9,MCDM_Settings!$D$9))</f>
        <v>5</v>
      </c>
      <c r="AN194" s="13">
        <f>IF(IF($D194="Unlabeled-13",MCDM_Settings!$F$9,MCDM_Settings!$D$9)=0,"n.a.",(COUNTIF(V194:W194,"Y")+COUNTIF(V194:W194,"N"))/IF($D194="Unlabeled-13",MCDM_Settings!$F$9,MCDM_Settings!$D$9))</f>
        <v>1</v>
      </c>
      <c r="AO194" s="12">
        <f>IF(IF($D194="Unlabeled-13",MCDM_Settings!$F$10,MCDM_Settings!$D$10)=0,"n.a.",5*COUNTIF(X194:Y194,"Y")/IF($D194="Unlabeled-13",MCDM_Settings!$F$10,MCDM_Settings!$D$10))</f>
        <v>5</v>
      </c>
      <c r="AP194" s="12">
        <f>IF(IF($D194="Unlabeled-13",MCDM_Settings!$F$10,MCDM_Settings!$D$10)=0,"n.a.",5*(COUNTIF(X194:Y194,"Y")+COUNTIF(X194:Y194,"U")+COUNTIF(X194:Y194,"X"))/IF($D194="Unlabeled-13",MCDM_Settings!$F$10,MCDM_Settings!$D$10))</f>
        <v>5</v>
      </c>
      <c r="AQ194" s="13">
        <f>IF(IF($D194="Unlabeled-13",MCDM_Settings!$F$10,MCDM_Settings!$D$10)=0,"n.a.",(COUNTIF(X194:Y194,"Y")+COUNTIF(X194:Y194,"N"))/IF($D194="Unlabeled-13",MCDM_Settings!$F$10,MCDM_Settings!$D$10))</f>
        <v>1</v>
      </c>
      <c r="AR194" s="12">
        <f>IF(IF($D194="Unlabeled-13",MCDM_Settings!$F$11,MCDM_Settings!$D$11)=0,"n.a.",5*COUNTIF(Z194:AB194,"Y")/IF($D194="Unlabeled-13",MCDM_Settings!$F$11,MCDM_Settings!$D$11))</f>
        <v>5</v>
      </c>
      <c r="AS194" s="12">
        <f>IF(IF($D194="Unlabeled-13",MCDM_Settings!$F$11,MCDM_Settings!$D$11)=0,"n.a.",5*(COUNTIF(Z194:AB194,"Y")+COUNTIF(Z194:AB194,"U")+COUNTIF(Z194:AB194,"X"))/IF($D194="Unlabeled-13",MCDM_Settings!$F$11,MCDM_Settings!$D$11))</f>
        <v>5</v>
      </c>
      <c r="AT194" s="13">
        <f>IF(IF($D194="Unlabeled-13",MCDM_Settings!$F$11,MCDM_Settings!$D$11)=0,"n.a.",(COUNTIF(Z194:AB194,"Y")+COUNTIF(Z194:AB194,"N"))/IF($D194="Unlabeled-13",MCDM_Settings!$F$11,MCDM_Settings!$D$11))</f>
        <v>1</v>
      </c>
      <c r="AU194" s="5" t="str">
        <f>IF(AND(INDEX(Manual_Review!$G$6:$G$238,MATCH(A194,Manual_Review!$A$6:$A$238,0))&lt;&gt;"",ISNUMBER(INDEX(Manual_Review!$H$6:$H$238,MATCH(A194,Manual_Review!$A$6:$A$238,0))),INDEX(Manual_Review!$H$6:$H$238,MATCH(A194,Manual_Review!$A$6:$A$238,0))&gt;0,INDEX(Manual_Review!$I$6:$I$238,MATCH(A194,Manual_Review!$A$6:$A$238,0))="Confirmed",INDEX(Manual_Review!$AF$6:$AF$238,MATCH(A194,Manual_Review!$A$6:$A$238,0))&lt;&gt;""),IF(INDEX(Manual_Review!$AA$6:$AA$238,MATCH(A194,Manual_Review!$A$6:$A$238,0))="Pass","Pass",IF(INDEX(Manual_Review!$AA$6:$AA$238,MATCH(A194,Manual_Review!$A$6:$A$238,0))="Fail","Fail","Pending")),"Pending human identity confirmation")</f>
        <v>Pending human identity confirmation</v>
      </c>
      <c r="AV194" s="5" t="str">
        <f>IF(AND(AND(INDEX(Manual_Review!$G$6:$G$238,MATCH(A194,Manual_Review!$A$6:$A$238,0))&lt;&gt;"",ISNUMBER(INDEX(Manual_Review!$H$6:$H$238,MATCH(A194,Manual_Review!$A$6:$A$238,0))),INDEX(Manual_Review!$H$6:$H$238,MATCH(A194,Manual_Review!$A$6:$A$238,0))&gt;0,INDEX(Manual_Review!$I$6:$I$238,MATCH(A194,Manual_Review!$A$6:$A$238,0))="Confirmed",INDEX(Manual_Review!$AF$6:$AF$238,MATCH(A194,Manual_Review!$A$6:$A$238,0))&lt;&gt;""),INDEX(Manual_Review!$AG$6:$AG$238,MATCH(A194,Manual_Review!$A$6:$A$238,0))&lt;&gt;""),IF(INDEX(Manual_Review!$AB$6:$AB$238,MATCH(A194,Manual_Review!$A$6:$A$238,0))="Pass","Pass",IF(INDEX(Manual_Review!$AB$6:$AB$238,MATCH(A194,Manual_Review!$A$6:$A$238,0))="Fail","Fail","Pending")),"Not assessed: define intended task")</f>
        <v>Not assessed: define intended task</v>
      </c>
      <c r="AW194" s="5" t="str">
        <f>IF(AND(AND(INDEX(Manual_Review!$G$6:$G$238,MATCH(A194,Manual_Review!$A$6:$A$238,0))&lt;&gt;"",ISNUMBER(INDEX(Manual_Review!$H$6:$H$238,MATCH(A194,Manual_Review!$A$6:$A$238,0))),INDEX(Manual_Review!$H$6:$H$238,MATCH(A194,Manual_Review!$A$6:$A$238,0))&gt;0,INDEX(Manual_Review!$I$6:$I$238,MATCH(A194,Manual_Review!$A$6:$A$238,0))="Confirmed",INDEX(Manual_Review!$AF$6:$AF$238,MATCH(A194,Manual_Review!$A$6:$A$238,0))&lt;&gt;""),INDEX(Manual_Review!$AG$6:$AG$238,MATCH(A194,Manual_Review!$A$6:$A$238,0))&lt;&gt;""),IF(OR(INDEX(Manual_Review!$AC$6:$AC$238,MATCH(A194,Manual_Review!$A$6:$A$238,0))="Fail",INDEX(Manual_Review!$AD$6:$AD$238,MATCH(A194,Manual_Review!$A$6:$A$238,0))="Fail"),"Fail: rights or retrieval",IF(AND(INDEX(Manual_Review!$AC$6:$AC$238,MATCH(A194,Manual_Review!$A$6:$A$238,0))="Pass",INDEX(Manual_Review!$AD$6:$AD$238,MATCH(A194,Manual_Review!$A$6:$A$238,0))="Pass"),"Pass","Pending rights and retrieval")),"Pending rights and retrieval")</f>
        <v>Pending rights and retrieval</v>
      </c>
      <c r="AX194" s="5" t="str">
        <f>IF(INDEX(Manual_Review!$AG$6:$AG$238,MATCH(A194,Manual_Review!$A$6:$A$238,0))="","N/A: documentation inventory",IF(AND(INDEX(Manual_Review!$G$6:$G$238,MATCH(A194,Manual_Review!$A$6:$A$238,0))&lt;&gt;"",ISNUMBER(INDEX(Manual_Review!$H$6:$H$238,MATCH(A194,Manual_Review!$A$6:$A$238,0))),INDEX(Manual_Review!$H$6:$H$238,MATCH(A194,Manual_Review!$A$6:$A$238,0))&gt;0,INDEX(Manual_Review!$I$6:$I$238,MATCH(A194,Manual_Review!$A$6:$A$238,0))="Confirmed",INDEX(Manual_Review!$AF$6:$AF$238,MATCH(A194,Manual_Review!$A$6:$A$238,0))&lt;&gt;""),IF(INDEX(Manual_Review!$AE$6:$AE$238,MATCH(A194,Manual_Review!$A$6:$A$238,0))="Pass","Pass",IF(INDEX(Manual_Review!$AE$6:$AE$238,MATCH(A194,Manual_Review!$A$6:$A$238,0))="Fail","Fail: benchmark leakage",IF(INDEX(Manual_Review!$AE$6:$AE$238,MATCH(A194,Manual_Review!$A$6:$A$238,0))="N/A","N/A: nonbenchmark task","Pending task-specific leakage check"))),"Pending task-specific leakage check"))</f>
        <v>N/A: documentation inventory</v>
      </c>
      <c r="AY194" s="5" t="str">
        <f>IF(IF(D194="Unlabeled-13",AND(ABS(MCDM_Settings!$D$14-1)&lt;0.0000001,MIN(MCDM_Settings!$E$6:$E$11)&gt;=0,MCDM_Settings!$E$7=0),AND(ABS(MCDM_Settings!$B$14-1)&lt;0.0000001,MIN(MCDM_Settings!$C$6:$C$11)&gt;=0)),"Valid","Check weights")</f>
        <v>Valid</v>
      </c>
      <c r="AZ194" s="5" t="str">
        <f>IF(AND(COUNTIF(MCDM_Checks!$B$6:$B$3733,A194)=16,COUNTIF(Manual_Review!$A$6:$A$238,A194)=1),"16 keys present","Check key count")</f>
        <v>16 keys present</v>
      </c>
    </row>
    <row r="195" spans="1:52" ht="25.5">
      <c r="A195" s="5" t="s">
        <v>2151</v>
      </c>
      <c r="B195" s="5" t="s">
        <v>2152</v>
      </c>
      <c r="C195" s="5"/>
      <c r="D195" s="5" t="s">
        <v>118</v>
      </c>
      <c r="E195" s="12">
        <f>IF(OR(AY195&lt;&gt;"Valid",AZ195&lt;&gt;"16 keys present"),"Review settings",20*(IF(ISNUMBER(AC195),AC195*IF($D195="Unlabeled-13",MCDM_Settings!$E$6,MCDM_Settings!$C$6),0)+IF(ISNUMBER(AF195),AF195*IF($D195="Unlabeled-13",MCDM_Settings!$E$7,MCDM_Settings!$C$7),0)+IF(ISNUMBER(AI195),AI195*IF($D195="Unlabeled-13",MCDM_Settings!$E$8,MCDM_Settings!$C$8),0)+IF(ISNUMBER(AL195),AL195*IF($D195="Unlabeled-13",MCDM_Settings!$E$9,MCDM_Settings!$C$9),0)+IF(ISNUMBER(AO195),AO195*IF($D195="Unlabeled-13",MCDM_Settings!$E$10,MCDM_Settings!$C$10),0)+IF(ISNUMBER(AR195),AR195*IF($D195="Unlabeled-13",MCDM_Settings!$E$11,MCDM_Settings!$C$11),0)))</f>
        <v>0</v>
      </c>
      <c r="F195" s="12">
        <f>IF(OR(AY195&lt;&gt;"Valid",AZ195&lt;&gt;"16 keys present"),"Review settings",20*(IF(ISNUMBER(AD195),AD195*IF($D195="Unlabeled-13",MCDM_Settings!$E$6,MCDM_Settings!$C$6),0)+IF(ISNUMBER(AG195),AG195*IF($D195="Unlabeled-13",MCDM_Settings!$E$7,MCDM_Settings!$C$7),0)+IF(ISNUMBER(AJ195),AJ195*IF($D195="Unlabeled-13",MCDM_Settings!$E$8,MCDM_Settings!$C$8),0)+IF(ISNUMBER(AM195),AM195*IF($D195="Unlabeled-13",MCDM_Settings!$E$9,MCDM_Settings!$C$9),0)+IF(ISNUMBER(AP195),AP195*IF($D195="Unlabeled-13",MCDM_Settings!$E$10,MCDM_Settings!$C$10),0)+IF(ISNUMBER(AS195),AS195*IF($D195="Unlabeled-13",MCDM_Settings!$E$11,MCDM_Settings!$C$11),0)))</f>
        <v>99.999999999999986</v>
      </c>
      <c r="G195" s="13">
        <f>IF(OR(AY195&lt;&gt;"Valid",AZ195&lt;&gt;"16 keys present"),"Review settings",1*(IF(ISNUMBER(AE195),AE195*IF($D195="Unlabeled-13",MCDM_Settings!$E$6,MCDM_Settings!$C$6),0)+IF(ISNUMBER(AH195),AH195*IF($D195="Unlabeled-13",MCDM_Settings!$E$7,MCDM_Settings!$C$7),0)+IF(ISNUMBER(AK195),AK195*IF($D195="Unlabeled-13",MCDM_Settings!$E$8,MCDM_Settings!$C$8),0)+IF(ISNUMBER(AN195),AN195*IF($D195="Unlabeled-13",MCDM_Settings!$E$9,MCDM_Settings!$C$9),0)+IF(ISNUMBER(AQ195),AQ195*IF($D195="Unlabeled-13",MCDM_Settings!$E$10,MCDM_Settings!$C$10),0)+IF(ISNUMBER(AT195),AT195*IF($D195="Unlabeled-13",MCDM_Settings!$E$11,MCDM_Settings!$C$11),0)))</f>
        <v>0</v>
      </c>
      <c r="H195" s="5" t="str">
        <f>INDEX(Manual_Review!$AH$6:$AH$238,MATCH(A195,Manual_Review!$A$6:$A$238,0))</f>
        <v>Not started</v>
      </c>
      <c r="I195" s="5" t="s">
        <v>182</v>
      </c>
      <c r="J195" s="5" t="s">
        <v>2153</v>
      </c>
      <c r="K195" s="5" t="str">
        <f>HYPERLINK("https://github.com/hanshenChen/HRP4K","Dataset")</f>
        <v>Dataset</v>
      </c>
      <c r="L195" s="5" t="str">
        <f>HYPERLINK("#'Manual_Review'!A"&amp;(MATCH("DS-190",Manual_Review!$A$6:$A$238,0)+5),"Enter review")</f>
        <v>Enter review</v>
      </c>
      <c r="M195" s="5" t="str">
        <f>INDEX(MCDM_Checks!$K$6:$K$3733,MATCH(A195&amp;"|"&amp;M$5,MCDM_Checks!$A$6:$A$3733,0))</f>
        <v>U</v>
      </c>
      <c r="N195" s="5" t="str">
        <f>INDEX(MCDM_Checks!$K$6:$K$3733,MATCH(A195&amp;"|"&amp;N$5,MCDM_Checks!$A$6:$A$3733,0))</f>
        <v>X</v>
      </c>
      <c r="O195" s="5" t="str">
        <f>INDEX(MCDM_Checks!$K$6:$K$3733,MATCH(A195&amp;"|"&amp;O$5,MCDM_Checks!$A$6:$A$3733,0))</f>
        <v>U</v>
      </c>
      <c r="P195" s="5" t="str">
        <f>INDEX(MCDM_Checks!$K$6:$K$3733,MATCH(A195&amp;"|"&amp;P$5,MCDM_Checks!$A$6:$A$3733,0))</f>
        <v>U</v>
      </c>
      <c r="Q195" s="5" t="str">
        <f>INDEX(MCDM_Checks!$K$6:$K$3733,MATCH(A195&amp;"|"&amp;Q$5,MCDM_Checks!$A$6:$A$3733,0))</f>
        <v>U</v>
      </c>
      <c r="R195" s="5" t="str">
        <f>INDEX(MCDM_Checks!$K$6:$K$3733,MATCH(A195&amp;"|"&amp;R$5,MCDM_Checks!$A$6:$A$3733,0))</f>
        <v>U</v>
      </c>
      <c r="S195" s="5" t="str">
        <f>INDEX(MCDM_Checks!$K$6:$K$3733,MATCH(A195&amp;"|"&amp;S$5,MCDM_Checks!$A$6:$A$3733,0))</f>
        <v>U</v>
      </c>
      <c r="T195" s="5" t="str">
        <f>INDEX(MCDM_Checks!$K$6:$K$3733,MATCH(A195&amp;"|"&amp;T$5,MCDM_Checks!$A$6:$A$3733,0))</f>
        <v>U</v>
      </c>
      <c r="U195" s="5" t="str">
        <f>INDEX(MCDM_Checks!$K$6:$K$3733,MATCH(A195&amp;"|"&amp;U$5,MCDM_Checks!$A$6:$A$3733,0))</f>
        <v>U</v>
      </c>
      <c r="V195" s="5" t="str">
        <f>INDEX(MCDM_Checks!$K$6:$K$3733,MATCH(A195&amp;"|"&amp;V$5,MCDM_Checks!$A$6:$A$3733,0))</f>
        <v>U</v>
      </c>
      <c r="W195" s="5" t="str">
        <f>INDEX(MCDM_Checks!$K$6:$K$3733,MATCH(A195&amp;"|"&amp;W$5,MCDM_Checks!$A$6:$A$3733,0))</f>
        <v>U</v>
      </c>
      <c r="X195" s="5" t="str">
        <f>INDEX(MCDM_Checks!$K$6:$K$3733,MATCH(A195&amp;"|"&amp;X$5,MCDM_Checks!$A$6:$A$3733,0))</f>
        <v>U</v>
      </c>
      <c r="Y195" s="5" t="str">
        <f>INDEX(MCDM_Checks!$K$6:$K$3733,MATCH(A195&amp;"|"&amp;Y$5,MCDM_Checks!$A$6:$A$3733,0))</f>
        <v>U</v>
      </c>
      <c r="Z195" s="5" t="str">
        <f>INDEX(MCDM_Checks!$K$6:$K$3733,MATCH(A195&amp;"|"&amp;Z$5,MCDM_Checks!$A$6:$A$3733,0))</f>
        <v>U</v>
      </c>
      <c r="AA195" s="5" t="str">
        <f>INDEX(MCDM_Checks!$K$6:$K$3733,MATCH(A195&amp;"|"&amp;AA$5,MCDM_Checks!$A$6:$A$3733,0))</f>
        <v>U</v>
      </c>
      <c r="AB195" s="5" t="str">
        <f>INDEX(MCDM_Checks!$K$6:$K$3733,MATCH(A195&amp;"|"&amp;AB$5,MCDM_Checks!$A$6:$A$3733,0))</f>
        <v>U</v>
      </c>
      <c r="AC195" s="12">
        <f>IF(IF($D195="Unlabeled-13",MCDM_Settings!$F$6,MCDM_Settings!$D$6)=0,"n.a.",5*COUNTIF(M195:O195,"Y")/IF($D195="Unlabeled-13",MCDM_Settings!$F$6,MCDM_Settings!$D$6))</f>
        <v>0</v>
      </c>
      <c r="AD195" s="12">
        <f>IF(IF($D195="Unlabeled-13",MCDM_Settings!$F$6,MCDM_Settings!$D$6)=0,"n.a.",5*(COUNTIF(M195:O195,"Y")+COUNTIF(M195:O195,"U")+COUNTIF(M195:O195,"X"))/IF($D195="Unlabeled-13",MCDM_Settings!$F$6,MCDM_Settings!$D$6))</f>
        <v>5</v>
      </c>
      <c r="AE195" s="13">
        <f>IF(IF($D195="Unlabeled-13",MCDM_Settings!$F$6,MCDM_Settings!$D$6)=0,"n.a.",(COUNTIF(M195:O195,"Y")+COUNTIF(M195:O195,"N"))/IF($D195="Unlabeled-13",MCDM_Settings!$F$6,MCDM_Settings!$D$6))</f>
        <v>0</v>
      </c>
      <c r="AF195" s="12">
        <f>IF(IF($D195="Unlabeled-13",MCDM_Settings!$F$7,MCDM_Settings!$D$7)=0,"n.a.",5*COUNTIF(P195:R195,"Y")/IF($D195="Unlabeled-13",MCDM_Settings!$F$7,MCDM_Settings!$D$7))</f>
        <v>0</v>
      </c>
      <c r="AG195" s="12">
        <f>IF(IF($D195="Unlabeled-13",MCDM_Settings!$F$7,MCDM_Settings!$D$7)=0,"n.a.",5*(COUNTIF(P195:R195,"Y")+COUNTIF(P195:R195,"U")+COUNTIF(P195:R195,"X"))/IF($D195="Unlabeled-13",MCDM_Settings!$F$7,MCDM_Settings!$D$7))</f>
        <v>5</v>
      </c>
      <c r="AH195" s="13">
        <f>IF(IF($D195="Unlabeled-13",MCDM_Settings!$F$7,MCDM_Settings!$D$7)=0,"n.a.",(COUNTIF(P195:R195,"Y")+COUNTIF(P195:R195,"N"))/IF($D195="Unlabeled-13",MCDM_Settings!$F$7,MCDM_Settings!$D$7))</f>
        <v>0</v>
      </c>
      <c r="AI195" s="12">
        <f>IF(IF($D195="Unlabeled-13",MCDM_Settings!$F$8,MCDM_Settings!$D$8)=0,"n.a.",5*COUNTIF(S195:U195,"Y")/IF($D195="Unlabeled-13",MCDM_Settings!$F$8,MCDM_Settings!$D$8))</f>
        <v>0</v>
      </c>
      <c r="AJ195" s="12">
        <f>IF(IF($D195="Unlabeled-13",MCDM_Settings!$F$8,MCDM_Settings!$D$8)=0,"n.a.",5*(COUNTIF(S195:U195,"Y")+COUNTIF(S195:U195,"U")+COUNTIF(S195:U195,"X"))/IF($D195="Unlabeled-13",MCDM_Settings!$F$8,MCDM_Settings!$D$8))</f>
        <v>5</v>
      </c>
      <c r="AK195" s="13">
        <f>IF(IF($D195="Unlabeled-13",MCDM_Settings!$F$8,MCDM_Settings!$D$8)=0,"n.a.",(COUNTIF(S195:U195,"Y")+COUNTIF(S195:U195,"N"))/IF($D195="Unlabeled-13",MCDM_Settings!$F$8,MCDM_Settings!$D$8))</f>
        <v>0</v>
      </c>
      <c r="AL195" s="12">
        <f>IF(IF($D195="Unlabeled-13",MCDM_Settings!$F$9,MCDM_Settings!$D$9)=0,"n.a.",5*COUNTIF(V195:W195,"Y")/IF($D195="Unlabeled-13",MCDM_Settings!$F$9,MCDM_Settings!$D$9))</f>
        <v>0</v>
      </c>
      <c r="AM195" s="12">
        <f>IF(IF($D195="Unlabeled-13",MCDM_Settings!$F$9,MCDM_Settings!$D$9)=0,"n.a.",5*(COUNTIF(V195:W195,"Y")+COUNTIF(V195:W195,"U")+COUNTIF(V195:W195,"X"))/IF($D195="Unlabeled-13",MCDM_Settings!$F$9,MCDM_Settings!$D$9))</f>
        <v>5</v>
      </c>
      <c r="AN195" s="13">
        <f>IF(IF($D195="Unlabeled-13",MCDM_Settings!$F$9,MCDM_Settings!$D$9)=0,"n.a.",(COUNTIF(V195:W195,"Y")+COUNTIF(V195:W195,"N"))/IF($D195="Unlabeled-13",MCDM_Settings!$F$9,MCDM_Settings!$D$9))</f>
        <v>0</v>
      </c>
      <c r="AO195" s="12">
        <f>IF(IF($D195="Unlabeled-13",MCDM_Settings!$F$10,MCDM_Settings!$D$10)=0,"n.a.",5*COUNTIF(X195:Y195,"Y")/IF($D195="Unlabeled-13",MCDM_Settings!$F$10,MCDM_Settings!$D$10))</f>
        <v>0</v>
      </c>
      <c r="AP195" s="12">
        <f>IF(IF($D195="Unlabeled-13",MCDM_Settings!$F$10,MCDM_Settings!$D$10)=0,"n.a.",5*(COUNTIF(X195:Y195,"Y")+COUNTIF(X195:Y195,"U")+COUNTIF(X195:Y195,"X"))/IF($D195="Unlabeled-13",MCDM_Settings!$F$10,MCDM_Settings!$D$10))</f>
        <v>5</v>
      </c>
      <c r="AQ195" s="13">
        <f>IF(IF($D195="Unlabeled-13",MCDM_Settings!$F$10,MCDM_Settings!$D$10)=0,"n.a.",(COUNTIF(X195:Y195,"Y")+COUNTIF(X195:Y195,"N"))/IF($D195="Unlabeled-13",MCDM_Settings!$F$10,MCDM_Settings!$D$10))</f>
        <v>0</v>
      </c>
      <c r="AR195" s="12">
        <f>IF(IF($D195="Unlabeled-13",MCDM_Settings!$F$11,MCDM_Settings!$D$11)=0,"n.a.",5*COUNTIF(Z195:AB195,"Y")/IF($D195="Unlabeled-13",MCDM_Settings!$F$11,MCDM_Settings!$D$11))</f>
        <v>0</v>
      </c>
      <c r="AS195" s="12">
        <f>IF(IF($D195="Unlabeled-13",MCDM_Settings!$F$11,MCDM_Settings!$D$11)=0,"n.a.",5*(COUNTIF(Z195:AB195,"Y")+COUNTIF(Z195:AB195,"U")+COUNTIF(Z195:AB195,"X"))/IF($D195="Unlabeled-13",MCDM_Settings!$F$11,MCDM_Settings!$D$11))</f>
        <v>5</v>
      </c>
      <c r="AT195" s="13">
        <f>IF(IF($D195="Unlabeled-13",MCDM_Settings!$F$11,MCDM_Settings!$D$11)=0,"n.a.",(COUNTIF(Z195:AB195,"Y")+COUNTIF(Z195:AB195,"N"))/IF($D195="Unlabeled-13",MCDM_Settings!$F$11,MCDM_Settings!$D$11))</f>
        <v>0</v>
      </c>
      <c r="AU195" s="5" t="str">
        <f>IF(AND(INDEX(Manual_Review!$G$6:$G$238,MATCH(A195,Manual_Review!$A$6:$A$238,0))&lt;&gt;"",ISNUMBER(INDEX(Manual_Review!$H$6:$H$238,MATCH(A195,Manual_Review!$A$6:$A$238,0))),INDEX(Manual_Review!$H$6:$H$238,MATCH(A195,Manual_Review!$A$6:$A$238,0))&gt;0,INDEX(Manual_Review!$I$6:$I$238,MATCH(A195,Manual_Review!$A$6:$A$238,0))="Confirmed",INDEX(Manual_Review!$AF$6:$AF$238,MATCH(A195,Manual_Review!$A$6:$A$238,0))&lt;&gt;""),IF(INDEX(Manual_Review!$AA$6:$AA$238,MATCH(A195,Manual_Review!$A$6:$A$238,0))="Pass","Pass",IF(INDEX(Manual_Review!$AA$6:$AA$238,MATCH(A195,Manual_Review!$A$6:$A$238,0))="Fail","Fail","Pending")),"Pending human identity confirmation")</f>
        <v>Pending human identity confirmation</v>
      </c>
      <c r="AV195" s="5" t="str">
        <f>IF(AND(AND(INDEX(Manual_Review!$G$6:$G$238,MATCH(A195,Manual_Review!$A$6:$A$238,0))&lt;&gt;"",ISNUMBER(INDEX(Manual_Review!$H$6:$H$238,MATCH(A195,Manual_Review!$A$6:$A$238,0))),INDEX(Manual_Review!$H$6:$H$238,MATCH(A195,Manual_Review!$A$6:$A$238,0))&gt;0,INDEX(Manual_Review!$I$6:$I$238,MATCH(A195,Manual_Review!$A$6:$A$238,0))="Confirmed",INDEX(Manual_Review!$AF$6:$AF$238,MATCH(A195,Manual_Review!$A$6:$A$238,0))&lt;&gt;""),INDEX(Manual_Review!$AG$6:$AG$238,MATCH(A195,Manual_Review!$A$6:$A$238,0))&lt;&gt;""),IF(INDEX(Manual_Review!$AB$6:$AB$238,MATCH(A195,Manual_Review!$A$6:$A$238,0))="Pass","Pass",IF(INDEX(Manual_Review!$AB$6:$AB$238,MATCH(A195,Manual_Review!$A$6:$A$238,0))="Fail","Fail","Pending")),"Not assessed: define intended task")</f>
        <v>Not assessed: define intended task</v>
      </c>
      <c r="AW195" s="5" t="str">
        <f>IF(AND(AND(INDEX(Manual_Review!$G$6:$G$238,MATCH(A195,Manual_Review!$A$6:$A$238,0))&lt;&gt;"",ISNUMBER(INDEX(Manual_Review!$H$6:$H$238,MATCH(A195,Manual_Review!$A$6:$A$238,0))),INDEX(Manual_Review!$H$6:$H$238,MATCH(A195,Manual_Review!$A$6:$A$238,0))&gt;0,INDEX(Manual_Review!$I$6:$I$238,MATCH(A195,Manual_Review!$A$6:$A$238,0))="Confirmed",INDEX(Manual_Review!$AF$6:$AF$238,MATCH(A195,Manual_Review!$A$6:$A$238,0))&lt;&gt;""),INDEX(Manual_Review!$AG$6:$AG$238,MATCH(A195,Manual_Review!$A$6:$A$238,0))&lt;&gt;""),IF(OR(INDEX(Manual_Review!$AC$6:$AC$238,MATCH(A195,Manual_Review!$A$6:$A$238,0))="Fail",INDEX(Manual_Review!$AD$6:$AD$238,MATCH(A195,Manual_Review!$A$6:$A$238,0))="Fail"),"Fail: rights or retrieval",IF(AND(INDEX(Manual_Review!$AC$6:$AC$238,MATCH(A195,Manual_Review!$A$6:$A$238,0))="Pass",INDEX(Manual_Review!$AD$6:$AD$238,MATCH(A195,Manual_Review!$A$6:$A$238,0))="Pass"),"Pass","Pending rights and retrieval")),"Pending rights and retrieval")</f>
        <v>Pending rights and retrieval</v>
      </c>
      <c r="AX195" s="5" t="str">
        <f>IF(INDEX(Manual_Review!$AG$6:$AG$238,MATCH(A195,Manual_Review!$A$6:$A$238,0))="","N/A: documentation inventory",IF(AND(INDEX(Manual_Review!$G$6:$G$238,MATCH(A195,Manual_Review!$A$6:$A$238,0))&lt;&gt;"",ISNUMBER(INDEX(Manual_Review!$H$6:$H$238,MATCH(A195,Manual_Review!$A$6:$A$238,0))),INDEX(Manual_Review!$H$6:$H$238,MATCH(A195,Manual_Review!$A$6:$A$238,0))&gt;0,INDEX(Manual_Review!$I$6:$I$238,MATCH(A195,Manual_Review!$A$6:$A$238,0))="Confirmed",INDEX(Manual_Review!$AF$6:$AF$238,MATCH(A195,Manual_Review!$A$6:$A$238,0))&lt;&gt;""),IF(INDEX(Manual_Review!$AE$6:$AE$238,MATCH(A195,Manual_Review!$A$6:$A$238,0))="Pass","Pass",IF(INDEX(Manual_Review!$AE$6:$AE$238,MATCH(A195,Manual_Review!$A$6:$A$238,0))="Fail","Fail: benchmark leakage",IF(INDEX(Manual_Review!$AE$6:$AE$238,MATCH(A195,Manual_Review!$A$6:$A$238,0))="N/A","N/A: nonbenchmark task","Pending task-specific leakage check"))),"Pending task-specific leakage check"))</f>
        <v>N/A: documentation inventory</v>
      </c>
      <c r="AY195" s="5" t="str">
        <f>IF(IF(D195="Unlabeled-13",AND(ABS(MCDM_Settings!$D$14-1)&lt;0.0000001,MIN(MCDM_Settings!$E$6:$E$11)&gt;=0,MCDM_Settings!$E$7=0),AND(ABS(MCDM_Settings!$B$14-1)&lt;0.0000001,MIN(MCDM_Settings!$C$6:$C$11)&gt;=0)),"Valid","Check weights")</f>
        <v>Valid</v>
      </c>
      <c r="AZ195" s="5" t="str">
        <f>IF(AND(COUNTIF(MCDM_Checks!$B$6:$B$3733,A195)=16,COUNTIF(Manual_Review!$A$6:$A$238,A195)=1),"16 keys present","Check key count")</f>
        <v>16 keys present</v>
      </c>
    </row>
    <row r="196" spans="1:52">
      <c r="A196" s="5" t="s">
        <v>2165</v>
      </c>
      <c r="B196" s="5" t="s">
        <v>2166</v>
      </c>
      <c r="C196" s="5"/>
      <c r="D196" s="5" t="s">
        <v>118</v>
      </c>
      <c r="E196" s="12">
        <f>IF(OR(AY196&lt;&gt;"Valid",AZ196&lt;&gt;"16 keys present"),"Review settings",20*(IF(ISNUMBER(AC196),AC196*IF($D196="Unlabeled-13",MCDM_Settings!$E$6,MCDM_Settings!$C$6),0)+IF(ISNUMBER(AF196),AF196*IF($D196="Unlabeled-13",MCDM_Settings!$E$7,MCDM_Settings!$C$7),0)+IF(ISNUMBER(AI196),AI196*IF($D196="Unlabeled-13",MCDM_Settings!$E$8,MCDM_Settings!$C$8),0)+IF(ISNUMBER(AL196),AL196*IF($D196="Unlabeled-13",MCDM_Settings!$E$9,MCDM_Settings!$C$9),0)+IF(ISNUMBER(AO196),AO196*IF($D196="Unlabeled-13",MCDM_Settings!$E$10,MCDM_Settings!$C$10),0)+IF(ISNUMBER(AR196),AR196*IF($D196="Unlabeled-13",MCDM_Settings!$E$11,MCDM_Settings!$C$11),0)))</f>
        <v>72.222222222222214</v>
      </c>
      <c r="F196" s="12">
        <f>IF(OR(AY196&lt;&gt;"Valid",AZ196&lt;&gt;"16 keys present"),"Review settings",20*(IF(ISNUMBER(AD196),AD196*IF($D196="Unlabeled-13",MCDM_Settings!$E$6,MCDM_Settings!$C$6),0)+IF(ISNUMBER(AG196),AG196*IF($D196="Unlabeled-13",MCDM_Settings!$E$7,MCDM_Settings!$C$7),0)+IF(ISNUMBER(AJ196),AJ196*IF($D196="Unlabeled-13",MCDM_Settings!$E$8,MCDM_Settings!$C$8),0)+IF(ISNUMBER(AM196),AM196*IF($D196="Unlabeled-13",MCDM_Settings!$E$9,MCDM_Settings!$C$9),0)+IF(ISNUMBER(AP196),AP196*IF($D196="Unlabeled-13",MCDM_Settings!$E$10,MCDM_Settings!$C$10),0)+IF(ISNUMBER(AS196),AS196*IF($D196="Unlabeled-13",MCDM_Settings!$E$11,MCDM_Settings!$C$11),0)))</f>
        <v>99.999999999999986</v>
      </c>
      <c r="G196" s="13">
        <f>IF(OR(AY196&lt;&gt;"Valid",AZ196&lt;&gt;"16 keys present"),"Review settings",1*(IF(ISNUMBER(AE196),AE196*IF($D196="Unlabeled-13",MCDM_Settings!$E$6,MCDM_Settings!$C$6),0)+IF(ISNUMBER(AH196),AH196*IF($D196="Unlabeled-13",MCDM_Settings!$E$7,MCDM_Settings!$C$7),0)+IF(ISNUMBER(AK196),AK196*IF($D196="Unlabeled-13",MCDM_Settings!$E$8,MCDM_Settings!$C$8),0)+IF(ISNUMBER(AN196),AN196*IF($D196="Unlabeled-13",MCDM_Settings!$E$9,MCDM_Settings!$C$9),0)+IF(ISNUMBER(AQ196),AQ196*IF($D196="Unlabeled-13",MCDM_Settings!$E$10,MCDM_Settings!$C$10),0)+IF(ISNUMBER(AT196),AT196*IF($D196="Unlabeled-13",MCDM_Settings!$E$11,MCDM_Settings!$C$11),0)))</f>
        <v>0.72222222222222221</v>
      </c>
      <c r="H196" s="5" t="str">
        <f>INDEX(Manual_Review!$AH$6:$AH$238,MATCH(A196,Manual_Review!$A$6:$A$238,0))</f>
        <v>Not started</v>
      </c>
      <c r="I196" s="5" t="s">
        <v>182</v>
      </c>
      <c r="J196" s="5" t="s">
        <v>2167</v>
      </c>
      <c r="K196" s="5" t="str">
        <f>HYPERLINK("https://github.com/unmannedlab/RELLIS-3D","Dataset")</f>
        <v>Dataset</v>
      </c>
      <c r="L196" s="5" t="str">
        <f>HYPERLINK("#'Manual_Review'!A"&amp;(MATCH("DS-191",Manual_Review!$A$6:$A$238,0)+5),"Enter review")</f>
        <v>Enter review</v>
      </c>
      <c r="M196" s="5" t="str">
        <f>INDEX(MCDM_Checks!$K$6:$K$3733,MATCH(A196&amp;"|"&amp;M$5,MCDM_Checks!$A$6:$A$3733,0))</f>
        <v>Y</v>
      </c>
      <c r="N196" s="5" t="str">
        <f>INDEX(MCDM_Checks!$K$6:$K$3733,MATCH(A196&amp;"|"&amp;N$5,MCDM_Checks!$A$6:$A$3733,0))</f>
        <v>Y</v>
      </c>
      <c r="O196" s="5" t="str">
        <f>INDEX(MCDM_Checks!$K$6:$K$3733,MATCH(A196&amp;"|"&amp;O$5,MCDM_Checks!$A$6:$A$3733,0))</f>
        <v>Y</v>
      </c>
      <c r="P196" s="5" t="str">
        <f>INDEX(MCDM_Checks!$K$6:$K$3733,MATCH(A196&amp;"|"&amp;P$5,MCDM_Checks!$A$6:$A$3733,0))</f>
        <v>Y</v>
      </c>
      <c r="Q196" s="5" t="str">
        <f>INDEX(MCDM_Checks!$K$6:$K$3733,MATCH(A196&amp;"|"&amp;Q$5,MCDM_Checks!$A$6:$A$3733,0))</f>
        <v>U</v>
      </c>
      <c r="R196" s="5" t="str">
        <f>INDEX(MCDM_Checks!$K$6:$K$3733,MATCH(A196&amp;"|"&amp;R$5,MCDM_Checks!$A$6:$A$3733,0))</f>
        <v>U</v>
      </c>
      <c r="S196" s="5" t="str">
        <f>INDEX(MCDM_Checks!$K$6:$K$3733,MATCH(A196&amp;"|"&amp;S$5,MCDM_Checks!$A$6:$A$3733,0))</f>
        <v>U</v>
      </c>
      <c r="T196" s="5" t="str">
        <f>INDEX(MCDM_Checks!$K$6:$K$3733,MATCH(A196&amp;"|"&amp;T$5,MCDM_Checks!$A$6:$A$3733,0))</f>
        <v>Y</v>
      </c>
      <c r="U196" s="5" t="str">
        <f>INDEX(MCDM_Checks!$K$6:$K$3733,MATCH(A196&amp;"|"&amp;U$5,MCDM_Checks!$A$6:$A$3733,0))</f>
        <v>Y</v>
      </c>
      <c r="V196" s="5" t="str">
        <f>INDEX(MCDM_Checks!$K$6:$K$3733,MATCH(A196&amp;"|"&amp;V$5,MCDM_Checks!$A$6:$A$3733,0))</f>
        <v>Y</v>
      </c>
      <c r="W196" s="5" t="str">
        <f>INDEX(MCDM_Checks!$K$6:$K$3733,MATCH(A196&amp;"|"&amp;W$5,MCDM_Checks!$A$6:$A$3733,0))</f>
        <v>Y</v>
      </c>
      <c r="X196" s="5" t="str">
        <f>INDEX(MCDM_Checks!$K$6:$K$3733,MATCH(A196&amp;"|"&amp;X$5,MCDM_Checks!$A$6:$A$3733,0))</f>
        <v>Y</v>
      </c>
      <c r="Y196" s="5" t="str">
        <f>INDEX(MCDM_Checks!$K$6:$K$3733,MATCH(A196&amp;"|"&amp;Y$5,MCDM_Checks!$A$6:$A$3733,0))</f>
        <v>Y</v>
      </c>
      <c r="Z196" s="5" t="str">
        <f>INDEX(MCDM_Checks!$K$6:$K$3733,MATCH(A196&amp;"|"&amp;Z$5,MCDM_Checks!$A$6:$A$3733,0))</f>
        <v>Y</v>
      </c>
      <c r="AA196" s="5" t="str">
        <f>INDEX(MCDM_Checks!$K$6:$K$3733,MATCH(A196&amp;"|"&amp;AA$5,MCDM_Checks!$A$6:$A$3733,0))</f>
        <v>U</v>
      </c>
      <c r="AB196" s="5" t="str">
        <f>INDEX(MCDM_Checks!$K$6:$K$3733,MATCH(A196&amp;"|"&amp;AB$5,MCDM_Checks!$A$6:$A$3733,0))</f>
        <v>U</v>
      </c>
      <c r="AC196" s="12">
        <f>IF(IF($D196="Unlabeled-13",MCDM_Settings!$F$6,MCDM_Settings!$D$6)=0,"n.a.",5*COUNTIF(M196:O196,"Y")/IF($D196="Unlabeled-13",MCDM_Settings!$F$6,MCDM_Settings!$D$6))</f>
        <v>5</v>
      </c>
      <c r="AD196" s="12">
        <f>IF(IF($D196="Unlabeled-13",MCDM_Settings!$F$6,MCDM_Settings!$D$6)=0,"n.a.",5*(COUNTIF(M196:O196,"Y")+COUNTIF(M196:O196,"U")+COUNTIF(M196:O196,"X"))/IF($D196="Unlabeled-13",MCDM_Settings!$F$6,MCDM_Settings!$D$6))</f>
        <v>5</v>
      </c>
      <c r="AE196" s="13">
        <f>IF(IF($D196="Unlabeled-13",MCDM_Settings!$F$6,MCDM_Settings!$D$6)=0,"n.a.",(COUNTIF(M196:O196,"Y")+COUNTIF(M196:O196,"N"))/IF($D196="Unlabeled-13",MCDM_Settings!$F$6,MCDM_Settings!$D$6))</f>
        <v>1</v>
      </c>
      <c r="AF196" s="12">
        <f>IF(IF($D196="Unlabeled-13",MCDM_Settings!$F$7,MCDM_Settings!$D$7)=0,"n.a.",5*COUNTIF(P196:R196,"Y")/IF($D196="Unlabeled-13",MCDM_Settings!$F$7,MCDM_Settings!$D$7))</f>
        <v>1.6666666666666667</v>
      </c>
      <c r="AG196" s="12">
        <f>IF(IF($D196="Unlabeled-13",MCDM_Settings!$F$7,MCDM_Settings!$D$7)=0,"n.a.",5*(COUNTIF(P196:R196,"Y")+COUNTIF(P196:R196,"U")+COUNTIF(P196:R196,"X"))/IF($D196="Unlabeled-13",MCDM_Settings!$F$7,MCDM_Settings!$D$7))</f>
        <v>5</v>
      </c>
      <c r="AH196" s="13">
        <f>IF(IF($D196="Unlabeled-13",MCDM_Settings!$F$7,MCDM_Settings!$D$7)=0,"n.a.",(COUNTIF(P196:R196,"Y")+COUNTIF(P196:R196,"N"))/IF($D196="Unlabeled-13",MCDM_Settings!$F$7,MCDM_Settings!$D$7))</f>
        <v>0.33333333333333331</v>
      </c>
      <c r="AI196" s="12">
        <f>IF(IF($D196="Unlabeled-13",MCDM_Settings!$F$8,MCDM_Settings!$D$8)=0,"n.a.",5*COUNTIF(S196:U196,"Y")/IF($D196="Unlabeled-13",MCDM_Settings!$F$8,MCDM_Settings!$D$8))</f>
        <v>3.3333333333333335</v>
      </c>
      <c r="AJ196" s="12">
        <f>IF(IF($D196="Unlabeled-13",MCDM_Settings!$F$8,MCDM_Settings!$D$8)=0,"n.a.",5*(COUNTIF(S196:U196,"Y")+COUNTIF(S196:U196,"U")+COUNTIF(S196:U196,"X"))/IF($D196="Unlabeled-13",MCDM_Settings!$F$8,MCDM_Settings!$D$8))</f>
        <v>5</v>
      </c>
      <c r="AK196" s="13">
        <f>IF(IF($D196="Unlabeled-13",MCDM_Settings!$F$8,MCDM_Settings!$D$8)=0,"n.a.",(COUNTIF(S196:U196,"Y")+COUNTIF(S196:U196,"N"))/IF($D196="Unlabeled-13",MCDM_Settings!$F$8,MCDM_Settings!$D$8))</f>
        <v>0.66666666666666663</v>
      </c>
      <c r="AL196" s="12">
        <f>IF(IF($D196="Unlabeled-13",MCDM_Settings!$F$9,MCDM_Settings!$D$9)=0,"n.a.",5*COUNTIF(V196:W196,"Y")/IF($D196="Unlabeled-13",MCDM_Settings!$F$9,MCDM_Settings!$D$9))</f>
        <v>5</v>
      </c>
      <c r="AM196" s="12">
        <f>IF(IF($D196="Unlabeled-13",MCDM_Settings!$F$9,MCDM_Settings!$D$9)=0,"n.a.",5*(COUNTIF(V196:W196,"Y")+COUNTIF(V196:W196,"U")+COUNTIF(V196:W196,"X"))/IF($D196="Unlabeled-13",MCDM_Settings!$F$9,MCDM_Settings!$D$9))</f>
        <v>5</v>
      </c>
      <c r="AN196" s="13">
        <f>IF(IF($D196="Unlabeled-13",MCDM_Settings!$F$9,MCDM_Settings!$D$9)=0,"n.a.",(COUNTIF(V196:W196,"Y")+COUNTIF(V196:W196,"N"))/IF($D196="Unlabeled-13",MCDM_Settings!$F$9,MCDM_Settings!$D$9))</f>
        <v>1</v>
      </c>
      <c r="AO196" s="12">
        <f>IF(IF($D196="Unlabeled-13",MCDM_Settings!$F$10,MCDM_Settings!$D$10)=0,"n.a.",5*COUNTIF(X196:Y196,"Y")/IF($D196="Unlabeled-13",MCDM_Settings!$F$10,MCDM_Settings!$D$10))</f>
        <v>5</v>
      </c>
      <c r="AP196" s="12">
        <f>IF(IF($D196="Unlabeled-13",MCDM_Settings!$F$10,MCDM_Settings!$D$10)=0,"n.a.",5*(COUNTIF(X196:Y196,"Y")+COUNTIF(X196:Y196,"U")+COUNTIF(X196:Y196,"X"))/IF($D196="Unlabeled-13",MCDM_Settings!$F$10,MCDM_Settings!$D$10))</f>
        <v>5</v>
      </c>
      <c r="AQ196" s="13">
        <f>IF(IF($D196="Unlabeled-13",MCDM_Settings!$F$10,MCDM_Settings!$D$10)=0,"n.a.",(COUNTIF(X196:Y196,"Y")+COUNTIF(X196:Y196,"N"))/IF($D196="Unlabeled-13",MCDM_Settings!$F$10,MCDM_Settings!$D$10))</f>
        <v>1</v>
      </c>
      <c r="AR196" s="12">
        <f>IF(IF($D196="Unlabeled-13",MCDM_Settings!$F$11,MCDM_Settings!$D$11)=0,"n.a.",5*COUNTIF(Z196:AB196,"Y")/IF($D196="Unlabeled-13",MCDM_Settings!$F$11,MCDM_Settings!$D$11))</f>
        <v>1.6666666666666667</v>
      </c>
      <c r="AS196" s="12">
        <f>IF(IF($D196="Unlabeled-13",MCDM_Settings!$F$11,MCDM_Settings!$D$11)=0,"n.a.",5*(COUNTIF(Z196:AB196,"Y")+COUNTIF(Z196:AB196,"U")+COUNTIF(Z196:AB196,"X"))/IF($D196="Unlabeled-13",MCDM_Settings!$F$11,MCDM_Settings!$D$11))</f>
        <v>5</v>
      </c>
      <c r="AT196" s="13">
        <f>IF(IF($D196="Unlabeled-13",MCDM_Settings!$F$11,MCDM_Settings!$D$11)=0,"n.a.",(COUNTIF(Z196:AB196,"Y")+COUNTIF(Z196:AB196,"N"))/IF($D196="Unlabeled-13",MCDM_Settings!$F$11,MCDM_Settings!$D$11))</f>
        <v>0.33333333333333331</v>
      </c>
      <c r="AU196" s="5" t="str">
        <f>IF(AND(INDEX(Manual_Review!$G$6:$G$238,MATCH(A196,Manual_Review!$A$6:$A$238,0))&lt;&gt;"",ISNUMBER(INDEX(Manual_Review!$H$6:$H$238,MATCH(A196,Manual_Review!$A$6:$A$238,0))),INDEX(Manual_Review!$H$6:$H$238,MATCH(A196,Manual_Review!$A$6:$A$238,0))&gt;0,INDEX(Manual_Review!$I$6:$I$238,MATCH(A196,Manual_Review!$A$6:$A$238,0))="Confirmed",INDEX(Manual_Review!$AF$6:$AF$238,MATCH(A196,Manual_Review!$A$6:$A$238,0))&lt;&gt;""),IF(INDEX(Manual_Review!$AA$6:$AA$238,MATCH(A196,Manual_Review!$A$6:$A$238,0))="Pass","Pass",IF(INDEX(Manual_Review!$AA$6:$AA$238,MATCH(A196,Manual_Review!$A$6:$A$238,0))="Fail","Fail","Pending")),"Pending human identity confirmation")</f>
        <v>Pending human identity confirmation</v>
      </c>
      <c r="AV196" s="5" t="str">
        <f>IF(AND(AND(INDEX(Manual_Review!$G$6:$G$238,MATCH(A196,Manual_Review!$A$6:$A$238,0))&lt;&gt;"",ISNUMBER(INDEX(Manual_Review!$H$6:$H$238,MATCH(A196,Manual_Review!$A$6:$A$238,0))),INDEX(Manual_Review!$H$6:$H$238,MATCH(A196,Manual_Review!$A$6:$A$238,0))&gt;0,INDEX(Manual_Review!$I$6:$I$238,MATCH(A196,Manual_Review!$A$6:$A$238,0))="Confirmed",INDEX(Manual_Review!$AF$6:$AF$238,MATCH(A196,Manual_Review!$A$6:$A$238,0))&lt;&gt;""),INDEX(Manual_Review!$AG$6:$AG$238,MATCH(A196,Manual_Review!$A$6:$A$238,0))&lt;&gt;""),IF(INDEX(Manual_Review!$AB$6:$AB$238,MATCH(A196,Manual_Review!$A$6:$A$238,0))="Pass","Pass",IF(INDEX(Manual_Review!$AB$6:$AB$238,MATCH(A196,Manual_Review!$A$6:$A$238,0))="Fail","Fail","Pending")),"Not assessed: define intended task")</f>
        <v>Not assessed: define intended task</v>
      </c>
      <c r="AW196" s="5" t="str">
        <f>IF(AND(AND(INDEX(Manual_Review!$G$6:$G$238,MATCH(A196,Manual_Review!$A$6:$A$238,0))&lt;&gt;"",ISNUMBER(INDEX(Manual_Review!$H$6:$H$238,MATCH(A196,Manual_Review!$A$6:$A$238,0))),INDEX(Manual_Review!$H$6:$H$238,MATCH(A196,Manual_Review!$A$6:$A$238,0))&gt;0,INDEX(Manual_Review!$I$6:$I$238,MATCH(A196,Manual_Review!$A$6:$A$238,0))="Confirmed",INDEX(Manual_Review!$AF$6:$AF$238,MATCH(A196,Manual_Review!$A$6:$A$238,0))&lt;&gt;""),INDEX(Manual_Review!$AG$6:$AG$238,MATCH(A196,Manual_Review!$A$6:$A$238,0))&lt;&gt;""),IF(OR(INDEX(Manual_Review!$AC$6:$AC$238,MATCH(A196,Manual_Review!$A$6:$A$238,0))="Fail",INDEX(Manual_Review!$AD$6:$AD$238,MATCH(A196,Manual_Review!$A$6:$A$238,0))="Fail"),"Fail: rights or retrieval",IF(AND(INDEX(Manual_Review!$AC$6:$AC$238,MATCH(A196,Manual_Review!$A$6:$A$238,0))="Pass",INDEX(Manual_Review!$AD$6:$AD$238,MATCH(A196,Manual_Review!$A$6:$A$238,0))="Pass"),"Pass","Pending rights and retrieval")),"Pending rights and retrieval")</f>
        <v>Pending rights and retrieval</v>
      </c>
      <c r="AX196" s="5" t="str">
        <f>IF(INDEX(Manual_Review!$AG$6:$AG$238,MATCH(A196,Manual_Review!$A$6:$A$238,0))="","N/A: documentation inventory",IF(AND(INDEX(Manual_Review!$G$6:$G$238,MATCH(A196,Manual_Review!$A$6:$A$238,0))&lt;&gt;"",ISNUMBER(INDEX(Manual_Review!$H$6:$H$238,MATCH(A196,Manual_Review!$A$6:$A$238,0))),INDEX(Manual_Review!$H$6:$H$238,MATCH(A196,Manual_Review!$A$6:$A$238,0))&gt;0,INDEX(Manual_Review!$I$6:$I$238,MATCH(A196,Manual_Review!$A$6:$A$238,0))="Confirmed",INDEX(Manual_Review!$AF$6:$AF$238,MATCH(A196,Manual_Review!$A$6:$A$238,0))&lt;&gt;""),IF(INDEX(Manual_Review!$AE$6:$AE$238,MATCH(A196,Manual_Review!$A$6:$A$238,0))="Pass","Pass",IF(INDEX(Manual_Review!$AE$6:$AE$238,MATCH(A196,Manual_Review!$A$6:$A$238,0))="Fail","Fail: benchmark leakage",IF(INDEX(Manual_Review!$AE$6:$AE$238,MATCH(A196,Manual_Review!$A$6:$A$238,0))="N/A","N/A: nonbenchmark task","Pending task-specific leakage check"))),"Pending task-specific leakage check"))</f>
        <v>N/A: documentation inventory</v>
      </c>
      <c r="AY196" s="5" t="str">
        <f>IF(IF(D196="Unlabeled-13",AND(ABS(MCDM_Settings!$D$14-1)&lt;0.0000001,MIN(MCDM_Settings!$E$6:$E$11)&gt;=0,MCDM_Settings!$E$7=0),AND(ABS(MCDM_Settings!$B$14-1)&lt;0.0000001,MIN(MCDM_Settings!$C$6:$C$11)&gt;=0)),"Valid","Check weights")</f>
        <v>Valid</v>
      </c>
      <c r="AZ196" s="5" t="str">
        <f>IF(AND(COUNTIF(MCDM_Checks!$B$6:$B$3733,A196)=16,COUNTIF(Manual_Review!$A$6:$A$238,A196)=1),"16 keys present","Check key count")</f>
        <v>16 keys present</v>
      </c>
    </row>
    <row r="197" spans="1:52" ht="25.5">
      <c r="A197" s="5" t="s">
        <v>2181</v>
      </c>
      <c r="B197" s="5" t="s">
        <v>2182</v>
      </c>
      <c r="C197" s="5"/>
      <c r="D197" s="5" t="s">
        <v>118</v>
      </c>
      <c r="E197" s="12">
        <f>IF(OR(AY197&lt;&gt;"Valid",AZ197&lt;&gt;"16 keys present"),"Review settings",20*(IF(ISNUMBER(AC197),AC197*IF($D197="Unlabeled-13",MCDM_Settings!$E$6,MCDM_Settings!$C$6),0)+IF(ISNUMBER(AF197),AF197*IF($D197="Unlabeled-13",MCDM_Settings!$E$7,MCDM_Settings!$C$7),0)+IF(ISNUMBER(AI197),AI197*IF($D197="Unlabeled-13",MCDM_Settings!$E$8,MCDM_Settings!$C$8),0)+IF(ISNUMBER(AL197),AL197*IF($D197="Unlabeled-13",MCDM_Settings!$E$9,MCDM_Settings!$C$9),0)+IF(ISNUMBER(AO197),AO197*IF($D197="Unlabeled-13",MCDM_Settings!$E$10,MCDM_Settings!$C$10),0)+IF(ISNUMBER(AR197),AR197*IF($D197="Unlabeled-13",MCDM_Settings!$E$11,MCDM_Settings!$C$11),0)))</f>
        <v>77.777777777777771</v>
      </c>
      <c r="F197" s="12">
        <f>IF(OR(AY197&lt;&gt;"Valid",AZ197&lt;&gt;"16 keys present"),"Review settings",20*(IF(ISNUMBER(AD197),AD197*IF($D197="Unlabeled-13",MCDM_Settings!$E$6,MCDM_Settings!$C$6),0)+IF(ISNUMBER(AG197),AG197*IF($D197="Unlabeled-13",MCDM_Settings!$E$7,MCDM_Settings!$C$7),0)+IF(ISNUMBER(AJ197),AJ197*IF($D197="Unlabeled-13",MCDM_Settings!$E$8,MCDM_Settings!$C$8),0)+IF(ISNUMBER(AM197),AM197*IF($D197="Unlabeled-13",MCDM_Settings!$E$9,MCDM_Settings!$C$9),0)+IF(ISNUMBER(AP197),AP197*IF($D197="Unlabeled-13",MCDM_Settings!$E$10,MCDM_Settings!$C$10),0)+IF(ISNUMBER(AS197),AS197*IF($D197="Unlabeled-13",MCDM_Settings!$E$11,MCDM_Settings!$C$11),0)))</f>
        <v>99.999999999999986</v>
      </c>
      <c r="G197" s="13">
        <f>IF(OR(AY197&lt;&gt;"Valid",AZ197&lt;&gt;"16 keys present"),"Review settings",1*(IF(ISNUMBER(AE197),AE197*IF($D197="Unlabeled-13",MCDM_Settings!$E$6,MCDM_Settings!$C$6),0)+IF(ISNUMBER(AH197),AH197*IF($D197="Unlabeled-13",MCDM_Settings!$E$7,MCDM_Settings!$C$7),0)+IF(ISNUMBER(AK197),AK197*IF($D197="Unlabeled-13",MCDM_Settings!$E$8,MCDM_Settings!$C$8),0)+IF(ISNUMBER(AN197),AN197*IF($D197="Unlabeled-13",MCDM_Settings!$E$9,MCDM_Settings!$C$9),0)+IF(ISNUMBER(AQ197),AQ197*IF($D197="Unlabeled-13",MCDM_Settings!$E$10,MCDM_Settings!$C$10),0)+IF(ISNUMBER(AT197),AT197*IF($D197="Unlabeled-13",MCDM_Settings!$E$11,MCDM_Settings!$C$11),0)))</f>
        <v>0.77777777777777779</v>
      </c>
      <c r="H197" s="5" t="str">
        <f>INDEX(Manual_Review!$AH$6:$AH$238,MATCH(A197,Manual_Review!$A$6:$A$238,0))</f>
        <v>Not started</v>
      </c>
      <c r="I197" s="5" t="s">
        <v>182</v>
      </c>
      <c r="J197" s="5" t="s">
        <v>2183</v>
      </c>
      <c r="K197" s="5" t="str">
        <f>HYPERLINK("https://road-dataset.github.io/","Dataset")</f>
        <v>Dataset</v>
      </c>
      <c r="L197" s="5" t="str">
        <f>HYPERLINK("#'Manual_Review'!A"&amp;(MATCH("DS-192",Manual_Review!$A$6:$A$238,0)+5),"Enter review")</f>
        <v>Enter review</v>
      </c>
      <c r="M197" s="5" t="str">
        <f>INDEX(MCDM_Checks!$K$6:$K$3733,MATCH(A197&amp;"|"&amp;M$5,MCDM_Checks!$A$6:$A$3733,0))</f>
        <v>Y</v>
      </c>
      <c r="N197" s="5" t="str">
        <f>INDEX(MCDM_Checks!$K$6:$K$3733,MATCH(A197&amp;"|"&amp;N$5,MCDM_Checks!$A$6:$A$3733,0))</f>
        <v>Y</v>
      </c>
      <c r="O197" s="5" t="str">
        <f>INDEX(MCDM_Checks!$K$6:$K$3733,MATCH(A197&amp;"|"&amp;O$5,MCDM_Checks!$A$6:$A$3733,0))</f>
        <v>U</v>
      </c>
      <c r="P197" s="5" t="str">
        <f>INDEX(MCDM_Checks!$K$6:$K$3733,MATCH(A197&amp;"|"&amp;P$5,MCDM_Checks!$A$6:$A$3733,0))</f>
        <v>Y</v>
      </c>
      <c r="Q197" s="5" t="str">
        <f>INDEX(MCDM_Checks!$K$6:$K$3733,MATCH(A197&amp;"|"&amp;Q$5,MCDM_Checks!$A$6:$A$3733,0))</f>
        <v>Y</v>
      </c>
      <c r="R197" s="5" t="str">
        <f>INDEX(MCDM_Checks!$K$6:$K$3733,MATCH(A197&amp;"|"&amp;R$5,MCDM_Checks!$A$6:$A$3733,0))</f>
        <v>Y</v>
      </c>
      <c r="S197" s="5" t="str">
        <f>INDEX(MCDM_Checks!$K$6:$K$3733,MATCH(A197&amp;"|"&amp;S$5,MCDM_Checks!$A$6:$A$3733,0))</f>
        <v>U</v>
      </c>
      <c r="T197" s="5" t="str">
        <f>INDEX(MCDM_Checks!$K$6:$K$3733,MATCH(A197&amp;"|"&amp;T$5,MCDM_Checks!$A$6:$A$3733,0))</f>
        <v>Y</v>
      </c>
      <c r="U197" s="5" t="str">
        <f>INDEX(MCDM_Checks!$K$6:$K$3733,MATCH(A197&amp;"|"&amp;U$5,MCDM_Checks!$A$6:$A$3733,0))</f>
        <v>Y</v>
      </c>
      <c r="V197" s="5" t="str">
        <f>INDEX(MCDM_Checks!$K$6:$K$3733,MATCH(A197&amp;"|"&amp;V$5,MCDM_Checks!$A$6:$A$3733,0))</f>
        <v>Y</v>
      </c>
      <c r="W197" s="5" t="str">
        <f>INDEX(MCDM_Checks!$K$6:$K$3733,MATCH(A197&amp;"|"&amp;W$5,MCDM_Checks!$A$6:$A$3733,0))</f>
        <v>Y</v>
      </c>
      <c r="X197" s="5" t="str">
        <f>INDEX(MCDM_Checks!$K$6:$K$3733,MATCH(A197&amp;"|"&amp;X$5,MCDM_Checks!$A$6:$A$3733,0))</f>
        <v>Y</v>
      </c>
      <c r="Y197" s="5" t="str">
        <f>INDEX(MCDM_Checks!$K$6:$K$3733,MATCH(A197&amp;"|"&amp;Y$5,MCDM_Checks!$A$6:$A$3733,0))</f>
        <v>Y</v>
      </c>
      <c r="Z197" s="5" t="str">
        <f>INDEX(MCDM_Checks!$K$6:$K$3733,MATCH(A197&amp;"|"&amp;Z$5,MCDM_Checks!$A$6:$A$3733,0))</f>
        <v>Y</v>
      </c>
      <c r="AA197" s="5" t="str">
        <f>INDEX(MCDM_Checks!$K$6:$K$3733,MATCH(A197&amp;"|"&amp;AA$5,MCDM_Checks!$A$6:$A$3733,0))</f>
        <v>U</v>
      </c>
      <c r="AB197" s="5" t="str">
        <f>INDEX(MCDM_Checks!$K$6:$K$3733,MATCH(A197&amp;"|"&amp;AB$5,MCDM_Checks!$A$6:$A$3733,0))</f>
        <v>U</v>
      </c>
      <c r="AC197" s="12">
        <f>IF(IF($D197="Unlabeled-13",MCDM_Settings!$F$6,MCDM_Settings!$D$6)=0,"n.a.",5*COUNTIF(M197:O197,"Y")/IF($D197="Unlabeled-13",MCDM_Settings!$F$6,MCDM_Settings!$D$6))</f>
        <v>3.3333333333333335</v>
      </c>
      <c r="AD197" s="12">
        <f>IF(IF($D197="Unlabeled-13",MCDM_Settings!$F$6,MCDM_Settings!$D$6)=0,"n.a.",5*(COUNTIF(M197:O197,"Y")+COUNTIF(M197:O197,"U")+COUNTIF(M197:O197,"X"))/IF($D197="Unlabeled-13",MCDM_Settings!$F$6,MCDM_Settings!$D$6))</f>
        <v>5</v>
      </c>
      <c r="AE197" s="13">
        <f>IF(IF($D197="Unlabeled-13",MCDM_Settings!$F$6,MCDM_Settings!$D$6)=0,"n.a.",(COUNTIF(M197:O197,"Y")+COUNTIF(M197:O197,"N"))/IF($D197="Unlabeled-13",MCDM_Settings!$F$6,MCDM_Settings!$D$6))</f>
        <v>0.66666666666666663</v>
      </c>
      <c r="AF197" s="12">
        <f>IF(IF($D197="Unlabeled-13",MCDM_Settings!$F$7,MCDM_Settings!$D$7)=0,"n.a.",5*COUNTIF(P197:R197,"Y")/IF($D197="Unlabeled-13",MCDM_Settings!$F$7,MCDM_Settings!$D$7))</f>
        <v>5</v>
      </c>
      <c r="AG197" s="12">
        <f>IF(IF($D197="Unlabeled-13",MCDM_Settings!$F$7,MCDM_Settings!$D$7)=0,"n.a.",5*(COUNTIF(P197:R197,"Y")+COUNTIF(P197:R197,"U")+COUNTIF(P197:R197,"X"))/IF($D197="Unlabeled-13",MCDM_Settings!$F$7,MCDM_Settings!$D$7))</f>
        <v>5</v>
      </c>
      <c r="AH197" s="13">
        <f>IF(IF($D197="Unlabeled-13",MCDM_Settings!$F$7,MCDM_Settings!$D$7)=0,"n.a.",(COUNTIF(P197:R197,"Y")+COUNTIF(P197:R197,"N"))/IF($D197="Unlabeled-13",MCDM_Settings!$F$7,MCDM_Settings!$D$7))</f>
        <v>1</v>
      </c>
      <c r="AI197" s="12">
        <f>IF(IF($D197="Unlabeled-13",MCDM_Settings!$F$8,MCDM_Settings!$D$8)=0,"n.a.",5*COUNTIF(S197:U197,"Y")/IF($D197="Unlabeled-13",MCDM_Settings!$F$8,MCDM_Settings!$D$8))</f>
        <v>3.3333333333333335</v>
      </c>
      <c r="AJ197" s="12">
        <f>IF(IF($D197="Unlabeled-13",MCDM_Settings!$F$8,MCDM_Settings!$D$8)=0,"n.a.",5*(COUNTIF(S197:U197,"Y")+COUNTIF(S197:U197,"U")+COUNTIF(S197:U197,"X"))/IF($D197="Unlabeled-13",MCDM_Settings!$F$8,MCDM_Settings!$D$8))</f>
        <v>5</v>
      </c>
      <c r="AK197" s="13">
        <f>IF(IF($D197="Unlabeled-13",MCDM_Settings!$F$8,MCDM_Settings!$D$8)=0,"n.a.",(COUNTIF(S197:U197,"Y")+COUNTIF(S197:U197,"N"))/IF($D197="Unlabeled-13",MCDM_Settings!$F$8,MCDM_Settings!$D$8))</f>
        <v>0.66666666666666663</v>
      </c>
      <c r="AL197" s="12">
        <f>IF(IF($D197="Unlabeled-13",MCDM_Settings!$F$9,MCDM_Settings!$D$9)=0,"n.a.",5*COUNTIF(V197:W197,"Y")/IF($D197="Unlabeled-13",MCDM_Settings!$F$9,MCDM_Settings!$D$9))</f>
        <v>5</v>
      </c>
      <c r="AM197" s="12">
        <f>IF(IF($D197="Unlabeled-13",MCDM_Settings!$F$9,MCDM_Settings!$D$9)=0,"n.a.",5*(COUNTIF(V197:W197,"Y")+COUNTIF(V197:W197,"U")+COUNTIF(V197:W197,"X"))/IF($D197="Unlabeled-13",MCDM_Settings!$F$9,MCDM_Settings!$D$9))</f>
        <v>5</v>
      </c>
      <c r="AN197" s="13">
        <f>IF(IF($D197="Unlabeled-13",MCDM_Settings!$F$9,MCDM_Settings!$D$9)=0,"n.a.",(COUNTIF(V197:W197,"Y")+COUNTIF(V197:W197,"N"))/IF($D197="Unlabeled-13",MCDM_Settings!$F$9,MCDM_Settings!$D$9))</f>
        <v>1</v>
      </c>
      <c r="AO197" s="12">
        <f>IF(IF($D197="Unlabeled-13",MCDM_Settings!$F$10,MCDM_Settings!$D$10)=0,"n.a.",5*COUNTIF(X197:Y197,"Y")/IF($D197="Unlabeled-13",MCDM_Settings!$F$10,MCDM_Settings!$D$10))</f>
        <v>5</v>
      </c>
      <c r="AP197" s="12">
        <f>IF(IF($D197="Unlabeled-13",MCDM_Settings!$F$10,MCDM_Settings!$D$10)=0,"n.a.",5*(COUNTIF(X197:Y197,"Y")+COUNTIF(X197:Y197,"U")+COUNTIF(X197:Y197,"X"))/IF($D197="Unlabeled-13",MCDM_Settings!$F$10,MCDM_Settings!$D$10))</f>
        <v>5</v>
      </c>
      <c r="AQ197" s="13">
        <f>IF(IF($D197="Unlabeled-13",MCDM_Settings!$F$10,MCDM_Settings!$D$10)=0,"n.a.",(COUNTIF(X197:Y197,"Y")+COUNTIF(X197:Y197,"N"))/IF($D197="Unlabeled-13",MCDM_Settings!$F$10,MCDM_Settings!$D$10))</f>
        <v>1</v>
      </c>
      <c r="AR197" s="12">
        <f>IF(IF($D197="Unlabeled-13",MCDM_Settings!$F$11,MCDM_Settings!$D$11)=0,"n.a.",5*COUNTIF(Z197:AB197,"Y")/IF($D197="Unlabeled-13",MCDM_Settings!$F$11,MCDM_Settings!$D$11))</f>
        <v>1.6666666666666667</v>
      </c>
      <c r="AS197" s="12">
        <f>IF(IF($D197="Unlabeled-13",MCDM_Settings!$F$11,MCDM_Settings!$D$11)=0,"n.a.",5*(COUNTIF(Z197:AB197,"Y")+COUNTIF(Z197:AB197,"U")+COUNTIF(Z197:AB197,"X"))/IF($D197="Unlabeled-13",MCDM_Settings!$F$11,MCDM_Settings!$D$11))</f>
        <v>5</v>
      </c>
      <c r="AT197" s="13">
        <f>IF(IF($D197="Unlabeled-13",MCDM_Settings!$F$11,MCDM_Settings!$D$11)=0,"n.a.",(COUNTIF(Z197:AB197,"Y")+COUNTIF(Z197:AB197,"N"))/IF($D197="Unlabeled-13",MCDM_Settings!$F$11,MCDM_Settings!$D$11))</f>
        <v>0.33333333333333331</v>
      </c>
      <c r="AU197" s="5" t="str">
        <f>IF(AND(INDEX(Manual_Review!$G$6:$G$238,MATCH(A197,Manual_Review!$A$6:$A$238,0))&lt;&gt;"",ISNUMBER(INDEX(Manual_Review!$H$6:$H$238,MATCH(A197,Manual_Review!$A$6:$A$238,0))),INDEX(Manual_Review!$H$6:$H$238,MATCH(A197,Manual_Review!$A$6:$A$238,0))&gt;0,INDEX(Manual_Review!$I$6:$I$238,MATCH(A197,Manual_Review!$A$6:$A$238,0))="Confirmed",INDEX(Manual_Review!$AF$6:$AF$238,MATCH(A197,Manual_Review!$A$6:$A$238,0))&lt;&gt;""),IF(INDEX(Manual_Review!$AA$6:$AA$238,MATCH(A197,Manual_Review!$A$6:$A$238,0))="Pass","Pass",IF(INDEX(Manual_Review!$AA$6:$AA$238,MATCH(A197,Manual_Review!$A$6:$A$238,0))="Fail","Fail","Pending")),"Pending human identity confirmation")</f>
        <v>Pending human identity confirmation</v>
      </c>
      <c r="AV197" s="5" t="str">
        <f>IF(AND(AND(INDEX(Manual_Review!$G$6:$G$238,MATCH(A197,Manual_Review!$A$6:$A$238,0))&lt;&gt;"",ISNUMBER(INDEX(Manual_Review!$H$6:$H$238,MATCH(A197,Manual_Review!$A$6:$A$238,0))),INDEX(Manual_Review!$H$6:$H$238,MATCH(A197,Manual_Review!$A$6:$A$238,0))&gt;0,INDEX(Manual_Review!$I$6:$I$238,MATCH(A197,Manual_Review!$A$6:$A$238,0))="Confirmed",INDEX(Manual_Review!$AF$6:$AF$238,MATCH(A197,Manual_Review!$A$6:$A$238,0))&lt;&gt;""),INDEX(Manual_Review!$AG$6:$AG$238,MATCH(A197,Manual_Review!$A$6:$A$238,0))&lt;&gt;""),IF(INDEX(Manual_Review!$AB$6:$AB$238,MATCH(A197,Manual_Review!$A$6:$A$238,0))="Pass","Pass",IF(INDEX(Manual_Review!$AB$6:$AB$238,MATCH(A197,Manual_Review!$A$6:$A$238,0))="Fail","Fail","Pending")),"Not assessed: define intended task")</f>
        <v>Not assessed: define intended task</v>
      </c>
      <c r="AW197" s="5" t="str">
        <f>IF(AND(AND(INDEX(Manual_Review!$G$6:$G$238,MATCH(A197,Manual_Review!$A$6:$A$238,0))&lt;&gt;"",ISNUMBER(INDEX(Manual_Review!$H$6:$H$238,MATCH(A197,Manual_Review!$A$6:$A$238,0))),INDEX(Manual_Review!$H$6:$H$238,MATCH(A197,Manual_Review!$A$6:$A$238,0))&gt;0,INDEX(Manual_Review!$I$6:$I$238,MATCH(A197,Manual_Review!$A$6:$A$238,0))="Confirmed",INDEX(Manual_Review!$AF$6:$AF$238,MATCH(A197,Manual_Review!$A$6:$A$238,0))&lt;&gt;""),INDEX(Manual_Review!$AG$6:$AG$238,MATCH(A197,Manual_Review!$A$6:$A$238,0))&lt;&gt;""),IF(OR(INDEX(Manual_Review!$AC$6:$AC$238,MATCH(A197,Manual_Review!$A$6:$A$238,0))="Fail",INDEX(Manual_Review!$AD$6:$AD$238,MATCH(A197,Manual_Review!$A$6:$A$238,0))="Fail"),"Fail: rights or retrieval",IF(AND(INDEX(Manual_Review!$AC$6:$AC$238,MATCH(A197,Manual_Review!$A$6:$A$238,0))="Pass",INDEX(Manual_Review!$AD$6:$AD$238,MATCH(A197,Manual_Review!$A$6:$A$238,0))="Pass"),"Pass","Pending rights and retrieval")),"Pending rights and retrieval")</f>
        <v>Pending rights and retrieval</v>
      </c>
      <c r="AX197" s="5" t="str">
        <f>IF(INDEX(Manual_Review!$AG$6:$AG$238,MATCH(A197,Manual_Review!$A$6:$A$238,0))="","N/A: documentation inventory",IF(AND(INDEX(Manual_Review!$G$6:$G$238,MATCH(A197,Manual_Review!$A$6:$A$238,0))&lt;&gt;"",ISNUMBER(INDEX(Manual_Review!$H$6:$H$238,MATCH(A197,Manual_Review!$A$6:$A$238,0))),INDEX(Manual_Review!$H$6:$H$238,MATCH(A197,Manual_Review!$A$6:$A$238,0))&gt;0,INDEX(Manual_Review!$I$6:$I$238,MATCH(A197,Manual_Review!$A$6:$A$238,0))="Confirmed",INDEX(Manual_Review!$AF$6:$AF$238,MATCH(A197,Manual_Review!$A$6:$A$238,0))&lt;&gt;""),IF(INDEX(Manual_Review!$AE$6:$AE$238,MATCH(A197,Manual_Review!$A$6:$A$238,0))="Pass","Pass",IF(INDEX(Manual_Review!$AE$6:$AE$238,MATCH(A197,Manual_Review!$A$6:$A$238,0))="Fail","Fail: benchmark leakage",IF(INDEX(Manual_Review!$AE$6:$AE$238,MATCH(A197,Manual_Review!$A$6:$A$238,0))="N/A","N/A: nonbenchmark task","Pending task-specific leakage check"))),"Pending task-specific leakage check"))</f>
        <v>N/A: documentation inventory</v>
      </c>
      <c r="AY197" s="5" t="str">
        <f>IF(IF(D197="Unlabeled-13",AND(ABS(MCDM_Settings!$D$14-1)&lt;0.0000001,MIN(MCDM_Settings!$E$6:$E$11)&gt;=0,MCDM_Settings!$E$7=0),AND(ABS(MCDM_Settings!$B$14-1)&lt;0.0000001,MIN(MCDM_Settings!$C$6:$C$11)&gt;=0)),"Valid","Check weights")</f>
        <v>Valid</v>
      </c>
      <c r="AZ197" s="5" t="str">
        <f>IF(AND(COUNTIF(MCDM_Checks!$B$6:$B$3733,A197)=16,COUNTIF(Manual_Review!$A$6:$A$238,A197)=1),"16 keys present","Check key count")</f>
        <v>16 keys present</v>
      </c>
    </row>
    <row r="198" spans="1:52">
      <c r="A198" s="5" t="s">
        <v>2195</v>
      </c>
      <c r="B198" s="5" t="s">
        <v>2196</v>
      </c>
      <c r="C198" s="5"/>
      <c r="D198" s="5" t="s">
        <v>118</v>
      </c>
      <c r="E198" s="12">
        <f>IF(OR(AY198&lt;&gt;"Valid",AZ198&lt;&gt;"16 keys present"),"Review settings",20*(IF(ISNUMBER(AC198),AC198*IF($D198="Unlabeled-13",MCDM_Settings!$E$6,MCDM_Settings!$C$6),0)+IF(ISNUMBER(AF198),AF198*IF($D198="Unlabeled-13",MCDM_Settings!$E$7,MCDM_Settings!$C$7),0)+IF(ISNUMBER(AI198),AI198*IF($D198="Unlabeled-13",MCDM_Settings!$E$8,MCDM_Settings!$C$8),0)+IF(ISNUMBER(AL198),AL198*IF($D198="Unlabeled-13",MCDM_Settings!$E$9,MCDM_Settings!$C$9),0)+IF(ISNUMBER(AO198),AO198*IF($D198="Unlabeled-13",MCDM_Settings!$E$10,MCDM_Settings!$C$10),0)+IF(ISNUMBER(AR198),AR198*IF($D198="Unlabeled-13",MCDM_Settings!$E$11,MCDM_Settings!$C$11),0)))</f>
        <v>83.333333333333314</v>
      </c>
      <c r="F198" s="12">
        <f>IF(OR(AY198&lt;&gt;"Valid",AZ198&lt;&gt;"16 keys present"),"Review settings",20*(IF(ISNUMBER(AD198),AD198*IF($D198="Unlabeled-13",MCDM_Settings!$E$6,MCDM_Settings!$C$6),0)+IF(ISNUMBER(AG198),AG198*IF($D198="Unlabeled-13",MCDM_Settings!$E$7,MCDM_Settings!$C$7),0)+IF(ISNUMBER(AJ198),AJ198*IF($D198="Unlabeled-13",MCDM_Settings!$E$8,MCDM_Settings!$C$8),0)+IF(ISNUMBER(AM198),AM198*IF($D198="Unlabeled-13",MCDM_Settings!$E$9,MCDM_Settings!$C$9),0)+IF(ISNUMBER(AP198),AP198*IF($D198="Unlabeled-13",MCDM_Settings!$E$10,MCDM_Settings!$C$10),0)+IF(ISNUMBER(AS198),AS198*IF($D198="Unlabeled-13",MCDM_Settings!$E$11,MCDM_Settings!$C$11),0)))</f>
        <v>99.999999999999986</v>
      </c>
      <c r="G198" s="13">
        <f>IF(OR(AY198&lt;&gt;"Valid",AZ198&lt;&gt;"16 keys present"),"Review settings",1*(IF(ISNUMBER(AE198),AE198*IF($D198="Unlabeled-13",MCDM_Settings!$E$6,MCDM_Settings!$C$6),0)+IF(ISNUMBER(AH198),AH198*IF($D198="Unlabeled-13",MCDM_Settings!$E$7,MCDM_Settings!$C$7),0)+IF(ISNUMBER(AK198),AK198*IF($D198="Unlabeled-13",MCDM_Settings!$E$8,MCDM_Settings!$C$8),0)+IF(ISNUMBER(AN198),AN198*IF($D198="Unlabeled-13",MCDM_Settings!$E$9,MCDM_Settings!$C$9),0)+IF(ISNUMBER(AQ198),AQ198*IF($D198="Unlabeled-13",MCDM_Settings!$E$10,MCDM_Settings!$C$10),0)+IF(ISNUMBER(AT198),AT198*IF($D198="Unlabeled-13",MCDM_Settings!$E$11,MCDM_Settings!$C$11),0)))</f>
        <v>0.83333333333333326</v>
      </c>
      <c r="H198" s="5" t="str">
        <f>INDEX(Manual_Review!$AH$6:$AH$238,MATCH(A198,Manual_Review!$A$6:$A$238,0))</f>
        <v>Not started</v>
      </c>
      <c r="I198" s="5" t="s">
        <v>182</v>
      </c>
      <c r="J198" s="5" t="s">
        <v>2197</v>
      </c>
      <c r="K198" s="5" t="str">
        <f>HYPERLINK("https://www.tu-ilmenau.de/fileadmin/Bereiche/IA/neurob/Datasets/Request-Gaps3.pdf","Dataset")</f>
        <v>Dataset</v>
      </c>
      <c r="L198" s="5" t="str">
        <f>HYPERLINK("#'Manual_Review'!A"&amp;(MATCH("DS-193",Manual_Review!$A$6:$A$238,0)+5),"Enter review")</f>
        <v>Enter review</v>
      </c>
      <c r="M198" s="5" t="str">
        <f>INDEX(MCDM_Checks!$K$6:$K$3733,MATCH(A198&amp;"|"&amp;M$5,MCDM_Checks!$A$6:$A$3733,0))</f>
        <v>Y</v>
      </c>
      <c r="N198" s="5" t="str">
        <f>INDEX(MCDM_Checks!$K$6:$K$3733,MATCH(A198&amp;"|"&amp;N$5,MCDM_Checks!$A$6:$A$3733,0))</f>
        <v>Y</v>
      </c>
      <c r="O198" s="5" t="str">
        <f>INDEX(MCDM_Checks!$K$6:$K$3733,MATCH(A198&amp;"|"&amp;O$5,MCDM_Checks!$A$6:$A$3733,0))</f>
        <v>Y</v>
      </c>
      <c r="P198" s="5" t="str">
        <f>INDEX(MCDM_Checks!$K$6:$K$3733,MATCH(A198&amp;"|"&amp;P$5,MCDM_Checks!$A$6:$A$3733,0))</f>
        <v>Y</v>
      </c>
      <c r="Q198" s="5" t="str">
        <f>INDEX(MCDM_Checks!$K$6:$K$3733,MATCH(A198&amp;"|"&amp;Q$5,MCDM_Checks!$A$6:$A$3733,0))</f>
        <v>Y</v>
      </c>
      <c r="R198" s="5" t="str">
        <f>INDEX(MCDM_Checks!$K$6:$K$3733,MATCH(A198&amp;"|"&amp;R$5,MCDM_Checks!$A$6:$A$3733,0))</f>
        <v>U</v>
      </c>
      <c r="S198" s="5" t="str">
        <f>INDEX(MCDM_Checks!$K$6:$K$3733,MATCH(A198&amp;"|"&amp;S$5,MCDM_Checks!$A$6:$A$3733,0))</f>
        <v>U</v>
      </c>
      <c r="T198" s="5" t="str">
        <f>INDEX(MCDM_Checks!$K$6:$K$3733,MATCH(A198&amp;"|"&amp;T$5,MCDM_Checks!$A$6:$A$3733,0))</f>
        <v>Y</v>
      </c>
      <c r="U198" s="5" t="str">
        <f>INDEX(MCDM_Checks!$K$6:$K$3733,MATCH(A198&amp;"|"&amp;U$5,MCDM_Checks!$A$6:$A$3733,0))</f>
        <v>Y</v>
      </c>
      <c r="V198" s="5" t="str">
        <f>INDEX(MCDM_Checks!$K$6:$K$3733,MATCH(A198&amp;"|"&amp;V$5,MCDM_Checks!$A$6:$A$3733,0))</f>
        <v>Y</v>
      </c>
      <c r="W198" s="5" t="str">
        <f>INDEX(MCDM_Checks!$K$6:$K$3733,MATCH(A198&amp;"|"&amp;W$5,MCDM_Checks!$A$6:$A$3733,0))</f>
        <v>Y</v>
      </c>
      <c r="X198" s="5" t="str">
        <f>INDEX(MCDM_Checks!$K$6:$K$3733,MATCH(A198&amp;"|"&amp;X$5,MCDM_Checks!$A$6:$A$3733,0))</f>
        <v>Y</v>
      </c>
      <c r="Y198" s="5" t="str">
        <f>INDEX(MCDM_Checks!$K$6:$K$3733,MATCH(A198&amp;"|"&amp;Y$5,MCDM_Checks!$A$6:$A$3733,0))</f>
        <v>Y</v>
      </c>
      <c r="Z198" s="5" t="str">
        <f>INDEX(MCDM_Checks!$K$6:$K$3733,MATCH(A198&amp;"|"&amp;Z$5,MCDM_Checks!$A$6:$A$3733,0))</f>
        <v>Y</v>
      </c>
      <c r="AA198" s="5" t="str">
        <f>INDEX(MCDM_Checks!$K$6:$K$3733,MATCH(A198&amp;"|"&amp;AA$5,MCDM_Checks!$A$6:$A$3733,0))</f>
        <v>Y</v>
      </c>
      <c r="AB198" s="5" t="str">
        <f>INDEX(MCDM_Checks!$K$6:$K$3733,MATCH(A198&amp;"|"&amp;AB$5,MCDM_Checks!$A$6:$A$3733,0))</f>
        <v>U</v>
      </c>
      <c r="AC198" s="12">
        <f>IF(IF($D198="Unlabeled-13",MCDM_Settings!$F$6,MCDM_Settings!$D$6)=0,"n.a.",5*COUNTIF(M198:O198,"Y")/IF($D198="Unlabeled-13",MCDM_Settings!$F$6,MCDM_Settings!$D$6))</f>
        <v>5</v>
      </c>
      <c r="AD198" s="12">
        <f>IF(IF($D198="Unlabeled-13",MCDM_Settings!$F$6,MCDM_Settings!$D$6)=0,"n.a.",5*(COUNTIF(M198:O198,"Y")+COUNTIF(M198:O198,"U")+COUNTIF(M198:O198,"X"))/IF($D198="Unlabeled-13",MCDM_Settings!$F$6,MCDM_Settings!$D$6))</f>
        <v>5</v>
      </c>
      <c r="AE198" s="13">
        <f>IF(IF($D198="Unlabeled-13",MCDM_Settings!$F$6,MCDM_Settings!$D$6)=0,"n.a.",(COUNTIF(M198:O198,"Y")+COUNTIF(M198:O198,"N"))/IF($D198="Unlabeled-13",MCDM_Settings!$F$6,MCDM_Settings!$D$6))</f>
        <v>1</v>
      </c>
      <c r="AF198" s="12">
        <f>IF(IF($D198="Unlabeled-13",MCDM_Settings!$F$7,MCDM_Settings!$D$7)=0,"n.a.",5*COUNTIF(P198:R198,"Y")/IF($D198="Unlabeled-13",MCDM_Settings!$F$7,MCDM_Settings!$D$7))</f>
        <v>3.3333333333333335</v>
      </c>
      <c r="AG198" s="12">
        <f>IF(IF($D198="Unlabeled-13",MCDM_Settings!$F$7,MCDM_Settings!$D$7)=0,"n.a.",5*(COUNTIF(P198:R198,"Y")+COUNTIF(P198:R198,"U")+COUNTIF(P198:R198,"X"))/IF($D198="Unlabeled-13",MCDM_Settings!$F$7,MCDM_Settings!$D$7))</f>
        <v>5</v>
      </c>
      <c r="AH198" s="13">
        <f>IF(IF($D198="Unlabeled-13",MCDM_Settings!$F$7,MCDM_Settings!$D$7)=0,"n.a.",(COUNTIF(P198:R198,"Y")+COUNTIF(P198:R198,"N"))/IF($D198="Unlabeled-13",MCDM_Settings!$F$7,MCDM_Settings!$D$7))</f>
        <v>0.66666666666666663</v>
      </c>
      <c r="AI198" s="12">
        <f>IF(IF($D198="Unlabeled-13",MCDM_Settings!$F$8,MCDM_Settings!$D$8)=0,"n.a.",5*COUNTIF(S198:U198,"Y")/IF($D198="Unlabeled-13",MCDM_Settings!$F$8,MCDM_Settings!$D$8))</f>
        <v>3.3333333333333335</v>
      </c>
      <c r="AJ198" s="12">
        <f>IF(IF($D198="Unlabeled-13",MCDM_Settings!$F$8,MCDM_Settings!$D$8)=0,"n.a.",5*(COUNTIF(S198:U198,"Y")+COUNTIF(S198:U198,"U")+COUNTIF(S198:U198,"X"))/IF($D198="Unlabeled-13",MCDM_Settings!$F$8,MCDM_Settings!$D$8))</f>
        <v>5</v>
      </c>
      <c r="AK198" s="13">
        <f>IF(IF($D198="Unlabeled-13",MCDM_Settings!$F$8,MCDM_Settings!$D$8)=0,"n.a.",(COUNTIF(S198:U198,"Y")+COUNTIF(S198:U198,"N"))/IF($D198="Unlabeled-13",MCDM_Settings!$F$8,MCDM_Settings!$D$8))</f>
        <v>0.66666666666666663</v>
      </c>
      <c r="AL198" s="12">
        <f>IF(IF($D198="Unlabeled-13",MCDM_Settings!$F$9,MCDM_Settings!$D$9)=0,"n.a.",5*COUNTIF(V198:W198,"Y")/IF($D198="Unlabeled-13",MCDM_Settings!$F$9,MCDM_Settings!$D$9))</f>
        <v>5</v>
      </c>
      <c r="AM198" s="12">
        <f>IF(IF($D198="Unlabeled-13",MCDM_Settings!$F$9,MCDM_Settings!$D$9)=0,"n.a.",5*(COUNTIF(V198:W198,"Y")+COUNTIF(V198:W198,"U")+COUNTIF(V198:W198,"X"))/IF($D198="Unlabeled-13",MCDM_Settings!$F$9,MCDM_Settings!$D$9))</f>
        <v>5</v>
      </c>
      <c r="AN198" s="13">
        <f>IF(IF($D198="Unlabeled-13",MCDM_Settings!$F$9,MCDM_Settings!$D$9)=0,"n.a.",(COUNTIF(V198:W198,"Y")+COUNTIF(V198:W198,"N"))/IF($D198="Unlabeled-13",MCDM_Settings!$F$9,MCDM_Settings!$D$9))</f>
        <v>1</v>
      </c>
      <c r="AO198" s="12">
        <f>IF(IF($D198="Unlabeled-13",MCDM_Settings!$F$10,MCDM_Settings!$D$10)=0,"n.a.",5*COUNTIF(X198:Y198,"Y")/IF($D198="Unlabeled-13",MCDM_Settings!$F$10,MCDM_Settings!$D$10))</f>
        <v>5</v>
      </c>
      <c r="AP198" s="12">
        <f>IF(IF($D198="Unlabeled-13",MCDM_Settings!$F$10,MCDM_Settings!$D$10)=0,"n.a.",5*(COUNTIF(X198:Y198,"Y")+COUNTIF(X198:Y198,"U")+COUNTIF(X198:Y198,"X"))/IF($D198="Unlabeled-13",MCDM_Settings!$F$10,MCDM_Settings!$D$10))</f>
        <v>5</v>
      </c>
      <c r="AQ198" s="13">
        <f>IF(IF($D198="Unlabeled-13",MCDM_Settings!$F$10,MCDM_Settings!$D$10)=0,"n.a.",(COUNTIF(X198:Y198,"Y")+COUNTIF(X198:Y198,"N"))/IF($D198="Unlabeled-13",MCDM_Settings!$F$10,MCDM_Settings!$D$10))</f>
        <v>1</v>
      </c>
      <c r="AR198" s="12">
        <f>IF(IF($D198="Unlabeled-13",MCDM_Settings!$F$11,MCDM_Settings!$D$11)=0,"n.a.",5*COUNTIF(Z198:AB198,"Y")/IF($D198="Unlabeled-13",MCDM_Settings!$F$11,MCDM_Settings!$D$11))</f>
        <v>3.3333333333333335</v>
      </c>
      <c r="AS198" s="12">
        <f>IF(IF($D198="Unlabeled-13",MCDM_Settings!$F$11,MCDM_Settings!$D$11)=0,"n.a.",5*(COUNTIF(Z198:AB198,"Y")+COUNTIF(Z198:AB198,"U")+COUNTIF(Z198:AB198,"X"))/IF($D198="Unlabeled-13",MCDM_Settings!$F$11,MCDM_Settings!$D$11))</f>
        <v>5</v>
      </c>
      <c r="AT198" s="13">
        <f>IF(IF($D198="Unlabeled-13",MCDM_Settings!$F$11,MCDM_Settings!$D$11)=0,"n.a.",(COUNTIF(Z198:AB198,"Y")+COUNTIF(Z198:AB198,"N"))/IF($D198="Unlabeled-13",MCDM_Settings!$F$11,MCDM_Settings!$D$11))</f>
        <v>0.66666666666666663</v>
      </c>
      <c r="AU198" s="5" t="str">
        <f>IF(AND(INDEX(Manual_Review!$G$6:$G$238,MATCH(A198,Manual_Review!$A$6:$A$238,0))&lt;&gt;"",ISNUMBER(INDEX(Manual_Review!$H$6:$H$238,MATCH(A198,Manual_Review!$A$6:$A$238,0))),INDEX(Manual_Review!$H$6:$H$238,MATCH(A198,Manual_Review!$A$6:$A$238,0))&gt;0,INDEX(Manual_Review!$I$6:$I$238,MATCH(A198,Manual_Review!$A$6:$A$238,0))="Confirmed",INDEX(Manual_Review!$AF$6:$AF$238,MATCH(A198,Manual_Review!$A$6:$A$238,0))&lt;&gt;""),IF(INDEX(Manual_Review!$AA$6:$AA$238,MATCH(A198,Manual_Review!$A$6:$A$238,0))="Pass","Pass",IF(INDEX(Manual_Review!$AA$6:$AA$238,MATCH(A198,Manual_Review!$A$6:$A$238,0))="Fail","Fail","Pending")),"Pending human identity confirmation")</f>
        <v>Pending human identity confirmation</v>
      </c>
      <c r="AV198" s="5" t="str">
        <f>IF(AND(AND(INDEX(Manual_Review!$G$6:$G$238,MATCH(A198,Manual_Review!$A$6:$A$238,0))&lt;&gt;"",ISNUMBER(INDEX(Manual_Review!$H$6:$H$238,MATCH(A198,Manual_Review!$A$6:$A$238,0))),INDEX(Manual_Review!$H$6:$H$238,MATCH(A198,Manual_Review!$A$6:$A$238,0))&gt;0,INDEX(Manual_Review!$I$6:$I$238,MATCH(A198,Manual_Review!$A$6:$A$238,0))="Confirmed",INDEX(Manual_Review!$AF$6:$AF$238,MATCH(A198,Manual_Review!$A$6:$A$238,0))&lt;&gt;""),INDEX(Manual_Review!$AG$6:$AG$238,MATCH(A198,Manual_Review!$A$6:$A$238,0))&lt;&gt;""),IF(INDEX(Manual_Review!$AB$6:$AB$238,MATCH(A198,Manual_Review!$A$6:$A$238,0))="Pass","Pass",IF(INDEX(Manual_Review!$AB$6:$AB$238,MATCH(A198,Manual_Review!$A$6:$A$238,0))="Fail","Fail","Pending")),"Not assessed: define intended task")</f>
        <v>Not assessed: define intended task</v>
      </c>
      <c r="AW198" s="5" t="str">
        <f>IF(AND(AND(INDEX(Manual_Review!$G$6:$G$238,MATCH(A198,Manual_Review!$A$6:$A$238,0))&lt;&gt;"",ISNUMBER(INDEX(Manual_Review!$H$6:$H$238,MATCH(A198,Manual_Review!$A$6:$A$238,0))),INDEX(Manual_Review!$H$6:$H$238,MATCH(A198,Manual_Review!$A$6:$A$238,0))&gt;0,INDEX(Manual_Review!$I$6:$I$238,MATCH(A198,Manual_Review!$A$6:$A$238,0))="Confirmed",INDEX(Manual_Review!$AF$6:$AF$238,MATCH(A198,Manual_Review!$A$6:$A$238,0))&lt;&gt;""),INDEX(Manual_Review!$AG$6:$AG$238,MATCH(A198,Manual_Review!$A$6:$A$238,0))&lt;&gt;""),IF(OR(INDEX(Manual_Review!$AC$6:$AC$238,MATCH(A198,Manual_Review!$A$6:$A$238,0))="Fail",INDEX(Manual_Review!$AD$6:$AD$238,MATCH(A198,Manual_Review!$A$6:$A$238,0))="Fail"),"Fail: rights or retrieval",IF(AND(INDEX(Manual_Review!$AC$6:$AC$238,MATCH(A198,Manual_Review!$A$6:$A$238,0))="Pass",INDEX(Manual_Review!$AD$6:$AD$238,MATCH(A198,Manual_Review!$A$6:$A$238,0))="Pass"),"Pass","Pending rights and retrieval")),"Pending rights and retrieval")</f>
        <v>Pending rights and retrieval</v>
      </c>
      <c r="AX198" s="5" t="str">
        <f>IF(INDEX(Manual_Review!$AG$6:$AG$238,MATCH(A198,Manual_Review!$A$6:$A$238,0))="","N/A: documentation inventory",IF(AND(INDEX(Manual_Review!$G$6:$G$238,MATCH(A198,Manual_Review!$A$6:$A$238,0))&lt;&gt;"",ISNUMBER(INDEX(Manual_Review!$H$6:$H$238,MATCH(A198,Manual_Review!$A$6:$A$238,0))),INDEX(Manual_Review!$H$6:$H$238,MATCH(A198,Manual_Review!$A$6:$A$238,0))&gt;0,INDEX(Manual_Review!$I$6:$I$238,MATCH(A198,Manual_Review!$A$6:$A$238,0))="Confirmed",INDEX(Manual_Review!$AF$6:$AF$238,MATCH(A198,Manual_Review!$A$6:$A$238,0))&lt;&gt;""),IF(INDEX(Manual_Review!$AE$6:$AE$238,MATCH(A198,Manual_Review!$A$6:$A$238,0))="Pass","Pass",IF(INDEX(Manual_Review!$AE$6:$AE$238,MATCH(A198,Manual_Review!$A$6:$A$238,0))="Fail","Fail: benchmark leakage",IF(INDEX(Manual_Review!$AE$6:$AE$238,MATCH(A198,Manual_Review!$A$6:$A$238,0))="N/A","N/A: nonbenchmark task","Pending task-specific leakage check"))),"Pending task-specific leakage check"))</f>
        <v>N/A: documentation inventory</v>
      </c>
      <c r="AY198" s="5" t="str">
        <f>IF(IF(D198="Unlabeled-13",AND(ABS(MCDM_Settings!$D$14-1)&lt;0.0000001,MIN(MCDM_Settings!$E$6:$E$11)&gt;=0,MCDM_Settings!$E$7=0),AND(ABS(MCDM_Settings!$B$14-1)&lt;0.0000001,MIN(MCDM_Settings!$C$6:$C$11)&gt;=0)),"Valid","Check weights")</f>
        <v>Valid</v>
      </c>
      <c r="AZ198" s="5" t="str">
        <f>IF(AND(COUNTIF(MCDM_Checks!$B$6:$B$3733,A198)=16,COUNTIF(Manual_Review!$A$6:$A$238,A198)=1),"16 keys present","Check key count")</f>
        <v>16 keys present</v>
      </c>
    </row>
    <row r="199" spans="1:52">
      <c r="A199" s="5" t="s">
        <v>2210</v>
      </c>
      <c r="B199" s="5" t="s">
        <v>2211</v>
      </c>
      <c r="C199" s="5"/>
      <c r="D199" s="5" t="s">
        <v>118</v>
      </c>
      <c r="E199" s="12">
        <f>IF(OR(AY199&lt;&gt;"Valid",AZ199&lt;&gt;"16 keys present"),"Review settings",20*(IF(ISNUMBER(AC199),AC199*IF($D199="Unlabeled-13",MCDM_Settings!$E$6,MCDM_Settings!$C$6),0)+IF(ISNUMBER(AF199),AF199*IF($D199="Unlabeled-13",MCDM_Settings!$E$7,MCDM_Settings!$C$7),0)+IF(ISNUMBER(AI199),AI199*IF($D199="Unlabeled-13",MCDM_Settings!$E$8,MCDM_Settings!$C$8),0)+IF(ISNUMBER(AL199),AL199*IF($D199="Unlabeled-13",MCDM_Settings!$E$9,MCDM_Settings!$C$9),0)+IF(ISNUMBER(AO199),AO199*IF($D199="Unlabeled-13",MCDM_Settings!$E$10,MCDM_Settings!$C$10),0)+IF(ISNUMBER(AR199),AR199*IF($D199="Unlabeled-13",MCDM_Settings!$E$11,MCDM_Settings!$C$11),0)))</f>
        <v>80.555555555555557</v>
      </c>
      <c r="F199" s="12">
        <f>IF(OR(AY199&lt;&gt;"Valid",AZ199&lt;&gt;"16 keys present"),"Review settings",20*(IF(ISNUMBER(AD199),AD199*IF($D199="Unlabeled-13",MCDM_Settings!$E$6,MCDM_Settings!$C$6),0)+IF(ISNUMBER(AG199),AG199*IF($D199="Unlabeled-13",MCDM_Settings!$E$7,MCDM_Settings!$C$7),0)+IF(ISNUMBER(AJ199),AJ199*IF($D199="Unlabeled-13",MCDM_Settings!$E$8,MCDM_Settings!$C$8),0)+IF(ISNUMBER(AM199),AM199*IF($D199="Unlabeled-13",MCDM_Settings!$E$9,MCDM_Settings!$C$9),0)+IF(ISNUMBER(AP199),AP199*IF($D199="Unlabeled-13",MCDM_Settings!$E$10,MCDM_Settings!$C$10),0)+IF(ISNUMBER(AS199),AS199*IF($D199="Unlabeled-13",MCDM_Settings!$E$11,MCDM_Settings!$C$11),0)))</f>
        <v>99.999999999999986</v>
      </c>
      <c r="G199" s="13">
        <f>IF(OR(AY199&lt;&gt;"Valid",AZ199&lt;&gt;"16 keys present"),"Review settings",1*(IF(ISNUMBER(AE199),AE199*IF($D199="Unlabeled-13",MCDM_Settings!$E$6,MCDM_Settings!$C$6),0)+IF(ISNUMBER(AH199),AH199*IF($D199="Unlabeled-13",MCDM_Settings!$E$7,MCDM_Settings!$C$7),0)+IF(ISNUMBER(AK199),AK199*IF($D199="Unlabeled-13",MCDM_Settings!$E$8,MCDM_Settings!$C$8),0)+IF(ISNUMBER(AN199),AN199*IF($D199="Unlabeled-13",MCDM_Settings!$E$9,MCDM_Settings!$C$9),0)+IF(ISNUMBER(AQ199),AQ199*IF($D199="Unlabeled-13",MCDM_Settings!$E$10,MCDM_Settings!$C$10),0)+IF(ISNUMBER(AT199),AT199*IF($D199="Unlabeled-13",MCDM_Settings!$E$11,MCDM_Settings!$C$11),0)))</f>
        <v>0.80555555555555547</v>
      </c>
      <c r="H199" s="5" t="str">
        <f>INDEX(Manual_Review!$AH$6:$AH$238,MATCH(A199,Manual_Review!$A$6:$A$238,0))</f>
        <v>Not started</v>
      </c>
      <c r="I199" s="5" t="s">
        <v>182</v>
      </c>
      <c r="J199" s="5" t="s">
        <v>2212</v>
      </c>
      <c r="K199" s="16" t="s">
        <v>4</v>
      </c>
      <c r="L199" s="5" t="str">
        <f>HYPERLINK("#'Manual_Review'!A"&amp;(MATCH("DS-194",Manual_Review!$A$6:$A$238,0)+5),"Enter review")</f>
        <v>Enter review</v>
      </c>
      <c r="M199" s="5" t="str">
        <f>INDEX(MCDM_Checks!$K$6:$K$3733,MATCH(A199&amp;"|"&amp;M$5,MCDM_Checks!$A$6:$A$3733,0))</f>
        <v>Y</v>
      </c>
      <c r="N199" s="5" t="str">
        <f>INDEX(MCDM_Checks!$K$6:$K$3733,MATCH(A199&amp;"|"&amp;N$5,MCDM_Checks!$A$6:$A$3733,0))</f>
        <v>Y</v>
      </c>
      <c r="O199" s="5" t="str">
        <f>INDEX(MCDM_Checks!$K$6:$K$3733,MATCH(A199&amp;"|"&amp;O$5,MCDM_Checks!$A$6:$A$3733,0))</f>
        <v>Y</v>
      </c>
      <c r="P199" s="5" t="str">
        <f>INDEX(MCDM_Checks!$K$6:$K$3733,MATCH(A199&amp;"|"&amp;P$5,MCDM_Checks!$A$6:$A$3733,0))</f>
        <v>Y</v>
      </c>
      <c r="Q199" s="5" t="str">
        <f>INDEX(MCDM_Checks!$K$6:$K$3733,MATCH(A199&amp;"|"&amp;Q$5,MCDM_Checks!$A$6:$A$3733,0))</f>
        <v>Y</v>
      </c>
      <c r="R199" s="5" t="str">
        <f>INDEX(MCDM_Checks!$K$6:$K$3733,MATCH(A199&amp;"|"&amp;R$5,MCDM_Checks!$A$6:$A$3733,0))</f>
        <v>U</v>
      </c>
      <c r="S199" s="5" t="str">
        <f>INDEX(MCDM_Checks!$K$6:$K$3733,MATCH(A199&amp;"|"&amp;S$5,MCDM_Checks!$A$6:$A$3733,0))</f>
        <v>U</v>
      </c>
      <c r="T199" s="5" t="str">
        <f>INDEX(MCDM_Checks!$K$6:$K$3733,MATCH(A199&amp;"|"&amp;T$5,MCDM_Checks!$A$6:$A$3733,0))</f>
        <v>Y</v>
      </c>
      <c r="U199" s="5" t="str">
        <f>INDEX(MCDM_Checks!$K$6:$K$3733,MATCH(A199&amp;"|"&amp;U$5,MCDM_Checks!$A$6:$A$3733,0))</f>
        <v>Y</v>
      </c>
      <c r="V199" s="5" t="str">
        <f>INDEX(MCDM_Checks!$K$6:$K$3733,MATCH(A199&amp;"|"&amp;V$5,MCDM_Checks!$A$6:$A$3733,0))</f>
        <v>Y</v>
      </c>
      <c r="W199" s="5" t="str">
        <f>INDEX(MCDM_Checks!$K$6:$K$3733,MATCH(A199&amp;"|"&amp;W$5,MCDM_Checks!$A$6:$A$3733,0))</f>
        <v>U</v>
      </c>
      <c r="X199" s="5" t="str">
        <f>INDEX(MCDM_Checks!$K$6:$K$3733,MATCH(A199&amp;"|"&amp;X$5,MCDM_Checks!$A$6:$A$3733,0))</f>
        <v>Y</v>
      </c>
      <c r="Y199" s="5" t="str">
        <f>INDEX(MCDM_Checks!$K$6:$K$3733,MATCH(A199&amp;"|"&amp;Y$5,MCDM_Checks!$A$6:$A$3733,0))</f>
        <v>Y</v>
      </c>
      <c r="Z199" s="5" t="str">
        <f>INDEX(MCDM_Checks!$K$6:$K$3733,MATCH(A199&amp;"|"&amp;Z$5,MCDM_Checks!$A$6:$A$3733,0))</f>
        <v>Y</v>
      </c>
      <c r="AA199" s="5" t="str">
        <f>INDEX(MCDM_Checks!$K$6:$K$3733,MATCH(A199&amp;"|"&amp;AA$5,MCDM_Checks!$A$6:$A$3733,0))</f>
        <v>Y</v>
      </c>
      <c r="AB199" s="5" t="str">
        <f>INDEX(MCDM_Checks!$K$6:$K$3733,MATCH(A199&amp;"|"&amp;AB$5,MCDM_Checks!$A$6:$A$3733,0))</f>
        <v>Y</v>
      </c>
      <c r="AC199" s="12">
        <f>IF(IF($D199="Unlabeled-13",MCDM_Settings!$F$6,MCDM_Settings!$D$6)=0,"n.a.",5*COUNTIF(M199:O199,"Y")/IF($D199="Unlabeled-13",MCDM_Settings!$F$6,MCDM_Settings!$D$6))</f>
        <v>5</v>
      </c>
      <c r="AD199" s="12">
        <f>IF(IF($D199="Unlabeled-13",MCDM_Settings!$F$6,MCDM_Settings!$D$6)=0,"n.a.",5*(COUNTIF(M199:O199,"Y")+COUNTIF(M199:O199,"U")+COUNTIF(M199:O199,"X"))/IF($D199="Unlabeled-13",MCDM_Settings!$F$6,MCDM_Settings!$D$6))</f>
        <v>5</v>
      </c>
      <c r="AE199" s="13">
        <f>IF(IF($D199="Unlabeled-13",MCDM_Settings!$F$6,MCDM_Settings!$D$6)=0,"n.a.",(COUNTIF(M199:O199,"Y")+COUNTIF(M199:O199,"N"))/IF($D199="Unlabeled-13",MCDM_Settings!$F$6,MCDM_Settings!$D$6))</f>
        <v>1</v>
      </c>
      <c r="AF199" s="12">
        <f>IF(IF($D199="Unlabeled-13",MCDM_Settings!$F$7,MCDM_Settings!$D$7)=0,"n.a.",5*COUNTIF(P199:R199,"Y")/IF($D199="Unlabeled-13",MCDM_Settings!$F$7,MCDM_Settings!$D$7))</f>
        <v>3.3333333333333335</v>
      </c>
      <c r="AG199" s="12">
        <f>IF(IF($D199="Unlabeled-13",MCDM_Settings!$F$7,MCDM_Settings!$D$7)=0,"n.a.",5*(COUNTIF(P199:R199,"Y")+COUNTIF(P199:R199,"U")+COUNTIF(P199:R199,"X"))/IF($D199="Unlabeled-13",MCDM_Settings!$F$7,MCDM_Settings!$D$7))</f>
        <v>5</v>
      </c>
      <c r="AH199" s="13">
        <f>IF(IF($D199="Unlabeled-13",MCDM_Settings!$F$7,MCDM_Settings!$D$7)=0,"n.a.",(COUNTIF(P199:R199,"Y")+COUNTIF(P199:R199,"N"))/IF($D199="Unlabeled-13",MCDM_Settings!$F$7,MCDM_Settings!$D$7))</f>
        <v>0.66666666666666663</v>
      </c>
      <c r="AI199" s="12">
        <f>IF(IF($D199="Unlabeled-13",MCDM_Settings!$F$8,MCDM_Settings!$D$8)=0,"n.a.",5*COUNTIF(S199:U199,"Y")/IF($D199="Unlabeled-13",MCDM_Settings!$F$8,MCDM_Settings!$D$8))</f>
        <v>3.3333333333333335</v>
      </c>
      <c r="AJ199" s="12">
        <f>IF(IF($D199="Unlabeled-13",MCDM_Settings!$F$8,MCDM_Settings!$D$8)=0,"n.a.",5*(COUNTIF(S199:U199,"Y")+COUNTIF(S199:U199,"U")+COUNTIF(S199:U199,"X"))/IF($D199="Unlabeled-13",MCDM_Settings!$F$8,MCDM_Settings!$D$8))</f>
        <v>5</v>
      </c>
      <c r="AK199" s="13">
        <f>IF(IF($D199="Unlabeled-13",MCDM_Settings!$F$8,MCDM_Settings!$D$8)=0,"n.a.",(COUNTIF(S199:U199,"Y")+COUNTIF(S199:U199,"N"))/IF($D199="Unlabeled-13",MCDM_Settings!$F$8,MCDM_Settings!$D$8))</f>
        <v>0.66666666666666663</v>
      </c>
      <c r="AL199" s="12">
        <f>IF(IF($D199="Unlabeled-13",MCDM_Settings!$F$9,MCDM_Settings!$D$9)=0,"n.a.",5*COUNTIF(V199:W199,"Y")/IF($D199="Unlabeled-13",MCDM_Settings!$F$9,MCDM_Settings!$D$9))</f>
        <v>2.5</v>
      </c>
      <c r="AM199" s="12">
        <f>IF(IF($D199="Unlabeled-13",MCDM_Settings!$F$9,MCDM_Settings!$D$9)=0,"n.a.",5*(COUNTIF(V199:W199,"Y")+COUNTIF(V199:W199,"U")+COUNTIF(V199:W199,"X"))/IF($D199="Unlabeled-13",MCDM_Settings!$F$9,MCDM_Settings!$D$9))</f>
        <v>5</v>
      </c>
      <c r="AN199" s="13">
        <f>IF(IF($D199="Unlabeled-13",MCDM_Settings!$F$9,MCDM_Settings!$D$9)=0,"n.a.",(COUNTIF(V199:W199,"Y")+COUNTIF(V199:W199,"N"))/IF($D199="Unlabeled-13",MCDM_Settings!$F$9,MCDM_Settings!$D$9))</f>
        <v>0.5</v>
      </c>
      <c r="AO199" s="12">
        <f>IF(IF($D199="Unlabeled-13",MCDM_Settings!$F$10,MCDM_Settings!$D$10)=0,"n.a.",5*COUNTIF(X199:Y199,"Y")/IF($D199="Unlabeled-13",MCDM_Settings!$F$10,MCDM_Settings!$D$10))</f>
        <v>5</v>
      </c>
      <c r="AP199" s="12">
        <f>IF(IF($D199="Unlabeled-13",MCDM_Settings!$F$10,MCDM_Settings!$D$10)=0,"n.a.",5*(COUNTIF(X199:Y199,"Y")+COUNTIF(X199:Y199,"U")+COUNTIF(X199:Y199,"X"))/IF($D199="Unlabeled-13",MCDM_Settings!$F$10,MCDM_Settings!$D$10))</f>
        <v>5</v>
      </c>
      <c r="AQ199" s="13">
        <f>IF(IF($D199="Unlabeled-13",MCDM_Settings!$F$10,MCDM_Settings!$D$10)=0,"n.a.",(COUNTIF(X199:Y199,"Y")+COUNTIF(X199:Y199,"N"))/IF($D199="Unlabeled-13",MCDM_Settings!$F$10,MCDM_Settings!$D$10))</f>
        <v>1</v>
      </c>
      <c r="AR199" s="12">
        <f>IF(IF($D199="Unlabeled-13",MCDM_Settings!$F$11,MCDM_Settings!$D$11)=0,"n.a.",5*COUNTIF(Z199:AB199,"Y")/IF($D199="Unlabeled-13",MCDM_Settings!$F$11,MCDM_Settings!$D$11))</f>
        <v>5</v>
      </c>
      <c r="AS199" s="12">
        <f>IF(IF($D199="Unlabeled-13",MCDM_Settings!$F$11,MCDM_Settings!$D$11)=0,"n.a.",5*(COUNTIF(Z199:AB199,"Y")+COUNTIF(Z199:AB199,"U")+COUNTIF(Z199:AB199,"X"))/IF($D199="Unlabeled-13",MCDM_Settings!$F$11,MCDM_Settings!$D$11))</f>
        <v>5</v>
      </c>
      <c r="AT199" s="13">
        <f>IF(IF($D199="Unlabeled-13",MCDM_Settings!$F$11,MCDM_Settings!$D$11)=0,"n.a.",(COUNTIF(Z199:AB199,"Y")+COUNTIF(Z199:AB199,"N"))/IF($D199="Unlabeled-13",MCDM_Settings!$F$11,MCDM_Settings!$D$11))</f>
        <v>1</v>
      </c>
      <c r="AU199" s="5" t="str">
        <f>IF(AND(INDEX(Manual_Review!$G$6:$G$238,MATCH(A199,Manual_Review!$A$6:$A$238,0))&lt;&gt;"",ISNUMBER(INDEX(Manual_Review!$H$6:$H$238,MATCH(A199,Manual_Review!$A$6:$A$238,0))),INDEX(Manual_Review!$H$6:$H$238,MATCH(A199,Manual_Review!$A$6:$A$238,0))&gt;0,INDEX(Manual_Review!$I$6:$I$238,MATCH(A199,Manual_Review!$A$6:$A$238,0))="Confirmed",INDEX(Manual_Review!$AF$6:$AF$238,MATCH(A199,Manual_Review!$A$6:$A$238,0))&lt;&gt;""),IF(INDEX(Manual_Review!$AA$6:$AA$238,MATCH(A199,Manual_Review!$A$6:$A$238,0))="Pass","Pass",IF(INDEX(Manual_Review!$AA$6:$AA$238,MATCH(A199,Manual_Review!$A$6:$A$238,0))="Fail","Fail","Pending")),"Pending human identity confirmation")</f>
        <v>Pending human identity confirmation</v>
      </c>
      <c r="AV199" s="5" t="str">
        <f>IF(AND(AND(INDEX(Manual_Review!$G$6:$G$238,MATCH(A199,Manual_Review!$A$6:$A$238,0))&lt;&gt;"",ISNUMBER(INDEX(Manual_Review!$H$6:$H$238,MATCH(A199,Manual_Review!$A$6:$A$238,0))),INDEX(Manual_Review!$H$6:$H$238,MATCH(A199,Manual_Review!$A$6:$A$238,0))&gt;0,INDEX(Manual_Review!$I$6:$I$238,MATCH(A199,Manual_Review!$A$6:$A$238,0))="Confirmed",INDEX(Manual_Review!$AF$6:$AF$238,MATCH(A199,Manual_Review!$A$6:$A$238,0))&lt;&gt;""),INDEX(Manual_Review!$AG$6:$AG$238,MATCH(A199,Manual_Review!$A$6:$A$238,0))&lt;&gt;""),IF(INDEX(Manual_Review!$AB$6:$AB$238,MATCH(A199,Manual_Review!$A$6:$A$238,0))="Pass","Pass",IF(INDEX(Manual_Review!$AB$6:$AB$238,MATCH(A199,Manual_Review!$A$6:$A$238,0))="Fail","Fail","Pending")),"Not assessed: define intended task")</f>
        <v>Not assessed: define intended task</v>
      </c>
      <c r="AW199" s="5" t="str">
        <f>IF(AND(AND(INDEX(Manual_Review!$G$6:$G$238,MATCH(A199,Manual_Review!$A$6:$A$238,0))&lt;&gt;"",ISNUMBER(INDEX(Manual_Review!$H$6:$H$238,MATCH(A199,Manual_Review!$A$6:$A$238,0))),INDEX(Manual_Review!$H$6:$H$238,MATCH(A199,Manual_Review!$A$6:$A$238,0))&gt;0,INDEX(Manual_Review!$I$6:$I$238,MATCH(A199,Manual_Review!$A$6:$A$238,0))="Confirmed",INDEX(Manual_Review!$AF$6:$AF$238,MATCH(A199,Manual_Review!$A$6:$A$238,0))&lt;&gt;""),INDEX(Manual_Review!$AG$6:$AG$238,MATCH(A199,Manual_Review!$A$6:$A$238,0))&lt;&gt;""),IF(OR(INDEX(Manual_Review!$AC$6:$AC$238,MATCH(A199,Manual_Review!$A$6:$A$238,0))="Fail",INDEX(Manual_Review!$AD$6:$AD$238,MATCH(A199,Manual_Review!$A$6:$A$238,0))="Fail"),"Fail: rights or retrieval",IF(AND(INDEX(Manual_Review!$AC$6:$AC$238,MATCH(A199,Manual_Review!$A$6:$A$238,0))="Pass",INDEX(Manual_Review!$AD$6:$AD$238,MATCH(A199,Manual_Review!$A$6:$A$238,0))="Pass"),"Pass","Pending rights and retrieval")),"Pending rights and retrieval")</f>
        <v>Pending rights and retrieval</v>
      </c>
      <c r="AX199" s="5" t="str">
        <f>IF(INDEX(Manual_Review!$AG$6:$AG$238,MATCH(A199,Manual_Review!$A$6:$A$238,0))="","N/A: documentation inventory",IF(AND(INDEX(Manual_Review!$G$6:$G$238,MATCH(A199,Manual_Review!$A$6:$A$238,0))&lt;&gt;"",ISNUMBER(INDEX(Manual_Review!$H$6:$H$238,MATCH(A199,Manual_Review!$A$6:$A$238,0))),INDEX(Manual_Review!$H$6:$H$238,MATCH(A199,Manual_Review!$A$6:$A$238,0))&gt;0,INDEX(Manual_Review!$I$6:$I$238,MATCH(A199,Manual_Review!$A$6:$A$238,0))="Confirmed",INDEX(Manual_Review!$AF$6:$AF$238,MATCH(A199,Manual_Review!$A$6:$A$238,0))&lt;&gt;""),IF(INDEX(Manual_Review!$AE$6:$AE$238,MATCH(A199,Manual_Review!$A$6:$A$238,0))="Pass","Pass",IF(INDEX(Manual_Review!$AE$6:$AE$238,MATCH(A199,Manual_Review!$A$6:$A$238,0))="Fail","Fail: benchmark leakage",IF(INDEX(Manual_Review!$AE$6:$AE$238,MATCH(A199,Manual_Review!$A$6:$A$238,0))="N/A","N/A: nonbenchmark task","Pending task-specific leakage check"))),"Pending task-specific leakage check"))</f>
        <v>N/A: documentation inventory</v>
      </c>
      <c r="AY199" s="5" t="str">
        <f>IF(IF(D199="Unlabeled-13",AND(ABS(MCDM_Settings!$D$14-1)&lt;0.0000001,MIN(MCDM_Settings!$E$6:$E$11)&gt;=0,MCDM_Settings!$E$7=0),AND(ABS(MCDM_Settings!$B$14-1)&lt;0.0000001,MIN(MCDM_Settings!$C$6:$C$11)&gt;=0)),"Valid","Check weights")</f>
        <v>Valid</v>
      </c>
      <c r="AZ199" s="5" t="str">
        <f>IF(AND(COUNTIF(MCDM_Checks!$B$6:$B$3733,A199)=16,COUNTIF(Manual_Review!$A$6:$A$238,A199)=1),"16 keys present","Check key count")</f>
        <v>16 keys present</v>
      </c>
    </row>
    <row r="200" spans="1:52">
      <c r="A200" s="5" t="s">
        <v>2223</v>
      </c>
      <c r="B200" s="5" t="s">
        <v>2224</v>
      </c>
      <c r="C200" s="5"/>
      <c r="D200" s="5" t="s">
        <v>118</v>
      </c>
      <c r="E200" s="12">
        <f>IF(OR(AY200&lt;&gt;"Valid",AZ200&lt;&gt;"16 keys present"),"Review settings",20*(IF(ISNUMBER(AC200),AC200*IF($D200="Unlabeled-13",MCDM_Settings!$E$6,MCDM_Settings!$C$6),0)+IF(ISNUMBER(AF200),AF200*IF($D200="Unlabeled-13",MCDM_Settings!$E$7,MCDM_Settings!$C$7),0)+IF(ISNUMBER(AI200),AI200*IF($D200="Unlabeled-13",MCDM_Settings!$E$8,MCDM_Settings!$C$8),0)+IF(ISNUMBER(AL200),AL200*IF($D200="Unlabeled-13",MCDM_Settings!$E$9,MCDM_Settings!$C$9),0)+IF(ISNUMBER(AO200),AO200*IF($D200="Unlabeled-13",MCDM_Settings!$E$10,MCDM_Settings!$C$10),0)+IF(ISNUMBER(AR200),AR200*IF($D200="Unlabeled-13",MCDM_Settings!$E$11,MCDM_Settings!$C$11),0)))</f>
        <v>52.777777777777771</v>
      </c>
      <c r="F200" s="12">
        <f>IF(OR(AY200&lt;&gt;"Valid",AZ200&lt;&gt;"16 keys present"),"Review settings",20*(IF(ISNUMBER(AD200),AD200*IF($D200="Unlabeled-13",MCDM_Settings!$E$6,MCDM_Settings!$C$6),0)+IF(ISNUMBER(AG200),AG200*IF($D200="Unlabeled-13",MCDM_Settings!$E$7,MCDM_Settings!$C$7),0)+IF(ISNUMBER(AJ200),AJ200*IF($D200="Unlabeled-13",MCDM_Settings!$E$8,MCDM_Settings!$C$8),0)+IF(ISNUMBER(AM200),AM200*IF($D200="Unlabeled-13",MCDM_Settings!$E$9,MCDM_Settings!$C$9),0)+IF(ISNUMBER(AP200),AP200*IF($D200="Unlabeled-13",MCDM_Settings!$E$10,MCDM_Settings!$C$10),0)+IF(ISNUMBER(AS200),AS200*IF($D200="Unlabeled-13",MCDM_Settings!$E$11,MCDM_Settings!$C$11),0)))</f>
        <v>99.999999999999986</v>
      </c>
      <c r="G200" s="13">
        <f>IF(OR(AY200&lt;&gt;"Valid",AZ200&lt;&gt;"16 keys present"),"Review settings",1*(IF(ISNUMBER(AE200),AE200*IF($D200="Unlabeled-13",MCDM_Settings!$E$6,MCDM_Settings!$C$6),0)+IF(ISNUMBER(AH200),AH200*IF($D200="Unlabeled-13",MCDM_Settings!$E$7,MCDM_Settings!$C$7),0)+IF(ISNUMBER(AK200),AK200*IF($D200="Unlabeled-13",MCDM_Settings!$E$8,MCDM_Settings!$C$8),0)+IF(ISNUMBER(AN200),AN200*IF($D200="Unlabeled-13",MCDM_Settings!$E$9,MCDM_Settings!$C$9),0)+IF(ISNUMBER(AQ200),AQ200*IF($D200="Unlabeled-13",MCDM_Settings!$E$10,MCDM_Settings!$C$10),0)+IF(ISNUMBER(AT200),AT200*IF($D200="Unlabeled-13",MCDM_Settings!$E$11,MCDM_Settings!$C$11),0)))</f>
        <v>0.52777777777777779</v>
      </c>
      <c r="H200" s="5" t="str">
        <f>INDEX(Manual_Review!$AH$6:$AH$238,MATCH(A200,Manual_Review!$A$6:$A$238,0))</f>
        <v>Not started</v>
      </c>
      <c r="I200" s="5" t="s">
        <v>182</v>
      </c>
      <c r="J200" s="5" t="s">
        <v>2225</v>
      </c>
      <c r="K200" s="5" t="str">
        <f>HYPERLINK("https://www.mapillary.com/dataset/vistas","Dataset")</f>
        <v>Dataset</v>
      </c>
      <c r="L200" s="5" t="str">
        <f>HYPERLINK("#'Manual_Review'!A"&amp;(MATCH("DS-195",Manual_Review!$A$6:$A$238,0)+5),"Enter review")</f>
        <v>Enter review</v>
      </c>
      <c r="M200" s="5" t="str">
        <f>INDEX(MCDM_Checks!$K$6:$K$3733,MATCH(A200&amp;"|"&amp;M$5,MCDM_Checks!$A$6:$A$3733,0))</f>
        <v>Y</v>
      </c>
      <c r="N200" s="5" t="str">
        <f>INDEX(MCDM_Checks!$K$6:$K$3733,MATCH(A200&amp;"|"&amp;N$5,MCDM_Checks!$A$6:$A$3733,0))</f>
        <v>Y</v>
      </c>
      <c r="O200" s="5" t="str">
        <f>INDEX(MCDM_Checks!$K$6:$K$3733,MATCH(A200&amp;"|"&amp;O$5,MCDM_Checks!$A$6:$A$3733,0))</f>
        <v>U</v>
      </c>
      <c r="P200" s="5" t="str">
        <f>INDEX(MCDM_Checks!$K$6:$K$3733,MATCH(A200&amp;"|"&amp;P$5,MCDM_Checks!$A$6:$A$3733,0))</f>
        <v>Y</v>
      </c>
      <c r="Q200" s="5" t="str">
        <f>INDEX(MCDM_Checks!$K$6:$K$3733,MATCH(A200&amp;"|"&amp;Q$5,MCDM_Checks!$A$6:$A$3733,0))</f>
        <v>U</v>
      </c>
      <c r="R200" s="5" t="str">
        <f>INDEX(MCDM_Checks!$K$6:$K$3733,MATCH(A200&amp;"|"&amp;R$5,MCDM_Checks!$A$6:$A$3733,0))</f>
        <v>U</v>
      </c>
      <c r="S200" s="5" t="str">
        <f>INDEX(MCDM_Checks!$K$6:$K$3733,MATCH(A200&amp;"|"&amp;S$5,MCDM_Checks!$A$6:$A$3733,0))</f>
        <v>U</v>
      </c>
      <c r="T200" s="5" t="str">
        <f>INDEX(MCDM_Checks!$K$6:$K$3733,MATCH(A200&amp;"|"&amp;T$5,MCDM_Checks!$A$6:$A$3733,0))</f>
        <v>Y</v>
      </c>
      <c r="U200" s="5" t="str">
        <f>INDEX(MCDM_Checks!$K$6:$K$3733,MATCH(A200&amp;"|"&amp;U$5,MCDM_Checks!$A$6:$A$3733,0))</f>
        <v>Y</v>
      </c>
      <c r="V200" s="5" t="str">
        <f>INDEX(MCDM_Checks!$K$6:$K$3733,MATCH(A200&amp;"|"&amp;V$5,MCDM_Checks!$A$6:$A$3733,0))</f>
        <v>Y</v>
      </c>
      <c r="W200" s="5" t="str">
        <f>INDEX(MCDM_Checks!$K$6:$K$3733,MATCH(A200&amp;"|"&amp;W$5,MCDM_Checks!$A$6:$A$3733,0))</f>
        <v>U</v>
      </c>
      <c r="X200" s="5" t="str">
        <f>INDEX(MCDM_Checks!$K$6:$K$3733,MATCH(A200&amp;"|"&amp;X$5,MCDM_Checks!$A$6:$A$3733,0))</f>
        <v>Y</v>
      </c>
      <c r="Y200" s="5" t="str">
        <f>INDEX(MCDM_Checks!$K$6:$K$3733,MATCH(A200&amp;"|"&amp;Y$5,MCDM_Checks!$A$6:$A$3733,0))</f>
        <v>Y</v>
      </c>
      <c r="Z200" s="5" t="str">
        <f>INDEX(MCDM_Checks!$K$6:$K$3733,MATCH(A200&amp;"|"&amp;Z$5,MCDM_Checks!$A$6:$A$3733,0))</f>
        <v>U</v>
      </c>
      <c r="AA200" s="5" t="str">
        <f>INDEX(MCDM_Checks!$K$6:$K$3733,MATCH(A200&amp;"|"&amp;AA$5,MCDM_Checks!$A$6:$A$3733,0))</f>
        <v>U</v>
      </c>
      <c r="AB200" s="5" t="str">
        <f>INDEX(MCDM_Checks!$K$6:$K$3733,MATCH(A200&amp;"|"&amp;AB$5,MCDM_Checks!$A$6:$A$3733,0))</f>
        <v>U</v>
      </c>
      <c r="AC200" s="12">
        <f>IF(IF($D200="Unlabeled-13",MCDM_Settings!$F$6,MCDM_Settings!$D$6)=0,"n.a.",5*COUNTIF(M200:O200,"Y")/IF($D200="Unlabeled-13",MCDM_Settings!$F$6,MCDM_Settings!$D$6))</f>
        <v>3.3333333333333335</v>
      </c>
      <c r="AD200" s="12">
        <f>IF(IF($D200="Unlabeled-13",MCDM_Settings!$F$6,MCDM_Settings!$D$6)=0,"n.a.",5*(COUNTIF(M200:O200,"Y")+COUNTIF(M200:O200,"U")+COUNTIF(M200:O200,"X"))/IF($D200="Unlabeled-13",MCDM_Settings!$F$6,MCDM_Settings!$D$6))</f>
        <v>5</v>
      </c>
      <c r="AE200" s="13">
        <f>IF(IF($D200="Unlabeled-13",MCDM_Settings!$F$6,MCDM_Settings!$D$6)=0,"n.a.",(COUNTIF(M200:O200,"Y")+COUNTIF(M200:O200,"N"))/IF($D200="Unlabeled-13",MCDM_Settings!$F$6,MCDM_Settings!$D$6))</f>
        <v>0.66666666666666663</v>
      </c>
      <c r="AF200" s="12">
        <f>IF(IF($D200="Unlabeled-13",MCDM_Settings!$F$7,MCDM_Settings!$D$7)=0,"n.a.",5*COUNTIF(P200:R200,"Y")/IF($D200="Unlabeled-13",MCDM_Settings!$F$7,MCDM_Settings!$D$7))</f>
        <v>1.6666666666666667</v>
      </c>
      <c r="AG200" s="12">
        <f>IF(IF($D200="Unlabeled-13",MCDM_Settings!$F$7,MCDM_Settings!$D$7)=0,"n.a.",5*(COUNTIF(P200:R200,"Y")+COUNTIF(P200:R200,"U")+COUNTIF(P200:R200,"X"))/IF($D200="Unlabeled-13",MCDM_Settings!$F$7,MCDM_Settings!$D$7))</f>
        <v>5</v>
      </c>
      <c r="AH200" s="13">
        <f>IF(IF($D200="Unlabeled-13",MCDM_Settings!$F$7,MCDM_Settings!$D$7)=0,"n.a.",(COUNTIF(P200:R200,"Y")+COUNTIF(P200:R200,"N"))/IF($D200="Unlabeled-13",MCDM_Settings!$F$7,MCDM_Settings!$D$7))</f>
        <v>0.33333333333333331</v>
      </c>
      <c r="AI200" s="12">
        <f>IF(IF($D200="Unlabeled-13",MCDM_Settings!$F$8,MCDM_Settings!$D$8)=0,"n.a.",5*COUNTIF(S200:U200,"Y")/IF($D200="Unlabeled-13",MCDM_Settings!$F$8,MCDM_Settings!$D$8))</f>
        <v>3.3333333333333335</v>
      </c>
      <c r="AJ200" s="12">
        <f>IF(IF($D200="Unlabeled-13",MCDM_Settings!$F$8,MCDM_Settings!$D$8)=0,"n.a.",5*(COUNTIF(S200:U200,"Y")+COUNTIF(S200:U200,"U")+COUNTIF(S200:U200,"X"))/IF($D200="Unlabeled-13",MCDM_Settings!$F$8,MCDM_Settings!$D$8))</f>
        <v>5</v>
      </c>
      <c r="AK200" s="13">
        <f>IF(IF($D200="Unlabeled-13",MCDM_Settings!$F$8,MCDM_Settings!$D$8)=0,"n.a.",(COUNTIF(S200:U200,"Y")+COUNTIF(S200:U200,"N"))/IF($D200="Unlabeled-13",MCDM_Settings!$F$8,MCDM_Settings!$D$8))</f>
        <v>0.66666666666666663</v>
      </c>
      <c r="AL200" s="12">
        <f>IF(IF($D200="Unlabeled-13",MCDM_Settings!$F$9,MCDM_Settings!$D$9)=0,"n.a.",5*COUNTIF(V200:W200,"Y")/IF($D200="Unlabeled-13",MCDM_Settings!$F$9,MCDM_Settings!$D$9))</f>
        <v>2.5</v>
      </c>
      <c r="AM200" s="12">
        <f>IF(IF($D200="Unlabeled-13",MCDM_Settings!$F$9,MCDM_Settings!$D$9)=0,"n.a.",5*(COUNTIF(V200:W200,"Y")+COUNTIF(V200:W200,"U")+COUNTIF(V200:W200,"X"))/IF($D200="Unlabeled-13",MCDM_Settings!$F$9,MCDM_Settings!$D$9))</f>
        <v>5</v>
      </c>
      <c r="AN200" s="13">
        <f>IF(IF($D200="Unlabeled-13",MCDM_Settings!$F$9,MCDM_Settings!$D$9)=0,"n.a.",(COUNTIF(V200:W200,"Y")+COUNTIF(V200:W200,"N"))/IF($D200="Unlabeled-13",MCDM_Settings!$F$9,MCDM_Settings!$D$9))</f>
        <v>0.5</v>
      </c>
      <c r="AO200" s="12">
        <f>IF(IF($D200="Unlabeled-13",MCDM_Settings!$F$10,MCDM_Settings!$D$10)=0,"n.a.",5*COUNTIF(X200:Y200,"Y")/IF($D200="Unlabeled-13",MCDM_Settings!$F$10,MCDM_Settings!$D$10))</f>
        <v>5</v>
      </c>
      <c r="AP200" s="12">
        <f>IF(IF($D200="Unlabeled-13",MCDM_Settings!$F$10,MCDM_Settings!$D$10)=0,"n.a.",5*(COUNTIF(X200:Y200,"Y")+COUNTIF(X200:Y200,"U")+COUNTIF(X200:Y200,"X"))/IF($D200="Unlabeled-13",MCDM_Settings!$F$10,MCDM_Settings!$D$10))</f>
        <v>5</v>
      </c>
      <c r="AQ200" s="13">
        <f>IF(IF($D200="Unlabeled-13",MCDM_Settings!$F$10,MCDM_Settings!$D$10)=0,"n.a.",(COUNTIF(X200:Y200,"Y")+COUNTIF(X200:Y200,"N"))/IF($D200="Unlabeled-13",MCDM_Settings!$F$10,MCDM_Settings!$D$10))</f>
        <v>1</v>
      </c>
      <c r="AR200" s="12">
        <f>IF(IF($D200="Unlabeled-13",MCDM_Settings!$F$11,MCDM_Settings!$D$11)=0,"n.a.",5*COUNTIF(Z200:AB200,"Y")/IF($D200="Unlabeled-13",MCDM_Settings!$F$11,MCDM_Settings!$D$11))</f>
        <v>0</v>
      </c>
      <c r="AS200" s="12">
        <f>IF(IF($D200="Unlabeled-13",MCDM_Settings!$F$11,MCDM_Settings!$D$11)=0,"n.a.",5*(COUNTIF(Z200:AB200,"Y")+COUNTIF(Z200:AB200,"U")+COUNTIF(Z200:AB200,"X"))/IF($D200="Unlabeled-13",MCDM_Settings!$F$11,MCDM_Settings!$D$11))</f>
        <v>5</v>
      </c>
      <c r="AT200" s="13">
        <f>IF(IF($D200="Unlabeled-13",MCDM_Settings!$F$11,MCDM_Settings!$D$11)=0,"n.a.",(COUNTIF(Z200:AB200,"Y")+COUNTIF(Z200:AB200,"N"))/IF($D200="Unlabeled-13",MCDM_Settings!$F$11,MCDM_Settings!$D$11))</f>
        <v>0</v>
      </c>
      <c r="AU200" s="5" t="str">
        <f>IF(AND(INDEX(Manual_Review!$G$6:$G$238,MATCH(A200,Manual_Review!$A$6:$A$238,0))&lt;&gt;"",ISNUMBER(INDEX(Manual_Review!$H$6:$H$238,MATCH(A200,Manual_Review!$A$6:$A$238,0))),INDEX(Manual_Review!$H$6:$H$238,MATCH(A200,Manual_Review!$A$6:$A$238,0))&gt;0,INDEX(Manual_Review!$I$6:$I$238,MATCH(A200,Manual_Review!$A$6:$A$238,0))="Confirmed",INDEX(Manual_Review!$AF$6:$AF$238,MATCH(A200,Manual_Review!$A$6:$A$238,0))&lt;&gt;""),IF(INDEX(Manual_Review!$AA$6:$AA$238,MATCH(A200,Manual_Review!$A$6:$A$238,0))="Pass","Pass",IF(INDEX(Manual_Review!$AA$6:$AA$238,MATCH(A200,Manual_Review!$A$6:$A$238,0))="Fail","Fail","Pending")),"Pending human identity confirmation")</f>
        <v>Pending human identity confirmation</v>
      </c>
      <c r="AV200" s="5" t="str">
        <f>IF(AND(AND(INDEX(Manual_Review!$G$6:$G$238,MATCH(A200,Manual_Review!$A$6:$A$238,0))&lt;&gt;"",ISNUMBER(INDEX(Manual_Review!$H$6:$H$238,MATCH(A200,Manual_Review!$A$6:$A$238,0))),INDEX(Manual_Review!$H$6:$H$238,MATCH(A200,Manual_Review!$A$6:$A$238,0))&gt;0,INDEX(Manual_Review!$I$6:$I$238,MATCH(A200,Manual_Review!$A$6:$A$238,0))="Confirmed",INDEX(Manual_Review!$AF$6:$AF$238,MATCH(A200,Manual_Review!$A$6:$A$238,0))&lt;&gt;""),INDEX(Manual_Review!$AG$6:$AG$238,MATCH(A200,Manual_Review!$A$6:$A$238,0))&lt;&gt;""),IF(INDEX(Manual_Review!$AB$6:$AB$238,MATCH(A200,Manual_Review!$A$6:$A$238,0))="Pass","Pass",IF(INDEX(Manual_Review!$AB$6:$AB$238,MATCH(A200,Manual_Review!$A$6:$A$238,0))="Fail","Fail","Pending")),"Not assessed: define intended task")</f>
        <v>Not assessed: define intended task</v>
      </c>
      <c r="AW200" s="5" t="str">
        <f>IF(AND(AND(INDEX(Manual_Review!$G$6:$G$238,MATCH(A200,Manual_Review!$A$6:$A$238,0))&lt;&gt;"",ISNUMBER(INDEX(Manual_Review!$H$6:$H$238,MATCH(A200,Manual_Review!$A$6:$A$238,0))),INDEX(Manual_Review!$H$6:$H$238,MATCH(A200,Manual_Review!$A$6:$A$238,0))&gt;0,INDEX(Manual_Review!$I$6:$I$238,MATCH(A200,Manual_Review!$A$6:$A$238,0))="Confirmed",INDEX(Manual_Review!$AF$6:$AF$238,MATCH(A200,Manual_Review!$A$6:$A$238,0))&lt;&gt;""),INDEX(Manual_Review!$AG$6:$AG$238,MATCH(A200,Manual_Review!$A$6:$A$238,0))&lt;&gt;""),IF(OR(INDEX(Manual_Review!$AC$6:$AC$238,MATCH(A200,Manual_Review!$A$6:$A$238,0))="Fail",INDEX(Manual_Review!$AD$6:$AD$238,MATCH(A200,Manual_Review!$A$6:$A$238,0))="Fail"),"Fail: rights or retrieval",IF(AND(INDEX(Manual_Review!$AC$6:$AC$238,MATCH(A200,Manual_Review!$A$6:$A$238,0))="Pass",INDEX(Manual_Review!$AD$6:$AD$238,MATCH(A200,Manual_Review!$A$6:$A$238,0))="Pass"),"Pass","Pending rights and retrieval")),"Pending rights and retrieval")</f>
        <v>Pending rights and retrieval</v>
      </c>
      <c r="AX200" s="5" t="str">
        <f>IF(INDEX(Manual_Review!$AG$6:$AG$238,MATCH(A200,Manual_Review!$A$6:$A$238,0))="","N/A: documentation inventory",IF(AND(INDEX(Manual_Review!$G$6:$G$238,MATCH(A200,Manual_Review!$A$6:$A$238,0))&lt;&gt;"",ISNUMBER(INDEX(Manual_Review!$H$6:$H$238,MATCH(A200,Manual_Review!$A$6:$A$238,0))),INDEX(Manual_Review!$H$6:$H$238,MATCH(A200,Manual_Review!$A$6:$A$238,0))&gt;0,INDEX(Manual_Review!$I$6:$I$238,MATCH(A200,Manual_Review!$A$6:$A$238,0))="Confirmed",INDEX(Manual_Review!$AF$6:$AF$238,MATCH(A200,Manual_Review!$A$6:$A$238,0))&lt;&gt;""),IF(INDEX(Manual_Review!$AE$6:$AE$238,MATCH(A200,Manual_Review!$A$6:$A$238,0))="Pass","Pass",IF(INDEX(Manual_Review!$AE$6:$AE$238,MATCH(A200,Manual_Review!$A$6:$A$238,0))="Fail","Fail: benchmark leakage",IF(INDEX(Manual_Review!$AE$6:$AE$238,MATCH(A200,Manual_Review!$A$6:$A$238,0))="N/A","N/A: nonbenchmark task","Pending task-specific leakage check"))),"Pending task-specific leakage check"))</f>
        <v>N/A: documentation inventory</v>
      </c>
      <c r="AY200" s="5" t="str">
        <f>IF(IF(D200="Unlabeled-13",AND(ABS(MCDM_Settings!$D$14-1)&lt;0.0000001,MIN(MCDM_Settings!$E$6:$E$11)&gt;=0,MCDM_Settings!$E$7=0),AND(ABS(MCDM_Settings!$B$14-1)&lt;0.0000001,MIN(MCDM_Settings!$C$6:$C$11)&gt;=0)),"Valid","Check weights")</f>
        <v>Valid</v>
      </c>
      <c r="AZ200" s="5" t="str">
        <f>IF(AND(COUNTIF(MCDM_Checks!$B$6:$B$3733,A200)=16,COUNTIF(Manual_Review!$A$6:$A$238,A200)=1),"16 keys present","Check key count")</f>
        <v>16 keys present</v>
      </c>
    </row>
    <row r="201" spans="1:52">
      <c r="A201" s="5" t="s">
        <v>2238</v>
      </c>
      <c r="B201" s="5" t="s">
        <v>2239</v>
      </c>
      <c r="C201" s="5"/>
      <c r="D201" s="5" t="s">
        <v>118</v>
      </c>
      <c r="E201" s="12">
        <f>IF(OR(AY201&lt;&gt;"Valid",AZ201&lt;&gt;"16 keys present"),"Review settings",20*(IF(ISNUMBER(AC201),AC201*IF($D201="Unlabeled-13",MCDM_Settings!$E$6,MCDM_Settings!$C$6),0)+IF(ISNUMBER(AF201),AF201*IF($D201="Unlabeled-13",MCDM_Settings!$E$7,MCDM_Settings!$C$7),0)+IF(ISNUMBER(AI201),AI201*IF($D201="Unlabeled-13",MCDM_Settings!$E$8,MCDM_Settings!$C$8),0)+IF(ISNUMBER(AL201),AL201*IF($D201="Unlabeled-13",MCDM_Settings!$E$9,MCDM_Settings!$C$9),0)+IF(ISNUMBER(AO201),AO201*IF($D201="Unlabeled-13",MCDM_Settings!$E$10,MCDM_Settings!$C$10),0)+IF(ISNUMBER(AR201),AR201*IF($D201="Unlabeled-13",MCDM_Settings!$E$11,MCDM_Settings!$C$11),0)))</f>
        <v>75</v>
      </c>
      <c r="F201" s="12">
        <f>IF(OR(AY201&lt;&gt;"Valid",AZ201&lt;&gt;"16 keys present"),"Review settings",20*(IF(ISNUMBER(AD201),AD201*IF($D201="Unlabeled-13",MCDM_Settings!$E$6,MCDM_Settings!$C$6),0)+IF(ISNUMBER(AG201),AG201*IF($D201="Unlabeled-13",MCDM_Settings!$E$7,MCDM_Settings!$C$7),0)+IF(ISNUMBER(AJ201),AJ201*IF($D201="Unlabeled-13",MCDM_Settings!$E$8,MCDM_Settings!$C$8),0)+IF(ISNUMBER(AM201),AM201*IF($D201="Unlabeled-13",MCDM_Settings!$E$9,MCDM_Settings!$C$9),0)+IF(ISNUMBER(AP201),AP201*IF($D201="Unlabeled-13",MCDM_Settings!$E$10,MCDM_Settings!$C$10),0)+IF(ISNUMBER(AS201),AS201*IF($D201="Unlabeled-13",MCDM_Settings!$E$11,MCDM_Settings!$C$11),0)))</f>
        <v>99.999999999999986</v>
      </c>
      <c r="G201" s="13">
        <f>IF(OR(AY201&lt;&gt;"Valid",AZ201&lt;&gt;"16 keys present"),"Review settings",1*(IF(ISNUMBER(AE201),AE201*IF($D201="Unlabeled-13",MCDM_Settings!$E$6,MCDM_Settings!$C$6),0)+IF(ISNUMBER(AH201),AH201*IF($D201="Unlabeled-13",MCDM_Settings!$E$7,MCDM_Settings!$C$7),0)+IF(ISNUMBER(AK201),AK201*IF($D201="Unlabeled-13",MCDM_Settings!$E$8,MCDM_Settings!$C$8),0)+IF(ISNUMBER(AN201),AN201*IF($D201="Unlabeled-13",MCDM_Settings!$E$9,MCDM_Settings!$C$9),0)+IF(ISNUMBER(AQ201),AQ201*IF($D201="Unlabeled-13",MCDM_Settings!$E$10,MCDM_Settings!$C$10),0)+IF(ISNUMBER(AT201),AT201*IF($D201="Unlabeled-13",MCDM_Settings!$E$11,MCDM_Settings!$C$11),0)))</f>
        <v>0.75</v>
      </c>
      <c r="H201" s="5" t="str">
        <f>INDEX(Manual_Review!$AH$6:$AH$238,MATCH(A201,Manual_Review!$A$6:$A$238,0))</f>
        <v>Not started</v>
      </c>
      <c r="I201" s="5" t="s">
        <v>182</v>
      </c>
      <c r="J201" s="5" t="s">
        <v>2240</v>
      </c>
      <c r="K201" s="5" t="str">
        <f>HYPERLINK("https://zenodo.org/records/11449977","Dataset")</f>
        <v>Dataset</v>
      </c>
      <c r="L201" s="5" t="str">
        <f>HYPERLINK("#'Manual_Review'!A"&amp;(MATCH("DS-196",Manual_Review!$A$6:$A$238,0)+5),"Enter review")</f>
        <v>Enter review</v>
      </c>
      <c r="M201" s="5" t="str">
        <f>INDEX(MCDM_Checks!$K$6:$K$3733,MATCH(A201&amp;"|"&amp;M$5,MCDM_Checks!$A$6:$A$3733,0))</f>
        <v>Y</v>
      </c>
      <c r="N201" s="5" t="str">
        <f>INDEX(MCDM_Checks!$K$6:$K$3733,MATCH(A201&amp;"|"&amp;N$5,MCDM_Checks!$A$6:$A$3733,0))</f>
        <v>Y</v>
      </c>
      <c r="O201" s="5" t="str">
        <f>INDEX(MCDM_Checks!$K$6:$K$3733,MATCH(A201&amp;"|"&amp;O$5,MCDM_Checks!$A$6:$A$3733,0))</f>
        <v>Y</v>
      </c>
      <c r="P201" s="5" t="str">
        <f>INDEX(MCDM_Checks!$K$6:$K$3733,MATCH(A201&amp;"|"&amp;P$5,MCDM_Checks!$A$6:$A$3733,0))</f>
        <v>Y</v>
      </c>
      <c r="Q201" s="5" t="str">
        <f>INDEX(MCDM_Checks!$K$6:$K$3733,MATCH(A201&amp;"|"&amp;Q$5,MCDM_Checks!$A$6:$A$3733,0))</f>
        <v>Y</v>
      </c>
      <c r="R201" s="5" t="str">
        <f>INDEX(MCDM_Checks!$K$6:$K$3733,MATCH(A201&amp;"|"&amp;R$5,MCDM_Checks!$A$6:$A$3733,0))</f>
        <v>U</v>
      </c>
      <c r="S201" s="5" t="str">
        <f>INDEX(MCDM_Checks!$K$6:$K$3733,MATCH(A201&amp;"|"&amp;S$5,MCDM_Checks!$A$6:$A$3733,0))</f>
        <v>Y</v>
      </c>
      <c r="T201" s="5" t="str">
        <f>INDEX(MCDM_Checks!$K$6:$K$3733,MATCH(A201&amp;"|"&amp;T$5,MCDM_Checks!$A$6:$A$3733,0))</f>
        <v>Y</v>
      </c>
      <c r="U201" s="5" t="str">
        <f>INDEX(MCDM_Checks!$K$6:$K$3733,MATCH(A201&amp;"|"&amp;U$5,MCDM_Checks!$A$6:$A$3733,0))</f>
        <v>Y</v>
      </c>
      <c r="V201" s="5" t="str">
        <f>INDEX(MCDM_Checks!$K$6:$K$3733,MATCH(A201&amp;"|"&amp;V$5,MCDM_Checks!$A$6:$A$3733,0))</f>
        <v>Y</v>
      </c>
      <c r="W201" s="5" t="str">
        <f>INDEX(MCDM_Checks!$K$6:$K$3733,MATCH(A201&amp;"|"&amp;W$5,MCDM_Checks!$A$6:$A$3733,0))</f>
        <v>U</v>
      </c>
      <c r="X201" s="5" t="str">
        <f>INDEX(MCDM_Checks!$K$6:$K$3733,MATCH(A201&amp;"|"&amp;X$5,MCDM_Checks!$A$6:$A$3733,0))</f>
        <v>Y</v>
      </c>
      <c r="Y201" s="5" t="str">
        <f>INDEX(MCDM_Checks!$K$6:$K$3733,MATCH(A201&amp;"|"&amp;Y$5,MCDM_Checks!$A$6:$A$3733,0))</f>
        <v>Y</v>
      </c>
      <c r="Z201" s="5" t="str">
        <f>INDEX(MCDM_Checks!$K$6:$K$3733,MATCH(A201&amp;"|"&amp;Z$5,MCDM_Checks!$A$6:$A$3733,0))</f>
        <v>Y</v>
      </c>
      <c r="AA201" s="5" t="str">
        <f>INDEX(MCDM_Checks!$K$6:$K$3733,MATCH(A201&amp;"|"&amp;AA$5,MCDM_Checks!$A$6:$A$3733,0))</f>
        <v>U</v>
      </c>
      <c r="AB201" s="5" t="str">
        <f>INDEX(MCDM_Checks!$K$6:$K$3733,MATCH(A201&amp;"|"&amp;AB$5,MCDM_Checks!$A$6:$A$3733,0))</f>
        <v>U</v>
      </c>
      <c r="AC201" s="12">
        <f>IF(IF($D201="Unlabeled-13",MCDM_Settings!$F$6,MCDM_Settings!$D$6)=0,"n.a.",5*COUNTIF(M201:O201,"Y")/IF($D201="Unlabeled-13",MCDM_Settings!$F$6,MCDM_Settings!$D$6))</f>
        <v>5</v>
      </c>
      <c r="AD201" s="12">
        <f>IF(IF($D201="Unlabeled-13",MCDM_Settings!$F$6,MCDM_Settings!$D$6)=0,"n.a.",5*(COUNTIF(M201:O201,"Y")+COUNTIF(M201:O201,"U")+COUNTIF(M201:O201,"X"))/IF($D201="Unlabeled-13",MCDM_Settings!$F$6,MCDM_Settings!$D$6))</f>
        <v>5</v>
      </c>
      <c r="AE201" s="13">
        <f>IF(IF($D201="Unlabeled-13",MCDM_Settings!$F$6,MCDM_Settings!$D$6)=0,"n.a.",(COUNTIF(M201:O201,"Y")+COUNTIF(M201:O201,"N"))/IF($D201="Unlabeled-13",MCDM_Settings!$F$6,MCDM_Settings!$D$6))</f>
        <v>1</v>
      </c>
      <c r="AF201" s="12">
        <f>IF(IF($D201="Unlabeled-13",MCDM_Settings!$F$7,MCDM_Settings!$D$7)=0,"n.a.",5*COUNTIF(P201:R201,"Y")/IF($D201="Unlabeled-13",MCDM_Settings!$F$7,MCDM_Settings!$D$7))</f>
        <v>3.3333333333333335</v>
      </c>
      <c r="AG201" s="12">
        <f>IF(IF($D201="Unlabeled-13",MCDM_Settings!$F$7,MCDM_Settings!$D$7)=0,"n.a.",5*(COUNTIF(P201:R201,"Y")+COUNTIF(P201:R201,"U")+COUNTIF(P201:R201,"X"))/IF($D201="Unlabeled-13",MCDM_Settings!$F$7,MCDM_Settings!$D$7))</f>
        <v>5</v>
      </c>
      <c r="AH201" s="13">
        <f>IF(IF($D201="Unlabeled-13",MCDM_Settings!$F$7,MCDM_Settings!$D$7)=0,"n.a.",(COUNTIF(P201:R201,"Y")+COUNTIF(P201:R201,"N"))/IF($D201="Unlabeled-13",MCDM_Settings!$F$7,MCDM_Settings!$D$7))</f>
        <v>0.66666666666666663</v>
      </c>
      <c r="AI201" s="12">
        <f>IF(IF($D201="Unlabeled-13",MCDM_Settings!$F$8,MCDM_Settings!$D$8)=0,"n.a.",5*COUNTIF(S201:U201,"Y")/IF($D201="Unlabeled-13",MCDM_Settings!$F$8,MCDM_Settings!$D$8))</f>
        <v>5</v>
      </c>
      <c r="AJ201" s="12">
        <f>IF(IF($D201="Unlabeled-13",MCDM_Settings!$F$8,MCDM_Settings!$D$8)=0,"n.a.",5*(COUNTIF(S201:U201,"Y")+COUNTIF(S201:U201,"U")+COUNTIF(S201:U201,"X"))/IF($D201="Unlabeled-13",MCDM_Settings!$F$8,MCDM_Settings!$D$8))</f>
        <v>5</v>
      </c>
      <c r="AK201" s="13">
        <f>IF(IF($D201="Unlabeled-13",MCDM_Settings!$F$8,MCDM_Settings!$D$8)=0,"n.a.",(COUNTIF(S201:U201,"Y")+COUNTIF(S201:U201,"N"))/IF($D201="Unlabeled-13",MCDM_Settings!$F$8,MCDM_Settings!$D$8))</f>
        <v>1</v>
      </c>
      <c r="AL201" s="12">
        <f>IF(IF($D201="Unlabeled-13",MCDM_Settings!$F$9,MCDM_Settings!$D$9)=0,"n.a.",5*COUNTIF(V201:W201,"Y")/IF($D201="Unlabeled-13",MCDM_Settings!$F$9,MCDM_Settings!$D$9))</f>
        <v>2.5</v>
      </c>
      <c r="AM201" s="12">
        <f>IF(IF($D201="Unlabeled-13",MCDM_Settings!$F$9,MCDM_Settings!$D$9)=0,"n.a.",5*(COUNTIF(V201:W201,"Y")+COUNTIF(V201:W201,"U")+COUNTIF(V201:W201,"X"))/IF($D201="Unlabeled-13",MCDM_Settings!$F$9,MCDM_Settings!$D$9))</f>
        <v>5</v>
      </c>
      <c r="AN201" s="13">
        <f>IF(IF($D201="Unlabeled-13",MCDM_Settings!$F$9,MCDM_Settings!$D$9)=0,"n.a.",(COUNTIF(V201:W201,"Y")+COUNTIF(V201:W201,"N"))/IF($D201="Unlabeled-13",MCDM_Settings!$F$9,MCDM_Settings!$D$9))</f>
        <v>0.5</v>
      </c>
      <c r="AO201" s="12">
        <f>IF(IF($D201="Unlabeled-13",MCDM_Settings!$F$10,MCDM_Settings!$D$10)=0,"n.a.",5*COUNTIF(X201:Y201,"Y")/IF($D201="Unlabeled-13",MCDM_Settings!$F$10,MCDM_Settings!$D$10))</f>
        <v>5</v>
      </c>
      <c r="AP201" s="12">
        <f>IF(IF($D201="Unlabeled-13",MCDM_Settings!$F$10,MCDM_Settings!$D$10)=0,"n.a.",5*(COUNTIF(X201:Y201,"Y")+COUNTIF(X201:Y201,"U")+COUNTIF(X201:Y201,"X"))/IF($D201="Unlabeled-13",MCDM_Settings!$F$10,MCDM_Settings!$D$10))</f>
        <v>5</v>
      </c>
      <c r="AQ201" s="13">
        <f>IF(IF($D201="Unlabeled-13",MCDM_Settings!$F$10,MCDM_Settings!$D$10)=0,"n.a.",(COUNTIF(X201:Y201,"Y")+COUNTIF(X201:Y201,"N"))/IF($D201="Unlabeled-13",MCDM_Settings!$F$10,MCDM_Settings!$D$10))</f>
        <v>1</v>
      </c>
      <c r="AR201" s="12">
        <f>IF(IF($D201="Unlabeled-13",MCDM_Settings!$F$11,MCDM_Settings!$D$11)=0,"n.a.",5*COUNTIF(Z201:AB201,"Y")/IF($D201="Unlabeled-13",MCDM_Settings!$F$11,MCDM_Settings!$D$11))</f>
        <v>1.6666666666666667</v>
      </c>
      <c r="AS201" s="12">
        <f>IF(IF($D201="Unlabeled-13",MCDM_Settings!$F$11,MCDM_Settings!$D$11)=0,"n.a.",5*(COUNTIF(Z201:AB201,"Y")+COUNTIF(Z201:AB201,"U")+COUNTIF(Z201:AB201,"X"))/IF($D201="Unlabeled-13",MCDM_Settings!$F$11,MCDM_Settings!$D$11))</f>
        <v>5</v>
      </c>
      <c r="AT201" s="13">
        <f>IF(IF($D201="Unlabeled-13",MCDM_Settings!$F$11,MCDM_Settings!$D$11)=0,"n.a.",(COUNTIF(Z201:AB201,"Y")+COUNTIF(Z201:AB201,"N"))/IF($D201="Unlabeled-13",MCDM_Settings!$F$11,MCDM_Settings!$D$11))</f>
        <v>0.33333333333333331</v>
      </c>
      <c r="AU201" s="5" t="str">
        <f>IF(AND(INDEX(Manual_Review!$G$6:$G$238,MATCH(A201,Manual_Review!$A$6:$A$238,0))&lt;&gt;"",ISNUMBER(INDEX(Manual_Review!$H$6:$H$238,MATCH(A201,Manual_Review!$A$6:$A$238,0))),INDEX(Manual_Review!$H$6:$H$238,MATCH(A201,Manual_Review!$A$6:$A$238,0))&gt;0,INDEX(Manual_Review!$I$6:$I$238,MATCH(A201,Manual_Review!$A$6:$A$238,0))="Confirmed",INDEX(Manual_Review!$AF$6:$AF$238,MATCH(A201,Manual_Review!$A$6:$A$238,0))&lt;&gt;""),IF(INDEX(Manual_Review!$AA$6:$AA$238,MATCH(A201,Manual_Review!$A$6:$A$238,0))="Pass","Pass",IF(INDEX(Manual_Review!$AA$6:$AA$238,MATCH(A201,Manual_Review!$A$6:$A$238,0))="Fail","Fail","Pending")),"Pending human identity confirmation")</f>
        <v>Pending human identity confirmation</v>
      </c>
      <c r="AV201" s="5" t="str">
        <f>IF(AND(AND(INDEX(Manual_Review!$G$6:$G$238,MATCH(A201,Manual_Review!$A$6:$A$238,0))&lt;&gt;"",ISNUMBER(INDEX(Manual_Review!$H$6:$H$238,MATCH(A201,Manual_Review!$A$6:$A$238,0))),INDEX(Manual_Review!$H$6:$H$238,MATCH(A201,Manual_Review!$A$6:$A$238,0))&gt;0,INDEX(Manual_Review!$I$6:$I$238,MATCH(A201,Manual_Review!$A$6:$A$238,0))="Confirmed",INDEX(Manual_Review!$AF$6:$AF$238,MATCH(A201,Manual_Review!$A$6:$A$238,0))&lt;&gt;""),INDEX(Manual_Review!$AG$6:$AG$238,MATCH(A201,Manual_Review!$A$6:$A$238,0))&lt;&gt;""),IF(INDEX(Manual_Review!$AB$6:$AB$238,MATCH(A201,Manual_Review!$A$6:$A$238,0))="Pass","Pass",IF(INDEX(Manual_Review!$AB$6:$AB$238,MATCH(A201,Manual_Review!$A$6:$A$238,0))="Fail","Fail","Pending")),"Not assessed: define intended task")</f>
        <v>Not assessed: define intended task</v>
      </c>
      <c r="AW201" s="5" t="str">
        <f>IF(AND(AND(INDEX(Manual_Review!$G$6:$G$238,MATCH(A201,Manual_Review!$A$6:$A$238,0))&lt;&gt;"",ISNUMBER(INDEX(Manual_Review!$H$6:$H$238,MATCH(A201,Manual_Review!$A$6:$A$238,0))),INDEX(Manual_Review!$H$6:$H$238,MATCH(A201,Manual_Review!$A$6:$A$238,0))&gt;0,INDEX(Manual_Review!$I$6:$I$238,MATCH(A201,Manual_Review!$A$6:$A$238,0))="Confirmed",INDEX(Manual_Review!$AF$6:$AF$238,MATCH(A201,Manual_Review!$A$6:$A$238,0))&lt;&gt;""),INDEX(Manual_Review!$AG$6:$AG$238,MATCH(A201,Manual_Review!$A$6:$A$238,0))&lt;&gt;""),IF(OR(INDEX(Manual_Review!$AC$6:$AC$238,MATCH(A201,Manual_Review!$A$6:$A$238,0))="Fail",INDEX(Manual_Review!$AD$6:$AD$238,MATCH(A201,Manual_Review!$A$6:$A$238,0))="Fail"),"Fail: rights or retrieval",IF(AND(INDEX(Manual_Review!$AC$6:$AC$238,MATCH(A201,Manual_Review!$A$6:$A$238,0))="Pass",INDEX(Manual_Review!$AD$6:$AD$238,MATCH(A201,Manual_Review!$A$6:$A$238,0))="Pass"),"Pass","Pending rights and retrieval")),"Pending rights and retrieval")</f>
        <v>Pending rights and retrieval</v>
      </c>
      <c r="AX201" s="5" t="str">
        <f>IF(INDEX(Manual_Review!$AG$6:$AG$238,MATCH(A201,Manual_Review!$A$6:$A$238,0))="","N/A: documentation inventory",IF(AND(INDEX(Manual_Review!$G$6:$G$238,MATCH(A201,Manual_Review!$A$6:$A$238,0))&lt;&gt;"",ISNUMBER(INDEX(Manual_Review!$H$6:$H$238,MATCH(A201,Manual_Review!$A$6:$A$238,0))),INDEX(Manual_Review!$H$6:$H$238,MATCH(A201,Manual_Review!$A$6:$A$238,0))&gt;0,INDEX(Manual_Review!$I$6:$I$238,MATCH(A201,Manual_Review!$A$6:$A$238,0))="Confirmed",INDEX(Manual_Review!$AF$6:$AF$238,MATCH(A201,Manual_Review!$A$6:$A$238,0))&lt;&gt;""),IF(INDEX(Manual_Review!$AE$6:$AE$238,MATCH(A201,Manual_Review!$A$6:$A$238,0))="Pass","Pass",IF(INDEX(Manual_Review!$AE$6:$AE$238,MATCH(A201,Manual_Review!$A$6:$A$238,0))="Fail","Fail: benchmark leakage",IF(INDEX(Manual_Review!$AE$6:$AE$238,MATCH(A201,Manual_Review!$A$6:$A$238,0))="N/A","N/A: nonbenchmark task","Pending task-specific leakage check"))),"Pending task-specific leakage check"))</f>
        <v>N/A: documentation inventory</v>
      </c>
      <c r="AY201" s="5" t="str">
        <f>IF(IF(D201="Unlabeled-13",AND(ABS(MCDM_Settings!$D$14-1)&lt;0.0000001,MIN(MCDM_Settings!$E$6:$E$11)&gt;=0,MCDM_Settings!$E$7=0),AND(ABS(MCDM_Settings!$B$14-1)&lt;0.0000001,MIN(MCDM_Settings!$C$6:$C$11)&gt;=0)),"Valid","Check weights")</f>
        <v>Valid</v>
      </c>
      <c r="AZ201" s="5" t="str">
        <f>IF(AND(COUNTIF(MCDM_Checks!$B$6:$B$3733,A201)=16,COUNTIF(Manual_Review!$A$6:$A$238,A201)=1),"16 keys present","Check key count")</f>
        <v>16 keys present</v>
      </c>
    </row>
    <row r="202" spans="1:52">
      <c r="A202" s="5" t="s">
        <v>2252</v>
      </c>
      <c r="B202" s="5" t="s">
        <v>2253</v>
      </c>
      <c r="C202" s="5"/>
      <c r="D202" s="5" t="s">
        <v>118</v>
      </c>
      <c r="E202" s="12">
        <f>IF(OR(AY202&lt;&gt;"Valid",AZ202&lt;&gt;"16 keys present"),"Review settings",20*(IF(ISNUMBER(AC202),AC202*IF($D202="Unlabeled-13",MCDM_Settings!$E$6,MCDM_Settings!$C$6),0)+IF(ISNUMBER(AF202),AF202*IF($D202="Unlabeled-13",MCDM_Settings!$E$7,MCDM_Settings!$C$7),0)+IF(ISNUMBER(AI202),AI202*IF($D202="Unlabeled-13",MCDM_Settings!$E$8,MCDM_Settings!$C$8),0)+IF(ISNUMBER(AL202),AL202*IF($D202="Unlabeled-13",MCDM_Settings!$E$9,MCDM_Settings!$C$9),0)+IF(ISNUMBER(AO202),AO202*IF($D202="Unlabeled-13",MCDM_Settings!$E$10,MCDM_Settings!$C$10),0)+IF(ISNUMBER(AR202),AR202*IF($D202="Unlabeled-13",MCDM_Settings!$E$11,MCDM_Settings!$C$11),0)))</f>
        <v>66.666666666666657</v>
      </c>
      <c r="F202" s="12">
        <f>IF(OR(AY202&lt;&gt;"Valid",AZ202&lt;&gt;"16 keys present"),"Review settings",20*(IF(ISNUMBER(AD202),AD202*IF($D202="Unlabeled-13",MCDM_Settings!$E$6,MCDM_Settings!$C$6),0)+IF(ISNUMBER(AG202),AG202*IF($D202="Unlabeled-13",MCDM_Settings!$E$7,MCDM_Settings!$C$7),0)+IF(ISNUMBER(AJ202),AJ202*IF($D202="Unlabeled-13",MCDM_Settings!$E$8,MCDM_Settings!$C$8),0)+IF(ISNUMBER(AM202),AM202*IF($D202="Unlabeled-13",MCDM_Settings!$E$9,MCDM_Settings!$C$9),0)+IF(ISNUMBER(AP202),AP202*IF($D202="Unlabeled-13",MCDM_Settings!$E$10,MCDM_Settings!$C$10),0)+IF(ISNUMBER(AS202),AS202*IF($D202="Unlabeled-13",MCDM_Settings!$E$11,MCDM_Settings!$C$11),0)))</f>
        <v>99.999999999999986</v>
      </c>
      <c r="G202" s="13">
        <f>IF(OR(AY202&lt;&gt;"Valid",AZ202&lt;&gt;"16 keys present"),"Review settings",1*(IF(ISNUMBER(AE202),AE202*IF($D202="Unlabeled-13",MCDM_Settings!$E$6,MCDM_Settings!$C$6),0)+IF(ISNUMBER(AH202),AH202*IF($D202="Unlabeled-13",MCDM_Settings!$E$7,MCDM_Settings!$C$7),0)+IF(ISNUMBER(AK202),AK202*IF($D202="Unlabeled-13",MCDM_Settings!$E$8,MCDM_Settings!$C$8),0)+IF(ISNUMBER(AN202),AN202*IF($D202="Unlabeled-13",MCDM_Settings!$E$9,MCDM_Settings!$C$9),0)+IF(ISNUMBER(AQ202),AQ202*IF($D202="Unlabeled-13",MCDM_Settings!$E$10,MCDM_Settings!$C$10),0)+IF(ISNUMBER(AT202),AT202*IF($D202="Unlabeled-13",MCDM_Settings!$E$11,MCDM_Settings!$C$11),0)))</f>
        <v>0.66666666666666663</v>
      </c>
      <c r="H202" s="5" t="str">
        <f>INDEX(Manual_Review!$AH$6:$AH$238,MATCH(A202,Manual_Review!$A$6:$A$238,0))</f>
        <v>Not started</v>
      </c>
      <c r="I202" s="5" t="s">
        <v>182</v>
      </c>
      <c r="J202" s="5" t="s">
        <v>2254</v>
      </c>
      <c r="K202" s="5" t="str">
        <f>HYPERLINK("https://a2d2-dataset.github.io/","Dataset")</f>
        <v>Dataset</v>
      </c>
      <c r="L202" s="5" t="str">
        <f>HYPERLINK("#'Manual_Review'!A"&amp;(MATCH("DS-197",Manual_Review!$A$6:$A$238,0)+5),"Enter review")</f>
        <v>Enter review</v>
      </c>
      <c r="M202" s="5" t="str">
        <f>INDEX(MCDM_Checks!$K$6:$K$3733,MATCH(A202&amp;"|"&amp;M$5,MCDM_Checks!$A$6:$A$3733,0))</f>
        <v>Y</v>
      </c>
      <c r="N202" s="5" t="str">
        <f>INDEX(MCDM_Checks!$K$6:$K$3733,MATCH(A202&amp;"|"&amp;N$5,MCDM_Checks!$A$6:$A$3733,0))</f>
        <v>Y</v>
      </c>
      <c r="O202" s="5" t="str">
        <f>INDEX(MCDM_Checks!$K$6:$K$3733,MATCH(A202&amp;"|"&amp;O$5,MCDM_Checks!$A$6:$A$3733,0))</f>
        <v>Y</v>
      </c>
      <c r="P202" s="5" t="str">
        <f>INDEX(MCDM_Checks!$K$6:$K$3733,MATCH(A202&amp;"|"&amp;P$5,MCDM_Checks!$A$6:$A$3733,0))</f>
        <v>U</v>
      </c>
      <c r="Q202" s="5" t="str">
        <f>INDEX(MCDM_Checks!$K$6:$K$3733,MATCH(A202&amp;"|"&amp;Q$5,MCDM_Checks!$A$6:$A$3733,0))</f>
        <v>U</v>
      </c>
      <c r="R202" s="5" t="str">
        <f>INDEX(MCDM_Checks!$K$6:$K$3733,MATCH(A202&amp;"|"&amp;R$5,MCDM_Checks!$A$6:$A$3733,0))</f>
        <v>U</v>
      </c>
      <c r="S202" s="5" t="str">
        <f>INDEX(MCDM_Checks!$K$6:$K$3733,MATCH(A202&amp;"|"&amp;S$5,MCDM_Checks!$A$6:$A$3733,0))</f>
        <v>U</v>
      </c>
      <c r="T202" s="5" t="str">
        <f>INDEX(MCDM_Checks!$K$6:$K$3733,MATCH(A202&amp;"|"&amp;T$5,MCDM_Checks!$A$6:$A$3733,0))</f>
        <v>Y</v>
      </c>
      <c r="U202" s="5" t="str">
        <f>INDEX(MCDM_Checks!$K$6:$K$3733,MATCH(A202&amp;"|"&amp;U$5,MCDM_Checks!$A$6:$A$3733,0))</f>
        <v>Y</v>
      </c>
      <c r="V202" s="5" t="str">
        <f>INDEX(MCDM_Checks!$K$6:$K$3733,MATCH(A202&amp;"|"&amp;V$5,MCDM_Checks!$A$6:$A$3733,0))</f>
        <v>Y</v>
      </c>
      <c r="W202" s="5" t="str">
        <f>INDEX(MCDM_Checks!$K$6:$K$3733,MATCH(A202&amp;"|"&amp;W$5,MCDM_Checks!$A$6:$A$3733,0))</f>
        <v>Y</v>
      </c>
      <c r="X202" s="5" t="str">
        <f>INDEX(MCDM_Checks!$K$6:$K$3733,MATCH(A202&amp;"|"&amp;X$5,MCDM_Checks!$A$6:$A$3733,0))</f>
        <v>Y</v>
      </c>
      <c r="Y202" s="5" t="str">
        <f>INDEX(MCDM_Checks!$K$6:$K$3733,MATCH(A202&amp;"|"&amp;Y$5,MCDM_Checks!$A$6:$A$3733,0))</f>
        <v>Y</v>
      </c>
      <c r="Z202" s="5" t="str">
        <f>INDEX(MCDM_Checks!$K$6:$K$3733,MATCH(A202&amp;"|"&amp;Z$5,MCDM_Checks!$A$6:$A$3733,0))</f>
        <v>Y</v>
      </c>
      <c r="AA202" s="5" t="str">
        <f>INDEX(MCDM_Checks!$K$6:$K$3733,MATCH(A202&amp;"|"&amp;AA$5,MCDM_Checks!$A$6:$A$3733,0))</f>
        <v>U</v>
      </c>
      <c r="AB202" s="5" t="str">
        <f>INDEX(MCDM_Checks!$K$6:$K$3733,MATCH(A202&amp;"|"&amp;AB$5,MCDM_Checks!$A$6:$A$3733,0))</f>
        <v>U</v>
      </c>
      <c r="AC202" s="12">
        <f>IF(IF($D202="Unlabeled-13",MCDM_Settings!$F$6,MCDM_Settings!$D$6)=0,"n.a.",5*COUNTIF(M202:O202,"Y")/IF($D202="Unlabeled-13",MCDM_Settings!$F$6,MCDM_Settings!$D$6))</f>
        <v>5</v>
      </c>
      <c r="AD202" s="12">
        <f>IF(IF($D202="Unlabeled-13",MCDM_Settings!$F$6,MCDM_Settings!$D$6)=0,"n.a.",5*(COUNTIF(M202:O202,"Y")+COUNTIF(M202:O202,"U")+COUNTIF(M202:O202,"X"))/IF($D202="Unlabeled-13",MCDM_Settings!$F$6,MCDM_Settings!$D$6))</f>
        <v>5</v>
      </c>
      <c r="AE202" s="13">
        <f>IF(IF($D202="Unlabeled-13",MCDM_Settings!$F$6,MCDM_Settings!$D$6)=0,"n.a.",(COUNTIF(M202:O202,"Y")+COUNTIF(M202:O202,"N"))/IF($D202="Unlabeled-13",MCDM_Settings!$F$6,MCDM_Settings!$D$6))</f>
        <v>1</v>
      </c>
      <c r="AF202" s="12">
        <f>IF(IF($D202="Unlabeled-13",MCDM_Settings!$F$7,MCDM_Settings!$D$7)=0,"n.a.",5*COUNTIF(P202:R202,"Y")/IF($D202="Unlabeled-13",MCDM_Settings!$F$7,MCDM_Settings!$D$7))</f>
        <v>0</v>
      </c>
      <c r="AG202" s="12">
        <f>IF(IF($D202="Unlabeled-13",MCDM_Settings!$F$7,MCDM_Settings!$D$7)=0,"n.a.",5*(COUNTIF(P202:R202,"Y")+COUNTIF(P202:R202,"U")+COUNTIF(P202:R202,"X"))/IF($D202="Unlabeled-13",MCDM_Settings!$F$7,MCDM_Settings!$D$7))</f>
        <v>5</v>
      </c>
      <c r="AH202" s="13">
        <f>IF(IF($D202="Unlabeled-13",MCDM_Settings!$F$7,MCDM_Settings!$D$7)=0,"n.a.",(COUNTIF(P202:R202,"Y")+COUNTIF(P202:R202,"N"))/IF($D202="Unlabeled-13",MCDM_Settings!$F$7,MCDM_Settings!$D$7))</f>
        <v>0</v>
      </c>
      <c r="AI202" s="12">
        <f>IF(IF($D202="Unlabeled-13",MCDM_Settings!$F$8,MCDM_Settings!$D$8)=0,"n.a.",5*COUNTIF(S202:U202,"Y")/IF($D202="Unlabeled-13",MCDM_Settings!$F$8,MCDM_Settings!$D$8))</f>
        <v>3.3333333333333335</v>
      </c>
      <c r="AJ202" s="12">
        <f>IF(IF($D202="Unlabeled-13",MCDM_Settings!$F$8,MCDM_Settings!$D$8)=0,"n.a.",5*(COUNTIF(S202:U202,"Y")+COUNTIF(S202:U202,"U")+COUNTIF(S202:U202,"X"))/IF($D202="Unlabeled-13",MCDM_Settings!$F$8,MCDM_Settings!$D$8))</f>
        <v>5</v>
      </c>
      <c r="AK202" s="13">
        <f>IF(IF($D202="Unlabeled-13",MCDM_Settings!$F$8,MCDM_Settings!$D$8)=0,"n.a.",(COUNTIF(S202:U202,"Y")+COUNTIF(S202:U202,"N"))/IF($D202="Unlabeled-13",MCDM_Settings!$F$8,MCDM_Settings!$D$8))</f>
        <v>0.66666666666666663</v>
      </c>
      <c r="AL202" s="12">
        <f>IF(IF($D202="Unlabeled-13",MCDM_Settings!$F$9,MCDM_Settings!$D$9)=0,"n.a.",5*COUNTIF(V202:W202,"Y")/IF($D202="Unlabeled-13",MCDM_Settings!$F$9,MCDM_Settings!$D$9))</f>
        <v>5</v>
      </c>
      <c r="AM202" s="12">
        <f>IF(IF($D202="Unlabeled-13",MCDM_Settings!$F$9,MCDM_Settings!$D$9)=0,"n.a.",5*(COUNTIF(V202:W202,"Y")+COUNTIF(V202:W202,"U")+COUNTIF(V202:W202,"X"))/IF($D202="Unlabeled-13",MCDM_Settings!$F$9,MCDM_Settings!$D$9))</f>
        <v>5</v>
      </c>
      <c r="AN202" s="13">
        <f>IF(IF($D202="Unlabeled-13",MCDM_Settings!$F$9,MCDM_Settings!$D$9)=0,"n.a.",(COUNTIF(V202:W202,"Y")+COUNTIF(V202:W202,"N"))/IF($D202="Unlabeled-13",MCDM_Settings!$F$9,MCDM_Settings!$D$9))</f>
        <v>1</v>
      </c>
      <c r="AO202" s="12">
        <f>IF(IF($D202="Unlabeled-13",MCDM_Settings!$F$10,MCDM_Settings!$D$10)=0,"n.a.",5*COUNTIF(X202:Y202,"Y")/IF($D202="Unlabeled-13",MCDM_Settings!$F$10,MCDM_Settings!$D$10))</f>
        <v>5</v>
      </c>
      <c r="AP202" s="12">
        <f>IF(IF($D202="Unlabeled-13",MCDM_Settings!$F$10,MCDM_Settings!$D$10)=0,"n.a.",5*(COUNTIF(X202:Y202,"Y")+COUNTIF(X202:Y202,"U")+COUNTIF(X202:Y202,"X"))/IF($D202="Unlabeled-13",MCDM_Settings!$F$10,MCDM_Settings!$D$10))</f>
        <v>5</v>
      </c>
      <c r="AQ202" s="13">
        <f>IF(IF($D202="Unlabeled-13",MCDM_Settings!$F$10,MCDM_Settings!$D$10)=0,"n.a.",(COUNTIF(X202:Y202,"Y")+COUNTIF(X202:Y202,"N"))/IF($D202="Unlabeled-13",MCDM_Settings!$F$10,MCDM_Settings!$D$10))</f>
        <v>1</v>
      </c>
      <c r="AR202" s="12">
        <f>IF(IF($D202="Unlabeled-13",MCDM_Settings!$F$11,MCDM_Settings!$D$11)=0,"n.a.",5*COUNTIF(Z202:AB202,"Y")/IF($D202="Unlabeled-13",MCDM_Settings!$F$11,MCDM_Settings!$D$11))</f>
        <v>1.6666666666666667</v>
      </c>
      <c r="AS202" s="12">
        <f>IF(IF($D202="Unlabeled-13",MCDM_Settings!$F$11,MCDM_Settings!$D$11)=0,"n.a.",5*(COUNTIF(Z202:AB202,"Y")+COUNTIF(Z202:AB202,"U")+COUNTIF(Z202:AB202,"X"))/IF($D202="Unlabeled-13",MCDM_Settings!$F$11,MCDM_Settings!$D$11))</f>
        <v>5</v>
      </c>
      <c r="AT202" s="13">
        <f>IF(IF($D202="Unlabeled-13",MCDM_Settings!$F$11,MCDM_Settings!$D$11)=0,"n.a.",(COUNTIF(Z202:AB202,"Y")+COUNTIF(Z202:AB202,"N"))/IF($D202="Unlabeled-13",MCDM_Settings!$F$11,MCDM_Settings!$D$11))</f>
        <v>0.33333333333333331</v>
      </c>
      <c r="AU202" s="5" t="str">
        <f>IF(AND(INDEX(Manual_Review!$G$6:$G$238,MATCH(A202,Manual_Review!$A$6:$A$238,0))&lt;&gt;"",ISNUMBER(INDEX(Manual_Review!$H$6:$H$238,MATCH(A202,Manual_Review!$A$6:$A$238,0))),INDEX(Manual_Review!$H$6:$H$238,MATCH(A202,Manual_Review!$A$6:$A$238,0))&gt;0,INDEX(Manual_Review!$I$6:$I$238,MATCH(A202,Manual_Review!$A$6:$A$238,0))="Confirmed",INDEX(Manual_Review!$AF$6:$AF$238,MATCH(A202,Manual_Review!$A$6:$A$238,0))&lt;&gt;""),IF(INDEX(Manual_Review!$AA$6:$AA$238,MATCH(A202,Manual_Review!$A$6:$A$238,0))="Pass","Pass",IF(INDEX(Manual_Review!$AA$6:$AA$238,MATCH(A202,Manual_Review!$A$6:$A$238,0))="Fail","Fail","Pending")),"Pending human identity confirmation")</f>
        <v>Pending human identity confirmation</v>
      </c>
      <c r="AV202" s="5" t="str">
        <f>IF(AND(AND(INDEX(Manual_Review!$G$6:$G$238,MATCH(A202,Manual_Review!$A$6:$A$238,0))&lt;&gt;"",ISNUMBER(INDEX(Manual_Review!$H$6:$H$238,MATCH(A202,Manual_Review!$A$6:$A$238,0))),INDEX(Manual_Review!$H$6:$H$238,MATCH(A202,Manual_Review!$A$6:$A$238,0))&gt;0,INDEX(Manual_Review!$I$6:$I$238,MATCH(A202,Manual_Review!$A$6:$A$238,0))="Confirmed",INDEX(Manual_Review!$AF$6:$AF$238,MATCH(A202,Manual_Review!$A$6:$A$238,0))&lt;&gt;""),INDEX(Manual_Review!$AG$6:$AG$238,MATCH(A202,Manual_Review!$A$6:$A$238,0))&lt;&gt;""),IF(INDEX(Manual_Review!$AB$6:$AB$238,MATCH(A202,Manual_Review!$A$6:$A$238,0))="Pass","Pass",IF(INDEX(Manual_Review!$AB$6:$AB$238,MATCH(A202,Manual_Review!$A$6:$A$238,0))="Fail","Fail","Pending")),"Not assessed: define intended task")</f>
        <v>Not assessed: define intended task</v>
      </c>
      <c r="AW202" s="5" t="str">
        <f>IF(AND(AND(INDEX(Manual_Review!$G$6:$G$238,MATCH(A202,Manual_Review!$A$6:$A$238,0))&lt;&gt;"",ISNUMBER(INDEX(Manual_Review!$H$6:$H$238,MATCH(A202,Manual_Review!$A$6:$A$238,0))),INDEX(Manual_Review!$H$6:$H$238,MATCH(A202,Manual_Review!$A$6:$A$238,0))&gt;0,INDEX(Manual_Review!$I$6:$I$238,MATCH(A202,Manual_Review!$A$6:$A$238,0))="Confirmed",INDEX(Manual_Review!$AF$6:$AF$238,MATCH(A202,Manual_Review!$A$6:$A$238,0))&lt;&gt;""),INDEX(Manual_Review!$AG$6:$AG$238,MATCH(A202,Manual_Review!$A$6:$A$238,0))&lt;&gt;""),IF(OR(INDEX(Manual_Review!$AC$6:$AC$238,MATCH(A202,Manual_Review!$A$6:$A$238,0))="Fail",INDEX(Manual_Review!$AD$6:$AD$238,MATCH(A202,Manual_Review!$A$6:$A$238,0))="Fail"),"Fail: rights or retrieval",IF(AND(INDEX(Manual_Review!$AC$6:$AC$238,MATCH(A202,Manual_Review!$A$6:$A$238,0))="Pass",INDEX(Manual_Review!$AD$6:$AD$238,MATCH(A202,Manual_Review!$A$6:$A$238,0))="Pass"),"Pass","Pending rights and retrieval")),"Pending rights and retrieval")</f>
        <v>Pending rights and retrieval</v>
      </c>
      <c r="AX202" s="5" t="str">
        <f>IF(INDEX(Manual_Review!$AG$6:$AG$238,MATCH(A202,Manual_Review!$A$6:$A$238,0))="","N/A: documentation inventory",IF(AND(INDEX(Manual_Review!$G$6:$G$238,MATCH(A202,Manual_Review!$A$6:$A$238,0))&lt;&gt;"",ISNUMBER(INDEX(Manual_Review!$H$6:$H$238,MATCH(A202,Manual_Review!$A$6:$A$238,0))),INDEX(Manual_Review!$H$6:$H$238,MATCH(A202,Manual_Review!$A$6:$A$238,0))&gt;0,INDEX(Manual_Review!$I$6:$I$238,MATCH(A202,Manual_Review!$A$6:$A$238,0))="Confirmed",INDEX(Manual_Review!$AF$6:$AF$238,MATCH(A202,Manual_Review!$A$6:$A$238,0))&lt;&gt;""),IF(INDEX(Manual_Review!$AE$6:$AE$238,MATCH(A202,Manual_Review!$A$6:$A$238,0))="Pass","Pass",IF(INDEX(Manual_Review!$AE$6:$AE$238,MATCH(A202,Manual_Review!$A$6:$A$238,0))="Fail","Fail: benchmark leakage",IF(INDEX(Manual_Review!$AE$6:$AE$238,MATCH(A202,Manual_Review!$A$6:$A$238,0))="N/A","N/A: nonbenchmark task","Pending task-specific leakage check"))),"Pending task-specific leakage check"))</f>
        <v>N/A: documentation inventory</v>
      </c>
      <c r="AY202" s="5" t="str">
        <f>IF(IF(D202="Unlabeled-13",AND(ABS(MCDM_Settings!$D$14-1)&lt;0.0000001,MIN(MCDM_Settings!$E$6:$E$11)&gt;=0,MCDM_Settings!$E$7=0),AND(ABS(MCDM_Settings!$B$14-1)&lt;0.0000001,MIN(MCDM_Settings!$C$6:$C$11)&gt;=0)),"Valid","Check weights")</f>
        <v>Valid</v>
      </c>
      <c r="AZ202" s="5" t="str">
        <f>IF(AND(COUNTIF(MCDM_Checks!$B$6:$B$3733,A202)=16,COUNTIF(Manual_Review!$A$6:$A$238,A202)=1),"16 keys present","Check key count")</f>
        <v>16 keys present</v>
      </c>
    </row>
    <row r="203" spans="1:52" ht="25.5">
      <c r="A203" s="5" t="s">
        <v>2267</v>
      </c>
      <c r="B203" s="5" t="s">
        <v>2268</v>
      </c>
      <c r="C203" s="5"/>
      <c r="D203" s="5" t="s">
        <v>118</v>
      </c>
      <c r="E203" s="12">
        <f>IF(OR(AY203&lt;&gt;"Valid",AZ203&lt;&gt;"16 keys present"),"Review settings",20*(IF(ISNUMBER(AC203),AC203*IF($D203="Unlabeled-13",MCDM_Settings!$E$6,MCDM_Settings!$C$6),0)+IF(ISNUMBER(AF203),AF203*IF($D203="Unlabeled-13",MCDM_Settings!$E$7,MCDM_Settings!$C$7),0)+IF(ISNUMBER(AI203),AI203*IF($D203="Unlabeled-13",MCDM_Settings!$E$8,MCDM_Settings!$C$8),0)+IF(ISNUMBER(AL203),AL203*IF($D203="Unlabeled-13",MCDM_Settings!$E$9,MCDM_Settings!$C$9),0)+IF(ISNUMBER(AO203),AO203*IF($D203="Unlabeled-13",MCDM_Settings!$E$10,MCDM_Settings!$C$10),0)+IF(ISNUMBER(AR203),AR203*IF($D203="Unlabeled-13",MCDM_Settings!$E$11,MCDM_Settings!$C$11),0)))</f>
        <v>72.222222222222214</v>
      </c>
      <c r="F203" s="12">
        <f>IF(OR(AY203&lt;&gt;"Valid",AZ203&lt;&gt;"16 keys present"),"Review settings",20*(IF(ISNUMBER(AD203),AD203*IF($D203="Unlabeled-13",MCDM_Settings!$E$6,MCDM_Settings!$C$6),0)+IF(ISNUMBER(AG203),AG203*IF($D203="Unlabeled-13",MCDM_Settings!$E$7,MCDM_Settings!$C$7),0)+IF(ISNUMBER(AJ203),AJ203*IF($D203="Unlabeled-13",MCDM_Settings!$E$8,MCDM_Settings!$C$8),0)+IF(ISNUMBER(AM203),AM203*IF($D203="Unlabeled-13",MCDM_Settings!$E$9,MCDM_Settings!$C$9),0)+IF(ISNUMBER(AP203),AP203*IF($D203="Unlabeled-13",MCDM_Settings!$E$10,MCDM_Settings!$C$10),0)+IF(ISNUMBER(AS203),AS203*IF($D203="Unlabeled-13",MCDM_Settings!$E$11,MCDM_Settings!$C$11),0)))</f>
        <v>99.999999999999986</v>
      </c>
      <c r="G203" s="13">
        <f>IF(OR(AY203&lt;&gt;"Valid",AZ203&lt;&gt;"16 keys present"),"Review settings",1*(IF(ISNUMBER(AE203),AE203*IF($D203="Unlabeled-13",MCDM_Settings!$E$6,MCDM_Settings!$C$6),0)+IF(ISNUMBER(AH203),AH203*IF($D203="Unlabeled-13",MCDM_Settings!$E$7,MCDM_Settings!$C$7),0)+IF(ISNUMBER(AK203),AK203*IF($D203="Unlabeled-13",MCDM_Settings!$E$8,MCDM_Settings!$C$8),0)+IF(ISNUMBER(AN203),AN203*IF($D203="Unlabeled-13",MCDM_Settings!$E$9,MCDM_Settings!$C$9),0)+IF(ISNUMBER(AQ203),AQ203*IF($D203="Unlabeled-13",MCDM_Settings!$E$10,MCDM_Settings!$C$10),0)+IF(ISNUMBER(AT203),AT203*IF($D203="Unlabeled-13",MCDM_Settings!$E$11,MCDM_Settings!$C$11),0)))</f>
        <v>0.72222222222222221</v>
      </c>
      <c r="H203" s="5" t="str">
        <f>INDEX(Manual_Review!$AH$6:$AH$238,MATCH(A203,Manual_Review!$A$6:$A$238,0))</f>
        <v>Not started</v>
      </c>
      <c r="I203" s="5" t="s">
        <v>182</v>
      </c>
      <c r="J203" s="5" t="s">
        <v>2269</v>
      </c>
      <c r="K203" s="5" t="str">
        <f>HYPERLINK("https://acdc.vision.ee.ethz.ch/","Dataset")</f>
        <v>Dataset</v>
      </c>
      <c r="L203" s="5" t="str">
        <f>HYPERLINK("#'Manual_Review'!A"&amp;(MATCH("DS-198",Manual_Review!$A$6:$A$238,0)+5),"Enter review")</f>
        <v>Enter review</v>
      </c>
      <c r="M203" s="5" t="str">
        <f>INDEX(MCDM_Checks!$K$6:$K$3733,MATCH(A203&amp;"|"&amp;M$5,MCDM_Checks!$A$6:$A$3733,0))</f>
        <v>Y</v>
      </c>
      <c r="N203" s="5" t="str">
        <f>INDEX(MCDM_Checks!$K$6:$K$3733,MATCH(A203&amp;"|"&amp;N$5,MCDM_Checks!$A$6:$A$3733,0))</f>
        <v>Y</v>
      </c>
      <c r="O203" s="5" t="str">
        <f>INDEX(MCDM_Checks!$K$6:$K$3733,MATCH(A203&amp;"|"&amp;O$5,MCDM_Checks!$A$6:$A$3733,0))</f>
        <v>Y</v>
      </c>
      <c r="P203" s="5" t="str">
        <f>INDEX(MCDM_Checks!$K$6:$K$3733,MATCH(A203&amp;"|"&amp;P$5,MCDM_Checks!$A$6:$A$3733,0))</f>
        <v>Y</v>
      </c>
      <c r="Q203" s="5" t="str">
        <f>INDEX(MCDM_Checks!$K$6:$K$3733,MATCH(A203&amp;"|"&amp;Q$5,MCDM_Checks!$A$6:$A$3733,0))</f>
        <v>U</v>
      </c>
      <c r="R203" s="5" t="str">
        <f>INDEX(MCDM_Checks!$K$6:$K$3733,MATCH(A203&amp;"|"&amp;R$5,MCDM_Checks!$A$6:$A$3733,0))</f>
        <v>U</v>
      </c>
      <c r="S203" s="5" t="str">
        <f>INDEX(MCDM_Checks!$K$6:$K$3733,MATCH(A203&amp;"|"&amp;S$5,MCDM_Checks!$A$6:$A$3733,0))</f>
        <v>U</v>
      </c>
      <c r="T203" s="5" t="str">
        <f>INDEX(MCDM_Checks!$K$6:$K$3733,MATCH(A203&amp;"|"&amp;T$5,MCDM_Checks!$A$6:$A$3733,0))</f>
        <v>Y</v>
      </c>
      <c r="U203" s="5" t="str">
        <f>INDEX(MCDM_Checks!$K$6:$K$3733,MATCH(A203&amp;"|"&amp;U$5,MCDM_Checks!$A$6:$A$3733,0))</f>
        <v>Y</v>
      </c>
      <c r="V203" s="5" t="str">
        <f>INDEX(MCDM_Checks!$K$6:$K$3733,MATCH(A203&amp;"|"&amp;V$5,MCDM_Checks!$A$6:$A$3733,0))</f>
        <v>Y</v>
      </c>
      <c r="W203" s="5" t="str">
        <f>INDEX(MCDM_Checks!$K$6:$K$3733,MATCH(A203&amp;"|"&amp;W$5,MCDM_Checks!$A$6:$A$3733,0))</f>
        <v>Y</v>
      </c>
      <c r="X203" s="5" t="str">
        <f>INDEX(MCDM_Checks!$K$6:$K$3733,MATCH(A203&amp;"|"&amp;X$5,MCDM_Checks!$A$6:$A$3733,0))</f>
        <v>Y</v>
      </c>
      <c r="Y203" s="5" t="str">
        <f>INDEX(MCDM_Checks!$K$6:$K$3733,MATCH(A203&amp;"|"&amp;Y$5,MCDM_Checks!$A$6:$A$3733,0))</f>
        <v>Y</v>
      </c>
      <c r="Z203" s="5" t="str">
        <f>INDEX(MCDM_Checks!$K$6:$K$3733,MATCH(A203&amp;"|"&amp;Z$5,MCDM_Checks!$A$6:$A$3733,0))</f>
        <v>Y</v>
      </c>
      <c r="AA203" s="5" t="str">
        <f>INDEX(MCDM_Checks!$K$6:$K$3733,MATCH(A203&amp;"|"&amp;AA$5,MCDM_Checks!$A$6:$A$3733,0))</f>
        <v>U</v>
      </c>
      <c r="AB203" s="5" t="str">
        <f>INDEX(MCDM_Checks!$K$6:$K$3733,MATCH(A203&amp;"|"&amp;AB$5,MCDM_Checks!$A$6:$A$3733,0))</f>
        <v>U</v>
      </c>
      <c r="AC203" s="12">
        <f>IF(IF($D203="Unlabeled-13",MCDM_Settings!$F$6,MCDM_Settings!$D$6)=0,"n.a.",5*COUNTIF(M203:O203,"Y")/IF($D203="Unlabeled-13",MCDM_Settings!$F$6,MCDM_Settings!$D$6))</f>
        <v>5</v>
      </c>
      <c r="AD203" s="12">
        <f>IF(IF($D203="Unlabeled-13",MCDM_Settings!$F$6,MCDM_Settings!$D$6)=0,"n.a.",5*(COUNTIF(M203:O203,"Y")+COUNTIF(M203:O203,"U")+COUNTIF(M203:O203,"X"))/IF($D203="Unlabeled-13",MCDM_Settings!$F$6,MCDM_Settings!$D$6))</f>
        <v>5</v>
      </c>
      <c r="AE203" s="13">
        <f>IF(IF($D203="Unlabeled-13",MCDM_Settings!$F$6,MCDM_Settings!$D$6)=0,"n.a.",(COUNTIF(M203:O203,"Y")+COUNTIF(M203:O203,"N"))/IF($D203="Unlabeled-13",MCDM_Settings!$F$6,MCDM_Settings!$D$6))</f>
        <v>1</v>
      </c>
      <c r="AF203" s="12">
        <f>IF(IF($D203="Unlabeled-13",MCDM_Settings!$F$7,MCDM_Settings!$D$7)=0,"n.a.",5*COUNTIF(P203:R203,"Y")/IF($D203="Unlabeled-13",MCDM_Settings!$F$7,MCDM_Settings!$D$7))</f>
        <v>1.6666666666666667</v>
      </c>
      <c r="AG203" s="12">
        <f>IF(IF($D203="Unlabeled-13",MCDM_Settings!$F$7,MCDM_Settings!$D$7)=0,"n.a.",5*(COUNTIF(P203:R203,"Y")+COUNTIF(P203:R203,"U")+COUNTIF(P203:R203,"X"))/IF($D203="Unlabeled-13",MCDM_Settings!$F$7,MCDM_Settings!$D$7))</f>
        <v>5</v>
      </c>
      <c r="AH203" s="13">
        <f>IF(IF($D203="Unlabeled-13",MCDM_Settings!$F$7,MCDM_Settings!$D$7)=0,"n.a.",(COUNTIF(P203:R203,"Y")+COUNTIF(P203:R203,"N"))/IF($D203="Unlabeled-13",MCDM_Settings!$F$7,MCDM_Settings!$D$7))</f>
        <v>0.33333333333333331</v>
      </c>
      <c r="AI203" s="12">
        <f>IF(IF($D203="Unlabeled-13",MCDM_Settings!$F$8,MCDM_Settings!$D$8)=0,"n.a.",5*COUNTIF(S203:U203,"Y")/IF($D203="Unlabeled-13",MCDM_Settings!$F$8,MCDM_Settings!$D$8))</f>
        <v>3.3333333333333335</v>
      </c>
      <c r="AJ203" s="12">
        <f>IF(IF($D203="Unlabeled-13",MCDM_Settings!$F$8,MCDM_Settings!$D$8)=0,"n.a.",5*(COUNTIF(S203:U203,"Y")+COUNTIF(S203:U203,"U")+COUNTIF(S203:U203,"X"))/IF($D203="Unlabeled-13",MCDM_Settings!$F$8,MCDM_Settings!$D$8))</f>
        <v>5</v>
      </c>
      <c r="AK203" s="13">
        <f>IF(IF($D203="Unlabeled-13",MCDM_Settings!$F$8,MCDM_Settings!$D$8)=0,"n.a.",(COUNTIF(S203:U203,"Y")+COUNTIF(S203:U203,"N"))/IF($D203="Unlabeled-13",MCDM_Settings!$F$8,MCDM_Settings!$D$8))</f>
        <v>0.66666666666666663</v>
      </c>
      <c r="AL203" s="12">
        <f>IF(IF($D203="Unlabeled-13",MCDM_Settings!$F$9,MCDM_Settings!$D$9)=0,"n.a.",5*COUNTIF(V203:W203,"Y")/IF($D203="Unlabeled-13",MCDM_Settings!$F$9,MCDM_Settings!$D$9))</f>
        <v>5</v>
      </c>
      <c r="AM203" s="12">
        <f>IF(IF($D203="Unlabeled-13",MCDM_Settings!$F$9,MCDM_Settings!$D$9)=0,"n.a.",5*(COUNTIF(V203:W203,"Y")+COUNTIF(V203:W203,"U")+COUNTIF(V203:W203,"X"))/IF($D203="Unlabeled-13",MCDM_Settings!$F$9,MCDM_Settings!$D$9))</f>
        <v>5</v>
      </c>
      <c r="AN203" s="13">
        <f>IF(IF($D203="Unlabeled-13",MCDM_Settings!$F$9,MCDM_Settings!$D$9)=0,"n.a.",(COUNTIF(V203:W203,"Y")+COUNTIF(V203:W203,"N"))/IF($D203="Unlabeled-13",MCDM_Settings!$F$9,MCDM_Settings!$D$9))</f>
        <v>1</v>
      </c>
      <c r="AO203" s="12">
        <f>IF(IF($D203="Unlabeled-13",MCDM_Settings!$F$10,MCDM_Settings!$D$10)=0,"n.a.",5*COUNTIF(X203:Y203,"Y")/IF($D203="Unlabeled-13",MCDM_Settings!$F$10,MCDM_Settings!$D$10))</f>
        <v>5</v>
      </c>
      <c r="AP203" s="12">
        <f>IF(IF($D203="Unlabeled-13",MCDM_Settings!$F$10,MCDM_Settings!$D$10)=0,"n.a.",5*(COUNTIF(X203:Y203,"Y")+COUNTIF(X203:Y203,"U")+COUNTIF(X203:Y203,"X"))/IF($D203="Unlabeled-13",MCDM_Settings!$F$10,MCDM_Settings!$D$10))</f>
        <v>5</v>
      </c>
      <c r="AQ203" s="13">
        <f>IF(IF($D203="Unlabeled-13",MCDM_Settings!$F$10,MCDM_Settings!$D$10)=0,"n.a.",(COUNTIF(X203:Y203,"Y")+COUNTIF(X203:Y203,"N"))/IF($D203="Unlabeled-13",MCDM_Settings!$F$10,MCDM_Settings!$D$10))</f>
        <v>1</v>
      </c>
      <c r="AR203" s="12">
        <f>IF(IF($D203="Unlabeled-13",MCDM_Settings!$F$11,MCDM_Settings!$D$11)=0,"n.a.",5*COUNTIF(Z203:AB203,"Y")/IF($D203="Unlabeled-13",MCDM_Settings!$F$11,MCDM_Settings!$D$11))</f>
        <v>1.6666666666666667</v>
      </c>
      <c r="AS203" s="12">
        <f>IF(IF($D203="Unlabeled-13",MCDM_Settings!$F$11,MCDM_Settings!$D$11)=0,"n.a.",5*(COUNTIF(Z203:AB203,"Y")+COUNTIF(Z203:AB203,"U")+COUNTIF(Z203:AB203,"X"))/IF($D203="Unlabeled-13",MCDM_Settings!$F$11,MCDM_Settings!$D$11))</f>
        <v>5</v>
      </c>
      <c r="AT203" s="13">
        <f>IF(IF($D203="Unlabeled-13",MCDM_Settings!$F$11,MCDM_Settings!$D$11)=0,"n.a.",(COUNTIF(Z203:AB203,"Y")+COUNTIF(Z203:AB203,"N"))/IF($D203="Unlabeled-13",MCDM_Settings!$F$11,MCDM_Settings!$D$11))</f>
        <v>0.33333333333333331</v>
      </c>
      <c r="AU203" s="5" t="str">
        <f>IF(AND(INDEX(Manual_Review!$G$6:$G$238,MATCH(A203,Manual_Review!$A$6:$A$238,0))&lt;&gt;"",ISNUMBER(INDEX(Manual_Review!$H$6:$H$238,MATCH(A203,Manual_Review!$A$6:$A$238,0))),INDEX(Manual_Review!$H$6:$H$238,MATCH(A203,Manual_Review!$A$6:$A$238,0))&gt;0,INDEX(Manual_Review!$I$6:$I$238,MATCH(A203,Manual_Review!$A$6:$A$238,0))="Confirmed",INDEX(Manual_Review!$AF$6:$AF$238,MATCH(A203,Manual_Review!$A$6:$A$238,0))&lt;&gt;""),IF(INDEX(Manual_Review!$AA$6:$AA$238,MATCH(A203,Manual_Review!$A$6:$A$238,0))="Pass","Pass",IF(INDEX(Manual_Review!$AA$6:$AA$238,MATCH(A203,Manual_Review!$A$6:$A$238,0))="Fail","Fail","Pending")),"Pending human identity confirmation")</f>
        <v>Pending human identity confirmation</v>
      </c>
      <c r="AV203" s="5" t="str">
        <f>IF(AND(AND(INDEX(Manual_Review!$G$6:$G$238,MATCH(A203,Manual_Review!$A$6:$A$238,0))&lt;&gt;"",ISNUMBER(INDEX(Manual_Review!$H$6:$H$238,MATCH(A203,Manual_Review!$A$6:$A$238,0))),INDEX(Manual_Review!$H$6:$H$238,MATCH(A203,Manual_Review!$A$6:$A$238,0))&gt;0,INDEX(Manual_Review!$I$6:$I$238,MATCH(A203,Manual_Review!$A$6:$A$238,0))="Confirmed",INDEX(Manual_Review!$AF$6:$AF$238,MATCH(A203,Manual_Review!$A$6:$A$238,0))&lt;&gt;""),INDEX(Manual_Review!$AG$6:$AG$238,MATCH(A203,Manual_Review!$A$6:$A$238,0))&lt;&gt;""),IF(INDEX(Manual_Review!$AB$6:$AB$238,MATCH(A203,Manual_Review!$A$6:$A$238,0))="Pass","Pass",IF(INDEX(Manual_Review!$AB$6:$AB$238,MATCH(A203,Manual_Review!$A$6:$A$238,0))="Fail","Fail","Pending")),"Not assessed: define intended task")</f>
        <v>Not assessed: define intended task</v>
      </c>
      <c r="AW203" s="5" t="str">
        <f>IF(AND(AND(INDEX(Manual_Review!$G$6:$G$238,MATCH(A203,Manual_Review!$A$6:$A$238,0))&lt;&gt;"",ISNUMBER(INDEX(Manual_Review!$H$6:$H$238,MATCH(A203,Manual_Review!$A$6:$A$238,0))),INDEX(Manual_Review!$H$6:$H$238,MATCH(A203,Manual_Review!$A$6:$A$238,0))&gt;0,INDEX(Manual_Review!$I$6:$I$238,MATCH(A203,Manual_Review!$A$6:$A$238,0))="Confirmed",INDEX(Manual_Review!$AF$6:$AF$238,MATCH(A203,Manual_Review!$A$6:$A$238,0))&lt;&gt;""),INDEX(Manual_Review!$AG$6:$AG$238,MATCH(A203,Manual_Review!$A$6:$A$238,0))&lt;&gt;""),IF(OR(INDEX(Manual_Review!$AC$6:$AC$238,MATCH(A203,Manual_Review!$A$6:$A$238,0))="Fail",INDEX(Manual_Review!$AD$6:$AD$238,MATCH(A203,Manual_Review!$A$6:$A$238,0))="Fail"),"Fail: rights or retrieval",IF(AND(INDEX(Manual_Review!$AC$6:$AC$238,MATCH(A203,Manual_Review!$A$6:$A$238,0))="Pass",INDEX(Manual_Review!$AD$6:$AD$238,MATCH(A203,Manual_Review!$A$6:$A$238,0))="Pass"),"Pass","Pending rights and retrieval")),"Pending rights and retrieval")</f>
        <v>Pending rights and retrieval</v>
      </c>
      <c r="AX203" s="5" t="str">
        <f>IF(INDEX(Manual_Review!$AG$6:$AG$238,MATCH(A203,Manual_Review!$A$6:$A$238,0))="","N/A: documentation inventory",IF(AND(INDEX(Manual_Review!$G$6:$G$238,MATCH(A203,Manual_Review!$A$6:$A$238,0))&lt;&gt;"",ISNUMBER(INDEX(Manual_Review!$H$6:$H$238,MATCH(A203,Manual_Review!$A$6:$A$238,0))),INDEX(Manual_Review!$H$6:$H$238,MATCH(A203,Manual_Review!$A$6:$A$238,0))&gt;0,INDEX(Manual_Review!$I$6:$I$238,MATCH(A203,Manual_Review!$A$6:$A$238,0))="Confirmed",INDEX(Manual_Review!$AF$6:$AF$238,MATCH(A203,Manual_Review!$A$6:$A$238,0))&lt;&gt;""),IF(INDEX(Manual_Review!$AE$6:$AE$238,MATCH(A203,Manual_Review!$A$6:$A$238,0))="Pass","Pass",IF(INDEX(Manual_Review!$AE$6:$AE$238,MATCH(A203,Manual_Review!$A$6:$A$238,0))="Fail","Fail: benchmark leakage",IF(INDEX(Manual_Review!$AE$6:$AE$238,MATCH(A203,Manual_Review!$A$6:$A$238,0))="N/A","N/A: nonbenchmark task","Pending task-specific leakage check"))),"Pending task-specific leakage check"))</f>
        <v>N/A: documentation inventory</v>
      </c>
      <c r="AY203" s="5" t="str">
        <f>IF(IF(D203="Unlabeled-13",AND(ABS(MCDM_Settings!$D$14-1)&lt;0.0000001,MIN(MCDM_Settings!$E$6:$E$11)&gt;=0,MCDM_Settings!$E$7=0),AND(ABS(MCDM_Settings!$B$14-1)&lt;0.0000001,MIN(MCDM_Settings!$C$6:$C$11)&gt;=0)),"Valid","Check weights")</f>
        <v>Valid</v>
      </c>
      <c r="AZ203" s="5" t="str">
        <f>IF(AND(COUNTIF(MCDM_Checks!$B$6:$B$3733,A203)=16,COUNTIF(Manual_Review!$A$6:$A$238,A203)=1),"16 keys present","Check key count")</f>
        <v>16 keys present</v>
      </c>
    </row>
    <row r="204" spans="1:52">
      <c r="A204" s="5" t="s">
        <v>2281</v>
      </c>
      <c r="B204" s="5" t="s">
        <v>2282</v>
      </c>
      <c r="C204" s="5"/>
      <c r="D204" s="5" t="s">
        <v>118</v>
      </c>
      <c r="E204" s="12">
        <f>IF(OR(AY204&lt;&gt;"Valid",AZ204&lt;&gt;"16 keys present"),"Review settings",20*(IF(ISNUMBER(AC204),AC204*IF($D204="Unlabeled-13",MCDM_Settings!$E$6,MCDM_Settings!$C$6),0)+IF(ISNUMBER(AF204),AF204*IF($D204="Unlabeled-13",MCDM_Settings!$E$7,MCDM_Settings!$C$7),0)+IF(ISNUMBER(AI204),AI204*IF($D204="Unlabeled-13",MCDM_Settings!$E$8,MCDM_Settings!$C$8),0)+IF(ISNUMBER(AL204),AL204*IF($D204="Unlabeled-13",MCDM_Settings!$E$9,MCDM_Settings!$C$9),0)+IF(ISNUMBER(AO204),AO204*IF($D204="Unlabeled-13",MCDM_Settings!$E$10,MCDM_Settings!$C$10),0)+IF(ISNUMBER(AR204),AR204*IF($D204="Unlabeled-13",MCDM_Settings!$E$11,MCDM_Settings!$C$11),0)))</f>
        <v>44.444444444444436</v>
      </c>
      <c r="F204" s="12">
        <f>IF(OR(AY204&lt;&gt;"Valid",AZ204&lt;&gt;"16 keys present"),"Review settings",20*(IF(ISNUMBER(AD204),AD204*IF($D204="Unlabeled-13",MCDM_Settings!$E$6,MCDM_Settings!$C$6),0)+IF(ISNUMBER(AG204),AG204*IF($D204="Unlabeled-13",MCDM_Settings!$E$7,MCDM_Settings!$C$7),0)+IF(ISNUMBER(AJ204),AJ204*IF($D204="Unlabeled-13",MCDM_Settings!$E$8,MCDM_Settings!$C$8),0)+IF(ISNUMBER(AM204),AM204*IF($D204="Unlabeled-13",MCDM_Settings!$E$9,MCDM_Settings!$C$9),0)+IF(ISNUMBER(AP204),AP204*IF($D204="Unlabeled-13",MCDM_Settings!$E$10,MCDM_Settings!$C$10),0)+IF(ISNUMBER(AS204),AS204*IF($D204="Unlabeled-13",MCDM_Settings!$E$11,MCDM_Settings!$C$11),0)))</f>
        <v>99.999999999999986</v>
      </c>
      <c r="G204" s="13">
        <f>IF(OR(AY204&lt;&gt;"Valid",AZ204&lt;&gt;"16 keys present"),"Review settings",1*(IF(ISNUMBER(AE204),AE204*IF($D204="Unlabeled-13",MCDM_Settings!$E$6,MCDM_Settings!$C$6),0)+IF(ISNUMBER(AH204),AH204*IF($D204="Unlabeled-13",MCDM_Settings!$E$7,MCDM_Settings!$C$7),0)+IF(ISNUMBER(AK204),AK204*IF($D204="Unlabeled-13",MCDM_Settings!$E$8,MCDM_Settings!$C$8),0)+IF(ISNUMBER(AN204),AN204*IF($D204="Unlabeled-13",MCDM_Settings!$E$9,MCDM_Settings!$C$9),0)+IF(ISNUMBER(AQ204),AQ204*IF($D204="Unlabeled-13",MCDM_Settings!$E$10,MCDM_Settings!$C$10),0)+IF(ISNUMBER(AT204),AT204*IF($D204="Unlabeled-13",MCDM_Settings!$E$11,MCDM_Settings!$C$11),0)))</f>
        <v>0.44444444444444442</v>
      </c>
      <c r="H204" s="5" t="str">
        <f>INDEX(Manual_Review!$AH$6:$AH$238,MATCH(A204,Manual_Review!$A$6:$A$238,0))</f>
        <v>Not started</v>
      </c>
      <c r="I204" s="5" t="s">
        <v>182</v>
      </c>
      <c r="J204" s="5" t="s">
        <v>2283</v>
      </c>
      <c r="K204" s="5" t="str">
        <f>HYPERLINK("https://github.com/aimotive/aimotive_dataset","Dataset")</f>
        <v>Dataset</v>
      </c>
      <c r="L204" s="5" t="str">
        <f>HYPERLINK("#'Manual_Review'!A"&amp;(MATCH("DS-199",Manual_Review!$A$6:$A$238,0)+5),"Enter review")</f>
        <v>Enter review</v>
      </c>
      <c r="M204" s="5" t="str">
        <f>INDEX(MCDM_Checks!$K$6:$K$3733,MATCH(A204&amp;"|"&amp;M$5,MCDM_Checks!$A$6:$A$3733,0))</f>
        <v>Y</v>
      </c>
      <c r="N204" s="5" t="str">
        <f>INDEX(MCDM_Checks!$K$6:$K$3733,MATCH(A204&amp;"|"&amp;N$5,MCDM_Checks!$A$6:$A$3733,0))</f>
        <v>Y</v>
      </c>
      <c r="O204" s="5" t="str">
        <f>INDEX(MCDM_Checks!$K$6:$K$3733,MATCH(A204&amp;"|"&amp;O$5,MCDM_Checks!$A$6:$A$3733,0))</f>
        <v>Y</v>
      </c>
      <c r="P204" s="5" t="str">
        <f>INDEX(MCDM_Checks!$K$6:$K$3733,MATCH(A204&amp;"|"&amp;P$5,MCDM_Checks!$A$6:$A$3733,0))</f>
        <v>U</v>
      </c>
      <c r="Q204" s="5" t="str">
        <f>INDEX(MCDM_Checks!$K$6:$K$3733,MATCH(A204&amp;"|"&amp;Q$5,MCDM_Checks!$A$6:$A$3733,0))</f>
        <v>U</v>
      </c>
      <c r="R204" s="5" t="str">
        <f>INDEX(MCDM_Checks!$K$6:$K$3733,MATCH(A204&amp;"|"&amp;R$5,MCDM_Checks!$A$6:$A$3733,0))</f>
        <v>U</v>
      </c>
      <c r="S204" s="5" t="str">
        <f>INDEX(MCDM_Checks!$K$6:$K$3733,MATCH(A204&amp;"|"&amp;S$5,MCDM_Checks!$A$6:$A$3733,0))</f>
        <v>U</v>
      </c>
      <c r="T204" s="5" t="str">
        <f>INDEX(MCDM_Checks!$K$6:$K$3733,MATCH(A204&amp;"|"&amp;T$5,MCDM_Checks!$A$6:$A$3733,0))</f>
        <v>Y</v>
      </c>
      <c r="U204" s="5" t="str">
        <f>INDEX(MCDM_Checks!$K$6:$K$3733,MATCH(A204&amp;"|"&amp;U$5,MCDM_Checks!$A$6:$A$3733,0))</f>
        <v>U</v>
      </c>
      <c r="V204" s="5" t="str">
        <f>INDEX(MCDM_Checks!$K$6:$K$3733,MATCH(A204&amp;"|"&amp;V$5,MCDM_Checks!$A$6:$A$3733,0))</f>
        <v>Y</v>
      </c>
      <c r="W204" s="5" t="str">
        <f>INDEX(MCDM_Checks!$K$6:$K$3733,MATCH(A204&amp;"|"&amp;W$5,MCDM_Checks!$A$6:$A$3733,0))</f>
        <v>U</v>
      </c>
      <c r="X204" s="5" t="str">
        <f>INDEX(MCDM_Checks!$K$6:$K$3733,MATCH(A204&amp;"|"&amp;X$5,MCDM_Checks!$A$6:$A$3733,0))</f>
        <v>U</v>
      </c>
      <c r="Y204" s="5" t="str">
        <f>INDEX(MCDM_Checks!$K$6:$K$3733,MATCH(A204&amp;"|"&amp;Y$5,MCDM_Checks!$A$6:$A$3733,0))</f>
        <v>Y</v>
      </c>
      <c r="Z204" s="5" t="str">
        <f>INDEX(MCDM_Checks!$K$6:$K$3733,MATCH(A204&amp;"|"&amp;Z$5,MCDM_Checks!$A$6:$A$3733,0))</f>
        <v>Y</v>
      </c>
      <c r="AA204" s="5" t="str">
        <f>INDEX(MCDM_Checks!$K$6:$K$3733,MATCH(A204&amp;"|"&amp;AA$5,MCDM_Checks!$A$6:$A$3733,0))</f>
        <v>U</v>
      </c>
      <c r="AB204" s="5" t="str">
        <f>INDEX(MCDM_Checks!$K$6:$K$3733,MATCH(A204&amp;"|"&amp;AB$5,MCDM_Checks!$A$6:$A$3733,0))</f>
        <v>U</v>
      </c>
      <c r="AC204" s="12">
        <f>IF(IF($D204="Unlabeled-13",MCDM_Settings!$F$6,MCDM_Settings!$D$6)=0,"n.a.",5*COUNTIF(M204:O204,"Y")/IF($D204="Unlabeled-13",MCDM_Settings!$F$6,MCDM_Settings!$D$6))</f>
        <v>5</v>
      </c>
      <c r="AD204" s="12">
        <f>IF(IF($D204="Unlabeled-13",MCDM_Settings!$F$6,MCDM_Settings!$D$6)=0,"n.a.",5*(COUNTIF(M204:O204,"Y")+COUNTIF(M204:O204,"U")+COUNTIF(M204:O204,"X"))/IF($D204="Unlabeled-13",MCDM_Settings!$F$6,MCDM_Settings!$D$6))</f>
        <v>5</v>
      </c>
      <c r="AE204" s="13">
        <f>IF(IF($D204="Unlabeled-13",MCDM_Settings!$F$6,MCDM_Settings!$D$6)=0,"n.a.",(COUNTIF(M204:O204,"Y")+COUNTIF(M204:O204,"N"))/IF($D204="Unlabeled-13",MCDM_Settings!$F$6,MCDM_Settings!$D$6))</f>
        <v>1</v>
      </c>
      <c r="AF204" s="12">
        <f>IF(IF($D204="Unlabeled-13",MCDM_Settings!$F$7,MCDM_Settings!$D$7)=0,"n.a.",5*COUNTIF(P204:R204,"Y")/IF($D204="Unlabeled-13",MCDM_Settings!$F$7,MCDM_Settings!$D$7))</f>
        <v>0</v>
      </c>
      <c r="AG204" s="12">
        <f>IF(IF($D204="Unlabeled-13",MCDM_Settings!$F$7,MCDM_Settings!$D$7)=0,"n.a.",5*(COUNTIF(P204:R204,"Y")+COUNTIF(P204:R204,"U")+COUNTIF(P204:R204,"X"))/IF($D204="Unlabeled-13",MCDM_Settings!$F$7,MCDM_Settings!$D$7))</f>
        <v>5</v>
      </c>
      <c r="AH204" s="13">
        <f>IF(IF($D204="Unlabeled-13",MCDM_Settings!$F$7,MCDM_Settings!$D$7)=0,"n.a.",(COUNTIF(P204:R204,"Y")+COUNTIF(P204:R204,"N"))/IF($D204="Unlabeled-13",MCDM_Settings!$F$7,MCDM_Settings!$D$7))</f>
        <v>0</v>
      </c>
      <c r="AI204" s="12">
        <f>IF(IF($D204="Unlabeled-13",MCDM_Settings!$F$8,MCDM_Settings!$D$8)=0,"n.a.",5*COUNTIF(S204:U204,"Y")/IF($D204="Unlabeled-13",MCDM_Settings!$F$8,MCDM_Settings!$D$8))</f>
        <v>1.6666666666666667</v>
      </c>
      <c r="AJ204" s="12">
        <f>IF(IF($D204="Unlabeled-13",MCDM_Settings!$F$8,MCDM_Settings!$D$8)=0,"n.a.",5*(COUNTIF(S204:U204,"Y")+COUNTIF(S204:U204,"U")+COUNTIF(S204:U204,"X"))/IF($D204="Unlabeled-13",MCDM_Settings!$F$8,MCDM_Settings!$D$8))</f>
        <v>5</v>
      </c>
      <c r="AK204" s="13">
        <f>IF(IF($D204="Unlabeled-13",MCDM_Settings!$F$8,MCDM_Settings!$D$8)=0,"n.a.",(COUNTIF(S204:U204,"Y")+COUNTIF(S204:U204,"N"))/IF($D204="Unlabeled-13",MCDM_Settings!$F$8,MCDM_Settings!$D$8))</f>
        <v>0.33333333333333331</v>
      </c>
      <c r="AL204" s="12">
        <f>IF(IF($D204="Unlabeled-13",MCDM_Settings!$F$9,MCDM_Settings!$D$9)=0,"n.a.",5*COUNTIF(V204:W204,"Y")/IF($D204="Unlabeled-13",MCDM_Settings!$F$9,MCDM_Settings!$D$9))</f>
        <v>2.5</v>
      </c>
      <c r="AM204" s="12">
        <f>IF(IF($D204="Unlabeled-13",MCDM_Settings!$F$9,MCDM_Settings!$D$9)=0,"n.a.",5*(COUNTIF(V204:W204,"Y")+COUNTIF(V204:W204,"U")+COUNTIF(V204:W204,"X"))/IF($D204="Unlabeled-13",MCDM_Settings!$F$9,MCDM_Settings!$D$9))</f>
        <v>5</v>
      </c>
      <c r="AN204" s="13">
        <f>IF(IF($D204="Unlabeled-13",MCDM_Settings!$F$9,MCDM_Settings!$D$9)=0,"n.a.",(COUNTIF(V204:W204,"Y")+COUNTIF(V204:W204,"N"))/IF($D204="Unlabeled-13",MCDM_Settings!$F$9,MCDM_Settings!$D$9))</f>
        <v>0.5</v>
      </c>
      <c r="AO204" s="12">
        <f>IF(IF($D204="Unlabeled-13",MCDM_Settings!$F$10,MCDM_Settings!$D$10)=0,"n.a.",5*COUNTIF(X204:Y204,"Y")/IF($D204="Unlabeled-13",MCDM_Settings!$F$10,MCDM_Settings!$D$10))</f>
        <v>2.5</v>
      </c>
      <c r="AP204" s="12">
        <f>IF(IF($D204="Unlabeled-13",MCDM_Settings!$F$10,MCDM_Settings!$D$10)=0,"n.a.",5*(COUNTIF(X204:Y204,"Y")+COUNTIF(X204:Y204,"U")+COUNTIF(X204:Y204,"X"))/IF($D204="Unlabeled-13",MCDM_Settings!$F$10,MCDM_Settings!$D$10))</f>
        <v>5</v>
      </c>
      <c r="AQ204" s="13">
        <f>IF(IF($D204="Unlabeled-13",MCDM_Settings!$F$10,MCDM_Settings!$D$10)=0,"n.a.",(COUNTIF(X204:Y204,"Y")+COUNTIF(X204:Y204,"N"))/IF($D204="Unlabeled-13",MCDM_Settings!$F$10,MCDM_Settings!$D$10))</f>
        <v>0.5</v>
      </c>
      <c r="AR204" s="12">
        <f>IF(IF($D204="Unlabeled-13",MCDM_Settings!$F$11,MCDM_Settings!$D$11)=0,"n.a.",5*COUNTIF(Z204:AB204,"Y")/IF($D204="Unlabeled-13",MCDM_Settings!$F$11,MCDM_Settings!$D$11))</f>
        <v>1.6666666666666667</v>
      </c>
      <c r="AS204" s="12">
        <f>IF(IF($D204="Unlabeled-13",MCDM_Settings!$F$11,MCDM_Settings!$D$11)=0,"n.a.",5*(COUNTIF(Z204:AB204,"Y")+COUNTIF(Z204:AB204,"U")+COUNTIF(Z204:AB204,"X"))/IF($D204="Unlabeled-13",MCDM_Settings!$F$11,MCDM_Settings!$D$11))</f>
        <v>5</v>
      </c>
      <c r="AT204" s="13">
        <f>IF(IF($D204="Unlabeled-13",MCDM_Settings!$F$11,MCDM_Settings!$D$11)=0,"n.a.",(COUNTIF(Z204:AB204,"Y")+COUNTIF(Z204:AB204,"N"))/IF($D204="Unlabeled-13",MCDM_Settings!$F$11,MCDM_Settings!$D$11))</f>
        <v>0.33333333333333331</v>
      </c>
      <c r="AU204" s="5" t="str">
        <f>IF(AND(INDEX(Manual_Review!$G$6:$G$238,MATCH(A204,Manual_Review!$A$6:$A$238,0))&lt;&gt;"",ISNUMBER(INDEX(Manual_Review!$H$6:$H$238,MATCH(A204,Manual_Review!$A$6:$A$238,0))),INDEX(Manual_Review!$H$6:$H$238,MATCH(A204,Manual_Review!$A$6:$A$238,0))&gt;0,INDEX(Manual_Review!$I$6:$I$238,MATCH(A204,Manual_Review!$A$6:$A$238,0))="Confirmed",INDEX(Manual_Review!$AF$6:$AF$238,MATCH(A204,Manual_Review!$A$6:$A$238,0))&lt;&gt;""),IF(INDEX(Manual_Review!$AA$6:$AA$238,MATCH(A204,Manual_Review!$A$6:$A$238,0))="Pass","Pass",IF(INDEX(Manual_Review!$AA$6:$AA$238,MATCH(A204,Manual_Review!$A$6:$A$238,0))="Fail","Fail","Pending")),"Pending human identity confirmation")</f>
        <v>Pending human identity confirmation</v>
      </c>
      <c r="AV204" s="5" t="str">
        <f>IF(AND(AND(INDEX(Manual_Review!$G$6:$G$238,MATCH(A204,Manual_Review!$A$6:$A$238,0))&lt;&gt;"",ISNUMBER(INDEX(Manual_Review!$H$6:$H$238,MATCH(A204,Manual_Review!$A$6:$A$238,0))),INDEX(Manual_Review!$H$6:$H$238,MATCH(A204,Manual_Review!$A$6:$A$238,0))&gt;0,INDEX(Manual_Review!$I$6:$I$238,MATCH(A204,Manual_Review!$A$6:$A$238,0))="Confirmed",INDEX(Manual_Review!$AF$6:$AF$238,MATCH(A204,Manual_Review!$A$6:$A$238,0))&lt;&gt;""),INDEX(Manual_Review!$AG$6:$AG$238,MATCH(A204,Manual_Review!$A$6:$A$238,0))&lt;&gt;""),IF(INDEX(Manual_Review!$AB$6:$AB$238,MATCH(A204,Manual_Review!$A$6:$A$238,0))="Pass","Pass",IF(INDEX(Manual_Review!$AB$6:$AB$238,MATCH(A204,Manual_Review!$A$6:$A$238,0))="Fail","Fail","Pending")),"Not assessed: define intended task")</f>
        <v>Not assessed: define intended task</v>
      </c>
      <c r="AW204" s="5" t="str">
        <f>IF(AND(AND(INDEX(Manual_Review!$G$6:$G$238,MATCH(A204,Manual_Review!$A$6:$A$238,0))&lt;&gt;"",ISNUMBER(INDEX(Manual_Review!$H$6:$H$238,MATCH(A204,Manual_Review!$A$6:$A$238,0))),INDEX(Manual_Review!$H$6:$H$238,MATCH(A204,Manual_Review!$A$6:$A$238,0))&gt;0,INDEX(Manual_Review!$I$6:$I$238,MATCH(A204,Manual_Review!$A$6:$A$238,0))="Confirmed",INDEX(Manual_Review!$AF$6:$AF$238,MATCH(A204,Manual_Review!$A$6:$A$238,0))&lt;&gt;""),INDEX(Manual_Review!$AG$6:$AG$238,MATCH(A204,Manual_Review!$A$6:$A$238,0))&lt;&gt;""),IF(OR(INDEX(Manual_Review!$AC$6:$AC$238,MATCH(A204,Manual_Review!$A$6:$A$238,0))="Fail",INDEX(Manual_Review!$AD$6:$AD$238,MATCH(A204,Manual_Review!$A$6:$A$238,0))="Fail"),"Fail: rights or retrieval",IF(AND(INDEX(Manual_Review!$AC$6:$AC$238,MATCH(A204,Manual_Review!$A$6:$A$238,0))="Pass",INDEX(Manual_Review!$AD$6:$AD$238,MATCH(A204,Manual_Review!$A$6:$A$238,0))="Pass"),"Pass","Pending rights and retrieval")),"Pending rights and retrieval")</f>
        <v>Pending rights and retrieval</v>
      </c>
      <c r="AX204" s="5" t="str">
        <f>IF(INDEX(Manual_Review!$AG$6:$AG$238,MATCH(A204,Manual_Review!$A$6:$A$238,0))="","N/A: documentation inventory",IF(AND(INDEX(Manual_Review!$G$6:$G$238,MATCH(A204,Manual_Review!$A$6:$A$238,0))&lt;&gt;"",ISNUMBER(INDEX(Manual_Review!$H$6:$H$238,MATCH(A204,Manual_Review!$A$6:$A$238,0))),INDEX(Manual_Review!$H$6:$H$238,MATCH(A204,Manual_Review!$A$6:$A$238,0))&gt;0,INDEX(Manual_Review!$I$6:$I$238,MATCH(A204,Manual_Review!$A$6:$A$238,0))="Confirmed",INDEX(Manual_Review!$AF$6:$AF$238,MATCH(A204,Manual_Review!$A$6:$A$238,0))&lt;&gt;""),IF(INDEX(Manual_Review!$AE$6:$AE$238,MATCH(A204,Manual_Review!$A$6:$A$238,0))="Pass","Pass",IF(INDEX(Manual_Review!$AE$6:$AE$238,MATCH(A204,Manual_Review!$A$6:$A$238,0))="Fail","Fail: benchmark leakage",IF(INDEX(Manual_Review!$AE$6:$AE$238,MATCH(A204,Manual_Review!$A$6:$A$238,0))="N/A","N/A: nonbenchmark task","Pending task-specific leakage check"))),"Pending task-specific leakage check"))</f>
        <v>N/A: documentation inventory</v>
      </c>
      <c r="AY204" s="5" t="str">
        <f>IF(IF(D204="Unlabeled-13",AND(ABS(MCDM_Settings!$D$14-1)&lt;0.0000001,MIN(MCDM_Settings!$E$6:$E$11)&gt;=0,MCDM_Settings!$E$7=0),AND(ABS(MCDM_Settings!$B$14-1)&lt;0.0000001,MIN(MCDM_Settings!$C$6:$C$11)&gt;=0)),"Valid","Check weights")</f>
        <v>Valid</v>
      </c>
      <c r="AZ204" s="5" t="str">
        <f>IF(AND(COUNTIF(MCDM_Checks!$B$6:$B$3733,A204)=16,COUNTIF(Manual_Review!$A$6:$A$238,A204)=1),"16 keys present","Check key count")</f>
        <v>16 keys present</v>
      </c>
    </row>
    <row r="205" spans="1:52">
      <c r="A205" s="5" t="s">
        <v>2295</v>
      </c>
      <c r="B205" s="5" t="s">
        <v>2296</v>
      </c>
      <c r="C205" s="5"/>
      <c r="D205" s="5" t="s">
        <v>118</v>
      </c>
      <c r="E205" s="12">
        <f>IF(OR(AY205&lt;&gt;"Valid",AZ205&lt;&gt;"16 keys present"),"Review settings",20*(IF(ISNUMBER(AC205),AC205*IF($D205="Unlabeled-13",MCDM_Settings!$E$6,MCDM_Settings!$C$6),0)+IF(ISNUMBER(AF205),AF205*IF($D205="Unlabeled-13",MCDM_Settings!$E$7,MCDM_Settings!$C$7),0)+IF(ISNUMBER(AI205),AI205*IF($D205="Unlabeled-13",MCDM_Settings!$E$8,MCDM_Settings!$C$8),0)+IF(ISNUMBER(AL205),AL205*IF($D205="Unlabeled-13",MCDM_Settings!$E$9,MCDM_Settings!$C$9),0)+IF(ISNUMBER(AO205),AO205*IF($D205="Unlabeled-13",MCDM_Settings!$E$10,MCDM_Settings!$C$10),0)+IF(ISNUMBER(AR205),AR205*IF($D205="Unlabeled-13",MCDM_Settings!$E$11,MCDM_Settings!$C$11),0)))</f>
        <v>63.888888888888893</v>
      </c>
      <c r="F205" s="12">
        <f>IF(OR(AY205&lt;&gt;"Valid",AZ205&lt;&gt;"16 keys present"),"Review settings",20*(IF(ISNUMBER(AD205),AD205*IF($D205="Unlabeled-13",MCDM_Settings!$E$6,MCDM_Settings!$C$6),0)+IF(ISNUMBER(AG205),AG205*IF($D205="Unlabeled-13",MCDM_Settings!$E$7,MCDM_Settings!$C$7),0)+IF(ISNUMBER(AJ205),AJ205*IF($D205="Unlabeled-13",MCDM_Settings!$E$8,MCDM_Settings!$C$8),0)+IF(ISNUMBER(AM205),AM205*IF($D205="Unlabeled-13",MCDM_Settings!$E$9,MCDM_Settings!$C$9),0)+IF(ISNUMBER(AP205),AP205*IF($D205="Unlabeled-13",MCDM_Settings!$E$10,MCDM_Settings!$C$10),0)+IF(ISNUMBER(AS205),AS205*IF($D205="Unlabeled-13",MCDM_Settings!$E$11,MCDM_Settings!$C$11),0)))</f>
        <v>99.999999999999986</v>
      </c>
      <c r="G205" s="13">
        <f>IF(OR(AY205&lt;&gt;"Valid",AZ205&lt;&gt;"16 keys present"),"Review settings",1*(IF(ISNUMBER(AE205),AE205*IF($D205="Unlabeled-13",MCDM_Settings!$E$6,MCDM_Settings!$C$6),0)+IF(ISNUMBER(AH205),AH205*IF($D205="Unlabeled-13",MCDM_Settings!$E$7,MCDM_Settings!$C$7),0)+IF(ISNUMBER(AK205),AK205*IF($D205="Unlabeled-13",MCDM_Settings!$E$8,MCDM_Settings!$C$8),0)+IF(ISNUMBER(AN205),AN205*IF($D205="Unlabeled-13",MCDM_Settings!$E$9,MCDM_Settings!$C$9),0)+IF(ISNUMBER(AQ205),AQ205*IF($D205="Unlabeled-13",MCDM_Settings!$E$10,MCDM_Settings!$C$10),0)+IF(ISNUMBER(AT205),AT205*IF($D205="Unlabeled-13",MCDM_Settings!$E$11,MCDM_Settings!$C$11),0)))</f>
        <v>0.63888888888888884</v>
      </c>
      <c r="H205" s="5" t="str">
        <f>INDEX(Manual_Review!$AH$6:$AH$238,MATCH(A205,Manual_Review!$A$6:$A$238,0))</f>
        <v>Not started</v>
      </c>
      <c r="I205" s="5" t="s">
        <v>182</v>
      </c>
      <c r="J205" s="5" t="s">
        <v>2297</v>
      </c>
      <c r="K205" s="5" t="str">
        <f>HYPERLINK("https://apolloscapeauto.github.io/dataset-api/","Dataset")</f>
        <v>Dataset</v>
      </c>
      <c r="L205" s="5" t="str">
        <f>HYPERLINK("#'Manual_Review'!A"&amp;(MATCH("DS-200",Manual_Review!$A$6:$A$238,0)+5),"Enter review")</f>
        <v>Enter review</v>
      </c>
      <c r="M205" s="5" t="str">
        <f>INDEX(MCDM_Checks!$K$6:$K$3733,MATCH(A205&amp;"|"&amp;M$5,MCDM_Checks!$A$6:$A$3733,0))</f>
        <v>Y</v>
      </c>
      <c r="N205" s="5" t="str">
        <f>INDEX(MCDM_Checks!$K$6:$K$3733,MATCH(A205&amp;"|"&amp;N$5,MCDM_Checks!$A$6:$A$3733,0))</f>
        <v>Y</v>
      </c>
      <c r="O205" s="5" t="str">
        <f>INDEX(MCDM_Checks!$K$6:$K$3733,MATCH(A205&amp;"|"&amp;O$5,MCDM_Checks!$A$6:$A$3733,0))</f>
        <v>Y</v>
      </c>
      <c r="P205" s="5" t="str">
        <f>INDEX(MCDM_Checks!$K$6:$K$3733,MATCH(A205&amp;"|"&amp;P$5,MCDM_Checks!$A$6:$A$3733,0))</f>
        <v>Y</v>
      </c>
      <c r="Q205" s="5" t="str">
        <f>INDEX(MCDM_Checks!$K$6:$K$3733,MATCH(A205&amp;"|"&amp;Q$5,MCDM_Checks!$A$6:$A$3733,0))</f>
        <v>U</v>
      </c>
      <c r="R205" s="5" t="str">
        <f>INDEX(MCDM_Checks!$K$6:$K$3733,MATCH(A205&amp;"|"&amp;R$5,MCDM_Checks!$A$6:$A$3733,0))</f>
        <v>U</v>
      </c>
      <c r="S205" s="5" t="str">
        <f>INDEX(MCDM_Checks!$K$6:$K$3733,MATCH(A205&amp;"|"&amp;S$5,MCDM_Checks!$A$6:$A$3733,0))</f>
        <v>U</v>
      </c>
      <c r="T205" s="5" t="str">
        <f>INDEX(MCDM_Checks!$K$6:$K$3733,MATCH(A205&amp;"|"&amp;T$5,MCDM_Checks!$A$6:$A$3733,0))</f>
        <v>Y</v>
      </c>
      <c r="U205" s="5" t="str">
        <f>INDEX(MCDM_Checks!$K$6:$K$3733,MATCH(A205&amp;"|"&amp;U$5,MCDM_Checks!$A$6:$A$3733,0))</f>
        <v>Y</v>
      </c>
      <c r="V205" s="5" t="str">
        <f>INDEX(MCDM_Checks!$K$6:$K$3733,MATCH(A205&amp;"|"&amp;V$5,MCDM_Checks!$A$6:$A$3733,0))</f>
        <v>Y</v>
      </c>
      <c r="W205" s="5" t="str">
        <f>INDEX(MCDM_Checks!$K$6:$K$3733,MATCH(A205&amp;"|"&amp;W$5,MCDM_Checks!$A$6:$A$3733,0))</f>
        <v>U</v>
      </c>
      <c r="X205" s="5" t="str">
        <f>INDEX(MCDM_Checks!$K$6:$K$3733,MATCH(A205&amp;"|"&amp;X$5,MCDM_Checks!$A$6:$A$3733,0))</f>
        <v>Y</v>
      </c>
      <c r="Y205" s="5" t="str">
        <f>INDEX(MCDM_Checks!$K$6:$K$3733,MATCH(A205&amp;"|"&amp;Y$5,MCDM_Checks!$A$6:$A$3733,0))</f>
        <v>Y</v>
      </c>
      <c r="Z205" s="5" t="str">
        <f>INDEX(MCDM_Checks!$K$6:$K$3733,MATCH(A205&amp;"|"&amp;Z$5,MCDM_Checks!$A$6:$A$3733,0))</f>
        <v>Y</v>
      </c>
      <c r="AA205" s="5" t="str">
        <f>INDEX(MCDM_Checks!$K$6:$K$3733,MATCH(A205&amp;"|"&amp;AA$5,MCDM_Checks!$A$6:$A$3733,0))</f>
        <v>U</v>
      </c>
      <c r="AB205" s="5" t="str">
        <f>INDEX(MCDM_Checks!$K$6:$K$3733,MATCH(A205&amp;"|"&amp;AB$5,MCDM_Checks!$A$6:$A$3733,0))</f>
        <v>U</v>
      </c>
      <c r="AC205" s="12">
        <f>IF(IF($D205="Unlabeled-13",MCDM_Settings!$F$6,MCDM_Settings!$D$6)=0,"n.a.",5*COUNTIF(M205:O205,"Y")/IF($D205="Unlabeled-13",MCDM_Settings!$F$6,MCDM_Settings!$D$6))</f>
        <v>5</v>
      </c>
      <c r="AD205" s="12">
        <f>IF(IF($D205="Unlabeled-13",MCDM_Settings!$F$6,MCDM_Settings!$D$6)=0,"n.a.",5*(COUNTIF(M205:O205,"Y")+COUNTIF(M205:O205,"U")+COUNTIF(M205:O205,"X"))/IF($D205="Unlabeled-13",MCDM_Settings!$F$6,MCDM_Settings!$D$6))</f>
        <v>5</v>
      </c>
      <c r="AE205" s="13">
        <f>IF(IF($D205="Unlabeled-13",MCDM_Settings!$F$6,MCDM_Settings!$D$6)=0,"n.a.",(COUNTIF(M205:O205,"Y")+COUNTIF(M205:O205,"N"))/IF($D205="Unlabeled-13",MCDM_Settings!$F$6,MCDM_Settings!$D$6))</f>
        <v>1</v>
      </c>
      <c r="AF205" s="12">
        <f>IF(IF($D205="Unlabeled-13",MCDM_Settings!$F$7,MCDM_Settings!$D$7)=0,"n.a.",5*COUNTIF(P205:R205,"Y")/IF($D205="Unlabeled-13",MCDM_Settings!$F$7,MCDM_Settings!$D$7))</f>
        <v>1.6666666666666667</v>
      </c>
      <c r="AG205" s="12">
        <f>IF(IF($D205="Unlabeled-13",MCDM_Settings!$F$7,MCDM_Settings!$D$7)=0,"n.a.",5*(COUNTIF(P205:R205,"Y")+COUNTIF(P205:R205,"U")+COUNTIF(P205:R205,"X"))/IF($D205="Unlabeled-13",MCDM_Settings!$F$7,MCDM_Settings!$D$7))</f>
        <v>5</v>
      </c>
      <c r="AH205" s="13">
        <f>IF(IF($D205="Unlabeled-13",MCDM_Settings!$F$7,MCDM_Settings!$D$7)=0,"n.a.",(COUNTIF(P205:R205,"Y")+COUNTIF(P205:R205,"N"))/IF($D205="Unlabeled-13",MCDM_Settings!$F$7,MCDM_Settings!$D$7))</f>
        <v>0.33333333333333331</v>
      </c>
      <c r="AI205" s="12">
        <f>IF(IF($D205="Unlabeled-13",MCDM_Settings!$F$8,MCDM_Settings!$D$8)=0,"n.a.",5*COUNTIF(S205:U205,"Y")/IF($D205="Unlabeled-13",MCDM_Settings!$F$8,MCDM_Settings!$D$8))</f>
        <v>3.3333333333333335</v>
      </c>
      <c r="AJ205" s="12">
        <f>IF(IF($D205="Unlabeled-13",MCDM_Settings!$F$8,MCDM_Settings!$D$8)=0,"n.a.",5*(COUNTIF(S205:U205,"Y")+COUNTIF(S205:U205,"U")+COUNTIF(S205:U205,"X"))/IF($D205="Unlabeled-13",MCDM_Settings!$F$8,MCDM_Settings!$D$8))</f>
        <v>5</v>
      </c>
      <c r="AK205" s="13">
        <f>IF(IF($D205="Unlabeled-13",MCDM_Settings!$F$8,MCDM_Settings!$D$8)=0,"n.a.",(COUNTIF(S205:U205,"Y")+COUNTIF(S205:U205,"N"))/IF($D205="Unlabeled-13",MCDM_Settings!$F$8,MCDM_Settings!$D$8))</f>
        <v>0.66666666666666663</v>
      </c>
      <c r="AL205" s="12">
        <f>IF(IF($D205="Unlabeled-13",MCDM_Settings!$F$9,MCDM_Settings!$D$9)=0,"n.a.",5*COUNTIF(V205:W205,"Y")/IF($D205="Unlabeled-13",MCDM_Settings!$F$9,MCDM_Settings!$D$9))</f>
        <v>2.5</v>
      </c>
      <c r="AM205" s="12">
        <f>IF(IF($D205="Unlabeled-13",MCDM_Settings!$F$9,MCDM_Settings!$D$9)=0,"n.a.",5*(COUNTIF(V205:W205,"Y")+COUNTIF(V205:W205,"U")+COUNTIF(V205:W205,"X"))/IF($D205="Unlabeled-13",MCDM_Settings!$F$9,MCDM_Settings!$D$9))</f>
        <v>5</v>
      </c>
      <c r="AN205" s="13">
        <f>IF(IF($D205="Unlabeled-13",MCDM_Settings!$F$9,MCDM_Settings!$D$9)=0,"n.a.",(COUNTIF(V205:W205,"Y")+COUNTIF(V205:W205,"N"))/IF($D205="Unlabeled-13",MCDM_Settings!$F$9,MCDM_Settings!$D$9))</f>
        <v>0.5</v>
      </c>
      <c r="AO205" s="12">
        <f>IF(IF($D205="Unlabeled-13",MCDM_Settings!$F$10,MCDM_Settings!$D$10)=0,"n.a.",5*COUNTIF(X205:Y205,"Y")/IF($D205="Unlabeled-13",MCDM_Settings!$F$10,MCDM_Settings!$D$10))</f>
        <v>5</v>
      </c>
      <c r="AP205" s="12">
        <f>IF(IF($D205="Unlabeled-13",MCDM_Settings!$F$10,MCDM_Settings!$D$10)=0,"n.a.",5*(COUNTIF(X205:Y205,"Y")+COUNTIF(X205:Y205,"U")+COUNTIF(X205:Y205,"X"))/IF($D205="Unlabeled-13",MCDM_Settings!$F$10,MCDM_Settings!$D$10))</f>
        <v>5</v>
      </c>
      <c r="AQ205" s="13">
        <f>IF(IF($D205="Unlabeled-13",MCDM_Settings!$F$10,MCDM_Settings!$D$10)=0,"n.a.",(COUNTIF(X205:Y205,"Y")+COUNTIF(X205:Y205,"N"))/IF($D205="Unlabeled-13",MCDM_Settings!$F$10,MCDM_Settings!$D$10))</f>
        <v>1</v>
      </c>
      <c r="AR205" s="12">
        <f>IF(IF($D205="Unlabeled-13",MCDM_Settings!$F$11,MCDM_Settings!$D$11)=0,"n.a.",5*COUNTIF(Z205:AB205,"Y")/IF($D205="Unlabeled-13",MCDM_Settings!$F$11,MCDM_Settings!$D$11))</f>
        <v>1.6666666666666667</v>
      </c>
      <c r="AS205" s="12">
        <f>IF(IF($D205="Unlabeled-13",MCDM_Settings!$F$11,MCDM_Settings!$D$11)=0,"n.a.",5*(COUNTIF(Z205:AB205,"Y")+COUNTIF(Z205:AB205,"U")+COUNTIF(Z205:AB205,"X"))/IF($D205="Unlabeled-13",MCDM_Settings!$F$11,MCDM_Settings!$D$11))</f>
        <v>5</v>
      </c>
      <c r="AT205" s="13">
        <f>IF(IF($D205="Unlabeled-13",MCDM_Settings!$F$11,MCDM_Settings!$D$11)=0,"n.a.",(COUNTIF(Z205:AB205,"Y")+COUNTIF(Z205:AB205,"N"))/IF($D205="Unlabeled-13",MCDM_Settings!$F$11,MCDM_Settings!$D$11))</f>
        <v>0.33333333333333331</v>
      </c>
      <c r="AU205" s="5" t="str">
        <f>IF(AND(INDEX(Manual_Review!$G$6:$G$238,MATCH(A205,Manual_Review!$A$6:$A$238,0))&lt;&gt;"",ISNUMBER(INDEX(Manual_Review!$H$6:$H$238,MATCH(A205,Manual_Review!$A$6:$A$238,0))),INDEX(Manual_Review!$H$6:$H$238,MATCH(A205,Manual_Review!$A$6:$A$238,0))&gt;0,INDEX(Manual_Review!$I$6:$I$238,MATCH(A205,Manual_Review!$A$6:$A$238,0))="Confirmed",INDEX(Manual_Review!$AF$6:$AF$238,MATCH(A205,Manual_Review!$A$6:$A$238,0))&lt;&gt;""),IF(INDEX(Manual_Review!$AA$6:$AA$238,MATCH(A205,Manual_Review!$A$6:$A$238,0))="Pass","Pass",IF(INDEX(Manual_Review!$AA$6:$AA$238,MATCH(A205,Manual_Review!$A$6:$A$238,0))="Fail","Fail","Pending")),"Pending human identity confirmation")</f>
        <v>Pending human identity confirmation</v>
      </c>
      <c r="AV205" s="5" t="str">
        <f>IF(AND(AND(INDEX(Manual_Review!$G$6:$G$238,MATCH(A205,Manual_Review!$A$6:$A$238,0))&lt;&gt;"",ISNUMBER(INDEX(Manual_Review!$H$6:$H$238,MATCH(A205,Manual_Review!$A$6:$A$238,0))),INDEX(Manual_Review!$H$6:$H$238,MATCH(A205,Manual_Review!$A$6:$A$238,0))&gt;0,INDEX(Manual_Review!$I$6:$I$238,MATCH(A205,Manual_Review!$A$6:$A$238,0))="Confirmed",INDEX(Manual_Review!$AF$6:$AF$238,MATCH(A205,Manual_Review!$A$6:$A$238,0))&lt;&gt;""),INDEX(Manual_Review!$AG$6:$AG$238,MATCH(A205,Manual_Review!$A$6:$A$238,0))&lt;&gt;""),IF(INDEX(Manual_Review!$AB$6:$AB$238,MATCH(A205,Manual_Review!$A$6:$A$238,0))="Pass","Pass",IF(INDEX(Manual_Review!$AB$6:$AB$238,MATCH(A205,Manual_Review!$A$6:$A$238,0))="Fail","Fail","Pending")),"Not assessed: define intended task")</f>
        <v>Not assessed: define intended task</v>
      </c>
      <c r="AW205" s="5" t="str">
        <f>IF(AND(AND(INDEX(Manual_Review!$G$6:$G$238,MATCH(A205,Manual_Review!$A$6:$A$238,0))&lt;&gt;"",ISNUMBER(INDEX(Manual_Review!$H$6:$H$238,MATCH(A205,Manual_Review!$A$6:$A$238,0))),INDEX(Manual_Review!$H$6:$H$238,MATCH(A205,Manual_Review!$A$6:$A$238,0))&gt;0,INDEX(Manual_Review!$I$6:$I$238,MATCH(A205,Manual_Review!$A$6:$A$238,0))="Confirmed",INDEX(Manual_Review!$AF$6:$AF$238,MATCH(A205,Manual_Review!$A$6:$A$238,0))&lt;&gt;""),INDEX(Manual_Review!$AG$6:$AG$238,MATCH(A205,Manual_Review!$A$6:$A$238,0))&lt;&gt;""),IF(OR(INDEX(Manual_Review!$AC$6:$AC$238,MATCH(A205,Manual_Review!$A$6:$A$238,0))="Fail",INDEX(Manual_Review!$AD$6:$AD$238,MATCH(A205,Manual_Review!$A$6:$A$238,0))="Fail"),"Fail: rights or retrieval",IF(AND(INDEX(Manual_Review!$AC$6:$AC$238,MATCH(A205,Manual_Review!$A$6:$A$238,0))="Pass",INDEX(Manual_Review!$AD$6:$AD$238,MATCH(A205,Manual_Review!$A$6:$A$238,0))="Pass"),"Pass","Pending rights and retrieval")),"Pending rights and retrieval")</f>
        <v>Pending rights and retrieval</v>
      </c>
      <c r="AX205" s="5" t="str">
        <f>IF(INDEX(Manual_Review!$AG$6:$AG$238,MATCH(A205,Manual_Review!$A$6:$A$238,0))="","N/A: documentation inventory",IF(AND(INDEX(Manual_Review!$G$6:$G$238,MATCH(A205,Manual_Review!$A$6:$A$238,0))&lt;&gt;"",ISNUMBER(INDEX(Manual_Review!$H$6:$H$238,MATCH(A205,Manual_Review!$A$6:$A$238,0))),INDEX(Manual_Review!$H$6:$H$238,MATCH(A205,Manual_Review!$A$6:$A$238,0))&gt;0,INDEX(Manual_Review!$I$6:$I$238,MATCH(A205,Manual_Review!$A$6:$A$238,0))="Confirmed",INDEX(Manual_Review!$AF$6:$AF$238,MATCH(A205,Manual_Review!$A$6:$A$238,0))&lt;&gt;""),IF(INDEX(Manual_Review!$AE$6:$AE$238,MATCH(A205,Manual_Review!$A$6:$A$238,0))="Pass","Pass",IF(INDEX(Manual_Review!$AE$6:$AE$238,MATCH(A205,Manual_Review!$A$6:$A$238,0))="Fail","Fail: benchmark leakage",IF(INDEX(Manual_Review!$AE$6:$AE$238,MATCH(A205,Manual_Review!$A$6:$A$238,0))="N/A","N/A: nonbenchmark task","Pending task-specific leakage check"))),"Pending task-specific leakage check"))</f>
        <v>N/A: documentation inventory</v>
      </c>
      <c r="AY205" s="5" t="str">
        <f>IF(IF(D205="Unlabeled-13",AND(ABS(MCDM_Settings!$D$14-1)&lt;0.0000001,MIN(MCDM_Settings!$E$6:$E$11)&gt;=0,MCDM_Settings!$E$7=0),AND(ABS(MCDM_Settings!$B$14-1)&lt;0.0000001,MIN(MCDM_Settings!$C$6:$C$11)&gt;=0)),"Valid","Check weights")</f>
        <v>Valid</v>
      </c>
      <c r="AZ205" s="5" t="str">
        <f>IF(AND(COUNTIF(MCDM_Checks!$B$6:$B$3733,A205)=16,COUNTIF(Manual_Review!$A$6:$A$238,A205)=1),"16 keys present","Check key count")</f>
        <v>16 keys present</v>
      </c>
    </row>
    <row r="206" spans="1:52">
      <c r="A206" s="5" t="s">
        <v>2309</v>
      </c>
      <c r="B206" s="5" t="s">
        <v>2310</v>
      </c>
      <c r="C206" s="5"/>
      <c r="D206" s="5" t="s">
        <v>118</v>
      </c>
      <c r="E206" s="12">
        <f>IF(OR(AY206&lt;&gt;"Valid",AZ206&lt;&gt;"16 keys present"),"Review settings",20*(IF(ISNUMBER(AC206),AC206*IF($D206="Unlabeled-13",MCDM_Settings!$E$6,MCDM_Settings!$C$6),0)+IF(ISNUMBER(AF206),AF206*IF($D206="Unlabeled-13",MCDM_Settings!$E$7,MCDM_Settings!$C$7),0)+IF(ISNUMBER(AI206),AI206*IF($D206="Unlabeled-13",MCDM_Settings!$E$8,MCDM_Settings!$C$8),0)+IF(ISNUMBER(AL206),AL206*IF($D206="Unlabeled-13",MCDM_Settings!$E$9,MCDM_Settings!$C$9),0)+IF(ISNUMBER(AO206),AO206*IF($D206="Unlabeled-13",MCDM_Settings!$E$10,MCDM_Settings!$C$10),0)+IF(ISNUMBER(AR206),AR206*IF($D206="Unlabeled-13",MCDM_Settings!$E$11,MCDM_Settings!$C$11),0)))</f>
        <v>63.888888888888872</v>
      </c>
      <c r="F206" s="12">
        <f>IF(OR(AY206&lt;&gt;"Valid",AZ206&lt;&gt;"16 keys present"),"Review settings",20*(IF(ISNUMBER(AD206),AD206*IF($D206="Unlabeled-13",MCDM_Settings!$E$6,MCDM_Settings!$C$6),0)+IF(ISNUMBER(AG206),AG206*IF($D206="Unlabeled-13",MCDM_Settings!$E$7,MCDM_Settings!$C$7),0)+IF(ISNUMBER(AJ206),AJ206*IF($D206="Unlabeled-13",MCDM_Settings!$E$8,MCDM_Settings!$C$8),0)+IF(ISNUMBER(AM206),AM206*IF($D206="Unlabeled-13",MCDM_Settings!$E$9,MCDM_Settings!$C$9),0)+IF(ISNUMBER(AP206),AP206*IF($D206="Unlabeled-13",MCDM_Settings!$E$10,MCDM_Settings!$C$10),0)+IF(ISNUMBER(AS206),AS206*IF($D206="Unlabeled-13",MCDM_Settings!$E$11,MCDM_Settings!$C$11),0)))</f>
        <v>99.999999999999986</v>
      </c>
      <c r="G206" s="13">
        <f>IF(OR(AY206&lt;&gt;"Valid",AZ206&lt;&gt;"16 keys present"),"Review settings",1*(IF(ISNUMBER(AE206),AE206*IF($D206="Unlabeled-13",MCDM_Settings!$E$6,MCDM_Settings!$C$6),0)+IF(ISNUMBER(AH206),AH206*IF($D206="Unlabeled-13",MCDM_Settings!$E$7,MCDM_Settings!$C$7),0)+IF(ISNUMBER(AK206),AK206*IF($D206="Unlabeled-13",MCDM_Settings!$E$8,MCDM_Settings!$C$8),0)+IF(ISNUMBER(AN206),AN206*IF($D206="Unlabeled-13",MCDM_Settings!$E$9,MCDM_Settings!$C$9),0)+IF(ISNUMBER(AQ206),AQ206*IF($D206="Unlabeled-13",MCDM_Settings!$E$10,MCDM_Settings!$C$10),0)+IF(ISNUMBER(AT206),AT206*IF($D206="Unlabeled-13",MCDM_Settings!$E$11,MCDM_Settings!$C$11),0)))</f>
        <v>0.63888888888888884</v>
      </c>
      <c r="H206" s="5" t="str">
        <f>INDEX(Manual_Review!$AH$6:$AH$238,MATCH(A206,Manual_Review!$A$6:$A$238,0))</f>
        <v>Not started</v>
      </c>
      <c r="I206" s="5" t="s">
        <v>182</v>
      </c>
      <c r="J206" s="5" t="s">
        <v>2311</v>
      </c>
      <c r="K206" s="5" t="str">
        <f>HYPERLINK("https://www.argoverse.org/av1.html","Dataset")</f>
        <v>Dataset</v>
      </c>
      <c r="L206" s="5" t="str">
        <f>HYPERLINK("#'Manual_Review'!A"&amp;(MATCH("DS-201",Manual_Review!$A$6:$A$238,0)+5),"Enter review")</f>
        <v>Enter review</v>
      </c>
      <c r="M206" s="5" t="str">
        <f>INDEX(MCDM_Checks!$K$6:$K$3733,MATCH(A206&amp;"|"&amp;M$5,MCDM_Checks!$A$6:$A$3733,0))</f>
        <v>Y</v>
      </c>
      <c r="N206" s="5" t="str">
        <f>INDEX(MCDM_Checks!$K$6:$K$3733,MATCH(A206&amp;"|"&amp;N$5,MCDM_Checks!$A$6:$A$3733,0))</f>
        <v>Y</v>
      </c>
      <c r="O206" s="5" t="str">
        <f>INDEX(MCDM_Checks!$K$6:$K$3733,MATCH(A206&amp;"|"&amp;O$5,MCDM_Checks!$A$6:$A$3733,0))</f>
        <v>Y</v>
      </c>
      <c r="P206" s="5" t="str">
        <f>INDEX(MCDM_Checks!$K$6:$K$3733,MATCH(A206&amp;"|"&amp;P$5,MCDM_Checks!$A$6:$A$3733,0))</f>
        <v>U</v>
      </c>
      <c r="Q206" s="5" t="str">
        <f>INDEX(MCDM_Checks!$K$6:$K$3733,MATCH(A206&amp;"|"&amp;Q$5,MCDM_Checks!$A$6:$A$3733,0))</f>
        <v>U</v>
      </c>
      <c r="R206" s="5" t="str">
        <f>INDEX(MCDM_Checks!$K$6:$K$3733,MATCH(A206&amp;"|"&amp;R$5,MCDM_Checks!$A$6:$A$3733,0))</f>
        <v>U</v>
      </c>
      <c r="S206" s="5" t="str">
        <f>INDEX(MCDM_Checks!$K$6:$K$3733,MATCH(A206&amp;"|"&amp;S$5,MCDM_Checks!$A$6:$A$3733,0))</f>
        <v>Y</v>
      </c>
      <c r="T206" s="5" t="str">
        <f>INDEX(MCDM_Checks!$K$6:$K$3733,MATCH(A206&amp;"|"&amp;T$5,MCDM_Checks!$A$6:$A$3733,0))</f>
        <v>Y</v>
      </c>
      <c r="U206" s="5" t="str">
        <f>INDEX(MCDM_Checks!$K$6:$K$3733,MATCH(A206&amp;"|"&amp;U$5,MCDM_Checks!$A$6:$A$3733,0))</f>
        <v>Y</v>
      </c>
      <c r="V206" s="5" t="str">
        <f>INDEX(MCDM_Checks!$K$6:$K$3733,MATCH(A206&amp;"|"&amp;V$5,MCDM_Checks!$A$6:$A$3733,0))</f>
        <v>Y</v>
      </c>
      <c r="W206" s="5" t="str">
        <f>INDEX(MCDM_Checks!$K$6:$K$3733,MATCH(A206&amp;"|"&amp;W$5,MCDM_Checks!$A$6:$A$3733,0))</f>
        <v>U</v>
      </c>
      <c r="X206" s="5" t="str">
        <f>INDEX(MCDM_Checks!$K$6:$K$3733,MATCH(A206&amp;"|"&amp;X$5,MCDM_Checks!$A$6:$A$3733,0))</f>
        <v>Y</v>
      </c>
      <c r="Y206" s="5" t="str">
        <f>INDEX(MCDM_Checks!$K$6:$K$3733,MATCH(A206&amp;"|"&amp;Y$5,MCDM_Checks!$A$6:$A$3733,0))</f>
        <v>Y</v>
      </c>
      <c r="Z206" s="5" t="str">
        <f>INDEX(MCDM_Checks!$K$6:$K$3733,MATCH(A206&amp;"|"&amp;Z$5,MCDM_Checks!$A$6:$A$3733,0))</f>
        <v>Y</v>
      </c>
      <c r="AA206" s="5" t="str">
        <f>INDEX(MCDM_Checks!$K$6:$K$3733,MATCH(A206&amp;"|"&amp;AA$5,MCDM_Checks!$A$6:$A$3733,0))</f>
        <v>U</v>
      </c>
      <c r="AB206" s="5" t="str">
        <f>INDEX(MCDM_Checks!$K$6:$K$3733,MATCH(A206&amp;"|"&amp;AB$5,MCDM_Checks!$A$6:$A$3733,0))</f>
        <v>U</v>
      </c>
      <c r="AC206" s="12">
        <f>IF(IF($D206="Unlabeled-13",MCDM_Settings!$F$6,MCDM_Settings!$D$6)=0,"n.a.",5*COUNTIF(M206:O206,"Y")/IF($D206="Unlabeled-13",MCDM_Settings!$F$6,MCDM_Settings!$D$6))</f>
        <v>5</v>
      </c>
      <c r="AD206" s="12">
        <f>IF(IF($D206="Unlabeled-13",MCDM_Settings!$F$6,MCDM_Settings!$D$6)=0,"n.a.",5*(COUNTIF(M206:O206,"Y")+COUNTIF(M206:O206,"U")+COUNTIF(M206:O206,"X"))/IF($D206="Unlabeled-13",MCDM_Settings!$F$6,MCDM_Settings!$D$6))</f>
        <v>5</v>
      </c>
      <c r="AE206" s="13">
        <f>IF(IF($D206="Unlabeled-13",MCDM_Settings!$F$6,MCDM_Settings!$D$6)=0,"n.a.",(COUNTIF(M206:O206,"Y")+COUNTIF(M206:O206,"N"))/IF($D206="Unlabeled-13",MCDM_Settings!$F$6,MCDM_Settings!$D$6))</f>
        <v>1</v>
      </c>
      <c r="AF206" s="12">
        <f>IF(IF($D206="Unlabeled-13",MCDM_Settings!$F$7,MCDM_Settings!$D$7)=0,"n.a.",5*COUNTIF(P206:R206,"Y")/IF($D206="Unlabeled-13",MCDM_Settings!$F$7,MCDM_Settings!$D$7))</f>
        <v>0</v>
      </c>
      <c r="AG206" s="12">
        <f>IF(IF($D206="Unlabeled-13",MCDM_Settings!$F$7,MCDM_Settings!$D$7)=0,"n.a.",5*(COUNTIF(P206:R206,"Y")+COUNTIF(P206:R206,"U")+COUNTIF(P206:R206,"X"))/IF($D206="Unlabeled-13",MCDM_Settings!$F$7,MCDM_Settings!$D$7))</f>
        <v>5</v>
      </c>
      <c r="AH206" s="13">
        <f>IF(IF($D206="Unlabeled-13",MCDM_Settings!$F$7,MCDM_Settings!$D$7)=0,"n.a.",(COUNTIF(P206:R206,"Y")+COUNTIF(P206:R206,"N"))/IF($D206="Unlabeled-13",MCDM_Settings!$F$7,MCDM_Settings!$D$7))</f>
        <v>0</v>
      </c>
      <c r="AI206" s="12">
        <f>IF(IF($D206="Unlabeled-13",MCDM_Settings!$F$8,MCDM_Settings!$D$8)=0,"n.a.",5*COUNTIF(S206:U206,"Y")/IF($D206="Unlabeled-13",MCDM_Settings!$F$8,MCDM_Settings!$D$8))</f>
        <v>5</v>
      </c>
      <c r="AJ206" s="12">
        <f>IF(IF($D206="Unlabeled-13",MCDM_Settings!$F$8,MCDM_Settings!$D$8)=0,"n.a.",5*(COUNTIF(S206:U206,"Y")+COUNTIF(S206:U206,"U")+COUNTIF(S206:U206,"X"))/IF($D206="Unlabeled-13",MCDM_Settings!$F$8,MCDM_Settings!$D$8))</f>
        <v>5</v>
      </c>
      <c r="AK206" s="13">
        <f>IF(IF($D206="Unlabeled-13",MCDM_Settings!$F$8,MCDM_Settings!$D$8)=0,"n.a.",(COUNTIF(S206:U206,"Y")+COUNTIF(S206:U206,"N"))/IF($D206="Unlabeled-13",MCDM_Settings!$F$8,MCDM_Settings!$D$8))</f>
        <v>1</v>
      </c>
      <c r="AL206" s="12">
        <f>IF(IF($D206="Unlabeled-13",MCDM_Settings!$F$9,MCDM_Settings!$D$9)=0,"n.a.",5*COUNTIF(V206:W206,"Y")/IF($D206="Unlabeled-13",MCDM_Settings!$F$9,MCDM_Settings!$D$9))</f>
        <v>2.5</v>
      </c>
      <c r="AM206" s="12">
        <f>IF(IF($D206="Unlabeled-13",MCDM_Settings!$F$9,MCDM_Settings!$D$9)=0,"n.a.",5*(COUNTIF(V206:W206,"Y")+COUNTIF(V206:W206,"U")+COUNTIF(V206:W206,"X"))/IF($D206="Unlabeled-13",MCDM_Settings!$F$9,MCDM_Settings!$D$9))</f>
        <v>5</v>
      </c>
      <c r="AN206" s="13">
        <f>IF(IF($D206="Unlabeled-13",MCDM_Settings!$F$9,MCDM_Settings!$D$9)=0,"n.a.",(COUNTIF(V206:W206,"Y")+COUNTIF(V206:W206,"N"))/IF($D206="Unlabeled-13",MCDM_Settings!$F$9,MCDM_Settings!$D$9))</f>
        <v>0.5</v>
      </c>
      <c r="AO206" s="12">
        <f>IF(IF($D206="Unlabeled-13",MCDM_Settings!$F$10,MCDM_Settings!$D$10)=0,"n.a.",5*COUNTIF(X206:Y206,"Y")/IF($D206="Unlabeled-13",MCDM_Settings!$F$10,MCDM_Settings!$D$10))</f>
        <v>5</v>
      </c>
      <c r="AP206" s="12">
        <f>IF(IF($D206="Unlabeled-13",MCDM_Settings!$F$10,MCDM_Settings!$D$10)=0,"n.a.",5*(COUNTIF(X206:Y206,"Y")+COUNTIF(X206:Y206,"U")+COUNTIF(X206:Y206,"X"))/IF($D206="Unlabeled-13",MCDM_Settings!$F$10,MCDM_Settings!$D$10))</f>
        <v>5</v>
      </c>
      <c r="AQ206" s="13">
        <f>IF(IF($D206="Unlabeled-13",MCDM_Settings!$F$10,MCDM_Settings!$D$10)=0,"n.a.",(COUNTIF(X206:Y206,"Y")+COUNTIF(X206:Y206,"N"))/IF($D206="Unlabeled-13",MCDM_Settings!$F$10,MCDM_Settings!$D$10))</f>
        <v>1</v>
      </c>
      <c r="AR206" s="12">
        <f>IF(IF($D206="Unlabeled-13",MCDM_Settings!$F$11,MCDM_Settings!$D$11)=0,"n.a.",5*COUNTIF(Z206:AB206,"Y")/IF($D206="Unlabeled-13",MCDM_Settings!$F$11,MCDM_Settings!$D$11))</f>
        <v>1.6666666666666667</v>
      </c>
      <c r="AS206" s="12">
        <f>IF(IF($D206="Unlabeled-13",MCDM_Settings!$F$11,MCDM_Settings!$D$11)=0,"n.a.",5*(COUNTIF(Z206:AB206,"Y")+COUNTIF(Z206:AB206,"U")+COUNTIF(Z206:AB206,"X"))/IF($D206="Unlabeled-13",MCDM_Settings!$F$11,MCDM_Settings!$D$11))</f>
        <v>5</v>
      </c>
      <c r="AT206" s="13">
        <f>IF(IF($D206="Unlabeled-13",MCDM_Settings!$F$11,MCDM_Settings!$D$11)=0,"n.a.",(COUNTIF(Z206:AB206,"Y")+COUNTIF(Z206:AB206,"N"))/IF($D206="Unlabeled-13",MCDM_Settings!$F$11,MCDM_Settings!$D$11))</f>
        <v>0.33333333333333331</v>
      </c>
      <c r="AU206" s="5" t="str">
        <f>IF(AND(INDEX(Manual_Review!$G$6:$G$238,MATCH(A206,Manual_Review!$A$6:$A$238,0))&lt;&gt;"",ISNUMBER(INDEX(Manual_Review!$H$6:$H$238,MATCH(A206,Manual_Review!$A$6:$A$238,0))),INDEX(Manual_Review!$H$6:$H$238,MATCH(A206,Manual_Review!$A$6:$A$238,0))&gt;0,INDEX(Manual_Review!$I$6:$I$238,MATCH(A206,Manual_Review!$A$6:$A$238,0))="Confirmed",INDEX(Manual_Review!$AF$6:$AF$238,MATCH(A206,Manual_Review!$A$6:$A$238,0))&lt;&gt;""),IF(INDEX(Manual_Review!$AA$6:$AA$238,MATCH(A206,Manual_Review!$A$6:$A$238,0))="Pass","Pass",IF(INDEX(Manual_Review!$AA$6:$AA$238,MATCH(A206,Manual_Review!$A$6:$A$238,0))="Fail","Fail","Pending")),"Pending human identity confirmation")</f>
        <v>Pending human identity confirmation</v>
      </c>
      <c r="AV206" s="5" t="str">
        <f>IF(AND(AND(INDEX(Manual_Review!$G$6:$G$238,MATCH(A206,Manual_Review!$A$6:$A$238,0))&lt;&gt;"",ISNUMBER(INDEX(Manual_Review!$H$6:$H$238,MATCH(A206,Manual_Review!$A$6:$A$238,0))),INDEX(Manual_Review!$H$6:$H$238,MATCH(A206,Manual_Review!$A$6:$A$238,0))&gt;0,INDEX(Manual_Review!$I$6:$I$238,MATCH(A206,Manual_Review!$A$6:$A$238,0))="Confirmed",INDEX(Manual_Review!$AF$6:$AF$238,MATCH(A206,Manual_Review!$A$6:$A$238,0))&lt;&gt;""),INDEX(Manual_Review!$AG$6:$AG$238,MATCH(A206,Manual_Review!$A$6:$A$238,0))&lt;&gt;""),IF(INDEX(Manual_Review!$AB$6:$AB$238,MATCH(A206,Manual_Review!$A$6:$A$238,0))="Pass","Pass",IF(INDEX(Manual_Review!$AB$6:$AB$238,MATCH(A206,Manual_Review!$A$6:$A$238,0))="Fail","Fail","Pending")),"Not assessed: define intended task")</f>
        <v>Not assessed: define intended task</v>
      </c>
      <c r="AW206" s="5" t="str">
        <f>IF(AND(AND(INDEX(Manual_Review!$G$6:$G$238,MATCH(A206,Manual_Review!$A$6:$A$238,0))&lt;&gt;"",ISNUMBER(INDEX(Manual_Review!$H$6:$H$238,MATCH(A206,Manual_Review!$A$6:$A$238,0))),INDEX(Manual_Review!$H$6:$H$238,MATCH(A206,Manual_Review!$A$6:$A$238,0))&gt;0,INDEX(Manual_Review!$I$6:$I$238,MATCH(A206,Manual_Review!$A$6:$A$238,0))="Confirmed",INDEX(Manual_Review!$AF$6:$AF$238,MATCH(A206,Manual_Review!$A$6:$A$238,0))&lt;&gt;""),INDEX(Manual_Review!$AG$6:$AG$238,MATCH(A206,Manual_Review!$A$6:$A$238,0))&lt;&gt;""),IF(OR(INDEX(Manual_Review!$AC$6:$AC$238,MATCH(A206,Manual_Review!$A$6:$A$238,0))="Fail",INDEX(Manual_Review!$AD$6:$AD$238,MATCH(A206,Manual_Review!$A$6:$A$238,0))="Fail"),"Fail: rights or retrieval",IF(AND(INDEX(Manual_Review!$AC$6:$AC$238,MATCH(A206,Manual_Review!$A$6:$A$238,0))="Pass",INDEX(Manual_Review!$AD$6:$AD$238,MATCH(A206,Manual_Review!$A$6:$A$238,0))="Pass"),"Pass","Pending rights and retrieval")),"Pending rights and retrieval")</f>
        <v>Pending rights and retrieval</v>
      </c>
      <c r="AX206" s="5" t="str">
        <f>IF(INDEX(Manual_Review!$AG$6:$AG$238,MATCH(A206,Manual_Review!$A$6:$A$238,0))="","N/A: documentation inventory",IF(AND(INDEX(Manual_Review!$G$6:$G$238,MATCH(A206,Manual_Review!$A$6:$A$238,0))&lt;&gt;"",ISNUMBER(INDEX(Manual_Review!$H$6:$H$238,MATCH(A206,Manual_Review!$A$6:$A$238,0))),INDEX(Manual_Review!$H$6:$H$238,MATCH(A206,Manual_Review!$A$6:$A$238,0))&gt;0,INDEX(Manual_Review!$I$6:$I$238,MATCH(A206,Manual_Review!$A$6:$A$238,0))="Confirmed",INDEX(Manual_Review!$AF$6:$AF$238,MATCH(A206,Manual_Review!$A$6:$A$238,0))&lt;&gt;""),IF(INDEX(Manual_Review!$AE$6:$AE$238,MATCH(A206,Manual_Review!$A$6:$A$238,0))="Pass","Pass",IF(INDEX(Manual_Review!$AE$6:$AE$238,MATCH(A206,Manual_Review!$A$6:$A$238,0))="Fail","Fail: benchmark leakage",IF(INDEX(Manual_Review!$AE$6:$AE$238,MATCH(A206,Manual_Review!$A$6:$A$238,0))="N/A","N/A: nonbenchmark task","Pending task-specific leakage check"))),"Pending task-specific leakage check"))</f>
        <v>N/A: documentation inventory</v>
      </c>
      <c r="AY206" s="5" t="str">
        <f>IF(IF(D206="Unlabeled-13",AND(ABS(MCDM_Settings!$D$14-1)&lt;0.0000001,MIN(MCDM_Settings!$E$6:$E$11)&gt;=0,MCDM_Settings!$E$7=0),AND(ABS(MCDM_Settings!$B$14-1)&lt;0.0000001,MIN(MCDM_Settings!$C$6:$C$11)&gt;=0)),"Valid","Check weights")</f>
        <v>Valid</v>
      </c>
      <c r="AZ206" s="5" t="str">
        <f>IF(AND(COUNTIF(MCDM_Checks!$B$6:$B$3733,A206)=16,COUNTIF(Manual_Review!$A$6:$A$238,A206)=1),"16 keys present","Check key count")</f>
        <v>16 keys present</v>
      </c>
    </row>
    <row r="207" spans="1:52">
      <c r="A207" s="5" t="s">
        <v>2323</v>
      </c>
      <c r="B207" s="5" t="s">
        <v>2324</v>
      </c>
      <c r="C207" s="5"/>
      <c r="D207" s="5" t="s">
        <v>118</v>
      </c>
      <c r="E207" s="12">
        <f>IF(OR(AY207&lt;&gt;"Valid",AZ207&lt;&gt;"16 keys present"),"Review settings",20*(IF(ISNUMBER(AC207),AC207*IF($D207="Unlabeled-13",MCDM_Settings!$E$6,MCDM_Settings!$C$6),0)+IF(ISNUMBER(AF207),AF207*IF($D207="Unlabeled-13",MCDM_Settings!$E$7,MCDM_Settings!$C$7),0)+IF(ISNUMBER(AI207),AI207*IF($D207="Unlabeled-13",MCDM_Settings!$E$8,MCDM_Settings!$C$8),0)+IF(ISNUMBER(AL207),AL207*IF($D207="Unlabeled-13",MCDM_Settings!$E$9,MCDM_Settings!$C$9),0)+IF(ISNUMBER(AO207),AO207*IF($D207="Unlabeled-13",MCDM_Settings!$E$10,MCDM_Settings!$C$10),0)+IF(ISNUMBER(AR207),AR207*IF($D207="Unlabeled-13",MCDM_Settings!$E$11,MCDM_Settings!$C$11),0)))</f>
        <v>72.222222222222214</v>
      </c>
      <c r="F207" s="12">
        <f>IF(OR(AY207&lt;&gt;"Valid",AZ207&lt;&gt;"16 keys present"),"Review settings",20*(IF(ISNUMBER(AD207),AD207*IF($D207="Unlabeled-13",MCDM_Settings!$E$6,MCDM_Settings!$C$6),0)+IF(ISNUMBER(AG207),AG207*IF($D207="Unlabeled-13",MCDM_Settings!$E$7,MCDM_Settings!$C$7),0)+IF(ISNUMBER(AJ207),AJ207*IF($D207="Unlabeled-13",MCDM_Settings!$E$8,MCDM_Settings!$C$8),0)+IF(ISNUMBER(AM207),AM207*IF($D207="Unlabeled-13",MCDM_Settings!$E$9,MCDM_Settings!$C$9),0)+IF(ISNUMBER(AP207),AP207*IF($D207="Unlabeled-13",MCDM_Settings!$E$10,MCDM_Settings!$C$10),0)+IF(ISNUMBER(AS207),AS207*IF($D207="Unlabeled-13",MCDM_Settings!$E$11,MCDM_Settings!$C$11),0)))</f>
        <v>99.999999999999986</v>
      </c>
      <c r="G207" s="13">
        <f>IF(OR(AY207&lt;&gt;"Valid",AZ207&lt;&gt;"16 keys present"),"Review settings",1*(IF(ISNUMBER(AE207),AE207*IF($D207="Unlabeled-13",MCDM_Settings!$E$6,MCDM_Settings!$C$6),0)+IF(ISNUMBER(AH207),AH207*IF($D207="Unlabeled-13",MCDM_Settings!$E$7,MCDM_Settings!$C$7),0)+IF(ISNUMBER(AK207),AK207*IF($D207="Unlabeled-13",MCDM_Settings!$E$8,MCDM_Settings!$C$8),0)+IF(ISNUMBER(AN207),AN207*IF($D207="Unlabeled-13",MCDM_Settings!$E$9,MCDM_Settings!$C$9),0)+IF(ISNUMBER(AQ207),AQ207*IF($D207="Unlabeled-13",MCDM_Settings!$E$10,MCDM_Settings!$C$10),0)+IF(ISNUMBER(AT207),AT207*IF($D207="Unlabeled-13",MCDM_Settings!$E$11,MCDM_Settings!$C$11),0)))</f>
        <v>0.72222222222222221</v>
      </c>
      <c r="H207" s="5" t="str">
        <f>INDEX(Manual_Review!$AH$6:$AH$238,MATCH(A207,Manual_Review!$A$6:$A$238,0))</f>
        <v>Not started</v>
      </c>
      <c r="I207" s="5" t="s">
        <v>182</v>
      </c>
      <c r="J207" s="5" t="s">
        <v>2325</v>
      </c>
      <c r="K207" s="5" t="str">
        <f>HYPERLINK("https://www.argoverse.org/av2.html","Dataset")</f>
        <v>Dataset</v>
      </c>
      <c r="L207" s="5" t="str">
        <f>HYPERLINK("#'Manual_Review'!A"&amp;(MATCH("DS-202",Manual_Review!$A$6:$A$238,0)+5),"Enter review")</f>
        <v>Enter review</v>
      </c>
      <c r="M207" s="5" t="str">
        <f>INDEX(MCDM_Checks!$K$6:$K$3733,MATCH(A207&amp;"|"&amp;M$5,MCDM_Checks!$A$6:$A$3733,0))</f>
        <v>Y</v>
      </c>
      <c r="N207" s="5" t="str">
        <f>INDEX(MCDM_Checks!$K$6:$K$3733,MATCH(A207&amp;"|"&amp;N$5,MCDM_Checks!$A$6:$A$3733,0))</f>
        <v>Y</v>
      </c>
      <c r="O207" s="5" t="str">
        <f>INDEX(MCDM_Checks!$K$6:$K$3733,MATCH(A207&amp;"|"&amp;O$5,MCDM_Checks!$A$6:$A$3733,0))</f>
        <v>Y</v>
      </c>
      <c r="P207" s="5" t="str">
        <f>INDEX(MCDM_Checks!$K$6:$K$3733,MATCH(A207&amp;"|"&amp;P$5,MCDM_Checks!$A$6:$A$3733,0))</f>
        <v>Y</v>
      </c>
      <c r="Q207" s="5" t="str">
        <f>INDEX(MCDM_Checks!$K$6:$K$3733,MATCH(A207&amp;"|"&amp;Q$5,MCDM_Checks!$A$6:$A$3733,0))</f>
        <v>U</v>
      </c>
      <c r="R207" s="5" t="str">
        <f>INDEX(MCDM_Checks!$K$6:$K$3733,MATCH(A207&amp;"|"&amp;R$5,MCDM_Checks!$A$6:$A$3733,0))</f>
        <v>U</v>
      </c>
      <c r="S207" s="5" t="str">
        <f>INDEX(MCDM_Checks!$K$6:$K$3733,MATCH(A207&amp;"|"&amp;S$5,MCDM_Checks!$A$6:$A$3733,0))</f>
        <v>U</v>
      </c>
      <c r="T207" s="5" t="str">
        <f>INDEX(MCDM_Checks!$K$6:$K$3733,MATCH(A207&amp;"|"&amp;T$5,MCDM_Checks!$A$6:$A$3733,0))</f>
        <v>Y</v>
      </c>
      <c r="U207" s="5" t="str">
        <f>INDEX(MCDM_Checks!$K$6:$K$3733,MATCH(A207&amp;"|"&amp;U$5,MCDM_Checks!$A$6:$A$3733,0))</f>
        <v>Y</v>
      </c>
      <c r="V207" s="5" t="str">
        <f>INDEX(MCDM_Checks!$K$6:$K$3733,MATCH(A207&amp;"|"&amp;V$5,MCDM_Checks!$A$6:$A$3733,0))</f>
        <v>Y</v>
      </c>
      <c r="W207" s="5" t="str">
        <f>INDEX(MCDM_Checks!$K$6:$K$3733,MATCH(A207&amp;"|"&amp;W$5,MCDM_Checks!$A$6:$A$3733,0))</f>
        <v>Y</v>
      </c>
      <c r="X207" s="5" t="str">
        <f>INDEX(MCDM_Checks!$K$6:$K$3733,MATCH(A207&amp;"|"&amp;X$5,MCDM_Checks!$A$6:$A$3733,0))</f>
        <v>Y</v>
      </c>
      <c r="Y207" s="5" t="str">
        <f>INDEX(MCDM_Checks!$K$6:$K$3733,MATCH(A207&amp;"|"&amp;Y$5,MCDM_Checks!$A$6:$A$3733,0))</f>
        <v>Y</v>
      </c>
      <c r="Z207" s="5" t="str">
        <f>INDEX(MCDM_Checks!$K$6:$K$3733,MATCH(A207&amp;"|"&amp;Z$5,MCDM_Checks!$A$6:$A$3733,0))</f>
        <v>Y</v>
      </c>
      <c r="AA207" s="5" t="str">
        <f>INDEX(MCDM_Checks!$K$6:$K$3733,MATCH(A207&amp;"|"&amp;AA$5,MCDM_Checks!$A$6:$A$3733,0))</f>
        <v>U</v>
      </c>
      <c r="AB207" s="5" t="str">
        <f>INDEX(MCDM_Checks!$K$6:$K$3733,MATCH(A207&amp;"|"&amp;AB$5,MCDM_Checks!$A$6:$A$3733,0))</f>
        <v>U</v>
      </c>
      <c r="AC207" s="12">
        <f>IF(IF($D207="Unlabeled-13",MCDM_Settings!$F$6,MCDM_Settings!$D$6)=0,"n.a.",5*COUNTIF(M207:O207,"Y")/IF($D207="Unlabeled-13",MCDM_Settings!$F$6,MCDM_Settings!$D$6))</f>
        <v>5</v>
      </c>
      <c r="AD207" s="12">
        <f>IF(IF($D207="Unlabeled-13",MCDM_Settings!$F$6,MCDM_Settings!$D$6)=0,"n.a.",5*(COUNTIF(M207:O207,"Y")+COUNTIF(M207:O207,"U")+COUNTIF(M207:O207,"X"))/IF($D207="Unlabeled-13",MCDM_Settings!$F$6,MCDM_Settings!$D$6))</f>
        <v>5</v>
      </c>
      <c r="AE207" s="13">
        <f>IF(IF($D207="Unlabeled-13",MCDM_Settings!$F$6,MCDM_Settings!$D$6)=0,"n.a.",(COUNTIF(M207:O207,"Y")+COUNTIF(M207:O207,"N"))/IF($D207="Unlabeled-13",MCDM_Settings!$F$6,MCDM_Settings!$D$6))</f>
        <v>1</v>
      </c>
      <c r="AF207" s="12">
        <f>IF(IF($D207="Unlabeled-13",MCDM_Settings!$F$7,MCDM_Settings!$D$7)=0,"n.a.",5*COUNTIF(P207:R207,"Y")/IF($D207="Unlabeled-13",MCDM_Settings!$F$7,MCDM_Settings!$D$7))</f>
        <v>1.6666666666666667</v>
      </c>
      <c r="AG207" s="12">
        <f>IF(IF($D207="Unlabeled-13",MCDM_Settings!$F$7,MCDM_Settings!$D$7)=0,"n.a.",5*(COUNTIF(P207:R207,"Y")+COUNTIF(P207:R207,"U")+COUNTIF(P207:R207,"X"))/IF($D207="Unlabeled-13",MCDM_Settings!$F$7,MCDM_Settings!$D$7))</f>
        <v>5</v>
      </c>
      <c r="AH207" s="13">
        <f>IF(IF($D207="Unlabeled-13",MCDM_Settings!$F$7,MCDM_Settings!$D$7)=0,"n.a.",(COUNTIF(P207:R207,"Y")+COUNTIF(P207:R207,"N"))/IF($D207="Unlabeled-13",MCDM_Settings!$F$7,MCDM_Settings!$D$7))</f>
        <v>0.33333333333333331</v>
      </c>
      <c r="AI207" s="12">
        <f>IF(IF($D207="Unlabeled-13",MCDM_Settings!$F$8,MCDM_Settings!$D$8)=0,"n.a.",5*COUNTIF(S207:U207,"Y")/IF($D207="Unlabeled-13",MCDM_Settings!$F$8,MCDM_Settings!$D$8))</f>
        <v>3.3333333333333335</v>
      </c>
      <c r="AJ207" s="12">
        <f>IF(IF($D207="Unlabeled-13",MCDM_Settings!$F$8,MCDM_Settings!$D$8)=0,"n.a.",5*(COUNTIF(S207:U207,"Y")+COUNTIF(S207:U207,"U")+COUNTIF(S207:U207,"X"))/IF($D207="Unlabeled-13",MCDM_Settings!$F$8,MCDM_Settings!$D$8))</f>
        <v>5</v>
      </c>
      <c r="AK207" s="13">
        <f>IF(IF($D207="Unlabeled-13",MCDM_Settings!$F$8,MCDM_Settings!$D$8)=0,"n.a.",(COUNTIF(S207:U207,"Y")+COUNTIF(S207:U207,"N"))/IF($D207="Unlabeled-13",MCDM_Settings!$F$8,MCDM_Settings!$D$8))</f>
        <v>0.66666666666666663</v>
      </c>
      <c r="AL207" s="12">
        <f>IF(IF($D207="Unlabeled-13",MCDM_Settings!$F$9,MCDM_Settings!$D$9)=0,"n.a.",5*COUNTIF(V207:W207,"Y")/IF($D207="Unlabeled-13",MCDM_Settings!$F$9,MCDM_Settings!$D$9))</f>
        <v>5</v>
      </c>
      <c r="AM207" s="12">
        <f>IF(IF($D207="Unlabeled-13",MCDM_Settings!$F$9,MCDM_Settings!$D$9)=0,"n.a.",5*(COUNTIF(V207:W207,"Y")+COUNTIF(V207:W207,"U")+COUNTIF(V207:W207,"X"))/IF($D207="Unlabeled-13",MCDM_Settings!$F$9,MCDM_Settings!$D$9))</f>
        <v>5</v>
      </c>
      <c r="AN207" s="13">
        <f>IF(IF($D207="Unlabeled-13",MCDM_Settings!$F$9,MCDM_Settings!$D$9)=0,"n.a.",(COUNTIF(V207:W207,"Y")+COUNTIF(V207:W207,"N"))/IF($D207="Unlabeled-13",MCDM_Settings!$F$9,MCDM_Settings!$D$9))</f>
        <v>1</v>
      </c>
      <c r="AO207" s="12">
        <f>IF(IF($D207="Unlabeled-13",MCDM_Settings!$F$10,MCDM_Settings!$D$10)=0,"n.a.",5*COUNTIF(X207:Y207,"Y")/IF($D207="Unlabeled-13",MCDM_Settings!$F$10,MCDM_Settings!$D$10))</f>
        <v>5</v>
      </c>
      <c r="AP207" s="12">
        <f>IF(IF($D207="Unlabeled-13",MCDM_Settings!$F$10,MCDM_Settings!$D$10)=0,"n.a.",5*(COUNTIF(X207:Y207,"Y")+COUNTIF(X207:Y207,"U")+COUNTIF(X207:Y207,"X"))/IF($D207="Unlabeled-13",MCDM_Settings!$F$10,MCDM_Settings!$D$10))</f>
        <v>5</v>
      </c>
      <c r="AQ207" s="13">
        <f>IF(IF($D207="Unlabeled-13",MCDM_Settings!$F$10,MCDM_Settings!$D$10)=0,"n.a.",(COUNTIF(X207:Y207,"Y")+COUNTIF(X207:Y207,"N"))/IF($D207="Unlabeled-13",MCDM_Settings!$F$10,MCDM_Settings!$D$10))</f>
        <v>1</v>
      </c>
      <c r="AR207" s="12">
        <f>IF(IF($D207="Unlabeled-13",MCDM_Settings!$F$11,MCDM_Settings!$D$11)=0,"n.a.",5*COUNTIF(Z207:AB207,"Y")/IF($D207="Unlabeled-13",MCDM_Settings!$F$11,MCDM_Settings!$D$11))</f>
        <v>1.6666666666666667</v>
      </c>
      <c r="AS207" s="12">
        <f>IF(IF($D207="Unlabeled-13",MCDM_Settings!$F$11,MCDM_Settings!$D$11)=0,"n.a.",5*(COUNTIF(Z207:AB207,"Y")+COUNTIF(Z207:AB207,"U")+COUNTIF(Z207:AB207,"X"))/IF($D207="Unlabeled-13",MCDM_Settings!$F$11,MCDM_Settings!$D$11))</f>
        <v>5</v>
      </c>
      <c r="AT207" s="13">
        <f>IF(IF($D207="Unlabeled-13",MCDM_Settings!$F$11,MCDM_Settings!$D$11)=0,"n.a.",(COUNTIF(Z207:AB207,"Y")+COUNTIF(Z207:AB207,"N"))/IF($D207="Unlabeled-13",MCDM_Settings!$F$11,MCDM_Settings!$D$11))</f>
        <v>0.33333333333333331</v>
      </c>
      <c r="AU207" s="5" t="str">
        <f>IF(AND(INDEX(Manual_Review!$G$6:$G$238,MATCH(A207,Manual_Review!$A$6:$A$238,0))&lt;&gt;"",ISNUMBER(INDEX(Manual_Review!$H$6:$H$238,MATCH(A207,Manual_Review!$A$6:$A$238,0))),INDEX(Manual_Review!$H$6:$H$238,MATCH(A207,Manual_Review!$A$6:$A$238,0))&gt;0,INDEX(Manual_Review!$I$6:$I$238,MATCH(A207,Manual_Review!$A$6:$A$238,0))="Confirmed",INDEX(Manual_Review!$AF$6:$AF$238,MATCH(A207,Manual_Review!$A$6:$A$238,0))&lt;&gt;""),IF(INDEX(Manual_Review!$AA$6:$AA$238,MATCH(A207,Manual_Review!$A$6:$A$238,0))="Pass","Pass",IF(INDEX(Manual_Review!$AA$6:$AA$238,MATCH(A207,Manual_Review!$A$6:$A$238,0))="Fail","Fail","Pending")),"Pending human identity confirmation")</f>
        <v>Pending human identity confirmation</v>
      </c>
      <c r="AV207" s="5" t="str">
        <f>IF(AND(AND(INDEX(Manual_Review!$G$6:$G$238,MATCH(A207,Manual_Review!$A$6:$A$238,0))&lt;&gt;"",ISNUMBER(INDEX(Manual_Review!$H$6:$H$238,MATCH(A207,Manual_Review!$A$6:$A$238,0))),INDEX(Manual_Review!$H$6:$H$238,MATCH(A207,Manual_Review!$A$6:$A$238,0))&gt;0,INDEX(Manual_Review!$I$6:$I$238,MATCH(A207,Manual_Review!$A$6:$A$238,0))="Confirmed",INDEX(Manual_Review!$AF$6:$AF$238,MATCH(A207,Manual_Review!$A$6:$A$238,0))&lt;&gt;""),INDEX(Manual_Review!$AG$6:$AG$238,MATCH(A207,Manual_Review!$A$6:$A$238,0))&lt;&gt;""),IF(INDEX(Manual_Review!$AB$6:$AB$238,MATCH(A207,Manual_Review!$A$6:$A$238,0))="Pass","Pass",IF(INDEX(Manual_Review!$AB$6:$AB$238,MATCH(A207,Manual_Review!$A$6:$A$238,0))="Fail","Fail","Pending")),"Not assessed: define intended task")</f>
        <v>Not assessed: define intended task</v>
      </c>
      <c r="AW207" s="5" t="str">
        <f>IF(AND(AND(INDEX(Manual_Review!$G$6:$G$238,MATCH(A207,Manual_Review!$A$6:$A$238,0))&lt;&gt;"",ISNUMBER(INDEX(Manual_Review!$H$6:$H$238,MATCH(A207,Manual_Review!$A$6:$A$238,0))),INDEX(Manual_Review!$H$6:$H$238,MATCH(A207,Manual_Review!$A$6:$A$238,0))&gt;0,INDEX(Manual_Review!$I$6:$I$238,MATCH(A207,Manual_Review!$A$6:$A$238,0))="Confirmed",INDEX(Manual_Review!$AF$6:$AF$238,MATCH(A207,Manual_Review!$A$6:$A$238,0))&lt;&gt;""),INDEX(Manual_Review!$AG$6:$AG$238,MATCH(A207,Manual_Review!$A$6:$A$238,0))&lt;&gt;""),IF(OR(INDEX(Manual_Review!$AC$6:$AC$238,MATCH(A207,Manual_Review!$A$6:$A$238,0))="Fail",INDEX(Manual_Review!$AD$6:$AD$238,MATCH(A207,Manual_Review!$A$6:$A$238,0))="Fail"),"Fail: rights or retrieval",IF(AND(INDEX(Manual_Review!$AC$6:$AC$238,MATCH(A207,Manual_Review!$A$6:$A$238,0))="Pass",INDEX(Manual_Review!$AD$6:$AD$238,MATCH(A207,Manual_Review!$A$6:$A$238,0))="Pass"),"Pass","Pending rights and retrieval")),"Pending rights and retrieval")</f>
        <v>Pending rights and retrieval</v>
      </c>
      <c r="AX207" s="5" t="str">
        <f>IF(INDEX(Manual_Review!$AG$6:$AG$238,MATCH(A207,Manual_Review!$A$6:$A$238,0))="","N/A: documentation inventory",IF(AND(INDEX(Manual_Review!$G$6:$G$238,MATCH(A207,Manual_Review!$A$6:$A$238,0))&lt;&gt;"",ISNUMBER(INDEX(Manual_Review!$H$6:$H$238,MATCH(A207,Manual_Review!$A$6:$A$238,0))),INDEX(Manual_Review!$H$6:$H$238,MATCH(A207,Manual_Review!$A$6:$A$238,0))&gt;0,INDEX(Manual_Review!$I$6:$I$238,MATCH(A207,Manual_Review!$A$6:$A$238,0))="Confirmed",INDEX(Manual_Review!$AF$6:$AF$238,MATCH(A207,Manual_Review!$A$6:$A$238,0))&lt;&gt;""),IF(INDEX(Manual_Review!$AE$6:$AE$238,MATCH(A207,Manual_Review!$A$6:$A$238,0))="Pass","Pass",IF(INDEX(Manual_Review!$AE$6:$AE$238,MATCH(A207,Manual_Review!$A$6:$A$238,0))="Fail","Fail: benchmark leakage",IF(INDEX(Manual_Review!$AE$6:$AE$238,MATCH(A207,Manual_Review!$A$6:$A$238,0))="N/A","N/A: nonbenchmark task","Pending task-specific leakage check"))),"Pending task-specific leakage check"))</f>
        <v>N/A: documentation inventory</v>
      </c>
      <c r="AY207" s="5" t="str">
        <f>IF(IF(D207="Unlabeled-13",AND(ABS(MCDM_Settings!$D$14-1)&lt;0.0000001,MIN(MCDM_Settings!$E$6:$E$11)&gt;=0,MCDM_Settings!$E$7=0),AND(ABS(MCDM_Settings!$B$14-1)&lt;0.0000001,MIN(MCDM_Settings!$C$6:$C$11)&gt;=0)),"Valid","Check weights")</f>
        <v>Valid</v>
      </c>
      <c r="AZ207" s="5" t="str">
        <f>IF(AND(COUNTIF(MCDM_Checks!$B$6:$B$3733,A207)=16,COUNTIF(Manual_Review!$A$6:$A$238,A207)=1),"16 keys present","Check key count")</f>
        <v>16 keys present</v>
      </c>
    </row>
    <row r="208" spans="1:52">
      <c r="A208" s="5" t="s">
        <v>2334</v>
      </c>
      <c r="B208" s="5" t="s">
        <v>2335</v>
      </c>
      <c r="C208" s="5"/>
      <c r="D208" s="5" t="s">
        <v>118</v>
      </c>
      <c r="E208" s="12">
        <f>IF(OR(AY208&lt;&gt;"Valid",AZ208&lt;&gt;"16 keys present"),"Review settings",20*(IF(ISNUMBER(AC208),AC208*IF($D208="Unlabeled-13",MCDM_Settings!$E$6,MCDM_Settings!$C$6),0)+IF(ISNUMBER(AF208),AF208*IF($D208="Unlabeled-13",MCDM_Settings!$E$7,MCDM_Settings!$C$7),0)+IF(ISNUMBER(AI208),AI208*IF($D208="Unlabeled-13",MCDM_Settings!$E$8,MCDM_Settings!$C$8),0)+IF(ISNUMBER(AL208),AL208*IF($D208="Unlabeled-13",MCDM_Settings!$E$9,MCDM_Settings!$C$9),0)+IF(ISNUMBER(AO208),AO208*IF($D208="Unlabeled-13",MCDM_Settings!$E$10,MCDM_Settings!$C$10),0)+IF(ISNUMBER(AR208),AR208*IF($D208="Unlabeled-13",MCDM_Settings!$E$11,MCDM_Settings!$C$11),0)))</f>
        <v>63.888888888888872</v>
      </c>
      <c r="F208" s="12">
        <f>IF(OR(AY208&lt;&gt;"Valid",AZ208&lt;&gt;"16 keys present"),"Review settings",20*(IF(ISNUMBER(AD208),AD208*IF($D208="Unlabeled-13",MCDM_Settings!$E$6,MCDM_Settings!$C$6),0)+IF(ISNUMBER(AG208),AG208*IF($D208="Unlabeled-13",MCDM_Settings!$E$7,MCDM_Settings!$C$7),0)+IF(ISNUMBER(AJ208),AJ208*IF($D208="Unlabeled-13",MCDM_Settings!$E$8,MCDM_Settings!$C$8),0)+IF(ISNUMBER(AM208),AM208*IF($D208="Unlabeled-13",MCDM_Settings!$E$9,MCDM_Settings!$C$9),0)+IF(ISNUMBER(AP208),AP208*IF($D208="Unlabeled-13",MCDM_Settings!$E$10,MCDM_Settings!$C$10),0)+IF(ISNUMBER(AS208),AS208*IF($D208="Unlabeled-13",MCDM_Settings!$E$11,MCDM_Settings!$C$11),0)))</f>
        <v>99.999999999999986</v>
      </c>
      <c r="G208" s="13">
        <f>IF(OR(AY208&lt;&gt;"Valid",AZ208&lt;&gt;"16 keys present"),"Review settings",1*(IF(ISNUMBER(AE208),AE208*IF($D208="Unlabeled-13",MCDM_Settings!$E$6,MCDM_Settings!$C$6),0)+IF(ISNUMBER(AH208),AH208*IF($D208="Unlabeled-13",MCDM_Settings!$E$7,MCDM_Settings!$C$7),0)+IF(ISNUMBER(AK208),AK208*IF($D208="Unlabeled-13",MCDM_Settings!$E$8,MCDM_Settings!$C$8),0)+IF(ISNUMBER(AN208),AN208*IF($D208="Unlabeled-13",MCDM_Settings!$E$9,MCDM_Settings!$C$9),0)+IF(ISNUMBER(AQ208),AQ208*IF($D208="Unlabeled-13",MCDM_Settings!$E$10,MCDM_Settings!$C$10),0)+IF(ISNUMBER(AT208),AT208*IF($D208="Unlabeled-13",MCDM_Settings!$E$11,MCDM_Settings!$C$11),0)))</f>
        <v>0.63888888888888884</v>
      </c>
      <c r="H208" s="5" t="str">
        <f>INDEX(Manual_Review!$AH$6:$AH$238,MATCH(A208,Manual_Review!$A$6:$A$238,0))</f>
        <v>Not started</v>
      </c>
      <c r="I208" s="5" t="s">
        <v>182</v>
      </c>
      <c r="J208" s="5" t="s">
        <v>2336</v>
      </c>
      <c r="K208" s="5" t="str">
        <f>HYPERLINK("https://www.argoverse.org/av2.html","Dataset")</f>
        <v>Dataset</v>
      </c>
      <c r="L208" s="5" t="str">
        <f>HYPERLINK("#'Manual_Review'!A"&amp;(MATCH("DS-203",Manual_Review!$A$6:$A$238,0)+5),"Enter review")</f>
        <v>Enter review</v>
      </c>
      <c r="M208" s="5" t="str">
        <f>INDEX(MCDM_Checks!$K$6:$K$3733,MATCH(A208&amp;"|"&amp;M$5,MCDM_Checks!$A$6:$A$3733,0))</f>
        <v>Y</v>
      </c>
      <c r="N208" s="5" t="str">
        <f>INDEX(MCDM_Checks!$K$6:$K$3733,MATCH(A208&amp;"|"&amp;N$5,MCDM_Checks!$A$6:$A$3733,0))</f>
        <v>Y</v>
      </c>
      <c r="O208" s="5" t="str">
        <f>INDEX(MCDM_Checks!$K$6:$K$3733,MATCH(A208&amp;"|"&amp;O$5,MCDM_Checks!$A$6:$A$3733,0))</f>
        <v>Y</v>
      </c>
      <c r="P208" s="5" t="str">
        <f>INDEX(MCDM_Checks!$K$6:$K$3733,MATCH(A208&amp;"|"&amp;P$5,MCDM_Checks!$A$6:$A$3733,0))</f>
        <v>U</v>
      </c>
      <c r="Q208" s="5" t="str">
        <f>INDEX(MCDM_Checks!$K$6:$K$3733,MATCH(A208&amp;"|"&amp;Q$5,MCDM_Checks!$A$6:$A$3733,0))</f>
        <v>U</v>
      </c>
      <c r="R208" s="5" t="str">
        <f>INDEX(MCDM_Checks!$K$6:$K$3733,MATCH(A208&amp;"|"&amp;R$5,MCDM_Checks!$A$6:$A$3733,0))</f>
        <v>U</v>
      </c>
      <c r="S208" s="5" t="str">
        <f>INDEX(MCDM_Checks!$K$6:$K$3733,MATCH(A208&amp;"|"&amp;S$5,MCDM_Checks!$A$6:$A$3733,0))</f>
        <v>U</v>
      </c>
      <c r="T208" s="5" t="str">
        <f>INDEX(MCDM_Checks!$K$6:$K$3733,MATCH(A208&amp;"|"&amp;T$5,MCDM_Checks!$A$6:$A$3733,0))</f>
        <v>Y</v>
      </c>
      <c r="U208" s="5" t="str">
        <f>INDEX(MCDM_Checks!$K$6:$K$3733,MATCH(A208&amp;"|"&amp;U$5,MCDM_Checks!$A$6:$A$3733,0))</f>
        <v>Y</v>
      </c>
      <c r="V208" s="5" t="str">
        <f>INDEX(MCDM_Checks!$K$6:$K$3733,MATCH(A208&amp;"|"&amp;V$5,MCDM_Checks!$A$6:$A$3733,0))</f>
        <v>Y</v>
      </c>
      <c r="W208" s="5" t="str">
        <f>INDEX(MCDM_Checks!$K$6:$K$3733,MATCH(A208&amp;"|"&amp;W$5,MCDM_Checks!$A$6:$A$3733,0))</f>
        <v>U</v>
      </c>
      <c r="X208" s="5" t="str">
        <f>INDEX(MCDM_Checks!$K$6:$K$3733,MATCH(A208&amp;"|"&amp;X$5,MCDM_Checks!$A$6:$A$3733,0))</f>
        <v>Y</v>
      </c>
      <c r="Y208" s="5" t="str">
        <f>INDEX(MCDM_Checks!$K$6:$K$3733,MATCH(A208&amp;"|"&amp;Y$5,MCDM_Checks!$A$6:$A$3733,0))</f>
        <v>Y</v>
      </c>
      <c r="Z208" s="5" t="str">
        <f>INDEX(MCDM_Checks!$K$6:$K$3733,MATCH(A208&amp;"|"&amp;Z$5,MCDM_Checks!$A$6:$A$3733,0))</f>
        <v>Y</v>
      </c>
      <c r="AA208" s="5" t="str">
        <f>INDEX(MCDM_Checks!$K$6:$K$3733,MATCH(A208&amp;"|"&amp;AA$5,MCDM_Checks!$A$6:$A$3733,0))</f>
        <v>Y</v>
      </c>
      <c r="AB208" s="5" t="str">
        <f>INDEX(MCDM_Checks!$K$6:$K$3733,MATCH(A208&amp;"|"&amp;AB$5,MCDM_Checks!$A$6:$A$3733,0))</f>
        <v>U</v>
      </c>
      <c r="AC208" s="12">
        <f>IF(IF($D208="Unlabeled-13",MCDM_Settings!$F$6,MCDM_Settings!$D$6)=0,"n.a.",5*COUNTIF(M208:O208,"Y")/IF($D208="Unlabeled-13",MCDM_Settings!$F$6,MCDM_Settings!$D$6))</f>
        <v>5</v>
      </c>
      <c r="AD208" s="12">
        <f>IF(IF($D208="Unlabeled-13",MCDM_Settings!$F$6,MCDM_Settings!$D$6)=0,"n.a.",5*(COUNTIF(M208:O208,"Y")+COUNTIF(M208:O208,"U")+COUNTIF(M208:O208,"X"))/IF($D208="Unlabeled-13",MCDM_Settings!$F$6,MCDM_Settings!$D$6))</f>
        <v>5</v>
      </c>
      <c r="AE208" s="13">
        <f>IF(IF($D208="Unlabeled-13",MCDM_Settings!$F$6,MCDM_Settings!$D$6)=0,"n.a.",(COUNTIF(M208:O208,"Y")+COUNTIF(M208:O208,"N"))/IF($D208="Unlabeled-13",MCDM_Settings!$F$6,MCDM_Settings!$D$6))</f>
        <v>1</v>
      </c>
      <c r="AF208" s="12">
        <f>IF(IF($D208="Unlabeled-13",MCDM_Settings!$F$7,MCDM_Settings!$D$7)=0,"n.a.",5*COUNTIF(P208:R208,"Y")/IF($D208="Unlabeled-13",MCDM_Settings!$F$7,MCDM_Settings!$D$7))</f>
        <v>0</v>
      </c>
      <c r="AG208" s="12">
        <f>IF(IF($D208="Unlabeled-13",MCDM_Settings!$F$7,MCDM_Settings!$D$7)=0,"n.a.",5*(COUNTIF(P208:R208,"Y")+COUNTIF(P208:R208,"U")+COUNTIF(P208:R208,"X"))/IF($D208="Unlabeled-13",MCDM_Settings!$F$7,MCDM_Settings!$D$7))</f>
        <v>5</v>
      </c>
      <c r="AH208" s="13">
        <f>IF(IF($D208="Unlabeled-13",MCDM_Settings!$F$7,MCDM_Settings!$D$7)=0,"n.a.",(COUNTIF(P208:R208,"Y")+COUNTIF(P208:R208,"N"))/IF($D208="Unlabeled-13",MCDM_Settings!$F$7,MCDM_Settings!$D$7))</f>
        <v>0</v>
      </c>
      <c r="AI208" s="12">
        <f>IF(IF($D208="Unlabeled-13",MCDM_Settings!$F$8,MCDM_Settings!$D$8)=0,"n.a.",5*COUNTIF(S208:U208,"Y")/IF($D208="Unlabeled-13",MCDM_Settings!$F$8,MCDM_Settings!$D$8))</f>
        <v>3.3333333333333335</v>
      </c>
      <c r="AJ208" s="12">
        <f>IF(IF($D208="Unlabeled-13",MCDM_Settings!$F$8,MCDM_Settings!$D$8)=0,"n.a.",5*(COUNTIF(S208:U208,"Y")+COUNTIF(S208:U208,"U")+COUNTIF(S208:U208,"X"))/IF($D208="Unlabeled-13",MCDM_Settings!$F$8,MCDM_Settings!$D$8))</f>
        <v>5</v>
      </c>
      <c r="AK208" s="13">
        <f>IF(IF($D208="Unlabeled-13",MCDM_Settings!$F$8,MCDM_Settings!$D$8)=0,"n.a.",(COUNTIF(S208:U208,"Y")+COUNTIF(S208:U208,"N"))/IF($D208="Unlabeled-13",MCDM_Settings!$F$8,MCDM_Settings!$D$8))</f>
        <v>0.66666666666666663</v>
      </c>
      <c r="AL208" s="12">
        <f>IF(IF($D208="Unlabeled-13",MCDM_Settings!$F$9,MCDM_Settings!$D$9)=0,"n.a.",5*COUNTIF(V208:W208,"Y")/IF($D208="Unlabeled-13",MCDM_Settings!$F$9,MCDM_Settings!$D$9))</f>
        <v>2.5</v>
      </c>
      <c r="AM208" s="12">
        <f>IF(IF($D208="Unlabeled-13",MCDM_Settings!$F$9,MCDM_Settings!$D$9)=0,"n.a.",5*(COUNTIF(V208:W208,"Y")+COUNTIF(V208:W208,"U")+COUNTIF(V208:W208,"X"))/IF($D208="Unlabeled-13",MCDM_Settings!$F$9,MCDM_Settings!$D$9))</f>
        <v>5</v>
      </c>
      <c r="AN208" s="13">
        <f>IF(IF($D208="Unlabeled-13",MCDM_Settings!$F$9,MCDM_Settings!$D$9)=0,"n.a.",(COUNTIF(V208:W208,"Y")+COUNTIF(V208:W208,"N"))/IF($D208="Unlabeled-13",MCDM_Settings!$F$9,MCDM_Settings!$D$9))</f>
        <v>0.5</v>
      </c>
      <c r="AO208" s="12">
        <f>IF(IF($D208="Unlabeled-13",MCDM_Settings!$F$10,MCDM_Settings!$D$10)=0,"n.a.",5*COUNTIF(X208:Y208,"Y")/IF($D208="Unlabeled-13",MCDM_Settings!$F$10,MCDM_Settings!$D$10))</f>
        <v>5</v>
      </c>
      <c r="AP208" s="12">
        <f>IF(IF($D208="Unlabeled-13",MCDM_Settings!$F$10,MCDM_Settings!$D$10)=0,"n.a.",5*(COUNTIF(X208:Y208,"Y")+COUNTIF(X208:Y208,"U")+COUNTIF(X208:Y208,"X"))/IF($D208="Unlabeled-13",MCDM_Settings!$F$10,MCDM_Settings!$D$10))</f>
        <v>5</v>
      </c>
      <c r="AQ208" s="13">
        <f>IF(IF($D208="Unlabeled-13",MCDM_Settings!$F$10,MCDM_Settings!$D$10)=0,"n.a.",(COUNTIF(X208:Y208,"Y")+COUNTIF(X208:Y208,"N"))/IF($D208="Unlabeled-13",MCDM_Settings!$F$10,MCDM_Settings!$D$10))</f>
        <v>1</v>
      </c>
      <c r="AR208" s="12">
        <f>IF(IF($D208="Unlabeled-13",MCDM_Settings!$F$11,MCDM_Settings!$D$11)=0,"n.a.",5*COUNTIF(Z208:AB208,"Y")/IF($D208="Unlabeled-13",MCDM_Settings!$F$11,MCDM_Settings!$D$11))</f>
        <v>3.3333333333333335</v>
      </c>
      <c r="AS208" s="12">
        <f>IF(IF($D208="Unlabeled-13",MCDM_Settings!$F$11,MCDM_Settings!$D$11)=0,"n.a.",5*(COUNTIF(Z208:AB208,"Y")+COUNTIF(Z208:AB208,"U")+COUNTIF(Z208:AB208,"X"))/IF($D208="Unlabeled-13",MCDM_Settings!$F$11,MCDM_Settings!$D$11))</f>
        <v>5</v>
      </c>
      <c r="AT208" s="13">
        <f>IF(IF($D208="Unlabeled-13",MCDM_Settings!$F$11,MCDM_Settings!$D$11)=0,"n.a.",(COUNTIF(Z208:AB208,"Y")+COUNTIF(Z208:AB208,"N"))/IF($D208="Unlabeled-13",MCDM_Settings!$F$11,MCDM_Settings!$D$11))</f>
        <v>0.66666666666666663</v>
      </c>
      <c r="AU208" s="5" t="str">
        <f>IF(AND(INDEX(Manual_Review!$G$6:$G$238,MATCH(A208,Manual_Review!$A$6:$A$238,0))&lt;&gt;"",ISNUMBER(INDEX(Manual_Review!$H$6:$H$238,MATCH(A208,Manual_Review!$A$6:$A$238,0))),INDEX(Manual_Review!$H$6:$H$238,MATCH(A208,Manual_Review!$A$6:$A$238,0))&gt;0,INDEX(Manual_Review!$I$6:$I$238,MATCH(A208,Manual_Review!$A$6:$A$238,0))="Confirmed",INDEX(Manual_Review!$AF$6:$AF$238,MATCH(A208,Manual_Review!$A$6:$A$238,0))&lt;&gt;""),IF(INDEX(Manual_Review!$AA$6:$AA$238,MATCH(A208,Manual_Review!$A$6:$A$238,0))="Pass","Pass",IF(INDEX(Manual_Review!$AA$6:$AA$238,MATCH(A208,Manual_Review!$A$6:$A$238,0))="Fail","Fail","Pending")),"Pending human identity confirmation")</f>
        <v>Pending human identity confirmation</v>
      </c>
      <c r="AV208" s="5" t="str">
        <f>IF(AND(AND(INDEX(Manual_Review!$G$6:$G$238,MATCH(A208,Manual_Review!$A$6:$A$238,0))&lt;&gt;"",ISNUMBER(INDEX(Manual_Review!$H$6:$H$238,MATCH(A208,Manual_Review!$A$6:$A$238,0))),INDEX(Manual_Review!$H$6:$H$238,MATCH(A208,Manual_Review!$A$6:$A$238,0))&gt;0,INDEX(Manual_Review!$I$6:$I$238,MATCH(A208,Manual_Review!$A$6:$A$238,0))="Confirmed",INDEX(Manual_Review!$AF$6:$AF$238,MATCH(A208,Manual_Review!$A$6:$A$238,0))&lt;&gt;""),INDEX(Manual_Review!$AG$6:$AG$238,MATCH(A208,Manual_Review!$A$6:$A$238,0))&lt;&gt;""),IF(INDEX(Manual_Review!$AB$6:$AB$238,MATCH(A208,Manual_Review!$A$6:$A$238,0))="Pass","Pass",IF(INDEX(Manual_Review!$AB$6:$AB$238,MATCH(A208,Manual_Review!$A$6:$A$238,0))="Fail","Fail","Pending")),"Not assessed: define intended task")</f>
        <v>Not assessed: define intended task</v>
      </c>
      <c r="AW208" s="5" t="str">
        <f>IF(AND(AND(INDEX(Manual_Review!$G$6:$G$238,MATCH(A208,Manual_Review!$A$6:$A$238,0))&lt;&gt;"",ISNUMBER(INDEX(Manual_Review!$H$6:$H$238,MATCH(A208,Manual_Review!$A$6:$A$238,0))),INDEX(Manual_Review!$H$6:$H$238,MATCH(A208,Manual_Review!$A$6:$A$238,0))&gt;0,INDEX(Manual_Review!$I$6:$I$238,MATCH(A208,Manual_Review!$A$6:$A$238,0))="Confirmed",INDEX(Manual_Review!$AF$6:$AF$238,MATCH(A208,Manual_Review!$A$6:$A$238,0))&lt;&gt;""),INDEX(Manual_Review!$AG$6:$AG$238,MATCH(A208,Manual_Review!$A$6:$A$238,0))&lt;&gt;""),IF(OR(INDEX(Manual_Review!$AC$6:$AC$238,MATCH(A208,Manual_Review!$A$6:$A$238,0))="Fail",INDEX(Manual_Review!$AD$6:$AD$238,MATCH(A208,Manual_Review!$A$6:$A$238,0))="Fail"),"Fail: rights or retrieval",IF(AND(INDEX(Manual_Review!$AC$6:$AC$238,MATCH(A208,Manual_Review!$A$6:$A$238,0))="Pass",INDEX(Manual_Review!$AD$6:$AD$238,MATCH(A208,Manual_Review!$A$6:$A$238,0))="Pass"),"Pass","Pending rights and retrieval")),"Pending rights and retrieval")</f>
        <v>Pending rights and retrieval</v>
      </c>
      <c r="AX208" s="5" t="str">
        <f>IF(INDEX(Manual_Review!$AG$6:$AG$238,MATCH(A208,Manual_Review!$A$6:$A$238,0))="","N/A: documentation inventory",IF(AND(INDEX(Manual_Review!$G$6:$G$238,MATCH(A208,Manual_Review!$A$6:$A$238,0))&lt;&gt;"",ISNUMBER(INDEX(Manual_Review!$H$6:$H$238,MATCH(A208,Manual_Review!$A$6:$A$238,0))),INDEX(Manual_Review!$H$6:$H$238,MATCH(A208,Manual_Review!$A$6:$A$238,0))&gt;0,INDEX(Manual_Review!$I$6:$I$238,MATCH(A208,Manual_Review!$A$6:$A$238,0))="Confirmed",INDEX(Manual_Review!$AF$6:$AF$238,MATCH(A208,Manual_Review!$A$6:$A$238,0))&lt;&gt;""),IF(INDEX(Manual_Review!$AE$6:$AE$238,MATCH(A208,Manual_Review!$A$6:$A$238,0))="Pass","Pass",IF(INDEX(Manual_Review!$AE$6:$AE$238,MATCH(A208,Manual_Review!$A$6:$A$238,0))="Fail","Fail: benchmark leakage",IF(INDEX(Manual_Review!$AE$6:$AE$238,MATCH(A208,Manual_Review!$A$6:$A$238,0))="N/A","N/A: nonbenchmark task","Pending task-specific leakage check"))),"Pending task-specific leakage check"))</f>
        <v>N/A: documentation inventory</v>
      </c>
      <c r="AY208" s="5" t="str">
        <f>IF(IF(D208="Unlabeled-13",AND(ABS(MCDM_Settings!$D$14-1)&lt;0.0000001,MIN(MCDM_Settings!$E$6:$E$11)&gt;=0,MCDM_Settings!$E$7=0),AND(ABS(MCDM_Settings!$B$14-1)&lt;0.0000001,MIN(MCDM_Settings!$C$6:$C$11)&gt;=0)),"Valid","Check weights")</f>
        <v>Valid</v>
      </c>
      <c r="AZ208" s="5" t="str">
        <f>IF(AND(COUNTIF(MCDM_Checks!$B$6:$B$3733,A208)=16,COUNTIF(Manual_Review!$A$6:$A$238,A208)=1),"16 keys present","Check key count")</f>
        <v>16 keys present</v>
      </c>
    </row>
    <row r="209" spans="1:52" ht="25.5">
      <c r="A209" s="5" t="s">
        <v>2345</v>
      </c>
      <c r="B209" s="5" t="s">
        <v>2346</v>
      </c>
      <c r="C209" s="5"/>
      <c r="D209" s="5" t="s">
        <v>118</v>
      </c>
      <c r="E209" s="12">
        <f>IF(OR(AY209&lt;&gt;"Valid",AZ209&lt;&gt;"16 keys present"),"Review settings",20*(IF(ISNUMBER(AC209),AC209*IF($D209="Unlabeled-13",MCDM_Settings!$E$6,MCDM_Settings!$C$6),0)+IF(ISNUMBER(AF209),AF209*IF($D209="Unlabeled-13",MCDM_Settings!$E$7,MCDM_Settings!$C$7),0)+IF(ISNUMBER(AI209),AI209*IF($D209="Unlabeled-13",MCDM_Settings!$E$8,MCDM_Settings!$C$8),0)+IF(ISNUMBER(AL209),AL209*IF($D209="Unlabeled-13",MCDM_Settings!$E$9,MCDM_Settings!$C$9),0)+IF(ISNUMBER(AO209),AO209*IF($D209="Unlabeled-13",MCDM_Settings!$E$10,MCDM_Settings!$C$10),0)+IF(ISNUMBER(AR209),AR209*IF($D209="Unlabeled-13",MCDM_Settings!$E$11,MCDM_Settings!$C$11),0)))</f>
        <v>63.888888888888872</v>
      </c>
      <c r="F209" s="12">
        <f>IF(OR(AY209&lt;&gt;"Valid",AZ209&lt;&gt;"16 keys present"),"Review settings",20*(IF(ISNUMBER(AD209),AD209*IF($D209="Unlabeled-13",MCDM_Settings!$E$6,MCDM_Settings!$C$6),0)+IF(ISNUMBER(AG209),AG209*IF($D209="Unlabeled-13",MCDM_Settings!$E$7,MCDM_Settings!$C$7),0)+IF(ISNUMBER(AJ209),AJ209*IF($D209="Unlabeled-13",MCDM_Settings!$E$8,MCDM_Settings!$C$8),0)+IF(ISNUMBER(AM209),AM209*IF($D209="Unlabeled-13",MCDM_Settings!$E$9,MCDM_Settings!$C$9),0)+IF(ISNUMBER(AP209),AP209*IF($D209="Unlabeled-13",MCDM_Settings!$E$10,MCDM_Settings!$C$10),0)+IF(ISNUMBER(AS209),AS209*IF($D209="Unlabeled-13",MCDM_Settings!$E$11,MCDM_Settings!$C$11),0)))</f>
        <v>99.999999999999986</v>
      </c>
      <c r="G209" s="13">
        <f>IF(OR(AY209&lt;&gt;"Valid",AZ209&lt;&gt;"16 keys present"),"Review settings",1*(IF(ISNUMBER(AE209),AE209*IF($D209="Unlabeled-13",MCDM_Settings!$E$6,MCDM_Settings!$C$6),0)+IF(ISNUMBER(AH209),AH209*IF($D209="Unlabeled-13",MCDM_Settings!$E$7,MCDM_Settings!$C$7),0)+IF(ISNUMBER(AK209),AK209*IF($D209="Unlabeled-13",MCDM_Settings!$E$8,MCDM_Settings!$C$8),0)+IF(ISNUMBER(AN209),AN209*IF($D209="Unlabeled-13",MCDM_Settings!$E$9,MCDM_Settings!$C$9),0)+IF(ISNUMBER(AQ209),AQ209*IF($D209="Unlabeled-13",MCDM_Settings!$E$10,MCDM_Settings!$C$10),0)+IF(ISNUMBER(AT209),AT209*IF($D209="Unlabeled-13",MCDM_Settings!$E$11,MCDM_Settings!$C$11),0)))</f>
        <v>0.63888888888888884</v>
      </c>
      <c r="H209" s="5" t="str">
        <f>INDEX(Manual_Review!$AH$6:$AH$238,MATCH(A209,Manual_Review!$A$6:$A$238,0))</f>
        <v>Not started</v>
      </c>
      <c r="I209" s="5" t="s">
        <v>182</v>
      </c>
      <c r="J209" s="5" t="s">
        <v>2347</v>
      </c>
      <c r="K209" s="5" t="str">
        <f>HYPERLINK("https://pit30m.github.io/","Dataset")</f>
        <v>Dataset</v>
      </c>
      <c r="L209" s="5" t="str">
        <f>HYPERLINK("#'Manual_Review'!A"&amp;(MATCH("DS-204",Manual_Review!$A$6:$A$238,0)+5),"Enter review")</f>
        <v>Enter review</v>
      </c>
      <c r="M209" s="5" t="str">
        <f>INDEX(MCDM_Checks!$K$6:$K$3733,MATCH(A209&amp;"|"&amp;M$5,MCDM_Checks!$A$6:$A$3733,0))</f>
        <v>Y</v>
      </c>
      <c r="N209" s="5" t="str">
        <f>INDEX(MCDM_Checks!$K$6:$K$3733,MATCH(A209&amp;"|"&amp;N$5,MCDM_Checks!$A$6:$A$3733,0))</f>
        <v>Y</v>
      </c>
      <c r="O209" s="5" t="str">
        <f>INDEX(MCDM_Checks!$K$6:$K$3733,MATCH(A209&amp;"|"&amp;O$5,MCDM_Checks!$A$6:$A$3733,0))</f>
        <v>Y</v>
      </c>
      <c r="P209" s="5" t="str">
        <f>INDEX(MCDM_Checks!$K$6:$K$3733,MATCH(A209&amp;"|"&amp;P$5,MCDM_Checks!$A$6:$A$3733,0))</f>
        <v>U</v>
      </c>
      <c r="Q209" s="5" t="str">
        <f>INDEX(MCDM_Checks!$K$6:$K$3733,MATCH(A209&amp;"|"&amp;Q$5,MCDM_Checks!$A$6:$A$3733,0))</f>
        <v>U</v>
      </c>
      <c r="R209" s="5" t="str">
        <f>INDEX(MCDM_Checks!$K$6:$K$3733,MATCH(A209&amp;"|"&amp;R$5,MCDM_Checks!$A$6:$A$3733,0))</f>
        <v>U</v>
      </c>
      <c r="S209" s="5" t="str">
        <f>INDEX(MCDM_Checks!$K$6:$K$3733,MATCH(A209&amp;"|"&amp;S$5,MCDM_Checks!$A$6:$A$3733,0))</f>
        <v>U</v>
      </c>
      <c r="T209" s="5" t="str">
        <f>INDEX(MCDM_Checks!$K$6:$K$3733,MATCH(A209&amp;"|"&amp;T$5,MCDM_Checks!$A$6:$A$3733,0))</f>
        <v>Y</v>
      </c>
      <c r="U209" s="5" t="str">
        <f>INDEX(MCDM_Checks!$K$6:$K$3733,MATCH(A209&amp;"|"&amp;U$5,MCDM_Checks!$A$6:$A$3733,0))</f>
        <v>Y</v>
      </c>
      <c r="V209" s="5" t="str">
        <f>INDEX(MCDM_Checks!$K$6:$K$3733,MATCH(A209&amp;"|"&amp;V$5,MCDM_Checks!$A$6:$A$3733,0))</f>
        <v>Y</v>
      </c>
      <c r="W209" s="5" t="str">
        <f>INDEX(MCDM_Checks!$K$6:$K$3733,MATCH(A209&amp;"|"&amp;W$5,MCDM_Checks!$A$6:$A$3733,0))</f>
        <v>U</v>
      </c>
      <c r="X209" s="5" t="str">
        <f>INDEX(MCDM_Checks!$K$6:$K$3733,MATCH(A209&amp;"|"&amp;X$5,MCDM_Checks!$A$6:$A$3733,0))</f>
        <v>Y</v>
      </c>
      <c r="Y209" s="5" t="str">
        <f>INDEX(MCDM_Checks!$K$6:$K$3733,MATCH(A209&amp;"|"&amp;Y$5,MCDM_Checks!$A$6:$A$3733,0))</f>
        <v>Y</v>
      </c>
      <c r="Z209" s="5" t="str">
        <f>INDEX(MCDM_Checks!$K$6:$K$3733,MATCH(A209&amp;"|"&amp;Z$5,MCDM_Checks!$A$6:$A$3733,0))</f>
        <v>Y</v>
      </c>
      <c r="AA209" s="5" t="str">
        <f>INDEX(MCDM_Checks!$K$6:$K$3733,MATCH(A209&amp;"|"&amp;AA$5,MCDM_Checks!$A$6:$A$3733,0))</f>
        <v>Y</v>
      </c>
      <c r="AB209" s="5" t="str">
        <f>INDEX(MCDM_Checks!$K$6:$K$3733,MATCH(A209&amp;"|"&amp;AB$5,MCDM_Checks!$A$6:$A$3733,0))</f>
        <v>U</v>
      </c>
      <c r="AC209" s="12">
        <f>IF(IF($D209="Unlabeled-13",MCDM_Settings!$F$6,MCDM_Settings!$D$6)=0,"n.a.",5*COUNTIF(M209:O209,"Y")/IF($D209="Unlabeled-13",MCDM_Settings!$F$6,MCDM_Settings!$D$6))</f>
        <v>5</v>
      </c>
      <c r="AD209" s="12">
        <f>IF(IF($D209="Unlabeled-13",MCDM_Settings!$F$6,MCDM_Settings!$D$6)=0,"n.a.",5*(COUNTIF(M209:O209,"Y")+COUNTIF(M209:O209,"U")+COUNTIF(M209:O209,"X"))/IF($D209="Unlabeled-13",MCDM_Settings!$F$6,MCDM_Settings!$D$6))</f>
        <v>5</v>
      </c>
      <c r="AE209" s="13">
        <f>IF(IF($D209="Unlabeled-13",MCDM_Settings!$F$6,MCDM_Settings!$D$6)=0,"n.a.",(COUNTIF(M209:O209,"Y")+COUNTIF(M209:O209,"N"))/IF($D209="Unlabeled-13",MCDM_Settings!$F$6,MCDM_Settings!$D$6))</f>
        <v>1</v>
      </c>
      <c r="AF209" s="12">
        <f>IF(IF($D209="Unlabeled-13",MCDM_Settings!$F$7,MCDM_Settings!$D$7)=0,"n.a.",5*COUNTIF(P209:R209,"Y")/IF($D209="Unlabeled-13",MCDM_Settings!$F$7,MCDM_Settings!$D$7))</f>
        <v>0</v>
      </c>
      <c r="AG209" s="12">
        <f>IF(IF($D209="Unlabeled-13",MCDM_Settings!$F$7,MCDM_Settings!$D$7)=0,"n.a.",5*(COUNTIF(P209:R209,"Y")+COUNTIF(P209:R209,"U")+COUNTIF(P209:R209,"X"))/IF($D209="Unlabeled-13",MCDM_Settings!$F$7,MCDM_Settings!$D$7))</f>
        <v>5</v>
      </c>
      <c r="AH209" s="13">
        <f>IF(IF($D209="Unlabeled-13",MCDM_Settings!$F$7,MCDM_Settings!$D$7)=0,"n.a.",(COUNTIF(P209:R209,"Y")+COUNTIF(P209:R209,"N"))/IF($D209="Unlabeled-13",MCDM_Settings!$F$7,MCDM_Settings!$D$7))</f>
        <v>0</v>
      </c>
      <c r="AI209" s="12">
        <f>IF(IF($D209="Unlabeled-13",MCDM_Settings!$F$8,MCDM_Settings!$D$8)=0,"n.a.",5*COUNTIF(S209:U209,"Y")/IF($D209="Unlabeled-13",MCDM_Settings!$F$8,MCDM_Settings!$D$8))</f>
        <v>3.3333333333333335</v>
      </c>
      <c r="AJ209" s="12">
        <f>IF(IF($D209="Unlabeled-13",MCDM_Settings!$F$8,MCDM_Settings!$D$8)=0,"n.a.",5*(COUNTIF(S209:U209,"Y")+COUNTIF(S209:U209,"U")+COUNTIF(S209:U209,"X"))/IF($D209="Unlabeled-13",MCDM_Settings!$F$8,MCDM_Settings!$D$8))</f>
        <v>5</v>
      </c>
      <c r="AK209" s="13">
        <f>IF(IF($D209="Unlabeled-13",MCDM_Settings!$F$8,MCDM_Settings!$D$8)=0,"n.a.",(COUNTIF(S209:U209,"Y")+COUNTIF(S209:U209,"N"))/IF($D209="Unlabeled-13",MCDM_Settings!$F$8,MCDM_Settings!$D$8))</f>
        <v>0.66666666666666663</v>
      </c>
      <c r="AL209" s="12">
        <f>IF(IF($D209="Unlabeled-13",MCDM_Settings!$F$9,MCDM_Settings!$D$9)=0,"n.a.",5*COUNTIF(V209:W209,"Y")/IF($D209="Unlabeled-13",MCDM_Settings!$F$9,MCDM_Settings!$D$9))</f>
        <v>2.5</v>
      </c>
      <c r="AM209" s="12">
        <f>IF(IF($D209="Unlabeled-13",MCDM_Settings!$F$9,MCDM_Settings!$D$9)=0,"n.a.",5*(COUNTIF(V209:W209,"Y")+COUNTIF(V209:W209,"U")+COUNTIF(V209:W209,"X"))/IF($D209="Unlabeled-13",MCDM_Settings!$F$9,MCDM_Settings!$D$9))</f>
        <v>5</v>
      </c>
      <c r="AN209" s="13">
        <f>IF(IF($D209="Unlabeled-13",MCDM_Settings!$F$9,MCDM_Settings!$D$9)=0,"n.a.",(COUNTIF(V209:W209,"Y")+COUNTIF(V209:W209,"N"))/IF($D209="Unlabeled-13",MCDM_Settings!$F$9,MCDM_Settings!$D$9))</f>
        <v>0.5</v>
      </c>
      <c r="AO209" s="12">
        <f>IF(IF($D209="Unlabeled-13",MCDM_Settings!$F$10,MCDM_Settings!$D$10)=0,"n.a.",5*COUNTIF(X209:Y209,"Y")/IF($D209="Unlabeled-13",MCDM_Settings!$F$10,MCDM_Settings!$D$10))</f>
        <v>5</v>
      </c>
      <c r="AP209" s="12">
        <f>IF(IF($D209="Unlabeled-13",MCDM_Settings!$F$10,MCDM_Settings!$D$10)=0,"n.a.",5*(COUNTIF(X209:Y209,"Y")+COUNTIF(X209:Y209,"U")+COUNTIF(X209:Y209,"X"))/IF($D209="Unlabeled-13",MCDM_Settings!$F$10,MCDM_Settings!$D$10))</f>
        <v>5</v>
      </c>
      <c r="AQ209" s="13">
        <f>IF(IF($D209="Unlabeled-13",MCDM_Settings!$F$10,MCDM_Settings!$D$10)=0,"n.a.",(COUNTIF(X209:Y209,"Y")+COUNTIF(X209:Y209,"N"))/IF($D209="Unlabeled-13",MCDM_Settings!$F$10,MCDM_Settings!$D$10))</f>
        <v>1</v>
      </c>
      <c r="AR209" s="12">
        <f>IF(IF($D209="Unlabeled-13",MCDM_Settings!$F$11,MCDM_Settings!$D$11)=0,"n.a.",5*COUNTIF(Z209:AB209,"Y")/IF($D209="Unlabeled-13",MCDM_Settings!$F$11,MCDM_Settings!$D$11))</f>
        <v>3.3333333333333335</v>
      </c>
      <c r="AS209" s="12">
        <f>IF(IF($D209="Unlabeled-13",MCDM_Settings!$F$11,MCDM_Settings!$D$11)=0,"n.a.",5*(COUNTIF(Z209:AB209,"Y")+COUNTIF(Z209:AB209,"U")+COUNTIF(Z209:AB209,"X"))/IF($D209="Unlabeled-13",MCDM_Settings!$F$11,MCDM_Settings!$D$11))</f>
        <v>5</v>
      </c>
      <c r="AT209" s="13">
        <f>IF(IF($D209="Unlabeled-13",MCDM_Settings!$F$11,MCDM_Settings!$D$11)=0,"n.a.",(COUNTIF(Z209:AB209,"Y")+COUNTIF(Z209:AB209,"N"))/IF($D209="Unlabeled-13",MCDM_Settings!$F$11,MCDM_Settings!$D$11))</f>
        <v>0.66666666666666663</v>
      </c>
      <c r="AU209" s="5" t="str">
        <f>IF(AND(INDEX(Manual_Review!$G$6:$G$238,MATCH(A209,Manual_Review!$A$6:$A$238,0))&lt;&gt;"",ISNUMBER(INDEX(Manual_Review!$H$6:$H$238,MATCH(A209,Manual_Review!$A$6:$A$238,0))),INDEX(Manual_Review!$H$6:$H$238,MATCH(A209,Manual_Review!$A$6:$A$238,0))&gt;0,INDEX(Manual_Review!$I$6:$I$238,MATCH(A209,Manual_Review!$A$6:$A$238,0))="Confirmed",INDEX(Manual_Review!$AF$6:$AF$238,MATCH(A209,Manual_Review!$A$6:$A$238,0))&lt;&gt;""),IF(INDEX(Manual_Review!$AA$6:$AA$238,MATCH(A209,Manual_Review!$A$6:$A$238,0))="Pass","Pass",IF(INDEX(Manual_Review!$AA$6:$AA$238,MATCH(A209,Manual_Review!$A$6:$A$238,0))="Fail","Fail","Pending")),"Pending human identity confirmation")</f>
        <v>Pending human identity confirmation</v>
      </c>
      <c r="AV209" s="5" t="str">
        <f>IF(AND(AND(INDEX(Manual_Review!$G$6:$G$238,MATCH(A209,Manual_Review!$A$6:$A$238,0))&lt;&gt;"",ISNUMBER(INDEX(Manual_Review!$H$6:$H$238,MATCH(A209,Manual_Review!$A$6:$A$238,0))),INDEX(Manual_Review!$H$6:$H$238,MATCH(A209,Manual_Review!$A$6:$A$238,0))&gt;0,INDEX(Manual_Review!$I$6:$I$238,MATCH(A209,Manual_Review!$A$6:$A$238,0))="Confirmed",INDEX(Manual_Review!$AF$6:$AF$238,MATCH(A209,Manual_Review!$A$6:$A$238,0))&lt;&gt;""),INDEX(Manual_Review!$AG$6:$AG$238,MATCH(A209,Manual_Review!$A$6:$A$238,0))&lt;&gt;""),IF(INDEX(Manual_Review!$AB$6:$AB$238,MATCH(A209,Manual_Review!$A$6:$A$238,0))="Pass","Pass",IF(INDEX(Manual_Review!$AB$6:$AB$238,MATCH(A209,Manual_Review!$A$6:$A$238,0))="Fail","Fail","Pending")),"Not assessed: define intended task")</f>
        <v>Not assessed: define intended task</v>
      </c>
      <c r="AW209" s="5" t="str">
        <f>IF(AND(AND(INDEX(Manual_Review!$G$6:$G$238,MATCH(A209,Manual_Review!$A$6:$A$238,0))&lt;&gt;"",ISNUMBER(INDEX(Manual_Review!$H$6:$H$238,MATCH(A209,Manual_Review!$A$6:$A$238,0))),INDEX(Manual_Review!$H$6:$H$238,MATCH(A209,Manual_Review!$A$6:$A$238,0))&gt;0,INDEX(Manual_Review!$I$6:$I$238,MATCH(A209,Manual_Review!$A$6:$A$238,0))="Confirmed",INDEX(Manual_Review!$AF$6:$AF$238,MATCH(A209,Manual_Review!$A$6:$A$238,0))&lt;&gt;""),INDEX(Manual_Review!$AG$6:$AG$238,MATCH(A209,Manual_Review!$A$6:$A$238,0))&lt;&gt;""),IF(OR(INDEX(Manual_Review!$AC$6:$AC$238,MATCH(A209,Manual_Review!$A$6:$A$238,0))="Fail",INDEX(Manual_Review!$AD$6:$AD$238,MATCH(A209,Manual_Review!$A$6:$A$238,0))="Fail"),"Fail: rights or retrieval",IF(AND(INDEX(Manual_Review!$AC$6:$AC$238,MATCH(A209,Manual_Review!$A$6:$A$238,0))="Pass",INDEX(Manual_Review!$AD$6:$AD$238,MATCH(A209,Manual_Review!$A$6:$A$238,0))="Pass"),"Pass","Pending rights and retrieval")),"Pending rights and retrieval")</f>
        <v>Pending rights and retrieval</v>
      </c>
      <c r="AX209" s="5" t="str">
        <f>IF(INDEX(Manual_Review!$AG$6:$AG$238,MATCH(A209,Manual_Review!$A$6:$A$238,0))="","N/A: documentation inventory",IF(AND(INDEX(Manual_Review!$G$6:$G$238,MATCH(A209,Manual_Review!$A$6:$A$238,0))&lt;&gt;"",ISNUMBER(INDEX(Manual_Review!$H$6:$H$238,MATCH(A209,Manual_Review!$A$6:$A$238,0))),INDEX(Manual_Review!$H$6:$H$238,MATCH(A209,Manual_Review!$A$6:$A$238,0))&gt;0,INDEX(Manual_Review!$I$6:$I$238,MATCH(A209,Manual_Review!$A$6:$A$238,0))="Confirmed",INDEX(Manual_Review!$AF$6:$AF$238,MATCH(A209,Manual_Review!$A$6:$A$238,0))&lt;&gt;""),IF(INDEX(Manual_Review!$AE$6:$AE$238,MATCH(A209,Manual_Review!$A$6:$A$238,0))="Pass","Pass",IF(INDEX(Manual_Review!$AE$6:$AE$238,MATCH(A209,Manual_Review!$A$6:$A$238,0))="Fail","Fail: benchmark leakage",IF(INDEX(Manual_Review!$AE$6:$AE$238,MATCH(A209,Manual_Review!$A$6:$A$238,0))="N/A","N/A: nonbenchmark task","Pending task-specific leakage check"))),"Pending task-specific leakage check"))</f>
        <v>N/A: documentation inventory</v>
      </c>
      <c r="AY209" s="5" t="str">
        <f>IF(IF(D209="Unlabeled-13",AND(ABS(MCDM_Settings!$D$14-1)&lt;0.0000001,MIN(MCDM_Settings!$E$6:$E$11)&gt;=0,MCDM_Settings!$E$7=0),AND(ABS(MCDM_Settings!$B$14-1)&lt;0.0000001,MIN(MCDM_Settings!$C$6:$C$11)&gt;=0)),"Valid","Check weights")</f>
        <v>Valid</v>
      </c>
      <c r="AZ209" s="5" t="str">
        <f>IF(AND(COUNTIF(MCDM_Checks!$B$6:$B$3733,A209)=16,COUNTIF(Manual_Review!$A$6:$A$238,A209)=1),"16 keys present","Check key count")</f>
        <v>16 keys present</v>
      </c>
    </row>
    <row r="210" spans="1:52">
      <c r="A210" s="5" t="s">
        <v>2359</v>
      </c>
      <c r="B210" s="5" t="s">
        <v>2360</v>
      </c>
      <c r="C210" s="5"/>
      <c r="D210" s="5" t="s">
        <v>118</v>
      </c>
      <c r="E210" s="12">
        <f>IF(OR(AY210&lt;&gt;"Valid",AZ210&lt;&gt;"16 keys present"),"Review settings",20*(IF(ISNUMBER(AC210),AC210*IF($D210="Unlabeled-13",MCDM_Settings!$E$6,MCDM_Settings!$C$6),0)+IF(ISNUMBER(AF210),AF210*IF($D210="Unlabeled-13",MCDM_Settings!$E$7,MCDM_Settings!$C$7),0)+IF(ISNUMBER(AI210),AI210*IF($D210="Unlabeled-13",MCDM_Settings!$E$8,MCDM_Settings!$C$8),0)+IF(ISNUMBER(AL210),AL210*IF($D210="Unlabeled-13",MCDM_Settings!$E$9,MCDM_Settings!$C$9),0)+IF(ISNUMBER(AO210),AO210*IF($D210="Unlabeled-13",MCDM_Settings!$E$10,MCDM_Settings!$C$10),0)+IF(ISNUMBER(AR210),AR210*IF($D210="Unlabeled-13",MCDM_Settings!$E$11,MCDM_Settings!$C$11),0)))</f>
        <v>41.666666666666657</v>
      </c>
      <c r="F210" s="12">
        <f>IF(OR(AY210&lt;&gt;"Valid",AZ210&lt;&gt;"16 keys present"),"Review settings",20*(IF(ISNUMBER(AD210),AD210*IF($D210="Unlabeled-13",MCDM_Settings!$E$6,MCDM_Settings!$C$6),0)+IF(ISNUMBER(AG210),AG210*IF($D210="Unlabeled-13",MCDM_Settings!$E$7,MCDM_Settings!$C$7),0)+IF(ISNUMBER(AJ210),AJ210*IF($D210="Unlabeled-13",MCDM_Settings!$E$8,MCDM_Settings!$C$8),0)+IF(ISNUMBER(AM210),AM210*IF($D210="Unlabeled-13",MCDM_Settings!$E$9,MCDM_Settings!$C$9),0)+IF(ISNUMBER(AP210),AP210*IF($D210="Unlabeled-13",MCDM_Settings!$E$10,MCDM_Settings!$C$10),0)+IF(ISNUMBER(AS210),AS210*IF($D210="Unlabeled-13",MCDM_Settings!$E$11,MCDM_Settings!$C$11),0)))</f>
        <v>99.999999999999986</v>
      </c>
      <c r="G210" s="13">
        <f>IF(OR(AY210&lt;&gt;"Valid",AZ210&lt;&gt;"16 keys present"),"Review settings",1*(IF(ISNUMBER(AE210),AE210*IF($D210="Unlabeled-13",MCDM_Settings!$E$6,MCDM_Settings!$C$6),0)+IF(ISNUMBER(AH210),AH210*IF($D210="Unlabeled-13",MCDM_Settings!$E$7,MCDM_Settings!$C$7),0)+IF(ISNUMBER(AK210),AK210*IF($D210="Unlabeled-13",MCDM_Settings!$E$8,MCDM_Settings!$C$8),0)+IF(ISNUMBER(AN210),AN210*IF($D210="Unlabeled-13",MCDM_Settings!$E$9,MCDM_Settings!$C$9),0)+IF(ISNUMBER(AQ210),AQ210*IF($D210="Unlabeled-13",MCDM_Settings!$E$10,MCDM_Settings!$C$10),0)+IF(ISNUMBER(AT210),AT210*IF($D210="Unlabeled-13",MCDM_Settings!$E$11,MCDM_Settings!$C$11),0)))</f>
        <v>0.41666666666666663</v>
      </c>
      <c r="H210" s="5" t="str">
        <f>INDEX(Manual_Review!$AH$6:$AH$238,MATCH(A210,Manual_Review!$A$6:$A$238,0))</f>
        <v>Not started</v>
      </c>
      <c r="I210" s="5" t="s">
        <v>182</v>
      </c>
      <c r="J210" s="5" t="s">
        <v>2361</v>
      </c>
      <c r="K210" s="5" t="str">
        <f>HYPERLINK("https://github.com/bdd100k/bdd100k","Dataset")</f>
        <v>Dataset</v>
      </c>
      <c r="L210" s="5" t="str">
        <f>HYPERLINK("#'Manual_Review'!A"&amp;(MATCH("DS-205",Manual_Review!$A$6:$A$238,0)+5),"Enter review")</f>
        <v>Enter review</v>
      </c>
      <c r="M210" s="5" t="str">
        <f>INDEX(MCDM_Checks!$K$6:$K$3733,MATCH(A210&amp;"|"&amp;M$5,MCDM_Checks!$A$6:$A$3733,0))</f>
        <v>Y</v>
      </c>
      <c r="N210" s="5" t="str">
        <f>INDEX(MCDM_Checks!$K$6:$K$3733,MATCH(A210&amp;"|"&amp;N$5,MCDM_Checks!$A$6:$A$3733,0))</f>
        <v>U</v>
      </c>
      <c r="O210" s="5" t="str">
        <f>INDEX(MCDM_Checks!$K$6:$K$3733,MATCH(A210&amp;"|"&amp;O$5,MCDM_Checks!$A$6:$A$3733,0))</f>
        <v>U</v>
      </c>
      <c r="P210" s="5" t="str">
        <f>INDEX(MCDM_Checks!$K$6:$K$3733,MATCH(A210&amp;"|"&amp;P$5,MCDM_Checks!$A$6:$A$3733,0))</f>
        <v>U</v>
      </c>
      <c r="Q210" s="5" t="str">
        <f>INDEX(MCDM_Checks!$K$6:$K$3733,MATCH(A210&amp;"|"&amp;Q$5,MCDM_Checks!$A$6:$A$3733,0))</f>
        <v>U</v>
      </c>
      <c r="R210" s="5" t="str">
        <f>INDEX(MCDM_Checks!$K$6:$K$3733,MATCH(A210&amp;"|"&amp;R$5,MCDM_Checks!$A$6:$A$3733,0))</f>
        <v>U</v>
      </c>
      <c r="S210" s="5" t="str">
        <f>INDEX(MCDM_Checks!$K$6:$K$3733,MATCH(A210&amp;"|"&amp;S$5,MCDM_Checks!$A$6:$A$3733,0))</f>
        <v>U</v>
      </c>
      <c r="T210" s="5" t="str">
        <f>INDEX(MCDM_Checks!$K$6:$K$3733,MATCH(A210&amp;"|"&amp;T$5,MCDM_Checks!$A$6:$A$3733,0))</f>
        <v>Y</v>
      </c>
      <c r="U210" s="5" t="str">
        <f>INDEX(MCDM_Checks!$K$6:$K$3733,MATCH(A210&amp;"|"&amp;U$5,MCDM_Checks!$A$6:$A$3733,0))</f>
        <v>U</v>
      </c>
      <c r="V210" s="5" t="str">
        <f>INDEX(MCDM_Checks!$K$6:$K$3733,MATCH(A210&amp;"|"&amp;V$5,MCDM_Checks!$A$6:$A$3733,0))</f>
        <v>Y</v>
      </c>
      <c r="W210" s="5" t="str">
        <f>INDEX(MCDM_Checks!$K$6:$K$3733,MATCH(A210&amp;"|"&amp;W$5,MCDM_Checks!$A$6:$A$3733,0))</f>
        <v>U</v>
      </c>
      <c r="X210" s="5" t="str">
        <f>INDEX(MCDM_Checks!$K$6:$K$3733,MATCH(A210&amp;"|"&amp;X$5,MCDM_Checks!$A$6:$A$3733,0))</f>
        <v>Y</v>
      </c>
      <c r="Y210" s="5" t="str">
        <f>INDEX(MCDM_Checks!$K$6:$K$3733,MATCH(A210&amp;"|"&amp;Y$5,MCDM_Checks!$A$6:$A$3733,0))</f>
        <v>Y</v>
      </c>
      <c r="Z210" s="5" t="str">
        <f>INDEX(MCDM_Checks!$K$6:$K$3733,MATCH(A210&amp;"|"&amp;Z$5,MCDM_Checks!$A$6:$A$3733,0))</f>
        <v>Y</v>
      </c>
      <c r="AA210" s="5" t="str">
        <f>INDEX(MCDM_Checks!$K$6:$K$3733,MATCH(A210&amp;"|"&amp;AA$5,MCDM_Checks!$A$6:$A$3733,0))</f>
        <v>U</v>
      </c>
      <c r="AB210" s="5" t="str">
        <f>INDEX(MCDM_Checks!$K$6:$K$3733,MATCH(A210&amp;"|"&amp;AB$5,MCDM_Checks!$A$6:$A$3733,0))</f>
        <v>U</v>
      </c>
      <c r="AC210" s="12">
        <f>IF(IF($D210="Unlabeled-13",MCDM_Settings!$F$6,MCDM_Settings!$D$6)=0,"n.a.",5*COUNTIF(M210:O210,"Y")/IF($D210="Unlabeled-13",MCDM_Settings!$F$6,MCDM_Settings!$D$6))</f>
        <v>1.6666666666666667</v>
      </c>
      <c r="AD210" s="12">
        <f>IF(IF($D210="Unlabeled-13",MCDM_Settings!$F$6,MCDM_Settings!$D$6)=0,"n.a.",5*(COUNTIF(M210:O210,"Y")+COUNTIF(M210:O210,"U")+COUNTIF(M210:O210,"X"))/IF($D210="Unlabeled-13",MCDM_Settings!$F$6,MCDM_Settings!$D$6))</f>
        <v>5</v>
      </c>
      <c r="AE210" s="13">
        <f>IF(IF($D210="Unlabeled-13",MCDM_Settings!$F$6,MCDM_Settings!$D$6)=0,"n.a.",(COUNTIF(M210:O210,"Y")+COUNTIF(M210:O210,"N"))/IF($D210="Unlabeled-13",MCDM_Settings!$F$6,MCDM_Settings!$D$6))</f>
        <v>0.33333333333333331</v>
      </c>
      <c r="AF210" s="12">
        <f>IF(IF($D210="Unlabeled-13",MCDM_Settings!$F$7,MCDM_Settings!$D$7)=0,"n.a.",5*COUNTIF(P210:R210,"Y")/IF($D210="Unlabeled-13",MCDM_Settings!$F$7,MCDM_Settings!$D$7))</f>
        <v>0</v>
      </c>
      <c r="AG210" s="12">
        <f>IF(IF($D210="Unlabeled-13",MCDM_Settings!$F$7,MCDM_Settings!$D$7)=0,"n.a.",5*(COUNTIF(P210:R210,"Y")+COUNTIF(P210:R210,"U")+COUNTIF(P210:R210,"X"))/IF($D210="Unlabeled-13",MCDM_Settings!$F$7,MCDM_Settings!$D$7))</f>
        <v>5</v>
      </c>
      <c r="AH210" s="13">
        <f>IF(IF($D210="Unlabeled-13",MCDM_Settings!$F$7,MCDM_Settings!$D$7)=0,"n.a.",(COUNTIF(P210:R210,"Y")+COUNTIF(P210:R210,"N"))/IF($D210="Unlabeled-13",MCDM_Settings!$F$7,MCDM_Settings!$D$7))</f>
        <v>0</v>
      </c>
      <c r="AI210" s="12">
        <f>IF(IF($D210="Unlabeled-13",MCDM_Settings!$F$8,MCDM_Settings!$D$8)=0,"n.a.",5*COUNTIF(S210:U210,"Y")/IF($D210="Unlabeled-13",MCDM_Settings!$F$8,MCDM_Settings!$D$8))</f>
        <v>1.6666666666666667</v>
      </c>
      <c r="AJ210" s="12">
        <f>IF(IF($D210="Unlabeled-13",MCDM_Settings!$F$8,MCDM_Settings!$D$8)=0,"n.a.",5*(COUNTIF(S210:U210,"Y")+COUNTIF(S210:U210,"U")+COUNTIF(S210:U210,"X"))/IF($D210="Unlabeled-13",MCDM_Settings!$F$8,MCDM_Settings!$D$8))</f>
        <v>5</v>
      </c>
      <c r="AK210" s="13">
        <f>IF(IF($D210="Unlabeled-13",MCDM_Settings!$F$8,MCDM_Settings!$D$8)=0,"n.a.",(COUNTIF(S210:U210,"Y")+COUNTIF(S210:U210,"N"))/IF($D210="Unlabeled-13",MCDM_Settings!$F$8,MCDM_Settings!$D$8))</f>
        <v>0.33333333333333331</v>
      </c>
      <c r="AL210" s="12">
        <f>IF(IF($D210="Unlabeled-13",MCDM_Settings!$F$9,MCDM_Settings!$D$9)=0,"n.a.",5*COUNTIF(V210:W210,"Y")/IF($D210="Unlabeled-13",MCDM_Settings!$F$9,MCDM_Settings!$D$9))</f>
        <v>2.5</v>
      </c>
      <c r="AM210" s="12">
        <f>IF(IF($D210="Unlabeled-13",MCDM_Settings!$F$9,MCDM_Settings!$D$9)=0,"n.a.",5*(COUNTIF(V210:W210,"Y")+COUNTIF(V210:W210,"U")+COUNTIF(V210:W210,"X"))/IF($D210="Unlabeled-13",MCDM_Settings!$F$9,MCDM_Settings!$D$9))</f>
        <v>5</v>
      </c>
      <c r="AN210" s="13">
        <f>IF(IF($D210="Unlabeled-13",MCDM_Settings!$F$9,MCDM_Settings!$D$9)=0,"n.a.",(COUNTIF(V210:W210,"Y")+COUNTIF(V210:W210,"N"))/IF($D210="Unlabeled-13",MCDM_Settings!$F$9,MCDM_Settings!$D$9))</f>
        <v>0.5</v>
      </c>
      <c r="AO210" s="12">
        <f>IF(IF($D210="Unlabeled-13",MCDM_Settings!$F$10,MCDM_Settings!$D$10)=0,"n.a.",5*COUNTIF(X210:Y210,"Y")/IF($D210="Unlabeled-13",MCDM_Settings!$F$10,MCDM_Settings!$D$10))</f>
        <v>5</v>
      </c>
      <c r="AP210" s="12">
        <f>IF(IF($D210="Unlabeled-13",MCDM_Settings!$F$10,MCDM_Settings!$D$10)=0,"n.a.",5*(COUNTIF(X210:Y210,"Y")+COUNTIF(X210:Y210,"U")+COUNTIF(X210:Y210,"X"))/IF($D210="Unlabeled-13",MCDM_Settings!$F$10,MCDM_Settings!$D$10))</f>
        <v>5</v>
      </c>
      <c r="AQ210" s="13">
        <f>IF(IF($D210="Unlabeled-13",MCDM_Settings!$F$10,MCDM_Settings!$D$10)=0,"n.a.",(COUNTIF(X210:Y210,"Y")+COUNTIF(X210:Y210,"N"))/IF($D210="Unlabeled-13",MCDM_Settings!$F$10,MCDM_Settings!$D$10))</f>
        <v>1</v>
      </c>
      <c r="AR210" s="12">
        <f>IF(IF($D210="Unlabeled-13",MCDM_Settings!$F$11,MCDM_Settings!$D$11)=0,"n.a.",5*COUNTIF(Z210:AB210,"Y")/IF($D210="Unlabeled-13",MCDM_Settings!$F$11,MCDM_Settings!$D$11))</f>
        <v>1.6666666666666667</v>
      </c>
      <c r="AS210" s="12">
        <f>IF(IF($D210="Unlabeled-13",MCDM_Settings!$F$11,MCDM_Settings!$D$11)=0,"n.a.",5*(COUNTIF(Z210:AB210,"Y")+COUNTIF(Z210:AB210,"U")+COUNTIF(Z210:AB210,"X"))/IF($D210="Unlabeled-13",MCDM_Settings!$F$11,MCDM_Settings!$D$11))</f>
        <v>5</v>
      </c>
      <c r="AT210" s="13">
        <f>IF(IF($D210="Unlabeled-13",MCDM_Settings!$F$11,MCDM_Settings!$D$11)=0,"n.a.",(COUNTIF(Z210:AB210,"Y")+COUNTIF(Z210:AB210,"N"))/IF($D210="Unlabeled-13",MCDM_Settings!$F$11,MCDM_Settings!$D$11))</f>
        <v>0.33333333333333331</v>
      </c>
      <c r="AU210" s="5" t="str">
        <f>IF(AND(INDEX(Manual_Review!$G$6:$G$238,MATCH(A210,Manual_Review!$A$6:$A$238,0))&lt;&gt;"",ISNUMBER(INDEX(Manual_Review!$H$6:$H$238,MATCH(A210,Manual_Review!$A$6:$A$238,0))),INDEX(Manual_Review!$H$6:$H$238,MATCH(A210,Manual_Review!$A$6:$A$238,0))&gt;0,INDEX(Manual_Review!$I$6:$I$238,MATCH(A210,Manual_Review!$A$6:$A$238,0))="Confirmed",INDEX(Manual_Review!$AF$6:$AF$238,MATCH(A210,Manual_Review!$A$6:$A$238,0))&lt;&gt;""),IF(INDEX(Manual_Review!$AA$6:$AA$238,MATCH(A210,Manual_Review!$A$6:$A$238,0))="Pass","Pass",IF(INDEX(Manual_Review!$AA$6:$AA$238,MATCH(A210,Manual_Review!$A$6:$A$238,0))="Fail","Fail","Pending")),"Pending human identity confirmation")</f>
        <v>Pending human identity confirmation</v>
      </c>
      <c r="AV210" s="5" t="str">
        <f>IF(AND(AND(INDEX(Manual_Review!$G$6:$G$238,MATCH(A210,Manual_Review!$A$6:$A$238,0))&lt;&gt;"",ISNUMBER(INDEX(Manual_Review!$H$6:$H$238,MATCH(A210,Manual_Review!$A$6:$A$238,0))),INDEX(Manual_Review!$H$6:$H$238,MATCH(A210,Manual_Review!$A$6:$A$238,0))&gt;0,INDEX(Manual_Review!$I$6:$I$238,MATCH(A210,Manual_Review!$A$6:$A$238,0))="Confirmed",INDEX(Manual_Review!$AF$6:$AF$238,MATCH(A210,Manual_Review!$A$6:$A$238,0))&lt;&gt;""),INDEX(Manual_Review!$AG$6:$AG$238,MATCH(A210,Manual_Review!$A$6:$A$238,0))&lt;&gt;""),IF(INDEX(Manual_Review!$AB$6:$AB$238,MATCH(A210,Manual_Review!$A$6:$A$238,0))="Pass","Pass",IF(INDEX(Manual_Review!$AB$6:$AB$238,MATCH(A210,Manual_Review!$A$6:$A$238,0))="Fail","Fail","Pending")),"Not assessed: define intended task")</f>
        <v>Not assessed: define intended task</v>
      </c>
      <c r="AW210" s="5" t="str">
        <f>IF(AND(AND(INDEX(Manual_Review!$G$6:$G$238,MATCH(A210,Manual_Review!$A$6:$A$238,0))&lt;&gt;"",ISNUMBER(INDEX(Manual_Review!$H$6:$H$238,MATCH(A210,Manual_Review!$A$6:$A$238,0))),INDEX(Manual_Review!$H$6:$H$238,MATCH(A210,Manual_Review!$A$6:$A$238,0))&gt;0,INDEX(Manual_Review!$I$6:$I$238,MATCH(A210,Manual_Review!$A$6:$A$238,0))="Confirmed",INDEX(Manual_Review!$AF$6:$AF$238,MATCH(A210,Manual_Review!$A$6:$A$238,0))&lt;&gt;""),INDEX(Manual_Review!$AG$6:$AG$238,MATCH(A210,Manual_Review!$A$6:$A$238,0))&lt;&gt;""),IF(OR(INDEX(Manual_Review!$AC$6:$AC$238,MATCH(A210,Manual_Review!$A$6:$A$238,0))="Fail",INDEX(Manual_Review!$AD$6:$AD$238,MATCH(A210,Manual_Review!$A$6:$A$238,0))="Fail"),"Fail: rights or retrieval",IF(AND(INDEX(Manual_Review!$AC$6:$AC$238,MATCH(A210,Manual_Review!$A$6:$A$238,0))="Pass",INDEX(Manual_Review!$AD$6:$AD$238,MATCH(A210,Manual_Review!$A$6:$A$238,0))="Pass"),"Pass","Pending rights and retrieval")),"Pending rights and retrieval")</f>
        <v>Pending rights and retrieval</v>
      </c>
      <c r="AX210" s="5" t="str">
        <f>IF(INDEX(Manual_Review!$AG$6:$AG$238,MATCH(A210,Manual_Review!$A$6:$A$238,0))="","N/A: documentation inventory",IF(AND(INDEX(Manual_Review!$G$6:$G$238,MATCH(A210,Manual_Review!$A$6:$A$238,0))&lt;&gt;"",ISNUMBER(INDEX(Manual_Review!$H$6:$H$238,MATCH(A210,Manual_Review!$A$6:$A$238,0))),INDEX(Manual_Review!$H$6:$H$238,MATCH(A210,Manual_Review!$A$6:$A$238,0))&gt;0,INDEX(Manual_Review!$I$6:$I$238,MATCH(A210,Manual_Review!$A$6:$A$238,0))="Confirmed",INDEX(Manual_Review!$AF$6:$AF$238,MATCH(A210,Manual_Review!$A$6:$A$238,0))&lt;&gt;""),IF(INDEX(Manual_Review!$AE$6:$AE$238,MATCH(A210,Manual_Review!$A$6:$A$238,0))="Pass","Pass",IF(INDEX(Manual_Review!$AE$6:$AE$238,MATCH(A210,Manual_Review!$A$6:$A$238,0))="Fail","Fail: benchmark leakage",IF(INDEX(Manual_Review!$AE$6:$AE$238,MATCH(A210,Manual_Review!$A$6:$A$238,0))="N/A","N/A: nonbenchmark task","Pending task-specific leakage check"))),"Pending task-specific leakage check"))</f>
        <v>N/A: documentation inventory</v>
      </c>
      <c r="AY210" s="5" t="str">
        <f>IF(IF(D210="Unlabeled-13",AND(ABS(MCDM_Settings!$D$14-1)&lt;0.0000001,MIN(MCDM_Settings!$E$6:$E$11)&gt;=0,MCDM_Settings!$E$7=0),AND(ABS(MCDM_Settings!$B$14-1)&lt;0.0000001,MIN(MCDM_Settings!$C$6:$C$11)&gt;=0)),"Valid","Check weights")</f>
        <v>Valid</v>
      </c>
      <c r="AZ210" s="5" t="str">
        <f>IF(AND(COUNTIF(MCDM_Checks!$B$6:$B$3733,A210)=16,COUNTIF(Manual_Review!$A$6:$A$238,A210)=1),"16 keys present","Check key count")</f>
        <v>16 keys present</v>
      </c>
    </row>
    <row r="211" spans="1:52" ht="25.5">
      <c r="A211" s="5" t="s">
        <v>2372</v>
      </c>
      <c r="B211" s="5" t="s">
        <v>2373</v>
      </c>
      <c r="C211" s="5"/>
      <c r="D211" s="5" t="s">
        <v>118</v>
      </c>
      <c r="E211" s="12">
        <f>IF(OR(AY211&lt;&gt;"Valid",AZ211&lt;&gt;"16 keys present"),"Review settings",20*(IF(ISNUMBER(AC211),AC211*IF($D211="Unlabeled-13",MCDM_Settings!$E$6,MCDM_Settings!$C$6),0)+IF(ISNUMBER(AF211),AF211*IF($D211="Unlabeled-13",MCDM_Settings!$E$7,MCDM_Settings!$C$7),0)+IF(ISNUMBER(AI211),AI211*IF($D211="Unlabeled-13",MCDM_Settings!$E$8,MCDM_Settings!$C$8),0)+IF(ISNUMBER(AL211),AL211*IF($D211="Unlabeled-13",MCDM_Settings!$E$9,MCDM_Settings!$C$9),0)+IF(ISNUMBER(AO211),AO211*IF($D211="Unlabeled-13",MCDM_Settings!$E$10,MCDM_Settings!$C$10),0)+IF(ISNUMBER(AR211),AR211*IF($D211="Unlabeled-13",MCDM_Settings!$E$11,MCDM_Settings!$C$11),0)))</f>
        <v>55.555555555555557</v>
      </c>
      <c r="F211" s="12">
        <f>IF(OR(AY211&lt;&gt;"Valid",AZ211&lt;&gt;"16 keys present"),"Review settings",20*(IF(ISNUMBER(AD211),AD211*IF($D211="Unlabeled-13",MCDM_Settings!$E$6,MCDM_Settings!$C$6),0)+IF(ISNUMBER(AG211),AG211*IF($D211="Unlabeled-13",MCDM_Settings!$E$7,MCDM_Settings!$C$7),0)+IF(ISNUMBER(AJ211),AJ211*IF($D211="Unlabeled-13",MCDM_Settings!$E$8,MCDM_Settings!$C$8),0)+IF(ISNUMBER(AM211),AM211*IF($D211="Unlabeled-13",MCDM_Settings!$E$9,MCDM_Settings!$C$9),0)+IF(ISNUMBER(AP211),AP211*IF($D211="Unlabeled-13",MCDM_Settings!$E$10,MCDM_Settings!$C$10),0)+IF(ISNUMBER(AS211),AS211*IF($D211="Unlabeled-13",MCDM_Settings!$E$11,MCDM_Settings!$C$11),0)))</f>
        <v>99.999999999999986</v>
      </c>
      <c r="G211" s="13">
        <f>IF(OR(AY211&lt;&gt;"Valid",AZ211&lt;&gt;"16 keys present"),"Review settings",1*(IF(ISNUMBER(AE211),AE211*IF($D211="Unlabeled-13",MCDM_Settings!$E$6,MCDM_Settings!$C$6),0)+IF(ISNUMBER(AH211),AH211*IF($D211="Unlabeled-13",MCDM_Settings!$E$7,MCDM_Settings!$C$7),0)+IF(ISNUMBER(AK211),AK211*IF($D211="Unlabeled-13",MCDM_Settings!$E$8,MCDM_Settings!$C$8),0)+IF(ISNUMBER(AN211),AN211*IF($D211="Unlabeled-13",MCDM_Settings!$E$9,MCDM_Settings!$C$9),0)+IF(ISNUMBER(AQ211),AQ211*IF($D211="Unlabeled-13",MCDM_Settings!$E$10,MCDM_Settings!$C$10),0)+IF(ISNUMBER(AT211),AT211*IF($D211="Unlabeled-13",MCDM_Settings!$E$11,MCDM_Settings!$C$11),0)))</f>
        <v>0.55555555555555558</v>
      </c>
      <c r="H211" s="5" t="str">
        <f>INDEX(Manual_Review!$AH$6:$AH$238,MATCH(A211,Manual_Review!$A$6:$A$238,0))</f>
        <v>Not started</v>
      </c>
      <c r="I211" s="5" t="s">
        <v>182</v>
      </c>
      <c r="J211" s="5" t="s">
        <v>2374</v>
      </c>
      <c r="K211" s="5" t="str">
        <f>HYPERLINK("https://www.boreas.utias.utoronto.ca/","Dataset")</f>
        <v>Dataset</v>
      </c>
      <c r="L211" s="5" t="str">
        <f>HYPERLINK("#'Manual_Review'!A"&amp;(MATCH("DS-206",Manual_Review!$A$6:$A$238,0)+5),"Enter review")</f>
        <v>Enter review</v>
      </c>
      <c r="M211" s="5" t="str">
        <f>INDEX(MCDM_Checks!$K$6:$K$3733,MATCH(A211&amp;"|"&amp;M$5,MCDM_Checks!$A$6:$A$3733,0))</f>
        <v>Y</v>
      </c>
      <c r="N211" s="5" t="str">
        <f>INDEX(MCDM_Checks!$K$6:$K$3733,MATCH(A211&amp;"|"&amp;N$5,MCDM_Checks!$A$6:$A$3733,0))</f>
        <v>Y</v>
      </c>
      <c r="O211" s="5" t="str">
        <f>INDEX(MCDM_Checks!$K$6:$K$3733,MATCH(A211&amp;"|"&amp;O$5,MCDM_Checks!$A$6:$A$3733,0))</f>
        <v>Y</v>
      </c>
      <c r="P211" s="5" t="str">
        <f>INDEX(MCDM_Checks!$K$6:$K$3733,MATCH(A211&amp;"|"&amp;P$5,MCDM_Checks!$A$6:$A$3733,0))</f>
        <v>U</v>
      </c>
      <c r="Q211" s="5" t="str">
        <f>INDEX(MCDM_Checks!$K$6:$K$3733,MATCH(A211&amp;"|"&amp;Q$5,MCDM_Checks!$A$6:$A$3733,0))</f>
        <v>U</v>
      </c>
      <c r="R211" s="5" t="str">
        <f>INDEX(MCDM_Checks!$K$6:$K$3733,MATCH(A211&amp;"|"&amp;R$5,MCDM_Checks!$A$6:$A$3733,0))</f>
        <v>U</v>
      </c>
      <c r="S211" s="5" t="str">
        <f>INDEX(MCDM_Checks!$K$6:$K$3733,MATCH(A211&amp;"|"&amp;S$5,MCDM_Checks!$A$6:$A$3733,0))</f>
        <v>U</v>
      </c>
      <c r="T211" s="5" t="str">
        <f>INDEX(MCDM_Checks!$K$6:$K$3733,MATCH(A211&amp;"|"&amp;T$5,MCDM_Checks!$A$6:$A$3733,0))</f>
        <v>Y</v>
      </c>
      <c r="U211" s="5" t="str">
        <f>INDEX(MCDM_Checks!$K$6:$K$3733,MATCH(A211&amp;"|"&amp;U$5,MCDM_Checks!$A$6:$A$3733,0))</f>
        <v>Y</v>
      </c>
      <c r="V211" s="5" t="str">
        <f>INDEX(MCDM_Checks!$K$6:$K$3733,MATCH(A211&amp;"|"&amp;V$5,MCDM_Checks!$A$6:$A$3733,0))</f>
        <v>U</v>
      </c>
      <c r="W211" s="5" t="str">
        <f>INDEX(MCDM_Checks!$K$6:$K$3733,MATCH(A211&amp;"|"&amp;W$5,MCDM_Checks!$A$6:$A$3733,0))</f>
        <v>U</v>
      </c>
      <c r="X211" s="5" t="str">
        <f>INDEX(MCDM_Checks!$K$6:$K$3733,MATCH(A211&amp;"|"&amp;X$5,MCDM_Checks!$A$6:$A$3733,0))</f>
        <v>Y</v>
      </c>
      <c r="Y211" s="5" t="str">
        <f>INDEX(MCDM_Checks!$K$6:$K$3733,MATCH(A211&amp;"|"&amp;Y$5,MCDM_Checks!$A$6:$A$3733,0))</f>
        <v>Y</v>
      </c>
      <c r="Z211" s="5" t="str">
        <f>INDEX(MCDM_Checks!$K$6:$K$3733,MATCH(A211&amp;"|"&amp;Z$5,MCDM_Checks!$A$6:$A$3733,0))</f>
        <v>Y</v>
      </c>
      <c r="AA211" s="5" t="str">
        <f>INDEX(MCDM_Checks!$K$6:$K$3733,MATCH(A211&amp;"|"&amp;AA$5,MCDM_Checks!$A$6:$A$3733,0))</f>
        <v>Y</v>
      </c>
      <c r="AB211" s="5" t="str">
        <f>INDEX(MCDM_Checks!$K$6:$K$3733,MATCH(A211&amp;"|"&amp;AB$5,MCDM_Checks!$A$6:$A$3733,0))</f>
        <v>U</v>
      </c>
      <c r="AC211" s="12">
        <f>IF(IF($D211="Unlabeled-13",MCDM_Settings!$F$6,MCDM_Settings!$D$6)=0,"n.a.",5*COUNTIF(M211:O211,"Y")/IF($D211="Unlabeled-13",MCDM_Settings!$F$6,MCDM_Settings!$D$6))</f>
        <v>5</v>
      </c>
      <c r="AD211" s="12">
        <f>IF(IF($D211="Unlabeled-13",MCDM_Settings!$F$6,MCDM_Settings!$D$6)=0,"n.a.",5*(COUNTIF(M211:O211,"Y")+COUNTIF(M211:O211,"U")+COUNTIF(M211:O211,"X"))/IF($D211="Unlabeled-13",MCDM_Settings!$F$6,MCDM_Settings!$D$6))</f>
        <v>5</v>
      </c>
      <c r="AE211" s="13">
        <f>IF(IF($D211="Unlabeled-13",MCDM_Settings!$F$6,MCDM_Settings!$D$6)=0,"n.a.",(COUNTIF(M211:O211,"Y")+COUNTIF(M211:O211,"N"))/IF($D211="Unlabeled-13",MCDM_Settings!$F$6,MCDM_Settings!$D$6))</f>
        <v>1</v>
      </c>
      <c r="AF211" s="12">
        <f>IF(IF($D211="Unlabeled-13",MCDM_Settings!$F$7,MCDM_Settings!$D$7)=0,"n.a.",5*COUNTIF(P211:R211,"Y")/IF($D211="Unlabeled-13",MCDM_Settings!$F$7,MCDM_Settings!$D$7))</f>
        <v>0</v>
      </c>
      <c r="AG211" s="12">
        <f>IF(IF($D211="Unlabeled-13",MCDM_Settings!$F$7,MCDM_Settings!$D$7)=0,"n.a.",5*(COUNTIF(P211:R211,"Y")+COUNTIF(P211:R211,"U")+COUNTIF(P211:R211,"X"))/IF($D211="Unlabeled-13",MCDM_Settings!$F$7,MCDM_Settings!$D$7))</f>
        <v>5</v>
      </c>
      <c r="AH211" s="13">
        <f>IF(IF($D211="Unlabeled-13",MCDM_Settings!$F$7,MCDM_Settings!$D$7)=0,"n.a.",(COUNTIF(P211:R211,"Y")+COUNTIF(P211:R211,"N"))/IF($D211="Unlabeled-13",MCDM_Settings!$F$7,MCDM_Settings!$D$7))</f>
        <v>0</v>
      </c>
      <c r="AI211" s="12">
        <f>IF(IF($D211="Unlabeled-13",MCDM_Settings!$F$8,MCDM_Settings!$D$8)=0,"n.a.",5*COUNTIF(S211:U211,"Y")/IF($D211="Unlabeled-13",MCDM_Settings!$F$8,MCDM_Settings!$D$8))</f>
        <v>3.3333333333333335</v>
      </c>
      <c r="AJ211" s="12">
        <f>IF(IF($D211="Unlabeled-13",MCDM_Settings!$F$8,MCDM_Settings!$D$8)=0,"n.a.",5*(COUNTIF(S211:U211,"Y")+COUNTIF(S211:U211,"U")+COUNTIF(S211:U211,"X"))/IF($D211="Unlabeled-13",MCDM_Settings!$F$8,MCDM_Settings!$D$8))</f>
        <v>5</v>
      </c>
      <c r="AK211" s="13">
        <f>IF(IF($D211="Unlabeled-13",MCDM_Settings!$F$8,MCDM_Settings!$D$8)=0,"n.a.",(COUNTIF(S211:U211,"Y")+COUNTIF(S211:U211,"N"))/IF($D211="Unlabeled-13",MCDM_Settings!$F$8,MCDM_Settings!$D$8))</f>
        <v>0.66666666666666663</v>
      </c>
      <c r="AL211" s="12">
        <f>IF(IF($D211="Unlabeled-13",MCDM_Settings!$F$9,MCDM_Settings!$D$9)=0,"n.a.",5*COUNTIF(V211:W211,"Y")/IF($D211="Unlabeled-13",MCDM_Settings!$F$9,MCDM_Settings!$D$9))</f>
        <v>0</v>
      </c>
      <c r="AM211" s="12">
        <f>IF(IF($D211="Unlabeled-13",MCDM_Settings!$F$9,MCDM_Settings!$D$9)=0,"n.a.",5*(COUNTIF(V211:W211,"Y")+COUNTIF(V211:W211,"U")+COUNTIF(V211:W211,"X"))/IF($D211="Unlabeled-13",MCDM_Settings!$F$9,MCDM_Settings!$D$9))</f>
        <v>5</v>
      </c>
      <c r="AN211" s="13">
        <f>IF(IF($D211="Unlabeled-13",MCDM_Settings!$F$9,MCDM_Settings!$D$9)=0,"n.a.",(COUNTIF(V211:W211,"Y")+COUNTIF(V211:W211,"N"))/IF($D211="Unlabeled-13",MCDM_Settings!$F$9,MCDM_Settings!$D$9))</f>
        <v>0</v>
      </c>
      <c r="AO211" s="12">
        <f>IF(IF($D211="Unlabeled-13",MCDM_Settings!$F$10,MCDM_Settings!$D$10)=0,"n.a.",5*COUNTIF(X211:Y211,"Y")/IF($D211="Unlabeled-13",MCDM_Settings!$F$10,MCDM_Settings!$D$10))</f>
        <v>5</v>
      </c>
      <c r="AP211" s="12">
        <f>IF(IF($D211="Unlabeled-13",MCDM_Settings!$F$10,MCDM_Settings!$D$10)=0,"n.a.",5*(COUNTIF(X211:Y211,"Y")+COUNTIF(X211:Y211,"U")+COUNTIF(X211:Y211,"X"))/IF($D211="Unlabeled-13",MCDM_Settings!$F$10,MCDM_Settings!$D$10))</f>
        <v>5</v>
      </c>
      <c r="AQ211" s="13">
        <f>IF(IF($D211="Unlabeled-13",MCDM_Settings!$F$10,MCDM_Settings!$D$10)=0,"n.a.",(COUNTIF(X211:Y211,"Y")+COUNTIF(X211:Y211,"N"))/IF($D211="Unlabeled-13",MCDM_Settings!$F$10,MCDM_Settings!$D$10))</f>
        <v>1</v>
      </c>
      <c r="AR211" s="12">
        <f>IF(IF($D211="Unlabeled-13",MCDM_Settings!$F$11,MCDM_Settings!$D$11)=0,"n.a.",5*COUNTIF(Z211:AB211,"Y")/IF($D211="Unlabeled-13",MCDM_Settings!$F$11,MCDM_Settings!$D$11))</f>
        <v>3.3333333333333335</v>
      </c>
      <c r="AS211" s="12">
        <f>IF(IF($D211="Unlabeled-13",MCDM_Settings!$F$11,MCDM_Settings!$D$11)=0,"n.a.",5*(COUNTIF(Z211:AB211,"Y")+COUNTIF(Z211:AB211,"U")+COUNTIF(Z211:AB211,"X"))/IF($D211="Unlabeled-13",MCDM_Settings!$F$11,MCDM_Settings!$D$11))</f>
        <v>5</v>
      </c>
      <c r="AT211" s="13">
        <f>IF(IF($D211="Unlabeled-13",MCDM_Settings!$F$11,MCDM_Settings!$D$11)=0,"n.a.",(COUNTIF(Z211:AB211,"Y")+COUNTIF(Z211:AB211,"N"))/IF($D211="Unlabeled-13",MCDM_Settings!$F$11,MCDM_Settings!$D$11))</f>
        <v>0.66666666666666663</v>
      </c>
      <c r="AU211" s="5" t="str">
        <f>IF(AND(INDEX(Manual_Review!$G$6:$G$238,MATCH(A211,Manual_Review!$A$6:$A$238,0))&lt;&gt;"",ISNUMBER(INDEX(Manual_Review!$H$6:$H$238,MATCH(A211,Manual_Review!$A$6:$A$238,0))),INDEX(Manual_Review!$H$6:$H$238,MATCH(A211,Manual_Review!$A$6:$A$238,0))&gt;0,INDEX(Manual_Review!$I$6:$I$238,MATCH(A211,Manual_Review!$A$6:$A$238,0))="Confirmed",INDEX(Manual_Review!$AF$6:$AF$238,MATCH(A211,Manual_Review!$A$6:$A$238,0))&lt;&gt;""),IF(INDEX(Manual_Review!$AA$6:$AA$238,MATCH(A211,Manual_Review!$A$6:$A$238,0))="Pass","Pass",IF(INDEX(Manual_Review!$AA$6:$AA$238,MATCH(A211,Manual_Review!$A$6:$A$238,0))="Fail","Fail","Pending")),"Pending human identity confirmation")</f>
        <v>Pending human identity confirmation</v>
      </c>
      <c r="AV211" s="5" t="str">
        <f>IF(AND(AND(INDEX(Manual_Review!$G$6:$G$238,MATCH(A211,Manual_Review!$A$6:$A$238,0))&lt;&gt;"",ISNUMBER(INDEX(Manual_Review!$H$6:$H$238,MATCH(A211,Manual_Review!$A$6:$A$238,0))),INDEX(Manual_Review!$H$6:$H$238,MATCH(A211,Manual_Review!$A$6:$A$238,0))&gt;0,INDEX(Manual_Review!$I$6:$I$238,MATCH(A211,Manual_Review!$A$6:$A$238,0))="Confirmed",INDEX(Manual_Review!$AF$6:$AF$238,MATCH(A211,Manual_Review!$A$6:$A$238,0))&lt;&gt;""),INDEX(Manual_Review!$AG$6:$AG$238,MATCH(A211,Manual_Review!$A$6:$A$238,0))&lt;&gt;""),IF(INDEX(Manual_Review!$AB$6:$AB$238,MATCH(A211,Manual_Review!$A$6:$A$238,0))="Pass","Pass",IF(INDEX(Manual_Review!$AB$6:$AB$238,MATCH(A211,Manual_Review!$A$6:$A$238,0))="Fail","Fail","Pending")),"Not assessed: define intended task")</f>
        <v>Not assessed: define intended task</v>
      </c>
      <c r="AW211" s="5" t="str">
        <f>IF(AND(AND(INDEX(Manual_Review!$G$6:$G$238,MATCH(A211,Manual_Review!$A$6:$A$238,0))&lt;&gt;"",ISNUMBER(INDEX(Manual_Review!$H$6:$H$238,MATCH(A211,Manual_Review!$A$6:$A$238,0))),INDEX(Manual_Review!$H$6:$H$238,MATCH(A211,Manual_Review!$A$6:$A$238,0))&gt;0,INDEX(Manual_Review!$I$6:$I$238,MATCH(A211,Manual_Review!$A$6:$A$238,0))="Confirmed",INDEX(Manual_Review!$AF$6:$AF$238,MATCH(A211,Manual_Review!$A$6:$A$238,0))&lt;&gt;""),INDEX(Manual_Review!$AG$6:$AG$238,MATCH(A211,Manual_Review!$A$6:$A$238,0))&lt;&gt;""),IF(OR(INDEX(Manual_Review!$AC$6:$AC$238,MATCH(A211,Manual_Review!$A$6:$A$238,0))="Fail",INDEX(Manual_Review!$AD$6:$AD$238,MATCH(A211,Manual_Review!$A$6:$A$238,0))="Fail"),"Fail: rights or retrieval",IF(AND(INDEX(Manual_Review!$AC$6:$AC$238,MATCH(A211,Manual_Review!$A$6:$A$238,0))="Pass",INDEX(Manual_Review!$AD$6:$AD$238,MATCH(A211,Manual_Review!$A$6:$A$238,0))="Pass"),"Pass","Pending rights and retrieval")),"Pending rights and retrieval")</f>
        <v>Pending rights and retrieval</v>
      </c>
      <c r="AX211" s="5" t="str">
        <f>IF(INDEX(Manual_Review!$AG$6:$AG$238,MATCH(A211,Manual_Review!$A$6:$A$238,0))="","N/A: documentation inventory",IF(AND(INDEX(Manual_Review!$G$6:$G$238,MATCH(A211,Manual_Review!$A$6:$A$238,0))&lt;&gt;"",ISNUMBER(INDEX(Manual_Review!$H$6:$H$238,MATCH(A211,Manual_Review!$A$6:$A$238,0))),INDEX(Manual_Review!$H$6:$H$238,MATCH(A211,Manual_Review!$A$6:$A$238,0))&gt;0,INDEX(Manual_Review!$I$6:$I$238,MATCH(A211,Manual_Review!$A$6:$A$238,0))="Confirmed",INDEX(Manual_Review!$AF$6:$AF$238,MATCH(A211,Manual_Review!$A$6:$A$238,0))&lt;&gt;""),IF(INDEX(Manual_Review!$AE$6:$AE$238,MATCH(A211,Manual_Review!$A$6:$A$238,0))="Pass","Pass",IF(INDEX(Manual_Review!$AE$6:$AE$238,MATCH(A211,Manual_Review!$A$6:$A$238,0))="Fail","Fail: benchmark leakage",IF(INDEX(Manual_Review!$AE$6:$AE$238,MATCH(A211,Manual_Review!$A$6:$A$238,0))="N/A","N/A: nonbenchmark task","Pending task-specific leakage check"))),"Pending task-specific leakage check"))</f>
        <v>N/A: documentation inventory</v>
      </c>
      <c r="AY211" s="5" t="str">
        <f>IF(IF(D211="Unlabeled-13",AND(ABS(MCDM_Settings!$D$14-1)&lt;0.0000001,MIN(MCDM_Settings!$E$6:$E$11)&gt;=0,MCDM_Settings!$E$7=0),AND(ABS(MCDM_Settings!$B$14-1)&lt;0.0000001,MIN(MCDM_Settings!$C$6:$C$11)&gt;=0)),"Valid","Check weights")</f>
        <v>Valid</v>
      </c>
      <c r="AZ211" s="5" t="str">
        <f>IF(AND(COUNTIF(MCDM_Checks!$B$6:$B$3733,A211)=16,COUNTIF(Manual_Review!$A$6:$A$238,A211)=1),"16 keys present","Check key count")</f>
        <v>16 keys present</v>
      </c>
    </row>
    <row r="212" spans="1:52" ht="25.5">
      <c r="A212" s="5" t="s">
        <v>2386</v>
      </c>
      <c r="B212" s="5" t="s">
        <v>2387</v>
      </c>
      <c r="C212" s="5"/>
      <c r="D212" s="5" t="s">
        <v>118</v>
      </c>
      <c r="E212" s="12">
        <f>IF(OR(AY212&lt;&gt;"Valid",AZ212&lt;&gt;"16 keys present"),"Review settings",20*(IF(ISNUMBER(AC212),AC212*IF($D212="Unlabeled-13",MCDM_Settings!$E$6,MCDM_Settings!$C$6),0)+IF(ISNUMBER(AF212),AF212*IF($D212="Unlabeled-13",MCDM_Settings!$E$7,MCDM_Settings!$C$7),0)+IF(ISNUMBER(AI212),AI212*IF($D212="Unlabeled-13",MCDM_Settings!$E$8,MCDM_Settings!$C$8),0)+IF(ISNUMBER(AL212),AL212*IF($D212="Unlabeled-13",MCDM_Settings!$E$9,MCDM_Settings!$C$9),0)+IF(ISNUMBER(AO212),AO212*IF($D212="Unlabeled-13",MCDM_Settings!$E$10,MCDM_Settings!$C$10),0)+IF(ISNUMBER(AR212),AR212*IF($D212="Unlabeled-13",MCDM_Settings!$E$11,MCDM_Settings!$C$11),0)))</f>
        <v>61.111111111111107</v>
      </c>
      <c r="F212" s="12">
        <f>IF(OR(AY212&lt;&gt;"Valid",AZ212&lt;&gt;"16 keys present"),"Review settings",20*(IF(ISNUMBER(AD212),AD212*IF($D212="Unlabeled-13",MCDM_Settings!$E$6,MCDM_Settings!$C$6),0)+IF(ISNUMBER(AG212),AG212*IF($D212="Unlabeled-13",MCDM_Settings!$E$7,MCDM_Settings!$C$7),0)+IF(ISNUMBER(AJ212),AJ212*IF($D212="Unlabeled-13",MCDM_Settings!$E$8,MCDM_Settings!$C$8),0)+IF(ISNUMBER(AM212),AM212*IF($D212="Unlabeled-13",MCDM_Settings!$E$9,MCDM_Settings!$C$9),0)+IF(ISNUMBER(AP212),AP212*IF($D212="Unlabeled-13",MCDM_Settings!$E$10,MCDM_Settings!$C$10),0)+IF(ISNUMBER(AS212),AS212*IF($D212="Unlabeled-13",MCDM_Settings!$E$11,MCDM_Settings!$C$11),0)))</f>
        <v>99.999999999999986</v>
      </c>
      <c r="G212" s="13">
        <f>IF(OR(AY212&lt;&gt;"Valid",AZ212&lt;&gt;"16 keys present"),"Review settings",1*(IF(ISNUMBER(AE212),AE212*IF($D212="Unlabeled-13",MCDM_Settings!$E$6,MCDM_Settings!$C$6),0)+IF(ISNUMBER(AH212),AH212*IF($D212="Unlabeled-13",MCDM_Settings!$E$7,MCDM_Settings!$C$7),0)+IF(ISNUMBER(AK212),AK212*IF($D212="Unlabeled-13",MCDM_Settings!$E$8,MCDM_Settings!$C$8),0)+IF(ISNUMBER(AN212),AN212*IF($D212="Unlabeled-13",MCDM_Settings!$E$9,MCDM_Settings!$C$9),0)+IF(ISNUMBER(AQ212),AQ212*IF($D212="Unlabeled-13",MCDM_Settings!$E$10,MCDM_Settings!$C$10),0)+IF(ISNUMBER(AT212),AT212*IF($D212="Unlabeled-13",MCDM_Settings!$E$11,MCDM_Settings!$C$11),0)))</f>
        <v>0.61111111111111105</v>
      </c>
      <c r="H212" s="5" t="str">
        <f>INDEX(Manual_Review!$AH$6:$AH$238,MATCH(A212,Manual_Review!$A$6:$A$238,0))</f>
        <v>Not started</v>
      </c>
      <c r="I212" s="5" t="s">
        <v>182</v>
      </c>
      <c r="J212" s="5" t="s">
        <v>2388</v>
      </c>
      <c r="K212" s="5" t="str">
        <f>HYPERLINK("https://github.com/mpitropov/cadc_devkit","Dataset")</f>
        <v>Dataset</v>
      </c>
      <c r="L212" s="5" t="str">
        <f>HYPERLINK("#'Manual_Review'!A"&amp;(MATCH("DS-207",Manual_Review!$A$6:$A$238,0)+5),"Enter review")</f>
        <v>Enter review</v>
      </c>
      <c r="M212" s="5" t="str">
        <f>INDEX(MCDM_Checks!$K$6:$K$3733,MATCH(A212&amp;"|"&amp;M$5,MCDM_Checks!$A$6:$A$3733,0))</f>
        <v>Y</v>
      </c>
      <c r="N212" s="5" t="str">
        <f>INDEX(MCDM_Checks!$K$6:$K$3733,MATCH(A212&amp;"|"&amp;N$5,MCDM_Checks!$A$6:$A$3733,0))</f>
        <v>Y</v>
      </c>
      <c r="O212" s="5" t="str">
        <f>INDEX(MCDM_Checks!$K$6:$K$3733,MATCH(A212&amp;"|"&amp;O$5,MCDM_Checks!$A$6:$A$3733,0))</f>
        <v>U</v>
      </c>
      <c r="P212" s="5" t="str">
        <f>INDEX(MCDM_Checks!$K$6:$K$3733,MATCH(A212&amp;"|"&amp;P$5,MCDM_Checks!$A$6:$A$3733,0))</f>
        <v>U</v>
      </c>
      <c r="Q212" s="5" t="str">
        <f>INDEX(MCDM_Checks!$K$6:$K$3733,MATCH(A212&amp;"|"&amp;Q$5,MCDM_Checks!$A$6:$A$3733,0))</f>
        <v>U</v>
      </c>
      <c r="R212" s="5" t="str">
        <f>INDEX(MCDM_Checks!$K$6:$K$3733,MATCH(A212&amp;"|"&amp;R$5,MCDM_Checks!$A$6:$A$3733,0))</f>
        <v>U</v>
      </c>
      <c r="S212" s="5" t="str">
        <f>INDEX(MCDM_Checks!$K$6:$K$3733,MATCH(A212&amp;"|"&amp;S$5,MCDM_Checks!$A$6:$A$3733,0))</f>
        <v>U</v>
      </c>
      <c r="T212" s="5" t="str">
        <f>INDEX(MCDM_Checks!$K$6:$K$3733,MATCH(A212&amp;"|"&amp;T$5,MCDM_Checks!$A$6:$A$3733,0))</f>
        <v>Y</v>
      </c>
      <c r="U212" s="5" t="str">
        <f>INDEX(MCDM_Checks!$K$6:$K$3733,MATCH(A212&amp;"|"&amp;U$5,MCDM_Checks!$A$6:$A$3733,0))</f>
        <v>Y</v>
      </c>
      <c r="V212" s="5" t="str">
        <f>INDEX(MCDM_Checks!$K$6:$K$3733,MATCH(A212&amp;"|"&amp;V$5,MCDM_Checks!$A$6:$A$3733,0))</f>
        <v>Y</v>
      </c>
      <c r="W212" s="5" t="str">
        <f>INDEX(MCDM_Checks!$K$6:$K$3733,MATCH(A212&amp;"|"&amp;W$5,MCDM_Checks!$A$6:$A$3733,0))</f>
        <v>Y</v>
      </c>
      <c r="X212" s="5" t="str">
        <f>INDEX(MCDM_Checks!$K$6:$K$3733,MATCH(A212&amp;"|"&amp;X$5,MCDM_Checks!$A$6:$A$3733,0))</f>
        <v>Y</v>
      </c>
      <c r="Y212" s="5" t="str">
        <f>INDEX(MCDM_Checks!$K$6:$K$3733,MATCH(A212&amp;"|"&amp;Y$5,MCDM_Checks!$A$6:$A$3733,0))</f>
        <v>Y</v>
      </c>
      <c r="Z212" s="5" t="str">
        <f>INDEX(MCDM_Checks!$K$6:$K$3733,MATCH(A212&amp;"|"&amp;Z$5,MCDM_Checks!$A$6:$A$3733,0))</f>
        <v>Y</v>
      </c>
      <c r="AA212" s="5" t="str">
        <f>INDEX(MCDM_Checks!$K$6:$K$3733,MATCH(A212&amp;"|"&amp;AA$5,MCDM_Checks!$A$6:$A$3733,0))</f>
        <v>U</v>
      </c>
      <c r="AB212" s="5" t="str">
        <f>INDEX(MCDM_Checks!$K$6:$K$3733,MATCH(A212&amp;"|"&amp;AB$5,MCDM_Checks!$A$6:$A$3733,0))</f>
        <v>U</v>
      </c>
      <c r="AC212" s="12">
        <f>IF(IF($D212="Unlabeled-13",MCDM_Settings!$F$6,MCDM_Settings!$D$6)=0,"n.a.",5*COUNTIF(M212:O212,"Y")/IF($D212="Unlabeled-13",MCDM_Settings!$F$6,MCDM_Settings!$D$6))</f>
        <v>3.3333333333333335</v>
      </c>
      <c r="AD212" s="12">
        <f>IF(IF($D212="Unlabeled-13",MCDM_Settings!$F$6,MCDM_Settings!$D$6)=0,"n.a.",5*(COUNTIF(M212:O212,"Y")+COUNTIF(M212:O212,"U")+COUNTIF(M212:O212,"X"))/IF($D212="Unlabeled-13",MCDM_Settings!$F$6,MCDM_Settings!$D$6))</f>
        <v>5</v>
      </c>
      <c r="AE212" s="13">
        <f>IF(IF($D212="Unlabeled-13",MCDM_Settings!$F$6,MCDM_Settings!$D$6)=0,"n.a.",(COUNTIF(M212:O212,"Y")+COUNTIF(M212:O212,"N"))/IF($D212="Unlabeled-13",MCDM_Settings!$F$6,MCDM_Settings!$D$6))</f>
        <v>0.66666666666666663</v>
      </c>
      <c r="AF212" s="12">
        <f>IF(IF($D212="Unlabeled-13",MCDM_Settings!$F$7,MCDM_Settings!$D$7)=0,"n.a.",5*COUNTIF(P212:R212,"Y")/IF($D212="Unlabeled-13",MCDM_Settings!$F$7,MCDM_Settings!$D$7))</f>
        <v>0</v>
      </c>
      <c r="AG212" s="12">
        <f>IF(IF($D212="Unlabeled-13",MCDM_Settings!$F$7,MCDM_Settings!$D$7)=0,"n.a.",5*(COUNTIF(P212:R212,"Y")+COUNTIF(P212:R212,"U")+COUNTIF(P212:R212,"X"))/IF($D212="Unlabeled-13",MCDM_Settings!$F$7,MCDM_Settings!$D$7))</f>
        <v>5</v>
      </c>
      <c r="AH212" s="13">
        <f>IF(IF($D212="Unlabeled-13",MCDM_Settings!$F$7,MCDM_Settings!$D$7)=0,"n.a.",(COUNTIF(P212:R212,"Y")+COUNTIF(P212:R212,"N"))/IF($D212="Unlabeled-13",MCDM_Settings!$F$7,MCDM_Settings!$D$7))</f>
        <v>0</v>
      </c>
      <c r="AI212" s="12">
        <f>IF(IF($D212="Unlabeled-13",MCDM_Settings!$F$8,MCDM_Settings!$D$8)=0,"n.a.",5*COUNTIF(S212:U212,"Y")/IF($D212="Unlabeled-13",MCDM_Settings!$F$8,MCDM_Settings!$D$8))</f>
        <v>3.3333333333333335</v>
      </c>
      <c r="AJ212" s="12">
        <f>IF(IF($D212="Unlabeled-13",MCDM_Settings!$F$8,MCDM_Settings!$D$8)=0,"n.a.",5*(COUNTIF(S212:U212,"Y")+COUNTIF(S212:U212,"U")+COUNTIF(S212:U212,"X"))/IF($D212="Unlabeled-13",MCDM_Settings!$F$8,MCDM_Settings!$D$8))</f>
        <v>5</v>
      </c>
      <c r="AK212" s="13">
        <f>IF(IF($D212="Unlabeled-13",MCDM_Settings!$F$8,MCDM_Settings!$D$8)=0,"n.a.",(COUNTIF(S212:U212,"Y")+COUNTIF(S212:U212,"N"))/IF($D212="Unlabeled-13",MCDM_Settings!$F$8,MCDM_Settings!$D$8))</f>
        <v>0.66666666666666663</v>
      </c>
      <c r="AL212" s="12">
        <f>IF(IF($D212="Unlabeled-13",MCDM_Settings!$F$9,MCDM_Settings!$D$9)=0,"n.a.",5*COUNTIF(V212:W212,"Y")/IF($D212="Unlabeled-13",MCDM_Settings!$F$9,MCDM_Settings!$D$9))</f>
        <v>5</v>
      </c>
      <c r="AM212" s="12">
        <f>IF(IF($D212="Unlabeled-13",MCDM_Settings!$F$9,MCDM_Settings!$D$9)=0,"n.a.",5*(COUNTIF(V212:W212,"Y")+COUNTIF(V212:W212,"U")+COUNTIF(V212:W212,"X"))/IF($D212="Unlabeled-13",MCDM_Settings!$F$9,MCDM_Settings!$D$9))</f>
        <v>5</v>
      </c>
      <c r="AN212" s="13">
        <f>IF(IF($D212="Unlabeled-13",MCDM_Settings!$F$9,MCDM_Settings!$D$9)=0,"n.a.",(COUNTIF(V212:W212,"Y")+COUNTIF(V212:W212,"N"))/IF($D212="Unlabeled-13",MCDM_Settings!$F$9,MCDM_Settings!$D$9))</f>
        <v>1</v>
      </c>
      <c r="AO212" s="12">
        <f>IF(IF($D212="Unlabeled-13",MCDM_Settings!$F$10,MCDM_Settings!$D$10)=0,"n.a.",5*COUNTIF(X212:Y212,"Y")/IF($D212="Unlabeled-13",MCDM_Settings!$F$10,MCDM_Settings!$D$10))</f>
        <v>5</v>
      </c>
      <c r="AP212" s="12">
        <f>IF(IF($D212="Unlabeled-13",MCDM_Settings!$F$10,MCDM_Settings!$D$10)=0,"n.a.",5*(COUNTIF(X212:Y212,"Y")+COUNTIF(X212:Y212,"U")+COUNTIF(X212:Y212,"X"))/IF($D212="Unlabeled-13",MCDM_Settings!$F$10,MCDM_Settings!$D$10))</f>
        <v>5</v>
      </c>
      <c r="AQ212" s="13">
        <f>IF(IF($D212="Unlabeled-13",MCDM_Settings!$F$10,MCDM_Settings!$D$10)=0,"n.a.",(COUNTIF(X212:Y212,"Y")+COUNTIF(X212:Y212,"N"))/IF($D212="Unlabeled-13",MCDM_Settings!$F$10,MCDM_Settings!$D$10))</f>
        <v>1</v>
      </c>
      <c r="AR212" s="12">
        <f>IF(IF($D212="Unlabeled-13",MCDM_Settings!$F$11,MCDM_Settings!$D$11)=0,"n.a.",5*COUNTIF(Z212:AB212,"Y")/IF($D212="Unlabeled-13",MCDM_Settings!$F$11,MCDM_Settings!$D$11))</f>
        <v>1.6666666666666667</v>
      </c>
      <c r="AS212" s="12">
        <f>IF(IF($D212="Unlabeled-13",MCDM_Settings!$F$11,MCDM_Settings!$D$11)=0,"n.a.",5*(COUNTIF(Z212:AB212,"Y")+COUNTIF(Z212:AB212,"U")+COUNTIF(Z212:AB212,"X"))/IF($D212="Unlabeled-13",MCDM_Settings!$F$11,MCDM_Settings!$D$11))</f>
        <v>5</v>
      </c>
      <c r="AT212" s="13">
        <f>IF(IF($D212="Unlabeled-13",MCDM_Settings!$F$11,MCDM_Settings!$D$11)=0,"n.a.",(COUNTIF(Z212:AB212,"Y")+COUNTIF(Z212:AB212,"N"))/IF($D212="Unlabeled-13",MCDM_Settings!$F$11,MCDM_Settings!$D$11))</f>
        <v>0.33333333333333331</v>
      </c>
      <c r="AU212" s="5" t="str">
        <f>IF(AND(INDEX(Manual_Review!$G$6:$G$238,MATCH(A212,Manual_Review!$A$6:$A$238,0))&lt;&gt;"",ISNUMBER(INDEX(Manual_Review!$H$6:$H$238,MATCH(A212,Manual_Review!$A$6:$A$238,0))),INDEX(Manual_Review!$H$6:$H$238,MATCH(A212,Manual_Review!$A$6:$A$238,0))&gt;0,INDEX(Manual_Review!$I$6:$I$238,MATCH(A212,Manual_Review!$A$6:$A$238,0))="Confirmed",INDEX(Manual_Review!$AF$6:$AF$238,MATCH(A212,Manual_Review!$A$6:$A$238,0))&lt;&gt;""),IF(INDEX(Manual_Review!$AA$6:$AA$238,MATCH(A212,Manual_Review!$A$6:$A$238,0))="Pass","Pass",IF(INDEX(Manual_Review!$AA$6:$AA$238,MATCH(A212,Manual_Review!$A$6:$A$238,0))="Fail","Fail","Pending")),"Pending human identity confirmation")</f>
        <v>Pending human identity confirmation</v>
      </c>
      <c r="AV212" s="5" t="str">
        <f>IF(AND(AND(INDEX(Manual_Review!$G$6:$G$238,MATCH(A212,Manual_Review!$A$6:$A$238,0))&lt;&gt;"",ISNUMBER(INDEX(Manual_Review!$H$6:$H$238,MATCH(A212,Manual_Review!$A$6:$A$238,0))),INDEX(Manual_Review!$H$6:$H$238,MATCH(A212,Manual_Review!$A$6:$A$238,0))&gt;0,INDEX(Manual_Review!$I$6:$I$238,MATCH(A212,Manual_Review!$A$6:$A$238,0))="Confirmed",INDEX(Manual_Review!$AF$6:$AF$238,MATCH(A212,Manual_Review!$A$6:$A$238,0))&lt;&gt;""),INDEX(Manual_Review!$AG$6:$AG$238,MATCH(A212,Manual_Review!$A$6:$A$238,0))&lt;&gt;""),IF(INDEX(Manual_Review!$AB$6:$AB$238,MATCH(A212,Manual_Review!$A$6:$A$238,0))="Pass","Pass",IF(INDEX(Manual_Review!$AB$6:$AB$238,MATCH(A212,Manual_Review!$A$6:$A$238,0))="Fail","Fail","Pending")),"Not assessed: define intended task")</f>
        <v>Not assessed: define intended task</v>
      </c>
      <c r="AW212" s="5" t="str">
        <f>IF(AND(AND(INDEX(Manual_Review!$G$6:$G$238,MATCH(A212,Manual_Review!$A$6:$A$238,0))&lt;&gt;"",ISNUMBER(INDEX(Manual_Review!$H$6:$H$238,MATCH(A212,Manual_Review!$A$6:$A$238,0))),INDEX(Manual_Review!$H$6:$H$238,MATCH(A212,Manual_Review!$A$6:$A$238,0))&gt;0,INDEX(Manual_Review!$I$6:$I$238,MATCH(A212,Manual_Review!$A$6:$A$238,0))="Confirmed",INDEX(Manual_Review!$AF$6:$AF$238,MATCH(A212,Manual_Review!$A$6:$A$238,0))&lt;&gt;""),INDEX(Manual_Review!$AG$6:$AG$238,MATCH(A212,Manual_Review!$A$6:$A$238,0))&lt;&gt;""),IF(OR(INDEX(Manual_Review!$AC$6:$AC$238,MATCH(A212,Manual_Review!$A$6:$A$238,0))="Fail",INDEX(Manual_Review!$AD$6:$AD$238,MATCH(A212,Manual_Review!$A$6:$A$238,0))="Fail"),"Fail: rights or retrieval",IF(AND(INDEX(Manual_Review!$AC$6:$AC$238,MATCH(A212,Manual_Review!$A$6:$A$238,0))="Pass",INDEX(Manual_Review!$AD$6:$AD$238,MATCH(A212,Manual_Review!$A$6:$A$238,0))="Pass"),"Pass","Pending rights and retrieval")),"Pending rights and retrieval")</f>
        <v>Pending rights and retrieval</v>
      </c>
      <c r="AX212" s="5" t="str">
        <f>IF(INDEX(Manual_Review!$AG$6:$AG$238,MATCH(A212,Manual_Review!$A$6:$A$238,0))="","N/A: documentation inventory",IF(AND(INDEX(Manual_Review!$G$6:$G$238,MATCH(A212,Manual_Review!$A$6:$A$238,0))&lt;&gt;"",ISNUMBER(INDEX(Manual_Review!$H$6:$H$238,MATCH(A212,Manual_Review!$A$6:$A$238,0))),INDEX(Manual_Review!$H$6:$H$238,MATCH(A212,Manual_Review!$A$6:$A$238,0))&gt;0,INDEX(Manual_Review!$I$6:$I$238,MATCH(A212,Manual_Review!$A$6:$A$238,0))="Confirmed",INDEX(Manual_Review!$AF$6:$AF$238,MATCH(A212,Manual_Review!$A$6:$A$238,0))&lt;&gt;""),IF(INDEX(Manual_Review!$AE$6:$AE$238,MATCH(A212,Manual_Review!$A$6:$A$238,0))="Pass","Pass",IF(INDEX(Manual_Review!$AE$6:$AE$238,MATCH(A212,Manual_Review!$A$6:$A$238,0))="Fail","Fail: benchmark leakage",IF(INDEX(Manual_Review!$AE$6:$AE$238,MATCH(A212,Manual_Review!$A$6:$A$238,0))="N/A","N/A: nonbenchmark task","Pending task-specific leakage check"))),"Pending task-specific leakage check"))</f>
        <v>N/A: documentation inventory</v>
      </c>
      <c r="AY212" s="5" t="str">
        <f>IF(IF(D212="Unlabeled-13",AND(ABS(MCDM_Settings!$D$14-1)&lt;0.0000001,MIN(MCDM_Settings!$E$6:$E$11)&gt;=0,MCDM_Settings!$E$7=0),AND(ABS(MCDM_Settings!$B$14-1)&lt;0.0000001,MIN(MCDM_Settings!$C$6:$C$11)&gt;=0)),"Valid","Check weights")</f>
        <v>Valid</v>
      </c>
      <c r="AZ212" s="5" t="str">
        <f>IF(AND(COUNTIF(MCDM_Checks!$B$6:$B$3733,A212)=16,COUNTIF(Manual_Review!$A$6:$A$238,A212)=1),"16 keys present","Check key count")</f>
        <v>16 keys present</v>
      </c>
    </row>
    <row r="213" spans="1:52">
      <c r="A213" s="5" t="s">
        <v>2400</v>
      </c>
      <c r="B213" s="5" t="s">
        <v>2401</v>
      </c>
      <c r="C213" s="5"/>
      <c r="D213" s="5" t="s">
        <v>118</v>
      </c>
      <c r="E213" s="12">
        <f>IF(OR(AY213&lt;&gt;"Valid",AZ213&lt;&gt;"16 keys present"),"Review settings",20*(IF(ISNUMBER(AC213),AC213*IF($D213="Unlabeled-13",MCDM_Settings!$E$6,MCDM_Settings!$C$6),0)+IF(ISNUMBER(AF213),AF213*IF($D213="Unlabeled-13",MCDM_Settings!$E$7,MCDM_Settings!$C$7),0)+IF(ISNUMBER(AI213),AI213*IF($D213="Unlabeled-13",MCDM_Settings!$E$8,MCDM_Settings!$C$8),0)+IF(ISNUMBER(AL213),AL213*IF($D213="Unlabeled-13",MCDM_Settings!$E$9,MCDM_Settings!$C$9),0)+IF(ISNUMBER(AO213),AO213*IF($D213="Unlabeled-13",MCDM_Settings!$E$10,MCDM_Settings!$C$10),0)+IF(ISNUMBER(AR213),AR213*IF($D213="Unlabeled-13",MCDM_Settings!$E$11,MCDM_Settings!$C$11),0)))</f>
        <v>72.222222222222214</v>
      </c>
      <c r="F213" s="12">
        <f>IF(OR(AY213&lt;&gt;"Valid",AZ213&lt;&gt;"16 keys present"),"Review settings",20*(IF(ISNUMBER(AD213),AD213*IF($D213="Unlabeled-13",MCDM_Settings!$E$6,MCDM_Settings!$C$6),0)+IF(ISNUMBER(AG213),AG213*IF($D213="Unlabeled-13",MCDM_Settings!$E$7,MCDM_Settings!$C$7),0)+IF(ISNUMBER(AJ213),AJ213*IF($D213="Unlabeled-13",MCDM_Settings!$E$8,MCDM_Settings!$C$8),0)+IF(ISNUMBER(AM213),AM213*IF($D213="Unlabeled-13",MCDM_Settings!$E$9,MCDM_Settings!$C$9),0)+IF(ISNUMBER(AP213),AP213*IF($D213="Unlabeled-13",MCDM_Settings!$E$10,MCDM_Settings!$C$10),0)+IF(ISNUMBER(AS213),AS213*IF($D213="Unlabeled-13",MCDM_Settings!$E$11,MCDM_Settings!$C$11),0)))</f>
        <v>99.999999999999986</v>
      </c>
      <c r="G213" s="13">
        <f>IF(OR(AY213&lt;&gt;"Valid",AZ213&lt;&gt;"16 keys present"),"Review settings",1*(IF(ISNUMBER(AE213),AE213*IF($D213="Unlabeled-13",MCDM_Settings!$E$6,MCDM_Settings!$C$6),0)+IF(ISNUMBER(AH213),AH213*IF($D213="Unlabeled-13",MCDM_Settings!$E$7,MCDM_Settings!$C$7),0)+IF(ISNUMBER(AK213),AK213*IF($D213="Unlabeled-13",MCDM_Settings!$E$8,MCDM_Settings!$C$8),0)+IF(ISNUMBER(AN213),AN213*IF($D213="Unlabeled-13",MCDM_Settings!$E$9,MCDM_Settings!$C$9),0)+IF(ISNUMBER(AQ213),AQ213*IF($D213="Unlabeled-13",MCDM_Settings!$E$10,MCDM_Settings!$C$10),0)+IF(ISNUMBER(AT213),AT213*IF($D213="Unlabeled-13",MCDM_Settings!$E$11,MCDM_Settings!$C$11),0)))</f>
        <v>0.72222222222222221</v>
      </c>
      <c r="H213" s="5" t="str">
        <f>INDEX(Manual_Review!$AH$6:$AH$238,MATCH(A213,Manual_Review!$A$6:$A$238,0))</f>
        <v>Not started</v>
      </c>
      <c r="I213" s="5" t="s">
        <v>182</v>
      </c>
      <c r="J213" s="5" t="s">
        <v>2402</v>
      </c>
      <c r="K213" s="5" t="str">
        <f>HYPERLINK("https://www.cityscapes-dataset.com/","Dataset")</f>
        <v>Dataset</v>
      </c>
      <c r="L213" s="5" t="str">
        <f>HYPERLINK("#'Manual_Review'!A"&amp;(MATCH("DS-208",Manual_Review!$A$6:$A$238,0)+5),"Enter review")</f>
        <v>Enter review</v>
      </c>
      <c r="M213" s="5" t="str">
        <f>INDEX(MCDM_Checks!$K$6:$K$3733,MATCH(A213&amp;"|"&amp;M$5,MCDM_Checks!$A$6:$A$3733,0))</f>
        <v>Y</v>
      </c>
      <c r="N213" s="5" t="str">
        <f>INDEX(MCDM_Checks!$K$6:$K$3733,MATCH(A213&amp;"|"&amp;N$5,MCDM_Checks!$A$6:$A$3733,0))</f>
        <v>Y</v>
      </c>
      <c r="O213" s="5" t="str">
        <f>INDEX(MCDM_Checks!$K$6:$K$3733,MATCH(A213&amp;"|"&amp;O$5,MCDM_Checks!$A$6:$A$3733,0))</f>
        <v>Y</v>
      </c>
      <c r="P213" s="5" t="str">
        <f>INDEX(MCDM_Checks!$K$6:$K$3733,MATCH(A213&amp;"|"&amp;P$5,MCDM_Checks!$A$6:$A$3733,0))</f>
        <v>Y</v>
      </c>
      <c r="Q213" s="5" t="str">
        <f>INDEX(MCDM_Checks!$K$6:$K$3733,MATCH(A213&amp;"|"&amp;Q$5,MCDM_Checks!$A$6:$A$3733,0))</f>
        <v>U</v>
      </c>
      <c r="R213" s="5" t="str">
        <f>INDEX(MCDM_Checks!$K$6:$K$3733,MATCH(A213&amp;"|"&amp;R$5,MCDM_Checks!$A$6:$A$3733,0))</f>
        <v>U</v>
      </c>
      <c r="S213" s="5" t="str">
        <f>INDEX(MCDM_Checks!$K$6:$K$3733,MATCH(A213&amp;"|"&amp;S$5,MCDM_Checks!$A$6:$A$3733,0))</f>
        <v>U</v>
      </c>
      <c r="T213" s="5" t="str">
        <f>INDEX(MCDM_Checks!$K$6:$K$3733,MATCH(A213&amp;"|"&amp;T$5,MCDM_Checks!$A$6:$A$3733,0))</f>
        <v>Y</v>
      </c>
      <c r="U213" s="5" t="str">
        <f>INDEX(MCDM_Checks!$K$6:$K$3733,MATCH(A213&amp;"|"&amp;U$5,MCDM_Checks!$A$6:$A$3733,0))</f>
        <v>Y</v>
      </c>
      <c r="V213" s="5" t="str">
        <f>INDEX(MCDM_Checks!$K$6:$K$3733,MATCH(A213&amp;"|"&amp;V$5,MCDM_Checks!$A$6:$A$3733,0))</f>
        <v>Y</v>
      </c>
      <c r="W213" s="5" t="str">
        <f>INDEX(MCDM_Checks!$K$6:$K$3733,MATCH(A213&amp;"|"&amp;W$5,MCDM_Checks!$A$6:$A$3733,0))</f>
        <v>Y</v>
      </c>
      <c r="X213" s="5" t="str">
        <f>INDEX(MCDM_Checks!$K$6:$K$3733,MATCH(A213&amp;"|"&amp;X$5,MCDM_Checks!$A$6:$A$3733,0))</f>
        <v>Y</v>
      </c>
      <c r="Y213" s="5" t="str">
        <f>INDEX(MCDM_Checks!$K$6:$K$3733,MATCH(A213&amp;"|"&amp;Y$5,MCDM_Checks!$A$6:$A$3733,0))</f>
        <v>Y</v>
      </c>
      <c r="Z213" s="5" t="str">
        <f>INDEX(MCDM_Checks!$K$6:$K$3733,MATCH(A213&amp;"|"&amp;Z$5,MCDM_Checks!$A$6:$A$3733,0))</f>
        <v>Y</v>
      </c>
      <c r="AA213" s="5" t="str">
        <f>INDEX(MCDM_Checks!$K$6:$K$3733,MATCH(A213&amp;"|"&amp;AA$5,MCDM_Checks!$A$6:$A$3733,0))</f>
        <v>U</v>
      </c>
      <c r="AB213" s="5" t="str">
        <f>INDEX(MCDM_Checks!$K$6:$K$3733,MATCH(A213&amp;"|"&amp;AB$5,MCDM_Checks!$A$6:$A$3733,0))</f>
        <v>U</v>
      </c>
      <c r="AC213" s="12">
        <f>IF(IF($D213="Unlabeled-13",MCDM_Settings!$F$6,MCDM_Settings!$D$6)=0,"n.a.",5*COUNTIF(M213:O213,"Y")/IF($D213="Unlabeled-13",MCDM_Settings!$F$6,MCDM_Settings!$D$6))</f>
        <v>5</v>
      </c>
      <c r="AD213" s="12">
        <f>IF(IF($D213="Unlabeled-13",MCDM_Settings!$F$6,MCDM_Settings!$D$6)=0,"n.a.",5*(COUNTIF(M213:O213,"Y")+COUNTIF(M213:O213,"U")+COUNTIF(M213:O213,"X"))/IF($D213="Unlabeled-13",MCDM_Settings!$F$6,MCDM_Settings!$D$6))</f>
        <v>5</v>
      </c>
      <c r="AE213" s="13">
        <f>IF(IF($D213="Unlabeled-13",MCDM_Settings!$F$6,MCDM_Settings!$D$6)=0,"n.a.",(COUNTIF(M213:O213,"Y")+COUNTIF(M213:O213,"N"))/IF($D213="Unlabeled-13",MCDM_Settings!$F$6,MCDM_Settings!$D$6))</f>
        <v>1</v>
      </c>
      <c r="AF213" s="12">
        <f>IF(IF($D213="Unlabeled-13",MCDM_Settings!$F$7,MCDM_Settings!$D$7)=0,"n.a.",5*COUNTIF(P213:R213,"Y")/IF($D213="Unlabeled-13",MCDM_Settings!$F$7,MCDM_Settings!$D$7))</f>
        <v>1.6666666666666667</v>
      </c>
      <c r="AG213" s="12">
        <f>IF(IF($D213="Unlabeled-13",MCDM_Settings!$F$7,MCDM_Settings!$D$7)=0,"n.a.",5*(COUNTIF(P213:R213,"Y")+COUNTIF(P213:R213,"U")+COUNTIF(P213:R213,"X"))/IF($D213="Unlabeled-13",MCDM_Settings!$F$7,MCDM_Settings!$D$7))</f>
        <v>5</v>
      </c>
      <c r="AH213" s="13">
        <f>IF(IF($D213="Unlabeled-13",MCDM_Settings!$F$7,MCDM_Settings!$D$7)=0,"n.a.",(COUNTIF(P213:R213,"Y")+COUNTIF(P213:R213,"N"))/IF($D213="Unlabeled-13",MCDM_Settings!$F$7,MCDM_Settings!$D$7))</f>
        <v>0.33333333333333331</v>
      </c>
      <c r="AI213" s="12">
        <f>IF(IF($D213="Unlabeled-13",MCDM_Settings!$F$8,MCDM_Settings!$D$8)=0,"n.a.",5*COUNTIF(S213:U213,"Y")/IF($D213="Unlabeled-13",MCDM_Settings!$F$8,MCDM_Settings!$D$8))</f>
        <v>3.3333333333333335</v>
      </c>
      <c r="AJ213" s="12">
        <f>IF(IF($D213="Unlabeled-13",MCDM_Settings!$F$8,MCDM_Settings!$D$8)=0,"n.a.",5*(COUNTIF(S213:U213,"Y")+COUNTIF(S213:U213,"U")+COUNTIF(S213:U213,"X"))/IF($D213="Unlabeled-13",MCDM_Settings!$F$8,MCDM_Settings!$D$8))</f>
        <v>5</v>
      </c>
      <c r="AK213" s="13">
        <f>IF(IF($D213="Unlabeled-13",MCDM_Settings!$F$8,MCDM_Settings!$D$8)=0,"n.a.",(COUNTIF(S213:U213,"Y")+COUNTIF(S213:U213,"N"))/IF($D213="Unlabeled-13",MCDM_Settings!$F$8,MCDM_Settings!$D$8))</f>
        <v>0.66666666666666663</v>
      </c>
      <c r="AL213" s="12">
        <f>IF(IF($D213="Unlabeled-13",MCDM_Settings!$F$9,MCDM_Settings!$D$9)=0,"n.a.",5*COUNTIF(V213:W213,"Y")/IF($D213="Unlabeled-13",MCDM_Settings!$F$9,MCDM_Settings!$D$9))</f>
        <v>5</v>
      </c>
      <c r="AM213" s="12">
        <f>IF(IF($D213="Unlabeled-13",MCDM_Settings!$F$9,MCDM_Settings!$D$9)=0,"n.a.",5*(COUNTIF(V213:W213,"Y")+COUNTIF(V213:W213,"U")+COUNTIF(V213:W213,"X"))/IF($D213="Unlabeled-13",MCDM_Settings!$F$9,MCDM_Settings!$D$9))</f>
        <v>5</v>
      </c>
      <c r="AN213" s="13">
        <f>IF(IF($D213="Unlabeled-13",MCDM_Settings!$F$9,MCDM_Settings!$D$9)=0,"n.a.",(COUNTIF(V213:W213,"Y")+COUNTIF(V213:W213,"N"))/IF($D213="Unlabeled-13",MCDM_Settings!$F$9,MCDM_Settings!$D$9))</f>
        <v>1</v>
      </c>
      <c r="AO213" s="12">
        <f>IF(IF($D213="Unlabeled-13",MCDM_Settings!$F$10,MCDM_Settings!$D$10)=0,"n.a.",5*COUNTIF(X213:Y213,"Y")/IF($D213="Unlabeled-13",MCDM_Settings!$F$10,MCDM_Settings!$D$10))</f>
        <v>5</v>
      </c>
      <c r="AP213" s="12">
        <f>IF(IF($D213="Unlabeled-13",MCDM_Settings!$F$10,MCDM_Settings!$D$10)=0,"n.a.",5*(COUNTIF(X213:Y213,"Y")+COUNTIF(X213:Y213,"U")+COUNTIF(X213:Y213,"X"))/IF($D213="Unlabeled-13",MCDM_Settings!$F$10,MCDM_Settings!$D$10))</f>
        <v>5</v>
      </c>
      <c r="AQ213" s="13">
        <f>IF(IF($D213="Unlabeled-13",MCDM_Settings!$F$10,MCDM_Settings!$D$10)=0,"n.a.",(COUNTIF(X213:Y213,"Y")+COUNTIF(X213:Y213,"N"))/IF($D213="Unlabeled-13",MCDM_Settings!$F$10,MCDM_Settings!$D$10))</f>
        <v>1</v>
      </c>
      <c r="AR213" s="12">
        <f>IF(IF($D213="Unlabeled-13",MCDM_Settings!$F$11,MCDM_Settings!$D$11)=0,"n.a.",5*COUNTIF(Z213:AB213,"Y")/IF($D213="Unlabeled-13",MCDM_Settings!$F$11,MCDM_Settings!$D$11))</f>
        <v>1.6666666666666667</v>
      </c>
      <c r="AS213" s="12">
        <f>IF(IF($D213="Unlabeled-13",MCDM_Settings!$F$11,MCDM_Settings!$D$11)=0,"n.a.",5*(COUNTIF(Z213:AB213,"Y")+COUNTIF(Z213:AB213,"U")+COUNTIF(Z213:AB213,"X"))/IF($D213="Unlabeled-13",MCDM_Settings!$F$11,MCDM_Settings!$D$11))</f>
        <v>5</v>
      </c>
      <c r="AT213" s="13">
        <f>IF(IF($D213="Unlabeled-13",MCDM_Settings!$F$11,MCDM_Settings!$D$11)=0,"n.a.",(COUNTIF(Z213:AB213,"Y")+COUNTIF(Z213:AB213,"N"))/IF($D213="Unlabeled-13",MCDM_Settings!$F$11,MCDM_Settings!$D$11))</f>
        <v>0.33333333333333331</v>
      </c>
      <c r="AU213" s="5" t="str">
        <f>IF(AND(INDEX(Manual_Review!$G$6:$G$238,MATCH(A213,Manual_Review!$A$6:$A$238,0))&lt;&gt;"",ISNUMBER(INDEX(Manual_Review!$H$6:$H$238,MATCH(A213,Manual_Review!$A$6:$A$238,0))),INDEX(Manual_Review!$H$6:$H$238,MATCH(A213,Manual_Review!$A$6:$A$238,0))&gt;0,INDEX(Manual_Review!$I$6:$I$238,MATCH(A213,Manual_Review!$A$6:$A$238,0))="Confirmed",INDEX(Manual_Review!$AF$6:$AF$238,MATCH(A213,Manual_Review!$A$6:$A$238,0))&lt;&gt;""),IF(INDEX(Manual_Review!$AA$6:$AA$238,MATCH(A213,Manual_Review!$A$6:$A$238,0))="Pass","Pass",IF(INDEX(Manual_Review!$AA$6:$AA$238,MATCH(A213,Manual_Review!$A$6:$A$238,0))="Fail","Fail","Pending")),"Pending human identity confirmation")</f>
        <v>Pending human identity confirmation</v>
      </c>
      <c r="AV213" s="5" t="str">
        <f>IF(AND(AND(INDEX(Manual_Review!$G$6:$G$238,MATCH(A213,Manual_Review!$A$6:$A$238,0))&lt;&gt;"",ISNUMBER(INDEX(Manual_Review!$H$6:$H$238,MATCH(A213,Manual_Review!$A$6:$A$238,0))),INDEX(Manual_Review!$H$6:$H$238,MATCH(A213,Manual_Review!$A$6:$A$238,0))&gt;0,INDEX(Manual_Review!$I$6:$I$238,MATCH(A213,Manual_Review!$A$6:$A$238,0))="Confirmed",INDEX(Manual_Review!$AF$6:$AF$238,MATCH(A213,Manual_Review!$A$6:$A$238,0))&lt;&gt;""),INDEX(Manual_Review!$AG$6:$AG$238,MATCH(A213,Manual_Review!$A$6:$A$238,0))&lt;&gt;""),IF(INDEX(Manual_Review!$AB$6:$AB$238,MATCH(A213,Manual_Review!$A$6:$A$238,0))="Pass","Pass",IF(INDEX(Manual_Review!$AB$6:$AB$238,MATCH(A213,Manual_Review!$A$6:$A$238,0))="Fail","Fail","Pending")),"Not assessed: define intended task")</f>
        <v>Not assessed: define intended task</v>
      </c>
      <c r="AW213" s="5" t="str">
        <f>IF(AND(AND(INDEX(Manual_Review!$G$6:$G$238,MATCH(A213,Manual_Review!$A$6:$A$238,0))&lt;&gt;"",ISNUMBER(INDEX(Manual_Review!$H$6:$H$238,MATCH(A213,Manual_Review!$A$6:$A$238,0))),INDEX(Manual_Review!$H$6:$H$238,MATCH(A213,Manual_Review!$A$6:$A$238,0))&gt;0,INDEX(Manual_Review!$I$6:$I$238,MATCH(A213,Manual_Review!$A$6:$A$238,0))="Confirmed",INDEX(Manual_Review!$AF$6:$AF$238,MATCH(A213,Manual_Review!$A$6:$A$238,0))&lt;&gt;""),INDEX(Manual_Review!$AG$6:$AG$238,MATCH(A213,Manual_Review!$A$6:$A$238,0))&lt;&gt;""),IF(OR(INDEX(Manual_Review!$AC$6:$AC$238,MATCH(A213,Manual_Review!$A$6:$A$238,0))="Fail",INDEX(Manual_Review!$AD$6:$AD$238,MATCH(A213,Manual_Review!$A$6:$A$238,0))="Fail"),"Fail: rights or retrieval",IF(AND(INDEX(Manual_Review!$AC$6:$AC$238,MATCH(A213,Manual_Review!$A$6:$A$238,0))="Pass",INDEX(Manual_Review!$AD$6:$AD$238,MATCH(A213,Manual_Review!$A$6:$A$238,0))="Pass"),"Pass","Pending rights and retrieval")),"Pending rights and retrieval")</f>
        <v>Pending rights and retrieval</v>
      </c>
      <c r="AX213" s="5" t="str">
        <f>IF(INDEX(Manual_Review!$AG$6:$AG$238,MATCH(A213,Manual_Review!$A$6:$A$238,0))="","N/A: documentation inventory",IF(AND(INDEX(Manual_Review!$G$6:$G$238,MATCH(A213,Manual_Review!$A$6:$A$238,0))&lt;&gt;"",ISNUMBER(INDEX(Manual_Review!$H$6:$H$238,MATCH(A213,Manual_Review!$A$6:$A$238,0))),INDEX(Manual_Review!$H$6:$H$238,MATCH(A213,Manual_Review!$A$6:$A$238,0))&gt;0,INDEX(Manual_Review!$I$6:$I$238,MATCH(A213,Manual_Review!$A$6:$A$238,0))="Confirmed",INDEX(Manual_Review!$AF$6:$AF$238,MATCH(A213,Manual_Review!$A$6:$A$238,0))&lt;&gt;""),IF(INDEX(Manual_Review!$AE$6:$AE$238,MATCH(A213,Manual_Review!$A$6:$A$238,0))="Pass","Pass",IF(INDEX(Manual_Review!$AE$6:$AE$238,MATCH(A213,Manual_Review!$A$6:$A$238,0))="Fail","Fail: benchmark leakage",IF(INDEX(Manual_Review!$AE$6:$AE$238,MATCH(A213,Manual_Review!$A$6:$A$238,0))="N/A","N/A: nonbenchmark task","Pending task-specific leakage check"))),"Pending task-specific leakage check"))</f>
        <v>N/A: documentation inventory</v>
      </c>
      <c r="AY213" s="5" t="str">
        <f>IF(IF(D213="Unlabeled-13",AND(ABS(MCDM_Settings!$D$14-1)&lt;0.0000001,MIN(MCDM_Settings!$E$6:$E$11)&gt;=0,MCDM_Settings!$E$7=0),AND(ABS(MCDM_Settings!$B$14-1)&lt;0.0000001,MIN(MCDM_Settings!$C$6:$C$11)&gt;=0)),"Valid","Check weights")</f>
        <v>Valid</v>
      </c>
      <c r="AZ213" s="5" t="str">
        <f>IF(AND(COUNTIF(MCDM_Checks!$B$6:$B$3733,A213)=16,COUNTIF(Manual_Review!$A$6:$A$238,A213)=1),"16 keys present","Check key count")</f>
        <v>16 keys present</v>
      </c>
    </row>
    <row r="214" spans="1:52">
      <c r="A214" s="5" t="s">
        <v>2413</v>
      </c>
      <c r="B214" s="5" t="s">
        <v>2414</v>
      </c>
      <c r="C214" s="5"/>
      <c r="D214" s="5" t="s">
        <v>118</v>
      </c>
      <c r="E214" s="12">
        <f>IF(OR(AY214&lt;&gt;"Valid",AZ214&lt;&gt;"16 keys present"),"Review settings",20*(IF(ISNUMBER(AC214),AC214*IF($D214="Unlabeled-13",MCDM_Settings!$E$6,MCDM_Settings!$C$6),0)+IF(ISNUMBER(AF214),AF214*IF($D214="Unlabeled-13",MCDM_Settings!$E$7,MCDM_Settings!$C$7),0)+IF(ISNUMBER(AI214),AI214*IF($D214="Unlabeled-13",MCDM_Settings!$E$8,MCDM_Settings!$C$8),0)+IF(ISNUMBER(AL214),AL214*IF($D214="Unlabeled-13",MCDM_Settings!$E$9,MCDM_Settings!$C$9),0)+IF(ISNUMBER(AO214),AO214*IF($D214="Unlabeled-13",MCDM_Settings!$E$10,MCDM_Settings!$C$10),0)+IF(ISNUMBER(AR214),AR214*IF($D214="Unlabeled-13",MCDM_Settings!$E$11,MCDM_Settings!$C$11),0)))</f>
        <v>61.111111111111107</v>
      </c>
      <c r="F214" s="12">
        <f>IF(OR(AY214&lt;&gt;"Valid",AZ214&lt;&gt;"16 keys present"),"Review settings",20*(IF(ISNUMBER(AD214),AD214*IF($D214="Unlabeled-13",MCDM_Settings!$E$6,MCDM_Settings!$C$6),0)+IF(ISNUMBER(AG214),AG214*IF($D214="Unlabeled-13",MCDM_Settings!$E$7,MCDM_Settings!$C$7),0)+IF(ISNUMBER(AJ214),AJ214*IF($D214="Unlabeled-13",MCDM_Settings!$E$8,MCDM_Settings!$C$8),0)+IF(ISNUMBER(AM214),AM214*IF($D214="Unlabeled-13",MCDM_Settings!$E$9,MCDM_Settings!$C$9),0)+IF(ISNUMBER(AP214),AP214*IF($D214="Unlabeled-13",MCDM_Settings!$E$10,MCDM_Settings!$C$10),0)+IF(ISNUMBER(AS214),AS214*IF($D214="Unlabeled-13",MCDM_Settings!$E$11,MCDM_Settings!$C$11),0)))</f>
        <v>99.999999999999986</v>
      </c>
      <c r="G214" s="13">
        <f>IF(OR(AY214&lt;&gt;"Valid",AZ214&lt;&gt;"16 keys present"),"Review settings",1*(IF(ISNUMBER(AE214),AE214*IF($D214="Unlabeled-13",MCDM_Settings!$E$6,MCDM_Settings!$C$6),0)+IF(ISNUMBER(AH214),AH214*IF($D214="Unlabeled-13",MCDM_Settings!$E$7,MCDM_Settings!$C$7),0)+IF(ISNUMBER(AK214),AK214*IF($D214="Unlabeled-13",MCDM_Settings!$E$8,MCDM_Settings!$C$8),0)+IF(ISNUMBER(AN214),AN214*IF($D214="Unlabeled-13",MCDM_Settings!$E$9,MCDM_Settings!$C$9),0)+IF(ISNUMBER(AQ214),AQ214*IF($D214="Unlabeled-13",MCDM_Settings!$E$10,MCDM_Settings!$C$10),0)+IF(ISNUMBER(AT214),AT214*IF($D214="Unlabeled-13",MCDM_Settings!$E$11,MCDM_Settings!$C$11),0)))</f>
        <v>0.61111111111111105</v>
      </c>
      <c r="H214" s="5" t="str">
        <f>INDEX(Manual_Review!$AH$6:$AH$238,MATCH(A214,Manual_Review!$A$6:$A$238,0))</f>
        <v>Not started</v>
      </c>
      <c r="I214" s="5" t="s">
        <v>182</v>
      </c>
      <c r="J214" s="5" t="s">
        <v>2415</v>
      </c>
      <c r="K214" s="5" t="str">
        <f>HYPERLINK("https://github.com/commaai/comma10k","Dataset")</f>
        <v>Dataset</v>
      </c>
      <c r="L214" s="5" t="str">
        <f>HYPERLINK("#'Manual_Review'!A"&amp;(MATCH("DS-209",Manual_Review!$A$6:$A$238,0)+5),"Enter review")</f>
        <v>Enter review</v>
      </c>
      <c r="M214" s="5" t="str">
        <f>INDEX(MCDM_Checks!$K$6:$K$3733,MATCH(A214&amp;"|"&amp;M$5,MCDM_Checks!$A$6:$A$3733,0))</f>
        <v>Y</v>
      </c>
      <c r="N214" s="5" t="str">
        <f>INDEX(MCDM_Checks!$K$6:$K$3733,MATCH(A214&amp;"|"&amp;N$5,MCDM_Checks!$A$6:$A$3733,0))</f>
        <v>Y</v>
      </c>
      <c r="O214" s="5" t="str">
        <f>INDEX(MCDM_Checks!$K$6:$K$3733,MATCH(A214&amp;"|"&amp;O$5,MCDM_Checks!$A$6:$A$3733,0))</f>
        <v>Y</v>
      </c>
      <c r="P214" s="5" t="str">
        <f>INDEX(MCDM_Checks!$K$6:$K$3733,MATCH(A214&amp;"|"&amp;P$5,MCDM_Checks!$A$6:$A$3733,0))</f>
        <v>Y</v>
      </c>
      <c r="Q214" s="5" t="str">
        <f>INDEX(MCDM_Checks!$K$6:$K$3733,MATCH(A214&amp;"|"&amp;Q$5,MCDM_Checks!$A$6:$A$3733,0))</f>
        <v>U</v>
      </c>
      <c r="R214" s="5" t="str">
        <f>INDEX(MCDM_Checks!$K$6:$K$3733,MATCH(A214&amp;"|"&amp;R$5,MCDM_Checks!$A$6:$A$3733,0))</f>
        <v>U</v>
      </c>
      <c r="S214" s="5" t="str">
        <f>INDEX(MCDM_Checks!$K$6:$K$3733,MATCH(A214&amp;"|"&amp;S$5,MCDM_Checks!$A$6:$A$3733,0))</f>
        <v>U</v>
      </c>
      <c r="T214" s="5" t="str">
        <f>INDEX(MCDM_Checks!$K$6:$K$3733,MATCH(A214&amp;"|"&amp;T$5,MCDM_Checks!$A$6:$A$3733,0))</f>
        <v>Y</v>
      </c>
      <c r="U214" s="5" t="str">
        <f>INDEX(MCDM_Checks!$K$6:$K$3733,MATCH(A214&amp;"|"&amp;U$5,MCDM_Checks!$A$6:$A$3733,0))</f>
        <v>Y</v>
      </c>
      <c r="V214" s="5" t="str">
        <f>INDEX(MCDM_Checks!$K$6:$K$3733,MATCH(A214&amp;"|"&amp;V$5,MCDM_Checks!$A$6:$A$3733,0))</f>
        <v>Y</v>
      </c>
      <c r="W214" s="5" t="str">
        <f>INDEX(MCDM_Checks!$K$6:$K$3733,MATCH(A214&amp;"|"&amp;W$5,MCDM_Checks!$A$6:$A$3733,0))</f>
        <v>U</v>
      </c>
      <c r="X214" s="5" t="str">
        <f>INDEX(MCDM_Checks!$K$6:$K$3733,MATCH(A214&amp;"|"&amp;X$5,MCDM_Checks!$A$6:$A$3733,0))</f>
        <v>U</v>
      </c>
      <c r="Y214" s="5" t="str">
        <f>INDEX(MCDM_Checks!$K$6:$K$3733,MATCH(A214&amp;"|"&amp;Y$5,MCDM_Checks!$A$6:$A$3733,0))</f>
        <v>Y</v>
      </c>
      <c r="Z214" s="5" t="str">
        <f>INDEX(MCDM_Checks!$K$6:$K$3733,MATCH(A214&amp;"|"&amp;Z$5,MCDM_Checks!$A$6:$A$3733,0))</f>
        <v>Y</v>
      </c>
      <c r="AA214" s="5" t="str">
        <f>INDEX(MCDM_Checks!$K$6:$K$3733,MATCH(A214&amp;"|"&amp;AA$5,MCDM_Checks!$A$6:$A$3733,0))</f>
        <v>U</v>
      </c>
      <c r="AB214" s="5" t="str">
        <f>INDEX(MCDM_Checks!$K$6:$K$3733,MATCH(A214&amp;"|"&amp;AB$5,MCDM_Checks!$A$6:$A$3733,0))</f>
        <v>Y</v>
      </c>
      <c r="AC214" s="12">
        <f>IF(IF($D214="Unlabeled-13",MCDM_Settings!$F$6,MCDM_Settings!$D$6)=0,"n.a.",5*COUNTIF(M214:O214,"Y")/IF($D214="Unlabeled-13",MCDM_Settings!$F$6,MCDM_Settings!$D$6))</f>
        <v>5</v>
      </c>
      <c r="AD214" s="12">
        <f>IF(IF($D214="Unlabeled-13",MCDM_Settings!$F$6,MCDM_Settings!$D$6)=0,"n.a.",5*(COUNTIF(M214:O214,"Y")+COUNTIF(M214:O214,"U")+COUNTIF(M214:O214,"X"))/IF($D214="Unlabeled-13",MCDM_Settings!$F$6,MCDM_Settings!$D$6))</f>
        <v>5</v>
      </c>
      <c r="AE214" s="13">
        <f>IF(IF($D214="Unlabeled-13",MCDM_Settings!$F$6,MCDM_Settings!$D$6)=0,"n.a.",(COUNTIF(M214:O214,"Y")+COUNTIF(M214:O214,"N"))/IF($D214="Unlabeled-13",MCDM_Settings!$F$6,MCDM_Settings!$D$6))</f>
        <v>1</v>
      </c>
      <c r="AF214" s="12">
        <f>IF(IF($D214="Unlabeled-13",MCDM_Settings!$F$7,MCDM_Settings!$D$7)=0,"n.a.",5*COUNTIF(P214:R214,"Y")/IF($D214="Unlabeled-13",MCDM_Settings!$F$7,MCDM_Settings!$D$7))</f>
        <v>1.6666666666666667</v>
      </c>
      <c r="AG214" s="12">
        <f>IF(IF($D214="Unlabeled-13",MCDM_Settings!$F$7,MCDM_Settings!$D$7)=0,"n.a.",5*(COUNTIF(P214:R214,"Y")+COUNTIF(P214:R214,"U")+COUNTIF(P214:R214,"X"))/IF($D214="Unlabeled-13",MCDM_Settings!$F$7,MCDM_Settings!$D$7))</f>
        <v>5</v>
      </c>
      <c r="AH214" s="13">
        <f>IF(IF($D214="Unlabeled-13",MCDM_Settings!$F$7,MCDM_Settings!$D$7)=0,"n.a.",(COUNTIF(P214:R214,"Y")+COUNTIF(P214:R214,"N"))/IF($D214="Unlabeled-13",MCDM_Settings!$F$7,MCDM_Settings!$D$7))</f>
        <v>0.33333333333333331</v>
      </c>
      <c r="AI214" s="12">
        <f>IF(IF($D214="Unlabeled-13",MCDM_Settings!$F$8,MCDM_Settings!$D$8)=0,"n.a.",5*COUNTIF(S214:U214,"Y")/IF($D214="Unlabeled-13",MCDM_Settings!$F$8,MCDM_Settings!$D$8))</f>
        <v>3.3333333333333335</v>
      </c>
      <c r="AJ214" s="12">
        <f>IF(IF($D214="Unlabeled-13",MCDM_Settings!$F$8,MCDM_Settings!$D$8)=0,"n.a.",5*(COUNTIF(S214:U214,"Y")+COUNTIF(S214:U214,"U")+COUNTIF(S214:U214,"X"))/IF($D214="Unlabeled-13",MCDM_Settings!$F$8,MCDM_Settings!$D$8))</f>
        <v>5</v>
      </c>
      <c r="AK214" s="13">
        <f>IF(IF($D214="Unlabeled-13",MCDM_Settings!$F$8,MCDM_Settings!$D$8)=0,"n.a.",(COUNTIF(S214:U214,"Y")+COUNTIF(S214:U214,"N"))/IF($D214="Unlabeled-13",MCDM_Settings!$F$8,MCDM_Settings!$D$8))</f>
        <v>0.66666666666666663</v>
      </c>
      <c r="AL214" s="12">
        <f>IF(IF($D214="Unlabeled-13",MCDM_Settings!$F$9,MCDM_Settings!$D$9)=0,"n.a.",5*COUNTIF(V214:W214,"Y")/IF($D214="Unlabeled-13",MCDM_Settings!$F$9,MCDM_Settings!$D$9))</f>
        <v>2.5</v>
      </c>
      <c r="AM214" s="12">
        <f>IF(IF($D214="Unlabeled-13",MCDM_Settings!$F$9,MCDM_Settings!$D$9)=0,"n.a.",5*(COUNTIF(V214:W214,"Y")+COUNTIF(V214:W214,"U")+COUNTIF(V214:W214,"X"))/IF($D214="Unlabeled-13",MCDM_Settings!$F$9,MCDM_Settings!$D$9))</f>
        <v>5</v>
      </c>
      <c r="AN214" s="13">
        <f>IF(IF($D214="Unlabeled-13",MCDM_Settings!$F$9,MCDM_Settings!$D$9)=0,"n.a.",(COUNTIF(V214:W214,"Y")+COUNTIF(V214:W214,"N"))/IF($D214="Unlabeled-13",MCDM_Settings!$F$9,MCDM_Settings!$D$9))</f>
        <v>0.5</v>
      </c>
      <c r="AO214" s="12">
        <f>IF(IF($D214="Unlabeled-13",MCDM_Settings!$F$10,MCDM_Settings!$D$10)=0,"n.a.",5*COUNTIF(X214:Y214,"Y")/IF($D214="Unlabeled-13",MCDM_Settings!$F$10,MCDM_Settings!$D$10))</f>
        <v>2.5</v>
      </c>
      <c r="AP214" s="12">
        <f>IF(IF($D214="Unlabeled-13",MCDM_Settings!$F$10,MCDM_Settings!$D$10)=0,"n.a.",5*(COUNTIF(X214:Y214,"Y")+COUNTIF(X214:Y214,"U")+COUNTIF(X214:Y214,"X"))/IF($D214="Unlabeled-13",MCDM_Settings!$F$10,MCDM_Settings!$D$10))</f>
        <v>5</v>
      </c>
      <c r="AQ214" s="13">
        <f>IF(IF($D214="Unlabeled-13",MCDM_Settings!$F$10,MCDM_Settings!$D$10)=0,"n.a.",(COUNTIF(X214:Y214,"Y")+COUNTIF(X214:Y214,"N"))/IF($D214="Unlabeled-13",MCDM_Settings!$F$10,MCDM_Settings!$D$10))</f>
        <v>0.5</v>
      </c>
      <c r="AR214" s="12">
        <f>IF(IF($D214="Unlabeled-13",MCDM_Settings!$F$11,MCDM_Settings!$D$11)=0,"n.a.",5*COUNTIF(Z214:AB214,"Y")/IF($D214="Unlabeled-13",MCDM_Settings!$F$11,MCDM_Settings!$D$11))</f>
        <v>3.3333333333333335</v>
      </c>
      <c r="AS214" s="12">
        <f>IF(IF($D214="Unlabeled-13",MCDM_Settings!$F$11,MCDM_Settings!$D$11)=0,"n.a.",5*(COUNTIF(Z214:AB214,"Y")+COUNTIF(Z214:AB214,"U")+COUNTIF(Z214:AB214,"X"))/IF($D214="Unlabeled-13",MCDM_Settings!$F$11,MCDM_Settings!$D$11))</f>
        <v>5</v>
      </c>
      <c r="AT214" s="13">
        <f>IF(IF($D214="Unlabeled-13",MCDM_Settings!$F$11,MCDM_Settings!$D$11)=0,"n.a.",(COUNTIF(Z214:AB214,"Y")+COUNTIF(Z214:AB214,"N"))/IF($D214="Unlabeled-13",MCDM_Settings!$F$11,MCDM_Settings!$D$11))</f>
        <v>0.66666666666666663</v>
      </c>
      <c r="AU214" s="5" t="str">
        <f>IF(AND(INDEX(Manual_Review!$G$6:$G$238,MATCH(A214,Manual_Review!$A$6:$A$238,0))&lt;&gt;"",ISNUMBER(INDEX(Manual_Review!$H$6:$H$238,MATCH(A214,Manual_Review!$A$6:$A$238,0))),INDEX(Manual_Review!$H$6:$H$238,MATCH(A214,Manual_Review!$A$6:$A$238,0))&gt;0,INDEX(Manual_Review!$I$6:$I$238,MATCH(A214,Manual_Review!$A$6:$A$238,0))="Confirmed",INDEX(Manual_Review!$AF$6:$AF$238,MATCH(A214,Manual_Review!$A$6:$A$238,0))&lt;&gt;""),IF(INDEX(Manual_Review!$AA$6:$AA$238,MATCH(A214,Manual_Review!$A$6:$A$238,0))="Pass","Pass",IF(INDEX(Manual_Review!$AA$6:$AA$238,MATCH(A214,Manual_Review!$A$6:$A$238,0))="Fail","Fail","Pending")),"Pending human identity confirmation")</f>
        <v>Pending human identity confirmation</v>
      </c>
      <c r="AV214" s="5" t="str">
        <f>IF(AND(AND(INDEX(Manual_Review!$G$6:$G$238,MATCH(A214,Manual_Review!$A$6:$A$238,0))&lt;&gt;"",ISNUMBER(INDEX(Manual_Review!$H$6:$H$238,MATCH(A214,Manual_Review!$A$6:$A$238,0))),INDEX(Manual_Review!$H$6:$H$238,MATCH(A214,Manual_Review!$A$6:$A$238,0))&gt;0,INDEX(Manual_Review!$I$6:$I$238,MATCH(A214,Manual_Review!$A$6:$A$238,0))="Confirmed",INDEX(Manual_Review!$AF$6:$AF$238,MATCH(A214,Manual_Review!$A$6:$A$238,0))&lt;&gt;""),INDEX(Manual_Review!$AG$6:$AG$238,MATCH(A214,Manual_Review!$A$6:$A$238,0))&lt;&gt;""),IF(INDEX(Manual_Review!$AB$6:$AB$238,MATCH(A214,Manual_Review!$A$6:$A$238,0))="Pass","Pass",IF(INDEX(Manual_Review!$AB$6:$AB$238,MATCH(A214,Manual_Review!$A$6:$A$238,0))="Fail","Fail","Pending")),"Not assessed: define intended task")</f>
        <v>Not assessed: define intended task</v>
      </c>
      <c r="AW214" s="5" t="str">
        <f>IF(AND(AND(INDEX(Manual_Review!$G$6:$G$238,MATCH(A214,Manual_Review!$A$6:$A$238,0))&lt;&gt;"",ISNUMBER(INDEX(Manual_Review!$H$6:$H$238,MATCH(A214,Manual_Review!$A$6:$A$238,0))),INDEX(Manual_Review!$H$6:$H$238,MATCH(A214,Manual_Review!$A$6:$A$238,0))&gt;0,INDEX(Manual_Review!$I$6:$I$238,MATCH(A214,Manual_Review!$A$6:$A$238,0))="Confirmed",INDEX(Manual_Review!$AF$6:$AF$238,MATCH(A214,Manual_Review!$A$6:$A$238,0))&lt;&gt;""),INDEX(Manual_Review!$AG$6:$AG$238,MATCH(A214,Manual_Review!$A$6:$A$238,0))&lt;&gt;""),IF(OR(INDEX(Manual_Review!$AC$6:$AC$238,MATCH(A214,Manual_Review!$A$6:$A$238,0))="Fail",INDEX(Manual_Review!$AD$6:$AD$238,MATCH(A214,Manual_Review!$A$6:$A$238,0))="Fail"),"Fail: rights or retrieval",IF(AND(INDEX(Manual_Review!$AC$6:$AC$238,MATCH(A214,Manual_Review!$A$6:$A$238,0))="Pass",INDEX(Manual_Review!$AD$6:$AD$238,MATCH(A214,Manual_Review!$A$6:$A$238,0))="Pass"),"Pass","Pending rights and retrieval")),"Pending rights and retrieval")</f>
        <v>Pending rights and retrieval</v>
      </c>
      <c r="AX214" s="5" t="str">
        <f>IF(INDEX(Manual_Review!$AG$6:$AG$238,MATCH(A214,Manual_Review!$A$6:$A$238,0))="","N/A: documentation inventory",IF(AND(INDEX(Manual_Review!$G$6:$G$238,MATCH(A214,Manual_Review!$A$6:$A$238,0))&lt;&gt;"",ISNUMBER(INDEX(Manual_Review!$H$6:$H$238,MATCH(A214,Manual_Review!$A$6:$A$238,0))),INDEX(Manual_Review!$H$6:$H$238,MATCH(A214,Manual_Review!$A$6:$A$238,0))&gt;0,INDEX(Manual_Review!$I$6:$I$238,MATCH(A214,Manual_Review!$A$6:$A$238,0))="Confirmed",INDEX(Manual_Review!$AF$6:$AF$238,MATCH(A214,Manual_Review!$A$6:$A$238,0))&lt;&gt;""),IF(INDEX(Manual_Review!$AE$6:$AE$238,MATCH(A214,Manual_Review!$A$6:$A$238,0))="Pass","Pass",IF(INDEX(Manual_Review!$AE$6:$AE$238,MATCH(A214,Manual_Review!$A$6:$A$238,0))="Fail","Fail: benchmark leakage",IF(INDEX(Manual_Review!$AE$6:$AE$238,MATCH(A214,Manual_Review!$A$6:$A$238,0))="N/A","N/A: nonbenchmark task","Pending task-specific leakage check"))),"Pending task-specific leakage check"))</f>
        <v>N/A: documentation inventory</v>
      </c>
      <c r="AY214" s="5" t="str">
        <f>IF(IF(D214="Unlabeled-13",AND(ABS(MCDM_Settings!$D$14-1)&lt;0.0000001,MIN(MCDM_Settings!$E$6:$E$11)&gt;=0,MCDM_Settings!$E$7=0),AND(ABS(MCDM_Settings!$B$14-1)&lt;0.0000001,MIN(MCDM_Settings!$C$6:$C$11)&gt;=0)),"Valid","Check weights")</f>
        <v>Valid</v>
      </c>
      <c r="AZ214" s="5" t="str">
        <f>IF(AND(COUNTIF(MCDM_Checks!$B$6:$B$3733,A214)=16,COUNTIF(Manual_Review!$A$6:$A$238,A214)=1),"16 keys present","Check key count")</f>
        <v>16 keys present</v>
      </c>
    </row>
    <row r="215" spans="1:52">
      <c r="A215" s="5" t="s">
        <v>2426</v>
      </c>
      <c r="B215" s="5" t="s">
        <v>2427</v>
      </c>
      <c r="C215" s="5"/>
      <c r="D215" s="5" t="s">
        <v>1336</v>
      </c>
      <c r="E215" s="12">
        <f>IF(OR(AY215&lt;&gt;"Valid",AZ215&lt;&gt;"16 keys present"),"Review settings",20*(IF(ISNUMBER(AC215),AC215*IF($D215="Unlabeled-13",MCDM_Settings!$E$6,MCDM_Settings!$C$6),0)+IF(ISNUMBER(AF215),AF215*IF($D215="Unlabeled-13",MCDM_Settings!$E$7,MCDM_Settings!$C$7),0)+IF(ISNUMBER(AI215),AI215*IF($D215="Unlabeled-13",MCDM_Settings!$E$8,MCDM_Settings!$C$8),0)+IF(ISNUMBER(AL215),AL215*IF($D215="Unlabeled-13",MCDM_Settings!$E$9,MCDM_Settings!$C$9),0)+IF(ISNUMBER(AO215),AO215*IF($D215="Unlabeled-13",MCDM_Settings!$E$10,MCDM_Settings!$C$10),0)+IF(ISNUMBER(AR215),AR215*IF($D215="Unlabeled-13",MCDM_Settings!$E$11,MCDM_Settings!$C$11),0)))</f>
        <v>70.000000000000014</v>
      </c>
      <c r="F215" s="12">
        <f>IF(OR(AY215&lt;&gt;"Valid",AZ215&lt;&gt;"16 keys present"),"Review settings",20*(IF(ISNUMBER(AD215),AD215*IF($D215="Unlabeled-13",MCDM_Settings!$E$6,MCDM_Settings!$C$6),0)+IF(ISNUMBER(AG215),AG215*IF($D215="Unlabeled-13",MCDM_Settings!$E$7,MCDM_Settings!$C$7),0)+IF(ISNUMBER(AJ215),AJ215*IF($D215="Unlabeled-13",MCDM_Settings!$E$8,MCDM_Settings!$C$8),0)+IF(ISNUMBER(AM215),AM215*IF($D215="Unlabeled-13",MCDM_Settings!$E$9,MCDM_Settings!$C$9),0)+IF(ISNUMBER(AP215),AP215*IF($D215="Unlabeled-13",MCDM_Settings!$E$10,MCDM_Settings!$C$10),0)+IF(ISNUMBER(AS215),AS215*IF($D215="Unlabeled-13",MCDM_Settings!$E$11,MCDM_Settings!$C$11),0)))</f>
        <v>100</v>
      </c>
      <c r="G215" s="13">
        <f>IF(OR(AY215&lt;&gt;"Valid",AZ215&lt;&gt;"16 keys present"),"Review settings",1*(IF(ISNUMBER(AE215),AE215*IF($D215="Unlabeled-13",MCDM_Settings!$E$6,MCDM_Settings!$C$6),0)+IF(ISNUMBER(AH215),AH215*IF($D215="Unlabeled-13",MCDM_Settings!$E$7,MCDM_Settings!$C$7),0)+IF(ISNUMBER(AK215),AK215*IF($D215="Unlabeled-13",MCDM_Settings!$E$8,MCDM_Settings!$C$8),0)+IF(ISNUMBER(AN215),AN215*IF($D215="Unlabeled-13",MCDM_Settings!$E$9,MCDM_Settings!$C$9),0)+IF(ISNUMBER(AQ215),AQ215*IF($D215="Unlabeled-13",MCDM_Settings!$E$10,MCDM_Settings!$C$10),0)+IF(ISNUMBER(AT215),AT215*IF($D215="Unlabeled-13",MCDM_Settings!$E$11,MCDM_Settings!$C$11),0)))</f>
        <v>0.7</v>
      </c>
      <c r="H215" s="5" t="str">
        <f>INDEX(Manual_Review!$AH$6:$AH$238,MATCH(A215,Manual_Review!$A$6:$A$238,0))</f>
        <v>Not started</v>
      </c>
      <c r="I215" s="5" t="s">
        <v>182</v>
      </c>
      <c r="J215" s="5" t="s">
        <v>2428</v>
      </c>
      <c r="K215" s="5" t="str">
        <f>HYPERLINK("https://github.com/commaai/comma2k19","Dataset")</f>
        <v>Dataset</v>
      </c>
      <c r="L215" s="5" t="str">
        <f>HYPERLINK("#'Manual_Review'!A"&amp;(MATCH("DS-210",Manual_Review!$A$6:$A$238,0)+5),"Enter review")</f>
        <v>Enter review</v>
      </c>
      <c r="M215" s="5" t="str">
        <f>INDEX(MCDM_Checks!$K$6:$K$3733,MATCH(A215&amp;"|"&amp;M$5,MCDM_Checks!$A$6:$A$3733,0))</f>
        <v>Y</v>
      </c>
      <c r="N215" s="5" t="str">
        <f>INDEX(MCDM_Checks!$K$6:$K$3733,MATCH(A215&amp;"|"&amp;N$5,MCDM_Checks!$A$6:$A$3733,0))</f>
        <v>Y</v>
      </c>
      <c r="O215" s="5" t="str">
        <f>INDEX(MCDM_Checks!$K$6:$K$3733,MATCH(A215&amp;"|"&amp;O$5,MCDM_Checks!$A$6:$A$3733,0))</f>
        <v>U</v>
      </c>
      <c r="P215" s="5" t="str">
        <f>INDEX(MCDM_Checks!$K$6:$K$3733,MATCH(A215&amp;"|"&amp;P$5,MCDM_Checks!$A$6:$A$3733,0))</f>
        <v>N/A</v>
      </c>
      <c r="Q215" s="5" t="str">
        <f>INDEX(MCDM_Checks!$K$6:$K$3733,MATCH(A215&amp;"|"&amp;Q$5,MCDM_Checks!$A$6:$A$3733,0))</f>
        <v>N/A</v>
      </c>
      <c r="R215" s="5" t="str">
        <f>INDEX(MCDM_Checks!$K$6:$K$3733,MATCH(A215&amp;"|"&amp;R$5,MCDM_Checks!$A$6:$A$3733,0))</f>
        <v>N/A</v>
      </c>
      <c r="S215" s="5" t="str">
        <f>INDEX(MCDM_Checks!$K$6:$K$3733,MATCH(A215&amp;"|"&amp;S$5,MCDM_Checks!$A$6:$A$3733,0))</f>
        <v>Y</v>
      </c>
      <c r="T215" s="5" t="str">
        <f>INDEX(MCDM_Checks!$K$6:$K$3733,MATCH(A215&amp;"|"&amp;T$5,MCDM_Checks!$A$6:$A$3733,0))</f>
        <v>Y</v>
      </c>
      <c r="U215" s="5" t="str">
        <f>INDEX(MCDM_Checks!$K$6:$K$3733,MATCH(A215&amp;"|"&amp;U$5,MCDM_Checks!$A$6:$A$3733,0))</f>
        <v>Y</v>
      </c>
      <c r="V215" s="5" t="str">
        <f>INDEX(MCDM_Checks!$K$6:$K$3733,MATCH(A215&amp;"|"&amp;V$5,MCDM_Checks!$A$6:$A$3733,0))</f>
        <v>Y</v>
      </c>
      <c r="W215" s="5" t="str">
        <f>INDEX(MCDM_Checks!$K$6:$K$3733,MATCH(A215&amp;"|"&amp;W$5,MCDM_Checks!$A$6:$A$3733,0))</f>
        <v>U</v>
      </c>
      <c r="X215" s="5" t="str">
        <f>INDEX(MCDM_Checks!$K$6:$K$3733,MATCH(A215&amp;"|"&amp;X$5,MCDM_Checks!$A$6:$A$3733,0))</f>
        <v>Y</v>
      </c>
      <c r="Y215" s="5" t="str">
        <f>INDEX(MCDM_Checks!$K$6:$K$3733,MATCH(A215&amp;"|"&amp;Y$5,MCDM_Checks!$A$6:$A$3733,0))</f>
        <v>Y</v>
      </c>
      <c r="Z215" s="5" t="str">
        <f>INDEX(MCDM_Checks!$K$6:$K$3733,MATCH(A215&amp;"|"&amp;Z$5,MCDM_Checks!$A$6:$A$3733,0))</f>
        <v>Y</v>
      </c>
      <c r="AA215" s="5" t="str">
        <f>INDEX(MCDM_Checks!$K$6:$K$3733,MATCH(A215&amp;"|"&amp;AA$5,MCDM_Checks!$A$6:$A$3733,0))</f>
        <v>U</v>
      </c>
      <c r="AB215" s="5" t="str">
        <f>INDEX(MCDM_Checks!$K$6:$K$3733,MATCH(A215&amp;"|"&amp;AB$5,MCDM_Checks!$A$6:$A$3733,0))</f>
        <v>U</v>
      </c>
      <c r="AC215" s="12">
        <f>IF(IF($D215="Unlabeled-13",MCDM_Settings!$F$6,MCDM_Settings!$D$6)=0,"n.a.",5*COUNTIF(M215:O215,"Y")/IF($D215="Unlabeled-13",MCDM_Settings!$F$6,MCDM_Settings!$D$6))</f>
        <v>3.3333333333333335</v>
      </c>
      <c r="AD215" s="12">
        <f>IF(IF($D215="Unlabeled-13",MCDM_Settings!$F$6,MCDM_Settings!$D$6)=0,"n.a.",5*(COUNTIF(M215:O215,"Y")+COUNTIF(M215:O215,"U")+COUNTIF(M215:O215,"X"))/IF($D215="Unlabeled-13",MCDM_Settings!$F$6,MCDM_Settings!$D$6))</f>
        <v>5</v>
      </c>
      <c r="AE215" s="13">
        <f>IF(IF($D215="Unlabeled-13",MCDM_Settings!$F$6,MCDM_Settings!$D$6)=0,"n.a.",(COUNTIF(M215:O215,"Y")+COUNTIF(M215:O215,"N"))/IF($D215="Unlabeled-13",MCDM_Settings!$F$6,MCDM_Settings!$D$6))</f>
        <v>0.66666666666666663</v>
      </c>
      <c r="AF215" s="12" t="str">
        <f>IF(IF($D215="Unlabeled-13",MCDM_Settings!$F$7,MCDM_Settings!$D$7)=0,"n.a.",5*COUNTIF(P215:R215,"Y")/IF($D215="Unlabeled-13",MCDM_Settings!$F$7,MCDM_Settings!$D$7))</f>
        <v>n.a.</v>
      </c>
      <c r="AG215" s="12" t="str">
        <f>IF(IF($D215="Unlabeled-13",MCDM_Settings!$F$7,MCDM_Settings!$D$7)=0,"n.a.",5*(COUNTIF(P215:R215,"Y")+COUNTIF(P215:R215,"U")+COUNTIF(P215:R215,"X"))/IF($D215="Unlabeled-13",MCDM_Settings!$F$7,MCDM_Settings!$D$7))</f>
        <v>n.a.</v>
      </c>
      <c r="AH215" s="13" t="str">
        <f>IF(IF($D215="Unlabeled-13",MCDM_Settings!$F$7,MCDM_Settings!$D$7)=0,"n.a.",(COUNTIF(P215:R215,"Y")+COUNTIF(P215:R215,"N"))/IF($D215="Unlabeled-13",MCDM_Settings!$F$7,MCDM_Settings!$D$7))</f>
        <v>n.a.</v>
      </c>
      <c r="AI215" s="12">
        <f>IF(IF($D215="Unlabeled-13",MCDM_Settings!$F$8,MCDM_Settings!$D$8)=0,"n.a.",5*COUNTIF(S215:U215,"Y")/IF($D215="Unlabeled-13",MCDM_Settings!$F$8,MCDM_Settings!$D$8))</f>
        <v>5</v>
      </c>
      <c r="AJ215" s="12">
        <f>IF(IF($D215="Unlabeled-13",MCDM_Settings!$F$8,MCDM_Settings!$D$8)=0,"n.a.",5*(COUNTIF(S215:U215,"Y")+COUNTIF(S215:U215,"U")+COUNTIF(S215:U215,"X"))/IF($D215="Unlabeled-13",MCDM_Settings!$F$8,MCDM_Settings!$D$8))</f>
        <v>5</v>
      </c>
      <c r="AK215" s="13">
        <f>IF(IF($D215="Unlabeled-13",MCDM_Settings!$F$8,MCDM_Settings!$D$8)=0,"n.a.",(COUNTIF(S215:U215,"Y")+COUNTIF(S215:U215,"N"))/IF($D215="Unlabeled-13",MCDM_Settings!$F$8,MCDM_Settings!$D$8))</f>
        <v>1</v>
      </c>
      <c r="AL215" s="12">
        <f>IF(IF($D215="Unlabeled-13",MCDM_Settings!$F$9,MCDM_Settings!$D$9)=0,"n.a.",5*COUNTIF(V215:W215,"Y")/IF($D215="Unlabeled-13",MCDM_Settings!$F$9,MCDM_Settings!$D$9))</f>
        <v>2.5</v>
      </c>
      <c r="AM215" s="12">
        <f>IF(IF($D215="Unlabeled-13",MCDM_Settings!$F$9,MCDM_Settings!$D$9)=0,"n.a.",5*(COUNTIF(V215:W215,"Y")+COUNTIF(V215:W215,"U")+COUNTIF(V215:W215,"X"))/IF($D215="Unlabeled-13",MCDM_Settings!$F$9,MCDM_Settings!$D$9))</f>
        <v>5</v>
      </c>
      <c r="AN215" s="13">
        <f>IF(IF($D215="Unlabeled-13",MCDM_Settings!$F$9,MCDM_Settings!$D$9)=0,"n.a.",(COUNTIF(V215:W215,"Y")+COUNTIF(V215:W215,"N"))/IF($D215="Unlabeled-13",MCDM_Settings!$F$9,MCDM_Settings!$D$9))</f>
        <v>0.5</v>
      </c>
      <c r="AO215" s="12">
        <f>IF(IF($D215="Unlabeled-13",MCDM_Settings!$F$10,MCDM_Settings!$D$10)=0,"n.a.",5*COUNTIF(X215:Y215,"Y")/IF($D215="Unlabeled-13",MCDM_Settings!$F$10,MCDM_Settings!$D$10))</f>
        <v>5</v>
      </c>
      <c r="AP215" s="12">
        <f>IF(IF($D215="Unlabeled-13",MCDM_Settings!$F$10,MCDM_Settings!$D$10)=0,"n.a.",5*(COUNTIF(X215:Y215,"Y")+COUNTIF(X215:Y215,"U")+COUNTIF(X215:Y215,"X"))/IF($D215="Unlabeled-13",MCDM_Settings!$F$10,MCDM_Settings!$D$10))</f>
        <v>5</v>
      </c>
      <c r="AQ215" s="13">
        <f>IF(IF($D215="Unlabeled-13",MCDM_Settings!$F$10,MCDM_Settings!$D$10)=0,"n.a.",(COUNTIF(X215:Y215,"Y")+COUNTIF(X215:Y215,"N"))/IF($D215="Unlabeled-13",MCDM_Settings!$F$10,MCDM_Settings!$D$10))</f>
        <v>1</v>
      </c>
      <c r="AR215" s="12">
        <f>IF(IF($D215="Unlabeled-13",MCDM_Settings!$F$11,MCDM_Settings!$D$11)=0,"n.a.",5*COUNTIF(Z215:AB215,"Y")/IF($D215="Unlabeled-13",MCDM_Settings!$F$11,MCDM_Settings!$D$11))</f>
        <v>1.6666666666666667</v>
      </c>
      <c r="AS215" s="12">
        <f>IF(IF($D215="Unlabeled-13",MCDM_Settings!$F$11,MCDM_Settings!$D$11)=0,"n.a.",5*(COUNTIF(Z215:AB215,"Y")+COUNTIF(Z215:AB215,"U")+COUNTIF(Z215:AB215,"X"))/IF($D215="Unlabeled-13",MCDM_Settings!$F$11,MCDM_Settings!$D$11))</f>
        <v>5</v>
      </c>
      <c r="AT215" s="13">
        <f>IF(IF($D215="Unlabeled-13",MCDM_Settings!$F$11,MCDM_Settings!$D$11)=0,"n.a.",(COUNTIF(Z215:AB215,"Y")+COUNTIF(Z215:AB215,"N"))/IF($D215="Unlabeled-13",MCDM_Settings!$F$11,MCDM_Settings!$D$11))</f>
        <v>0.33333333333333331</v>
      </c>
      <c r="AU215" s="5" t="str">
        <f>IF(AND(INDEX(Manual_Review!$G$6:$G$238,MATCH(A215,Manual_Review!$A$6:$A$238,0))&lt;&gt;"",ISNUMBER(INDEX(Manual_Review!$H$6:$H$238,MATCH(A215,Manual_Review!$A$6:$A$238,0))),INDEX(Manual_Review!$H$6:$H$238,MATCH(A215,Manual_Review!$A$6:$A$238,0))&gt;0,INDEX(Manual_Review!$I$6:$I$238,MATCH(A215,Manual_Review!$A$6:$A$238,0))="Confirmed",INDEX(Manual_Review!$AF$6:$AF$238,MATCH(A215,Manual_Review!$A$6:$A$238,0))&lt;&gt;""),IF(INDEX(Manual_Review!$AA$6:$AA$238,MATCH(A215,Manual_Review!$A$6:$A$238,0))="Pass","Pass",IF(INDEX(Manual_Review!$AA$6:$AA$238,MATCH(A215,Manual_Review!$A$6:$A$238,0))="Fail","Fail","Pending")),"Pending human identity confirmation")</f>
        <v>Pending human identity confirmation</v>
      </c>
      <c r="AV215" s="5" t="str">
        <f>IF(AND(AND(INDEX(Manual_Review!$G$6:$G$238,MATCH(A215,Manual_Review!$A$6:$A$238,0))&lt;&gt;"",ISNUMBER(INDEX(Manual_Review!$H$6:$H$238,MATCH(A215,Manual_Review!$A$6:$A$238,0))),INDEX(Manual_Review!$H$6:$H$238,MATCH(A215,Manual_Review!$A$6:$A$238,0))&gt;0,INDEX(Manual_Review!$I$6:$I$238,MATCH(A215,Manual_Review!$A$6:$A$238,0))="Confirmed",INDEX(Manual_Review!$AF$6:$AF$238,MATCH(A215,Manual_Review!$A$6:$A$238,0))&lt;&gt;""),INDEX(Manual_Review!$AG$6:$AG$238,MATCH(A215,Manual_Review!$A$6:$A$238,0))&lt;&gt;""),IF(INDEX(Manual_Review!$AB$6:$AB$238,MATCH(A215,Manual_Review!$A$6:$A$238,0))="Pass","Pass",IF(INDEX(Manual_Review!$AB$6:$AB$238,MATCH(A215,Manual_Review!$A$6:$A$238,0))="Fail","Fail","Pending")),"Not assessed: define intended task")</f>
        <v>Not assessed: define intended task</v>
      </c>
      <c r="AW215" s="5" t="str">
        <f>IF(AND(AND(INDEX(Manual_Review!$G$6:$G$238,MATCH(A215,Manual_Review!$A$6:$A$238,0))&lt;&gt;"",ISNUMBER(INDEX(Manual_Review!$H$6:$H$238,MATCH(A215,Manual_Review!$A$6:$A$238,0))),INDEX(Manual_Review!$H$6:$H$238,MATCH(A215,Manual_Review!$A$6:$A$238,0))&gt;0,INDEX(Manual_Review!$I$6:$I$238,MATCH(A215,Manual_Review!$A$6:$A$238,0))="Confirmed",INDEX(Manual_Review!$AF$6:$AF$238,MATCH(A215,Manual_Review!$A$6:$A$238,0))&lt;&gt;""),INDEX(Manual_Review!$AG$6:$AG$238,MATCH(A215,Manual_Review!$A$6:$A$238,0))&lt;&gt;""),IF(OR(INDEX(Manual_Review!$AC$6:$AC$238,MATCH(A215,Manual_Review!$A$6:$A$238,0))="Fail",INDEX(Manual_Review!$AD$6:$AD$238,MATCH(A215,Manual_Review!$A$6:$A$238,0))="Fail"),"Fail: rights or retrieval",IF(AND(INDEX(Manual_Review!$AC$6:$AC$238,MATCH(A215,Manual_Review!$A$6:$A$238,0))="Pass",INDEX(Manual_Review!$AD$6:$AD$238,MATCH(A215,Manual_Review!$A$6:$A$238,0))="Pass"),"Pass","Pending rights and retrieval")),"Pending rights and retrieval")</f>
        <v>Pending rights and retrieval</v>
      </c>
      <c r="AX215" s="5" t="str">
        <f>IF(INDEX(Manual_Review!$AG$6:$AG$238,MATCH(A215,Manual_Review!$A$6:$A$238,0))="","N/A: documentation inventory",IF(AND(INDEX(Manual_Review!$G$6:$G$238,MATCH(A215,Manual_Review!$A$6:$A$238,0))&lt;&gt;"",ISNUMBER(INDEX(Manual_Review!$H$6:$H$238,MATCH(A215,Manual_Review!$A$6:$A$238,0))),INDEX(Manual_Review!$H$6:$H$238,MATCH(A215,Manual_Review!$A$6:$A$238,0))&gt;0,INDEX(Manual_Review!$I$6:$I$238,MATCH(A215,Manual_Review!$A$6:$A$238,0))="Confirmed",INDEX(Manual_Review!$AF$6:$AF$238,MATCH(A215,Manual_Review!$A$6:$A$238,0))&lt;&gt;""),IF(INDEX(Manual_Review!$AE$6:$AE$238,MATCH(A215,Manual_Review!$A$6:$A$238,0))="Pass","Pass",IF(INDEX(Manual_Review!$AE$6:$AE$238,MATCH(A215,Manual_Review!$A$6:$A$238,0))="Fail","Fail: benchmark leakage",IF(INDEX(Manual_Review!$AE$6:$AE$238,MATCH(A215,Manual_Review!$A$6:$A$238,0))="N/A","N/A: nonbenchmark task","Pending task-specific leakage check"))),"Pending task-specific leakage check"))</f>
        <v>N/A: documentation inventory</v>
      </c>
      <c r="AY215" s="5" t="str">
        <f>IF(IF(D215="Unlabeled-13",AND(ABS(MCDM_Settings!$D$14-1)&lt;0.0000001,MIN(MCDM_Settings!$E$6:$E$11)&gt;=0,MCDM_Settings!$E$7=0),AND(ABS(MCDM_Settings!$B$14-1)&lt;0.0000001,MIN(MCDM_Settings!$C$6:$C$11)&gt;=0)),"Valid","Check weights")</f>
        <v>Valid</v>
      </c>
      <c r="AZ215" s="5" t="str">
        <f>IF(AND(COUNTIF(MCDM_Checks!$B$6:$B$3733,A215)=16,COUNTIF(Manual_Review!$A$6:$A$238,A215)=1),"16 keys present","Check key count")</f>
        <v>16 keys present</v>
      </c>
    </row>
    <row r="216" spans="1:52">
      <c r="A216" s="5" t="s">
        <v>2439</v>
      </c>
      <c r="B216" s="5" t="s">
        <v>2440</v>
      </c>
      <c r="C216" s="5"/>
      <c r="D216" s="5" t="s">
        <v>118</v>
      </c>
      <c r="E216" s="12">
        <f>IF(OR(AY216&lt;&gt;"Valid",AZ216&lt;&gt;"16 keys present"),"Review settings",20*(IF(ISNUMBER(AC216),AC216*IF($D216="Unlabeled-13",MCDM_Settings!$E$6,MCDM_Settings!$C$6),0)+IF(ISNUMBER(AF216),AF216*IF($D216="Unlabeled-13",MCDM_Settings!$E$7,MCDM_Settings!$C$7),0)+IF(ISNUMBER(AI216),AI216*IF($D216="Unlabeled-13",MCDM_Settings!$E$8,MCDM_Settings!$C$8),0)+IF(ISNUMBER(AL216),AL216*IF($D216="Unlabeled-13",MCDM_Settings!$E$9,MCDM_Settings!$C$9),0)+IF(ISNUMBER(AO216),AO216*IF($D216="Unlabeled-13",MCDM_Settings!$E$10,MCDM_Settings!$C$10),0)+IF(ISNUMBER(AR216),AR216*IF($D216="Unlabeled-13",MCDM_Settings!$E$11,MCDM_Settings!$C$11),0)))</f>
        <v>13.888888888888889</v>
      </c>
      <c r="F216" s="12">
        <f>IF(OR(AY216&lt;&gt;"Valid",AZ216&lt;&gt;"16 keys present"),"Review settings",20*(IF(ISNUMBER(AD216),AD216*IF($D216="Unlabeled-13",MCDM_Settings!$E$6,MCDM_Settings!$C$6),0)+IF(ISNUMBER(AG216),AG216*IF($D216="Unlabeled-13",MCDM_Settings!$E$7,MCDM_Settings!$C$7),0)+IF(ISNUMBER(AJ216),AJ216*IF($D216="Unlabeled-13",MCDM_Settings!$E$8,MCDM_Settings!$C$8),0)+IF(ISNUMBER(AM216),AM216*IF($D216="Unlabeled-13",MCDM_Settings!$E$9,MCDM_Settings!$C$9),0)+IF(ISNUMBER(AP216),AP216*IF($D216="Unlabeled-13",MCDM_Settings!$E$10,MCDM_Settings!$C$10),0)+IF(ISNUMBER(AS216),AS216*IF($D216="Unlabeled-13",MCDM_Settings!$E$11,MCDM_Settings!$C$11),0)))</f>
        <v>99.999999999999986</v>
      </c>
      <c r="G216" s="13">
        <f>IF(OR(AY216&lt;&gt;"Valid",AZ216&lt;&gt;"16 keys present"),"Review settings",1*(IF(ISNUMBER(AE216),AE216*IF($D216="Unlabeled-13",MCDM_Settings!$E$6,MCDM_Settings!$C$6),0)+IF(ISNUMBER(AH216),AH216*IF($D216="Unlabeled-13",MCDM_Settings!$E$7,MCDM_Settings!$C$7),0)+IF(ISNUMBER(AK216),AK216*IF($D216="Unlabeled-13",MCDM_Settings!$E$8,MCDM_Settings!$C$8),0)+IF(ISNUMBER(AN216),AN216*IF($D216="Unlabeled-13",MCDM_Settings!$E$9,MCDM_Settings!$C$9),0)+IF(ISNUMBER(AQ216),AQ216*IF($D216="Unlabeled-13",MCDM_Settings!$E$10,MCDM_Settings!$C$10),0)+IF(ISNUMBER(AT216),AT216*IF($D216="Unlabeled-13",MCDM_Settings!$E$11,MCDM_Settings!$C$11),0)))</f>
        <v>0.1388888888888889</v>
      </c>
      <c r="H216" s="5" t="str">
        <f>INDEX(Manual_Review!$AH$6:$AH$238,MATCH(A216,Manual_Review!$A$6:$A$238,0))</f>
        <v>Not started</v>
      </c>
      <c r="I216" s="5" t="s">
        <v>182</v>
      </c>
      <c r="J216" s="5" t="s">
        <v>2441</v>
      </c>
      <c r="K216" s="5" t="str">
        <f>HYPERLINK("https://arxiv.org/abs/1904.01975","Dataset")</f>
        <v>Dataset</v>
      </c>
      <c r="L216" s="5" t="str">
        <f>HYPERLINK("#'Manual_Review'!A"&amp;(MATCH("DS-211",Manual_Review!$A$6:$A$238,0)+5),"Enter review")</f>
        <v>Enter review</v>
      </c>
      <c r="M216" s="5" t="str">
        <f>INDEX(MCDM_Checks!$K$6:$K$3733,MATCH(A216&amp;"|"&amp;M$5,MCDM_Checks!$A$6:$A$3733,0))</f>
        <v>Y</v>
      </c>
      <c r="N216" s="5" t="str">
        <f>INDEX(MCDM_Checks!$K$6:$K$3733,MATCH(A216&amp;"|"&amp;N$5,MCDM_Checks!$A$6:$A$3733,0))</f>
        <v>U</v>
      </c>
      <c r="O216" s="5" t="str">
        <f>INDEX(MCDM_Checks!$K$6:$K$3733,MATCH(A216&amp;"|"&amp;O$5,MCDM_Checks!$A$6:$A$3733,0))</f>
        <v>U</v>
      </c>
      <c r="P216" s="5" t="str">
        <f>INDEX(MCDM_Checks!$K$6:$K$3733,MATCH(A216&amp;"|"&amp;P$5,MCDM_Checks!$A$6:$A$3733,0))</f>
        <v>U</v>
      </c>
      <c r="Q216" s="5" t="str">
        <f>INDEX(MCDM_Checks!$K$6:$K$3733,MATCH(A216&amp;"|"&amp;Q$5,MCDM_Checks!$A$6:$A$3733,0))</f>
        <v>U</v>
      </c>
      <c r="R216" s="5" t="str">
        <f>INDEX(MCDM_Checks!$K$6:$K$3733,MATCH(A216&amp;"|"&amp;R$5,MCDM_Checks!$A$6:$A$3733,0))</f>
        <v>U</v>
      </c>
      <c r="S216" s="5" t="str">
        <f>INDEX(MCDM_Checks!$K$6:$K$3733,MATCH(A216&amp;"|"&amp;S$5,MCDM_Checks!$A$6:$A$3733,0))</f>
        <v>U</v>
      </c>
      <c r="T216" s="5" t="str">
        <f>INDEX(MCDM_Checks!$K$6:$K$3733,MATCH(A216&amp;"|"&amp;T$5,MCDM_Checks!$A$6:$A$3733,0))</f>
        <v>U</v>
      </c>
      <c r="U216" s="5" t="str">
        <f>INDEX(MCDM_Checks!$K$6:$K$3733,MATCH(A216&amp;"|"&amp;U$5,MCDM_Checks!$A$6:$A$3733,0))</f>
        <v>U</v>
      </c>
      <c r="V216" s="5" t="str">
        <f>INDEX(MCDM_Checks!$K$6:$K$3733,MATCH(A216&amp;"|"&amp;V$5,MCDM_Checks!$A$6:$A$3733,0))</f>
        <v>U</v>
      </c>
      <c r="W216" s="5" t="str">
        <f>INDEX(MCDM_Checks!$K$6:$K$3733,MATCH(A216&amp;"|"&amp;W$5,MCDM_Checks!$A$6:$A$3733,0))</f>
        <v>U</v>
      </c>
      <c r="X216" s="5" t="str">
        <f>INDEX(MCDM_Checks!$K$6:$K$3733,MATCH(A216&amp;"|"&amp;X$5,MCDM_Checks!$A$6:$A$3733,0))</f>
        <v>Y</v>
      </c>
      <c r="Y216" s="5" t="str">
        <f>INDEX(MCDM_Checks!$K$6:$K$3733,MATCH(A216&amp;"|"&amp;Y$5,MCDM_Checks!$A$6:$A$3733,0))</f>
        <v>U</v>
      </c>
      <c r="Z216" s="5" t="str">
        <f>INDEX(MCDM_Checks!$K$6:$K$3733,MATCH(A216&amp;"|"&amp;Z$5,MCDM_Checks!$A$6:$A$3733,0))</f>
        <v>U</v>
      </c>
      <c r="AA216" s="5" t="str">
        <f>INDEX(MCDM_Checks!$K$6:$K$3733,MATCH(A216&amp;"|"&amp;AA$5,MCDM_Checks!$A$6:$A$3733,0))</f>
        <v>U</v>
      </c>
      <c r="AB216" s="5" t="str">
        <f>INDEX(MCDM_Checks!$K$6:$K$3733,MATCH(A216&amp;"|"&amp;AB$5,MCDM_Checks!$A$6:$A$3733,0))</f>
        <v>U</v>
      </c>
      <c r="AC216" s="12">
        <f>IF(IF($D216="Unlabeled-13",MCDM_Settings!$F$6,MCDM_Settings!$D$6)=0,"n.a.",5*COUNTIF(M216:O216,"Y")/IF($D216="Unlabeled-13",MCDM_Settings!$F$6,MCDM_Settings!$D$6))</f>
        <v>1.6666666666666667</v>
      </c>
      <c r="AD216" s="12">
        <f>IF(IF($D216="Unlabeled-13",MCDM_Settings!$F$6,MCDM_Settings!$D$6)=0,"n.a.",5*(COUNTIF(M216:O216,"Y")+COUNTIF(M216:O216,"U")+COUNTIF(M216:O216,"X"))/IF($D216="Unlabeled-13",MCDM_Settings!$F$6,MCDM_Settings!$D$6))</f>
        <v>5</v>
      </c>
      <c r="AE216" s="13">
        <f>IF(IF($D216="Unlabeled-13",MCDM_Settings!$F$6,MCDM_Settings!$D$6)=0,"n.a.",(COUNTIF(M216:O216,"Y")+COUNTIF(M216:O216,"N"))/IF($D216="Unlabeled-13",MCDM_Settings!$F$6,MCDM_Settings!$D$6))</f>
        <v>0.33333333333333331</v>
      </c>
      <c r="AF216" s="12">
        <f>IF(IF($D216="Unlabeled-13",MCDM_Settings!$F$7,MCDM_Settings!$D$7)=0,"n.a.",5*COUNTIF(P216:R216,"Y")/IF($D216="Unlabeled-13",MCDM_Settings!$F$7,MCDM_Settings!$D$7))</f>
        <v>0</v>
      </c>
      <c r="AG216" s="12">
        <f>IF(IF($D216="Unlabeled-13",MCDM_Settings!$F$7,MCDM_Settings!$D$7)=0,"n.a.",5*(COUNTIF(P216:R216,"Y")+COUNTIF(P216:R216,"U")+COUNTIF(P216:R216,"X"))/IF($D216="Unlabeled-13",MCDM_Settings!$F$7,MCDM_Settings!$D$7))</f>
        <v>5</v>
      </c>
      <c r="AH216" s="13">
        <f>IF(IF($D216="Unlabeled-13",MCDM_Settings!$F$7,MCDM_Settings!$D$7)=0,"n.a.",(COUNTIF(P216:R216,"Y")+COUNTIF(P216:R216,"N"))/IF($D216="Unlabeled-13",MCDM_Settings!$F$7,MCDM_Settings!$D$7))</f>
        <v>0</v>
      </c>
      <c r="AI216" s="12">
        <f>IF(IF($D216="Unlabeled-13",MCDM_Settings!$F$8,MCDM_Settings!$D$8)=0,"n.a.",5*COUNTIF(S216:U216,"Y")/IF($D216="Unlabeled-13",MCDM_Settings!$F$8,MCDM_Settings!$D$8))</f>
        <v>0</v>
      </c>
      <c r="AJ216" s="12">
        <f>IF(IF($D216="Unlabeled-13",MCDM_Settings!$F$8,MCDM_Settings!$D$8)=0,"n.a.",5*(COUNTIF(S216:U216,"Y")+COUNTIF(S216:U216,"U")+COUNTIF(S216:U216,"X"))/IF($D216="Unlabeled-13",MCDM_Settings!$F$8,MCDM_Settings!$D$8))</f>
        <v>5</v>
      </c>
      <c r="AK216" s="13">
        <f>IF(IF($D216="Unlabeled-13",MCDM_Settings!$F$8,MCDM_Settings!$D$8)=0,"n.a.",(COUNTIF(S216:U216,"Y")+COUNTIF(S216:U216,"N"))/IF($D216="Unlabeled-13",MCDM_Settings!$F$8,MCDM_Settings!$D$8))</f>
        <v>0</v>
      </c>
      <c r="AL216" s="12">
        <f>IF(IF($D216="Unlabeled-13",MCDM_Settings!$F$9,MCDM_Settings!$D$9)=0,"n.a.",5*COUNTIF(V216:W216,"Y")/IF($D216="Unlabeled-13",MCDM_Settings!$F$9,MCDM_Settings!$D$9))</f>
        <v>0</v>
      </c>
      <c r="AM216" s="12">
        <f>IF(IF($D216="Unlabeled-13",MCDM_Settings!$F$9,MCDM_Settings!$D$9)=0,"n.a.",5*(COUNTIF(V216:W216,"Y")+COUNTIF(V216:W216,"U")+COUNTIF(V216:W216,"X"))/IF($D216="Unlabeled-13",MCDM_Settings!$F$9,MCDM_Settings!$D$9))</f>
        <v>5</v>
      </c>
      <c r="AN216" s="13">
        <f>IF(IF($D216="Unlabeled-13",MCDM_Settings!$F$9,MCDM_Settings!$D$9)=0,"n.a.",(COUNTIF(V216:W216,"Y")+COUNTIF(V216:W216,"N"))/IF($D216="Unlabeled-13",MCDM_Settings!$F$9,MCDM_Settings!$D$9))</f>
        <v>0</v>
      </c>
      <c r="AO216" s="12">
        <f>IF(IF($D216="Unlabeled-13",MCDM_Settings!$F$10,MCDM_Settings!$D$10)=0,"n.a.",5*COUNTIF(X216:Y216,"Y")/IF($D216="Unlabeled-13",MCDM_Settings!$F$10,MCDM_Settings!$D$10))</f>
        <v>2.5</v>
      </c>
      <c r="AP216" s="12">
        <f>IF(IF($D216="Unlabeled-13",MCDM_Settings!$F$10,MCDM_Settings!$D$10)=0,"n.a.",5*(COUNTIF(X216:Y216,"Y")+COUNTIF(X216:Y216,"U")+COUNTIF(X216:Y216,"X"))/IF($D216="Unlabeled-13",MCDM_Settings!$F$10,MCDM_Settings!$D$10))</f>
        <v>5</v>
      </c>
      <c r="AQ216" s="13">
        <f>IF(IF($D216="Unlabeled-13",MCDM_Settings!$F$10,MCDM_Settings!$D$10)=0,"n.a.",(COUNTIF(X216:Y216,"Y")+COUNTIF(X216:Y216,"N"))/IF($D216="Unlabeled-13",MCDM_Settings!$F$10,MCDM_Settings!$D$10))</f>
        <v>0.5</v>
      </c>
      <c r="AR216" s="12">
        <f>IF(IF($D216="Unlabeled-13",MCDM_Settings!$F$11,MCDM_Settings!$D$11)=0,"n.a.",5*COUNTIF(Z216:AB216,"Y")/IF($D216="Unlabeled-13",MCDM_Settings!$F$11,MCDM_Settings!$D$11))</f>
        <v>0</v>
      </c>
      <c r="AS216" s="12">
        <f>IF(IF($D216="Unlabeled-13",MCDM_Settings!$F$11,MCDM_Settings!$D$11)=0,"n.a.",5*(COUNTIF(Z216:AB216,"Y")+COUNTIF(Z216:AB216,"U")+COUNTIF(Z216:AB216,"X"))/IF($D216="Unlabeled-13",MCDM_Settings!$F$11,MCDM_Settings!$D$11))</f>
        <v>5</v>
      </c>
      <c r="AT216" s="13">
        <f>IF(IF($D216="Unlabeled-13",MCDM_Settings!$F$11,MCDM_Settings!$D$11)=0,"n.a.",(COUNTIF(Z216:AB216,"Y")+COUNTIF(Z216:AB216,"N"))/IF($D216="Unlabeled-13",MCDM_Settings!$F$11,MCDM_Settings!$D$11))</f>
        <v>0</v>
      </c>
      <c r="AU216" s="5" t="str">
        <f>IF(AND(INDEX(Manual_Review!$G$6:$G$238,MATCH(A216,Manual_Review!$A$6:$A$238,0))&lt;&gt;"",ISNUMBER(INDEX(Manual_Review!$H$6:$H$238,MATCH(A216,Manual_Review!$A$6:$A$238,0))),INDEX(Manual_Review!$H$6:$H$238,MATCH(A216,Manual_Review!$A$6:$A$238,0))&gt;0,INDEX(Manual_Review!$I$6:$I$238,MATCH(A216,Manual_Review!$A$6:$A$238,0))="Confirmed",INDEX(Manual_Review!$AF$6:$AF$238,MATCH(A216,Manual_Review!$A$6:$A$238,0))&lt;&gt;""),IF(INDEX(Manual_Review!$AA$6:$AA$238,MATCH(A216,Manual_Review!$A$6:$A$238,0))="Pass","Pass",IF(INDEX(Manual_Review!$AA$6:$AA$238,MATCH(A216,Manual_Review!$A$6:$A$238,0))="Fail","Fail","Pending")),"Pending human identity confirmation")</f>
        <v>Pending human identity confirmation</v>
      </c>
      <c r="AV216" s="5" t="str">
        <f>IF(AND(AND(INDEX(Manual_Review!$G$6:$G$238,MATCH(A216,Manual_Review!$A$6:$A$238,0))&lt;&gt;"",ISNUMBER(INDEX(Manual_Review!$H$6:$H$238,MATCH(A216,Manual_Review!$A$6:$A$238,0))),INDEX(Manual_Review!$H$6:$H$238,MATCH(A216,Manual_Review!$A$6:$A$238,0))&gt;0,INDEX(Manual_Review!$I$6:$I$238,MATCH(A216,Manual_Review!$A$6:$A$238,0))="Confirmed",INDEX(Manual_Review!$AF$6:$AF$238,MATCH(A216,Manual_Review!$A$6:$A$238,0))&lt;&gt;""),INDEX(Manual_Review!$AG$6:$AG$238,MATCH(A216,Manual_Review!$A$6:$A$238,0))&lt;&gt;""),IF(INDEX(Manual_Review!$AB$6:$AB$238,MATCH(A216,Manual_Review!$A$6:$A$238,0))="Pass","Pass",IF(INDEX(Manual_Review!$AB$6:$AB$238,MATCH(A216,Manual_Review!$A$6:$A$238,0))="Fail","Fail","Pending")),"Not assessed: define intended task")</f>
        <v>Not assessed: define intended task</v>
      </c>
      <c r="AW216" s="5" t="str">
        <f>IF(AND(AND(INDEX(Manual_Review!$G$6:$G$238,MATCH(A216,Manual_Review!$A$6:$A$238,0))&lt;&gt;"",ISNUMBER(INDEX(Manual_Review!$H$6:$H$238,MATCH(A216,Manual_Review!$A$6:$A$238,0))),INDEX(Manual_Review!$H$6:$H$238,MATCH(A216,Manual_Review!$A$6:$A$238,0))&gt;0,INDEX(Manual_Review!$I$6:$I$238,MATCH(A216,Manual_Review!$A$6:$A$238,0))="Confirmed",INDEX(Manual_Review!$AF$6:$AF$238,MATCH(A216,Manual_Review!$A$6:$A$238,0))&lt;&gt;""),INDEX(Manual_Review!$AG$6:$AG$238,MATCH(A216,Manual_Review!$A$6:$A$238,0))&lt;&gt;""),IF(OR(INDEX(Manual_Review!$AC$6:$AC$238,MATCH(A216,Manual_Review!$A$6:$A$238,0))="Fail",INDEX(Manual_Review!$AD$6:$AD$238,MATCH(A216,Manual_Review!$A$6:$A$238,0))="Fail"),"Fail: rights or retrieval",IF(AND(INDEX(Manual_Review!$AC$6:$AC$238,MATCH(A216,Manual_Review!$A$6:$A$238,0))="Pass",INDEX(Manual_Review!$AD$6:$AD$238,MATCH(A216,Manual_Review!$A$6:$A$238,0))="Pass"),"Pass","Pending rights and retrieval")),"Pending rights and retrieval")</f>
        <v>Pending rights and retrieval</v>
      </c>
      <c r="AX216" s="5" t="str">
        <f>IF(INDEX(Manual_Review!$AG$6:$AG$238,MATCH(A216,Manual_Review!$A$6:$A$238,0))="","N/A: documentation inventory",IF(AND(INDEX(Manual_Review!$G$6:$G$238,MATCH(A216,Manual_Review!$A$6:$A$238,0))&lt;&gt;"",ISNUMBER(INDEX(Manual_Review!$H$6:$H$238,MATCH(A216,Manual_Review!$A$6:$A$238,0))),INDEX(Manual_Review!$H$6:$H$238,MATCH(A216,Manual_Review!$A$6:$A$238,0))&gt;0,INDEX(Manual_Review!$I$6:$I$238,MATCH(A216,Manual_Review!$A$6:$A$238,0))="Confirmed",INDEX(Manual_Review!$AF$6:$AF$238,MATCH(A216,Manual_Review!$A$6:$A$238,0))&lt;&gt;""),IF(INDEX(Manual_Review!$AE$6:$AE$238,MATCH(A216,Manual_Review!$A$6:$A$238,0))="Pass","Pass",IF(INDEX(Manual_Review!$AE$6:$AE$238,MATCH(A216,Manual_Review!$A$6:$A$238,0))="Fail","Fail: benchmark leakage",IF(INDEX(Manual_Review!$AE$6:$AE$238,MATCH(A216,Manual_Review!$A$6:$A$238,0))="N/A","N/A: nonbenchmark task","Pending task-specific leakage check"))),"Pending task-specific leakage check"))</f>
        <v>N/A: documentation inventory</v>
      </c>
      <c r="AY216" s="5" t="str">
        <f>IF(IF(D216="Unlabeled-13",AND(ABS(MCDM_Settings!$D$14-1)&lt;0.0000001,MIN(MCDM_Settings!$E$6:$E$11)&gt;=0,MCDM_Settings!$E$7=0),AND(ABS(MCDM_Settings!$B$14-1)&lt;0.0000001,MIN(MCDM_Settings!$C$6:$C$11)&gt;=0)),"Valid","Check weights")</f>
        <v>Valid</v>
      </c>
      <c r="AZ216" s="5" t="str">
        <f>IF(AND(COUNTIF(MCDM_Checks!$B$6:$B$3733,A216)=16,COUNTIF(Manual_Review!$A$6:$A$238,A216)=1),"16 keys present","Check key count")</f>
        <v>16 keys present</v>
      </c>
    </row>
    <row r="217" spans="1:52">
      <c r="A217" s="5" t="s">
        <v>2451</v>
      </c>
      <c r="B217" s="5" t="s">
        <v>2452</v>
      </c>
      <c r="C217" s="5"/>
      <c r="D217" s="5" t="s">
        <v>1336</v>
      </c>
      <c r="E217" s="12">
        <f>IF(OR(AY217&lt;&gt;"Valid",AZ217&lt;&gt;"16 keys present"),"Review settings",20*(IF(ISNUMBER(AC217),AC217*IF($D217="Unlabeled-13",MCDM_Settings!$E$6,MCDM_Settings!$C$6),0)+IF(ISNUMBER(AF217),AF217*IF($D217="Unlabeled-13",MCDM_Settings!$E$7,MCDM_Settings!$C$7),0)+IF(ISNUMBER(AI217),AI217*IF($D217="Unlabeled-13",MCDM_Settings!$E$8,MCDM_Settings!$C$8),0)+IF(ISNUMBER(AL217),AL217*IF($D217="Unlabeled-13",MCDM_Settings!$E$9,MCDM_Settings!$C$9),0)+IF(ISNUMBER(AO217),AO217*IF($D217="Unlabeled-13",MCDM_Settings!$E$10,MCDM_Settings!$C$10),0)+IF(ISNUMBER(AR217),AR217*IF($D217="Unlabeled-13",MCDM_Settings!$E$11,MCDM_Settings!$C$11),0)))</f>
        <v>73.333333333333343</v>
      </c>
      <c r="F217" s="12">
        <f>IF(OR(AY217&lt;&gt;"Valid",AZ217&lt;&gt;"16 keys present"),"Review settings",20*(IF(ISNUMBER(AD217),AD217*IF($D217="Unlabeled-13",MCDM_Settings!$E$6,MCDM_Settings!$C$6),0)+IF(ISNUMBER(AG217),AG217*IF($D217="Unlabeled-13",MCDM_Settings!$E$7,MCDM_Settings!$C$7),0)+IF(ISNUMBER(AJ217),AJ217*IF($D217="Unlabeled-13",MCDM_Settings!$E$8,MCDM_Settings!$C$8),0)+IF(ISNUMBER(AM217),AM217*IF($D217="Unlabeled-13",MCDM_Settings!$E$9,MCDM_Settings!$C$9),0)+IF(ISNUMBER(AP217),AP217*IF($D217="Unlabeled-13",MCDM_Settings!$E$10,MCDM_Settings!$C$10),0)+IF(ISNUMBER(AS217),AS217*IF($D217="Unlabeled-13",MCDM_Settings!$E$11,MCDM_Settings!$C$11),0)))</f>
        <v>100</v>
      </c>
      <c r="G217" s="13">
        <f>IF(OR(AY217&lt;&gt;"Valid",AZ217&lt;&gt;"16 keys present"),"Review settings",1*(IF(ISNUMBER(AE217),AE217*IF($D217="Unlabeled-13",MCDM_Settings!$E$6,MCDM_Settings!$C$6),0)+IF(ISNUMBER(AH217),AH217*IF($D217="Unlabeled-13",MCDM_Settings!$E$7,MCDM_Settings!$C$7),0)+IF(ISNUMBER(AK217),AK217*IF($D217="Unlabeled-13",MCDM_Settings!$E$8,MCDM_Settings!$C$8),0)+IF(ISNUMBER(AN217),AN217*IF($D217="Unlabeled-13",MCDM_Settings!$E$9,MCDM_Settings!$C$9),0)+IF(ISNUMBER(AQ217),AQ217*IF($D217="Unlabeled-13",MCDM_Settings!$E$10,MCDM_Settings!$C$10),0)+IF(ISNUMBER(AT217),AT217*IF($D217="Unlabeled-13",MCDM_Settings!$E$11,MCDM_Settings!$C$11),0)))</f>
        <v>0.73333333333333339</v>
      </c>
      <c r="H217" s="5" t="str">
        <f>INDEX(Manual_Review!$AH$6:$AH$238,MATCH(A217,Manual_Review!$A$6:$A$238,0))</f>
        <v>Not started</v>
      </c>
      <c r="I217" s="5" t="s">
        <v>182</v>
      </c>
      <c r="J217" s="5" t="s">
        <v>2453</v>
      </c>
      <c r="K217" s="5" t="str">
        <f>HYPERLINK("https://avdata.ford.com/home/default.aspx","Dataset")</f>
        <v>Dataset</v>
      </c>
      <c r="L217" s="5" t="str">
        <f>HYPERLINK("#'Manual_Review'!A"&amp;(MATCH("DS-212",Manual_Review!$A$6:$A$238,0)+5),"Enter review")</f>
        <v>Enter review</v>
      </c>
      <c r="M217" s="5" t="str">
        <f>INDEX(MCDM_Checks!$K$6:$K$3733,MATCH(A217&amp;"|"&amp;M$5,MCDM_Checks!$A$6:$A$3733,0))</f>
        <v>Y</v>
      </c>
      <c r="N217" s="5" t="str">
        <f>INDEX(MCDM_Checks!$K$6:$K$3733,MATCH(A217&amp;"|"&amp;N$5,MCDM_Checks!$A$6:$A$3733,0))</f>
        <v>Y</v>
      </c>
      <c r="O217" s="5" t="str">
        <f>INDEX(MCDM_Checks!$K$6:$K$3733,MATCH(A217&amp;"|"&amp;O$5,MCDM_Checks!$A$6:$A$3733,0))</f>
        <v>Y</v>
      </c>
      <c r="P217" s="5" t="str">
        <f>INDEX(MCDM_Checks!$K$6:$K$3733,MATCH(A217&amp;"|"&amp;P$5,MCDM_Checks!$A$6:$A$3733,0))</f>
        <v>N/A</v>
      </c>
      <c r="Q217" s="5" t="str">
        <f>INDEX(MCDM_Checks!$K$6:$K$3733,MATCH(A217&amp;"|"&amp;Q$5,MCDM_Checks!$A$6:$A$3733,0))</f>
        <v>N/A</v>
      </c>
      <c r="R217" s="5" t="str">
        <f>INDEX(MCDM_Checks!$K$6:$K$3733,MATCH(A217&amp;"|"&amp;R$5,MCDM_Checks!$A$6:$A$3733,0))</f>
        <v>N/A</v>
      </c>
      <c r="S217" s="5" t="str">
        <f>INDEX(MCDM_Checks!$K$6:$K$3733,MATCH(A217&amp;"|"&amp;S$5,MCDM_Checks!$A$6:$A$3733,0))</f>
        <v>Y</v>
      </c>
      <c r="T217" s="5" t="str">
        <f>INDEX(MCDM_Checks!$K$6:$K$3733,MATCH(A217&amp;"|"&amp;T$5,MCDM_Checks!$A$6:$A$3733,0))</f>
        <v>Y</v>
      </c>
      <c r="U217" s="5" t="str">
        <f>INDEX(MCDM_Checks!$K$6:$K$3733,MATCH(A217&amp;"|"&amp;U$5,MCDM_Checks!$A$6:$A$3733,0))</f>
        <v>Y</v>
      </c>
      <c r="V217" s="5" t="str">
        <f>INDEX(MCDM_Checks!$K$6:$K$3733,MATCH(A217&amp;"|"&amp;V$5,MCDM_Checks!$A$6:$A$3733,0))</f>
        <v>U</v>
      </c>
      <c r="W217" s="5" t="str">
        <f>INDEX(MCDM_Checks!$K$6:$K$3733,MATCH(A217&amp;"|"&amp;W$5,MCDM_Checks!$A$6:$A$3733,0))</f>
        <v>U</v>
      </c>
      <c r="X217" s="5" t="str">
        <f>INDEX(MCDM_Checks!$K$6:$K$3733,MATCH(A217&amp;"|"&amp;X$5,MCDM_Checks!$A$6:$A$3733,0))</f>
        <v>Y</v>
      </c>
      <c r="Y217" s="5" t="str">
        <f>INDEX(MCDM_Checks!$K$6:$K$3733,MATCH(A217&amp;"|"&amp;Y$5,MCDM_Checks!$A$6:$A$3733,0))</f>
        <v>Y</v>
      </c>
      <c r="Z217" s="5" t="str">
        <f>INDEX(MCDM_Checks!$K$6:$K$3733,MATCH(A217&amp;"|"&amp;Z$5,MCDM_Checks!$A$6:$A$3733,0))</f>
        <v>Y</v>
      </c>
      <c r="AA217" s="5" t="str">
        <f>INDEX(MCDM_Checks!$K$6:$K$3733,MATCH(A217&amp;"|"&amp;AA$5,MCDM_Checks!$A$6:$A$3733,0))</f>
        <v>Y</v>
      </c>
      <c r="AB217" s="5" t="str">
        <f>INDEX(MCDM_Checks!$K$6:$K$3733,MATCH(A217&amp;"|"&amp;AB$5,MCDM_Checks!$A$6:$A$3733,0))</f>
        <v>U</v>
      </c>
      <c r="AC217" s="12">
        <f>IF(IF($D217="Unlabeled-13",MCDM_Settings!$F$6,MCDM_Settings!$D$6)=0,"n.a.",5*COUNTIF(M217:O217,"Y")/IF($D217="Unlabeled-13",MCDM_Settings!$F$6,MCDM_Settings!$D$6))</f>
        <v>5</v>
      </c>
      <c r="AD217" s="12">
        <f>IF(IF($D217="Unlabeled-13",MCDM_Settings!$F$6,MCDM_Settings!$D$6)=0,"n.a.",5*(COUNTIF(M217:O217,"Y")+COUNTIF(M217:O217,"U")+COUNTIF(M217:O217,"X"))/IF($D217="Unlabeled-13",MCDM_Settings!$F$6,MCDM_Settings!$D$6))</f>
        <v>5</v>
      </c>
      <c r="AE217" s="13">
        <f>IF(IF($D217="Unlabeled-13",MCDM_Settings!$F$6,MCDM_Settings!$D$6)=0,"n.a.",(COUNTIF(M217:O217,"Y")+COUNTIF(M217:O217,"N"))/IF($D217="Unlabeled-13",MCDM_Settings!$F$6,MCDM_Settings!$D$6))</f>
        <v>1</v>
      </c>
      <c r="AF217" s="12" t="str">
        <f>IF(IF($D217="Unlabeled-13",MCDM_Settings!$F$7,MCDM_Settings!$D$7)=0,"n.a.",5*COUNTIF(P217:R217,"Y")/IF($D217="Unlabeled-13",MCDM_Settings!$F$7,MCDM_Settings!$D$7))</f>
        <v>n.a.</v>
      </c>
      <c r="AG217" s="12" t="str">
        <f>IF(IF($D217="Unlabeled-13",MCDM_Settings!$F$7,MCDM_Settings!$D$7)=0,"n.a.",5*(COUNTIF(P217:R217,"Y")+COUNTIF(P217:R217,"U")+COUNTIF(P217:R217,"X"))/IF($D217="Unlabeled-13",MCDM_Settings!$F$7,MCDM_Settings!$D$7))</f>
        <v>n.a.</v>
      </c>
      <c r="AH217" s="13" t="str">
        <f>IF(IF($D217="Unlabeled-13",MCDM_Settings!$F$7,MCDM_Settings!$D$7)=0,"n.a.",(COUNTIF(P217:R217,"Y")+COUNTIF(P217:R217,"N"))/IF($D217="Unlabeled-13",MCDM_Settings!$F$7,MCDM_Settings!$D$7))</f>
        <v>n.a.</v>
      </c>
      <c r="AI217" s="12">
        <f>IF(IF($D217="Unlabeled-13",MCDM_Settings!$F$8,MCDM_Settings!$D$8)=0,"n.a.",5*COUNTIF(S217:U217,"Y")/IF($D217="Unlabeled-13",MCDM_Settings!$F$8,MCDM_Settings!$D$8))</f>
        <v>5</v>
      </c>
      <c r="AJ217" s="12">
        <f>IF(IF($D217="Unlabeled-13",MCDM_Settings!$F$8,MCDM_Settings!$D$8)=0,"n.a.",5*(COUNTIF(S217:U217,"Y")+COUNTIF(S217:U217,"U")+COUNTIF(S217:U217,"X"))/IF($D217="Unlabeled-13",MCDM_Settings!$F$8,MCDM_Settings!$D$8))</f>
        <v>5</v>
      </c>
      <c r="AK217" s="13">
        <f>IF(IF($D217="Unlabeled-13",MCDM_Settings!$F$8,MCDM_Settings!$D$8)=0,"n.a.",(COUNTIF(S217:U217,"Y")+COUNTIF(S217:U217,"N"))/IF($D217="Unlabeled-13",MCDM_Settings!$F$8,MCDM_Settings!$D$8))</f>
        <v>1</v>
      </c>
      <c r="AL217" s="12">
        <f>IF(IF($D217="Unlabeled-13",MCDM_Settings!$F$9,MCDM_Settings!$D$9)=0,"n.a.",5*COUNTIF(V217:W217,"Y")/IF($D217="Unlabeled-13",MCDM_Settings!$F$9,MCDM_Settings!$D$9))</f>
        <v>0</v>
      </c>
      <c r="AM217" s="12">
        <f>IF(IF($D217="Unlabeled-13",MCDM_Settings!$F$9,MCDM_Settings!$D$9)=0,"n.a.",5*(COUNTIF(V217:W217,"Y")+COUNTIF(V217:W217,"U")+COUNTIF(V217:W217,"X"))/IF($D217="Unlabeled-13",MCDM_Settings!$F$9,MCDM_Settings!$D$9))</f>
        <v>5</v>
      </c>
      <c r="AN217" s="13">
        <f>IF(IF($D217="Unlabeled-13",MCDM_Settings!$F$9,MCDM_Settings!$D$9)=0,"n.a.",(COUNTIF(V217:W217,"Y")+COUNTIF(V217:W217,"N"))/IF($D217="Unlabeled-13",MCDM_Settings!$F$9,MCDM_Settings!$D$9))</f>
        <v>0</v>
      </c>
      <c r="AO217" s="12">
        <f>IF(IF($D217="Unlabeled-13",MCDM_Settings!$F$10,MCDM_Settings!$D$10)=0,"n.a.",5*COUNTIF(X217:Y217,"Y")/IF($D217="Unlabeled-13",MCDM_Settings!$F$10,MCDM_Settings!$D$10))</f>
        <v>5</v>
      </c>
      <c r="AP217" s="12">
        <f>IF(IF($D217="Unlabeled-13",MCDM_Settings!$F$10,MCDM_Settings!$D$10)=0,"n.a.",5*(COUNTIF(X217:Y217,"Y")+COUNTIF(X217:Y217,"U")+COUNTIF(X217:Y217,"X"))/IF($D217="Unlabeled-13",MCDM_Settings!$F$10,MCDM_Settings!$D$10))</f>
        <v>5</v>
      </c>
      <c r="AQ217" s="13">
        <f>IF(IF($D217="Unlabeled-13",MCDM_Settings!$F$10,MCDM_Settings!$D$10)=0,"n.a.",(COUNTIF(X217:Y217,"Y")+COUNTIF(X217:Y217,"N"))/IF($D217="Unlabeled-13",MCDM_Settings!$F$10,MCDM_Settings!$D$10))</f>
        <v>1</v>
      </c>
      <c r="AR217" s="12">
        <f>IF(IF($D217="Unlabeled-13",MCDM_Settings!$F$11,MCDM_Settings!$D$11)=0,"n.a.",5*COUNTIF(Z217:AB217,"Y")/IF($D217="Unlabeled-13",MCDM_Settings!$F$11,MCDM_Settings!$D$11))</f>
        <v>3.3333333333333335</v>
      </c>
      <c r="AS217" s="12">
        <f>IF(IF($D217="Unlabeled-13",MCDM_Settings!$F$11,MCDM_Settings!$D$11)=0,"n.a.",5*(COUNTIF(Z217:AB217,"Y")+COUNTIF(Z217:AB217,"U")+COUNTIF(Z217:AB217,"X"))/IF($D217="Unlabeled-13",MCDM_Settings!$F$11,MCDM_Settings!$D$11))</f>
        <v>5</v>
      </c>
      <c r="AT217" s="13">
        <f>IF(IF($D217="Unlabeled-13",MCDM_Settings!$F$11,MCDM_Settings!$D$11)=0,"n.a.",(COUNTIF(Z217:AB217,"Y")+COUNTIF(Z217:AB217,"N"))/IF($D217="Unlabeled-13",MCDM_Settings!$F$11,MCDM_Settings!$D$11))</f>
        <v>0.66666666666666663</v>
      </c>
      <c r="AU217" s="5" t="str">
        <f>IF(AND(INDEX(Manual_Review!$G$6:$G$238,MATCH(A217,Manual_Review!$A$6:$A$238,0))&lt;&gt;"",ISNUMBER(INDEX(Manual_Review!$H$6:$H$238,MATCH(A217,Manual_Review!$A$6:$A$238,0))),INDEX(Manual_Review!$H$6:$H$238,MATCH(A217,Manual_Review!$A$6:$A$238,0))&gt;0,INDEX(Manual_Review!$I$6:$I$238,MATCH(A217,Manual_Review!$A$6:$A$238,0))="Confirmed",INDEX(Manual_Review!$AF$6:$AF$238,MATCH(A217,Manual_Review!$A$6:$A$238,0))&lt;&gt;""),IF(INDEX(Manual_Review!$AA$6:$AA$238,MATCH(A217,Manual_Review!$A$6:$A$238,0))="Pass","Pass",IF(INDEX(Manual_Review!$AA$6:$AA$238,MATCH(A217,Manual_Review!$A$6:$A$238,0))="Fail","Fail","Pending")),"Pending human identity confirmation")</f>
        <v>Pending human identity confirmation</v>
      </c>
      <c r="AV217" s="5" t="str">
        <f>IF(AND(AND(INDEX(Manual_Review!$G$6:$G$238,MATCH(A217,Manual_Review!$A$6:$A$238,0))&lt;&gt;"",ISNUMBER(INDEX(Manual_Review!$H$6:$H$238,MATCH(A217,Manual_Review!$A$6:$A$238,0))),INDEX(Manual_Review!$H$6:$H$238,MATCH(A217,Manual_Review!$A$6:$A$238,0))&gt;0,INDEX(Manual_Review!$I$6:$I$238,MATCH(A217,Manual_Review!$A$6:$A$238,0))="Confirmed",INDEX(Manual_Review!$AF$6:$AF$238,MATCH(A217,Manual_Review!$A$6:$A$238,0))&lt;&gt;""),INDEX(Manual_Review!$AG$6:$AG$238,MATCH(A217,Manual_Review!$A$6:$A$238,0))&lt;&gt;""),IF(INDEX(Manual_Review!$AB$6:$AB$238,MATCH(A217,Manual_Review!$A$6:$A$238,0))="Pass","Pass",IF(INDEX(Manual_Review!$AB$6:$AB$238,MATCH(A217,Manual_Review!$A$6:$A$238,0))="Fail","Fail","Pending")),"Not assessed: define intended task")</f>
        <v>Not assessed: define intended task</v>
      </c>
      <c r="AW217" s="5" t="str">
        <f>IF(AND(AND(INDEX(Manual_Review!$G$6:$G$238,MATCH(A217,Manual_Review!$A$6:$A$238,0))&lt;&gt;"",ISNUMBER(INDEX(Manual_Review!$H$6:$H$238,MATCH(A217,Manual_Review!$A$6:$A$238,0))),INDEX(Manual_Review!$H$6:$H$238,MATCH(A217,Manual_Review!$A$6:$A$238,0))&gt;0,INDEX(Manual_Review!$I$6:$I$238,MATCH(A217,Manual_Review!$A$6:$A$238,0))="Confirmed",INDEX(Manual_Review!$AF$6:$AF$238,MATCH(A217,Manual_Review!$A$6:$A$238,0))&lt;&gt;""),INDEX(Manual_Review!$AG$6:$AG$238,MATCH(A217,Manual_Review!$A$6:$A$238,0))&lt;&gt;""),IF(OR(INDEX(Manual_Review!$AC$6:$AC$238,MATCH(A217,Manual_Review!$A$6:$A$238,0))="Fail",INDEX(Manual_Review!$AD$6:$AD$238,MATCH(A217,Manual_Review!$A$6:$A$238,0))="Fail"),"Fail: rights or retrieval",IF(AND(INDEX(Manual_Review!$AC$6:$AC$238,MATCH(A217,Manual_Review!$A$6:$A$238,0))="Pass",INDEX(Manual_Review!$AD$6:$AD$238,MATCH(A217,Manual_Review!$A$6:$A$238,0))="Pass"),"Pass","Pending rights and retrieval")),"Pending rights and retrieval")</f>
        <v>Pending rights and retrieval</v>
      </c>
      <c r="AX217" s="5" t="str">
        <f>IF(INDEX(Manual_Review!$AG$6:$AG$238,MATCH(A217,Manual_Review!$A$6:$A$238,0))="","N/A: documentation inventory",IF(AND(INDEX(Manual_Review!$G$6:$G$238,MATCH(A217,Manual_Review!$A$6:$A$238,0))&lt;&gt;"",ISNUMBER(INDEX(Manual_Review!$H$6:$H$238,MATCH(A217,Manual_Review!$A$6:$A$238,0))),INDEX(Manual_Review!$H$6:$H$238,MATCH(A217,Manual_Review!$A$6:$A$238,0))&gt;0,INDEX(Manual_Review!$I$6:$I$238,MATCH(A217,Manual_Review!$A$6:$A$238,0))="Confirmed",INDEX(Manual_Review!$AF$6:$AF$238,MATCH(A217,Manual_Review!$A$6:$A$238,0))&lt;&gt;""),IF(INDEX(Manual_Review!$AE$6:$AE$238,MATCH(A217,Manual_Review!$A$6:$A$238,0))="Pass","Pass",IF(INDEX(Manual_Review!$AE$6:$AE$238,MATCH(A217,Manual_Review!$A$6:$A$238,0))="Fail","Fail: benchmark leakage",IF(INDEX(Manual_Review!$AE$6:$AE$238,MATCH(A217,Manual_Review!$A$6:$A$238,0))="N/A","N/A: nonbenchmark task","Pending task-specific leakage check"))),"Pending task-specific leakage check"))</f>
        <v>N/A: documentation inventory</v>
      </c>
      <c r="AY217" s="5" t="str">
        <f>IF(IF(D217="Unlabeled-13",AND(ABS(MCDM_Settings!$D$14-1)&lt;0.0000001,MIN(MCDM_Settings!$E$6:$E$11)&gt;=0,MCDM_Settings!$E$7=0),AND(ABS(MCDM_Settings!$B$14-1)&lt;0.0000001,MIN(MCDM_Settings!$C$6:$C$11)&gt;=0)),"Valid","Check weights")</f>
        <v>Valid</v>
      </c>
      <c r="AZ217" s="5" t="str">
        <f>IF(AND(COUNTIF(MCDM_Checks!$B$6:$B$3733,A217)=16,COUNTIF(Manual_Review!$A$6:$A$238,A217)=1),"16 keys present","Check key count")</f>
        <v>16 keys present</v>
      </c>
    </row>
    <row r="218" spans="1:52">
      <c r="A218" s="5" t="s">
        <v>2465</v>
      </c>
      <c r="B218" s="5" t="s">
        <v>2466</v>
      </c>
      <c r="C218" s="5"/>
      <c r="D218" s="5" t="s">
        <v>118</v>
      </c>
      <c r="E218" s="12">
        <f>IF(OR(AY218&lt;&gt;"Valid",AZ218&lt;&gt;"16 keys present"),"Review settings",20*(IF(ISNUMBER(AC218),AC218*IF($D218="Unlabeled-13",MCDM_Settings!$E$6,MCDM_Settings!$C$6),0)+IF(ISNUMBER(AF218),AF218*IF($D218="Unlabeled-13",MCDM_Settings!$E$7,MCDM_Settings!$C$7),0)+IF(ISNUMBER(AI218),AI218*IF($D218="Unlabeled-13",MCDM_Settings!$E$8,MCDM_Settings!$C$8),0)+IF(ISNUMBER(AL218),AL218*IF($D218="Unlabeled-13",MCDM_Settings!$E$9,MCDM_Settings!$C$9),0)+IF(ISNUMBER(AO218),AO218*IF($D218="Unlabeled-13",MCDM_Settings!$E$10,MCDM_Settings!$C$10),0)+IF(ISNUMBER(AR218),AR218*IF($D218="Unlabeled-13",MCDM_Settings!$E$11,MCDM_Settings!$C$11),0)))</f>
        <v>58.333333333333329</v>
      </c>
      <c r="F218" s="12">
        <f>IF(OR(AY218&lt;&gt;"Valid",AZ218&lt;&gt;"16 keys present"),"Review settings",20*(IF(ISNUMBER(AD218),AD218*IF($D218="Unlabeled-13",MCDM_Settings!$E$6,MCDM_Settings!$C$6),0)+IF(ISNUMBER(AG218),AG218*IF($D218="Unlabeled-13",MCDM_Settings!$E$7,MCDM_Settings!$C$7),0)+IF(ISNUMBER(AJ218),AJ218*IF($D218="Unlabeled-13",MCDM_Settings!$E$8,MCDM_Settings!$C$8),0)+IF(ISNUMBER(AM218),AM218*IF($D218="Unlabeled-13",MCDM_Settings!$E$9,MCDM_Settings!$C$9),0)+IF(ISNUMBER(AP218),AP218*IF($D218="Unlabeled-13",MCDM_Settings!$E$10,MCDM_Settings!$C$10),0)+IF(ISNUMBER(AS218),AS218*IF($D218="Unlabeled-13",MCDM_Settings!$E$11,MCDM_Settings!$C$11),0)))</f>
        <v>99.999999999999986</v>
      </c>
      <c r="G218" s="13">
        <f>IF(OR(AY218&lt;&gt;"Valid",AZ218&lt;&gt;"16 keys present"),"Review settings",1*(IF(ISNUMBER(AE218),AE218*IF($D218="Unlabeled-13",MCDM_Settings!$E$6,MCDM_Settings!$C$6),0)+IF(ISNUMBER(AH218),AH218*IF($D218="Unlabeled-13",MCDM_Settings!$E$7,MCDM_Settings!$C$7),0)+IF(ISNUMBER(AK218),AK218*IF($D218="Unlabeled-13",MCDM_Settings!$E$8,MCDM_Settings!$C$8),0)+IF(ISNUMBER(AN218),AN218*IF($D218="Unlabeled-13",MCDM_Settings!$E$9,MCDM_Settings!$C$9),0)+IF(ISNUMBER(AQ218),AQ218*IF($D218="Unlabeled-13",MCDM_Settings!$E$10,MCDM_Settings!$C$10),0)+IF(ISNUMBER(AT218),AT218*IF($D218="Unlabeled-13",MCDM_Settings!$E$11,MCDM_Settings!$C$11),0)))</f>
        <v>0.58333333333333337</v>
      </c>
      <c r="H218" s="5" t="str">
        <f>INDEX(Manual_Review!$AH$6:$AH$238,MATCH(A218,Manual_Review!$A$6:$A$238,0))</f>
        <v>Not started</v>
      </c>
      <c r="I218" s="5" t="s">
        <v>182</v>
      </c>
      <c r="J218" s="5" t="s">
        <v>2467</v>
      </c>
      <c r="K218" s="5" t="str">
        <f>HYPERLINK("https://idd.insaan.iiit.ac.in/dataset/details/","Dataset")</f>
        <v>Dataset</v>
      </c>
      <c r="L218" s="5" t="str">
        <f>HYPERLINK("#'Manual_Review'!A"&amp;(MATCH("DS-213",Manual_Review!$A$6:$A$238,0)+5),"Enter review")</f>
        <v>Enter review</v>
      </c>
      <c r="M218" s="5" t="str">
        <f>INDEX(MCDM_Checks!$K$6:$K$3733,MATCH(A218&amp;"|"&amp;M$5,MCDM_Checks!$A$6:$A$3733,0))</f>
        <v>Y</v>
      </c>
      <c r="N218" s="5" t="str">
        <f>INDEX(MCDM_Checks!$K$6:$K$3733,MATCH(A218&amp;"|"&amp;N$5,MCDM_Checks!$A$6:$A$3733,0))</f>
        <v>Y</v>
      </c>
      <c r="O218" s="5" t="str">
        <f>INDEX(MCDM_Checks!$K$6:$K$3733,MATCH(A218&amp;"|"&amp;O$5,MCDM_Checks!$A$6:$A$3733,0))</f>
        <v>U</v>
      </c>
      <c r="P218" s="5" t="str">
        <f>INDEX(MCDM_Checks!$K$6:$K$3733,MATCH(A218&amp;"|"&amp;P$5,MCDM_Checks!$A$6:$A$3733,0))</f>
        <v>Y</v>
      </c>
      <c r="Q218" s="5" t="str">
        <f>INDEX(MCDM_Checks!$K$6:$K$3733,MATCH(A218&amp;"|"&amp;Q$5,MCDM_Checks!$A$6:$A$3733,0))</f>
        <v>U</v>
      </c>
      <c r="R218" s="5" t="str">
        <f>INDEX(MCDM_Checks!$K$6:$K$3733,MATCH(A218&amp;"|"&amp;R$5,MCDM_Checks!$A$6:$A$3733,0))</f>
        <v>U</v>
      </c>
      <c r="S218" s="5" t="str">
        <f>INDEX(MCDM_Checks!$K$6:$K$3733,MATCH(A218&amp;"|"&amp;S$5,MCDM_Checks!$A$6:$A$3733,0))</f>
        <v>U</v>
      </c>
      <c r="T218" s="5" t="str">
        <f>INDEX(MCDM_Checks!$K$6:$K$3733,MATCH(A218&amp;"|"&amp;T$5,MCDM_Checks!$A$6:$A$3733,0))</f>
        <v>Y</v>
      </c>
      <c r="U218" s="5" t="str">
        <f>INDEX(MCDM_Checks!$K$6:$K$3733,MATCH(A218&amp;"|"&amp;U$5,MCDM_Checks!$A$6:$A$3733,0))</f>
        <v>Y</v>
      </c>
      <c r="V218" s="5" t="str">
        <f>INDEX(MCDM_Checks!$K$6:$K$3733,MATCH(A218&amp;"|"&amp;V$5,MCDM_Checks!$A$6:$A$3733,0))</f>
        <v>Y</v>
      </c>
      <c r="W218" s="5" t="str">
        <f>INDEX(MCDM_Checks!$K$6:$K$3733,MATCH(A218&amp;"|"&amp;W$5,MCDM_Checks!$A$6:$A$3733,0))</f>
        <v>Y</v>
      </c>
      <c r="X218" s="5" t="str">
        <f>INDEX(MCDM_Checks!$K$6:$K$3733,MATCH(A218&amp;"|"&amp;X$5,MCDM_Checks!$A$6:$A$3733,0))</f>
        <v>Y</v>
      </c>
      <c r="Y218" s="5" t="str">
        <f>INDEX(MCDM_Checks!$K$6:$K$3733,MATCH(A218&amp;"|"&amp;Y$5,MCDM_Checks!$A$6:$A$3733,0))</f>
        <v>U</v>
      </c>
      <c r="Z218" s="5" t="str">
        <f>INDEX(MCDM_Checks!$K$6:$K$3733,MATCH(A218&amp;"|"&amp;Z$5,MCDM_Checks!$A$6:$A$3733,0))</f>
        <v>Y</v>
      </c>
      <c r="AA218" s="5" t="str">
        <f>INDEX(MCDM_Checks!$K$6:$K$3733,MATCH(A218&amp;"|"&amp;AA$5,MCDM_Checks!$A$6:$A$3733,0))</f>
        <v>U</v>
      </c>
      <c r="AB218" s="5" t="str">
        <f>INDEX(MCDM_Checks!$K$6:$K$3733,MATCH(A218&amp;"|"&amp;AB$5,MCDM_Checks!$A$6:$A$3733,0))</f>
        <v>U</v>
      </c>
      <c r="AC218" s="12">
        <f>IF(IF($D218="Unlabeled-13",MCDM_Settings!$F$6,MCDM_Settings!$D$6)=0,"n.a.",5*COUNTIF(M218:O218,"Y")/IF($D218="Unlabeled-13",MCDM_Settings!$F$6,MCDM_Settings!$D$6))</f>
        <v>3.3333333333333335</v>
      </c>
      <c r="AD218" s="12">
        <f>IF(IF($D218="Unlabeled-13",MCDM_Settings!$F$6,MCDM_Settings!$D$6)=0,"n.a.",5*(COUNTIF(M218:O218,"Y")+COUNTIF(M218:O218,"U")+COUNTIF(M218:O218,"X"))/IF($D218="Unlabeled-13",MCDM_Settings!$F$6,MCDM_Settings!$D$6))</f>
        <v>5</v>
      </c>
      <c r="AE218" s="13">
        <f>IF(IF($D218="Unlabeled-13",MCDM_Settings!$F$6,MCDM_Settings!$D$6)=0,"n.a.",(COUNTIF(M218:O218,"Y")+COUNTIF(M218:O218,"N"))/IF($D218="Unlabeled-13",MCDM_Settings!$F$6,MCDM_Settings!$D$6))</f>
        <v>0.66666666666666663</v>
      </c>
      <c r="AF218" s="12">
        <f>IF(IF($D218="Unlabeled-13",MCDM_Settings!$F$7,MCDM_Settings!$D$7)=0,"n.a.",5*COUNTIF(P218:R218,"Y")/IF($D218="Unlabeled-13",MCDM_Settings!$F$7,MCDM_Settings!$D$7))</f>
        <v>1.6666666666666667</v>
      </c>
      <c r="AG218" s="12">
        <f>IF(IF($D218="Unlabeled-13",MCDM_Settings!$F$7,MCDM_Settings!$D$7)=0,"n.a.",5*(COUNTIF(P218:R218,"Y")+COUNTIF(P218:R218,"U")+COUNTIF(P218:R218,"X"))/IF($D218="Unlabeled-13",MCDM_Settings!$F$7,MCDM_Settings!$D$7))</f>
        <v>5</v>
      </c>
      <c r="AH218" s="13">
        <f>IF(IF($D218="Unlabeled-13",MCDM_Settings!$F$7,MCDM_Settings!$D$7)=0,"n.a.",(COUNTIF(P218:R218,"Y")+COUNTIF(P218:R218,"N"))/IF($D218="Unlabeled-13",MCDM_Settings!$F$7,MCDM_Settings!$D$7))</f>
        <v>0.33333333333333331</v>
      </c>
      <c r="AI218" s="12">
        <f>IF(IF($D218="Unlabeled-13",MCDM_Settings!$F$8,MCDM_Settings!$D$8)=0,"n.a.",5*COUNTIF(S218:U218,"Y")/IF($D218="Unlabeled-13",MCDM_Settings!$F$8,MCDM_Settings!$D$8))</f>
        <v>3.3333333333333335</v>
      </c>
      <c r="AJ218" s="12">
        <f>IF(IF($D218="Unlabeled-13",MCDM_Settings!$F$8,MCDM_Settings!$D$8)=0,"n.a.",5*(COUNTIF(S218:U218,"Y")+COUNTIF(S218:U218,"U")+COUNTIF(S218:U218,"X"))/IF($D218="Unlabeled-13",MCDM_Settings!$F$8,MCDM_Settings!$D$8))</f>
        <v>5</v>
      </c>
      <c r="AK218" s="13">
        <f>IF(IF($D218="Unlabeled-13",MCDM_Settings!$F$8,MCDM_Settings!$D$8)=0,"n.a.",(COUNTIF(S218:U218,"Y")+COUNTIF(S218:U218,"N"))/IF($D218="Unlabeled-13",MCDM_Settings!$F$8,MCDM_Settings!$D$8))</f>
        <v>0.66666666666666663</v>
      </c>
      <c r="AL218" s="12">
        <f>IF(IF($D218="Unlabeled-13",MCDM_Settings!$F$9,MCDM_Settings!$D$9)=0,"n.a.",5*COUNTIF(V218:W218,"Y")/IF($D218="Unlabeled-13",MCDM_Settings!$F$9,MCDM_Settings!$D$9))</f>
        <v>5</v>
      </c>
      <c r="AM218" s="12">
        <f>IF(IF($D218="Unlabeled-13",MCDM_Settings!$F$9,MCDM_Settings!$D$9)=0,"n.a.",5*(COUNTIF(V218:W218,"Y")+COUNTIF(V218:W218,"U")+COUNTIF(V218:W218,"X"))/IF($D218="Unlabeled-13",MCDM_Settings!$F$9,MCDM_Settings!$D$9))</f>
        <v>5</v>
      </c>
      <c r="AN218" s="13">
        <f>IF(IF($D218="Unlabeled-13",MCDM_Settings!$F$9,MCDM_Settings!$D$9)=0,"n.a.",(COUNTIF(V218:W218,"Y")+COUNTIF(V218:W218,"N"))/IF($D218="Unlabeled-13",MCDM_Settings!$F$9,MCDM_Settings!$D$9))</f>
        <v>1</v>
      </c>
      <c r="AO218" s="12">
        <f>IF(IF($D218="Unlabeled-13",MCDM_Settings!$F$10,MCDM_Settings!$D$10)=0,"n.a.",5*COUNTIF(X218:Y218,"Y")/IF($D218="Unlabeled-13",MCDM_Settings!$F$10,MCDM_Settings!$D$10))</f>
        <v>2.5</v>
      </c>
      <c r="AP218" s="12">
        <f>IF(IF($D218="Unlabeled-13",MCDM_Settings!$F$10,MCDM_Settings!$D$10)=0,"n.a.",5*(COUNTIF(X218:Y218,"Y")+COUNTIF(X218:Y218,"U")+COUNTIF(X218:Y218,"X"))/IF($D218="Unlabeled-13",MCDM_Settings!$F$10,MCDM_Settings!$D$10))</f>
        <v>5</v>
      </c>
      <c r="AQ218" s="13">
        <f>IF(IF($D218="Unlabeled-13",MCDM_Settings!$F$10,MCDM_Settings!$D$10)=0,"n.a.",(COUNTIF(X218:Y218,"Y")+COUNTIF(X218:Y218,"N"))/IF($D218="Unlabeled-13",MCDM_Settings!$F$10,MCDM_Settings!$D$10))</f>
        <v>0.5</v>
      </c>
      <c r="AR218" s="12">
        <f>IF(IF($D218="Unlabeled-13",MCDM_Settings!$F$11,MCDM_Settings!$D$11)=0,"n.a.",5*COUNTIF(Z218:AB218,"Y")/IF($D218="Unlabeled-13",MCDM_Settings!$F$11,MCDM_Settings!$D$11))</f>
        <v>1.6666666666666667</v>
      </c>
      <c r="AS218" s="12">
        <f>IF(IF($D218="Unlabeled-13",MCDM_Settings!$F$11,MCDM_Settings!$D$11)=0,"n.a.",5*(COUNTIF(Z218:AB218,"Y")+COUNTIF(Z218:AB218,"U")+COUNTIF(Z218:AB218,"X"))/IF($D218="Unlabeled-13",MCDM_Settings!$F$11,MCDM_Settings!$D$11))</f>
        <v>5</v>
      </c>
      <c r="AT218" s="13">
        <f>IF(IF($D218="Unlabeled-13",MCDM_Settings!$F$11,MCDM_Settings!$D$11)=0,"n.a.",(COUNTIF(Z218:AB218,"Y")+COUNTIF(Z218:AB218,"N"))/IF($D218="Unlabeled-13",MCDM_Settings!$F$11,MCDM_Settings!$D$11))</f>
        <v>0.33333333333333331</v>
      </c>
      <c r="AU218" s="5" t="str">
        <f>IF(AND(INDEX(Manual_Review!$G$6:$G$238,MATCH(A218,Manual_Review!$A$6:$A$238,0))&lt;&gt;"",ISNUMBER(INDEX(Manual_Review!$H$6:$H$238,MATCH(A218,Manual_Review!$A$6:$A$238,0))),INDEX(Manual_Review!$H$6:$H$238,MATCH(A218,Manual_Review!$A$6:$A$238,0))&gt;0,INDEX(Manual_Review!$I$6:$I$238,MATCH(A218,Manual_Review!$A$6:$A$238,0))="Confirmed",INDEX(Manual_Review!$AF$6:$AF$238,MATCH(A218,Manual_Review!$A$6:$A$238,0))&lt;&gt;""),IF(INDEX(Manual_Review!$AA$6:$AA$238,MATCH(A218,Manual_Review!$A$6:$A$238,0))="Pass","Pass",IF(INDEX(Manual_Review!$AA$6:$AA$238,MATCH(A218,Manual_Review!$A$6:$A$238,0))="Fail","Fail","Pending")),"Pending human identity confirmation")</f>
        <v>Pending human identity confirmation</v>
      </c>
      <c r="AV218" s="5" t="str">
        <f>IF(AND(AND(INDEX(Manual_Review!$G$6:$G$238,MATCH(A218,Manual_Review!$A$6:$A$238,0))&lt;&gt;"",ISNUMBER(INDEX(Manual_Review!$H$6:$H$238,MATCH(A218,Manual_Review!$A$6:$A$238,0))),INDEX(Manual_Review!$H$6:$H$238,MATCH(A218,Manual_Review!$A$6:$A$238,0))&gt;0,INDEX(Manual_Review!$I$6:$I$238,MATCH(A218,Manual_Review!$A$6:$A$238,0))="Confirmed",INDEX(Manual_Review!$AF$6:$AF$238,MATCH(A218,Manual_Review!$A$6:$A$238,0))&lt;&gt;""),INDEX(Manual_Review!$AG$6:$AG$238,MATCH(A218,Manual_Review!$A$6:$A$238,0))&lt;&gt;""),IF(INDEX(Manual_Review!$AB$6:$AB$238,MATCH(A218,Manual_Review!$A$6:$A$238,0))="Pass","Pass",IF(INDEX(Manual_Review!$AB$6:$AB$238,MATCH(A218,Manual_Review!$A$6:$A$238,0))="Fail","Fail","Pending")),"Not assessed: define intended task")</f>
        <v>Not assessed: define intended task</v>
      </c>
      <c r="AW218" s="5" t="str">
        <f>IF(AND(AND(INDEX(Manual_Review!$G$6:$G$238,MATCH(A218,Manual_Review!$A$6:$A$238,0))&lt;&gt;"",ISNUMBER(INDEX(Manual_Review!$H$6:$H$238,MATCH(A218,Manual_Review!$A$6:$A$238,0))),INDEX(Manual_Review!$H$6:$H$238,MATCH(A218,Manual_Review!$A$6:$A$238,0))&gt;0,INDEX(Manual_Review!$I$6:$I$238,MATCH(A218,Manual_Review!$A$6:$A$238,0))="Confirmed",INDEX(Manual_Review!$AF$6:$AF$238,MATCH(A218,Manual_Review!$A$6:$A$238,0))&lt;&gt;""),INDEX(Manual_Review!$AG$6:$AG$238,MATCH(A218,Manual_Review!$A$6:$A$238,0))&lt;&gt;""),IF(OR(INDEX(Manual_Review!$AC$6:$AC$238,MATCH(A218,Manual_Review!$A$6:$A$238,0))="Fail",INDEX(Manual_Review!$AD$6:$AD$238,MATCH(A218,Manual_Review!$A$6:$A$238,0))="Fail"),"Fail: rights or retrieval",IF(AND(INDEX(Manual_Review!$AC$6:$AC$238,MATCH(A218,Manual_Review!$A$6:$A$238,0))="Pass",INDEX(Manual_Review!$AD$6:$AD$238,MATCH(A218,Manual_Review!$A$6:$A$238,0))="Pass"),"Pass","Pending rights and retrieval")),"Pending rights and retrieval")</f>
        <v>Pending rights and retrieval</v>
      </c>
      <c r="AX218" s="5" t="str">
        <f>IF(INDEX(Manual_Review!$AG$6:$AG$238,MATCH(A218,Manual_Review!$A$6:$A$238,0))="","N/A: documentation inventory",IF(AND(INDEX(Manual_Review!$G$6:$G$238,MATCH(A218,Manual_Review!$A$6:$A$238,0))&lt;&gt;"",ISNUMBER(INDEX(Manual_Review!$H$6:$H$238,MATCH(A218,Manual_Review!$A$6:$A$238,0))),INDEX(Manual_Review!$H$6:$H$238,MATCH(A218,Manual_Review!$A$6:$A$238,0))&gt;0,INDEX(Manual_Review!$I$6:$I$238,MATCH(A218,Manual_Review!$A$6:$A$238,0))="Confirmed",INDEX(Manual_Review!$AF$6:$AF$238,MATCH(A218,Manual_Review!$A$6:$A$238,0))&lt;&gt;""),IF(INDEX(Manual_Review!$AE$6:$AE$238,MATCH(A218,Manual_Review!$A$6:$A$238,0))="Pass","Pass",IF(INDEX(Manual_Review!$AE$6:$AE$238,MATCH(A218,Manual_Review!$A$6:$A$238,0))="Fail","Fail: benchmark leakage",IF(INDEX(Manual_Review!$AE$6:$AE$238,MATCH(A218,Manual_Review!$A$6:$A$238,0))="N/A","N/A: nonbenchmark task","Pending task-specific leakage check"))),"Pending task-specific leakage check"))</f>
        <v>N/A: documentation inventory</v>
      </c>
      <c r="AY218" s="5" t="str">
        <f>IF(IF(D218="Unlabeled-13",AND(ABS(MCDM_Settings!$D$14-1)&lt;0.0000001,MIN(MCDM_Settings!$E$6:$E$11)&gt;=0,MCDM_Settings!$E$7=0),AND(ABS(MCDM_Settings!$B$14-1)&lt;0.0000001,MIN(MCDM_Settings!$C$6:$C$11)&gt;=0)),"Valid","Check weights")</f>
        <v>Valid</v>
      </c>
      <c r="AZ218" s="5" t="str">
        <f>IF(AND(COUNTIF(MCDM_Checks!$B$6:$B$3733,A218)=16,COUNTIF(Manual_Review!$A$6:$A$238,A218)=1),"16 keys present","Check key count")</f>
        <v>16 keys present</v>
      </c>
    </row>
    <row r="219" spans="1:52">
      <c r="A219" s="5" t="s">
        <v>2478</v>
      </c>
      <c r="B219" s="5" t="s">
        <v>2479</v>
      </c>
      <c r="C219" s="5"/>
      <c r="D219" s="5" t="s">
        <v>118</v>
      </c>
      <c r="E219" s="12">
        <f>IF(OR(AY219&lt;&gt;"Valid",AZ219&lt;&gt;"16 keys present"),"Review settings",20*(IF(ISNUMBER(AC219),AC219*IF($D219="Unlabeled-13",MCDM_Settings!$E$6,MCDM_Settings!$C$6),0)+IF(ISNUMBER(AF219),AF219*IF($D219="Unlabeled-13",MCDM_Settings!$E$7,MCDM_Settings!$C$7),0)+IF(ISNUMBER(AI219),AI219*IF($D219="Unlabeled-13",MCDM_Settings!$E$8,MCDM_Settings!$C$8),0)+IF(ISNUMBER(AL219),AL219*IF($D219="Unlabeled-13",MCDM_Settings!$E$9,MCDM_Settings!$C$9),0)+IF(ISNUMBER(AO219),AO219*IF($D219="Unlabeled-13",MCDM_Settings!$E$10,MCDM_Settings!$C$10),0)+IF(ISNUMBER(AR219),AR219*IF($D219="Unlabeled-13",MCDM_Settings!$E$11,MCDM_Settings!$C$11),0)))</f>
        <v>55.555555555555557</v>
      </c>
      <c r="F219" s="12">
        <f>IF(OR(AY219&lt;&gt;"Valid",AZ219&lt;&gt;"16 keys present"),"Review settings",20*(IF(ISNUMBER(AD219),AD219*IF($D219="Unlabeled-13",MCDM_Settings!$E$6,MCDM_Settings!$C$6),0)+IF(ISNUMBER(AG219),AG219*IF($D219="Unlabeled-13",MCDM_Settings!$E$7,MCDM_Settings!$C$7),0)+IF(ISNUMBER(AJ219),AJ219*IF($D219="Unlabeled-13",MCDM_Settings!$E$8,MCDM_Settings!$C$8),0)+IF(ISNUMBER(AM219),AM219*IF($D219="Unlabeled-13",MCDM_Settings!$E$9,MCDM_Settings!$C$9),0)+IF(ISNUMBER(AP219),AP219*IF($D219="Unlabeled-13",MCDM_Settings!$E$10,MCDM_Settings!$C$10),0)+IF(ISNUMBER(AS219),AS219*IF($D219="Unlabeled-13",MCDM_Settings!$E$11,MCDM_Settings!$C$11),0)))</f>
        <v>99.999999999999986</v>
      </c>
      <c r="G219" s="13">
        <f>IF(OR(AY219&lt;&gt;"Valid",AZ219&lt;&gt;"16 keys present"),"Review settings",1*(IF(ISNUMBER(AE219),AE219*IF($D219="Unlabeled-13",MCDM_Settings!$E$6,MCDM_Settings!$C$6),0)+IF(ISNUMBER(AH219),AH219*IF($D219="Unlabeled-13",MCDM_Settings!$E$7,MCDM_Settings!$C$7),0)+IF(ISNUMBER(AK219),AK219*IF($D219="Unlabeled-13",MCDM_Settings!$E$8,MCDM_Settings!$C$8),0)+IF(ISNUMBER(AN219),AN219*IF($D219="Unlabeled-13",MCDM_Settings!$E$9,MCDM_Settings!$C$9),0)+IF(ISNUMBER(AQ219),AQ219*IF($D219="Unlabeled-13",MCDM_Settings!$E$10,MCDM_Settings!$C$10),0)+IF(ISNUMBER(AT219),AT219*IF($D219="Unlabeled-13",MCDM_Settings!$E$11,MCDM_Settings!$C$11),0)))</f>
        <v>0.55555555555555558</v>
      </c>
      <c r="H219" s="5" t="str">
        <f>INDEX(Manual_Review!$AH$6:$AH$238,MATCH(A219,Manual_Review!$A$6:$A$238,0))</f>
        <v>Not started</v>
      </c>
      <c r="I219" s="5" t="s">
        <v>182</v>
      </c>
      <c r="J219" s="5" t="s">
        <v>2480</v>
      </c>
      <c r="K219" s="5" t="str">
        <f>HYPERLINK("https://www.cvlibs.net/datasets/kitti/raw_data.php","Dataset")</f>
        <v>Dataset</v>
      </c>
      <c r="L219" s="5" t="str">
        <f>HYPERLINK("#'Manual_Review'!A"&amp;(MATCH("DS-214",Manual_Review!$A$6:$A$238,0)+5),"Enter review")</f>
        <v>Enter review</v>
      </c>
      <c r="M219" s="5" t="str">
        <f>INDEX(MCDM_Checks!$K$6:$K$3733,MATCH(A219&amp;"|"&amp;M$5,MCDM_Checks!$A$6:$A$3733,0))</f>
        <v>Y</v>
      </c>
      <c r="N219" s="5" t="str">
        <f>INDEX(MCDM_Checks!$K$6:$K$3733,MATCH(A219&amp;"|"&amp;N$5,MCDM_Checks!$A$6:$A$3733,0))</f>
        <v>Y</v>
      </c>
      <c r="O219" s="5" t="str">
        <f>INDEX(MCDM_Checks!$K$6:$K$3733,MATCH(A219&amp;"|"&amp;O$5,MCDM_Checks!$A$6:$A$3733,0))</f>
        <v>Y</v>
      </c>
      <c r="P219" s="5" t="str">
        <f>INDEX(MCDM_Checks!$K$6:$K$3733,MATCH(A219&amp;"|"&amp;P$5,MCDM_Checks!$A$6:$A$3733,0))</f>
        <v>U</v>
      </c>
      <c r="Q219" s="5" t="str">
        <f>INDEX(MCDM_Checks!$K$6:$K$3733,MATCH(A219&amp;"|"&amp;Q$5,MCDM_Checks!$A$6:$A$3733,0))</f>
        <v>U</v>
      </c>
      <c r="R219" s="5" t="str">
        <f>INDEX(MCDM_Checks!$K$6:$K$3733,MATCH(A219&amp;"|"&amp;R$5,MCDM_Checks!$A$6:$A$3733,0))</f>
        <v>U</v>
      </c>
      <c r="S219" s="5" t="str">
        <f>INDEX(MCDM_Checks!$K$6:$K$3733,MATCH(A219&amp;"|"&amp;S$5,MCDM_Checks!$A$6:$A$3733,0))</f>
        <v>U</v>
      </c>
      <c r="T219" s="5" t="str">
        <f>INDEX(MCDM_Checks!$K$6:$K$3733,MATCH(A219&amp;"|"&amp;T$5,MCDM_Checks!$A$6:$A$3733,0))</f>
        <v>Y</v>
      </c>
      <c r="U219" s="5" t="str">
        <f>INDEX(MCDM_Checks!$K$6:$K$3733,MATCH(A219&amp;"|"&amp;U$5,MCDM_Checks!$A$6:$A$3733,0))</f>
        <v>Y</v>
      </c>
      <c r="V219" s="5" t="str">
        <f>INDEX(MCDM_Checks!$K$6:$K$3733,MATCH(A219&amp;"|"&amp;V$5,MCDM_Checks!$A$6:$A$3733,0))</f>
        <v>U</v>
      </c>
      <c r="W219" s="5" t="str">
        <f>INDEX(MCDM_Checks!$K$6:$K$3733,MATCH(A219&amp;"|"&amp;W$5,MCDM_Checks!$A$6:$A$3733,0))</f>
        <v>U</v>
      </c>
      <c r="X219" s="5" t="str">
        <f>INDEX(MCDM_Checks!$K$6:$K$3733,MATCH(A219&amp;"|"&amp;X$5,MCDM_Checks!$A$6:$A$3733,0))</f>
        <v>Y</v>
      </c>
      <c r="Y219" s="5" t="str">
        <f>INDEX(MCDM_Checks!$K$6:$K$3733,MATCH(A219&amp;"|"&amp;Y$5,MCDM_Checks!$A$6:$A$3733,0))</f>
        <v>Y</v>
      </c>
      <c r="Z219" s="5" t="str">
        <f>INDEX(MCDM_Checks!$K$6:$K$3733,MATCH(A219&amp;"|"&amp;Z$5,MCDM_Checks!$A$6:$A$3733,0))</f>
        <v>Y</v>
      </c>
      <c r="AA219" s="5" t="str">
        <f>INDEX(MCDM_Checks!$K$6:$K$3733,MATCH(A219&amp;"|"&amp;AA$5,MCDM_Checks!$A$6:$A$3733,0))</f>
        <v>Y</v>
      </c>
      <c r="AB219" s="5" t="str">
        <f>INDEX(MCDM_Checks!$K$6:$K$3733,MATCH(A219&amp;"|"&amp;AB$5,MCDM_Checks!$A$6:$A$3733,0))</f>
        <v>U</v>
      </c>
      <c r="AC219" s="12">
        <f>IF(IF($D219="Unlabeled-13",MCDM_Settings!$F$6,MCDM_Settings!$D$6)=0,"n.a.",5*COUNTIF(M219:O219,"Y")/IF($D219="Unlabeled-13",MCDM_Settings!$F$6,MCDM_Settings!$D$6))</f>
        <v>5</v>
      </c>
      <c r="AD219" s="12">
        <f>IF(IF($D219="Unlabeled-13",MCDM_Settings!$F$6,MCDM_Settings!$D$6)=0,"n.a.",5*(COUNTIF(M219:O219,"Y")+COUNTIF(M219:O219,"U")+COUNTIF(M219:O219,"X"))/IF($D219="Unlabeled-13",MCDM_Settings!$F$6,MCDM_Settings!$D$6))</f>
        <v>5</v>
      </c>
      <c r="AE219" s="13">
        <f>IF(IF($D219="Unlabeled-13",MCDM_Settings!$F$6,MCDM_Settings!$D$6)=0,"n.a.",(COUNTIF(M219:O219,"Y")+COUNTIF(M219:O219,"N"))/IF($D219="Unlabeled-13",MCDM_Settings!$F$6,MCDM_Settings!$D$6))</f>
        <v>1</v>
      </c>
      <c r="AF219" s="12">
        <f>IF(IF($D219="Unlabeled-13",MCDM_Settings!$F$7,MCDM_Settings!$D$7)=0,"n.a.",5*COUNTIF(P219:R219,"Y")/IF($D219="Unlabeled-13",MCDM_Settings!$F$7,MCDM_Settings!$D$7))</f>
        <v>0</v>
      </c>
      <c r="AG219" s="12">
        <f>IF(IF($D219="Unlabeled-13",MCDM_Settings!$F$7,MCDM_Settings!$D$7)=0,"n.a.",5*(COUNTIF(P219:R219,"Y")+COUNTIF(P219:R219,"U")+COUNTIF(P219:R219,"X"))/IF($D219="Unlabeled-13",MCDM_Settings!$F$7,MCDM_Settings!$D$7))</f>
        <v>5</v>
      </c>
      <c r="AH219" s="13">
        <f>IF(IF($D219="Unlabeled-13",MCDM_Settings!$F$7,MCDM_Settings!$D$7)=0,"n.a.",(COUNTIF(P219:R219,"Y")+COUNTIF(P219:R219,"N"))/IF($D219="Unlabeled-13",MCDM_Settings!$F$7,MCDM_Settings!$D$7))</f>
        <v>0</v>
      </c>
      <c r="AI219" s="12">
        <f>IF(IF($D219="Unlabeled-13",MCDM_Settings!$F$8,MCDM_Settings!$D$8)=0,"n.a.",5*COUNTIF(S219:U219,"Y")/IF($D219="Unlabeled-13",MCDM_Settings!$F$8,MCDM_Settings!$D$8))</f>
        <v>3.3333333333333335</v>
      </c>
      <c r="AJ219" s="12">
        <f>IF(IF($D219="Unlabeled-13",MCDM_Settings!$F$8,MCDM_Settings!$D$8)=0,"n.a.",5*(COUNTIF(S219:U219,"Y")+COUNTIF(S219:U219,"U")+COUNTIF(S219:U219,"X"))/IF($D219="Unlabeled-13",MCDM_Settings!$F$8,MCDM_Settings!$D$8))</f>
        <v>5</v>
      </c>
      <c r="AK219" s="13">
        <f>IF(IF($D219="Unlabeled-13",MCDM_Settings!$F$8,MCDM_Settings!$D$8)=0,"n.a.",(COUNTIF(S219:U219,"Y")+COUNTIF(S219:U219,"N"))/IF($D219="Unlabeled-13",MCDM_Settings!$F$8,MCDM_Settings!$D$8))</f>
        <v>0.66666666666666663</v>
      </c>
      <c r="AL219" s="12">
        <f>IF(IF($D219="Unlabeled-13",MCDM_Settings!$F$9,MCDM_Settings!$D$9)=0,"n.a.",5*COUNTIF(V219:W219,"Y")/IF($D219="Unlabeled-13",MCDM_Settings!$F$9,MCDM_Settings!$D$9))</f>
        <v>0</v>
      </c>
      <c r="AM219" s="12">
        <f>IF(IF($D219="Unlabeled-13",MCDM_Settings!$F$9,MCDM_Settings!$D$9)=0,"n.a.",5*(COUNTIF(V219:W219,"Y")+COUNTIF(V219:W219,"U")+COUNTIF(V219:W219,"X"))/IF($D219="Unlabeled-13",MCDM_Settings!$F$9,MCDM_Settings!$D$9))</f>
        <v>5</v>
      </c>
      <c r="AN219" s="13">
        <f>IF(IF($D219="Unlabeled-13",MCDM_Settings!$F$9,MCDM_Settings!$D$9)=0,"n.a.",(COUNTIF(V219:W219,"Y")+COUNTIF(V219:W219,"N"))/IF($D219="Unlabeled-13",MCDM_Settings!$F$9,MCDM_Settings!$D$9))</f>
        <v>0</v>
      </c>
      <c r="AO219" s="12">
        <f>IF(IF($D219="Unlabeled-13",MCDM_Settings!$F$10,MCDM_Settings!$D$10)=0,"n.a.",5*COUNTIF(X219:Y219,"Y")/IF($D219="Unlabeled-13",MCDM_Settings!$F$10,MCDM_Settings!$D$10))</f>
        <v>5</v>
      </c>
      <c r="AP219" s="12">
        <f>IF(IF($D219="Unlabeled-13",MCDM_Settings!$F$10,MCDM_Settings!$D$10)=0,"n.a.",5*(COUNTIF(X219:Y219,"Y")+COUNTIF(X219:Y219,"U")+COUNTIF(X219:Y219,"X"))/IF($D219="Unlabeled-13",MCDM_Settings!$F$10,MCDM_Settings!$D$10))</f>
        <v>5</v>
      </c>
      <c r="AQ219" s="13">
        <f>IF(IF($D219="Unlabeled-13",MCDM_Settings!$F$10,MCDM_Settings!$D$10)=0,"n.a.",(COUNTIF(X219:Y219,"Y")+COUNTIF(X219:Y219,"N"))/IF($D219="Unlabeled-13",MCDM_Settings!$F$10,MCDM_Settings!$D$10))</f>
        <v>1</v>
      </c>
      <c r="AR219" s="12">
        <f>IF(IF($D219="Unlabeled-13",MCDM_Settings!$F$11,MCDM_Settings!$D$11)=0,"n.a.",5*COUNTIF(Z219:AB219,"Y")/IF($D219="Unlabeled-13",MCDM_Settings!$F$11,MCDM_Settings!$D$11))</f>
        <v>3.3333333333333335</v>
      </c>
      <c r="AS219" s="12">
        <f>IF(IF($D219="Unlabeled-13",MCDM_Settings!$F$11,MCDM_Settings!$D$11)=0,"n.a.",5*(COUNTIF(Z219:AB219,"Y")+COUNTIF(Z219:AB219,"U")+COUNTIF(Z219:AB219,"X"))/IF($D219="Unlabeled-13",MCDM_Settings!$F$11,MCDM_Settings!$D$11))</f>
        <v>5</v>
      </c>
      <c r="AT219" s="13">
        <f>IF(IF($D219="Unlabeled-13",MCDM_Settings!$F$11,MCDM_Settings!$D$11)=0,"n.a.",(COUNTIF(Z219:AB219,"Y")+COUNTIF(Z219:AB219,"N"))/IF($D219="Unlabeled-13",MCDM_Settings!$F$11,MCDM_Settings!$D$11))</f>
        <v>0.66666666666666663</v>
      </c>
      <c r="AU219" s="5" t="str">
        <f>IF(AND(INDEX(Manual_Review!$G$6:$G$238,MATCH(A219,Manual_Review!$A$6:$A$238,0))&lt;&gt;"",ISNUMBER(INDEX(Manual_Review!$H$6:$H$238,MATCH(A219,Manual_Review!$A$6:$A$238,0))),INDEX(Manual_Review!$H$6:$H$238,MATCH(A219,Manual_Review!$A$6:$A$238,0))&gt;0,INDEX(Manual_Review!$I$6:$I$238,MATCH(A219,Manual_Review!$A$6:$A$238,0))="Confirmed",INDEX(Manual_Review!$AF$6:$AF$238,MATCH(A219,Manual_Review!$A$6:$A$238,0))&lt;&gt;""),IF(INDEX(Manual_Review!$AA$6:$AA$238,MATCH(A219,Manual_Review!$A$6:$A$238,0))="Pass","Pass",IF(INDEX(Manual_Review!$AA$6:$AA$238,MATCH(A219,Manual_Review!$A$6:$A$238,0))="Fail","Fail","Pending")),"Pending human identity confirmation")</f>
        <v>Pending human identity confirmation</v>
      </c>
      <c r="AV219" s="5" t="str">
        <f>IF(AND(AND(INDEX(Manual_Review!$G$6:$G$238,MATCH(A219,Manual_Review!$A$6:$A$238,0))&lt;&gt;"",ISNUMBER(INDEX(Manual_Review!$H$6:$H$238,MATCH(A219,Manual_Review!$A$6:$A$238,0))),INDEX(Manual_Review!$H$6:$H$238,MATCH(A219,Manual_Review!$A$6:$A$238,0))&gt;0,INDEX(Manual_Review!$I$6:$I$238,MATCH(A219,Manual_Review!$A$6:$A$238,0))="Confirmed",INDEX(Manual_Review!$AF$6:$AF$238,MATCH(A219,Manual_Review!$A$6:$A$238,0))&lt;&gt;""),INDEX(Manual_Review!$AG$6:$AG$238,MATCH(A219,Manual_Review!$A$6:$A$238,0))&lt;&gt;""),IF(INDEX(Manual_Review!$AB$6:$AB$238,MATCH(A219,Manual_Review!$A$6:$A$238,0))="Pass","Pass",IF(INDEX(Manual_Review!$AB$6:$AB$238,MATCH(A219,Manual_Review!$A$6:$A$238,0))="Fail","Fail","Pending")),"Not assessed: define intended task")</f>
        <v>Not assessed: define intended task</v>
      </c>
      <c r="AW219" s="5" t="str">
        <f>IF(AND(AND(INDEX(Manual_Review!$G$6:$G$238,MATCH(A219,Manual_Review!$A$6:$A$238,0))&lt;&gt;"",ISNUMBER(INDEX(Manual_Review!$H$6:$H$238,MATCH(A219,Manual_Review!$A$6:$A$238,0))),INDEX(Manual_Review!$H$6:$H$238,MATCH(A219,Manual_Review!$A$6:$A$238,0))&gt;0,INDEX(Manual_Review!$I$6:$I$238,MATCH(A219,Manual_Review!$A$6:$A$238,0))="Confirmed",INDEX(Manual_Review!$AF$6:$AF$238,MATCH(A219,Manual_Review!$A$6:$A$238,0))&lt;&gt;""),INDEX(Manual_Review!$AG$6:$AG$238,MATCH(A219,Manual_Review!$A$6:$A$238,0))&lt;&gt;""),IF(OR(INDEX(Manual_Review!$AC$6:$AC$238,MATCH(A219,Manual_Review!$A$6:$A$238,0))="Fail",INDEX(Manual_Review!$AD$6:$AD$238,MATCH(A219,Manual_Review!$A$6:$A$238,0))="Fail"),"Fail: rights or retrieval",IF(AND(INDEX(Manual_Review!$AC$6:$AC$238,MATCH(A219,Manual_Review!$A$6:$A$238,0))="Pass",INDEX(Manual_Review!$AD$6:$AD$238,MATCH(A219,Manual_Review!$A$6:$A$238,0))="Pass"),"Pass","Pending rights and retrieval")),"Pending rights and retrieval")</f>
        <v>Pending rights and retrieval</v>
      </c>
      <c r="AX219" s="5" t="str">
        <f>IF(INDEX(Manual_Review!$AG$6:$AG$238,MATCH(A219,Manual_Review!$A$6:$A$238,0))="","N/A: documentation inventory",IF(AND(INDEX(Manual_Review!$G$6:$G$238,MATCH(A219,Manual_Review!$A$6:$A$238,0))&lt;&gt;"",ISNUMBER(INDEX(Manual_Review!$H$6:$H$238,MATCH(A219,Manual_Review!$A$6:$A$238,0))),INDEX(Manual_Review!$H$6:$H$238,MATCH(A219,Manual_Review!$A$6:$A$238,0))&gt;0,INDEX(Manual_Review!$I$6:$I$238,MATCH(A219,Manual_Review!$A$6:$A$238,0))="Confirmed",INDEX(Manual_Review!$AF$6:$AF$238,MATCH(A219,Manual_Review!$A$6:$A$238,0))&lt;&gt;""),IF(INDEX(Manual_Review!$AE$6:$AE$238,MATCH(A219,Manual_Review!$A$6:$A$238,0))="Pass","Pass",IF(INDEX(Manual_Review!$AE$6:$AE$238,MATCH(A219,Manual_Review!$A$6:$A$238,0))="Fail","Fail: benchmark leakage",IF(INDEX(Manual_Review!$AE$6:$AE$238,MATCH(A219,Manual_Review!$A$6:$A$238,0))="N/A","N/A: nonbenchmark task","Pending task-specific leakage check"))),"Pending task-specific leakage check"))</f>
        <v>N/A: documentation inventory</v>
      </c>
      <c r="AY219" s="5" t="str">
        <f>IF(IF(D219="Unlabeled-13",AND(ABS(MCDM_Settings!$D$14-1)&lt;0.0000001,MIN(MCDM_Settings!$E$6:$E$11)&gt;=0,MCDM_Settings!$E$7=0),AND(ABS(MCDM_Settings!$B$14-1)&lt;0.0000001,MIN(MCDM_Settings!$C$6:$C$11)&gt;=0)),"Valid","Check weights")</f>
        <v>Valid</v>
      </c>
      <c r="AZ219" s="5" t="str">
        <f>IF(AND(COUNTIF(MCDM_Checks!$B$6:$B$3733,A219)=16,COUNTIF(Manual_Review!$A$6:$A$238,A219)=1),"16 keys present","Check key count")</f>
        <v>16 keys present</v>
      </c>
    </row>
    <row r="220" spans="1:52">
      <c r="A220" s="5" t="s">
        <v>2492</v>
      </c>
      <c r="B220" s="5" t="s">
        <v>2493</v>
      </c>
      <c r="C220" s="5"/>
      <c r="D220" s="5" t="s">
        <v>118</v>
      </c>
      <c r="E220" s="12">
        <f>IF(OR(AY220&lt;&gt;"Valid",AZ220&lt;&gt;"16 keys present"),"Review settings",20*(IF(ISNUMBER(AC220),AC220*IF($D220="Unlabeled-13",MCDM_Settings!$E$6,MCDM_Settings!$C$6),0)+IF(ISNUMBER(AF220),AF220*IF($D220="Unlabeled-13",MCDM_Settings!$E$7,MCDM_Settings!$C$7),0)+IF(ISNUMBER(AI220),AI220*IF($D220="Unlabeled-13",MCDM_Settings!$E$8,MCDM_Settings!$C$8),0)+IF(ISNUMBER(AL220),AL220*IF($D220="Unlabeled-13",MCDM_Settings!$E$9,MCDM_Settings!$C$9),0)+IF(ISNUMBER(AO220),AO220*IF($D220="Unlabeled-13",MCDM_Settings!$E$10,MCDM_Settings!$C$10),0)+IF(ISNUMBER(AR220),AR220*IF($D220="Unlabeled-13",MCDM_Settings!$E$11,MCDM_Settings!$C$11),0)))</f>
        <v>58.333333333333321</v>
      </c>
      <c r="F220" s="12">
        <f>IF(OR(AY220&lt;&gt;"Valid",AZ220&lt;&gt;"16 keys present"),"Review settings",20*(IF(ISNUMBER(AD220),AD220*IF($D220="Unlabeled-13",MCDM_Settings!$E$6,MCDM_Settings!$C$6),0)+IF(ISNUMBER(AG220),AG220*IF($D220="Unlabeled-13",MCDM_Settings!$E$7,MCDM_Settings!$C$7),0)+IF(ISNUMBER(AJ220),AJ220*IF($D220="Unlabeled-13",MCDM_Settings!$E$8,MCDM_Settings!$C$8),0)+IF(ISNUMBER(AM220),AM220*IF($D220="Unlabeled-13",MCDM_Settings!$E$9,MCDM_Settings!$C$9),0)+IF(ISNUMBER(AP220),AP220*IF($D220="Unlabeled-13",MCDM_Settings!$E$10,MCDM_Settings!$C$10),0)+IF(ISNUMBER(AS220),AS220*IF($D220="Unlabeled-13",MCDM_Settings!$E$11,MCDM_Settings!$C$11),0)))</f>
        <v>99.999999999999986</v>
      </c>
      <c r="G220" s="13">
        <f>IF(OR(AY220&lt;&gt;"Valid",AZ220&lt;&gt;"16 keys present"),"Review settings",1*(IF(ISNUMBER(AE220),AE220*IF($D220="Unlabeled-13",MCDM_Settings!$E$6,MCDM_Settings!$C$6),0)+IF(ISNUMBER(AH220),AH220*IF($D220="Unlabeled-13",MCDM_Settings!$E$7,MCDM_Settings!$C$7),0)+IF(ISNUMBER(AK220),AK220*IF($D220="Unlabeled-13",MCDM_Settings!$E$8,MCDM_Settings!$C$8),0)+IF(ISNUMBER(AN220),AN220*IF($D220="Unlabeled-13",MCDM_Settings!$E$9,MCDM_Settings!$C$9),0)+IF(ISNUMBER(AQ220),AQ220*IF($D220="Unlabeled-13",MCDM_Settings!$E$10,MCDM_Settings!$C$10),0)+IF(ISNUMBER(AT220),AT220*IF($D220="Unlabeled-13",MCDM_Settings!$E$11,MCDM_Settings!$C$11),0)))</f>
        <v>0.58333333333333337</v>
      </c>
      <c r="H220" s="5" t="str">
        <f>INDEX(Manual_Review!$AH$6:$AH$238,MATCH(A220,Manual_Review!$A$6:$A$238,0))</f>
        <v>Not started</v>
      </c>
      <c r="I220" s="5" t="s">
        <v>182</v>
      </c>
      <c r="J220" s="5" t="s">
        <v>2494</v>
      </c>
      <c r="K220" s="5" t="str">
        <f>HYPERLINK("https://www.cvlibs.net/datasets/kitti-360/","Dataset")</f>
        <v>Dataset</v>
      </c>
      <c r="L220" s="5" t="str">
        <f>HYPERLINK("#'Manual_Review'!A"&amp;(MATCH("DS-215",Manual_Review!$A$6:$A$238,0)+5),"Enter review")</f>
        <v>Enter review</v>
      </c>
      <c r="M220" s="5" t="str">
        <f>INDEX(MCDM_Checks!$K$6:$K$3733,MATCH(A220&amp;"|"&amp;M$5,MCDM_Checks!$A$6:$A$3733,0))</f>
        <v>Y</v>
      </c>
      <c r="N220" s="5" t="str">
        <f>INDEX(MCDM_Checks!$K$6:$K$3733,MATCH(A220&amp;"|"&amp;N$5,MCDM_Checks!$A$6:$A$3733,0))</f>
        <v>Y</v>
      </c>
      <c r="O220" s="5" t="str">
        <f>INDEX(MCDM_Checks!$K$6:$K$3733,MATCH(A220&amp;"|"&amp;O$5,MCDM_Checks!$A$6:$A$3733,0))</f>
        <v>Y</v>
      </c>
      <c r="P220" s="5" t="str">
        <f>INDEX(MCDM_Checks!$K$6:$K$3733,MATCH(A220&amp;"|"&amp;P$5,MCDM_Checks!$A$6:$A$3733,0))</f>
        <v>U</v>
      </c>
      <c r="Q220" s="5" t="str">
        <f>INDEX(MCDM_Checks!$K$6:$K$3733,MATCH(A220&amp;"|"&amp;Q$5,MCDM_Checks!$A$6:$A$3733,0))</f>
        <v>U</v>
      </c>
      <c r="R220" s="5" t="str">
        <f>INDEX(MCDM_Checks!$K$6:$K$3733,MATCH(A220&amp;"|"&amp;R$5,MCDM_Checks!$A$6:$A$3733,0))</f>
        <v>U</v>
      </c>
      <c r="S220" s="5" t="str">
        <f>INDEX(MCDM_Checks!$K$6:$K$3733,MATCH(A220&amp;"|"&amp;S$5,MCDM_Checks!$A$6:$A$3733,0))</f>
        <v>U</v>
      </c>
      <c r="T220" s="5" t="str">
        <f>INDEX(MCDM_Checks!$K$6:$K$3733,MATCH(A220&amp;"|"&amp;T$5,MCDM_Checks!$A$6:$A$3733,0))</f>
        <v>Y</v>
      </c>
      <c r="U220" s="5" t="str">
        <f>INDEX(MCDM_Checks!$K$6:$K$3733,MATCH(A220&amp;"|"&amp;U$5,MCDM_Checks!$A$6:$A$3733,0))</f>
        <v>Y</v>
      </c>
      <c r="V220" s="5" t="str">
        <f>INDEX(MCDM_Checks!$K$6:$K$3733,MATCH(A220&amp;"|"&amp;V$5,MCDM_Checks!$A$6:$A$3733,0))</f>
        <v>Y</v>
      </c>
      <c r="W220" s="5" t="str">
        <f>INDEX(MCDM_Checks!$K$6:$K$3733,MATCH(A220&amp;"|"&amp;W$5,MCDM_Checks!$A$6:$A$3733,0))</f>
        <v>U</v>
      </c>
      <c r="X220" s="5" t="str">
        <f>INDEX(MCDM_Checks!$K$6:$K$3733,MATCH(A220&amp;"|"&amp;X$5,MCDM_Checks!$A$6:$A$3733,0))</f>
        <v>Y</v>
      </c>
      <c r="Y220" s="5" t="str">
        <f>INDEX(MCDM_Checks!$K$6:$K$3733,MATCH(A220&amp;"|"&amp;Y$5,MCDM_Checks!$A$6:$A$3733,0))</f>
        <v>Y</v>
      </c>
      <c r="Z220" s="5" t="str">
        <f>INDEX(MCDM_Checks!$K$6:$K$3733,MATCH(A220&amp;"|"&amp;Z$5,MCDM_Checks!$A$6:$A$3733,0))</f>
        <v>Y</v>
      </c>
      <c r="AA220" s="5" t="str">
        <f>INDEX(MCDM_Checks!$K$6:$K$3733,MATCH(A220&amp;"|"&amp;AA$5,MCDM_Checks!$A$6:$A$3733,0))</f>
        <v>U</v>
      </c>
      <c r="AB220" s="5" t="str">
        <f>INDEX(MCDM_Checks!$K$6:$K$3733,MATCH(A220&amp;"|"&amp;AB$5,MCDM_Checks!$A$6:$A$3733,0))</f>
        <v>U</v>
      </c>
      <c r="AC220" s="12">
        <f>IF(IF($D220="Unlabeled-13",MCDM_Settings!$F$6,MCDM_Settings!$D$6)=0,"n.a.",5*COUNTIF(M220:O220,"Y")/IF($D220="Unlabeled-13",MCDM_Settings!$F$6,MCDM_Settings!$D$6))</f>
        <v>5</v>
      </c>
      <c r="AD220" s="12">
        <f>IF(IF($D220="Unlabeled-13",MCDM_Settings!$F$6,MCDM_Settings!$D$6)=0,"n.a.",5*(COUNTIF(M220:O220,"Y")+COUNTIF(M220:O220,"U")+COUNTIF(M220:O220,"X"))/IF($D220="Unlabeled-13",MCDM_Settings!$F$6,MCDM_Settings!$D$6))</f>
        <v>5</v>
      </c>
      <c r="AE220" s="13">
        <f>IF(IF($D220="Unlabeled-13",MCDM_Settings!$F$6,MCDM_Settings!$D$6)=0,"n.a.",(COUNTIF(M220:O220,"Y")+COUNTIF(M220:O220,"N"))/IF($D220="Unlabeled-13",MCDM_Settings!$F$6,MCDM_Settings!$D$6))</f>
        <v>1</v>
      </c>
      <c r="AF220" s="12">
        <f>IF(IF($D220="Unlabeled-13",MCDM_Settings!$F$7,MCDM_Settings!$D$7)=0,"n.a.",5*COUNTIF(P220:R220,"Y")/IF($D220="Unlabeled-13",MCDM_Settings!$F$7,MCDM_Settings!$D$7))</f>
        <v>0</v>
      </c>
      <c r="AG220" s="12">
        <f>IF(IF($D220="Unlabeled-13",MCDM_Settings!$F$7,MCDM_Settings!$D$7)=0,"n.a.",5*(COUNTIF(P220:R220,"Y")+COUNTIF(P220:R220,"U")+COUNTIF(P220:R220,"X"))/IF($D220="Unlabeled-13",MCDM_Settings!$F$7,MCDM_Settings!$D$7))</f>
        <v>5</v>
      </c>
      <c r="AH220" s="13">
        <f>IF(IF($D220="Unlabeled-13",MCDM_Settings!$F$7,MCDM_Settings!$D$7)=0,"n.a.",(COUNTIF(P220:R220,"Y")+COUNTIF(P220:R220,"N"))/IF($D220="Unlabeled-13",MCDM_Settings!$F$7,MCDM_Settings!$D$7))</f>
        <v>0</v>
      </c>
      <c r="AI220" s="12">
        <f>IF(IF($D220="Unlabeled-13",MCDM_Settings!$F$8,MCDM_Settings!$D$8)=0,"n.a.",5*COUNTIF(S220:U220,"Y")/IF($D220="Unlabeled-13",MCDM_Settings!$F$8,MCDM_Settings!$D$8))</f>
        <v>3.3333333333333335</v>
      </c>
      <c r="AJ220" s="12">
        <f>IF(IF($D220="Unlabeled-13",MCDM_Settings!$F$8,MCDM_Settings!$D$8)=0,"n.a.",5*(COUNTIF(S220:U220,"Y")+COUNTIF(S220:U220,"U")+COUNTIF(S220:U220,"X"))/IF($D220="Unlabeled-13",MCDM_Settings!$F$8,MCDM_Settings!$D$8))</f>
        <v>5</v>
      </c>
      <c r="AK220" s="13">
        <f>IF(IF($D220="Unlabeled-13",MCDM_Settings!$F$8,MCDM_Settings!$D$8)=0,"n.a.",(COUNTIF(S220:U220,"Y")+COUNTIF(S220:U220,"N"))/IF($D220="Unlabeled-13",MCDM_Settings!$F$8,MCDM_Settings!$D$8))</f>
        <v>0.66666666666666663</v>
      </c>
      <c r="AL220" s="12">
        <f>IF(IF($D220="Unlabeled-13",MCDM_Settings!$F$9,MCDM_Settings!$D$9)=0,"n.a.",5*COUNTIF(V220:W220,"Y")/IF($D220="Unlabeled-13",MCDM_Settings!$F$9,MCDM_Settings!$D$9))</f>
        <v>2.5</v>
      </c>
      <c r="AM220" s="12">
        <f>IF(IF($D220="Unlabeled-13",MCDM_Settings!$F$9,MCDM_Settings!$D$9)=0,"n.a.",5*(COUNTIF(V220:W220,"Y")+COUNTIF(V220:W220,"U")+COUNTIF(V220:W220,"X"))/IF($D220="Unlabeled-13",MCDM_Settings!$F$9,MCDM_Settings!$D$9))</f>
        <v>5</v>
      </c>
      <c r="AN220" s="13">
        <f>IF(IF($D220="Unlabeled-13",MCDM_Settings!$F$9,MCDM_Settings!$D$9)=0,"n.a.",(COUNTIF(V220:W220,"Y")+COUNTIF(V220:W220,"N"))/IF($D220="Unlabeled-13",MCDM_Settings!$F$9,MCDM_Settings!$D$9))</f>
        <v>0.5</v>
      </c>
      <c r="AO220" s="12">
        <f>IF(IF($D220="Unlabeled-13",MCDM_Settings!$F$10,MCDM_Settings!$D$10)=0,"n.a.",5*COUNTIF(X220:Y220,"Y")/IF($D220="Unlabeled-13",MCDM_Settings!$F$10,MCDM_Settings!$D$10))</f>
        <v>5</v>
      </c>
      <c r="AP220" s="12">
        <f>IF(IF($D220="Unlabeled-13",MCDM_Settings!$F$10,MCDM_Settings!$D$10)=0,"n.a.",5*(COUNTIF(X220:Y220,"Y")+COUNTIF(X220:Y220,"U")+COUNTIF(X220:Y220,"X"))/IF($D220="Unlabeled-13",MCDM_Settings!$F$10,MCDM_Settings!$D$10))</f>
        <v>5</v>
      </c>
      <c r="AQ220" s="13">
        <f>IF(IF($D220="Unlabeled-13",MCDM_Settings!$F$10,MCDM_Settings!$D$10)=0,"n.a.",(COUNTIF(X220:Y220,"Y")+COUNTIF(X220:Y220,"N"))/IF($D220="Unlabeled-13",MCDM_Settings!$F$10,MCDM_Settings!$D$10))</f>
        <v>1</v>
      </c>
      <c r="AR220" s="12">
        <f>IF(IF($D220="Unlabeled-13",MCDM_Settings!$F$11,MCDM_Settings!$D$11)=0,"n.a.",5*COUNTIF(Z220:AB220,"Y")/IF($D220="Unlabeled-13",MCDM_Settings!$F$11,MCDM_Settings!$D$11))</f>
        <v>1.6666666666666667</v>
      </c>
      <c r="AS220" s="12">
        <f>IF(IF($D220="Unlabeled-13",MCDM_Settings!$F$11,MCDM_Settings!$D$11)=0,"n.a.",5*(COUNTIF(Z220:AB220,"Y")+COUNTIF(Z220:AB220,"U")+COUNTIF(Z220:AB220,"X"))/IF($D220="Unlabeled-13",MCDM_Settings!$F$11,MCDM_Settings!$D$11))</f>
        <v>5</v>
      </c>
      <c r="AT220" s="13">
        <f>IF(IF($D220="Unlabeled-13",MCDM_Settings!$F$11,MCDM_Settings!$D$11)=0,"n.a.",(COUNTIF(Z220:AB220,"Y")+COUNTIF(Z220:AB220,"N"))/IF($D220="Unlabeled-13",MCDM_Settings!$F$11,MCDM_Settings!$D$11))</f>
        <v>0.33333333333333331</v>
      </c>
      <c r="AU220" s="5" t="str">
        <f>IF(AND(INDEX(Manual_Review!$G$6:$G$238,MATCH(A220,Manual_Review!$A$6:$A$238,0))&lt;&gt;"",ISNUMBER(INDEX(Manual_Review!$H$6:$H$238,MATCH(A220,Manual_Review!$A$6:$A$238,0))),INDEX(Manual_Review!$H$6:$H$238,MATCH(A220,Manual_Review!$A$6:$A$238,0))&gt;0,INDEX(Manual_Review!$I$6:$I$238,MATCH(A220,Manual_Review!$A$6:$A$238,0))="Confirmed",INDEX(Manual_Review!$AF$6:$AF$238,MATCH(A220,Manual_Review!$A$6:$A$238,0))&lt;&gt;""),IF(INDEX(Manual_Review!$AA$6:$AA$238,MATCH(A220,Manual_Review!$A$6:$A$238,0))="Pass","Pass",IF(INDEX(Manual_Review!$AA$6:$AA$238,MATCH(A220,Manual_Review!$A$6:$A$238,0))="Fail","Fail","Pending")),"Pending human identity confirmation")</f>
        <v>Pending human identity confirmation</v>
      </c>
      <c r="AV220" s="5" t="str">
        <f>IF(AND(AND(INDEX(Manual_Review!$G$6:$G$238,MATCH(A220,Manual_Review!$A$6:$A$238,0))&lt;&gt;"",ISNUMBER(INDEX(Manual_Review!$H$6:$H$238,MATCH(A220,Manual_Review!$A$6:$A$238,0))),INDEX(Manual_Review!$H$6:$H$238,MATCH(A220,Manual_Review!$A$6:$A$238,0))&gt;0,INDEX(Manual_Review!$I$6:$I$238,MATCH(A220,Manual_Review!$A$6:$A$238,0))="Confirmed",INDEX(Manual_Review!$AF$6:$AF$238,MATCH(A220,Manual_Review!$A$6:$A$238,0))&lt;&gt;""),INDEX(Manual_Review!$AG$6:$AG$238,MATCH(A220,Manual_Review!$A$6:$A$238,0))&lt;&gt;""),IF(INDEX(Manual_Review!$AB$6:$AB$238,MATCH(A220,Manual_Review!$A$6:$A$238,0))="Pass","Pass",IF(INDEX(Manual_Review!$AB$6:$AB$238,MATCH(A220,Manual_Review!$A$6:$A$238,0))="Fail","Fail","Pending")),"Not assessed: define intended task")</f>
        <v>Not assessed: define intended task</v>
      </c>
      <c r="AW220" s="5" t="str">
        <f>IF(AND(AND(INDEX(Manual_Review!$G$6:$G$238,MATCH(A220,Manual_Review!$A$6:$A$238,0))&lt;&gt;"",ISNUMBER(INDEX(Manual_Review!$H$6:$H$238,MATCH(A220,Manual_Review!$A$6:$A$238,0))),INDEX(Manual_Review!$H$6:$H$238,MATCH(A220,Manual_Review!$A$6:$A$238,0))&gt;0,INDEX(Manual_Review!$I$6:$I$238,MATCH(A220,Manual_Review!$A$6:$A$238,0))="Confirmed",INDEX(Manual_Review!$AF$6:$AF$238,MATCH(A220,Manual_Review!$A$6:$A$238,0))&lt;&gt;""),INDEX(Manual_Review!$AG$6:$AG$238,MATCH(A220,Manual_Review!$A$6:$A$238,0))&lt;&gt;""),IF(OR(INDEX(Manual_Review!$AC$6:$AC$238,MATCH(A220,Manual_Review!$A$6:$A$238,0))="Fail",INDEX(Manual_Review!$AD$6:$AD$238,MATCH(A220,Manual_Review!$A$6:$A$238,0))="Fail"),"Fail: rights or retrieval",IF(AND(INDEX(Manual_Review!$AC$6:$AC$238,MATCH(A220,Manual_Review!$A$6:$A$238,0))="Pass",INDEX(Manual_Review!$AD$6:$AD$238,MATCH(A220,Manual_Review!$A$6:$A$238,0))="Pass"),"Pass","Pending rights and retrieval")),"Pending rights and retrieval")</f>
        <v>Pending rights and retrieval</v>
      </c>
      <c r="AX220" s="5" t="str">
        <f>IF(INDEX(Manual_Review!$AG$6:$AG$238,MATCH(A220,Manual_Review!$A$6:$A$238,0))="","N/A: documentation inventory",IF(AND(INDEX(Manual_Review!$G$6:$G$238,MATCH(A220,Manual_Review!$A$6:$A$238,0))&lt;&gt;"",ISNUMBER(INDEX(Manual_Review!$H$6:$H$238,MATCH(A220,Manual_Review!$A$6:$A$238,0))),INDEX(Manual_Review!$H$6:$H$238,MATCH(A220,Manual_Review!$A$6:$A$238,0))&gt;0,INDEX(Manual_Review!$I$6:$I$238,MATCH(A220,Manual_Review!$A$6:$A$238,0))="Confirmed",INDEX(Manual_Review!$AF$6:$AF$238,MATCH(A220,Manual_Review!$A$6:$A$238,0))&lt;&gt;""),IF(INDEX(Manual_Review!$AE$6:$AE$238,MATCH(A220,Manual_Review!$A$6:$A$238,0))="Pass","Pass",IF(INDEX(Manual_Review!$AE$6:$AE$238,MATCH(A220,Manual_Review!$A$6:$A$238,0))="Fail","Fail: benchmark leakage",IF(INDEX(Manual_Review!$AE$6:$AE$238,MATCH(A220,Manual_Review!$A$6:$A$238,0))="N/A","N/A: nonbenchmark task","Pending task-specific leakage check"))),"Pending task-specific leakage check"))</f>
        <v>N/A: documentation inventory</v>
      </c>
      <c r="AY220" s="5" t="str">
        <f>IF(IF(D220="Unlabeled-13",AND(ABS(MCDM_Settings!$D$14-1)&lt;0.0000001,MIN(MCDM_Settings!$E$6:$E$11)&gt;=0,MCDM_Settings!$E$7=0),AND(ABS(MCDM_Settings!$B$14-1)&lt;0.0000001,MIN(MCDM_Settings!$C$6:$C$11)&gt;=0)),"Valid","Check weights")</f>
        <v>Valid</v>
      </c>
      <c r="AZ220" s="5" t="str">
        <f>IF(AND(COUNTIF(MCDM_Checks!$B$6:$B$3733,A220)=16,COUNTIF(Manual_Review!$A$6:$A$238,A220)=1),"16 keys present","Check key count")</f>
        <v>16 keys present</v>
      </c>
    </row>
    <row r="221" spans="1:52">
      <c r="A221" s="5" t="s">
        <v>2504</v>
      </c>
      <c r="B221" s="5" t="s">
        <v>2505</v>
      </c>
      <c r="C221" s="5"/>
      <c r="D221" s="5" t="s">
        <v>118</v>
      </c>
      <c r="E221" s="12">
        <f>IF(OR(AY221&lt;&gt;"Valid",AZ221&lt;&gt;"16 keys present"),"Review settings",20*(IF(ISNUMBER(AC221),AC221*IF($D221="Unlabeled-13",MCDM_Settings!$E$6,MCDM_Settings!$C$6),0)+IF(ISNUMBER(AF221),AF221*IF($D221="Unlabeled-13",MCDM_Settings!$E$7,MCDM_Settings!$C$7),0)+IF(ISNUMBER(AI221),AI221*IF($D221="Unlabeled-13",MCDM_Settings!$E$8,MCDM_Settings!$C$8),0)+IF(ISNUMBER(AL221),AL221*IF($D221="Unlabeled-13",MCDM_Settings!$E$9,MCDM_Settings!$C$9),0)+IF(ISNUMBER(AO221),AO221*IF($D221="Unlabeled-13",MCDM_Settings!$E$10,MCDM_Settings!$C$10),0)+IF(ISNUMBER(AR221),AR221*IF($D221="Unlabeled-13",MCDM_Settings!$E$11,MCDM_Settings!$C$11),0)))</f>
        <v>69.444444444444443</v>
      </c>
      <c r="F221" s="12">
        <f>IF(OR(AY221&lt;&gt;"Valid",AZ221&lt;&gt;"16 keys present"),"Review settings",20*(IF(ISNUMBER(AD221),AD221*IF($D221="Unlabeled-13",MCDM_Settings!$E$6,MCDM_Settings!$C$6),0)+IF(ISNUMBER(AG221),AG221*IF($D221="Unlabeled-13",MCDM_Settings!$E$7,MCDM_Settings!$C$7),0)+IF(ISNUMBER(AJ221),AJ221*IF($D221="Unlabeled-13",MCDM_Settings!$E$8,MCDM_Settings!$C$8),0)+IF(ISNUMBER(AM221),AM221*IF($D221="Unlabeled-13",MCDM_Settings!$E$9,MCDM_Settings!$C$9),0)+IF(ISNUMBER(AP221),AP221*IF($D221="Unlabeled-13",MCDM_Settings!$E$10,MCDM_Settings!$C$10),0)+IF(ISNUMBER(AS221),AS221*IF($D221="Unlabeled-13",MCDM_Settings!$E$11,MCDM_Settings!$C$11),0)))</f>
        <v>99.999999999999986</v>
      </c>
      <c r="G221" s="13">
        <f>IF(OR(AY221&lt;&gt;"Valid",AZ221&lt;&gt;"16 keys present"),"Review settings",1*(IF(ISNUMBER(AE221),AE221*IF($D221="Unlabeled-13",MCDM_Settings!$E$6,MCDM_Settings!$C$6),0)+IF(ISNUMBER(AH221),AH221*IF($D221="Unlabeled-13",MCDM_Settings!$E$7,MCDM_Settings!$C$7),0)+IF(ISNUMBER(AK221),AK221*IF($D221="Unlabeled-13",MCDM_Settings!$E$8,MCDM_Settings!$C$8),0)+IF(ISNUMBER(AN221),AN221*IF($D221="Unlabeled-13",MCDM_Settings!$E$9,MCDM_Settings!$C$9),0)+IF(ISNUMBER(AQ221),AQ221*IF($D221="Unlabeled-13",MCDM_Settings!$E$10,MCDM_Settings!$C$10),0)+IF(ISNUMBER(AT221),AT221*IF($D221="Unlabeled-13",MCDM_Settings!$E$11,MCDM_Settings!$C$11),0)))</f>
        <v>0.69444444444444442</v>
      </c>
      <c r="H221" s="5" t="str">
        <f>INDEX(Manual_Review!$AH$6:$AH$238,MATCH(A221,Manual_Review!$A$6:$A$238,0))</f>
        <v>Not started</v>
      </c>
      <c r="I221" s="5" t="s">
        <v>182</v>
      </c>
      <c r="J221" s="5" t="s">
        <v>2506</v>
      </c>
      <c r="K221" s="5" t="str">
        <f>HYPERLINK("https://www.man.eu/truckscenes","Dataset")</f>
        <v>Dataset</v>
      </c>
      <c r="L221" s="5" t="str">
        <f>HYPERLINK("#'Manual_Review'!A"&amp;(MATCH("DS-216",Manual_Review!$A$6:$A$238,0)+5),"Enter review")</f>
        <v>Enter review</v>
      </c>
      <c r="M221" s="5" t="str">
        <f>INDEX(MCDM_Checks!$K$6:$K$3733,MATCH(A221&amp;"|"&amp;M$5,MCDM_Checks!$A$6:$A$3733,0))</f>
        <v>Y</v>
      </c>
      <c r="N221" s="5" t="str">
        <f>INDEX(MCDM_Checks!$K$6:$K$3733,MATCH(A221&amp;"|"&amp;N$5,MCDM_Checks!$A$6:$A$3733,0))</f>
        <v>Y</v>
      </c>
      <c r="O221" s="5" t="str">
        <f>INDEX(MCDM_Checks!$K$6:$K$3733,MATCH(A221&amp;"|"&amp;O$5,MCDM_Checks!$A$6:$A$3733,0))</f>
        <v>Y</v>
      </c>
      <c r="P221" s="5" t="str">
        <f>INDEX(MCDM_Checks!$K$6:$K$3733,MATCH(A221&amp;"|"&amp;P$5,MCDM_Checks!$A$6:$A$3733,0))</f>
        <v>Y</v>
      </c>
      <c r="Q221" s="5" t="str">
        <f>INDEX(MCDM_Checks!$K$6:$K$3733,MATCH(A221&amp;"|"&amp;Q$5,MCDM_Checks!$A$6:$A$3733,0))</f>
        <v>U</v>
      </c>
      <c r="R221" s="5" t="str">
        <f>INDEX(MCDM_Checks!$K$6:$K$3733,MATCH(A221&amp;"|"&amp;R$5,MCDM_Checks!$A$6:$A$3733,0))</f>
        <v>U</v>
      </c>
      <c r="S221" s="5" t="str">
        <f>INDEX(MCDM_Checks!$K$6:$K$3733,MATCH(A221&amp;"|"&amp;S$5,MCDM_Checks!$A$6:$A$3733,0))</f>
        <v>U</v>
      </c>
      <c r="T221" s="5" t="str">
        <f>INDEX(MCDM_Checks!$K$6:$K$3733,MATCH(A221&amp;"|"&amp;T$5,MCDM_Checks!$A$6:$A$3733,0))</f>
        <v>Y</v>
      </c>
      <c r="U221" s="5" t="str">
        <f>INDEX(MCDM_Checks!$K$6:$K$3733,MATCH(A221&amp;"|"&amp;U$5,MCDM_Checks!$A$6:$A$3733,0))</f>
        <v>Y</v>
      </c>
      <c r="V221" s="5" t="str">
        <f>INDEX(MCDM_Checks!$K$6:$K$3733,MATCH(A221&amp;"|"&amp;V$5,MCDM_Checks!$A$6:$A$3733,0))</f>
        <v>Y</v>
      </c>
      <c r="W221" s="5" t="str">
        <f>INDEX(MCDM_Checks!$K$6:$K$3733,MATCH(A221&amp;"|"&amp;W$5,MCDM_Checks!$A$6:$A$3733,0))</f>
        <v>U</v>
      </c>
      <c r="X221" s="5" t="str">
        <f>INDEX(MCDM_Checks!$K$6:$K$3733,MATCH(A221&amp;"|"&amp;X$5,MCDM_Checks!$A$6:$A$3733,0))</f>
        <v>Y</v>
      </c>
      <c r="Y221" s="5" t="str">
        <f>INDEX(MCDM_Checks!$K$6:$K$3733,MATCH(A221&amp;"|"&amp;Y$5,MCDM_Checks!$A$6:$A$3733,0))</f>
        <v>Y</v>
      </c>
      <c r="Z221" s="5" t="str">
        <f>INDEX(MCDM_Checks!$K$6:$K$3733,MATCH(A221&amp;"|"&amp;Z$5,MCDM_Checks!$A$6:$A$3733,0))</f>
        <v>Y</v>
      </c>
      <c r="AA221" s="5" t="str">
        <f>INDEX(MCDM_Checks!$K$6:$K$3733,MATCH(A221&amp;"|"&amp;AA$5,MCDM_Checks!$A$6:$A$3733,0))</f>
        <v>Y</v>
      </c>
      <c r="AB221" s="5" t="str">
        <f>INDEX(MCDM_Checks!$K$6:$K$3733,MATCH(A221&amp;"|"&amp;AB$5,MCDM_Checks!$A$6:$A$3733,0))</f>
        <v>U</v>
      </c>
      <c r="AC221" s="12">
        <f>IF(IF($D221="Unlabeled-13",MCDM_Settings!$F$6,MCDM_Settings!$D$6)=0,"n.a.",5*COUNTIF(M221:O221,"Y")/IF($D221="Unlabeled-13",MCDM_Settings!$F$6,MCDM_Settings!$D$6))</f>
        <v>5</v>
      </c>
      <c r="AD221" s="12">
        <f>IF(IF($D221="Unlabeled-13",MCDM_Settings!$F$6,MCDM_Settings!$D$6)=0,"n.a.",5*(COUNTIF(M221:O221,"Y")+COUNTIF(M221:O221,"U")+COUNTIF(M221:O221,"X"))/IF($D221="Unlabeled-13",MCDM_Settings!$F$6,MCDM_Settings!$D$6))</f>
        <v>5</v>
      </c>
      <c r="AE221" s="13">
        <f>IF(IF($D221="Unlabeled-13",MCDM_Settings!$F$6,MCDM_Settings!$D$6)=0,"n.a.",(COUNTIF(M221:O221,"Y")+COUNTIF(M221:O221,"N"))/IF($D221="Unlabeled-13",MCDM_Settings!$F$6,MCDM_Settings!$D$6))</f>
        <v>1</v>
      </c>
      <c r="AF221" s="12">
        <f>IF(IF($D221="Unlabeled-13",MCDM_Settings!$F$7,MCDM_Settings!$D$7)=0,"n.a.",5*COUNTIF(P221:R221,"Y")/IF($D221="Unlabeled-13",MCDM_Settings!$F$7,MCDM_Settings!$D$7))</f>
        <v>1.6666666666666667</v>
      </c>
      <c r="AG221" s="12">
        <f>IF(IF($D221="Unlabeled-13",MCDM_Settings!$F$7,MCDM_Settings!$D$7)=0,"n.a.",5*(COUNTIF(P221:R221,"Y")+COUNTIF(P221:R221,"U")+COUNTIF(P221:R221,"X"))/IF($D221="Unlabeled-13",MCDM_Settings!$F$7,MCDM_Settings!$D$7))</f>
        <v>5</v>
      </c>
      <c r="AH221" s="13">
        <f>IF(IF($D221="Unlabeled-13",MCDM_Settings!$F$7,MCDM_Settings!$D$7)=0,"n.a.",(COUNTIF(P221:R221,"Y")+COUNTIF(P221:R221,"N"))/IF($D221="Unlabeled-13",MCDM_Settings!$F$7,MCDM_Settings!$D$7))</f>
        <v>0.33333333333333331</v>
      </c>
      <c r="AI221" s="12">
        <f>IF(IF($D221="Unlabeled-13",MCDM_Settings!$F$8,MCDM_Settings!$D$8)=0,"n.a.",5*COUNTIF(S221:U221,"Y")/IF($D221="Unlabeled-13",MCDM_Settings!$F$8,MCDM_Settings!$D$8))</f>
        <v>3.3333333333333335</v>
      </c>
      <c r="AJ221" s="12">
        <f>IF(IF($D221="Unlabeled-13",MCDM_Settings!$F$8,MCDM_Settings!$D$8)=0,"n.a.",5*(COUNTIF(S221:U221,"Y")+COUNTIF(S221:U221,"U")+COUNTIF(S221:U221,"X"))/IF($D221="Unlabeled-13",MCDM_Settings!$F$8,MCDM_Settings!$D$8))</f>
        <v>5</v>
      </c>
      <c r="AK221" s="13">
        <f>IF(IF($D221="Unlabeled-13",MCDM_Settings!$F$8,MCDM_Settings!$D$8)=0,"n.a.",(COUNTIF(S221:U221,"Y")+COUNTIF(S221:U221,"N"))/IF($D221="Unlabeled-13",MCDM_Settings!$F$8,MCDM_Settings!$D$8))</f>
        <v>0.66666666666666663</v>
      </c>
      <c r="AL221" s="12">
        <f>IF(IF($D221="Unlabeled-13",MCDM_Settings!$F$9,MCDM_Settings!$D$9)=0,"n.a.",5*COUNTIF(V221:W221,"Y")/IF($D221="Unlabeled-13",MCDM_Settings!$F$9,MCDM_Settings!$D$9))</f>
        <v>2.5</v>
      </c>
      <c r="AM221" s="12">
        <f>IF(IF($D221="Unlabeled-13",MCDM_Settings!$F$9,MCDM_Settings!$D$9)=0,"n.a.",5*(COUNTIF(V221:W221,"Y")+COUNTIF(V221:W221,"U")+COUNTIF(V221:W221,"X"))/IF($D221="Unlabeled-13",MCDM_Settings!$F$9,MCDM_Settings!$D$9))</f>
        <v>5</v>
      </c>
      <c r="AN221" s="13">
        <f>IF(IF($D221="Unlabeled-13",MCDM_Settings!$F$9,MCDM_Settings!$D$9)=0,"n.a.",(COUNTIF(V221:W221,"Y")+COUNTIF(V221:W221,"N"))/IF($D221="Unlabeled-13",MCDM_Settings!$F$9,MCDM_Settings!$D$9))</f>
        <v>0.5</v>
      </c>
      <c r="AO221" s="12">
        <f>IF(IF($D221="Unlabeled-13",MCDM_Settings!$F$10,MCDM_Settings!$D$10)=0,"n.a.",5*COUNTIF(X221:Y221,"Y")/IF($D221="Unlabeled-13",MCDM_Settings!$F$10,MCDM_Settings!$D$10))</f>
        <v>5</v>
      </c>
      <c r="AP221" s="12">
        <f>IF(IF($D221="Unlabeled-13",MCDM_Settings!$F$10,MCDM_Settings!$D$10)=0,"n.a.",5*(COUNTIF(X221:Y221,"Y")+COUNTIF(X221:Y221,"U")+COUNTIF(X221:Y221,"X"))/IF($D221="Unlabeled-13",MCDM_Settings!$F$10,MCDM_Settings!$D$10))</f>
        <v>5</v>
      </c>
      <c r="AQ221" s="13">
        <f>IF(IF($D221="Unlabeled-13",MCDM_Settings!$F$10,MCDM_Settings!$D$10)=0,"n.a.",(COUNTIF(X221:Y221,"Y")+COUNTIF(X221:Y221,"N"))/IF($D221="Unlabeled-13",MCDM_Settings!$F$10,MCDM_Settings!$D$10))</f>
        <v>1</v>
      </c>
      <c r="AR221" s="12">
        <f>IF(IF($D221="Unlabeled-13",MCDM_Settings!$F$11,MCDM_Settings!$D$11)=0,"n.a.",5*COUNTIF(Z221:AB221,"Y")/IF($D221="Unlabeled-13",MCDM_Settings!$F$11,MCDM_Settings!$D$11))</f>
        <v>3.3333333333333335</v>
      </c>
      <c r="AS221" s="12">
        <f>IF(IF($D221="Unlabeled-13",MCDM_Settings!$F$11,MCDM_Settings!$D$11)=0,"n.a.",5*(COUNTIF(Z221:AB221,"Y")+COUNTIF(Z221:AB221,"U")+COUNTIF(Z221:AB221,"X"))/IF($D221="Unlabeled-13",MCDM_Settings!$F$11,MCDM_Settings!$D$11))</f>
        <v>5</v>
      </c>
      <c r="AT221" s="13">
        <f>IF(IF($D221="Unlabeled-13",MCDM_Settings!$F$11,MCDM_Settings!$D$11)=0,"n.a.",(COUNTIF(Z221:AB221,"Y")+COUNTIF(Z221:AB221,"N"))/IF($D221="Unlabeled-13",MCDM_Settings!$F$11,MCDM_Settings!$D$11))</f>
        <v>0.66666666666666663</v>
      </c>
      <c r="AU221" s="5" t="str">
        <f>IF(AND(INDEX(Manual_Review!$G$6:$G$238,MATCH(A221,Manual_Review!$A$6:$A$238,0))&lt;&gt;"",ISNUMBER(INDEX(Manual_Review!$H$6:$H$238,MATCH(A221,Manual_Review!$A$6:$A$238,0))),INDEX(Manual_Review!$H$6:$H$238,MATCH(A221,Manual_Review!$A$6:$A$238,0))&gt;0,INDEX(Manual_Review!$I$6:$I$238,MATCH(A221,Manual_Review!$A$6:$A$238,0))="Confirmed",INDEX(Manual_Review!$AF$6:$AF$238,MATCH(A221,Manual_Review!$A$6:$A$238,0))&lt;&gt;""),IF(INDEX(Manual_Review!$AA$6:$AA$238,MATCH(A221,Manual_Review!$A$6:$A$238,0))="Pass","Pass",IF(INDEX(Manual_Review!$AA$6:$AA$238,MATCH(A221,Manual_Review!$A$6:$A$238,0))="Fail","Fail","Pending")),"Pending human identity confirmation")</f>
        <v>Pending human identity confirmation</v>
      </c>
      <c r="AV221" s="5" t="str">
        <f>IF(AND(AND(INDEX(Manual_Review!$G$6:$G$238,MATCH(A221,Manual_Review!$A$6:$A$238,0))&lt;&gt;"",ISNUMBER(INDEX(Manual_Review!$H$6:$H$238,MATCH(A221,Manual_Review!$A$6:$A$238,0))),INDEX(Manual_Review!$H$6:$H$238,MATCH(A221,Manual_Review!$A$6:$A$238,0))&gt;0,INDEX(Manual_Review!$I$6:$I$238,MATCH(A221,Manual_Review!$A$6:$A$238,0))="Confirmed",INDEX(Manual_Review!$AF$6:$AF$238,MATCH(A221,Manual_Review!$A$6:$A$238,0))&lt;&gt;""),INDEX(Manual_Review!$AG$6:$AG$238,MATCH(A221,Manual_Review!$A$6:$A$238,0))&lt;&gt;""),IF(INDEX(Manual_Review!$AB$6:$AB$238,MATCH(A221,Manual_Review!$A$6:$A$238,0))="Pass","Pass",IF(INDEX(Manual_Review!$AB$6:$AB$238,MATCH(A221,Manual_Review!$A$6:$A$238,0))="Fail","Fail","Pending")),"Not assessed: define intended task")</f>
        <v>Not assessed: define intended task</v>
      </c>
      <c r="AW221" s="5" t="str">
        <f>IF(AND(AND(INDEX(Manual_Review!$G$6:$G$238,MATCH(A221,Manual_Review!$A$6:$A$238,0))&lt;&gt;"",ISNUMBER(INDEX(Manual_Review!$H$6:$H$238,MATCH(A221,Manual_Review!$A$6:$A$238,0))),INDEX(Manual_Review!$H$6:$H$238,MATCH(A221,Manual_Review!$A$6:$A$238,0))&gt;0,INDEX(Manual_Review!$I$6:$I$238,MATCH(A221,Manual_Review!$A$6:$A$238,0))="Confirmed",INDEX(Manual_Review!$AF$6:$AF$238,MATCH(A221,Manual_Review!$A$6:$A$238,0))&lt;&gt;""),INDEX(Manual_Review!$AG$6:$AG$238,MATCH(A221,Manual_Review!$A$6:$A$238,0))&lt;&gt;""),IF(OR(INDEX(Manual_Review!$AC$6:$AC$238,MATCH(A221,Manual_Review!$A$6:$A$238,0))="Fail",INDEX(Manual_Review!$AD$6:$AD$238,MATCH(A221,Manual_Review!$A$6:$A$238,0))="Fail"),"Fail: rights or retrieval",IF(AND(INDEX(Manual_Review!$AC$6:$AC$238,MATCH(A221,Manual_Review!$A$6:$A$238,0))="Pass",INDEX(Manual_Review!$AD$6:$AD$238,MATCH(A221,Manual_Review!$A$6:$A$238,0))="Pass"),"Pass","Pending rights and retrieval")),"Pending rights and retrieval")</f>
        <v>Pending rights and retrieval</v>
      </c>
      <c r="AX221" s="5" t="str">
        <f>IF(INDEX(Manual_Review!$AG$6:$AG$238,MATCH(A221,Manual_Review!$A$6:$A$238,0))="","N/A: documentation inventory",IF(AND(INDEX(Manual_Review!$G$6:$G$238,MATCH(A221,Manual_Review!$A$6:$A$238,0))&lt;&gt;"",ISNUMBER(INDEX(Manual_Review!$H$6:$H$238,MATCH(A221,Manual_Review!$A$6:$A$238,0))),INDEX(Manual_Review!$H$6:$H$238,MATCH(A221,Manual_Review!$A$6:$A$238,0))&gt;0,INDEX(Manual_Review!$I$6:$I$238,MATCH(A221,Manual_Review!$A$6:$A$238,0))="Confirmed",INDEX(Manual_Review!$AF$6:$AF$238,MATCH(A221,Manual_Review!$A$6:$A$238,0))&lt;&gt;""),IF(INDEX(Manual_Review!$AE$6:$AE$238,MATCH(A221,Manual_Review!$A$6:$A$238,0))="Pass","Pass",IF(INDEX(Manual_Review!$AE$6:$AE$238,MATCH(A221,Manual_Review!$A$6:$A$238,0))="Fail","Fail: benchmark leakage",IF(INDEX(Manual_Review!$AE$6:$AE$238,MATCH(A221,Manual_Review!$A$6:$A$238,0))="N/A","N/A: nonbenchmark task","Pending task-specific leakage check"))),"Pending task-specific leakage check"))</f>
        <v>N/A: documentation inventory</v>
      </c>
      <c r="AY221" s="5" t="str">
        <f>IF(IF(D221="Unlabeled-13",AND(ABS(MCDM_Settings!$D$14-1)&lt;0.0000001,MIN(MCDM_Settings!$E$6:$E$11)&gt;=0,MCDM_Settings!$E$7=0),AND(ABS(MCDM_Settings!$B$14-1)&lt;0.0000001,MIN(MCDM_Settings!$C$6:$C$11)&gt;=0)),"Valid","Check weights")</f>
        <v>Valid</v>
      </c>
      <c r="AZ221" s="5" t="str">
        <f>IF(AND(COUNTIF(MCDM_Checks!$B$6:$B$3733,A221)=16,COUNTIF(Manual_Review!$A$6:$A$238,A221)=1),"16 keys present","Check key count")</f>
        <v>16 keys present</v>
      </c>
    </row>
    <row r="222" spans="1:52">
      <c r="A222" s="5" t="s">
        <v>2517</v>
      </c>
      <c r="B222" s="5" t="s">
        <v>2518</v>
      </c>
      <c r="C222" s="5"/>
      <c r="D222" s="5" t="s">
        <v>1336</v>
      </c>
      <c r="E222" s="12">
        <f>IF(OR(AY222&lt;&gt;"Valid",AZ222&lt;&gt;"16 keys present"),"Review settings",20*(IF(ISNUMBER(AC222),AC222*IF($D222="Unlabeled-13",MCDM_Settings!$E$6,MCDM_Settings!$C$6),0)+IF(ISNUMBER(AF222),AF222*IF($D222="Unlabeled-13",MCDM_Settings!$E$7,MCDM_Settings!$C$7),0)+IF(ISNUMBER(AI222),AI222*IF($D222="Unlabeled-13",MCDM_Settings!$E$8,MCDM_Settings!$C$8),0)+IF(ISNUMBER(AL222),AL222*IF($D222="Unlabeled-13",MCDM_Settings!$E$9,MCDM_Settings!$C$9),0)+IF(ISNUMBER(AO222),AO222*IF($D222="Unlabeled-13",MCDM_Settings!$E$10,MCDM_Settings!$C$10),0)+IF(ISNUMBER(AR222),AR222*IF($D222="Unlabeled-13",MCDM_Settings!$E$11,MCDM_Settings!$C$11),0)))</f>
        <v>50.000000000000007</v>
      </c>
      <c r="F222" s="12">
        <f>IF(OR(AY222&lt;&gt;"Valid",AZ222&lt;&gt;"16 keys present"),"Review settings",20*(IF(ISNUMBER(AD222),AD222*IF($D222="Unlabeled-13",MCDM_Settings!$E$6,MCDM_Settings!$C$6),0)+IF(ISNUMBER(AG222),AG222*IF($D222="Unlabeled-13",MCDM_Settings!$E$7,MCDM_Settings!$C$7),0)+IF(ISNUMBER(AJ222),AJ222*IF($D222="Unlabeled-13",MCDM_Settings!$E$8,MCDM_Settings!$C$8),0)+IF(ISNUMBER(AM222),AM222*IF($D222="Unlabeled-13",MCDM_Settings!$E$9,MCDM_Settings!$C$9),0)+IF(ISNUMBER(AP222),AP222*IF($D222="Unlabeled-13",MCDM_Settings!$E$10,MCDM_Settings!$C$10),0)+IF(ISNUMBER(AS222),AS222*IF($D222="Unlabeled-13",MCDM_Settings!$E$11,MCDM_Settings!$C$11),0)))</f>
        <v>100</v>
      </c>
      <c r="G222" s="13">
        <f>IF(OR(AY222&lt;&gt;"Valid",AZ222&lt;&gt;"16 keys present"),"Review settings",1*(IF(ISNUMBER(AE222),AE222*IF($D222="Unlabeled-13",MCDM_Settings!$E$6,MCDM_Settings!$C$6),0)+IF(ISNUMBER(AH222),AH222*IF($D222="Unlabeled-13",MCDM_Settings!$E$7,MCDM_Settings!$C$7),0)+IF(ISNUMBER(AK222),AK222*IF($D222="Unlabeled-13",MCDM_Settings!$E$8,MCDM_Settings!$C$8),0)+IF(ISNUMBER(AN222),AN222*IF($D222="Unlabeled-13",MCDM_Settings!$E$9,MCDM_Settings!$C$9),0)+IF(ISNUMBER(AQ222),AQ222*IF($D222="Unlabeled-13",MCDM_Settings!$E$10,MCDM_Settings!$C$10),0)+IF(ISNUMBER(AT222),AT222*IF($D222="Unlabeled-13",MCDM_Settings!$E$11,MCDM_Settings!$C$11),0)))</f>
        <v>0.5</v>
      </c>
      <c r="H222" s="5" t="str">
        <f>INDEX(Manual_Review!$AH$6:$AH$238,MATCH(A222,Manual_Review!$A$6:$A$238,0))</f>
        <v>Not started</v>
      </c>
      <c r="I222" s="5" t="s">
        <v>182</v>
      </c>
      <c r="J222" s="5" t="s">
        <v>2519</v>
      </c>
      <c r="K222" s="5" t="str">
        <f>HYPERLINK("https://huggingface.co/datasets/natix-network-org/natix-multi-camera-driving-dataset","Dataset")</f>
        <v>Dataset</v>
      </c>
      <c r="L222" s="5" t="str">
        <f>HYPERLINK("#'Manual_Review'!A"&amp;(MATCH("DS-217",Manual_Review!$A$6:$A$238,0)+5),"Enter review")</f>
        <v>Enter review</v>
      </c>
      <c r="M222" s="5" t="str">
        <f>INDEX(MCDM_Checks!$K$6:$K$3733,MATCH(A222&amp;"|"&amp;M$5,MCDM_Checks!$A$6:$A$3733,0))</f>
        <v>Y</v>
      </c>
      <c r="N222" s="5" t="str">
        <f>INDEX(MCDM_Checks!$K$6:$K$3733,MATCH(A222&amp;"|"&amp;N$5,MCDM_Checks!$A$6:$A$3733,0))</f>
        <v>Y</v>
      </c>
      <c r="O222" s="5" t="str">
        <f>INDEX(MCDM_Checks!$K$6:$K$3733,MATCH(A222&amp;"|"&amp;O$5,MCDM_Checks!$A$6:$A$3733,0))</f>
        <v>Y</v>
      </c>
      <c r="P222" s="5" t="str">
        <f>INDEX(MCDM_Checks!$K$6:$K$3733,MATCH(A222&amp;"|"&amp;P$5,MCDM_Checks!$A$6:$A$3733,0))</f>
        <v>N/A</v>
      </c>
      <c r="Q222" s="5" t="str">
        <f>INDEX(MCDM_Checks!$K$6:$K$3733,MATCH(A222&amp;"|"&amp;Q$5,MCDM_Checks!$A$6:$A$3733,0))</f>
        <v>N/A</v>
      </c>
      <c r="R222" s="5" t="str">
        <f>INDEX(MCDM_Checks!$K$6:$K$3733,MATCH(A222&amp;"|"&amp;R$5,MCDM_Checks!$A$6:$A$3733,0))</f>
        <v>N/A</v>
      </c>
      <c r="S222" s="5" t="str">
        <f>INDEX(MCDM_Checks!$K$6:$K$3733,MATCH(A222&amp;"|"&amp;S$5,MCDM_Checks!$A$6:$A$3733,0))</f>
        <v>U</v>
      </c>
      <c r="T222" s="5" t="str">
        <f>INDEX(MCDM_Checks!$K$6:$K$3733,MATCH(A222&amp;"|"&amp;T$5,MCDM_Checks!$A$6:$A$3733,0))</f>
        <v>Y</v>
      </c>
      <c r="U222" s="5" t="str">
        <f>INDEX(MCDM_Checks!$K$6:$K$3733,MATCH(A222&amp;"|"&amp;U$5,MCDM_Checks!$A$6:$A$3733,0))</f>
        <v>Y</v>
      </c>
      <c r="V222" s="5" t="str">
        <f>INDEX(MCDM_Checks!$K$6:$K$3733,MATCH(A222&amp;"|"&amp;V$5,MCDM_Checks!$A$6:$A$3733,0))</f>
        <v>Y</v>
      </c>
      <c r="W222" s="5" t="str">
        <f>INDEX(MCDM_Checks!$K$6:$K$3733,MATCH(A222&amp;"|"&amp;W$5,MCDM_Checks!$A$6:$A$3733,0))</f>
        <v>U</v>
      </c>
      <c r="X222" s="5" t="str">
        <f>INDEX(MCDM_Checks!$K$6:$K$3733,MATCH(A222&amp;"|"&amp;X$5,MCDM_Checks!$A$6:$A$3733,0))</f>
        <v>U</v>
      </c>
      <c r="Y222" s="5" t="str">
        <f>INDEX(MCDM_Checks!$K$6:$K$3733,MATCH(A222&amp;"|"&amp;Y$5,MCDM_Checks!$A$6:$A$3733,0))</f>
        <v>U</v>
      </c>
      <c r="Z222" s="5" t="str">
        <f>INDEX(MCDM_Checks!$K$6:$K$3733,MATCH(A222&amp;"|"&amp;Z$5,MCDM_Checks!$A$6:$A$3733,0))</f>
        <v>Y</v>
      </c>
      <c r="AA222" s="5" t="str">
        <f>INDEX(MCDM_Checks!$K$6:$K$3733,MATCH(A222&amp;"|"&amp;AA$5,MCDM_Checks!$A$6:$A$3733,0))</f>
        <v>U</v>
      </c>
      <c r="AB222" s="5" t="str">
        <f>INDEX(MCDM_Checks!$K$6:$K$3733,MATCH(A222&amp;"|"&amp;AB$5,MCDM_Checks!$A$6:$A$3733,0))</f>
        <v>U</v>
      </c>
      <c r="AC222" s="12">
        <f>IF(IF($D222="Unlabeled-13",MCDM_Settings!$F$6,MCDM_Settings!$D$6)=0,"n.a.",5*COUNTIF(M222:O222,"Y")/IF($D222="Unlabeled-13",MCDM_Settings!$F$6,MCDM_Settings!$D$6))</f>
        <v>5</v>
      </c>
      <c r="AD222" s="12">
        <f>IF(IF($D222="Unlabeled-13",MCDM_Settings!$F$6,MCDM_Settings!$D$6)=0,"n.a.",5*(COUNTIF(M222:O222,"Y")+COUNTIF(M222:O222,"U")+COUNTIF(M222:O222,"X"))/IF($D222="Unlabeled-13",MCDM_Settings!$F$6,MCDM_Settings!$D$6))</f>
        <v>5</v>
      </c>
      <c r="AE222" s="13">
        <f>IF(IF($D222="Unlabeled-13",MCDM_Settings!$F$6,MCDM_Settings!$D$6)=0,"n.a.",(COUNTIF(M222:O222,"Y")+COUNTIF(M222:O222,"N"))/IF($D222="Unlabeled-13",MCDM_Settings!$F$6,MCDM_Settings!$D$6))</f>
        <v>1</v>
      </c>
      <c r="AF222" s="12" t="str">
        <f>IF(IF($D222="Unlabeled-13",MCDM_Settings!$F$7,MCDM_Settings!$D$7)=0,"n.a.",5*COUNTIF(P222:R222,"Y")/IF($D222="Unlabeled-13",MCDM_Settings!$F$7,MCDM_Settings!$D$7))</f>
        <v>n.a.</v>
      </c>
      <c r="AG222" s="12" t="str">
        <f>IF(IF($D222="Unlabeled-13",MCDM_Settings!$F$7,MCDM_Settings!$D$7)=0,"n.a.",5*(COUNTIF(P222:R222,"Y")+COUNTIF(P222:R222,"U")+COUNTIF(P222:R222,"X"))/IF($D222="Unlabeled-13",MCDM_Settings!$F$7,MCDM_Settings!$D$7))</f>
        <v>n.a.</v>
      </c>
      <c r="AH222" s="13" t="str">
        <f>IF(IF($D222="Unlabeled-13",MCDM_Settings!$F$7,MCDM_Settings!$D$7)=0,"n.a.",(COUNTIF(P222:R222,"Y")+COUNTIF(P222:R222,"N"))/IF($D222="Unlabeled-13",MCDM_Settings!$F$7,MCDM_Settings!$D$7))</f>
        <v>n.a.</v>
      </c>
      <c r="AI222" s="12">
        <f>IF(IF($D222="Unlabeled-13",MCDM_Settings!$F$8,MCDM_Settings!$D$8)=0,"n.a.",5*COUNTIF(S222:U222,"Y")/IF($D222="Unlabeled-13",MCDM_Settings!$F$8,MCDM_Settings!$D$8))</f>
        <v>3.3333333333333335</v>
      </c>
      <c r="AJ222" s="12">
        <f>IF(IF($D222="Unlabeled-13",MCDM_Settings!$F$8,MCDM_Settings!$D$8)=0,"n.a.",5*(COUNTIF(S222:U222,"Y")+COUNTIF(S222:U222,"U")+COUNTIF(S222:U222,"X"))/IF($D222="Unlabeled-13",MCDM_Settings!$F$8,MCDM_Settings!$D$8))</f>
        <v>5</v>
      </c>
      <c r="AK222" s="13">
        <f>IF(IF($D222="Unlabeled-13",MCDM_Settings!$F$8,MCDM_Settings!$D$8)=0,"n.a.",(COUNTIF(S222:U222,"Y")+COUNTIF(S222:U222,"N"))/IF($D222="Unlabeled-13",MCDM_Settings!$F$8,MCDM_Settings!$D$8))</f>
        <v>0.66666666666666663</v>
      </c>
      <c r="AL222" s="12">
        <f>IF(IF($D222="Unlabeled-13",MCDM_Settings!$F$9,MCDM_Settings!$D$9)=0,"n.a.",5*COUNTIF(V222:W222,"Y")/IF($D222="Unlabeled-13",MCDM_Settings!$F$9,MCDM_Settings!$D$9))</f>
        <v>2.5</v>
      </c>
      <c r="AM222" s="12">
        <f>IF(IF($D222="Unlabeled-13",MCDM_Settings!$F$9,MCDM_Settings!$D$9)=0,"n.a.",5*(COUNTIF(V222:W222,"Y")+COUNTIF(V222:W222,"U")+COUNTIF(V222:W222,"X"))/IF($D222="Unlabeled-13",MCDM_Settings!$F$9,MCDM_Settings!$D$9))</f>
        <v>5</v>
      </c>
      <c r="AN222" s="13">
        <f>IF(IF($D222="Unlabeled-13",MCDM_Settings!$F$9,MCDM_Settings!$D$9)=0,"n.a.",(COUNTIF(V222:W222,"Y")+COUNTIF(V222:W222,"N"))/IF($D222="Unlabeled-13",MCDM_Settings!$F$9,MCDM_Settings!$D$9))</f>
        <v>0.5</v>
      </c>
      <c r="AO222" s="12">
        <f>IF(IF($D222="Unlabeled-13",MCDM_Settings!$F$10,MCDM_Settings!$D$10)=0,"n.a.",5*COUNTIF(X222:Y222,"Y")/IF($D222="Unlabeled-13",MCDM_Settings!$F$10,MCDM_Settings!$D$10))</f>
        <v>0</v>
      </c>
      <c r="AP222" s="12">
        <f>IF(IF($D222="Unlabeled-13",MCDM_Settings!$F$10,MCDM_Settings!$D$10)=0,"n.a.",5*(COUNTIF(X222:Y222,"Y")+COUNTIF(X222:Y222,"U")+COUNTIF(X222:Y222,"X"))/IF($D222="Unlabeled-13",MCDM_Settings!$F$10,MCDM_Settings!$D$10))</f>
        <v>5</v>
      </c>
      <c r="AQ222" s="13">
        <f>IF(IF($D222="Unlabeled-13",MCDM_Settings!$F$10,MCDM_Settings!$D$10)=0,"n.a.",(COUNTIF(X222:Y222,"Y")+COUNTIF(X222:Y222,"N"))/IF($D222="Unlabeled-13",MCDM_Settings!$F$10,MCDM_Settings!$D$10))</f>
        <v>0</v>
      </c>
      <c r="AR222" s="12">
        <f>IF(IF($D222="Unlabeled-13",MCDM_Settings!$F$11,MCDM_Settings!$D$11)=0,"n.a.",5*COUNTIF(Z222:AB222,"Y")/IF($D222="Unlabeled-13",MCDM_Settings!$F$11,MCDM_Settings!$D$11))</f>
        <v>1.6666666666666667</v>
      </c>
      <c r="AS222" s="12">
        <f>IF(IF($D222="Unlabeled-13",MCDM_Settings!$F$11,MCDM_Settings!$D$11)=0,"n.a.",5*(COUNTIF(Z222:AB222,"Y")+COUNTIF(Z222:AB222,"U")+COUNTIF(Z222:AB222,"X"))/IF($D222="Unlabeled-13",MCDM_Settings!$F$11,MCDM_Settings!$D$11))</f>
        <v>5</v>
      </c>
      <c r="AT222" s="13">
        <f>IF(IF($D222="Unlabeled-13",MCDM_Settings!$F$11,MCDM_Settings!$D$11)=0,"n.a.",(COUNTIF(Z222:AB222,"Y")+COUNTIF(Z222:AB222,"N"))/IF($D222="Unlabeled-13",MCDM_Settings!$F$11,MCDM_Settings!$D$11))</f>
        <v>0.33333333333333331</v>
      </c>
      <c r="AU222" s="5" t="str">
        <f>IF(AND(INDEX(Manual_Review!$G$6:$G$238,MATCH(A222,Manual_Review!$A$6:$A$238,0))&lt;&gt;"",ISNUMBER(INDEX(Manual_Review!$H$6:$H$238,MATCH(A222,Manual_Review!$A$6:$A$238,0))),INDEX(Manual_Review!$H$6:$H$238,MATCH(A222,Manual_Review!$A$6:$A$238,0))&gt;0,INDEX(Manual_Review!$I$6:$I$238,MATCH(A222,Manual_Review!$A$6:$A$238,0))="Confirmed",INDEX(Manual_Review!$AF$6:$AF$238,MATCH(A222,Manual_Review!$A$6:$A$238,0))&lt;&gt;""),IF(INDEX(Manual_Review!$AA$6:$AA$238,MATCH(A222,Manual_Review!$A$6:$A$238,0))="Pass","Pass",IF(INDEX(Manual_Review!$AA$6:$AA$238,MATCH(A222,Manual_Review!$A$6:$A$238,0))="Fail","Fail","Pending")),"Pending human identity confirmation")</f>
        <v>Pending human identity confirmation</v>
      </c>
      <c r="AV222" s="5" t="str">
        <f>IF(AND(AND(INDEX(Manual_Review!$G$6:$G$238,MATCH(A222,Manual_Review!$A$6:$A$238,0))&lt;&gt;"",ISNUMBER(INDEX(Manual_Review!$H$6:$H$238,MATCH(A222,Manual_Review!$A$6:$A$238,0))),INDEX(Manual_Review!$H$6:$H$238,MATCH(A222,Manual_Review!$A$6:$A$238,0))&gt;0,INDEX(Manual_Review!$I$6:$I$238,MATCH(A222,Manual_Review!$A$6:$A$238,0))="Confirmed",INDEX(Manual_Review!$AF$6:$AF$238,MATCH(A222,Manual_Review!$A$6:$A$238,0))&lt;&gt;""),INDEX(Manual_Review!$AG$6:$AG$238,MATCH(A222,Manual_Review!$A$6:$A$238,0))&lt;&gt;""),IF(INDEX(Manual_Review!$AB$6:$AB$238,MATCH(A222,Manual_Review!$A$6:$A$238,0))="Pass","Pass",IF(INDEX(Manual_Review!$AB$6:$AB$238,MATCH(A222,Manual_Review!$A$6:$A$238,0))="Fail","Fail","Pending")),"Not assessed: define intended task")</f>
        <v>Not assessed: define intended task</v>
      </c>
      <c r="AW222" s="5" t="str">
        <f>IF(AND(AND(INDEX(Manual_Review!$G$6:$G$238,MATCH(A222,Manual_Review!$A$6:$A$238,0))&lt;&gt;"",ISNUMBER(INDEX(Manual_Review!$H$6:$H$238,MATCH(A222,Manual_Review!$A$6:$A$238,0))),INDEX(Manual_Review!$H$6:$H$238,MATCH(A222,Manual_Review!$A$6:$A$238,0))&gt;0,INDEX(Manual_Review!$I$6:$I$238,MATCH(A222,Manual_Review!$A$6:$A$238,0))="Confirmed",INDEX(Manual_Review!$AF$6:$AF$238,MATCH(A222,Manual_Review!$A$6:$A$238,0))&lt;&gt;""),INDEX(Manual_Review!$AG$6:$AG$238,MATCH(A222,Manual_Review!$A$6:$A$238,0))&lt;&gt;""),IF(OR(INDEX(Manual_Review!$AC$6:$AC$238,MATCH(A222,Manual_Review!$A$6:$A$238,0))="Fail",INDEX(Manual_Review!$AD$6:$AD$238,MATCH(A222,Manual_Review!$A$6:$A$238,0))="Fail"),"Fail: rights or retrieval",IF(AND(INDEX(Manual_Review!$AC$6:$AC$238,MATCH(A222,Manual_Review!$A$6:$A$238,0))="Pass",INDEX(Manual_Review!$AD$6:$AD$238,MATCH(A222,Manual_Review!$A$6:$A$238,0))="Pass"),"Pass","Pending rights and retrieval")),"Pending rights and retrieval")</f>
        <v>Pending rights and retrieval</v>
      </c>
      <c r="AX222" s="5" t="str">
        <f>IF(INDEX(Manual_Review!$AG$6:$AG$238,MATCH(A222,Manual_Review!$A$6:$A$238,0))="","N/A: documentation inventory",IF(AND(INDEX(Manual_Review!$G$6:$G$238,MATCH(A222,Manual_Review!$A$6:$A$238,0))&lt;&gt;"",ISNUMBER(INDEX(Manual_Review!$H$6:$H$238,MATCH(A222,Manual_Review!$A$6:$A$238,0))),INDEX(Manual_Review!$H$6:$H$238,MATCH(A222,Manual_Review!$A$6:$A$238,0))&gt;0,INDEX(Manual_Review!$I$6:$I$238,MATCH(A222,Manual_Review!$A$6:$A$238,0))="Confirmed",INDEX(Manual_Review!$AF$6:$AF$238,MATCH(A222,Manual_Review!$A$6:$A$238,0))&lt;&gt;""),IF(INDEX(Manual_Review!$AE$6:$AE$238,MATCH(A222,Manual_Review!$A$6:$A$238,0))="Pass","Pass",IF(INDEX(Manual_Review!$AE$6:$AE$238,MATCH(A222,Manual_Review!$A$6:$A$238,0))="Fail","Fail: benchmark leakage",IF(INDEX(Manual_Review!$AE$6:$AE$238,MATCH(A222,Manual_Review!$A$6:$A$238,0))="N/A","N/A: nonbenchmark task","Pending task-specific leakage check"))),"Pending task-specific leakage check"))</f>
        <v>N/A: documentation inventory</v>
      </c>
      <c r="AY222" s="5" t="str">
        <f>IF(IF(D222="Unlabeled-13",AND(ABS(MCDM_Settings!$D$14-1)&lt;0.0000001,MIN(MCDM_Settings!$E$6:$E$11)&gt;=0,MCDM_Settings!$E$7=0),AND(ABS(MCDM_Settings!$B$14-1)&lt;0.0000001,MIN(MCDM_Settings!$C$6:$C$11)&gt;=0)),"Valid","Check weights")</f>
        <v>Valid</v>
      </c>
      <c r="AZ222" s="5" t="str">
        <f>IF(AND(COUNTIF(MCDM_Checks!$B$6:$B$3733,A222)=16,COUNTIF(Manual_Review!$A$6:$A$238,A222)=1),"16 keys present","Check key count")</f>
        <v>16 keys present</v>
      </c>
    </row>
    <row r="223" spans="1:52">
      <c r="A223" s="5" t="s">
        <v>2529</v>
      </c>
      <c r="B223" s="5" t="s">
        <v>2530</v>
      </c>
      <c r="C223" s="5"/>
      <c r="D223" s="5" t="s">
        <v>118</v>
      </c>
      <c r="E223" s="12">
        <f>IF(OR(AY223&lt;&gt;"Valid",AZ223&lt;&gt;"16 keys present"),"Review settings",20*(IF(ISNUMBER(AC223),AC223*IF($D223="Unlabeled-13",MCDM_Settings!$E$6,MCDM_Settings!$C$6),0)+IF(ISNUMBER(AF223),AF223*IF($D223="Unlabeled-13",MCDM_Settings!$E$7,MCDM_Settings!$C$7),0)+IF(ISNUMBER(AI223),AI223*IF($D223="Unlabeled-13",MCDM_Settings!$E$8,MCDM_Settings!$C$8),0)+IF(ISNUMBER(AL223),AL223*IF($D223="Unlabeled-13",MCDM_Settings!$E$9,MCDM_Settings!$C$9),0)+IF(ISNUMBER(AO223),AO223*IF($D223="Unlabeled-13",MCDM_Settings!$E$10,MCDM_Settings!$C$10),0)+IF(ISNUMBER(AR223),AR223*IF($D223="Unlabeled-13",MCDM_Settings!$E$11,MCDM_Settings!$C$11),0)))</f>
        <v>83.333333333333314</v>
      </c>
      <c r="F223" s="12">
        <f>IF(OR(AY223&lt;&gt;"Valid",AZ223&lt;&gt;"16 keys present"),"Review settings",20*(IF(ISNUMBER(AD223),AD223*IF($D223="Unlabeled-13",MCDM_Settings!$E$6,MCDM_Settings!$C$6),0)+IF(ISNUMBER(AG223),AG223*IF($D223="Unlabeled-13",MCDM_Settings!$E$7,MCDM_Settings!$C$7),0)+IF(ISNUMBER(AJ223),AJ223*IF($D223="Unlabeled-13",MCDM_Settings!$E$8,MCDM_Settings!$C$8),0)+IF(ISNUMBER(AM223),AM223*IF($D223="Unlabeled-13",MCDM_Settings!$E$9,MCDM_Settings!$C$9),0)+IF(ISNUMBER(AP223),AP223*IF($D223="Unlabeled-13",MCDM_Settings!$E$10,MCDM_Settings!$C$10),0)+IF(ISNUMBER(AS223),AS223*IF($D223="Unlabeled-13",MCDM_Settings!$E$11,MCDM_Settings!$C$11),0)))</f>
        <v>99.999999999999986</v>
      </c>
      <c r="G223" s="13">
        <f>IF(OR(AY223&lt;&gt;"Valid",AZ223&lt;&gt;"16 keys present"),"Review settings",1*(IF(ISNUMBER(AE223),AE223*IF($D223="Unlabeled-13",MCDM_Settings!$E$6,MCDM_Settings!$C$6),0)+IF(ISNUMBER(AH223),AH223*IF($D223="Unlabeled-13",MCDM_Settings!$E$7,MCDM_Settings!$C$7),0)+IF(ISNUMBER(AK223),AK223*IF($D223="Unlabeled-13",MCDM_Settings!$E$8,MCDM_Settings!$C$8),0)+IF(ISNUMBER(AN223),AN223*IF($D223="Unlabeled-13",MCDM_Settings!$E$9,MCDM_Settings!$C$9),0)+IF(ISNUMBER(AQ223),AQ223*IF($D223="Unlabeled-13",MCDM_Settings!$E$10,MCDM_Settings!$C$10),0)+IF(ISNUMBER(AT223),AT223*IF($D223="Unlabeled-13",MCDM_Settings!$E$11,MCDM_Settings!$C$11),0)))</f>
        <v>0.83333333333333326</v>
      </c>
      <c r="H223" s="5" t="str">
        <f>INDEX(Manual_Review!$AH$6:$AH$238,MATCH(A223,Manual_Review!$A$6:$A$238,0))</f>
        <v>Not started</v>
      </c>
      <c r="I223" s="5" t="s">
        <v>182</v>
      </c>
      <c r="J223" s="5" t="s">
        <v>2531</v>
      </c>
      <c r="K223" s="5" t="str">
        <f>HYPERLINK("https://huggingface.co/datasets/natix-network-org/natix-safety-critical-driving-events-dataset","Dataset")</f>
        <v>Dataset</v>
      </c>
      <c r="L223" s="5" t="str">
        <f>HYPERLINK("#'Manual_Review'!A"&amp;(MATCH("DS-218",Manual_Review!$A$6:$A$238,0)+5),"Enter review")</f>
        <v>Enter review</v>
      </c>
      <c r="M223" s="5" t="str">
        <f>INDEX(MCDM_Checks!$K$6:$K$3733,MATCH(A223&amp;"|"&amp;M$5,MCDM_Checks!$A$6:$A$3733,0))</f>
        <v>Y</v>
      </c>
      <c r="N223" s="5" t="str">
        <f>INDEX(MCDM_Checks!$K$6:$K$3733,MATCH(A223&amp;"|"&amp;N$5,MCDM_Checks!$A$6:$A$3733,0))</f>
        <v>Y</v>
      </c>
      <c r="O223" s="5" t="str">
        <f>INDEX(MCDM_Checks!$K$6:$K$3733,MATCH(A223&amp;"|"&amp;O$5,MCDM_Checks!$A$6:$A$3733,0))</f>
        <v>Y</v>
      </c>
      <c r="P223" s="5" t="str">
        <f>INDEX(MCDM_Checks!$K$6:$K$3733,MATCH(A223&amp;"|"&amp;P$5,MCDM_Checks!$A$6:$A$3733,0))</f>
        <v>Y</v>
      </c>
      <c r="Q223" s="5" t="str">
        <f>INDEX(MCDM_Checks!$K$6:$K$3733,MATCH(A223&amp;"|"&amp;Q$5,MCDM_Checks!$A$6:$A$3733,0))</f>
        <v>Y</v>
      </c>
      <c r="R223" s="5" t="str">
        <f>INDEX(MCDM_Checks!$K$6:$K$3733,MATCH(A223&amp;"|"&amp;R$5,MCDM_Checks!$A$6:$A$3733,0))</f>
        <v>U</v>
      </c>
      <c r="S223" s="5" t="str">
        <f>INDEX(MCDM_Checks!$K$6:$K$3733,MATCH(A223&amp;"|"&amp;S$5,MCDM_Checks!$A$6:$A$3733,0))</f>
        <v>Y</v>
      </c>
      <c r="T223" s="5" t="str">
        <f>INDEX(MCDM_Checks!$K$6:$K$3733,MATCH(A223&amp;"|"&amp;T$5,MCDM_Checks!$A$6:$A$3733,0))</f>
        <v>Y</v>
      </c>
      <c r="U223" s="5" t="str">
        <f>INDEX(MCDM_Checks!$K$6:$K$3733,MATCH(A223&amp;"|"&amp;U$5,MCDM_Checks!$A$6:$A$3733,0))</f>
        <v>Y</v>
      </c>
      <c r="V223" s="5" t="str">
        <f>INDEX(MCDM_Checks!$K$6:$K$3733,MATCH(A223&amp;"|"&amp;V$5,MCDM_Checks!$A$6:$A$3733,0))</f>
        <v>Y</v>
      </c>
      <c r="W223" s="5" t="str">
        <f>INDEX(MCDM_Checks!$K$6:$K$3733,MATCH(A223&amp;"|"&amp;W$5,MCDM_Checks!$A$6:$A$3733,0))</f>
        <v>Y</v>
      </c>
      <c r="X223" s="5" t="str">
        <f>INDEX(MCDM_Checks!$K$6:$K$3733,MATCH(A223&amp;"|"&amp;X$5,MCDM_Checks!$A$6:$A$3733,0))</f>
        <v>Y</v>
      </c>
      <c r="Y223" s="5" t="str">
        <f>INDEX(MCDM_Checks!$K$6:$K$3733,MATCH(A223&amp;"|"&amp;Y$5,MCDM_Checks!$A$6:$A$3733,0))</f>
        <v>Y</v>
      </c>
      <c r="Z223" s="5" t="str">
        <f>INDEX(MCDM_Checks!$K$6:$K$3733,MATCH(A223&amp;"|"&amp;Z$5,MCDM_Checks!$A$6:$A$3733,0))</f>
        <v>Y</v>
      </c>
      <c r="AA223" s="5" t="str">
        <f>INDEX(MCDM_Checks!$K$6:$K$3733,MATCH(A223&amp;"|"&amp;AA$5,MCDM_Checks!$A$6:$A$3733,0))</f>
        <v>U</v>
      </c>
      <c r="AB223" s="5" t="str">
        <f>INDEX(MCDM_Checks!$K$6:$K$3733,MATCH(A223&amp;"|"&amp;AB$5,MCDM_Checks!$A$6:$A$3733,0))</f>
        <v>U</v>
      </c>
      <c r="AC223" s="12">
        <f>IF(IF($D223="Unlabeled-13",MCDM_Settings!$F$6,MCDM_Settings!$D$6)=0,"n.a.",5*COUNTIF(M223:O223,"Y")/IF($D223="Unlabeled-13",MCDM_Settings!$F$6,MCDM_Settings!$D$6))</f>
        <v>5</v>
      </c>
      <c r="AD223" s="12">
        <f>IF(IF($D223="Unlabeled-13",MCDM_Settings!$F$6,MCDM_Settings!$D$6)=0,"n.a.",5*(COUNTIF(M223:O223,"Y")+COUNTIF(M223:O223,"U")+COUNTIF(M223:O223,"X"))/IF($D223="Unlabeled-13",MCDM_Settings!$F$6,MCDM_Settings!$D$6))</f>
        <v>5</v>
      </c>
      <c r="AE223" s="13">
        <f>IF(IF($D223="Unlabeled-13",MCDM_Settings!$F$6,MCDM_Settings!$D$6)=0,"n.a.",(COUNTIF(M223:O223,"Y")+COUNTIF(M223:O223,"N"))/IF($D223="Unlabeled-13",MCDM_Settings!$F$6,MCDM_Settings!$D$6))</f>
        <v>1</v>
      </c>
      <c r="AF223" s="12">
        <f>IF(IF($D223="Unlabeled-13",MCDM_Settings!$F$7,MCDM_Settings!$D$7)=0,"n.a.",5*COUNTIF(P223:R223,"Y")/IF($D223="Unlabeled-13",MCDM_Settings!$F$7,MCDM_Settings!$D$7))</f>
        <v>3.3333333333333335</v>
      </c>
      <c r="AG223" s="12">
        <f>IF(IF($D223="Unlabeled-13",MCDM_Settings!$F$7,MCDM_Settings!$D$7)=0,"n.a.",5*(COUNTIF(P223:R223,"Y")+COUNTIF(P223:R223,"U")+COUNTIF(P223:R223,"X"))/IF($D223="Unlabeled-13",MCDM_Settings!$F$7,MCDM_Settings!$D$7))</f>
        <v>5</v>
      </c>
      <c r="AH223" s="13">
        <f>IF(IF($D223="Unlabeled-13",MCDM_Settings!$F$7,MCDM_Settings!$D$7)=0,"n.a.",(COUNTIF(P223:R223,"Y")+COUNTIF(P223:R223,"N"))/IF($D223="Unlabeled-13",MCDM_Settings!$F$7,MCDM_Settings!$D$7))</f>
        <v>0.66666666666666663</v>
      </c>
      <c r="AI223" s="12">
        <f>IF(IF($D223="Unlabeled-13",MCDM_Settings!$F$8,MCDM_Settings!$D$8)=0,"n.a.",5*COUNTIF(S223:U223,"Y")/IF($D223="Unlabeled-13",MCDM_Settings!$F$8,MCDM_Settings!$D$8))</f>
        <v>5</v>
      </c>
      <c r="AJ223" s="12">
        <f>IF(IF($D223="Unlabeled-13",MCDM_Settings!$F$8,MCDM_Settings!$D$8)=0,"n.a.",5*(COUNTIF(S223:U223,"Y")+COUNTIF(S223:U223,"U")+COUNTIF(S223:U223,"X"))/IF($D223="Unlabeled-13",MCDM_Settings!$F$8,MCDM_Settings!$D$8))</f>
        <v>5</v>
      </c>
      <c r="AK223" s="13">
        <f>IF(IF($D223="Unlabeled-13",MCDM_Settings!$F$8,MCDM_Settings!$D$8)=0,"n.a.",(COUNTIF(S223:U223,"Y")+COUNTIF(S223:U223,"N"))/IF($D223="Unlabeled-13",MCDM_Settings!$F$8,MCDM_Settings!$D$8))</f>
        <v>1</v>
      </c>
      <c r="AL223" s="12">
        <f>IF(IF($D223="Unlabeled-13",MCDM_Settings!$F$9,MCDM_Settings!$D$9)=0,"n.a.",5*COUNTIF(V223:W223,"Y")/IF($D223="Unlabeled-13",MCDM_Settings!$F$9,MCDM_Settings!$D$9))</f>
        <v>5</v>
      </c>
      <c r="AM223" s="12">
        <f>IF(IF($D223="Unlabeled-13",MCDM_Settings!$F$9,MCDM_Settings!$D$9)=0,"n.a.",5*(COUNTIF(V223:W223,"Y")+COUNTIF(V223:W223,"U")+COUNTIF(V223:W223,"X"))/IF($D223="Unlabeled-13",MCDM_Settings!$F$9,MCDM_Settings!$D$9))</f>
        <v>5</v>
      </c>
      <c r="AN223" s="13">
        <f>IF(IF($D223="Unlabeled-13",MCDM_Settings!$F$9,MCDM_Settings!$D$9)=0,"n.a.",(COUNTIF(V223:W223,"Y")+COUNTIF(V223:W223,"N"))/IF($D223="Unlabeled-13",MCDM_Settings!$F$9,MCDM_Settings!$D$9))</f>
        <v>1</v>
      </c>
      <c r="AO223" s="12">
        <f>IF(IF($D223="Unlabeled-13",MCDM_Settings!$F$10,MCDM_Settings!$D$10)=0,"n.a.",5*COUNTIF(X223:Y223,"Y")/IF($D223="Unlabeled-13",MCDM_Settings!$F$10,MCDM_Settings!$D$10))</f>
        <v>5</v>
      </c>
      <c r="AP223" s="12">
        <f>IF(IF($D223="Unlabeled-13",MCDM_Settings!$F$10,MCDM_Settings!$D$10)=0,"n.a.",5*(COUNTIF(X223:Y223,"Y")+COUNTIF(X223:Y223,"U")+COUNTIF(X223:Y223,"X"))/IF($D223="Unlabeled-13",MCDM_Settings!$F$10,MCDM_Settings!$D$10))</f>
        <v>5</v>
      </c>
      <c r="AQ223" s="13">
        <f>IF(IF($D223="Unlabeled-13",MCDM_Settings!$F$10,MCDM_Settings!$D$10)=0,"n.a.",(COUNTIF(X223:Y223,"Y")+COUNTIF(X223:Y223,"N"))/IF($D223="Unlabeled-13",MCDM_Settings!$F$10,MCDM_Settings!$D$10))</f>
        <v>1</v>
      </c>
      <c r="AR223" s="12">
        <f>IF(IF($D223="Unlabeled-13",MCDM_Settings!$F$11,MCDM_Settings!$D$11)=0,"n.a.",5*COUNTIF(Z223:AB223,"Y")/IF($D223="Unlabeled-13",MCDM_Settings!$F$11,MCDM_Settings!$D$11))</f>
        <v>1.6666666666666667</v>
      </c>
      <c r="AS223" s="12">
        <f>IF(IF($D223="Unlabeled-13",MCDM_Settings!$F$11,MCDM_Settings!$D$11)=0,"n.a.",5*(COUNTIF(Z223:AB223,"Y")+COUNTIF(Z223:AB223,"U")+COUNTIF(Z223:AB223,"X"))/IF($D223="Unlabeled-13",MCDM_Settings!$F$11,MCDM_Settings!$D$11))</f>
        <v>5</v>
      </c>
      <c r="AT223" s="13">
        <f>IF(IF($D223="Unlabeled-13",MCDM_Settings!$F$11,MCDM_Settings!$D$11)=0,"n.a.",(COUNTIF(Z223:AB223,"Y")+COUNTIF(Z223:AB223,"N"))/IF($D223="Unlabeled-13",MCDM_Settings!$F$11,MCDM_Settings!$D$11))</f>
        <v>0.33333333333333331</v>
      </c>
      <c r="AU223" s="5" t="str">
        <f>IF(AND(INDEX(Manual_Review!$G$6:$G$238,MATCH(A223,Manual_Review!$A$6:$A$238,0))&lt;&gt;"",ISNUMBER(INDEX(Manual_Review!$H$6:$H$238,MATCH(A223,Manual_Review!$A$6:$A$238,0))),INDEX(Manual_Review!$H$6:$H$238,MATCH(A223,Manual_Review!$A$6:$A$238,0))&gt;0,INDEX(Manual_Review!$I$6:$I$238,MATCH(A223,Manual_Review!$A$6:$A$238,0))="Confirmed",INDEX(Manual_Review!$AF$6:$AF$238,MATCH(A223,Manual_Review!$A$6:$A$238,0))&lt;&gt;""),IF(INDEX(Manual_Review!$AA$6:$AA$238,MATCH(A223,Manual_Review!$A$6:$A$238,0))="Pass","Pass",IF(INDEX(Manual_Review!$AA$6:$AA$238,MATCH(A223,Manual_Review!$A$6:$A$238,0))="Fail","Fail","Pending")),"Pending human identity confirmation")</f>
        <v>Pending human identity confirmation</v>
      </c>
      <c r="AV223" s="5" t="str">
        <f>IF(AND(AND(INDEX(Manual_Review!$G$6:$G$238,MATCH(A223,Manual_Review!$A$6:$A$238,0))&lt;&gt;"",ISNUMBER(INDEX(Manual_Review!$H$6:$H$238,MATCH(A223,Manual_Review!$A$6:$A$238,0))),INDEX(Manual_Review!$H$6:$H$238,MATCH(A223,Manual_Review!$A$6:$A$238,0))&gt;0,INDEX(Manual_Review!$I$6:$I$238,MATCH(A223,Manual_Review!$A$6:$A$238,0))="Confirmed",INDEX(Manual_Review!$AF$6:$AF$238,MATCH(A223,Manual_Review!$A$6:$A$238,0))&lt;&gt;""),INDEX(Manual_Review!$AG$6:$AG$238,MATCH(A223,Manual_Review!$A$6:$A$238,0))&lt;&gt;""),IF(INDEX(Manual_Review!$AB$6:$AB$238,MATCH(A223,Manual_Review!$A$6:$A$238,0))="Pass","Pass",IF(INDEX(Manual_Review!$AB$6:$AB$238,MATCH(A223,Manual_Review!$A$6:$A$238,0))="Fail","Fail","Pending")),"Not assessed: define intended task")</f>
        <v>Not assessed: define intended task</v>
      </c>
      <c r="AW223" s="5" t="str">
        <f>IF(AND(AND(INDEX(Manual_Review!$G$6:$G$238,MATCH(A223,Manual_Review!$A$6:$A$238,0))&lt;&gt;"",ISNUMBER(INDEX(Manual_Review!$H$6:$H$238,MATCH(A223,Manual_Review!$A$6:$A$238,0))),INDEX(Manual_Review!$H$6:$H$238,MATCH(A223,Manual_Review!$A$6:$A$238,0))&gt;0,INDEX(Manual_Review!$I$6:$I$238,MATCH(A223,Manual_Review!$A$6:$A$238,0))="Confirmed",INDEX(Manual_Review!$AF$6:$AF$238,MATCH(A223,Manual_Review!$A$6:$A$238,0))&lt;&gt;""),INDEX(Manual_Review!$AG$6:$AG$238,MATCH(A223,Manual_Review!$A$6:$A$238,0))&lt;&gt;""),IF(OR(INDEX(Manual_Review!$AC$6:$AC$238,MATCH(A223,Manual_Review!$A$6:$A$238,0))="Fail",INDEX(Manual_Review!$AD$6:$AD$238,MATCH(A223,Manual_Review!$A$6:$A$238,0))="Fail"),"Fail: rights or retrieval",IF(AND(INDEX(Manual_Review!$AC$6:$AC$238,MATCH(A223,Manual_Review!$A$6:$A$238,0))="Pass",INDEX(Manual_Review!$AD$6:$AD$238,MATCH(A223,Manual_Review!$A$6:$A$238,0))="Pass"),"Pass","Pending rights and retrieval")),"Pending rights and retrieval")</f>
        <v>Pending rights and retrieval</v>
      </c>
      <c r="AX223" s="5" t="str">
        <f>IF(INDEX(Manual_Review!$AG$6:$AG$238,MATCH(A223,Manual_Review!$A$6:$A$238,0))="","N/A: documentation inventory",IF(AND(INDEX(Manual_Review!$G$6:$G$238,MATCH(A223,Manual_Review!$A$6:$A$238,0))&lt;&gt;"",ISNUMBER(INDEX(Manual_Review!$H$6:$H$238,MATCH(A223,Manual_Review!$A$6:$A$238,0))),INDEX(Manual_Review!$H$6:$H$238,MATCH(A223,Manual_Review!$A$6:$A$238,0))&gt;0,INDEX(Manual_Review!$I$6:$I$238,MATCH(A223,Manual_Review!$A$6:$A$238,0))="Confirmed",INDEX(Manual_Review!$AF$6:$AF$238,MATCH(A223,Manual_Review!$A$6:$A$238,0))&lt;&gt;""),IF(INDEX(Manual_Review!$AE$6:$AE$238,MATCH(A223,Manual_Review!$A$6:$A$238,0))="Pass","Pass",IF(INDEX(Manual_Review!$AE$6:$AE$238,MATCH(A223,Manual_Review!$A$6:$A$238,0))="Fail","Fail: benchmark leakage",IF(INDEX(Manual_Review!$AE$6:$AE$238,MATCH(A223,Manual_Review!$A$6:$A$238,0))="N/A","N/A: nonbenchmark task","Pending task-specific leakage check"))),"Pending task-specific leakage check"))</f>
        <v>N/A: documentation inventory</v>
      </c>
      <c r="AY223" s="5" t="str">
        <f>IF(IF(D223="Unlabeled-13",AND(ABS(MCDM_Settings!$D$14-1)&lt;0.0000001,MIN(MCDM_Settings!$E$6:$E$11)&gt;=0,MCDM_Settings!$E$7=0),AND(ABS(MCDM_Settings!$B$14-1)&lt;0.0000001,MIN(MCDM_Settings!$C$6:$C$11)&gt;=0)),"Valid","Check weights")</f>
        <v>Valid</v>
      </c>
      <c r="AZ223" s="5" t="str">
        <f>IF(AND(COUNTIF(MCDM_Checks!$B$6:$B$3733,A223)=16,COUNTIF(Manual_Review!$A$6:$A$238,A223)=1),"16 keys present","Check key count")</f>
        <v>16 keys present</v>
      </c>
    </row>
    <row r="224" spans="1:52">
      <c r="A224" s="5" t="s">
        <v>2542</v>
      </c>
      <c r="B224" s="5" t="s">
        <v>2543</v>
      </c>
      <c r="C224" s="5"/>
      <c r="D224" s="5" t="s">
        <v>118</v>
      </c>
      <c r="E224" s="12">
        <f>IF(OR(AY224&lt;&gt;"Valid",AZ224&lt;&gt;"16 keys present"),"Review settings",20*(IF(ISNUMBER(AC224),AC224*IF($D224="Unlabeled-13",MCDM_Settings!$E$6,MCDM_Settings!$C$6),0)+IF(ISNUMBER(AF224),AF224*IF($D224="Unlabeled-13",MCDM_Settings!$E$7,MCDM_Settings!$C$7),0)+IF(ISNUMBER(AI224),AI224*IF($D224="Unlabeled-13",MCDM_Settings!$E$8,MCDM_Settings!$C$8),0)+IF(ISNUMBER(AL224),AL224*IF($D224="Unlabeled-13",MCDM_Settings!$E$9,MCDM_Settings!$C$9),0)+IF(ISNUMBER(AO224),AO224*IF($D224="Unlabeled-13",MCDM_Settings!$E$10,MCDM_Settings!$C$10),0)+IF(ISNUMBER(AR224),AR224*IF($D224="Unlabeled-13",MCDM_Settings!$E$11,MCDM_Settings!$C$11),0)))</f>
        <v>77.777777777777771</v>
      </c>
      <c r="F224" s="12">
        <f>IF(OR(AY224&lt;&gt;"Valid",AZ224&lt;&gt;"16 keys present"),"Review settings",20*(IF(ISNUMBER(AD224),AD224*IF($D224="Unlabeled-13",MCDM_Settings!$E$6,MCDM_Settings!$C$6),0)+IF(ISNUMBER(AG224),AG224*IF($D224="Unlabeled-13",MCDM_Settings!$E$7,MCDM_Settings!$C$7),0)+IF(ISNUMBER(AJ224),AJ224*IF($D224="Unlabeled-13",MCDM_Settings!$E$8,MCDM_Settings!$C$8),0)+IF(ISNUMBER(AM224),AM224*IF($D224="Unlabeled-13",MCDM_Settings!$E$9,MCDM_Settings!$C$9),0)+IF(ISNUMBER(AP224),AP224*IF($D224="Unlabeled-13",MCDM_Settings!$E$10,MCDM_Settings!$C$10),0)+IF(ISNUMBER(AS224),AS224*IF($D224="Unlabeled-13",MCDM_Settings!$E$11,MCDM_Settings!$C$11),0)))</f>
        <v>99.999999999999986</v>
      </c>
      <c r="G224" s="13">
        <f>IF(OR(AY224&lt;&gt;"Valid",AZ224&lt;&gt;"16 keys present"),"Review settings",1*(IF(ISNUMBER(AE224),AE224*IF($D224="Unlabeled-13",MCDM_Settings!$E$6,MCDM_Settings!$C$6),0)+IF(ISNUMBER(AH224),AH224*IF($D224="Unlabeled-13",MCDM_Settings!$E$7,MCDM_Settings!$C$7),0)+IF(ISNUMBER(AK224),AK224*IF($D224="Unlabeled-13",MCDM_Settings!$E$8,MCDM_Settings!$C$8),0)+IF(ISNUMBER(AN224),AN224*IF($D224="Unlabeled-13",MCDM_Settings!$E$9,MCDM_Settings!$C$9),0)+IF(ISNUMBER(AQ224),AQ224*IF($D224="Unlabeled-13",MCDM_Settings!$E$10,MCDM_Settings!$C$10),0)+IF(ISNUMBER(AT224),AT224*IF($D224="Unlabeled-13",MCDM_Settings!$E$11,MCDM_Settings!$C$11),0)))</f>
        <v>0.77777777777777768</v>
      </c>
      <c r="H224" s="5" t="str">
        <f>INDEX(Manual_Review!$AH$6:$AH$238,MATCH(A224,Manual_Review!$A$6:$A$238,0))</f>
        <v>Not started</v>
      </c>
      <c r="I224" s="5" t="s">
        <v>182</v>
      </c>
      <c r="J224" s="5" t="s">
        <v>2544</v>
      </c>
      <c r="K224" s="5" t="str">
        <f>HYPERLINK("https://www.nuscenes.org/nuimages","Dataset")</f>
        <v>Dataset</v>
      </c>
      <c r="L224" s="5" t="str">
        <f>HYPERLINK("#'Manual_Review'!A"&amp;(MATCH("DS-219",Manual_Review!$A$6:$A$238,0)+5),"Enter review")</f>
        <v>Enter review</v>
      </c>
      <c r="M224" s="5" t="str">
        <f>INDEX(MCDM_Checks!$K$6:$K$3733,MATCH(A224&amp;"|"&amp;M$5,MCDM_Checks!$A$6:$A$3733,0))</f>
        <v>Y</v>
      </c>
      <c r="N224" s="5" t="str">
        <f>INDEX(MCDM_Checks!$K$6:$K$3733,MATCH(A224&amp;"|"&amp;N$5,MCDM_Checks!$A$6:$A$3733,0))</f>
        <v>Y</v>
      </c>
      <c r="O224" s="5" t="str">
        <f>INDEX(MCDM_Checks!$K$6:$K$3733,MATCH(A224&amp;"|"&amp;O$5,MCDM_Checks!$A$6:$A$3733,0))</f>
        <v>Y</v>
      </c>
      <c r="P224" s="5" t="str">
        <f>INDEX(MCDM_Checks!$K$6:$K$3733,MATCH(A224&amp;"|"&amp;P$5,MCDM_Checks!$A$6:$A$3733,0))</f>
        <v>Y</v>
      </c>
      <c r="Q224" s="5" t="str">
        <f>INDEX(MCDM_Checks!$K$6:$K$3733,MATCH(A224&amp;"|"&amp;Q$5,MCDM_Checks!$A$6:$A$3733,0))</f>
        <v>U</v>
      </c>
      <c r="R224" s="5" t="str">
        <f>INDEX(MCDM_Checks!$K$6:$K$3733,MATCH(A224&amp;"|"&amp;R$5,MCDM_Checks!$A$6:$A$3733,0))</f>
        <v>U</v>
      </c>
      <c r="S224" s="5" t="str">
        <f>INDEX(MCDM_Checks!$K$6:$K$3733,MATCH(A224&amp;"|"&amp;S$5,MCDM_Checks!$A$6:$A$3733,0))</f>
        <v>U</v>
      </c>
      <c r="T224" s="5" t="str">
        <f>INDEX(MCDM_Checks!$K$6:$K$3733,MATCH(A224&amp;"|"&amp;T$5,MCDM_Checks!$A$6:$A$3733,0))</f>
        <v>Y</v>
      </c>
      <c r="U224" s="5" t="str">
        <f>INDEX(MCDM_Checks!$K$6:$K$3733,MATCH(A224&amp;"|"&amp;U$5,MCDM_Checks!$A$6:$A$3733,0))</f>
        <v>Y</v>
      </c>
      <c r="V224" s="5" t="str">
        <f>INDEX(MCDM_Checks!$K$6:$K$3733,MATCH(A224&amp;"|"&amp;V$5,MCDM_Checks!$A$6:$A$3733,0))</f>
        <v>Y</v>
      </c>
      <c r="W224" s="5" t="str">
        <f>INDEX(MCDM_Checks!$K$6:$K$3733,MATCH(A224&amp;"|"&amp;W$5,MCDM_Checks!$A$6:$A$3733,0))</f>
        <v>Y</v>
      </c>
      <c r="X224" s="5" t="str">
        <f>INDEX(MCDM_Checks!$K$6:$K$3733,MATCH(A224&amp;"|"&amp;X$5,MCDM_Checks!$A$6:$A$3733,0))</f>
        <v>Y</v>
      </c>
      <c r="Y224" s="5" t="str">
        <f>INDEX(MCDM_Checks!$K$6:$K$3733,MATCH(A224&amp;"|"&amp;Y$5,MCDM_Checks!$A$6:$A$3733,0))</f>
        <v>Y</v>
      </c>
      <c r="Z224" s="5" t="str">
        <f>INDEX(MCDM_Checks!$K$6:$K$3733,MATCH(A224&amp;"|"&amp;Z$5,MCDM_Checks!$A$6:$A$3733,0))</f>
        <v>Y</v>
      </c>
      <c r="AA224" s="5" t="str">
        <f>INDEX(MCDM_Checks!$K$6:$K$3733,MATCH(A224&amp;"|"&amp;AA$5,MCDM_Checks!$A$6:$A$3733,0))</f>
        <v>U</v>
      </c>
      <c r="AB224" s="5" t="str">
        <f>INDEX(MCDM_Checks!$K$6:$K$3733,MATCH(A224&amp;"|"&amp;AB$5,MCDM_Checks!$A$6:$A$3733,0))</f>
        <v>Y</v>
      </c>
      <c r="AC224" s="12">
        <f>IF(IF($D224="Unlabeled-13",MCDM_Settings!$F$6,MCDM_Settings!$D$6)=0,"n.a.",5*COUNTIF(M224:O224,"Y")/IF($D224="Unlabeled-13",MCDM_Settings!$F$6,MCDM_Settings!$D$6))</f>
        <v>5</v>
      </c>
      <c r="AD224" s="12">
        <f>IF(IF($D224="Unlabeled-13",MCDM_Settings!$F$6,MCDM_Settings!$D$6)=0,"n.a.",5*(COUNTIF(M224:O224,"Y")+COUNTIF(M224:O224,"U")+COUNTIF(M224:O224,"X"))/IF($D224="Unlabeled-13",MCDM_Settings!$F$6,MCDM_Settings!$D$6))</f>
        <v>5</v>
      </c>
      <c r="AE224" s="13">
        <f>IF(IF($D224="Unlabeled-13",MCDM_Settings!$F$6,MCDM_Settings!$D$6)=0,"n.a.",(COUNTIF(M224:O224,"Y")+COUNTIF(M224:O224,"N"))/IF($D224="Unlabeled-13",MCDM_Settings!$F$6,MCDM_Settings!$D$6))</f>
        <v>1</v>
      </c>
      <c r="AF224" s="12">
        <f>IF(IF($D224="Unlabeled-13",MCDM_Settings!$F$7,MCDM_Settings!$D$7)=0,"n.a.",5*COUNTIF(P224:R224,"Y")/IF($D224="Unlabeled-13",MCDM_Settings!$F$7,MCDM_Settings!$D$7))</f>
        <v>1.6666666666666667</v>
      </c>
      <c r="AG224" s="12">
        <f>IF(IF($D224="Unlabeled-13",MCDM_Settings!$F$7,MCDM_Settings!$D$7)=0,"n.a.",5*(COUNTIF(P224:R224,"Y")+COUNTIF(P224:R224,"U")+COUNTIF(P224:R224,"X"))/IF($D224="Unlabeled-13",MCDM_Settings!$F$7,MCDM_Settings!$D$7))</f>
        <v>5</v>
      </c>
      <c r="AH224" s="13">
        <f>IF(IF($D224="Unlabeled-13",MCDM_Settings!$F$7,MCDM_Settings!$D$7)=0,"n.a.",(COUNTIF(P224:R224,"Y")+COUNTIF(P224:R224,"N"))/IF($D224="Unlabeled-13",MCDM_Settings!$F$7,MCDM_Settings!$D$7))</f>
        <v>0.33333333333333331</v>
      </c>
      <c r="AI224" s="12">
        <f>IF(IF($D224="Unlabeled-13",MCDM_Settings!$F$8,MCDM_Settings!$D$8)=0,"n.a.",5*COUNTIF(S224:U224,"Y")/IF($D224="Unlabeled-13",MCDM_Settings!$F$8,MCDM_Settings!$D$8))</f>
        <v>3.3333333333333335</v>
      </c>
      <c r="AJ224" s="12">
        <f>IF(IF($D224="Unlabeled-13",MCDM_Settings!$F$8,MCDM_Settings!$D$8)=0,"n.a.",5*(COUNTIF(S224:U224,"Y")+COUNTIF(S224:U224,"U")+COUNTIF(S224:U224,"X"))/IF($D224="Unlabeled-13",MCDM_Settings!$F$8,MCDM_Settings!$D$8))</f>
        <v>5</v>
      </c>
      <c r="AK224" s="13">
        <f>IF(IF($D224="Unlabeled-13",MCDM_Settings!$F$8,MCDM_Settings!$D$8)=0,"n.a.",(COUNTIF(S224:U224,"Y")+COUNTIF(S224:U224,"N"))/IF($D224="Unlabeled-13",MCDM_Settings!$F$8,MCDM_Settings!$D$8))</f>
        <v>0.66666666666666663</v>
      </c>
      <c r="AL224" s="12">
        <f>IF(IF($D224="Unlabeled-13",MCDM_Settings!$F$9,MCDM_Settings!$D$9)=0,"n.a.",5*COUNTIF(V224:W224,"Y")/IF($D224="Unlabeled-13",MCDM_Settings!$F$9,MCDM_Settings!$D$9))</f>
        <v>5</v>
      </c>
      <c r="AM224" s="12">
        <f>IF(IF($D224="Unlabeled-13",MCDM_Settings!$F$9,MCDM_Settings!$D$9)=0,"n.a.",5*(COUNTIF(V224:W224,"Y")+COUNTIF(V224:W224,"U")+COUNTIF(V224:W224,"X"))/IF($D224="Unlabeled-13",MCDM_Settings!$F$9,MCDM_Settings!$D$9))</f>
        <v>5</v>
      </c>
      <c r="AN224" s="13">
        <f>IF(IF($D224="Unlabeled-13",MCDM_Settings!$F$9,MCDM_Settings!$D$9)=0,"n.a.",(COUNTIF(V224:W224,"Y")+COUNTIF(V224:W224,"N"))/IF($D224="Unlabeled-13",MCDM_Settings!$F$9,MCDM_Settings!$D$9))</f>
        <v>1</v>
      </c>
      <c r="AO224" s="12">
        <f>IF(IF($D224="Unlabeled-13",MCDM_Settings!$F$10,MCDM_Settings!$D$10)=0,"n.a.",5*COUNTIF(X224:Y224,"Y")/IF($D224="Unlabeled-13",MCDM_Settings!$F$10,MCDM_Settings!$D$10))</f>
        <v>5</v>
      </c>
      <c r="AP224" s="12">
        <f>IF(IF($D224="Unlabeled-13",MCDM_Settings!$F$10,MCDM_Settings!$D$10)=0,"n.a.",5*(COUNTIF(X224:Y224,"Y")+COUNTIF(X224:Y224,"U")+COUNTIF(X224:Y224,"X"))/IF($D224="Unlabeled-13",MCDM_Settings!$F$10,MCDM_Settings!$D$10))</f>
        <v>5</v>
      </c>
      <c r="AQ224" s="13">
        <f>IF(IF($D224="Unlabeled-13",MCDM_Settings!$F$10,MCDM_Settings!$D$10)=0,"n.a.",(COUNTIF(X224:Y224,"Y")+COUNTIF(X224:Y224,"N"))/IF($D224="Unlabeled-13",MCDM_Settings!$F$10,MCDM_Settings!$D$10))</f>
        <v>1</v>
      </c>
      <c r="AR224" s="12">
        <f>IF(IF($D224="Unlabeled-13",MCDM_Settings!$F$11,MCDM_Settings!$D$11)=0,"n.a.",5*COUNTIF(Z224:AB224,"Y")/IF($D224="Unlabeled-13",MCDM_Settings!$F$11,MCDM_Settings!$D$11))</f>
        <v>3.3333333333333335</v>
      </c>
      <c r="AS224" s="12">
        <f>IF(IF($D224="Unlabeled-13",MCDM_Settings!$F$11,MCDM_Settings!$D$11)=0,"n.a.",5*(COUNTIF(Z224:AB224,"Y")+COUNTIF(Z224:AB224,"U")+COUNTIF(Z224:AB224,"X"))/IF($D224="Unlabeled-13",MCDM_Settings!$F$11,MCDM_Settings!$D$11))</f>
        <v>5</v>
      </c>
      <c r="AT224" s="13">
        <f>IF(IF($D224="Unlabeled-13",MCDM_Settings!$F$11,MCDM_Settings!$D$11)=0,"n.a.",(COUNTIF(Z224:AB224,"Y")+COUNTIF(Z224:AB224,"N"))/IF($D224="Unlabeled-13",MCDM_Settings!$F$11,MCDM_Settings!$D$11))</f>
        <v>0.66666666666666663</v>
      </c>
      <c r="AU224" s="5" t="str">
        <f>IF(AND(INDEX(Manual_Review!$G$6:$G$238,MATCH(A224,Manual_Review!$A$6:$A$238,0))&lt;&gt;"",ISNUMBER(INDEX(Manual_Review!$H$6:$H$238,MATCH(A224,Manual_Review!$A$6:$A$238,0))),INDEX(Manual_Review!$H$6:$H$238,MATCH(A224,Manual_Review!$A$6:$A$238,0))&gt;0,INDEX(Manual_Review!$I$6:$I$238,MATCH(A224,Manual_Review!$A$6:$A$238,0))="Confirmed",INDEX(Manual_Review!$AF$6:$AF$238,MATCH(A224,Manual_Review!$A$6:$A$238,0))&lt;&gt;""),IF(INDEX(Manual_Review!$AA$6:$AA$238,MATCH(A224,Manual_Review!$A$6:$A$238,0))="Pass","Pass",IF(INDEX(Manual_Review!$AA$6:$AA$238,MATCH(A224,Manual_Review!$A$6:$A$238,0))="Fail","Fail","Pending")),"Pending human identity confirmation")</f>
        <v>Pending human identity confirmation</v>
      </c>
      <c r="AV224" s="5" t="str">
        <f>IF(AND(AND(INDEX(Manual_Review!$G$6:$G$238,MATCH(A224,Manual_Review!$A$6:$A$238,0))&lt;&gt;"",ISNUMBER(INDEX(Manual_Review!$H$6:$H$238,MATCH(A224,Manual_Review!$A$6:$A$238,0))),INDEX(Manual_Review!$H$6:$H$238,MATCH(A224,Manual_Review!$A$6:$A$238,0))&gt;0,INDEX(Manual_Review!$I$6:$I$238,MATCH(A224,Manual_Review!$A$6:$A$238,0))="Confirmed",INDEX(Manual_Review!$AF$6:$AF$238,MATCH(A224,Manual_Review!$A$6:$A$238,0))&lt;&gt;""),INDEX(Manual_Review!$AG$6:$AG$238,MATCH(A224,Manual_Review!$A$6:$A$238,0))&lt;&gt;""),IF(INDEX(Manual_Review!$AB$6:$AB$238,MATCH(A224,Manual_Review!$A$6:$A$238,0))="Pass","Pass",IF(INDEX(Manual_Review!$AB$6:$AB$238,MATCH(A224,Manual_Review!$A$6:$A$238,0))="Fail","Fail","Pending")),"Not assessed: define intended task")</f>
        <v>Not assessed: define intended task</v>
      </c>
      <c r="AW224" s="5" t="str">
        <f>IF(AND(AND(INDEX(Manual_Review!$G$6:$G$238,MATCH(A224,Manual_Review!$A$6:$A$238,0))&lt;&gt;"",ISNUMBER(INDEX(Manual_Review!$H$6:$H$238,MATCH(A224,Manual_Review!$A$6:$A$238,0))),INDEX(Manual_Review!$H$6:$H$238,MATCH(A224,Manual_Review!$A$6:$A$238,0))&gt;0,INDEX(Manual_Review!$I$6:$I$238,MATCH(A224,Manual_Review!$A$6:$A$238,0))="Confirmed",INDEX(Manual_Review!$AF$6:$AF$238,MATCH(A224,Manual_Review!$A$6:$A$238,0))&lt;&gt;""),INDEX(Manual_Review!$AG$6:$AG$238,MATCH(A224,Manual_Review!$A$6:$A$238,0))&lt;&gt;""),IF(OR(INDEX(Manual_Review!$AC$6:$AC$238,MATCH(A224,Manual_Review!$A$6:$A$238,0))="Fail",INDEX(Manual_Review!$AD$6:$AD$238,MATCH(A224,Manual_Review!$A$6:$A$238,0))="Fail"),"Fail: rights or retrieval",IF(AND(INDEX(Manual_Review!$AC$6:$AC$238,MATCH(A224,Manual_Review!$A$6:$A$238,0))="Pass",INDEX(Manual_Review!$AD$6:$AD$238,MATCH(A224,Manual_Review!$A$6:$A$238,0))="Pass"),"Pass","Pending rights and retrieval")),"Pending rights and retrieval")</f>
        <v>Pending rights and retrieval</v>
      </c>
      <c r="AX224" s="5" t="str">
        <f>IF(INDEX(Manual_Review!$AG$6:$AG$238,MATCH(A224,Manual_Review!$A$6:$A$238,0))="","N/A: documentation inventory",IF(AND(INDEX(Manual_Review!$G$6:$G$238,MATCH(A224,Manual_Review!$A$6:$A$238,0))&lt;&gt;"",ISNUMBER(INDEX(Manual_Review!$H$6:$H$238,MATCH(A224,Manual_Review!$A$6:$A$238,0))),INDEX(Manual_Review!$H$6:$H$238,MATCH(A224,Manual_Review!$A$6:$A$238,0))&gt;0,INDEX(Manual_Review!$I$6:$I$238,MATCH(A224,Manual_Review!$A$6:$A$238,0))="Confirmed",INDEX(Manual_Review!$AF$6:$AF$238,MATCH(A224,Manual_Review!$A$6:$A$238,0))&lt;&gt;""),IF(INDEX(Manual_Review!$AE$6:$AE$238,MATCH(A224,Manual_Review!$A$6:$A$238,0))="Pass","Pass",IF(INDEX(Manual_Review!$AE$6:$AE$238,MATCH(A224,Manual_Review!$A$6:$A$238,0))="Fail","Fail: benchmark leakage",IF(INDEX(Manual_Review!$AE$6:$AE$238,MATCH(A224,Manual_Review!$A$6:$A$238,0))="N/A","N/A: nonbenchmark task","Pending task-specific leakage check"))),"Pending task-specific leakage check"))</f>
        <v>N/A: documentation inventory</v>
      </c>
      <c r="AY224" s="5" t="str">
        <f>IF(IF(D224="Unlabeled-13",AND(ABS(MCDM_Settings!$D$14-1)&lt;0.0000001,MIN(MCDM_Settings!$E$6:$E$11)&gt;=0,MCDM_Settings!$E$7=0),AND(ABS(MCDM_Settings!$B$14-1)&lt;0.0000001,MIN(MCDM_Settings!$C$6:$C$11)&gt;=0)),"Valid","Check weights")</f>
        <v>Valid</v>
      </c>
      <c r="AZ224" s="5" t="str">
        <f>IF(AND(COUNTIF(MCDM_Checks!$B$6:$B$3733,A224)=16,COUNTIF(Manual_Review!$A$6:$A$238,A224)=1),"16 keys present","Check key count")</f>
        <v>16 keys present</v>
      </c>
    </row>
    <row r="225" spans="1:52">
      <c r="A225" s="5" t="s">
        <v>2557</v>
      </c>
      <c r="B225" s="5" t="s">
        <v>2558</v>
      </c>
      <c r="C225" s="5"/>
      <c r="D225" s="5" t="s">
        <v>118</v>
      </c>
      <c r="E225" s="12">
        <f>IF(OR(AY225&lt;&gt;"Valid",AZ225&lt;&gt;"16 keys present"),"Review settings",20*(IF(ISNUMBER(AC225),AC225*IF($D225="Unlabeled-13",MCDM_Settings!$E$6,MCDM_Settings!$C$6),0)+IF(ISNUMBER(AF225),AF225*IF($D225="Unlabeled-13",MCDM_Settings!$E$7,MCDM_Settings!$C$7),0)+IF(ISNUMBER(AI225),AI225*IF($D225="Unlabeled-13",MCDM_Settings!$E$8,MCDM_Settings!$C$8),0)+IF(ISNUMBER(AL225),AL225*IF($D225="Unlabeled-13",MCDM_Settings!$E$9,MCDM_Settings!$C$9),0)+IF(ISNUMBER(AO225),AO225*IF($D225="Unlabeled-13",MCDM_Settings!$E$10,MCDM_Settings!$C$10),0)+IF(ISNUMBER(AR225),AR225*IF($D225="Unlabeled-13",MCDM_Settings!$E$11,MCDM_Settings!$C$11),0)))</f>
        <v>66.666666666666657</v>
      </c>
      <c r="F225" s="12">
        <f>IF(OR(AY225&lt;&gt;"Valid",AZ225&lt;&gt;"16 keys present"),"Review settings",20*(IF(ISNUMBER(AD225),AD225*IF($D225="Unlabeled-13",MCDM_Settings!$E$6,MCDM_Settings!$C$6),0)+IF(ISNUMBER(AG225),AG225*IF($D225="Unlabeled-13",MCDM_Settings!$E$7,MCDM_Settings!$C$7),0)+IF(ISNUMBER(AJ225),AJ225*IF($D225="Unlabeled-13",MCDM_Settings!$E$8,MCDM_Settings!$C$8),0)+IF(ISNUMBER(AM225),AM225*IF($D225="Unlabeled-13",MCDM_Settings!$E$9,MCDM_Settings!$C$9),0)+IF(ISNUMBER(AP225),AP225*IF($D225="Unlabeled-13",MCDM_Settings!$E$10,MCDM_Settings!$C$10),0)+IF(ISNUMBER(AS225),AS225*IF($D225="Unlabeled-13",MCDM_Settings!$E$11,MCDM_Settings!$C$11),0)))</f>
        <v>99.999999999999986</v>
      </c>
      <c r="G225" s="13">
        <f>IF(OR(AY225&lt;&gt;"Valid",AZ225&lt;&gt;"16 keys present"),"Review settings",1*(IF(ISNUMBER(AE225),AE225*IF($D225="Unlabeled-13",MCDM_Settings!$E$6,MCDM_Settings!$C$6),0)+IF(ISNUMBER(AH225),AH225*IF($D225="Unlabeled-13",MCDM_Settings!$E$7,MCDM_Settings!$C$7),0)+IF(ISNUMBER(AK225),AK225*IF($D225="Unlabeled-13",MCDM_Settings!$E$8,MCDM_Settings!$C$8),0)+IF(ISNUMBER(AN225),AN225*IF($D225="Unlabeled-13",MCDM_Settings!$E$9,MCDM_Settings!$C$9),0)+IF(ISNUMBER(AQ225),AQ225*IF($D225="Unlabeled-13",MCDM_Settings!$E$10,MCDM_Settings!$C$10),0)+IF(ISNUMBER(AT225),AT225*IF($D225="Unlabeled-13",MCDM_Settings!$E$11,MCDM_Settings!$C$11),0)))</f>
        <v>0.66666666666666663</v>
      </c>
      <c r="H225" s="5" t="str">
        <f>INDEX(Manual_Review!$AH$6:$AH$238,MATCH(A225,Manual_Review!$A$6:$A$238,0))</f>
        <v>Not started</v>
      </c>
      <c r="I225" s="5" t="s">
        <v>182</v>
      </c>
      <c r="J225" s="5" t="s">
        <v>2559</v>
      </c>
      <c r="K225" s="5" t="str">
        <f>HYPERLINK("https://www.nuscenes.org/nuplan","Dataset")</f>
        <v>Dataset</v>
      </c>
      <c r="L225" s="5" t="str">
        <f>HYPERLINK("#'Manual_Review'!A"&amp;(MATCH("DS-220",Manual_Review!$A$6:$A$238,0)+5),"Enter review")</f>
        <v>Enter review</v>
      </c>
      <c r="M225" s="5" t="str">
        <f>INDEX(MCDM_Checks!$K$6:$K$3733,MATCH(A225&amp;"|"&amp;M$5,MCDM_Checks!$A$6:$A$3733,0))</f>
        <v>Y</v>
      </c>
      <c r="N225" s="5" t="str">
        <f>INDEX(MCDM_Checks!$K$6:$K$3733,MATCH(A225&amp;"|"&amp;N$5,MCDM_Checks!$A$6:$A$3733,0))</f>
        <v>Y</v>
      </c>
      <c r="O225" s="5" t="str">
        <f>INDEX(MCDM_Checks!$K$6:$K$3733,MATCH(A225&amp;"|"&amp;O$5,MCDM_Checks!$A$6:$A$3733,0))</f>
        <v>Y</v>
      </c>
      <c r="P225" s="5" t="str">
        <f>INDEX(MCDM_Checks!$K$6:$K$3733,MATCH(A225&amp;"|"&amp;P$5,MCDM_Checks!$A$6:$A$3733,0))</f>
        <v>U</v>
      </c>
      <c r="Q225" s="5" t="str">
        <f>INDEX(MCDM_Checks!$K$6:$K$3733,MATCH(A225&amp;"|"&amp;Q$5,MCDM_Checks!$A$6:$A$3733,0))</f>
        <v>U</v>
      </c>
      <c r="R225" s="5" t="str">
        <f>INDEX(MCDM_Checks!$K$6:$K$3733,MATCH(A225&amp;"|"&amp;R$5,MCDM_Checks!$A$6:$A$3733,0))</f>
        <v>U</v>
      </c>
      <c r="S225" s="5" t="str">
        <f>INDEX(MCDM_Checks!$K$6:$K$3733,MATCH(A225&amp;"|"&amp;S$5,MCDM_Checks!$A$6:$A$3733,0))</f>
        <v>U</v>
      </c>
      <c r="T225" s="5" t="str">
        <f>INDEX(MCDM_Checks!$K$6:$K$3733,MATCH(A225&amp;"|"&amp;T$5,MCDM_Checks!$A$6:$A$3733,0))</f>
        <v>Y</v>
      </c>
      <c r="U225" s="5" t="str">
        <f>INDEX(MCDM_Checks!$K$6:$K$3733,MATCH(A225&amp;"|"&amp;U$5,MCDM_Checks!$A$6:$A$3733,0))</f>
        <v>Y</v>
      </c>
      <c r="V225" s="5" t="str">
        <f>INDEX(MCDM_Checks!$K$6:$K$3733,MATCH(A225&amp;"|"&amp;V$5,MCDM_Checks!$A$6:$A$3733,0))</f>
        <v>Y</v>
      </c>
      <c r="W225" s="5" t="str">
        <f>INDEX(MCDM_Checks!$K$6:$K$3733,MATCH(A225&amp;"|"&amp;W$5,MCDM_Checks!$A$6:$A$3733,0))</f>
        <v>Y</v>
      </c>
      <c r="X225" s="5" t="str">
        <f>INDEX(MCDM_Checks!$K$6:$K$3733,MATCH(A225&amp;"|"&amp;X$5,MCDM_Checks!$A$6:$A$3733,0))</f>
        <v>Y</v>
      </c>
      <c r="Y225" s="5" t="str">
        <f>INDEX(MCDM_Checks!$K$6:$K$3733,MATCH(A225&amp;"|"&amp;Y$5,MCDM_Checks!$A$6:$A$3733,0))</f>
        <v>Y</v>
      </c>
      <c r="Z225" s="5" t="str">
        <f>INDEX(MCDM_Checks!$K$6:$K$3733,MATCH(A225&amp;"|"&amp;Z$5,MCDM_Checks!$A$6:$A$3733,0))</f>
        <v>Y</v>
      </c>
      <c r="AA225" s="5" t="str">
        <f>INDEX(MCDM_Checks!$K$6:$K$3733,MATCH(A225&amp;"|"&amp;AA$5,MCDM_Checks!$A$6:$A$3733,0))</f>
        <v>U</v>
      </c>
      <c r="AB225" s="5" t="str">
        <f>INDEX(MCDM_Checks!$K$6:$K$3733,MATCH(A225&amp;"|"&amp;AB$5,MCDM_Checks!$A$6:$A$3733,0))</f>
        <v>U</v>
      </c>
      <c r="AC225" s="12">
        <f>IF(IF($D225="Unlabeled-13",MCDM_Settings!$F$6,MCDM_Settings!$D$6)=0,"n.a.",5*COUNTIF(M225:O225,"Y")/IF($D225="Unlabeled-13",MCDM_Settings!$F$6,MCDM_Settings!$D$6))</f>
        <v>5</v>
      </c>
      <c r="AD225" s="12">
        <f>IF(IF($D225="Unlabeled-13",MCDM_Settings!$F$6,MCDM_Settings!$D$6)=0,"n.a.",5*(COUNTIF(M225:O225,"Y")+COUNTIF(M225:O225,"U")+COUNTIF(M225:O225,"X"))/IF($D225="Unlabeled-13",MCDM_Settings!$F$6,MCDM_Settings!$D$6))</f>
        <v>5</v>
      </c>
      <c r="AE225" s="13">
        <f>IF(IF($D225="Unlabeled-13",MCDM_Settings!$F$6,MCDM_Settings!$D$6)=0,"n.a.",(COUNTIF(M225:O225,"Y")+COUNTIF(M225:O225,"N"))/IF($D225="Unlabeled-13",MCDM_Settings!$F$6,MCDM_Settings!$D$6))</f>
        <v>1</v>
      </c>
      <c r="AF225" s="12">
        <f>IF(IF($D225="Unlabeled-13",MCDM_Settings!$F$7,MCDM_Settings!$D$7)=0,"n.a.",5*COUNTIF(P225:R225,"Y")/IF($D225="Unlabeled-13",MCDM_Settings!$F$7,MCDM_Settings!$D$7))</f>
        <v>0</v>
      </c>
      <c r="AG225" s="12">
        <f>IF(IF($D225="Unlabeled-13",MCDM_Settings!$F$7,MCDM_Settings!$D$7)=0,"n.a.",5*(COUNTIF(P225:R225,"Y")+COUNTIF(P225:R225,"U")+COUNTIF(P225:R225,"X"))/IF($D225="Unlabeled-13",MCDM_Settings!$F$7,MCDM_Settings!$D$7))</f>
        <v>5</v>
      </c>
      <c r="AH225" s="13">
        <f>IF(IF($D225="Unlabeled-13",MCDM_Settings!$F$7,MCDM_Settings!$D$7)=0,"n.a.",(COUNTIF(P225:R225,"Y")+COUNTIF(P225:R225,"N"))/IF($D225="Unlabeled-13",MCDM_Settings!$F$7,MCDM_Settings!$D$7))</f>
        <v>0</v>
      </c>
      <c r="AI225" s="12">
        <f>IF(IF($D225="Unlabeled-13",MCDM_Settings!$F$8,MCDM_Settings!$D$8)=0,"n.a.",5*COUNTIF(S225:U225,"Y")/IF($D225="Unlabeled-13",MCDM_Settings!$F$8,MCDM_Settings!$D$8))</f>
        <v>3.3333333333333335</v>
      </c>
      <c r="AJ225" s="12">
        <f>IF(IF($D225="Unlabeled-13",MCDM_Settings!$F$8,MCDM_Settings!$D$8)=0,"n.a.",5*(COUNTIF(S225:U225,"Y")+COUNTIF(S225:U225,"U")+COUNTIF(S225:U225,"X"))/IF($D225="Unlabeled-13",MCDM_Settings!$F$8,MCDM_Settings!$D$8))</f>
        <v>5</v>
      </c>
      <c r="AK225" s="13">
        <f>IF(IF($D225="Unlabeled-13",MCDM_Settings!$F$8,MCDM_Settings!$D$8)=0,"n.a.",(COUNTIF(S225:U225,"Y")+COUNTIF(S225:U225,"N"))/IF($D225="Unlabeled-13",MCDM_Settings!$F$8,MCDM_Settings!$D$8))</f>
        <v>0.66666666666666663</v>
      </c>
      <c r="AL225" s="12">
        <f>IF(IF($D225="Unlabeled-13",MCDM_Settings!$F$9,MCDM_Settings!$D$9)=0,"n.a.",5*COUNTIF(V225:W225,"Y")/IF($D225="Unlabeled-13",MCDM_Settings!$F$9,MCDM_Settings!$D$9))</f>
        <v>5</v>
      </c>
      <c r="AM225" s="12">
        <f>IF(IF($D225="Unlabeled-13",MCDM_Settings!$F$9,MCDM_Settings!$D$9)=0,"n.a.",5*(COUNTIF(V225:W225,"Y")+COUNTIF(V225:W225,"U")+COUNTIF(V225:W225,"X"))/IF($D225="Unlabeled-13",MCDM_Settings!$F$9,MCDM_Settings!$D$9))</f>
        <v>5</v>
      </c>
      <c r="AN225" s="13">
        <f>IF(IF($D225="Unlabeled-13",MCDM_Settings!$F$9,MCDM_Settings!$D$9)=0,"n.a.",(COUNTIF(V225:W225,"Y")+COUNTIF(V225:W225,"N"))/IF($D225="Unlabeled-13",MCDM_Settings!$F$9,MCDM_Settings!$D$9))</f>
        <v>1</v>
      </c>
      <c r="AO225" s="12">
        <f>IF(IF($D225="Unlabeled-13",MCDM_Settings!$F$10,MCDM_Settings!$D$10)=0,"n.a.",5*COUNTIF(X225:Y225,"Y")/IF($D225="Unlabeled-13",MCDM_Settings!$F$10,MCDM_Settings!$D$10))</f>
        <v>5</v>
      </c>
      <c r="AP225" s="12">
        <f>IF(IF($D225="Unlabeled-13",MCDM_Settings!$F$10,MCDM_Settings!$D$10)=0,"n.a.",5*(COUNTIF(X225:Y225,"Y")+COUNTIF(X225:Y225,"U")+COUNTIF(X225:Y225,"X"))/IF($D225="Unlabeled-13",MCDM_Settings!$F$10,MCDM_Settings!$D$10))</f>
        <v>5</v>
      </c>
      <c r="AQ225" s="13">
        <f>IF(IF($D225="Unlabeled-13",MCDM_Settings!$F$10,MCDM_Settings!$D$10)=0,"n.a.",(COUNTIF(X225:Y225,"Y")+COUNTIF(X225:Y225,"N"))/IF($D225="Unlabeled-13",MCDM_Settings!$F$10,MCDM_Settings!$D$10))</f>
        <v>1</v>
      </c>
      <c r="AR225" s="12">
        <f>IF(IF($D225="Unlabeled-13",MCDM_Settings!$F$11,MCDM_Settings!$D$11)=0,"n.a.",5*COUNTIF(Z225:AB225,"Y")/IF($D225="Unlabeled-13",MCDM_Settings!$F$11,MCDM_Settings!$D$11))</f>
        <v>1.6666666666666667</v>
      </c>
      <c r="AS225" s="12">
        <f>IF(IF($D225="Unlabeled-13",MCDM_Settings!$F$11,MCDM_Settings!$D$11)=0,"n.a.",5*(COUNTIF(Z225:AB225,"Y")+COUNTIF(Z225:AB225,"U")+COUNTIF(Z225:AB225,"X"))/IF($D225="Unlabeled-13",MCDM_Settings!$F$11,MCDM_Settings!$D$11))</f>
        <v>5</v>
      </c>
      <c r="AT225" s="13">
        <f>IF(IF($D225="Unlabeled-13",MCDM_Settings!$F$11,MCDM_Settings!$D$11)=0,"n.a.",(COUNTIF(Z225:AB225,"Y")+COUNTIF(Z225:AB225,"N"))/IF($D225="Unlabeled-13",MCDM_Settings!$F$11,MCDM_Settings!$D$11))</f>
        <v>0.33333333333333331</v>
      </c>
      <c r="AU225" s="5" t="str">
        <f>IF(AND(INDEX(Manual_Review!$G$6:$G$238,MATCH(A225,Manual_Review!$A$6:$A$238,0))&lt;&gt;"",ISNUMBER(INDEX(Manual_Review!$H$6:$H$238,MATCH(A225,Manual_Review!$A$6:$A$238,0))),INDEX(Manual_Review!$H$6:$H$238,MATCH(A225,Manual_Review!$A$6:$A$238,0))&gt;0,INDEX(Manual_Review!$I$6:$I$238,MATCH(A225,Manual_Review!$A$6:$A$238,0))="Confirmed",INDEX(Manual_Review!$AF$6:$AF$238,MATCH(A225,Manual_Review!$A$6:$A$238,0))&lt;&gt;""),IF(INDEX(Manual_Review!$AA$6:$AA$238,MATCH(A225,Manual_Review!$A$6:$A$238,0))="Pass","Pass",IF(INDEX(Manual_Review!$AA$6:$AA$238,MATCH(A225,Manual_Review!$A$6:$A$238,0))="Fail","Fail","Pending")),"Pending human identity confirmation")</f>
        <v>Pending human identity confirmation</v>
      </c>
      <c r="AV225" s="5" t="str">
        <f>IF(AND(AND(INDEX(Manual_Review!$G$6:$G$238,MATCH(A225,Manual_Review!$A$6:$A$238,0))&lt;&gt;"",ISNUMBER(INDEX(Manual_Review!$H$6:$H$238,MATCH(A225,Manual_Review!$A$6:$A$238,0))),INDEX(Manual_Review!$H$6:$H$238,MATCH(A225,Manual_Review!$A$6:$A$238,0))&gt;0,INDEX(Manual_Review!$I$6:$I$238,MATCH(A225,Manual_Review!$A$6:$A$238,0))="Confirmed",INDEX(Manual_Review!$AF$6:$AF$238,MATCH(A225,Manual_Review!$A$6:$A$238,0))&lt;&gt;""),INDEX(Manual_Review!$AG$6:$AG$238,MATCH(A225,Manual_Review!$A$6:$A$238,0))&lt;&gt;""),IF(INDEX(Manual_Review!$AB$6:$AB$238,MATCH(A225,Manual_Review!$A$6:$A$238,0))="Pass","Pass",IF(INDEX(Manual_Review!$AB$6:$AB$238,MATCH(A225,Manual_Review!$A$6:$A$238,0))="Fail","Fail","Pending")),"Not assessed: define intended task")</f>
        <v>Not assessed: define intended task</v>
      </c>
      <c r="AW225" s="5" t="str">
        <f>IF(AND(AND(INDEX(Manual_Review!$G$6:$G$238,MATCH(A225,Manual_Review!$A$6:$A$238,0))&lt;&gt;"",ISNUMBER(INDEX(Manual_Review!$H$6:$H$238,MATCH(A225,Manual_Review!$A$6:$A$238,0))),INDEX(Manual_Review!$H$6:$H$238,MATCH(A225,Manual_Review!$A$6:$A$238,0))&gt;0,INDEX(Manual_Review!$I$6:$I$238,MATCH(A225,Manual_Review!$A$6:$A$238,0))="Confirmed",INDEX(Manual_Review!$AF$6:$AF$238,MATCH(A225,Manual_Review!$A$6:$A$238,0))&lt;&gt;""),INDEX(Manual_Review!$AG$6:$AG$238,MATCH(A225,Manual_Review!$A$6:$A$238,0))&lt;&gt;""),IF(OR(INDEX(Manual_Review!$AC$6:$AC$238,MATCH(A225,Manual_Review!$A$6:$A$238,0))="Fail",INDEX(Manual_Review!$AD$6:$AD$238,MATCH(A225,Manual_Review!$A$6:$A$238,0))="Fail"),"Fail: rights or retrieval",IF(AND(INDEX(Manual_Review!$AC$6:$AC$238,MATCH(A225,Manual_Review!$A$6:$A$238,0))="Pass",INDEX(Manual_Review!$AD$6:$AD$238,MATCH(A225,Manual_Review!$A$6:$A$238,0))="Pass"),"Pass","Pending rights and retrieval")),"Pending rights and retrieval")</f>
        <v>Pending rights and retrieval</v>
      </c>
      <c r="AX225" s="5" t="str">
        <f>IF(INDEX(Manual_Review!$AG$6:$AG$238,MATCH(A225,Manual_Review!$A$6:$A$238,0))="","N/A: documentation inventory",IF(AND(INDEX(Manual_Review!$G$6:$G$238,MATCH(A225,Manual_Review!$A$6:$A$238,0))&lt;&gt;"",ISNUMBER(INDEX(Manual_Review!$H$6:$H$238,MATCH(A225,Manual_Review!$A$6:$A$238,0))),INDEX(Manual_Review!$H$6:$H$238,MATCH(A225,Manual_Review!$A$6:$A$238,0))&gt;0,INDEX(Manual_Review!$I$6:$I$238,MATCH(A225,Manual_Review!$A$6:$A$238,0))="Confirmed",INDEX(Manual_Review!$AF$6:$AF$238,MATCH(A225,Manual_Review!$A$6:$A$238,0))&lt;&gt;""),IF(INDEX(Manual_Review!$AE$6:$AE$238,MATCH(A225,Manual_Review!$A$6:$A$238,0))="Pass","Pass",IF(INDEX(Manual_Review!$AE$6:$AE$238,MATCH(A225,Manual_Review!$A$6:$A$238,0))="Fail","Fail: benchmark leakage",IF(INDEX(Manual_Review!$AE$6:$AE$238,MATCH(A225,Manual_Review!$A$6:$A$238,0))="N/A","N/A: nonbenchmark task","Pending task-specific leakage check"))),"Pending task-specific leakage check"))</f>
        <v>N/A: documentation inventory</v>
      </c>
      <c r="AY225" s="5" t="str">
        <f>IF(IF(D225="Unlabeled-13",AND(ABS(MCDM_Settings!$D$14-1)&lt;0.0000001,MIN(MCDM_Settings!$E$6:$E$11)&gt;=0,MCDM_Settings!$E$7=0),AND(ABS(MCDM_Settings!$B$14-1)&lt;0.0000001,MIN(MCDM_Settings!$C$6:$C$11)&gt;=0)),"Valid","Check weights")</f>
        <v>Valid</v>
      </c>
      <c r="AZ225" s="5" t="str">
        <f>IF(AND(COUNTIF(MCDM_Checks!$B$6:$B$3733,A225)=16,COUNTIF(Manual_Review!$A$6:$A$238,A225)=1),"16 keys present","Check key count")</f>
        <v>16 keys present</v>
      </c>
    </row>
    <row r="226" spans="1:52">
      <c r="A226" s="5" t="s">
        <v>2568</v>
      </c>
      <c r="B226" s="5" t="s">
        <v>2569</v>
      </c>
      <c r="C226" s="5"/>
      <c r="D226" s="5" t="s">
        <v>118</v>
      </c>
      <c r="E226" s="12">
        <f>IF(OR(AY226&lt;&gt;"Valid",AZ226&lt;&gt;"16 keys present"),"Review settings",20*(IF(ISNUMBER(AC226),AC226*IF($D226="Unlabeled-13",MCDM_Settings!$E$6,MCDM_Settings!$C$6),0)+IF(ISNUMBER(AF226),AF226*IF($D226="Unlabeled-13",MCDM_Settings!$E$7,MCDM_Settings!$C$7),0)+IF(ISNUMBER(AI226),AI226*IF($D226="Unlabeled-13",MCDM_Settings!$E$8,MCDM_Settings!$C$8),0)+IF(ISNUMBER(AL226),AL226*IF($D226="Unlabeled-13",MCDM_Settings!$E$9,MCDM_Settings!$C$9),0)+IF(ISNUMBER(AO226),AO226*IF($D226="Unlabeled-13",MCDM_Settings!$E$10,MCDM_Settings!$C$10),0)+IF(ISNUMBER(AR226),AR226*IF($D226="Unlabeled-13",MCDM_Settings!$E$11,MCDM_Settings!$C$11),0)))</f>
        <v>63.888888888888893</v>
      </c>
      <c r="F226" s="12">
        <f>IF(OR(AY226&lt;&gt;"Valid",AZ226&lt;&gt;"16 keys present"),"Review settings",20*(IF(ISNUMBER(AD226),AD226*IF($D226="Unlabeled-13",MCDM_Settings!$E$6,MCDM_Settings!$C$6),0)+IF(ISNUMBER(AG226),AG226*IF($D226="Unlabeled-13",MCDM_Settings!$E$7,MCDM_Settings!$C$7),0)+IF(ISNUMBER(AJ226),AJ226*IF($D226="Unlabeled-13",MCDM_Settings!$E$8,MCDM_Settings!$C$8),0)+IF(ISNUMBER(AM226),AM226*IF($D226="Unlabeled-13",MCDM_Settings!$E$9,MCDM_Settings!$C$9),0)+IF(ISNUMBER(AP226),AP226*IF($D226="Unlabeled-13",MCDM_Settings!$E$10,MCDM_Settings!$C$10),0)+IF(ISNUMBER(AS226),AS226*IF($D226="Unlabeled-13",MCDM_Settings!$E$11,MCDM_Settings!$C$11),0)))</f>
        <v>99.999999999999986</v>
      </c>
      <c r="G226" s="13">
        <f>IF(OR(AY226&lt;&gt;"Valid",AZ226&lt;&gt;"16 keys present"),"Review settings",1*(IF(ISNUMBER(AE226),AE226*IF($D226="Unlabeled-13",MCDM_Settings!$E$6,MCDM_Settings!$C$6),0)+IF(ISNUMBER(AH226),AH226*IF($D226="Unlabeled-13",MCDM_Settings!$E$7,MCDM_Settings!$C$7),0)+IF(ISNUMBER(AK226),AK226*IF($D226="Unlabeled-13",MCDM_Settings!$E$8,MCDM_Settings!$C$8),0)+IF(ISNUMBER(AN226),AN226*IF($D226="Unlabeled-13",MCDM_Settings!$E$9,MCDM_Settings!$C$9),0)+IF(ISNUMBER(AQ226),AQ226*IF($D226="Unlabeled-13",MCDM_Settings!$E$10,MCDM_Settings!$C$10),0)+IF(ISNUMBER(AT226),AT226*IF($D226="Unlabeled-13",MCDM_Settings!$E$11,MCDM_Settings!$C$11),0)))</f>
        <v>0.63888888888888884</v>
      </c>
      <c r="H226" s="5" t="str">
        <f>INDEX(Manual_Review!$AH$6:$AH$238,MATCH(A226,Manual_Review!$A$6:$A$238,0))</f>
        <v>Not started</v>
      </c>
      <c r="I226" s="5" t="s">
        <v>182</v>
      </c>
      <c r="J226" s="5" t="s">
        <v>2570</v>
      </c>
      <c r="K226" s="5" t="str">
        <f>HYPERLINK("https://www.nuscenes.org/nuscenes","Dataset")</f>
        <v>Dataset</v>
      </c>
      <c r="L226" s="5" t="str">
        <f>HYPERLINK("#'Manual_Review'!A"&amp;(MATCH("DS-221",Manual_Review!$A$6:$A$238,0)+5),"Enter review")</f>
        <v>Enter review</v>
      </c>
      <c r="M226" s="5" t="str">
        <f>INDEX(MCDM_Checks!$K$6:$K$3733,MATCH(A226&amp;"|"&amp;M$5,MCDM_Checks!$A$6:$A$3733,0))</f>
        <v>Y</v>
      </c>
      <c r="N226" s="5" t="str">
        <f>INDEX(MCDM_Checks!$K$6:$K$3733,MATCH(A226&amp;"|"&amp;N$5,MCDM_Checks!$A$6:$A$3733,0))</f>
        <v>Y</v>
      </c>
      <c r="O226" s="5" t="str">
        <f>INDEX(MCDM_Checks!$K$6:$K$3733,MATCH(A226&amp;"|"&amp;O$5,MCDM_Checks!$A$6:$A$3733,0))</f>
        <v>Y</v>
      </c>
      <c r="P226" s="5" t="str">
        <f>INDEX(MCDM_Checks!$K$6:$K$3733,MATCH(A226&amp;"|"&amp;P$5,MCDM_Checks!$A$6:$A$3733,0))</f>
        <v>Y</v>
      </c>
      <c r="Q226" s="5" t="str">
        <f>INDEX(MCDM_Checks!$K$6:$K$3733,MATCH(A226&amp;"|"&amp;Q$5,MCDM_Checks!$A$6:$A$3733,0))</f>
        <v>U</v>
      </c>
      <c r="R226" s="5" t="str">
        <f>INDEX(MCDM_Checks!$K$6:$K$3733,MATCH(A226&amp;"|"&amp;R$5,MCDM_Checks!$A$6:$A$3733,0))</f>
        <v>U</v>
      </c>
      <c r="S226" s="5" t="str">
        <f>INDEX(MCDM_Checks!$K$6:$K$3733,MATCH(A226&amp;"|"&amp;S$5,MCDM_Checks!$A$6:$A$3733,0))</f>
        <v>U</v>
      </c>
      <c r="T226" s="5" t="str">
        <f>INDEX(MCDM_Checks!$K$6:$K$3733,MATCH(A226&amp;"|"&amp;T$5,MCDM_Checks!$A$6:$A$3733,0))</f>
        <v>Y</v>
      </c>
      <c r="U226" s="5" t="str">
        <f>INDEX(MCDM_Checks!$K$6:$K$3733,MATCH(A226&amp;"|"&amp;U$5,MCDM_Checks!$A$6:$A$3733,0))</f>
        <v>Y</v>
      </c>
      <c r="V226" s="5" t="str">
        <f>INDEX(MCDM_Checks!$K$6:$K$3733,MATCH(A226&amp;"|"&amp;V$5,MCDM_Checks!$A$6:$A$3733,0))</f>
        <v>Y</v>
      </c>
      <c r="W226" s="5" t="str">
        <f>INDEX(MCDM_Checks!$K$6:$K$3733,MATCH(A226&amp;"|"&amp;W$5,MCDM_Checks!$A$6:$A$3733,0))</f>
        <v>U</v>
      </c>
      <c r="X226" s="5" t="str">
        <f>INDEX(MCDM_Checks!$K$6:$K$3733,MATCH(A226&amp;"|"&amp;X$5,MCDM_Checks!$A$6:$A$3733,0))</f>
        <v>Y</v>
      </c>
      <c r="Y226" s="5" t="str">
        <f>INDEX(MCDM_Checks!$K$6:$K$3733,MATCH(A226&amp;"|"&amp;Y$5,MCDM_Checks!$A$6:$A$3733,0))</f>
        <v>Y</v>
      </c>
      <c r="Z226" s="5" t="str">
        <f>INDEX(MCDM_Checks!$K$6:$K$3733,MATCH(A226&amp;"|"&amp;Z$5,MCDM_Checks!$A$6:$A$3733,0))</f>
        <v>Y</v>
      </c>
      <c r="AA226" s="5" t="str">
        <f>INDEX(MCDM_Checks!$K$6:$K$3733,MATCH(A226&amp;"|"&amp;AA$5,MCDM_Checks!$A$6:$A$3733,0))</f>
        <v>U</v>
      </c>
      <c r="AB226" s="5" t="str">
        <f>INDEX(MCDM_Checks!$K$6:$K$3733,MATCH(A226&amp;"|"&amp;AB$5,MCDM_Checks!$A$6:$A$3733,0))</f>
        <v>U</v>
      </c>
      <c r="AC226" s="12">
        <f>IF(IF($D226="Unlabeled-13",MCDM_Settings!$F$6,MCDM_Settings!$D$6)=0,"n.a.",5*COUNTIF(M226:O226,"Y")/IF($D226="Unlabeled-13",MCDM_Settings!$F$6,MCDM_Settings!$D$6))</f>
        <v>5</v>
      </c>
      <c r="AD226" s="12">
        <f>IF(IF($D226="Unlabeled-13",MCDM_Settings!$F$6,MCDM_Settings!$D$6)=0,"n.a.",5*(COUNTIF(M226:O226,"Y")+COUNTIF(M226:O226,"U")+COUNTIF(M226:O226,"X"))/IF($D226="Unlabeled-13",MCDM_Settings!$F$6,MCDM_Settings!$D$6))</f>
        <v>5</v>
      </c>
      <c r="AE226" s="13">
        <f>IF(IF($D226="Unlabeled-13",MCDM_Settings!$F$6,MCDM_Settings!$D$6)=0,"n.a.",(COUNTIF(M226:O226,"Y")+COUNTIF(M226:O226,"N"))/IF($D226="Unlabeled-13",MCDM_Settings!$F$6,MCDM_Settings!$D$6))</f>
        <v>1</v>
      </c>
      <c r="AF226" s="12">
        <f>IF(IF($D226="Unlabeled-13",MCDM_Settings!$F$7,MCDM_Settings!$D$7)=0,"n.a.",5*COUNTIF(P226:R226,"Y")/IF($D226="Unlabeled-13",MCDM_Settings!$F$7,MCDM_Settings!$D$7))</f>
        <v>1.6666666666666667</v>
      </c>
      <c r="AG226" s="12">
        <f>IF(IF($D226="Unlabeled-13",MCDM_Settings!$F$7,MCDM_Settings!$D$7)=0,"n.a.",5*(COUNTIF(P226:R226,"Y")+COUNTIF(P226:R226,"U")+COUNTIF(P226:R226,"X"))/IF($D226="Unlabeled-13",MCDM_Settings!$F$7,MCDM_Settings!$D$7))</f>
        <v>5</v>
      </c>
      <c r="AH226" s="13">
        <f>IF(IF($D226="Unlabeled-13",MCDM_Settings!$F$7,MCDM_Settings!$D$7)=0,"n.a.",(COUNTIF(P226:R226,"Y")+COUNTIF(P226:R226,"N"))/IF($D226="Unlabeled-13",MCDM_Settings!$F$7,MCDM_Settings!$D$7))</f>
        <v>0.33333333333333331</v>
      </c>
      <c r="AI226" s="12">
        <f>IF(IF($D226="Unlabeled-13",MCDM_Settings!$F$8,MCDM_Settings!$D$8)=0,"n.a.",5*COUNTIF(S226:U226,"Y")/IF($D226="Unlabeled-13",MCDM_Settings!$F$8,MCDM_Settings!$D$8))</f>
        <v>3.3333333333333335</v>
      </c>
      <c r="AJ226" s="12">
        <f>IF(IF($D226="Unlabeled-13",MCDM_Settings!$F$8,MCDM_Settings!$D$8)=0,"n.a.",5*(COUNTIF(S226:U226,"Y")+COUNTIF(S226:U226,"U")+COUNTIF(S226:U226,"X"))/IF($D226="Unlabeled-13",MCDM_Settings!$F$8,MCDM_Settings!$D$8))</f>
        <v>5</v>
      </c>
      <c r="AK226" s="13">
        <f>IF(IF($D226="Unlabeled-13",MCDM_Settings!$F$8,MCDM_Settings!$D$8)=0,"n.a.",(COUNTIF(S226:U226,"Y")+COUNTIF(S226:U226,"N"))/IF($D226="Unlabeled-13",MCDM_Settings!$F$8,MCDM_Settings!$D$8))</f>
        <v>0.66666666666666663</v>
      </c>
      <c r="AL226" s="12">
        <f>IF(IF($D226="Unlabeled-13",MCDM_Settings!$F$9,MCDM_Settings!$D$9)=0,"n.a.",5*COUNTIF(V226:W226,"Y")/IF($D226="Unlabeled-13",MCDM_Settings!$F$9,MCDM_Settings!$D$9))</f>
        <v>2.5</v>
      </c>
      <c r="AM226" s="12">
        <f>IF(IF($D226="Unlabeled-13",MCDM_Settings!$F$9,MCDM_Settings!$D$9)=0,"n.a.",5*(COUNTIF(V226:W226,"Y")+COUNTIF(V226:W226,"U")+COUNTIF(V226:W226,"X"))/IF($D226="Unlabeled-13",MCDM_Settings!$F$9,MCDM_Settings!$D$9))</f>
        <v>5</v>
      </c>
      <c r="AN226" s="13">
        <f>IF(IF($D226="Unlabeled-13",MCDM_Settings!$F$9,MCDM_Settings!$D$9)=0,"n.a.",(COUNTIF(V226:W226,"Y")+COUNTIF(V226:W226,"N"))/IF($D226="Unlabeled-13",MCDM_Settings!$F$9,MCDM_Settings!$D$9))</f>
        <v>0.5</v>
      </c>
      <c r="AO226" s="12">
        <f>IF(IF($D226="Unlabeled-13",MCDM_Settings!$F$10,MCDM_Settings!$D$10)=0,"n.a.",5*COUNTIF(X226:Y226,"Y")/IF($D226="Unlabeled-13",MCDM_Settings!$F$10,MCDM_Settings!$D$10))</f>
        <v>5</v>
      </c>
      <c r="AP226" s="12">
        <f>IF(IF($D226="Unlabeled-13",MCDM_Settings!$F$10,MCDM_Settings!$D$10)=0,"n.a.",5*(COUNTIF(X226:Y226,"Y")+COUNTIF(X226:Y226,"U")+COUNTIF(X226:Y226,"X"))/IF($D226="Unlabeled-13",MCDM_Settings!$F$10,MCDM_Settings!$D$10))</f>
        <v>5</v>
      </c>
      <c r="AQ226" s="13">
        <f>IF(IF($D226="Unlabeled-13",MCDM_Settings!$F$10,MCDM_Settings!$D$10)=0,"n.a.",(COUNTIF(X226:Y226,"Y")+COUNTIF(X226:Y226,"N"))/IF($D226="Unlabeled-13",MCDM_Settings!$F$10,MCDM_Settings!$D$10))</f>
        <v>1</v>
      </c>
      <c r="AR226" s="12">
        <f>IF(IF($D226="Unlabeled-13",MCDM_Settings!$F$11,MCDM_Settings!$D$11)=0,"n.a.",5*COUNTIF(Z226:AB226,"Y")/IF($D226="Unlabeled-13",MCDM_Settings!$F$11,MCDM_Settings!$D$11))</f>
        <v>1.6666666666666667</v>
      </c>
      <c r="AS226" s="12">
        <f>IF(IF($D226="Unlabeled-13",MCDM_Settings!$F$11,MCDM_Settings!$D$11)=0,"n.a.",5*(COUNTIF(Z226:AB226,"Y")+COUNTIF(Z226:AB226,"U")+COUNTIF(Z226:AB226,"X"))/IF($D226="Unlabeled-13",MCDM_Settings!$F$11,MCDM_Settings!$D$11))</f>
        <v>5</v>
      </c>
      <c r="AT226" s="13">
        <f>IF(IF($D226="Unlabeled-13",MCDM_Settings!$F$11,MCDM_Settings!$D$11)=0,"n.a.",(COUNTIF(Z226:AB226,"Y")+COUNTIF(Z226:AB226,"N"))/IF($D226="Unlabeled-13",MCDM_Settings!$F$11,MCDM_Settings!$D$11))</f>
        <v>0.33333333333333331</v>
      </c>
      <c r="AU226" s="5" t="str">
        <f>IF(AND(INDEX(Manual_Review!$G$6:$G$238,MATCH(A226,Manual_Review!$A$6:$A$238,0))&lt;&gt;"",ISNUMBER(INDEX(Manual_Review!$H$6:$H$238,MATCH(A226,Manual_Review!$A$6:$A$238,0))),INDEX(Manual_Review!$H$6:$H$238,MATCH(A226,Manual_Review!$A$6:$A$238,0))&gt;0,INDEX(Manual_Review!$I$6:$I$238,MATCH(A226,Manual_Review!$A$6:$A$238,0))="Confirmed",INDEX(Manual_Review!$AF$6:$AF$238,MATCH(A226,Manual_Review!$A$6:$A$238,0))&lt;&gt;""),IF(INDEX(Manual_Review!$AA$6:$AA$238,MATCH(A226,Manual_Review!$A$6:$A$238,0))="Pass","Pass",IF(INDEX(Manual_Review!$AA$6:$AA$238,MATCH(A226,Manual_Review!$A$6:$A$238,0))="Fail","Fail","Pending")),"Pending human identity confirmation")</f>
        <v>Pending human identity confirmation</v>
      </c>
      <c r="AV226" s="5" t="str">
        <f>IF(AND(AND(INDEX(Manual_Review!$G$6:$G$238,MATCH(A226,Manual_Review!$A$6:$A$238,0))&lt;&gt;"",ISNUMBER(INDEX(Manual_Review!$H$6:$H$238,MATCH(A226,Manual_Review!$A$6:$A$238,0))),INDEX(Manual_Review!$H$6:$H$238,MATCH(A226,Manual_Review!$A$6:$A$238,0))&gt;0,INDEX(Manual_Review!$I$6:$I$238,MATCH(A226,Manual_Review!$A$6:$A$238,0))="Confirmed",INDEX(Manual_Review!$AF$6:$AF$238,MATCH(A226,Manual_Review!$A$6:$A$238,0))&lt;&gt;""),INDEX(Manual_Review!$AG$6:$AG$238,MATCH(A226,Manual_Review!$A$6:$A$238,0))&lt;&gt;""),IF(INDEX(Manual_Review!$AB$6:$AB$238,MATCH(A226,Manual_Review!$A$6:$A$238,0))="Pass","Pass",IF(INDEX(Manual_Review!$AB$6:$AB$238,MATCH(A226,Manual_Review!$A$6:$A$238,0))="Fail","Fail","Pending")),"Not assessed: define intended task")</f>
        <v>Not assessed: define intended task</v>
      </c>
      <c r="AW226" s="5" t="str">
        <f>IF(AND(AND(INDEX(Manual_Review!$G$6:$G$238,MATCH(A226,Manual_Review!$A$6:$A$238,0))&lt;&gt;"",ISNUMBER(INDEX(Manual_Review!$H$6:$H$238,MATCH(A226,Manual_Review!$A$6:$A$238,0))),INDEX(Manual_Review!$H$6:$H$238,MATCH(A226,Manual_Review!$A$6:$A$238,0))&gt;0,INDEX(Manual_Review!$I$6:$I$238,MATCH(A226,Manual_Review!$A$6:$A$238,0))="Confirmed",INDEX(Manual_Review!$AF$6:$AF$238,MATCH(A226,Manual_Review!$A$6:$A$238,0))&lt;&gt;""),INDEX(Manual_Review!$AG$6:$AG$238,MATCH(A226,Manual_Review!$A$6:$A$238,0))&lt;&gt;""),IF(OR(INDEX(Manual_Review!$AC$6:$AC$238,MATCH(A226,Manual_Review!$A$6:$A$238,0))="Fail",INDEX(Manual_Review!$AD$6:$AD$238,MATCH(A226,Manual_Review!$A$6:$A$238,0))="Fail"),"Fail: rights or retrieval",IF(AND(INDEX(Manual_Review!$AC$6:$AC$238,MATCH(A226,Manual_Review!$A$6:$A$238,0))="Pass",INDEX(Manual_Review!$AD$6:$AD$238,MATCH(A226,Manual_Review!$A$6:$A$238,0))="Pass"),"Pass","Pending rights and retrieval")),"Pending rights and retrieval")</f>
        <v>Pending rights and retrieval</v>
      </c>
      <c r="AX226" s="5" t="str">
        <f>IF(INDEX(Manual_Review!$AG$6:$AG$238,MATCH(A226,Manual_Review!$A$6:$A$238,0))="","N/A: documentation inventory",IF(AND(INDEX(Manual_Review!$G$6:$G$238,MATCH(A226,Manual_Review!$A$6:$A$238,0))&lt;&gt;"",ISNUMBER(INDEX(Manual_Review!$H$6:$H$238,MATCH(A226,Manual_Review!$A$6:$A$238,0))),INDEX(Manual_Review!$H$6:$H$238,MATCH(A226,Manual_Review!$A$6:$A$238,0))&gt;0,INDEX(Manual_Review!$I$6:$I$238,MATCH(A226,Manual_Review!$A$6:$A$238,0))="Confirmed",INDEX(Manual_Review!$AF$6:$AF$238,MATCH(A226,Manual_Review!$A$6:$A$238,0))&lt;&gt;""),IF(INDEX(Manual_Review!$AE$6:$AE$238,MATCH(A226,Manual_Review!$A$6:$A$238,0))="Pass","Pass",IF(INDEX(Manual_Review!$AE$6:$AE$238,MATCH(A226,Manual_Review!$A$6:$A$238,0))="Fail","Fail: benchmark leakage",IF(INDEX(Manual_Review!$AE$6:$AE$238,MATCH(A226,Manual_Review!$A$6:$A$238,0))="N/A","N/A: nonbenchmark task","Pending task-specific leakage check"))),"Pending task-specific leakage check"))</f>
        <v>N/A: documentation inventory</v>
      </c>
      <c r="AY226" s="5" t="str">
        <f>IF(IF(D226="Unlabeled-13",AND(ABS(MCDM_Settings!$D$14-1)&lt;0.0000001,MIN(MCDM_Settings!$E$6:$E$11)&gt;=0,MCDM_Settings!$E$7=0),AND(ABS(MCDM_Settings!$B$14-1)&lt;0.0000001,MIN(MCDM_Settings!$C$6:$C$11)&gt;=0)),"Valid","Check weights")</f>
        <v>Valid</v>
      </c>
      <c r="AZ226" s="5" t="str">
        <f>IF(AND(COUNTIF(MCDM_Checks!$B$6:$B$3733,A226)=16,COUNTIF(Manual_Review!$A$6:$A$238,A226)=1),"16 keys present","Check key count")</f>
        <v>16 keys present</v>
      </c>
    </row>
    <row r="227" spans="1:52">
      <c r="A227" s="5" t="s">
        <v>2580</v>
      </c>
      <c r="B227" s="5" t="s">
        <v>2581</v>
      </c>
      <c r="C227" s="5"/>
      <c r="D227" s="5" t="s">
        <v>118</v>
      </c>
      <c r="E227" s="12">
        <f>IF(OR(AY227&lt;&gt;"Valid",AZ227&lt;&gt;"16 keys present"),"Review settings",20*(IF(ISNUMBER(AC227),AC227*IF($D227="Unlabeled-13",MCDM_Settings!$E$6,MCDM_Settings!$C$6),0)+IF(ISNUMBER(AF227),AF227*IF($D227="Unlabeled-13",MCDM_Settings!$E$7,MCDM_Settings!$C$7),0)+IF(ISNUMBER(AI227),AI227*IF($D227="Unlabeled-13",MCDM_Settings!$E$8,MCDM_Settings!$C$8),0)+IF(ISNUMBER(AL227),AL227*IF($D227="Unlabeled-13",MCDM_Settings!$E$9,MCDM_Settings!$C$9),0)+IF(ISNUMBER(AO227),AO227*IF($D227="Unlabeled-13",MCDM_Settings!$E$10,MCDM_Settings!$C$10),0)+IF(ISNUMBER(AR227),AR227*IF($D227="Unlabeled-13",MCDM_Settings!$E$11,MCDM_Settings!$C$11),0)))</f>
        <v>63.888888888888872</v>
      </c>
      <c r="F227" s="12">
        <f>IF(OR(AY227&lt;&gt;"Valid",AZ227&lt;&gt;"16 keys present"),"Review settings",20*(IF(ISNUMBER(AD227),AD227*IF($D227="Unlabeled-13",MCDM_Settings!$E$6,MCDM_Settings!$C$6),0)+IF(ISNUMBER(AG227),AG227*IF($D227="Unlabeled-13",MCDM_Settings!$E$7,MCDM_Settings!$C$7),0)+IF(ISNUMBER(AJ227),AJ227*IF($D227="Unlabeled-13",MCDM_Settings!$E$8,MCDM_Settings!$C$8),0)+IF(ISNUMBER(AM227),AM227*IF($D227="Unlabeled-13",MCDM_Settings!$E$9,MCDM_Settings!$C$9),0)+IF(ISNUMBER(AP227),AP227*IF($D227="Unlabeled-13",MCDM_Settings!$E$10,MCDM_Settings!$C$10),0)+IF(ISNUMBER(AS227),AS227*IF($D227="Unlabeled-13",MCDM_Settings!$E$11,MCDM_Settings!$C$11),0)))</f>
        <v>99.999999999999986</v>
      </c>
      <c r="G227" s="13">
        <f>IF(OR(AY227&lt;&gt;"Valid",AZ227&lt;&gt;"16 keys present"),"Review settings",1*(IF(ISNUMBER(AE227),AE227*IF($D227="Unlabeled-13",MCDM_Settings!$E$6,MCDM_Settings!$C$6),0)+IF(ISNUMBER(AH227),AH227*IF($D227="Unlabeled-13",MCDM_Settings!$E$7,MCDM_Settings!$C$7),0)+IF(ISNUMBER(AK227),AK227*IF($D227="Unlabeled-13",MCDM_Settings!$E$8,MCDM_Settings!$C$8),0)+IF(ISNUMBER(AN227),AN227*IF($D227="Unlabeled-13",MCDM_Settings!$E$9,MCDM_Settings!$C$9),0)+IF(ISNUMBER(AQ227),AQ227*IF($D227="Unlabeled-13",MCDM_Settings!$E$10,MCDM_Settings!$C$10),0)+IF(ISNUMBER(AT227),AT227*IF($D227="Unlabeled-13",MCDM_Settings!$E$11,MCDM_Settings!$C$11),0)))</f>
        <v>0.63888888888888884</v>
      </c>
      <c r="H227" s="5" t="str">
        <f>INDEX(Manual_Review!$AH$6:$AH$238,MATCH(A227,Manual_Review!$A$6:$A$238,0))</f>
        <v>Not started</v>
      </c>
      <c r="I227" s="5" t="s">
        <v>182</v>
      </c>
      <c r="J227" s="5" t="s">
        <v>2582</v>
      </c>
      <c r="K227" s="5" t="str">
        <f>HYPERLINK("https://huggingface.co/datasets/nvidia/PhysicalAI-Autonomous-Vehicles","Dataset")</f>
        <v>Dataset</v>
      </c>
      <c r="L227" s="5" t="str">
        <f>HYPERLINK("#'Manual_Review'!A"&amp;(MATCH("DS-222",Manual_Review!$A$6:$A$238,0)+5),"Enter review")</f>
        <v>Enter review</v>
      </c>
      <c r="M227" s="5" t="str">
        <f>INDEX(MCDM_Checks!$K$6:$K$3733,MATCH(A227&amp;"|"&amp;M$5,MCDM_Checks!$A$6:$A$3733,0))</f>
        <v>Y</v>
      </c>
      <c r="N227" s="5" t="str">
        <f>INDEX(MCDM_Checks!$K$6:$K$3733,MATCH(A227&amp;"|"&amp;N$5,MCDM_Checks!$A$6:$A$3733,0))</f>
        <v>Y</v>
      </c>
      <c r="O227" s="5" t="str">
        <f>INDEX(MCDM_Checks!$K$6:$K$3733,MATCH(A227&amp;"|"&amp;O$5,MCDM_Checks!$A$6:$A$3733,0))</f>
        <v>Y</v>
      </c>
      <c r="P227" s="5" t="str">
        <f>INDEX(MCDM_Checks!$K$6:$K$3733,MATCH(A227&amp;"|"&amp;P$5,MCDM_Checks!$A$6:$A$3733,0))</f>
        <v>U</v>
      </c>
      <c r="Q227" s="5" t="str">
        <f>INDEX(MCDM_Checks!$K$6:$K$3733,MATCH(A227&amp;"|"&amp;Q$5,MCDM_Checks!$A$6:$A$3733,0))</f>
        <v>U</v>
      </c>
      <c r="R227" s="5" t="str">
        <f>INDEX(MCDM_Checks!$K$6:$K$3733,MATCH(A227&amp;"|"&amp;R$5,MCDM_Checks!$A$6:$A$3733,0))</f>
        <v>U</v>
      </c>
      <c r="S227" s="5" t="str">
        <f>INDEX(MCDM_Checks!$K$6:$K$3733,MATCH(A227&amp;"|"&amp;S$5,MCDM_Checks!$A$6:$A$3733,0))</f>
        <v>Y</v>
      </c>
      <c r="T227" s="5" t="str">
        <f>INDEX(MCDM_Checks!$K$6:$K$3733,MATCH(A227&amp;"|"&amp;T$5,MCDM_Checks!$A$6:$A$3733,0))</f>
        <v>Y</v>
      </c>
      <c r="U227" s="5" t="str">
        <f>INDEX(MCDM_Checks!$K$6:$K$3733,MATCH(A227&amp;"|"&amp;U$5,MCDM_Checks!$A$6:$A$3733,0))</f>
        <v>Y</v>
      </c>
      <c r="V227" s="5" t="str">
        <f>INDEX(MCDM_Checks!$K$6:$K$3733,MATCH(A227&amp;"|"&amp;V$5,MCDM_Checks!$A$6:$A$3733,0))</f>
        <v>Y</v>
      </c>
      <c r="W227" s="5" t="str">
        <f>INDEX(MCDM_Checks!$K$6:$K$3733,MATCH(A227&amp;"|"&amp;W$5,MCDM_Checks!$A$6:$A$3733,0))</f>
        <v>U</v>
      </c>
      <c r="X227" s="5" t="str">
        <f>INDEX(MCDM_Checks!$K$6:$K$3733,MATCH(A227&amp;"|"&amp;X$5,MCDM_Checks!$A$6:$A$3733,0))</f>
        <v>Y</v>
      </c>
      <c r="Y227" s="5" t="str">
        <f>INDEX(MCDM_Checks!$K$6:$K$3733,MATCH(A227&amp;"|"&amp;Y$5,MCDM_Checks!$A$6:$A$3733,0))</f>
        <v>Y</v>
      </c>
      <c r="Z227" s="5" t="str">
        <f>INDEX(MCDM_Checks!$K$6:$K$3733,MATCH(A227&amp;"|"&amp;Z$5,MCDM_Checks!$A$6:$A$3733,0))</f>
        <v>Y</v>
      </c>
      <c r="AA227" s="5" t="str">
        <f>INDEX(MCDM_Checks!$K$6:$K$3733,MATCH(A227&amp;"|"&amp;AA$5,MCDM_Checks!$A$6:$A$3733,0))</f>
        <v>U</v>
      </c>
      <c r="AB227" s="5" t="str">
        <f>INDEX(MCDM_Checks!$K$6:$K$3733,MATCH(A227&amp;"|"&amp;AB$5,MCDM_Checks!$A$6:$A$3733,0))</f>
        <v>U</v>
      </c>
      <c r="AC227" s="12">
        <f>IF(IF($D227="Unlabeled-13",MCDM_Settings!$F$6,MCDM_Settings!$D$6)=0,"n.a.",5*COUNTIF(M227:O227,"Y")/IF($D227="Unlabeled-13",MCDM_Settings!$F$6,MCDM_Settings!$D$6))</f>
        <v>5</v>
      </c>
      <c r="AD227" s="12">
        <f>IF(IF($D227="Unlabeled-13",MCDM_Settings!$F$6,MCDM_Settings!$D$6)=0,"n.a.",5*(COUNTIF(M227:O227,"Y")+COUNTIF(M227:O227,"U")+COUNTIF(M227:O227,"X"))/IF($D227="Unlabeled-13",MCDM_Settings!$F$6,MCDM_Settings!$D$6))</f>
        <v>5</v>
      </c>
      <c r="AE227" s="13">
        <f>IF(IF($D227="Unlabeled-13",MCDM_Settings!$F$6,MCDM_Settings!$D$6)=0,"n.a.",(COUNTIF(M227:O227,"Y")+COUNTIF(M227:O227,"N"))/IF($D227="Unlabeled-13",MCDM_Settings!$F$6,MCDM_Settings!$D$6))</f>
        <v>1</v>
      </c>
      <c r="AF227" s="12">
        <f>IF(IF($D227="Unlabeled-13",MCDM_Settings!$F$7,MCDM_Settings!$D$7)=0,"n.a.",5*COUNTIF(P227:R227,"Y")/IF($D227="Unlabeled-13",MCDM_Settings!$F$7,MCDM_Settings!$D$7))</f>
        <v>0</v>
      </c>
      <c r="AG227" s="12">
        <f>IF(IF($D227="Unlabeled-13",MCDM_Settings!$F$7,MCDM_Settings!$D$7)=0,"n.a.",5*(COUNTIF(P227:R227,"Y")+COUNTIF(P227:R227,"U")+COUNTIF(P227:R227,"X"))/IF($D227="Unlabeled-13",MCDM_Settings!$F$7,MCDM_Settings!$D$7))</f>
        <v>5</v>
      </c>
      <c r="AH227" s="13">
        <f>IF(IF($D227="Unlabeled-13",MCDM_Settings!$F$7,MCDM_Settings!$D$7)=0,"n.a.",(COUNTIF(P227:R227,"Y")+COUNTIF(P227:R227,"N"))/IF($D227="Unlabeled-13",MCDM_Settings!$F$7,MCDM_Settings!$D$7))</f>
        <v>0</v>
      </c>
      <c r="AI227" s="12">
        <f>IF(IF($D227="Unlabeled-13",MCDM_Settings!$F$8,MCDM_Settings!$D$8)=0,"n.a.",5*COUNTIF(S227:U227,"Y")/IF($D227="Unlabeled-13",MCDM_Settings!$F$8,MCDM_Settings!$D$8))</f>
        <v>5</v>
      </c>
      <c r="AJ227" s="12">
        <f>IF(IF($D227="Unlabeled-13",MCDM_Settings!$F$8,MCDM_Settings!$D$8)=0,"n.a.",5*(COUNTIF(S227:U227,"Y")+COUNTIF(S227:U227,"U")+COUNTIF(S227:U227,"X"))/IF($D227="Unlabeled-13",MCDM_Settings!$F$8,MCDM_Settings!$D$8))</f>
        <v>5</v>
      </c>
      <c r="AK227" s="13">
        <f>IF(IF($D227="Unlabeled-13",MCDM_Settings!$F$8,MCDM_Settings!$D$8)=0,"n.a.",(COUNTIF(S227:U227,"Y")+COUNTIF(S227:U227,"N"))/IF($D227="Unlabeled-13",MCDM_Settings!$F$8,MCDM_Settings!$D$8))</f>
        <v>1</v>
      </c>
      <c r="AL227" s="12">
        <f>IF(IF($D227="Unlabeled-13",MCDM_Settings!$F$9,MCDM_Settings!$D$9)=0,"n.a.",5*COUNTIF(V227:W227,"Y")/IF($D227="Unlabeled-13",MCDM_Settings!$F$9,MCDM_Settings!$D$9))</f>
        <v>2.5</v>
      </c>
      <c r="AM227" s="12">
        <f>IF(IF($D227="Unlabeled-13",MCDM_Settings!$F$9,MCDM_Settings!$D$9)=0,"n.a.",5*(COUNTIF(V227:W227,"Y")+COUNTIF(V227:W227,"U")+COUNTIF(V227:W227,"X"))/IF($D227="Unlabeled-13",MCDM_Settings!$F$9,MCDM_Settings!$D$9))</f>
        <v>5</v>
      </c>
      <c r="AN227" s="13">
        <f>IF(IF($D227="Unlabeled-13",MCDM_Settings!$F$9,MCDM_Settings!$D$9)=0,"n.a.",(COUNTIF(V227:W227,"Y")+COUNTIF(V227:W227,"N"))/IF($D227="Unlabeled-13",MCDM_Settings!$F$9,MCDM_Settings!$D$9))</f>
        <v>0.5</v>
      </c>
      <c r="AO227" s="12">
        <f>IF(IF($D227="Unlabeled-13",MCDM_Settings!$F$10,MCDM_Settings!$D$10)=0,"n.a.",5*COUNTIF(X227:Y227,"Y")/IF($D227="Unlabeled-13",MCDM_Settings!$F$10,MCDM_Settings!$D$10))</f>
        <v>5</v>
      </c>
      <c r="AP227" s="12">
        <f>IF(IF($D227="Unlabeled-13",MCDM_Settings!$F$10,MCDM_Settings!$D$10)=0,"n.a.",5*(COUNTIF(X227:Y227,"Y")+COUNTIF(X227:Y227,"U")+COUNTIF(X227:Y227,"X"))/IF($D227="Unlabeled-13",MCDM_Settings!$F$10,MCDM_Settings!$D$10))</f>
        <v>5</v>
      </c>
      <c r="AQ227" s="13">
        <f>IF(IF($D227="Unlabeled-13",MCDM_Settings!$F$10,MCDM_Settings!$D$10)=0,"n.a.",(COUNTIF(X227:Y227,"Y")+COUNTIF(X227:Y227,"N"))/IF($D227="Unlabeled-13",MCDM_Settings!$F$10,MCDM_Settings!$D$10))</f>
        <v>1</v>
      </c>
      <c r="AR227" s="12">
        <f>IF(IF($D227="Unlabeled-13",MCDM_Settings!$F$11,MCDM_Settings!$D$11)=0,"n.a.",5*COUNTIF(Z227:AB227,"Y")/IF($D227="Unlabeled-13",MCDM_Settings!$F$11,MCDM_Settings!$D$11))</f>
        <v>1.6666666666666667</v>
      </c>
      <c r="AS227" s="12">
        <f>IF(IF($D227="Unlabeled-13",MCDM_Settings!$F$11,MCDM_Settings!$D$11)=0,"n.a.",5*(COUNTIF(Z227:AB227,"Y")+COUNTIF(Z227:AB227,"U")+COUNTIF(Z227:AB227,"X"))/IF($D227="Unlabeled-13",MCDM_Settings!$F$11,MCDM_Settings!$D$11))</f>
        <v>5</v>
      </c>
      <c r="AT227" s="13">
        <f>IF(IF($D227="Unlabeled-13",MCDM_Settings!$F$11,MCDM_Settings!$D$11)=0,"n.a.",(COUNTIF(Z227:AB227,"Y")+COUNTIF(Z227:AB227,"N"))/IF($D227="Unlabeled-13",MCDM_Settings!$F$11,MCDM_Settings!$D$11))</f>
        <v>0.33333333333333331</v>
      </c>
      <c r="AU227" s="5" t="str">
        <f>IF(AND(INDEX(Manual_Review!$G$6:$G$238,MATCH(A227,Manual_Review!$A$6:$A$238,0))&lt;&gt;"",ISNUMBER(INDEX(Manual_Review!$H$6:$H$238,MATCH(A227,Manual_Review!$A$6:$A$238,0))),INDEX(Manual_Review!$H$6:$H$238,MATCH(A227,Manual_Review!$A$6:$A$238,0))&gt;0,INDEX(Manual_Review!$I$6:$I$238,MATCH(A227,Manual_Review!$A$6:$A$238,0))="Confirmed",INDEX(Manual_Review!$AF$6:$AF$238,MATCH(A227,Manual_Review!$A$6:$A$238,0))&lt;&gt;""),IF(INDEX(Manual_Review!$AA$6:$AA$238,MATCH(A227,Manual_Review!$A$6:$A$238,0))="Pass","Pass",IF(INDEX(Manual_Review!$AA$6:$AA$238,MATCH(A227,Manual_Review!$A$6:$A$238,0))="Fail","Fail","Pending")),"Pending human identity confirmation")</f>
        <v>Pending human identity confirmation</v>
      </c>
      <c r="AV227" s="5" t="str">
        <f>IF(AND(AND(INDEX(Manual_Review!$G$6:$G$238,MATCH(A227,Manual_Review!$A$6:$A$238,0))&lt;&gt;"",ISNUMBER(INDEX(Manual_Review!$H$6:$H$238,MATCH(A227,Manual_Review!$A$6:$A$238,0))),INDEX(Manual_Review!$H$6:$H$238,MATCH(A227,Manual_Review!$A$6:$A$238,0))&gt;0,INDEX(Manual_Review!$I$6:$I$238,MATCH(A227,Manual_Review!$A$6:$A$238,0))="Confirmed",INDEX(Manual_Review!$AF$6:$AF$238,MATCH(A227,Manual_Review!$A$6:$A$238,0))&lt;&gt;""),INDEX(Manual_Review!$AG$6:$AG$238,MATCH(A227,Manual_Review!$A$6:$A$238,0))&lt;&gt;""),IF(INDEX(Manual_Review!$AB$6:$AB$238,MATCH(A227,Manual_Review!$A$6:$A$238,0))="Pass","Pass",IF(INDEX(Manual_Review!$AB$6:$AB$238,MATCH(A227,Manual_Review!$A$6:$A$238,0))="Fail","Fail","Pending")),"Not assessed: define intended task")</f>
        <v>Not assessed: define intended task</v>
      </c>
      <c r="AW227" s="5" t="str">
        <f>IF(AND(AND(INDEX(Manual_Review!$G$6:$G$238,MATCH(A227,Manual_Review!$A$6:$A$238,0))&lt;&gt;"",ISNUMBER(INDEX(Manual_Review!$H$6:$H$238,MATCH(A227,Manual_Review!$A$6:$A$238,0))),INDEX(Manual_Review!$H$6:$H$238,MATCH(A227,Manual_Review!$A$6:$A$238,0))&gt;0,INDEX(Manual_Review!$I$6:$I$238,MATCH(A227,Manual_Review!$A$6:$A$238,0))="Confirmed",INDEX(Manual_Review!$AF$6:$AF$238,MATCH(A227,Manual_Review!$A$6:$A$238,0))&lt;&gt;""),INDEX(Manual_Review!$AG$6:$AG$238,MATCH(A227,Manual_Review!$A$6:$A$238,0))&lt;&gt;""),IF(OR(INDEX(Manual_Review!$AC$6:$AC$238,MATCH(A227,Manual_Review!$A$6:$A$238,0))="Fail",INDEX(Manual_Review!$AD$6:$AD$238,MATCH(A227,Manual_Review!$A$6:$A$238,0))="Fail"),"Fail: rights or retrieval",IF(AND(INDEX(Manual_Review!$AC$6:$AC$238,MATCH(A227,Manual_Review!$A$6:$A$238,0))="Pass",INDEX(Manual_Review!$AD$6:$AD$238,MATCH(A227,Manual_Review!$A$6:$A$238,0))="Pass"),"Pass","Pending rights and retrieval")),"Pending rights and retrieval")</f>
        <v>Pending rights and retrieval</v>
      </c>
      <c r="AX227" s="5" t="str">
        <f>IF(INDEX(Manual_Review!$AG$6:$AG$238,MATCH(A227,Manual_Review!$A$6:$A$238,0))="","N/A: documentation inventory",IF(AND(INDEX(Manual_Review!$G$6:$G$238,MATCH(A227,Manual_Review!$A$6:$A$238,0))&lt;&gt;"",ISNUMBER(INDEX(Manual_Review!$H$6:$H$238,MATCH(A227,Manual_Review!$A$6:$A$238,0))),INDEX(Manual_Review!$H$6:$H$238,MATCH(A227,Manual_Review!$A$6:$A$238,0))&gt;0,INDEX(Manual_Review!$I$6:$I$238,MATCH(A227,Manual_Review!$A$6:$A$238,0))="Confirmed",INDEX(Manual_Review!$AF$6:$AF$238,MATCH(A227,Manual_Review!$A$6:$A$238,0))&lt;&gt;""),IF(INDEX(Manual_Review!$AE$6:$AE$238,MATCH(A227,Manual_Review!$A$6:$A$238,0))="Pass","Pass",IF(INDEX(Manual_Review!$AE$6:$AE$238,MATCH(A227,Manual_Review!$A$6:$A$238,0))="Fail","Fail: benchmark leakage",IF(INDEX(Manual_Review!$AE$6:$AE$238,MATCH(A227,Manual_Review!$A$6:$A$238,0))="N/A","N/A: nonbenchmark task","Pending task-specific leakage check"))),"Pending task-specific leakage check"))</f>
        <v>N/A: documentation inventory</v>
      </c>
      <c r="AY227" s="5" t="str">
        <f>IF(IF(D227="Unlabeled-13",AND(ABS(MCDM_Settings!$D$14-1)&lt;0.0000001,MIN(MCDM_Settings!$E$6:$E$11)&gt;=0,MCDM_Settings!$E$7=0),AND(ABS(MCDM_Settings!$B$14-1)&lt;0.0000001,MIN(MCDM_Settings!$C$6:$C$11)&gt;=0)),"Valid","Check weights")</f>
        <v>Valid</v>
      </c>
      <c r="AZ227" s="5" t="str">
        <f>IF(AND(COUNTIF(MCDM_Checks!$B$6:$B$3733,A227)=16,COUNTIF(Manual_Review!$A$6:$A$238,A227)=1),"16 keys present","Check key count")</f>
        <v>16 keys present</v>
      </c>
    </row>
    <row r="228" spans="1:52">
      <c r="A228" s="5" t="s">
        <v>2593</v>
      </c>
      <c r="B228" s="5" t="s">
        <v>2594</v>
      </c>
      <c r="C228" s="5"/>
      <c r="D228" s="5" t="s">
        <v>118</v>
      </c>
      <c r="E228" s="12">
        <f>IF(OR(AY228&lt;&gt;"Valid",AZ228&lt;&gt;"16 keys present"),"Review settings",20*(IF(ISNUMBER(AC228),AC228*IF($D228="Unlabeled-13",MCDM_Settings!$E$6,MCDM_Settings!$C$6),0)+IF(ISNUMBER(AF228),AF228*IF($D228="Unlabeled-13",MCDM_Settings!$E$7,MCDM_Settings!$C$7),0)+IF(ISNUMBER(AI228),AI228*IF($D228="Unlabeled-13",MCDM_Settings!$E$8,MCDM_Settings!$C$8),0)+IF(ISNUMBER(AL228),AL228*IF($D228="Unlabeled-13",MCDM_Settings!$E$9,MCDM_Settings!$C$9),0)+IF(ISNUMBER(AO228),AO228*IF($D228="Unlabeled-13",MCDM_Settings!$E$10,MCDM_Settings!$C$10),0)+IF(ISNUMBER(AR228),AR228*IF($D228="Unlabeled-13",MCDM_Settings!$E$11,MCDM_Settings!$C$11),0)))</f>
        <v>66.666666666666657</v>
      </c>
      <c r="F228" s="12">
        <f>IF(OR(AY228&lt;&gt;"Valid",AZ228&lt;&gt;"16 keys present"),"Review settings",20*(IF(ISNUMBER(AD228),AD228*IF($D228="Unlabeled-13",MCDM_Settings!$E$6,MCDM_Settings!$C$6),0)+IF(ISNUMBER(AG228),AG228*IF($D228="Unlabeled-13",MCDM_Settings!$E$7,MCDM_Settings!$C$7),0)+IF(ISNUMBER(AJ228),AJ228*IF($D228="Unlabeled-13",MCDM_Settings!$E$8,MCDM_Settings!$C$8),0)+IF(ISNUMBER(AM228),AM228*IF($D228="Unlabeled-13",MCDM_Settings!$E$9,MCDM_Settings!$C$9),0)+IF(ISNUMBER(AP228),AP228*IF($D228="Unlabeled-13",MCDM_Settings!$E$10,MCDM_Settings!$C$10),0)+IF(ISNUMBER(AS228),AS228*IF($D228="Unlabeled-13",MCDM_Settings!$E$11,MCDM_Settings!$C$11),0)))</f>
        <v>99.999999999999986</v>
      </c>
      <c r="G228" s="13">
        <f>IF(OR(AY228&lt;&gt;"Valid",AZ228&lt;&gt;"16 keys present"),"Review settings",1*(IF(ISNUMBER(AE228),AE228*IF($D228="Unlabeled-13",MCDM_Settings!$E$6,MCDM_Settings!$C$6),0)+IF(ISNUMBER(AH228),AH228*IF($D228="Unlabeled-13",MCDM_Settings!$E$7,MCDM_Settings!$C$7),0)+IF(ISNUMBER(AK228),AK228*IF($D228="Unlabeled-13",MCDM_Settings!$E$8,MCDM_Settings!$C$8),0)+IF(ISNUMBER(AN228),AN228*IF($D228="Unlabeled-13",MCDM_Settings!$E$9,MCDM_Settings!$C$9),0)+IF(ISNUMBER(AQ228),AQ228*IF($D228="Unlabeled-13",MCDM_Settings!$E$10,MCDM_Settings!$C$10),0)+IF(ISNUMBER(AT228),AT228*IF($D228="Unlabeled-13",MCDM_Settings!$E$11,MCDM_Settings!$C$11),0)))</f>
        <v>0.66666666666666663</v>
      </c>
      <c r="H228" s="5" t="str">
        <f>INDEX(Manual_Review!$AH$6:$AH$238,MATCH(A228,Manual_Review!$A$6:$A$238,0))</f>
        <v>Not started</v>
      </c>
      <c r="I228" s="5" t="s">
        <v>182</v>
      </c>
      <c r="J228" s="5" t="s">
        <v>2595</v>
      </c>
      <c r="K228" s="5" t="str">
        <f>HYPERLINK("https://once-for-auto-driving.github.io/index.html","Dataset")</f>
        <v>Dataset</v>
      </c>
      <c r="L228" s="5" t="str">
        <f>HYPERLINK("#'Manual_Review'!A"&amp;(MATCH("DS-223",Manual_Review!$A$6:$A$238,0)+5),"Enter review")</f>
        <v>Enter review</v>
      </c>
      <c r="M228" s="5" t="str">
        <f>INDEX(MCDM_Checks!$K$6:$K$3733,MATCH(A228&amp;"|"&amp;M$5,MCDM_Checks!$A$6:$A$3733,0))</f>
        <v>Y</v>
      </c>
      <c r="N228" s="5" t="str">
        <f>INDEX(MCDM_Checks!$K$6:$K$3733,MATCH(A228&amp;"|"&amp;N$5,MCDM_Checks!$A$6:$A$3733,0))</f>
        <v>Y</v>
      </c>
      <c r="O228" s="5" t="str">
        <f>INDEX(MCDM_Checks!$K$6:$K$3733,MATCH(A228&amp;"|"&amp;O$5,MCDM_Checks!$A$6:$A$3733,0))</f>
        <v>U</v>
      </c>
      <c r="P228" s="5" t="str">
        <f>INDEX(MCDM_Checks!$K$6:$K$3733,MATCH(A228&amp;"|"&amp;P$5,MCDM_Checks!$A$6:$A$3733,0))</f>
        <v>Y</v>
      </c>
      <c r="Q228" s="5" t="str">
        <f>INDEX(MCDM_Checks!$K$6:$K$3733,MATCH(A228&amp;"|"&amp;Q$5,MCDM_Checks!$A$6:$A$3733,0))</f>
        <v>U</v>
      </c>
      <c r="R228" s="5" t="str">
        <f>INDEX(MCDM_Checks!$K$6:$K$3733,MATCH(A228&amp;"|"&amp;R$5,MCDM_Checks!$A$6:$A$3733,0))</f>
        <v>U</v>
      </c>
      <c r="S228" s="5" t="str">
        <f>INDEX(MCDM_Checks!$K$6:$K$3733,MATCH(A228&amp;"|"&amp;S$5,MCDM_Checks!$A$6:$A$3733,0))</f>
        <v>U</v>
      </c>
      <c r="T228" s="5" t="str">
        <f>INDEX(MCDM_Checks!$K$6:$K$3733,MATCH(A228&amp;"|"&amp;T$5,MCDM_Checks!$A$6:$A$3733,0))</f>
        <v>Y</v>
      </c>
      <c r="U228" s="5" t="str">
        <f>INDEX(MCDM_Checks!$K$6:$K$3733,MATCH(A228&amp;"|"&amp;U$5,MCDM_Checks!$A$6:$A$3733,0))</f>
        <v>Y</v>
      </c>
      <c r="V228" s="5" t="str">
        <f>INDEX(MCDM_Checks!$K$6:$K$3733,MATCH(A228&amp;"|"&amp;V$5,MCDM_Checks!$A$6:$A$3733,0))</f>
        <v>Y</v>
      </c>
      <c r="W228" s="5" t="str">
        <f>INDEX(MCDM_Checks!$K$6:$K$3733,MATCH(A228&amp;"|"&amp;W$5,MCDM_Checks!$A$6:$A$3733,0))</f>
        <v>Y</v>
      </c>
      <c r="X228" s="5" t="str">
        <f>INDEX(MCDM_Checks!$K$6:$K$3733,MATCH(A228&amp;"|"&amp;X$5,MCDM_Checks!$A$6:$A$3733,0))</f>
        <v>Y</v>
      </c>
      <c r="Y228" s="5" t="str">
        <f>INDEX(MCDM_Checks!$K$6:$K$3733,MATCH(A228&amp;"|"&amp;Y$5,MCDM_Checks!$A$6:$A$3733,0))</f>
        <v>Y</v>
      </c>
      <c r="Z228" s="5" t="str">
        <f>INDEX(MCDM_Checks!$K$6:$K$3733,MATCH(A228&amp;"|"&amp;Z$5,MCDM_Checks!$A$6:$A$3733,0))</f>
        <v>Y</v>
      </c>
      <c r="AA228" s="5" t="str">
        <f>INDEX(MCDM_Checks!$K$6:$K$3733,MATCH(A228&amp;"|"&amp;AA$5,MCDM_Checks!$A$6:$A$3733,0))</f>
        <v>U</v>
      </c>
      <c r="AB228" s="5" t="str">
        <f>INDEX(MCDM_Checks!$K$6:$K$3733,MATCH(A228&amp;"|"&amp;AB$5,MCDM_Checks!$A$6:$A$3733,0))</f>
        <v>U</v>
      </c>
      <c r="AC228" s="12">
        <f>IF(IF($D228="Unlabeled-13",MCDM_Settings!$F$6,MCDM_Settings!$D$6)=0,"n.a.",5*COUNTIF(M228:O228,"Y")/IF($D228="Unlabeled-13",MCDM_Settings!$F$6,MCDM_Settings!$D$6))</f>
        <v>3.3333333333333335</v>
      </c>
      <c r="AD228" s="12">
        <f>IF(IF($D228="Unlabeled-13",MCDM_Settings!$F$6,MCDM_Settings!$D$6)=0,"n.a.",5*(COUNTIF(M228:O228,"Y")+COUNTIF(M228:O228,"U")+COUNTIF(M228:O228,"X"))/IF($D228="Unlabeled-13",MCDM_Settings!$F$6,MCDM_Settings!$D$6))</f>
        <v>5</v>
      </c>
      <c r="AE228" s="13">
        <f>IF(IF($D228="Unlabeled-13",MCDM_Settings!$F$6,MCDM_Settings!$D$6)=0,"n.a.",(COUNTIF(M228:O228,"Y")+COUNTIF(M228:O228,"N"))/IF($D228="Unlabeled-13",MCDM_Settings!$F$6,MCDM_Settings!$D$6))</f>
        <v>0.66666666666666663</v>
      </c>
      <c r="AF228" s="12">
        <f>IF(IF($D228="Unlabeled-13",MCDM_Settings!$F$7,MCDM_Settings!$D$7)=0,"n.a.",5*COUNTIF(P228:R228,"Y")/IF($D228="Unlabeled-13",MCDM_Settings!$F$7,MCDM_Settings!$D$7))</f>
        <v>1.6666666666666667</v>
      </c>
      <c r="AG228" s="12">
        <f>IF(IF($D228="Unlabeled-13",MCDM_Settings!$F$7,MCDM_Settings!$D$7)=0,"n.a.",5*(COUNTIF(P228:R228,"Y")+COUNTIF(P228:R228,"U")+COUNTIF(P228:R228,"X"))/IF($D228="Unlabeled-13",MCDM_Settings!$F$7,MCDM_Settings!$D$7))</f>
        <v>5</v>
      </c>
      <c r="AH228" s="13">
        <f>IF(IF($D228="Unlabeled-13",MCDM_Settings!$F$7,MCDM_Settings!$D$7)=0,"n.a.",(COUNTIF(P228:R228,"Y")+COUNTIF(P228:R228,"N"))/IF($D228="Unlabeled-13",MCDM_Settings!$F$7,MCDM_Settings!$D$7))</f>
        <v>0.33333333333333331</v>
      </c>
      <c r="AI228" s="12">
        <f>IF(IF($D228="Unlabeled-13",MCDM_Settings!$F$8,MCDM_Settings!$D$8)=0,"n.a.",5*COUNTIF(S228:U228,"Y")/IF($D228="Unlabeled-13",MCDM_Settings!$F$8,MCDM_Settings!$D$8))</f>
        <v>3.3333333333333335</v>
      </c>
      <c r="AJ228" s="12">
        <f>IF(IF($D228="Unlabeled-13",MCDM_Settings!$F$8,MCDM_Settings!$D$8)=0,"n.a.",5*(COUNTIF(S228:U228,"Y")+COUNTIF(S228:U228,"U")+COUNTIF(S228:U228,"X"))/IF($D228="Unlabeled-13",MCDM_Settings!$F$8,MCDM_Settings!$D$8))</f>
        <v>5</v>
      </c>
      <c r="AK228" s="13">
        <f>IF(IF($D228="Unlabeled-13",MCDM_Settings!$F$8,MCDM_Settings!$D$8)=0,"n.a.",(COUNTIF(S228:U228,"Y")+COUNTIF(S228:U228,"N"))/IF($D228="Unlabeled-13",MCDM_Settings!$F$8,MCDM_Settings!$D$8))</f>
        <v>0.66666666666666663</v>
      </c>
      <c r="AL228" s="12">
        <f>IF(IF($D228="Unlabeled-13",MCDM_Settings!$F$9,MCDM_Settings!$D$9)=0,"n.a.",5*COUNTIF(V228:W228,"Y")/IF($D228="Unlabeled-13",MCDM_Settings!$F$9,MCDM_Settings!$D$9))</f>
        <v>5</v>
      </c>
      <c r="AM228" s="12">
        <f>IF(IF($D228="Unlabeled-13",MCDM_Settings!$F$9,MCDM_Settings!$D$9)=0,"n.a.",5*(COUNTIF(V228:W228,"Y")+COUNTIF(V228:W228,"U")+COUNTIF(V228:W228,"X"))/IF($D228="Unlabeled-13",MCDM_Settings!$F$9,MCDM_Settings!$D$9))</f>
        <v>5</v>
      </c>
      <c r="AN228" s="13">
        <f>IF(IF($D228="Unlabeled-13",MCDM_Settings!$F$9,MCDM_Settings!$D$9)=0,"n.a.",(COUNTIF(V228:W228,"Y")+COUNTIF(V228:W228,"N"))/IF($D228="Unlabeled-13",MCDM_Settings!$F$9,MCDM_Settings!$D$9))</f>
        <v>1</v>
      </c>
      <c r="AO228" s="12">
        <f>IF(IF($D228="Unlabeled-13",MCDM_Settings!$F$10,MCDM_Settings!$D$10)=0,"n.a.",5*COUNTIF(X228:Y228,"Y")/IF($D228="Unlabeled-13",MCDM_Settings!$F$10,MCDM_Settings!$D$10))</f>
        <v>5</v>
      </c>
      <c r="AP228" s="12">
        <f>IF(IF($D228="Unlabeled-13",MCDM_Settings!$F$10,MCDM_Settings!$D$10)=0,"n.a.",5*(COUNTIF(X228:Y228,"Y")+COUNTIF(X228:Y228,"U")+COUNTIF(X228:Y228,"X"))/IF($D228="Unlabeled-13",MCDM_Settings!$F$10,MCDM_Settings!$D$10))</f>
        <v>5</v>
      </c>
      <c r="AQ228" s="13">
        <f>IF(IF($D228="Unlabeled-13",MCDM_Settings!$F$10,MCDM_Settings!$D$10)=0,"n.a.",(COUNTIF(X228:Y228,"Y")+COUNTIF(X228:Y228,"N"))/IF($D228="Unlabeled-13",MCDM_Settings!$F$10,MCDM_Settings!$D$10))</f>
        <v>1</v>
      </c>
      <c r="AR228" s="12">
        <f>IF(IF($D228="Unlabeled-13",MCDM_Settings!$F$11,MCDM_Settings!$D$11)=0,"n.a.",5*COUNTIF(Z228:AB228,"Y")/IF($D228="Unlabeled-13",MCDM_Settings!$F$11,MCDM_Settings!$D$11))</f>
        <v>1.6666666666666667</v>
      </c>
      <c r="AS228" s="12">
        <f>IF(IF($D228="Unlabeled-13",MCDM_Settings!$F$11,MCDM_Settings!$D$11)=0,"n.a.",5*(COUNTIF(Z228:AB228,"Y")+COUNTIF(Z228:AB228,"U")+COUNTIF(Z228:AB228,"X"))/IF($D228="Unlabeled-13",MCDM_Settings!$F$11,MCDM_Settings!$D$11))</f>
        <v>5</v>
      </c>
      <c r="AT228" s="13">
        <f>IF(IF($D228="Unlabeled-13",MCDM_Settings!$F$11,MCDM_Settings!$D$11)=0,"n.a.",(COUNTIF(Z228:AB228,"Y")+COUNTIF(Z228:AB228,"N"))/IF($D228="Unlabeled-13",MCDM_Settings!$F$11,MCDM_Settings!$D$11))</f>
        <v>0.33333333333333331</v>
      </c>
      <c r="AU228" s="5" t="str">
        <f>IF(AND(INDEX(Manual_Review!$G$6:$G$238,MATCH(A228,Manual_Review!$A$6:$A$238,0))&lt;&gt;"",ISNUMBER(INDEX(Manual_Review!$H$6:$H$238,MATCH(A228,Manual_Review!$A$6:$A$238,0))),INDEX(Manual_Review!$H$6:$H$238,MATCH(A228,Manual_Review!$A$6:$A$238,0))&gt;0,INDEX(Manual_Review!$I$6:$I$238,MATCH(A228,Manual_Review!$A$6:$A$238,0))="Confirmed",INDEX(Manual_Review!$AF$6:$AF$238,MATCH(A228,Manual_Review!$A$6:$A$238,0))&lt;&gt;""),IF(INDEX(Manual_Review!$AA$6:$AA$238,MATCH(A228,Manual_Review!$A$6:$A$238,0))="Pass","Pass",IF(INDEX(Manual_Review!$AA$6:$AA$238,MATCH(A228,Manual_Review!$A$6:$A$238,0))="Fail","Fail","Pending")),"Pending human identity confirmation")</f>
        <v>Pending human identity confirmation</v>
      </c>
      <c r="AV228" s="5" t="str">
        <f>IF(AND(AND(INDEX(Manual_Review!$G$6:$G$238,MATCH(A228,Manual_Review!$A$6:$A$238,0))&lt;&gt;"",ISNUMBER(INDEX(Manual_Review!$H$6:$H$238,MATCH(A228,Manual_Review!$A$6:$A$238,0))),INDEX(Manual_Review!$H$6:$H$238,MATCH(A228,Manual_Review!$A$6:$A$238,0))&gt;0,INDEX(Manual_Review!$I$6:$I$238,MATCH(A228,Manual_Review!$A$6:$A$238,0))="Confirmed",INDEX(Manual_Review!$AF$6:$AF$238,MATCH(A228,Manual_Review!$A$6:$A$238,0))&lt;&gt;""),INDEX(Manual_Review!$AG$6:$AG$238,MATCH(A228,Manual_Review!$A$6:$A$238,0))&lt;&gt;""),IF(INDEX(Manual_Review!$AB$6:$AB$238,MATCH(A228,Manual_Review!$A$6:$A$238,0))="Pass","Pass",IF(INDEX(Manual_Review!$AB$6:$AB$238,MATCH(A228,Manual_Review!$A$6:$A$238,0))="Fail","Fail","Pending")),"Not assessed: define intended task")</f>
        <v>Not assessed: define intended task</v>
      </c>
      <c r="AW228" s="5" t="str">
        <f>IF(AND(AND(INDEX(Manual_Review!$G$6:$G$238,MATCH(A228,Manual_Review!$A$6:$A$238,0))&lt;&gt;"",ISNUMBER(INDEX(Manual_Review!$H$6:$H$238,MATCH(A228,Manual_Review!$A$6:$A$238,0))),INDEX(Manual_Review!$H$6:$H$238,MATCH(A228,Manual_Review!$A$6:$A$238,0))&gt;0,INDEX(Manual_Review!$I$6:$I$238,MATCH(A228,Manual_Review!$A$6:$A$238,0))="Confirmed",INDEX(Manual_Review!$AF$6:$AF$238,MATCH(A228,Manual_Review!$A$6:$A$238,0))&lt;&gt;""),INDEX(Manual_Review!$AG$6:$AG$238,MATCH(A228,Manual_Review!$A$6:$A$238,0))&lt;&gt;""),IF(OR(INDEX(Manual_Review!$AC$6:$AC$238,MATCH(A228,Manual_Review!$A$6:$A$238,0))="Fail",INDEX(Manual_Review!$AD$6:$AD$238,MATCH(A228,Manual_Review!$A$6:$A$238,0))="Fail"),"Fail: rights or retrieval",IF(AND(INDEX(Manual_Review!$AC$6:$AC$238,MATCH(A228,Manual_Review!$A$6:$A$238,0))="Pass",INDEX(Manual_Review!$AD$6:$AD$238,MATCH(A228,Manual_Review!$A$6:$A$238,0))="Pass"),"Pass","Pending rights and retrieval")),"Pending rights and retrieval")</f>
        <v>Pending rights and retrieval</v>
      </c>
      <c r="AX228" s="5" t="str">
        <f>IF(INDEX(Manual_Review!$AG$6:$AG$238,MATCH(A228,Manual_Review!$A$6:$A$238,0))="","N/A: documentation inventory",IF(AND(INDEX(Manual_Review!$G$6:$G$238,MATCH(A228,Manual_Review!$A$6:$A$238,0))&lt;&gt;"",ISNUMBER(INDEX(Manual_Review!$H$6:$H$238,MATCH(A228,Manual_Review!$A$6:$A$238,0))),INDEX(Manual_Review!$H$6:$H$238,MATCH(A228,Manual_Review!$A$6:$A$238,0))&gt;0,INDEX(Manual_Review!$I$6:$I$238,MATCH(A228,Manual_Review!$A$6:$A$238,0))="Confirmed",INDEX(Manual_Review!$AF$6:$AF$238,MATCH(A228,Manual_Review!$A$6:$A$238,0))&lt;&gt;""),IF(INDEX(Manual_Review!$AE$6:$AE$238,MATCH(A228,Manual_Review!$A$6:$A$238,0))="Pass","Pass",IF(INDEX(Manual_Review!$AE$6:$AE$238,MATCH(A228,Manual_Review!$A$6:$A$238,0))="Fail","Fail: benchmark leakage",IF(INDEX(Manual_Review!$AE$6:$AE$238,MATCH(A228,Manual_Review!$A$6:$A$238,0))="N/A","N/A: nonbenchmark task","Pending task-specific leakage check"))),"Pending task-specific leakage check"))</f>
        <v>N/A: documentation inventory</v>
      </c>
      <c r="AY228" s="5" t="str">
        <f>IF(IF(D228="Unlabeled-13",AND(ABS(MCDM_Settings!$D$14-1)&lt;0.0000001,MIN(MCDM_Settings!$E$6:$E$11)&gt;=0,MCDM_Settings!$E$7=0),AND(ABS(MCDM_Settings!$B$14-1)&lt;0.0000001,MIN(MCDM_Settings!$C$6:$C$11)&gt;=0)),"Valid","Check weights")</f>
        <v>Valid</v>
      </c>
      <c r="AZ228" s="5" t="str">
        <f>IF(AND(COUNTIF(MCDM_Checks!$B$6:$B$3733,A228)=16,COUNTIF(Manual_Review!$A$6:$A$238,A228)=1),"16 keys present","Check key count")</f>
        <v>16 keys present</v>
      </c>
    </row>
    <row r="229" spans="1:52">
      <c r="A229" s="5" t="s">
        <v>2607</v>
      </c>
      <c r="B229" s="5" t="s">
        <v>2608</v>
      </c>
      <c r="C229" s="5"/>
      <c r="D229" s="5" t="s">
        <v>118</v>
      </c>
      <c r="E229" s="12">
        <f>IF(OR(AY229&lt;&gt;"Valid",AZ229&lt;&gt;"16 keys present"),"Review settings",20*(IF(ISNUMBER(AC229),AC229*IF($D229="Unlabeled-13",MCDM_Settings!$E$6,MCDM_Settings!$C$6),0)+IF(ISNUMBER(AF229),AF229*IF($D229="Unlabeled-13",MCDM_Settings!$E$7,MCDM_Settings!$C$7),0)+IF(ISNUMBER(AI229),AI229*IF($D229="Unlabeled-13",MCDM_Settings!$E$8,MCDM_Settings!$C$8),0)+IF(ISNUMBER(AL229),AL229*IF($D229="Unlabeled-13",MCDM_Settings!$E$9,MCDM_Settings!$C$9),0)+IF(ISNUMBER(AO229),AO229*IF($D229="Unlabeled-13",MCDM_Settings!$E$10,MCDM_Settings!$C$10),0)+IF(ISNUMBER(AR229),AR229*IF($D229="Unlabeled-13",MCDM_Settings!$E$11,MCDM_Settings!$C$11),0)))</f>
        <v>61.111111111111107</v>
      </c>
      <c r="F229" s="12">
        <f>IF(OR(AY229&lt;&gt;"Valid",AZ229&lt;&gt;"16 keys present"),"Review settings",20*(IF(ISNUMBER(AD229),AD229*IF($D229="Unlabeled-13",MCDM_Settings!$E$6,MCDM_Settings!$C$6),0)+IF(ISNUMBER(AG229),AG229*IF($D229="Unlabeled-13",MCDM_Settings!$E$7,MCDM_Settings!$C$7),0)+IF(ISNUMBER(AJ229),AJ229*IF($D229="Unlabeled-13",MCDM_Settings!$E$8,MCDM_Settings!$C$8),0)+IF(ISNUMBER(AM229),AM229*IF($D229="Unlabeled-13",MCDM_Settings!$E$9,MCDM_Settings!$C$9),0)+IF(ISNUMBER(AP229),AP229*IF($D229="Unlabeled-13",MCDM_Settings!$E$10,MCDM_Settings!$C$10),0)+IF(ISNUMBER(AS229),AS229*IF($D229="Unlabeled-13",MCDM_Settings!$E$11,MCDM_Settings!$C$11),0)))</f>
        <v>99.999999999999986</v>
      </c>
      <c r="G229" s="13">
        <f>IF(OR(AY229&lt;&gt;"Valid",AZ229&lt;&gt;"16 keys present"),"Review settings",1*(IF(ISNUMBER(AE229),AE229*IF($D229="Unlabeled-13",MCDM_Settings!$E$6,MCDM_Settings!$C$6),0)+IF(ISNUMBER(AH229),AH229*IF($D229="Unlabeled-13",MCDM_Settings!$E$7,MCDM_Settings!$C$7),0)+IF(ISNUMBER(AK229),AK229*IF($D229="Unlabeled-13",MCDM_Settings!$E$8,MCDM_Settings!$C$8),0)+IF(ISNUMBER(AN229),AN229*IF($D229="Unlabeled-13",MCDM_Settings!$E$9,MCDM_Settings!$C$9),0)+IF(ISNUMBER(AQ229),AQ229*IF($D229="Unlabeled-13",MCDM_Settings!$E$10,MCDM_Settings!$C$10),0)+IF(ISNUMBER(AT229),AT229*IF($D229="Unlabeled-13",MCDM_Settings!$E$11,MCDM_Settings!$C$11),0)))</f>
        <v>0.61111111111111105</v>
      </c>
      <c r="H229" s="5" t="str">
        <f>INDEX(Manual_Review!$AH$6:$AH$238,MATCH(A229,Manual_Review!$A$6:$A$238,0))</f>
        <v>Not started</v>
      </c>
      <c r="I229" s="5" t="s">
        <v>182</v>
      </c>
      <c r="J229" s="5" t="s">
        <v>2609</v>
      </c>
      <c r="K229" s="5" t="str">
        <f>HYPERLINK("https://github.com/OpenDriveLab/DriveAGI","Dataset")</f>
        <v>Dataset</v>
      </c>
      <c r="L229" s="5" t="str">
        <f>HYPERLINK("#'Manual_Review'!A"&amp;(MATCH("DS-224",Manual_Review!$A$6:$A$238,0)+5),"Enter review")</f>
        <v>Enter review</v>
      </c>
      <c r="M229" s="5" t="str">
        <f>INDEX(MCDM_Checks!$K$6:$K$3733,MATCH(A229&amp;"|"&amp;M$5,MCDM_Checks!$A$6:$A$3733,0))</f>
        <v>Y</v>
      </c>
      <c r="N229" s="5" t="str">
        <f>INDEX(MCDM_Checks!$K$6:$K$3733,MATCH(A229&amp;"|"&amp;N$5,MCDM_Checks!$A$6:$A$3733,0))</f>
        <v>Y</v>
      </c>
      <c r="O229" s="5" t="str">
        <f>INDEX(MCDM_Checks!$K$6:$K$3733,MATCH(A229&amp;"|"&amp;O$5,MCDM_Checks!$A$6:$A$3733,0))</f>
        <v>U</v>
      </c>
      <c r="P229" s="5" t="str">
        <f>INDEX(MCDM_Checks!$K$6:$K$3733,MATCH(A229&amp;"|"&amp;P$5,MCDM_Checks!$A$6:$A$3733,0))</f>
        <v>U</v>
      </c>
      <c r="Q229" s="5" t="str">
        <f>INDEX(MCDM_Checks!$K$6:$K$3733,MATCH(A229&amp;"|"&amp;Q$5,MCDM_Checks!$A$6:$A$3733,0))</f>
        <v>Y</v>
      </c>
      <c r="R229" s="5" t="str">
        <f>INDEX(MCDM_Checks!$K$6:$K$3733,MATCH(A229&amp;"|"&amp;R$5,MCDM_Checks!$A$6:$A$3733,0))</f>
        <v>U</v>
      </c>
      <c r="S229" s="5" t="str">
        <f>INDEX(MCDM_Checks!$K$6:$K$3733,MATCH(A229&amp;"|"&amp;S$5,MCDM_Checks!$A$6:$A$3733,0))</f>
        <v>Y</v>
      </c>
      <c r="T229" s="5" t="str">
        <f>INDEX(MCDM_Checks!$K$6:$K$3733,MATCH(A229&amp;"|"&amp;T$5,MCDM_Checks!$A$6:$A$3733,0))</f>
        <v>Y</v>
      </c>
      <c r="U229" s="5" t="str">
        <f>INDEX(MCDM_Checks!$K$6:$K$3733,MATCH(A229&amp;"|"&amp;U$5,MCDM_Checks!$A$6:$A$3733,0))</f>
        <v>Y</v>
      </c>
      <c r="V229" s="5" t="str">
        <f>INDEX(MCDM_Checks!$K$6:$K$3733,MATCH(A229&amp;"|"&amp;V$5,MCDM_Checks!$A$6:$A$3733,0))</f>
        <v>Y</v>
      </c>
      <c r="W229" s="5" t="str">
        <f>INDEX(MCDM_Checks!$K$6:$K$3733,MATCH(A229&amp;"|"&amp;W$5,MCDM_Checks!$A$6:$A$3733,0))</f>
        <v>U</v>
      </c>
      <c r="X229" s="5" t="str">
        <f>INDEX(MCDM_Checks!$K$6:$K$3733,MATCH(A229&amp;"|"&amp;X$5,MCDM_Checks!$A$6:$A$3733,0))</f>
        <v>U</v>
      </c>
      <c r="Y229" s="5" t="str">
        <f>INDEX(MCDM_Checks!$K$6:$K$3733,MATCH(A229&amp;"|"&amp;Y$5,MCDM_Checks!$A$6:$A$3733,0))</f>
        <v>Y</v>
      </c>
      <c r="Z229" s="5" t="str">
        <f>INDEX(MCDM_Checks!$K$6:$K$3733,MATCH(A229&amp;"|"&amp;Z$5,MCDM_Checks!$A$6:$A$3733,0))</f>
        <v>Y</v>
      </c>
      <c r="AA229" s="5" t="str">
        <f>INDEX(MCDM_Checks!$K$6:$K$3733,MATCH(A229&amp;"|"&amp;AA$5,MCDM_Checks!$A$6:$A$3733,0))</f>
        <v>U</v>
      </c>
      <c r="AB229" s="5" t="str">
        <f>INDEX(MCDM_Checks!$K$6:$K$3733,MATCH(A229&amp;"|"&amp;AB$5,MCDM_Checks!$A$6:$A$3733,0))</f>
        <v>Y</v>
      </c>
      <c r="AC229" s="12">
        <f>IF(IF($D229="Unlabeled-13",MCDM_Settings!$F$6,MCDM_Settings!$D$6)=0,"n.a.",5*COUNTIF(M229:O229,"Y")/IF($D229="Unlabeled-13",MCDM_Settings!$F$6,MCDM_Settings!$D$6))</f>
        <v>3.3333333333333335</v>
      </c>
      <c r="AD229" s="12">
        <f>IF(IF($D229="Unlabeled-13",MCDM_Settings!$F$6,MCDM_Settings!$D$6)=0,"n.a.",5*(COUNTIF(M229:O229,"Y")+COUNTIF(M229:O229,"U")+COUNTIF(M229:O229,"X"))/IF($D229="Unlabeled-13",MCDM_Settings!$F$6,MCDM_Settings!$D$6))</f>
        <v>5</v>
      </c>
      <c r="AE229" s="13">
        <f>IF(IF($D229="Unlabeled-13",MCDM_Settings!$F$6,MCDM_Settings!$D$6)=0,"n.a.",(COUNTIF(M229:O229,"Y")+COUNTIF(M229:O229,"N"))/IF($D229="Unlabeled-13",MCDM_Settings!$F$6,MCDM_Settings!$D$6))</f>
        <v>0.66666666666666663</v>
      </c>
      <c r="AF229" s="12">
        <f>IF(IF($D229="Unlabeled-13",MCDM_Settings!$F$7,MCDM_Settings!$D$7)=0,"n.a.",5*COUNTIF(P229:R229,"Y")/IF($D229="Unlabeled-13",MCDM_Settings!$F$7,MCDM_Settings!$D$7))</f>
        <v>1.6666666666666667</v>
      </c>
      <c r="AG229" s="12">
        <f>IF(IF($D229="Unlabeled-13",MCDM_Settings!$F$7,MCDM_Settings!$D$7)=0,"n.a.",5*(COUNTIF(P229:R229,"Y")+COUNTIF(P229:R229,"U")+COUNTIF(P229:R229,"X"))/IF($D229="Unlabeled-13",MCDM_Settings!$F$7,MCDM_Settings!$D$7))</f>
        <v>5</v>
      </c>
      <c r="AH229" s="13">
        <f>IF(IF($D229="Unlabeled-13",MCDM_Settings!$F$7,MCDM_Settings!$D$7)=0,"n.a.",(COUNTIF(P229:R229,"Y")+COUNTIF(P229:R229,"N"))/IF($D229="Unlabeled-13",MCDM_Settings!$F$7,MCDM_Settings!$D$7))</f>
        <v>0.33333333333333331</v>
      </c>
      <c r="AI229" s="12">
        <f>IF(IF($D229="Unlabeled-13",MCDM_Settings!$F$8,MCDM_Settings!$D$8)=0,"n.a.",5*COUNTIF(S229:U229,"Y")/IF($D229="Unlabeled-13",MCDM_Settings!$F$8,MCDM_Settings!$D$8))</f>
        <v>5</v>
      </c>
      <c r="AJ229" s="12">
        <f>IF(IF($D229="Unlabeled-13",MCDM_Settings!$F$8,MCDM_Settings!$D$8)=0,"n.a.",5*(COUNTIF(S229:U229,"Y")+COUNTIF(S229:U229,"U")+COUNTIF(S229:U229,"X"))/IF($D229="Unlabeled-13",MCDM_Settings!$F$8,MCDM_Settings!$D$8))</f>
        <v>5</v>
      </c>
      <c r="AK229" s="13">
        <f>IF(IF($D229="Unlabeled-13",MCDM_Settings!$F$8,MCDM_Settings!$D$8)=0,"n.a.",(COUNTIF(S229:U229,"Y")+COUNTIF(S229:U229,"N"))/IF($D229="Unlabeled-13",MCDM_Settings!$F$8,MCDM_Settings!$D$8))</f>
        <v>1</v>
      </c>
      <c r="AL229" s="12">
        <f>IF(IF($D229="Unlabeled-13",MCDM_Settings!$F$9,MCDM_Settings!$D$9)=0,"n.a.",5*COUNTIF(V229:W229,"Y")/IF($D229="Unlabeled-13",MCDM_Settings!$F$9,MCDM_Settings!$D$9))</f>
        <v>2.5</v>
      </c>
      <c r="AM229" s="12">
        <f>IF(IF($D229="Unlabeled-13",MCDM_Settings!$F$9,MCDM_Settings!$D$9)=0,"n.a.",5*(COUNTIF(V229:W229,"Y")+COUNTIF(V229:W229,"U")+COUNTIF(V229:W229,"X"))/IF($D229="Unlabeled-13",MCDM_Settings!$F$9,MCDM_Settings!$D$9))</f>
        <v>5</v>
      </c>
      <c r="AN229" s="13">
        <f>IF(IF($D229="Unlabeled-13",MCDM_Settings!$F$9,MCDM_Settings!$D$9)=0,"n.a.",(COUNTIF(V229:W229,"Y")+COUNTIF(V229:W229,"N"))/IF($D229="Unlabeled-13",MCDM_Settings!$F$9,MCDM_Settings!$D$9))</f>
        <v>0.5</v>
      </c>
      <c r="AO229" s="12">
        <f>IF(IF($D229="Unlabeled-13",MCDM_Settings!$F$10,MCDM_Settings!$D$10)=0,"n.a.",5*COUNTIF(X229:Y229,"Y")/IF($D229="Unlabeled-13",MCDM_Settings!$F$10,MCDM_Settings!$D$10))</f>
        <v>2.5</v>
      </c>
      <c r="AP229" s="12">
        <f>IF(IF($D229="Unlabeled-13",MCDM_Settings!$F$10,MCDM_Settings!$D$10)=0,"n.a.",5*(COUNTIF(X229:Y229,"Y")+COUNTIF(X229:Y229,"U")+COUNTIF(X229:Y229,"X"))/IF($D229="Unlabeled-13",MCDM_Settings!$F$10,MCDM_Settings!$D$10))</f>
        <v>5</v>
      </c>
      <c r="AQ229" s="13">
        <f>IF(IF($D229="Unlabeled-13",MCDM_Settings!$F$10,MCDM_Settings!$D$10)=0,"n.a.",(COUNTIF(X229:Y229,"Y")+COUNTIF(X229:Y229,"N"))/IF($D229="Unlabeled-13",MCDM_Settings!$F$10,MCDM_Settings!$D$10))</f>
        <v>0.5</v>
      </c>
      <c r="AR229" s="12">
        <f>IF(IF($D229="Unlabeled-13",MCDM_Settings!$F$11,MCDM_Settings!$D$11)=0,"n.a.",5*COUNTIF(Z229:AB229,"Y")/IF($D229="Unlabeled-13",MCDM_Settings!$F$11,MCDM_Settings!$D$11))</f>
        <v>3.3333333333333335</v>
      </c>
      <c r="AS229" s="12">
        <f>IF(IF($D229="Unlabeled-13",MCDM_Settings!$F$11,MCDM_Settings!$D$11)=0,"n.a.",5*(COUNTIF(Z229:AB229,"Y")+COUNTIF(Z229:AB229,"U")+COUNTIF(Z229:AB229,"X"))/IF($D229="Unlabeled-13",MCDM_Settings!$F$11,MCDM_Settings!$D$11))</f>
        <v>5</v>
      </c>
      <c r="AT229" s="13">
        <f>IF(IF($D229="Unlabeled-13",MCDM_Settings!$F$11,MCDM_Settings!$D$11)=0,"n.a.",(COUNTIF(Z229:AB229,"Y")+COUNTIF(Z229:AB229,"N"))/IF($D229="Unlabeled-13",MCDM_Settings!$F$11,MCDM_Settings!$D$11))</f>
        <v>0.66666666666666663</v>
      </c>
      <c r="AU229" s="5" t="str">
        <f>IF(AND(INDEX(Manual_Review!$G$6:$G$238,MATCH(A229,Manual_Review!$A$6:$A$238,0))&lt;&gt;"",ISNUMBER(INDEX(Manual_Review!$H$6:$H$238,MATCH(A229,Manual_Review!$A$6:$A$238,0))),INDEX(Manual_Review!$H$6:$H$238,MATCH(A229,Manual_Review!$A$6:$A$238,0))&gt;0,INDEX(Manual_Review!$I$6:$I$238,MATCH(A229,Manual_Review!$A$6:$A$238,0))="Confirmed",INDEX(Manual_Review!$AF$6:$AF$238,MATCH(A229,Manual_Review!$A$6:$A$238,0))&lt;&gt;""),IF(INDEX(Manual_Review!$AA$6:$AA$238,MATCH(A229,Manual_Review!$A$6:$A$238,0))="Pass","Pass",IF(INDEX(Manual_Review!$AA$6:$AA$238,MATCH(A229,Manual_Review!$A$6:$A$238,0))="Fail","Fail","Pending")),"Pending human identity confirmation")</f>
        <v>Pending human identity confirmation</v>
      </c>
      <c r="AV229" s="5" t="str">
        <f>IF(AND(AND(INDEX(Manual_Review!$G$6:$G$238,MATCH(A229,Manual_Review!$A$6:$A$238,0))&lt;&gt;"",ISNUMBER(INDEX(Manual_Review!$H$6:$H$238,MATCH(A229,Manual_Review!$A$6:$A$238,0))),INDEX(Manual_Review!$H$6:$H$238,MATCH(A229,Manual_Review!$A$6:$A$238,0))&gt;0,INDEX(Manual_Review!$I$6:$I$238,MATCH(A229,Manual_Review!$A$6:$A$238,0))="Confirmed",INDEX(Manual_Review!$AF$6:$AF$238,MATCH(A229,Manual_Review!$A$6:$A$238,0))&lt;&gt;""),INDEX(Manual_Review!$AG$6:$AG$238,MATCH(A229,Manual_Review!$A$6:$A$238,0))&lt;&gt;""),IF(INDEX(Manual_Review!$AB$6:$AB$238,MATCH(A229,Manual_Review!$A$6:$A$238,0))="Pass","Pass",IF(INDEX(Manual_Review!$AB$6:$AB$238,MATCH(A229,Manual_Review!$A$6:$A$238,0))="Fail","Fail","Pending")),"Not assessed: define intended task")</f>
        <v>Not assessed: define intended task</v>
      </c>
      <c r="AW229" s="5" t="str">
        <f>IF(AND(AND(INDEX(Manual_Review!$G$6:$G$238,MATCH(A229,Manual_Review!$A$6:$A$238,0))&lt;&gt;"",ISNUMBER(INDEX(Manual_Review!$H$6:$H$238,MATCH(A229,Manual_Review!$A$6:$A$238,0))),INDEX(Manual_Review!$H$6:$H$238,MATCH(A229,Manual_Review!$A$6:$A$238,0))&gt;0,INDEX(Manual_Review!$I$6:$I$238,MATCH(A229,Manual_Review!$A$6:$A$238,0))="Confirmed",INDEX(Manual_Review!$AF$6:$AF$238,MATCH(A229,Manual_Review!$A$6:$A$238,0))&lt;&gt;""),INDEX(Manual_Review!$AG$6:$AG$238,MATCH(A229,Manual_Review!$A$6:$A$238,0))&lt;&gt;""),IF(OR(INDEX(Manual_Review!$AC$6:$AC$238,MATCH(A229,Manual_Review!$A$6:$A$238,0))="Fail",INDEX(Manual_Review!$AD$6:$AD$238,MATCH(A229,Manual_Review!$A$6:$A$238,0))="Fail"),"Fail: rights or retrieval",IF(AND(INDEX(Manual_Review!$AC$6:$AC$238,MATCH(A229,Manual_Review!$A$6:$A$238,0))="Pass",INDEX(Manual_Review!$AD$6:$AD$238,MATCH(A229,Manual_Review!$A$6:$A$238,0))="Pass"),"Pass","Pending rights and retrieval")),"Pending rights and retrieval")</f>
        <v>Pending rights and retrieval</v>
      </c>
      <c r="AX229" s="5" t="str">
        <f>IF(INDEX(Manual_Review!$AG$6:$AG$238,MATCH(A229,Manual_Review!$A$6:$A$238,0))="","N/A: documentation inventory",IF(AND(INDEX(Manual_Review!$G$6:$G$238,MATCH(A229,Manual_Review!$A$6:$A$238,0))&lt;&gt;"",ISNUMBER(INDEX(Manual_Review!$H$6:$H$238,MATCH(A229,Manual_Review!$A$6:$A$238,0))),INDEX(Manual_Review!$H$6:$H$238,MATCH(A229,Manual_Review!$A$6:$A$238,0))&gt;0,INDEX(Manual_Review!$I$6:$I$238,MATCH(A229,Manual_Review!$A$6:$A$238,0))="Confirmed",INDEX(Manual_Review!$AF$6:$AF$238,MATCH(A229,Manual_Review!$A$6:$A$238,0))&lt;&gt;""),IF(INDEX(Manual_Review!$AE$6:$AE$238,MATCH(A229,Manual_Review!$A$6:$A$238,0))="Pass","Pass",IF(INDEX(Manual_Review!$AE$6:$AE$238,MATCH(A229,Manual_Review!$A$6:$A$238,0))="Fail","Fail: benchmark leakage",IF(INDEX(Manual_Review!$AE$6:$AE$238,MATCH(A229,Manual_Review!$A$6:$A$238,0))="N/A","N/A: nonbenchmark task","Pending task-specific leakage check"))),"Pending task-specific leakage check"))</f>
        <v>N/A: documentation inventory</v>
      </c>
      <c r="AY229" s="5" t="str">
        <f>IF(IF(D229="Unlabeled-13",AND(ABS(MCDM_Settings!$D$14-1)&lt;0.0000001,MIN(MCDM_Settings!$E$6:$E$11)&gt;=0,MCDM_Settings!$E$7=0),AND(ABS(MCDM_Settings!$B$14-1)&lt;0.0000001,MIN(MCDM_Settings!$C$6:$C$11)&gt;=0)),"Valid","Check weights")</f>
        <v>Valid</v>
      </c>
      <c r="AZ229" s="5" t="str">
        <f>IF(AND(COUNTIF(MCDM_Checks!$B$6:$B$3733,A229)=16,COUNTIF(Manual_Review!$A$6:$A$238,A229)=1),"16 keys present","Check key count")</f>
        <v>16 keys present</v>
      </c>
    </row>
    <row r="230" spans="1:52" ht="25.5">
      <c r="A230" s="5" t="s">
        <v>2622</v>
      </c>
      <c r="B230" s="5" t="s">
        <v>2623</v>
      </c>
      <c r="C230" s="5"/>
      <c r="D230" s="5" t="s">
        <v>118</v>
      </c>
      <c r="E230" s="12">
        <f>IF(OR(AY230&lt;&gt;"Valid",AZ230&lt;&gt;"16 keys present"),"Review settings",20*(IF(ISNUMBER(AC230),AC230*IF($D230="Unlabeled-13",MCDM_Settings!$E$6,MCDM_Settings!$C$6),0)+IF(ISNUMBER(AF230),AF230*IF($D230="Unlabeled-13",MCDM_Settings!$E$7,MCDM_Settings!$C$7),0)+IF(ISNUMBER(AI230),AI230*IF($D230="Unlabeled-13",MCDM_Settings!$E$8,MCDM_Settings!$C$8),0)+IF(ISNUMBER(AL230),AL230*IF($D230="Unlabeled-13",MCDM_Settings!$E$9,MCDM_Settings!$C$9),0)+IF(ISNUMBER(AO230),AO230*IF($D230="Unlabeled-13",MCDM_Settings!$E$10,MCDM_Settings!$C$10),0)+IF(ISNUMBER(AR230),AR230*IF($D230="Unlabeled-13",MCDM_Settings!$E$11,MCDM_Settings!$C$11),0)))</f>
        <v>50</v>
      </c>
      <c r="F230" s="12">
        <f>IF(OR(AY230&lt;&gt;"Valid",AZ230&lt;&gt;"16 keys present"),"Review settings",20*(IF(ISNUMBER(AD230),AD230*IF($D230="Unlabeled-13",MCDM_Settings!$E$6,MCDM_Settings!$C$6),0)+IF(ISNUMBER(AG230),AG230*IF($D230="Unlabeled-13",MCDM_Settings!$E$7,MCDM_Settings!$C$7),0)+IF(ISNUMBER(AJ230),AJ230*IF($D230="Unlabeled-13",MCDM_Settings!$E$8,MCDM_Settings!$C$8),0)+IF(ISNUMBER(AM230),AM230*IF($D230="Unlabeled-13",MCDM_Settings!$E$9,MCDM_Settings!$C$9),0)+IF(ISNUMBER(AP230),AP230*IF($D230="Unlabeled-13",MCDM_Settings!$E$10,MCDM_Settings!$C$10),0)+IF(ISNUMBER(AS230),AS230*IF($D230="Unlabeled-13",MCDM_Settings!$E$11,MCDM_Settings!$C$11),0)))</f>
        <v>99.999999999999986</v>
      </c>
      <c r="G230" s="13">
        <f>IF(OR(AY230&lt;&gt;"Valid",AZ230&lt;&gt;"16 keys present"),"Review settings",1*(IF(ISNUMBER(AE230),AE230*IF($D230="Unlabeled-13",MCDM_Settings!$E$6,MCDM_Settings!$C$6),0)+IF(ISNUMBER(AH230),AH230*IF($D230="Unlabeled-13",MCDM_Settings!$E$7,MCDM_Settings!$C$7),0)+IF(ISNUMBER(AK230),AK230*IF($D230="Unlabeled-13",MCDM_Settings!$E$8,MCDM_Settings!$C$8),0)+IF(ISNUMBER(AN230),AN230*IF($D230="Unlabeled-13",MCDM_Settings!$E$9,MCDM_Settings!$C$9),0)+IF(ISNUMBER(AQ230),AQ230*IF($D230="Unlabeled-13",MCDM_Settings!$E$10,MCDM_Settings!$C$10),0)+IF(ISNUMBER(AT230),AT230*IF($D230="Unlabeled-13",MCDM_Settings!$E$11,MCDM_Settings!$C$11),0)))</f>
        <v>0.5</v>
      </c>
      <c r="H230" s="5" t="str">
        <f>INDEX(Manual_Review!$AH$6:$AH$238,MATCH(A230,Manual_Review!$A$6:$A$238,0))</f>
        <v>Not started</v>
      </c>
      <c r="I230" s="5" t="s">
        <v>182</v>
      </c>
      <c r="J230" s="5" t="s">
        <v>2624</v>
      </c>
      <c r="K230" s="5" t="str">
        <f>HYPERLINK("https://robotcar-dataset.robots.ox.ac.uk/","Dataset")</f>
        <v>Dataset</v>
      </c>
      <c r="L230" s="5" t="str">
        <f>HYPERLINK("#'Manual_Review'!A"&amp;(MATCH("DS-225",Manual_Review!$A$6:$A$238,0)+5),"Enter review")</f>
        <v>Enter review</v>
      </c>
      <c r="M230" s="5" t="str">
        <f>INDEX(MCDM_Checks!$K$6:$K$3733,MATCH(A230&amp;"|"&amp;M$5,MCDM_Checks!$A$6:$A$3733,0))</f>
        <v>Y</v>
      </c>
      <c r="N230" s="5" t="str">
        <f>INDEX(MCDM_Checks!$K$6:$K$3733,MATCH(A230&amp;"|"&amp;N$5,MCDM_Checks!$A$6:$A$3733,0))</f>
        <v>Y</v>
      </c>
      <c r="O230" s="5" t="str">
        <f>INDEX(MCDM_Checks!$K$6:$K$3733,MATCH(A230&amp;"|"&amp;O$5,MCDM_Checks!$A$6:$A$3733,0))</f>
        <v>Y</v>
      </c>
      <c r="P230" s="5" t="str">
        <f>INDEX(MCDM_Checks!$K$6:$K$3733,MATCH(A230&amp;"|"&amp;P$5,MCDM_Checks!$A$6:$A$3733,0))</f>
        <v>U</v>
      </c>
      <c r="Q230" s="5" t="str">
        <f>INDEX(MCDM_Checks!$K$6:$K$3733,MATCH(A230&amp;"|"&amp;Q$5,MCDM_Checks!$A$6:$A$3733,0))</f>
        <v>U</v>
      </c>
      <c r="R230" s="5" t="str">
        <f>INDEX(MCDM_Checks!$K$6:$K$3733,MATCH(A230&amp;"|"&amp;R$5,MCDM_Checks!$A$6:$A$3733,0))</f>
        <v>U</v>
      </c>
      <c r="S230" s="5" t="str">
        <f>INDEX(MCDM_Checks!$K$6:$K$3733,MATCH(A230&amp;"|"&amp;S$5,MCDM_Checks!$A$6:$A$3733,0))</f>
        <v>U</v>
      </c>
      <c r="T230" s="5" t="str">
        <f>INDEX(MCDM_Checks!$K$6:$K$3733,MATCH(A230&amp;"|"&amp;T$5,MCDM_Checks!$A$6:$A$3733,0))</f>
        <v>Y</v>
      </c>
      <c r="U230" s="5" t="str">
        <f>INDEX(MCDM_Checks!$K$6:$K$3733,MATCH(A230&amp;"|"&amp;U$5,MCDM_Checks!$A$6:$A$3733,0))</f>
        <v>Y</v>
      </c>
      <c r="V230" s="5" t="str">
        <f>INDEX(MCDM_Checks!$K$6:$K$3733,MATCH(A230&amp;"|"&amp;V$5,MCDM_Checks!$A$6:$A$3733,0))</f>
        <v>U</v>
      </c>
      <c r="W230" s="5" t="str">
        <f>INDEX(MCDM_Checks!$K$6:$K$3733,MATCH(A230&amp;"|"&amp;W$5,MCDM_Checks!$A$6:$A$3733,0))</f>
        <v>U</v>
      </c>
      <c r="X230" s="5" t="str">
        <f>INDEX(MCDM_Checks!$K$6:$K$3733,MATCH(A230&amp;"|"&amp;X$5,MCDM_Checks!$A$6:$A$3733,0))</f>
        <v>Y</v>
      </c>
      <c r="Y230" s="5" t="str">
        <f>INDEX(MCDM_Checks!$K$6:$K$3733,MATCH(A230&amp;"|"&amp;Y$5,MCDM_Checks!$A$6:$A$3733,0))</f>
        <v>Y</v>
      </c>
      <c r="Z230" s="5" t="str">
        <f>INDEX(MCDM_Checks!$K$6:$K$3733,MATCH(A230&amp;"|"&amp;Z$5,MCDM_Checks!$A$6:$A$3733,0))</f>
        <v>Y</v>
      </c>
      <c r="AA230" s="5" t="str">
        <f>INDEX(MCDM_Checks!$K$6:$K$3733,MATCH(A230&amp;"|"&amp;AA$5,MCDM_Checks!$A$6:$A$3733,0))</f>
        <v>U</v>
      </c>
      <c r="AB230" s="5" t="str">
        <f>INDEX(MCDM_Checks!$K$6:$K$3733,MATCH(A230&amp;"|"&amp;AB$5,MCDM_Checks!$A$6:$A$3733,0))</f>
        <v>U</v>
      </c>
      <c r="AC230" s="12">
        <f>IF(IF($D230="Unlabeled-13",MCDM_Settings!$F$6,MCDM_Settings!$D$6)=0,"n.a.",5*COUNTIF(M230:O230,"Y")/IF($D230="Unlabeled-13",MCDM_Settings!$F$6,MCDM_Settings!$D$6))</f>
        <v>5</v>
      </c>
      <c r="AD230" s="12">
        <f>IF(IF($D230="Unlabeled-13",MCDM_Settings!$F$6,MCDM_Settings!$D$6)=0,"n.a.",5*(COUNTIF(M230:O230,"Y")+COUNTIF(M230:O230,"U")+COUNTIF(M230:O230,"X"))/IF($D230="Unlabeled-13",MCDM_Settings!$F$6,MCDM_Settings!$D$6))</f>
        <v>5</v>
      </c>
      <c r="AE230" s="13">
        <f>IF(IF($D230="Unlabeled-13",MCDM_Settings!$F$6,MCDM_Settings!$D$6)=0,"n.a.",(COUNTIF(M230:O230,"Y")+COUNTIF(M230:O230,"N"))/IF($D230="Unlabeled-13",MCDM_Settings!$F$6,MCDM_Settings!$D$6))</f>
        <v>1</v>
      </c>
      <c r="AF230" s="12">
        <f>IF(IF($D230="Unlabeled-13",MCDM_Settings!$F$7,MCDM_Settings!$D$7)=0,"n.a.",5*COUNTIF(P230:R230,"Y")/IF($D230="Unlabeled-13",MCDM_Settings!$F$7,MCDM_Settings!$D$7))</f>
        <v>0</v>
      </c>
      <c r="AG230" s="12">
        <f>IF(IF($D230="Unlabeled-13",MCDM_Settings!$F$7,MCDM_Settings!$D$7)=0,"n.a.",5*(COUNTIF(P230:R230,"Y")+COUNTIF(P230:R230,"U")+COUNTIF(P230:R230,"X"))/IF($D230="Unlabeled-13",MCDM_Settings!$F$7,MCDM_Settings!$D$7))</f>
        <v>5</v>
      </c>
      <c r="AH230" s="13">
        <f>IF(IF($D230="Unlabeled-13",MCDM_Settings!$F$7,MCDM_Settings!$D$7)=0,"n.a.",(COUNTIF(P230:R230,"Y")+COUNTIF(P230:R230,"N"))/IF($D230="Unlabeled-13",MCDM_Settings!$F$7,MCDM_Settings!$D$7))</f>
        <v>0</v>
      </c>
      <c r="AI230" s="12">
        <f>IF(IF($D230="Unlabeled-13",MCDM_Settings!$F$8,MCDM_Settings!$D$8)=0,"n.a.",5*COUNTIF(S230:U230,"Y")/IF($D230="Unlabeled-13",MCDM_Settings!$F$8,MCDM_Settings!$D$8))</f>
        <v>3.3333333333333335</v>
      </c>
      <c r="AJ230" s="12">
        <f>IF(IF($D230="Unlabeled-13",MCDM_Settings!$F$8,MCDM_Settings!$D$8)=0,"n.a.",5*(COUNTIF(S230:U230,"Y")+COUNTIF(S230:U230,"U")+COUNTIF(S230:U230,"X"))/IF($D230="Unlabeled-13",MCDM_Settings!$F$8,MCDM_Settings!$D$8))</f>
        <v>5</v>
      </c>
      <c r="AK230" s="13">
        <f>IF(IF($D230="Unlabeled-13",MCDM_Settings!$F$8,MCDM_Settings!$D$8)=0,"n.a.",(COUNTIF(S230:U230,"Y")+COUNTIF(S230:U230,"N"))/IF($D230="Unlabeled-13",MCDM_Settings!$F$8,MCDM_Settings!$D$8))</f>
        <v>0.66666666666666663</v>
      </c>
      <c r="AL230" s="12">
        <f>IF(IF($D230="Unlabeled-13",MCDM_Settings!$F$9,MCDM_Settings!$D$9)=0,"n.a.",5*COUNTIF(V230:W230,"Y")/IF($D230="Unlabeled-13",MCDM_Settings!$F$9,MCDM_Settings!$D$9))</f>
        <v>0</v>
      </c>
      <c r="AM230" s="12">
        <f>IF(IF($D230="Unlabeled-13",MCDM_Settings!$F$9,MCDM_Settings!$D$9)=0,"n.a.",5*(COUNTIF(V230:W230,"Y")+COUNTIF(V230:W230,"U")+COUNTIF(V230:W230,"X"))/IF($D230="Unlabeled-13",MCDM_Settings!$F$9,MCDM_Settings!$D$9))</f>
        <v>5</v>
      </c>
      <c r="AN230" s="13">
        <f>IF(IF($D230="Unlabeled-13",MCDM_Settings!$F$9,MCDM_Settings!$D$9)=0,"n.a.",(COUNTIF(V230:W230,"Y")+COUNTIF(V230:W230,"N"))/IF($D230="Unlabeled-13",MCDM_Settings!$F$9,MCDM_Settings!$D$9))</f>
        <v>0</v>
      </c>
      <c r="AO230" s="12">
        <f>IF(IF($D230="Unlabeled-13",MCDM_Settings!$F$10,MCDM_Settings!$D$10)=0,"n.a.",5*COUNTIF(X230:Y230,"Y")/IF($D230="Unlabeled-13",MCDM_Settings!$F$10,MCDM_Settings!$D$10))</f>
        <v>5</v>
      </c>
      <c r="AP230" s="12">
        <f>IF(IF($D230="Unlabeled-13",MCDM_Settings!$F$10,MCDM_Settings!$D$10)=0,"n.a.",5*(COUNTIF(X230:Y230,"Y")+COUNTIF(X230:Y230,"U")+COUNTIF(X230:Y230,"X"))/IF($D230="Unlabeled-13",MCDM_Settings!$F$10,MCDM_Settings!$D$10))</f>
        <v>5</v>
      </c>
      <c r="AQ230" s="13">
        <f>IF(IF($D230="Unlabeled-13",MCDM_Settings!$F$10,MCDM_Settings!$D$10)=0,"n.a.",(COUNTIF(X230:Y230,"Y")+COUNTIF(X230:Y230,"N"))/IF($D230="Unlabeled-13",MCDM_Settings!$F$10,MCDM_Settings!$D$10))</f>
        <v>1</v>
      </c>
      <c r="AR230" s="12">
        <f>IF(IF($D230="Unlabeled-13",MCDM_Settings!$F$11,MCDM_Settings!$D$11)=0,"n.a.",5*COUNTIF(Z230:AB230,"Y")/IF($D230="Unlabeled-13",MCDM_Settings!$F$11,MCDM_Settings!$D$11))</f>
        <v>1.6666666666666667</v>
      </c>
      <c r="AS230" s="12">
        <f>IF(IF($D230="Unlabeled-13",MCDM_Settings!$F$11,MCDM_Settings!$D$11)=0,"n.a.",5*(COUNTIF(Z230:AB230,"Y")+COUNTIF(Z230:AB230,"U")+COUNTIF(Z230:AB230,"X"))/IF($D230="Unlabeled-13",MCDM_Settings!$F$11,MCDM_Settings!$D$11))</f>
        <v>5</v>
      </c>
      <c r="AT230" s="13">
        <f>IF(IF($D230="Unlabeled-13",MCDM_Settings!$F$11,MCDM_Settings!$D$11)=0,"n.a.",(COUNTIF(Z230:AB230,"Y")+COUNTIF(Z230:AB230,"N"))/IF($D230="Unlabeled-13",MCDM_Settings!$F$11,MCDM_Settings!$D$11))</f>
        <v>0.33333333333333331</v>
      </c>
      <c r="AU230" s="5" t="str">
        <f>IF(AND(INDEX(Manual_Review!$G$6:$G$238,MATCH(A230,Manual_Review!$A$6:$A$238,0))&lt;&gt;"",ISNUMBER(INDEX(Manual_Review!$H$6:$H$238,MATCH(A230,Manual_Review!$A$6:$A$238,0))),INDEX(Manual_Review!$H$6:$H$238,MATCH(A230,Manual_Review!$A$6:$A$238,0))&gt;0,INDEX(Manual_Review!$I$6:$I$238,MATCH(A230,Manual_Review!$A$6:$A$238,0))="Confirmed",INDEX(Manual_Review!$AF$6:$AF$238,MATCH(A230,Manual_Review!$A$6:$A$238,0))&lt;&gt;""),IF(INDEX(Manual_Review!$AA$6:$AA$238,MATCH(A230,Manual_Review!$A$6:$A$238,0))="Pass","Pass",IF(INDEX(Manual_Review!$AA$6:$AA$238,MATCH(A230,Manual_Review!$A$6:$A$238,0))="Fail","Fail","Pending")),"Pending human identity confirmation")</f>
        <v>Pending human identity confirmation</v>
      </c>
      <c r="AV230" s="5" t="str">
        <f>IF(AND(AND(INDEX(Manual_Review!$G$6:$G$238,MATCH(A230,Manual_Review!$A$6:$A$238,0))&lt;&gt;"",ISNUMBER(INDEX(Manual_Review!$H$6:$H$238,MATCH(A230,Manual_Review!$A$6:$A$238,0))),INDEX(Manual_Review!$H$6:$H$238,MATCH(A230,Manual_Review!$A$6:$A$238,0))&gt;0,INDEX(Manual_Review!$I$6:$I$238,MATCH(A230,Manual_Review!$A$6:$A$238,0))="Confirmed",INDEX(Manual_Review!$AF$6:$AF$238,MATCH(A230,Manual_Review!$A$6:$A$238,0))&lt;&gt;""),INDEX(Manual_Review!$AG$6:$AG$238,MATCH(A230,Manual_Review!$A$6:$A$238,0))&lt;&gt;""),IF(INDEX(Manual_Review!$AB$6:$AB$238,MATCH(A230,Manual_Review!$A$6:$A$238,0))="Pass","Pass",IF(INDEX(Manual_Review!$AB$6:$AB$238,MATCH(A230,Manual_Review!$A$6:$A$238,0))="Fail","Fail","Pending")),"Not assessed: define intended task")</f>
        <v>Not assessed: define intended task</v>
      </c>
      <c r="AW230" s="5" t="str">
        <f>IF(AND(AND(INDEX(Manual_Review!$G$6:$G$238,MATCH(A230,Manual_Review!$A$6:$A$238,0))&lt;&gt;"",ISNUMBER(INDEX(Manual_Review!$H$6:$H$238,MATCH(A230,Manual_Review!$A$6:$A$238,0))),INDEX(Manual_Review!$H$6:$H$238,MATCH(A230,Manual_Review!$A$6:$A$238,0))&gt;0,INDEX(Manual_Review!$I$6:$I$238,MATCH(A230,Manual_Review!$A$6:$A$238,0))="Confirmed",INDEX(Manual_Review!$AF$6:$AF$238,MATCH(A230,Manual_Review!$A$6:$A$238,0))&lt;&gt;""),INDEX(Manual_Review!$AG$6:$AG$238,MATCH(A230,Manual_Review!$A$6:$A$238,0))&lt;&gt;""),IF(OR(INDEX(Manual_Review!$AC$6:$AC$238,MATCH(A230,Manual_Review!$A$6:$A$238,0))="Fail",INDEX(Manual_Review!$AD$6:$AD$238,MATCH(A230,Manual_Review!$A$6:$A$238,0))="Fail"),"Fail: rights or retrieval",IF(AND(INDEX(Manual_Review!$AC$6:$AC$238,MATCH(A230,Manual_Review!$A$6:$A$238,0))="Pass",INDEX(Manual_Review!$AD$6:$AD$238,MATCH(A230,Manual_Review!$A$6:$A$238,0))="Pass"),"Pass","Pending rights and retrieval")),"Pending rights and retrieval")</f>
        <v>Pending rights and retrieval</v>
      </c>
      <c r="AX230" s="5" t="str">
        <f>IF(INDEX(Manual_Review!$AG$6:$AG$238,MATCH(A230,Manual_Review!$A$6:$A$238,0))="","N/A: documentation inventory",IF(AND(INDEX(Manual_Review!$G$6:$G$238,MATCH(A230,Manual_Review!$A$6:$A$238,0))&lt;&gt;"",ISNUMBER(INDEX(Manual_Review!$H$6:$H$238,MATCH(A230,Manual_Review!$A$6:$A$238,0))),INDEX(Manual_Review!$H$6:$H$238,MATCH(A230,Manual_Review!$A$6:$A$238,0))&gt;0,INDEX(Manual_Review!$I$6:$I$238,MATCH(A230,Manual_Review!$A$6:$A$238,0))="Confirmed",INDEX(Manual_Review!$AF$6:$AF$238,MATCH(A230,Manual_Review!$A$6:$A$238,0))&lt;&gt;""),IF(INDEX(Manual_Review!$AE$6:$AE$238,MATCH(A230,Manual_Review!$A$6:$A$238,0))="Pass","Pass",IF(INDEX(Manual_Review!$AE$6:$AE$238,MATCH(A230,Manual_Review!$A$6:$A$238,0))="Fail","Fail: benchmark leakage",IF(INDEX(Manual_Review!$AE$6:$AE$238,MATCH(A230,Manual_Review!$A$6:$A$238,0))="N/A","N/A: nonbenchmark task","Pending task-specific leakage check"))),"Pending task-specific leakage check"))</f>
        <v>N/A: documentation inventory</v>
      </c>
      <c r="AY230" s="5" t="str">
        <f>IF(IF(D230="Unlabeled-13",AND(ABS(MCDM_Settings!$D$14-1)&lt;0.0000001,MIN(MCDM_Settings!$E$6:$E$11)&gt;=0,MCDM_Settings!$E$7=0),AND(ABS(MCDM_Settings!$B$14-1)&lt;0.0000001,MIN(MCDM_Settings!$C$6:$C$11)&gt;=0)),"Valid","Check weights")</f>
        <v>Valid</v>
      </c>
      <c r="AZ230" s="5" t="str">
        <f>IF(AND(COUNTIF(MCDM_Checks!$B$6:$B$3733,A230)=16,COUNTIF(Manual_Review!$A$6:$A$238,A230)=1),"16 keys present","Check key count")</f>
        <v>16 keys present</v>
      </c>
    </row>
    <row r="231" spans="1:52">
      <c r="A231" s="5" t="s">
        <v>2636</v>
      </c>
      <c r="B231" s="5" t="s">
        <v>2637</v>
      </c>
      <c r="C231" s="5"/>
      <c r="D231" s="5" t="s">
        <v>118</v>
      </c>
      <c r="E231" s="12">
        <f>IF(OR(AY231&lt;&gt;"Valid",AZ231&lt;&gt;"16 keys present"),"Review settings",20*(IF(ISNUMBER(AC231),AC231*IF($D231="Unlabeled-13",MCDM_Settings!$E$6,MCDM_Settings!$C$6),0)+IF(ISNUMBER(AF231),AF231*IF($D231="Unlabeled-13",MCDM_Settings!$E$7,MCDM_Settings!$C$7),0)+IF(ISNUMBER(AI231),AI231*IF($D231="Unlabeled-13",MCDM_Settings!$E$8,MCDM_Settings!$C$8),0)+IF(ISNUMBER(AL231),AL231*IF($D231="Unlabeled-13",MCDM_Settings!$E$9,MCDM_Settings!$C$9),0)+IF(ISNUMBER(AO231),AO231*IF($D231="Unlabeled-13",MCDM_Settings!$E$10,MCDM_Settings!$C$10),0)+IF(ISNUMBER(AR231),AR231*IF($D231="Unlabeled-13",MCDM_Settings!$E$11,MCDM_Settings!$C$11),0)))</f>
        <v>41.666666666666657</v>
      </c>
      <c r="F231" s="12">
        <f>IF(OR(AY231&lt;&gt;"Valid",AZ231&lt;&gt;"16 keys present"),"Review settings",20*(IF(ISNUMBER(AD231),AD231*IF($D231="Unlabeled-13",MCDM_Settings!$E$6,MCDM_Settings!$C$6),0)+IF(ISNUMBER(AG231),AG231*IF($D231="Unlabeled-13",MCDM_Settings!$E$7,MCDM_Settings!$C$7),0)+IF(ISNUMBER(AJ231),AJ231*IF($D231="Unlabeled-13",MCDM_Settings!$E$8,MCDM_Settings!$C$8),0)+IF(ISNUMBER(AM231),AM231*IF($D231="Unlabeled-13",MCDM_Settings!$E$9,MCDM_Settings!$C$9),0)+IF(ISNUMBER(AP231),AP231*IF($D231="Unlabeled-13",MCDM_Settings!$E$10,MCDM_Settings!$C$10),0)+IF(ISNUMBER(AS231),AS231*IF($D231="Unlabeled-13",MCDM_Settings!$E$11,MCDM_Settings!$C$11),0)))</f>
        <v>99.999999999999986</v>
      </c>
      <c r="G231" s="13">
        <f>IF(OR(AY231&lt;&gt;"Valid",AZ231&lt;&gt;"16 keys present"),"Review settings",1*(IF(ISNUMBER(AE231),AE231*IF($D231="Unlabeled-13",MCDM_Settings!$E$6,MCDM_Settings!$C$6),0)+IF(ISNUMBER(AH231),AH231*IF($D231="Unlabeled-13",MCDM_Settings!$E$7,MCDM_Settings!$C$7),0)+IF(ISNUMBER(AK231),AK231*IF($D231="Unlabeled-13",MCDM_Settings!$E$8,MCDM_Settings!$C$8),0)+IF(ISNUMBER(AN231),AN231*IF($D231="Unlabeled-13",MCDM_Settings!$E$9,MCDM_Settings!$C$9),0)+IF(ISNUMBER(AQ231),AQ231*IF($D231="Unlabeled-13",MCDM_Settings!$E$10,MCDM_Settings!$C$10),0)+IF(ISNUMBER(AT231),AT231*IF($D231="Unlabeled-13",MCDM_Settings!$E$11,MCDM_Settings!$C$11),0)))</f>
        <v>0.41666666666666663</v>
      </c>
      <c r="H231" s="5" t="str">
        <f>INDEX(Manual_Review!$AH$6:$AH$238,MATCH(A231,Manual_Review!$A$6:$A$238,0))</f>
        <v>Not started</v>
      </c>
      <c r="I231" s="5" t="s">
        <v>182</v>
      </c>
      <c r="J231" s="5" t="s">
        <v>2638</v>
      </c>
      <c r="K231" s="5" t="str">
        <f>HYPERLINK("https://github.com/scaleapi/pandaset-devkit","Dataset")</f>
        <v>Dataset</v>
      </c>
      <c r="L231" s="5" t="str">
        <f>HYPERLINK("#'Manual_Review'!A"&amp;(MATCH("DS-226",Manual_Review!$A$6:$A$238,0)+5),"Enter review")</f>
        <v>Enter review</v>
      </c>
      <c r="M231" s="5" t="str">
        <f>INDEX(MCDM_Checks!$K$6:$K$3733,MATCH(A231&amp;"|"&amp;M$5,MCDM_Checks!$A$6:$A$3733,0))</f>
        <v>Y</v>
      </c>
      <c r="N231" s="5" t="str">
        <f>INDEX(MCDM_Checks!$K$6:$K$3733,MATCH(A231&amp;"|"&amp;N$5,MCDM_Checks!$A$6:$A$3733,0))</f>
        <v>U</v>
      </c>
      <c r="O231" s="5" t="str">
        <f>INDEX(MCDM_Checks!$K$6:$K$3733,MATCH(A231&amp;"|"&amp;O$5,MCDM_Checks!$A$6:$A$3733,0))</f>
        <v>U</v>
      </c>
      <c r="P231" s="5" t="str">
        <f>INDEX(MCDM_Checks!$K$6:$K$3733,MATCH(A231&amp;"|"&amp;P$5,MCDM_Checks!$A$6:$A$3733,0))</f>
        <v>U</v>
      </c>
      <c r="Q231" s="5" t="str">
        <f>INDEX(MCDM_Checks!$K$6:$K$3733,MATCH(A231&amp;"|"&amp;Q$5,MCDM_Checks!$A$6:$A$3733,0))</f>
        <v>U</v>
      </c>
      <c r="R231" s="5" t="str">
        <f>INDEX(MCDM_Checks!$K$6:$K$3733,MATCH(A231&amp;"|"&amp;R$5,MCDM_Checks!$A$6:$A$3733,0))</f>
        <v>U</v>
      </c>
      <c r="S231" s="5" t="str">
        <f>INDEX(MCDM_Checks!$K$6:$K$3733,MATCH(A231&amp;"|"&amp;S$5,MCDM_Checks!$A$6:$A$3733,0))</f>
        <v>U</v>
      </c>
      <c r="T231" s="5" t="str">
        <f>INDEX(MCDM_Checks!$K$6:$K$3733,MATCH(A231&amp;"|"&amp;T$5,MCDM_Checks!$A$6:$A$3733,0))</f>
        <v>Y</v>
      </c>
      <c r="U231" s="5" t="str">
        <f>INDEX(MCDM_Checks!$K$6:$K$3733,MATCH(A231&amp;"|"&amp;U$5,MCDM_Checks!$A$6:$A$3733,0))</f>
        <v>U</v>
      </c>
      <c r="V231" s="5" t="str">
        <f>INDEX(MCDM_Checks!$K$6:$K$3733,MATCH(A231&amp;"|"&amp;V$5,MCDM_Checks!$A$6:$A$3733,0))</f>
        <v>Y</v>
      </c>
      <c r="W231" s="5" t="str">
        <f>INDEX(MCDM_Checks!$K$6:$K$3733,MATCH(A231&amp;"|"&amp;W$5,MCDM_Checks!$A$6:$A$3733,0))</f>
        <v>U</v>
      </c>
      <c r="X231" s="5" t="str">
        <f>INDEX(MCDM_Checks!$K$6:$K$3733,MATCH(A231&amp;"|"&amp;X$5,MCDM_Checks!$A$6:$A$3733,0))</f>
        <v>Y</v>
      </c>
      <c r="Y231" s="5" t="str">
        <f>INDEX(MCDM_Checks!$K$6:$K$3733,MATCH(A231&amp;"|"&amp;Y$5,MCDM_Checks!$A$6:$A$3733,0))</f>
        <v>Y</v>
      </c>
      <c r="Z231" s="5" t="str">
        <f>INDEX(MCDM_Checks!$K$6:$K$3733,MATCH(A231&amp;"|"&amp;Z$5,MCDM_Checks!$A$6:$A$3733,0))</f>
        <v>Y</v>
      </c>
      <c r="AA231" s="5" t="str">
        <f>INDEX(MCDM_Checks!$K$6:$K$3733,MATCH(A231&amp;"|"&amp;AA$5,MCDM_Checks!$A$6:$A$3733,0))</f>
        <v>U</v>
      </c>
      <c r="AB231" s="5" t="str">
        <f>INDEX(MCDM_Checks!$K$6:$K$3733,MATCH(A231&amp;"|"&amp;AB$5,MCDM_Checks!$A$6:$A$3733,0))</f>
        <v>U</v>
      </c>
      <c r="AC231" s="12">
        <f>IF(IF($D231="Unlabeled-13",MCDM_Settings!$F$6,MCDM_Settings!$D$6)=0,"n.a.",5*COUNTIF(M231:O231,"Y")/IF($D231="Unlabeled-13",MCDM_Settings!$F$6,MCDM_Settings!$D$6))</f>
        <v>1.6666666666666667</v>
      </c>
      <c r="AD231" s="12">
        <f>IF(IF($D231="Unlabeled-13",MCDM_Settings!$F$6,MCDM_Settings!$D$6)=0,"n.a.",5*(COUNTIF(M231:O231,"Y")+COUNTIF(M231:O231,"U")+COUNTIF(M231:O231,"X"))/IF($D231="Unlabeled-13",MCDM_Settings!$F$6,MCDM_Settings!$D$6))</f>
        <v>5</v>
      </c>
      <c r="AE231" s="13">
        <f>IF(IF($D231="Unlabeled-13",MCDM_Settings!$F$6,MCDM_Settings!$D$6)=0,"n.a.",(COUNTIF(M231:O231,"Y")+COUNTIF(M231:O231,"N"))/IF($D231="Unlabeled-13",MCDM_Settings!$F$6,MCDM_Settings!$D$6))</f>
        <v>0.33333333333333331</v>
      </c>
      <c r="AF231" s="12">
        <f>IF(IF($D231="Unlabeled-13",MCDM_Settings!$F$7,MCDM_Settings!$D$7)=0,"n.a.",5*COUNTIF(P231:R231,"Y")/IF($D231="Unlabeled-13",MCDM_Settings!$F$7,MCDM_Settings!$D$7))</f>
        <v>0</v>
      </c>
      <c r="AG231" s="12">
        <f>IF(IF($D231="Unlabeled-13",MCDM_Settings!$F$7,MCDM_Settings!$D$7)=0,"n.a.",5*(COUNTIF(P231:R231,"Y")+COUNTIF(P231:R231,"U")+COUNTIF(P231:R231,"X"))/IF($D231="Unlabeled-13",MCDM_Settings!$F$7,MCDM_Settings!$D$7))</f>
        <v>5</v>
      </c>
      <c r="AH231" s="13">
        <f>IF(IF($D231="Unlabeled-13",MCDM_Settings!$F$7,MCDM_Settings!$D$7)=0,"n.a.",(COUNTIF(P231:R231,"Y")+COUNTIF(P231:R231,"N"))/IF($D231="Unlabeled-13",MCDM_Settings!$F$7,MCDM_Settings!$D$7))</f>
        <v>0</v>
      </c>
      <c r="AI231" s="12">
        <f>IF(IF($D231="Unlabeled-13",MCDM_Settings!$F$8,MCDM_Settings!$D$8)=0,"n.a.",5*COUNTIF(S231:U231,"Y")/IF($D231="Unlabeled-13",MCDM_Settings!$F$8,MCDM_Settings!$D$8))</f>
        <v>1.6666666666666667</v>
      </c>
      <c r="AJ231" s="12">
        <f>IF(IF($D231="Unlabeled-13",MCDM_Settings!$F$8,MCDM_Settings!$D$8)=0,"n.a.",5*(COUNTIF(S231:U231,"Y")+COUNTIF(S231:U231,"U")+COUNTIF(S231:U231,"X"))/IF($D231="Unlabeled-13",MCDM_Settings!$F$8,MCDM_Settings!$D$8))</f>
        <v>5</v>
      </c>
      <c r="AK231" s="13">
        <f>IF(IF($D231="Unlabeled-13",MCDM_Settings!$F$8,MCDM_Settings!$D$8)=0,"n.a.",(COUNTIF(S231:U231,"Y")+COUNTIF(S231:U231,"N"))/IF($D231="Unlabeled-13",MCDM_Settings!$F$8,MCDM_Settings!$D$8))</f>
        <v>0.33333333333333331</v>
      </c>
      <c r="AL231" s="12">
        <f>IF(IF($D231="Unlabeled-13",MCDM_Settings!$F$9,MCDM_Settings!$D$9)=0,"n.a.",5*COUNTIF(V231:W231,"Y")/IF($D231="Unlabeled-13",MCDM_Settings!$F$9,MCDM_Settings!$D$9))</f>
        <v>2.5</v>
      </c>
      <c r="AM231" s="12">
        <f>IF(IF($D231="Unlabeled-13",MCDM_Settings!$F$9,MCDM_Settings!$D$9)=0,"n.a.",5*(COUNTIF(V231:W231,"Y")+COUNTIF(V231:W231,"U")+COUNTIF(V231:W231,"X"))/IF($D231="Unlabeled-13",MCDM_Settings!$F$9,MCDM_Settings!$D$9))</f>
        <v>5</v>
      </c>
      <c r="AN231" s="13">
        <f>IF(IF($D231="Unlabeled-13",MCDM_Settings!$F$9,MCDM_Settings!$D$9)=0,"n.a.",(COUNTIF(V231:W231,"Y")+COUNTIF(V231:W231,"N"))/IF($D231="Unlabeled-13",MCDM_Settings!$F$9,MCDM_Settings!$D$9))</f>
        <v>0.5</v>
      </c>
      <c r="AO231" s="12">
        <f>IF(IF($D231="Unlabeled-13",MCDM_Settings!$F$10,MCDM_Settings!$D$10)=0,"n.a.",5*COUNTIF(X231:Y231,"Y")/IF($D231="Unlabeled-13",MCDM_Settings!$F$10,MCDM_Settings!$D$10))</f>
        <v>5</v>
      </c>
      <c r="AP231" s="12">
        <f>IF(IF($D231="Unlabeled-13",MCDM_Settings!$F$10,MCDM_Settings!$D$10)=0,"n.a.",5*(COUNTIF(X231:Y231,"Y")+COUNTIF(X231:Y231,"U")+COUNTIF(X231:Y231,"X"))/IF($D231="Unlabeled-13",MCDM_Settings!$F$10,MCDM_Settings!$D$10))</f>
        <v>5</v>
      </c>
      <c r="AQ231" s="13">
        <f>IF(IF($D231="Unlabeled-13",MCDM_Settings!$F$10,MCDM_Settings!$D$10)=0,"n.a.",(COUNTIF(X231:Y231,"Y")+COUNTIF(X231:Y231,"N"))/IF($D231="Unlabeled-13",MCDM_Settings!$F$10,MCDM_Settings!$D$10))</f>
        <v>1</v>
      </c>
      <c r="AR231" s="12">
        <f>IF(IF($D231="Unlabeled-13",MCDM_Settings!$F$11,MCDM_Settings!$D$11)=0,"n.a.",5*COUNTIF(Z231:AB231,"Y")/IF($D231="Unlabeled-13",MCDM_Settings!$F$11,MCDM_Settings!$D$11))</f>
        <v>1.6666666666666667</v>
      </c>
      <c r="AS231" s="12">
        <f>IF(IF($D231="Unlabeled-13",MCDM_Settings!$F$11,MCDM_Settings!$D$11)=0,"n.a.",5*(COUNTIF(Z231:AB231,"Y")+COUNTIF(Z231:AB231,"U")+COUNTIF(Z231:AB231,"X"))/IF($D231="Unlabeled-13",MCDM_Settings!$F$11,MCDM_Settings!$D$11))</f>
        <v>5</v>
      </c>
      <c r="AT231" s="13">
        <f>IF(IF($D231="Unlabeled-13",MCDM_Settings!$F$11,MCDM_Settings!$D$11)=0,"n.a.",(COUNTIF(Z231:AB231,"Y")+COUNTIF(Z231:AB231,"N"))/IF($D231="Unlabeled-13",MCDM_Settings!$F$11,MCDM_Settings!$D$11))</f>
        <v>0.33333333333333331</v>
      </c>
      <c r="AU231" s="5" t="str">
        <f>IF(AND(INDEX(Manual_Review!$G$6:$G$238,MATCH(A231,Manual_Review!$A$6:$A$238,0))&lt;&gt;"",ISNUMBER(INDEX(Manual_Review!$H$6:$H$238,MATCH(A231,Manual_Review!$A$6:$A$238,0))),INDEX(Manual_Review!$H$6:$H$238,MATCH(A231,Manual_Review!$A$6:$A$238,0))&gt;0,INDEX(Manual_Review!$I$6:$I$238,MATCH(A231,Manual_Review!$A$6:$A$238,0))="Confirmed",INDEX(Manual_Review!$AF$6:$AF$238,MATCH(A231,Manual_Review!$A$6:$A$238,0))&lt;&gt;""),IF(INDEX(Manual_Review!$AA$6:$AA$238,MATCH(A231,Manual_Review!$A$6:$A$238,0))="Pass","Pass",IF(INDEX(Manual_Review!$AA$6:$AA$238,MATCH(A231,Manual_Review!$A$6:$A$238,0))="Fail","Fail","Pending")),"Pending human identity confirmation")</f>
        <v>Pending human identity confirmation</v>
      </c>
      <c r="AV231" s="5" t="str">
        <f>IF(AND(AND(INDEX(Manual_Review!$G$6:$G$238,MATCH(A231,Manual_Review!$A$6:$A$238,0))&lt;&gt;"",ISNUMBER(INDEX(Manual_Review!$H$6:$H$238,MATCH(A231,Manual_Review!$A$6:$A$238,0))),INDEX(Manual_Review!$H$6:$H$238,MATCH(A231,Manual_Review!$A$6:$A$238,0))&gt;0,INDEX(Manual_Review!$I$6:$I$238,MATCH(A231,Manual_Review!$A$6:$A$238,0))="Confirmed",INDEX(Manual_Review!$AF$6:$AF$238,MATCH(A231,Manual_Review!$A$6:$A$238,0))&lt;&gt;""),INDEX(Manual_Review!$AG$6:$AG$238,MATCH(A231,Manual_Review!$A$6:$A$238,0))&lt;&gt;""),IF(INDEX(Manual_Review!$AB$6:$AB$238,MATCH(A231,Manual_Review!$A$6:$A$238,0))="Pass","Pass",IF(INDEX(Manual_Review!$AB$6:$AB$238,MATCH(A231,Manual_Review!$A$6:$A$238,0))="Fail","Fail","Pending")),"Not assessed: define intended task")</f>
        <v>Not assessed: define intended task</v>
      </c>
      <c r="AW231" s="5" t="str">
        <f>IF(AND(AND(INDEX(Manual_Review!$G$6:$G$238,MATCH(A231,Manual_Review!$A$6:$A$238,0))&lt;&gt;"",ISNUMBER(INDEX(Manual_Review!$H$6:$H$238,MATCH(A231,Manual_Review!$A$6:$A$238,0))),INDEX(Manual_Review!$H$6:$H$238,MATCH(A231,Manual_Review!$A$6:$A$238,0))&gt;0,INDEX(Manual_Review!$I$6:$I$238,MATCH(A231,Manual_Review!$A$6:$A$238,0))="Confirmed",INDEX(Manual_Review!$AF$6:$AF$238,MATCH(A231,Manual_Review!$A$6:$A$238,0))&lt;&gt;""),INDEX(Manual_Review!$AG$6:$AG$238,MATCH(A231,Manual_Review!$A$6:$A$238,0))&lt;&gt;""),IF(OR(INDEX(Manual_Review!$AC$6:$AC$238,MATCH(A231,Manual_Review!$A$6:$A$238,0))="Fail",INDEX(Manual_Review!$AD$6:$AD$238,MATCH(A231,Manual_Review!$A$6:$A$238,0))="Fail"),"Fail: rights or retrieval",IF(AND(INDEX(Manual_Review!$AC$6:$AC$238,MATCH(A231,Manual_Review!$A$6:$A$238,0))="Pass",INDEX(Manual_Review!$AD$6:$AD$238,MATCH(A231,Manual_Review!$A$6:$A$238,0))="Pass"),"Pass","Pending rights and retrieval")),"Pending rights and retrieval")</f>
        <v>Pending rights and retrieval</v>
      </c>
      <c r="AX231" s="5" t="str">
        <f>IF(INDEX(Manual_Review!$AG$6:$AG$238,MATCH(A231,Manual_Review!$A$6:$A$238,0))="","N/A: documentation inventory",IF(AND(INDEX(Manual_Review!$G$6:$G$238,MATCH(A231,Manual_Review!$A$6:$A$238,0))&lt;&gt;"",ISNUMBER(INDEX(Manual_Review!$H$6:$H$238,MATCH(A231,Manual_Review!$A$6:$A$238,0))),INDEX(Manual_Review!$H$6:$H$238,MATCH(A231,Manual_Review!$A$6:$A$238,0))&gt;0,INDEX(Manual_Review!$I$6:$I$238,MATCH(A231,Manual_Review!$A$6:$A$238,0))="Confirmed",INDEX(Manual_Review!$AF$6:$AF$238,MATCH(A231,Manual_Review!$A$6:$A$238,0))&lt;&gt;""),IF(INDEX(Manual_Review!$AE$6:$AE$238,MATCH(A231,Manual_Review!$A$6:$A$238,0))="Pass","Pass",IF(INDEX(Manual_Review!$AE$6:$AE$238,MATCH(A231,Manual_Review!$A$6:$A$238,0))="Fail","Fail: benchmark leakage",IF(INDEX(Manual_Review!$AE$6:$AE$238,MATCH(A231,Manual_Review!$A$6:$A$238,0))="N/A","N/A: nonbenchmark task","Pending task-specific leakage check"))),"Pending task-specific leakage check"))</f>
        <v>N/A: documentation inventory</v>
      </c>
      <c r="AY231" s="5" t="str">
        <f>IF(IF(D231="Unlabeled-13",AND(ABS(MCDM_Settings!$D$14-1)&lt;0.0000001,MIN(MCDM_Settings!$E$6:$E$11)&gt;=0,MCDM_Settings!$E$7=0),AND(ABS(MCDM_Settings!$B$14-1)&lt;0.0000001,MIN(MCDM_Settings!$C$6:$C$11)&gt;=0)),"Valid","Check weights")</f>
        <v>Valid</v>
      </c>
      <c r="AZ231" s="5" t="str">
        <f>IF(AND(COUNTIF(MCDM_Checks!$B$6:$B$3733,A231)=16,COUNTIF(Manual_Review!$A$6:$A$238,A231)=1),"16 keys present","Check key count")</f>
        <v>16 keys present</v>
      </c>
    </row>
    <row r="232" spans="1:52">
      <c r="A232" s="5" t="s">
        <v>2650</v>
      </c>
      <c r="B232" s="5" t="s">
        <v>2651</v>
      </c>
      <c r="C232" s="5"/>
      <c r="D232" s="5" t="s">
        <v>118</v>
      </c>
      <c r="E232" s="12">
        <f>IF(OR(AY232&lt;&gt;"Valid",AZ232&lt;&gt;"16 keys present"),"Review settings",20*(IF(ISNUMBER(AC232),AC232*IF($D232="Unlabeled-13",MCDM_Settings!$E$6,MCDM_Settings!$C$6),0)+IF(ISNUMBER(AF232),AF232*IF($D232="Unlabeled-13",MCDM_Settings!$E$7,MCDM_Settings!$C$7),0)+IF(ISNUMBER(AI232),AI232*IF($D232="Unlabeled-13",MCDM_Settings!$E$8,MCDM_Settings!$C$8),0)+IF(ISNUMBER(AL232),AL232*IF($D232="Unlabeled-13",MCDM_Settings!$E$9,MCDM_Settings!$C$9),0)+IF(ISNUMBER(AO232),AO232*IF($D232="Unlabeled-13",MCDM_Settings!$E$10,MCDM_Settings!$C$10),0)+IF(ISNUMBER(AR232),AR232*IF($D232="Unlabeled-13",MCDM_Settings!$E$11,MCDM_Settings!$C$11),0)))</f>
        <v>63.888888888888893</v>
      </c>
      <c r="F232" s="12">
        <f>IF(OR(AY232&lt;&gt;"Valid",AZ232&lt;&gt;"16 keys present"),"Review settings",20*(IF(ISNUMBER(AD232),AD232*IF($D232="Unlabeled-13",MCDM_Settings!$E$6,MCDM_Settings!$C$6),0)+IF(ISNUMBER(AG232),AG232*IF($D232="Unlabeled-13",MCDM_Settings!$E$7,MCDM_Settings!$C$7),0)+IF(ISNUMBER(AJ232),AJ232*IF($D232="Unlabeled-13",MCDM_Settings!$E$8,MCDM_Settings!$C$8),0)+IF(ISNUMBER(AM232),AM232*IF($D232="Unlabeled-13",MCDM_Settings!$E$9,MCDM_Settings!$C$9),0)+IF(ISNUMBER(AP232),AP232*IF($D232="Unlabeled-13",MCDM_Settings!$E$10,MCDM_Settings!$C$10),0)+IF(ISNUMBER(AS232),AS232*IF($D232="Unlabeled-13",MCDM_Settings!$E$11,MCDM_Settings!$C$11),0)))</f>
        <v>99.999999999999986</v>
      </c>
      <c r="G232" s="13">
        <f>IF(OR(AY232&lt;&gt;"Valid",AZ232&lt;&gt;"16 keys present"),"Review settings",1*(IF(ISNUMBER(AE232),AE232*IF($D232="Unlabeled-13",MCDM_Settings!$E$6,MCDM_Settings!$C$6),0)+IF(ISNUMBER(AH232),AH232*IF($D232="Unlabeled-13",MCDM_Settings!$E$7,MCDM_Settings!$C$7),0)+IF(ISNUMBER(AK232),AK232*IF($D232="Unlabeled-13",MCDM_Settings!$E$8,MCDM_Settings!$C$8),0)+IF(ISNUMBER(AN232),AN232*IF($D232="Unlabeled-13",MCDM_Settings!$E$9,MCDM_Settings!$C$9),0)+IF(ISNUMBER(AQ232),AQ232*IF($D232="Unlabeled-13",MCDM_Settings!$E$10,MCDM_Settings!$C$10),0)+IF(ISNUMBER(AT232),AT232*IF($D232="Unlabeled-13",MCDM_Settings!$E$11,MCDM_Settings!$C$11),0)))</f>
        <v>0.63888888888888884</v>
      </c>
      <c r="H232" s="5" t="str">
        <f>INDEX(Manual_Review!$AH$6:$AH$238,MATCH(A232,Manual_Review!$A$6:$A$238,0))</f>
        <v>Not started</v>
      </c>
      <c r="I232" s="5" t="s">
        <v>182</v>
      </c>
      <c r="J232" s="5" t="s">
        <v>2652</v>
      </c>
      <c r="K232" s="5" t="str">
        <f>HYPERLINK("https://pro.hw.ac.uk/radiate/","Dataset")</f>
        <v>Dataset</v>
      </c>
      <c r="L232" s="5" t="str">
        <f>HYPERLINK("#'Manual_Review'!A"&amp;(MATCH("DS-227",Manual_Review!$A$6:$A$238,0)+5),"Enter review")</f>
        <v>Enter review</v>
      </c>
      <c r="M232" s="5" t="str">
        <f>INDEX(MCDM_Checks!$K$6:$K$3733,MATCH(A232&amp;"|"&amp;M$5,MCDM_Checks!$A$6:$A$3733,0))</f>
        <v>Y</v>
      </c>
      <c r="N232" s="5" t="str">
        <f>INDEX(MCDM_Checks!$K$6:$K$3733,MATCH(A232&amp;"|"&amp;N$5,MCDM_Checks!$A$6:$A$3733,0))</f>
        <v>Y</v>
      </c>
      <c r="O232" s="5" t="str">
        <f>INDEX(MCDM_Checks!$K$6:$K$3733,MATCH(A232&amp;"|"&amp;O$5,MCDM_Checks!$A$6:$A$3733,0))</f>
        <v>Y</v>
      </c>
      <c r="P232" s="5" t="str">
        <f>INDEX(MCDM_Checks!$K$6:$K$3733,MATCH(A232&amp;"|"&amp;P$5,MCDM_Checks!$A$6:$A$3733,0))</f>
        <v>Y</v>
      </c>
      <c r="Q232" s="5" t="str">
        <f>INDEX(MCDM_Checks!$K$6:$K$3733,MATCH(A232&amp;"|"&amp;Q$5,MCDM_Checks!$A$6:$A$3733,0))</f>
        <v>U</v>
      </c>
      <c r="R232" s="5" t="str">
        <f>INDEX(MCDM_Checks!$K$6:$K$3733,MATCH(A232&amp;"|"&amp;R$5,MCDM_Checks!$A$6:$A$3733,0))</f>
        <v>U</v>
      </c>
      <c r="S232" s="5" t="str">
        <f>INDEX(MCDM_Checks!$K$6:$K$3733,MATCH(A232&amp;"|"&amp;S$5,MCDM_Checks!$A$6:$A$3733,0))</f>
        <v>U</v>
      </c>
      <c r="T232" s="5" t="str">
        <f>INDEX(MCDM_Checks!$K$6:$K$3733,MATCH(A232&amp;"|"&amp;T$5,MCDM_Checks!$A$6:$A$3733,0))</f>
        <v>Y</v>
      </c>
      <c r="U232" s="5" t="str">
        <f>INDEX(MCDM_Checks!$K$6:$K$3733,MATCH(A232&amp;"|"&amp;U$5,MCDM_Checks!$A$6:$A$3733,0))</f>
        <v>Y</v>
      </c>
      <c r="V232" s="5" t="str">
        <f>INDEX(MCDM_Checks!$K$6:$K$3733,MATCH(A232&amp;"|"&amp;V$5,MCDM_Checks!$A$6:$A$3733,0))</f>
        <v>Y</v>
      </c>
      <c r="W232" s="5" t="str">
        <f>INDEX(MCDM_Checks!$K$6:$K$3733,MATCH(A232&amp;"|"&amp;W$5,MCDM_Checks!$A$6:$A$3733,0))</f>
        <v>U</v>
      </c>
      <c r="X232" s="5" t="str">
        <f>INDEX(MCDM_Checks!$K$6:$K$3733,MATCH(A232&amp;"|"&amp;X$5,MCDM_Checks!$A$6:$A$3733,0))</f>
        <v>Y</v>
      </c>
      <c r="Y232" s="5" t="str">
        <f>INDEX(MCDM_Checks!$K$6:$K$3733,MATCH(A232&amp;"|"&amp;Y$5,MCDM_Checks!$A$6:$A$3733,0))</f>
        <v>Y</v>
      </c>
      <c r="Z232" s="5" t="str">
        <f>INDEX(MCDM_Checks!$K$6:$K$3733,MATCH(A232&amp;"|"&amp;Z$5,MCDM_Checks!$A$6:$A$3733,0))</f>
        <v>Y</v>
      </c>
      <c r="AA232" s="5" t="str">
        <f>INDEX(MCDM_Checks!$K$6:$K$3733,MATCH(A232&amp;"|"&amp;AA$5,MCDM_Checks!$A$6:$A$3733,0))</f>
        <v>U</v>
      </c>
      <c r="AB232" s="5" t="str">
        <f>INDEX(MCDM_Checks!$K$6:$K$3733,MATCH(A232&amp;"|"&amp;AB$5,MCDM_Checks!$A$6:$A$3733,0))</f>
        <v>U</v>
      </c>
      <c r="AC232" s="12">
        <f>IF(IF($D232="Unlabeled-13",MCDM_Settings!$F$6,MCDM_Settings!$D$6)=0,"n.a.",5*COUNTIF(M232:O232,"Y")/IF($D232="Unlabeled-13",MCDM_Settings!$F$6,MCDM_Settings!$D$6))</f>
        <v>5</v>
      </c>
      <c r="AD232" s="12">
        <f>IF(IF($D232="Unlabeled-13",MCDM_Settings!$F$6,MCDM_Settings!$D$6)=0,"n.a.",5*(COUNTIF(M232:O232,"Y")+COUNTIF(M232:O232,"U")+COUNTIF(M232:O232,"X"))/IF($D232="Unlabeled-13",MCDM_Settings!$F$6,MCDM_Settings!$D$6))</f>
        <v>5</v>
      </c>
      <c r="AE232" s="13">
        <f>IF(IF($D232="Unlabeled-13",MCDM_Settings!$F$6,MCDM_Settings!$D$6)=0,"n.a.",(COUNTIF(M232:O232,"Y")+COUNTIF(M232:O232,"N"))/IF($D232="Unlabeled-13",MCDM_Settings!$F$6,MCDM_Settings!$D$6))</f>
        <v>1</v>
      </c>
      <c r="AF232" s="12">
        <f>IF(IF($D232="Unlabeled-13",MCDM_Settings!$F$7,MCDM_Settings!$D$7)=0,"n.a.",5*COUNTIF(P232:R232,"Y")/IF($D232="Unlabeled-13",MCDM_Settings!$F$7,MCDM_Settings!$D$7))</f>
        <v>1.6666666666666667</v>
      </c>
      <c r="AG232" s="12">
        <f>IF(IF($D232="Unlabeled-13",MCDM_Settings!$F$7,MCDM_Settings!$D$7)=0,"n.a.",5*(COUNTIF(P232:R232,"Y")+COUNTIF(P232:R232,"U")+COUNTIF(P232:R232,"X"))/IF($D232="Unlabeled-13",MCDM_Settings!$F$7,MCDM_Settings!$D$7))</f>
        <v>5</v>
      </c>
      <c r="AH232" s="13">
        <f>IF(IF($D232="Unlabeled-13",MCDM_Settings!$F$7,MCDM_Settings!$D$7)=0,"n.a.",(COUNTIF(P232:R232,"Y")+COUNTIF(P232:R232,"N"))/IF($D232="Unlabeled-13",MCDM_Settings!$F$7,MCDM_Settings!$D$7))</f>
        <v>0.33333333333333331</v>
      </c>
      <c r="AI232" s="12">
        <f>IF(IF($D232="Unlabeled-13",MCDM_Settings!$F$8,MCDM_Settings!$D$8)=0,"n.a.",5*COUNTIF(S232:U232,"Y")/IF($D232="Unlabeled-13",MCDM_Settings!$F$8,MCDM_Settings!$D$8))</f>
        <v>3.3333333333333335</v>
      </c>
      <c r="AJ232" s="12">
        <f>IF(IF($D232="Unlabeled-13",MCDM_Settings!$F$8,MCDM_Settings!$D$8)=0,"n.a.",5*(COUNTIF(S232:U232,"Y")+COUNTIF(S232:U232,"U")+COUNTIF(S232:U232,"X"))/IF($D232="Unlabeled-13",MCDM_Settings!$F$8,MCDM_Settings!$D$8))</f>
        <v>5</v>
      </c>
      <c r="AK232" s="13">
        <f>IF(IF($D232="Unlabeled-13",MCDM_Settings!$F$8,MCDM_Settings!$D$8)=0,"n.a.",(COUNTIF(S232:U232,"Y")+COUNTIF(S232:U232,"N"))/IF($D232="Unlabeled-13",MCDM_Settings!$F$8,MCDM_Settings!$D$8))</f>
        <v>0.66666666666666663</v>
      </c>
      <c r="AL232" s="12">
        <f>IF(IF($D232="Unlabeled-13",MCDM_Settings!$F$9,MCDM_Settings!$D$9)=0,"n.a.",5*COUNTIF(V232:W232,"Y")/IF($D232="Unlabeled-13",MCDM_Settings!$F$9,MCDM_Settings!$D$9))</f>
        <v>2.5</v>
      </c>
      <c r="AM232" s="12">
        <f>IF(IF($D232="Unlabeled-13",MCDM_Settings!$F$9,MCDM_Settings!$D$9)=0,"n.a.",5*(COUNTIF(V232:W232,"Y")+COUNTIF(V232:W232,"U")+COUNTIF(V232:W232,"X"))/IF($D232="Unlabeled-13",MCDM_Settings!$F$9,MCDM_Settings!$D$9))</f>
        <v>5</v>
      </c>
      <c r="AN232" s="13">
        <f>IF(IF($D232="Unlabeled-13",MCDM_Settings!$F$9,MCDM_Settings!$D$9)=0,"n.a.",(COUNTIF(V232:W232,"Y")+COUNTIF(V232:W232,"N"))/IF($D232="Unlabeled-13",MCDM_Settings!$F$9,MCDM_Settings!$D$9))</f>
        <v>0.5</v>
      </c>
      <c r="AO232" s="12">
        <f>IF(IF($D232="Unlabeled-13",MCDM_Settings!$F$10,MCDM_Settings!$D$10)=0,"n.a.",5*COUNTIF(X232:Y232,"Y")/IF($D232="Unlabeled-13",MCDM_Settings!$F$10,MCDM_Settings!$D$10))</f>
        <v>5</v>
      </c>
      <c r="AP232" s="12">
        <f>IF(IF($D232="Unlabeled-13",MCDM_Settings!$F$10,MCDM_Settings!$D$10)=0,"n.a.",5*(COUNTIF(X232:Y232,"Y")+COUNTIF(X232:Y232,"U")+COUNTIF(X232:Y232,"X"))/IF($D232="Unlabeled-13",MCDM_Settings!$F$10,MCDM_Settings!$D$10))</f>
        <v>5</v>
      </c>
      <c r="AQ232" s="13">
        <f>IF(IF($D232="Unlabeled-13",MCDM_Settings!$F$10,MCDM_Settings!$D$10)=0,"n.a.",(COUNTIF(X232:Y232,"Y")+COUNTIF(X232:Y232,"N"))/IF($D232="Unlabeled-13",MCDM_Settings!$F$10,MCDM_Settings!$D$10))</f>
        <v>1</v>
      </c>
      <c r="AR232" s="12">
        <f>IF(IF($D232="Unlabeled-13",MCDM_Settings!$F$11,MCDM_Settings!$D$11)=0,"n.a.",5*COUNTIF(Z232:AB232,"Y")/IF($D232="Unlabeled-13",MCDM_Settings!$F$11,MCDM_Settings!$D$11))</f>
        <v>1.6666666666666667</v>
      </c>
      <c r="AS232" s="12">
        <f>IF(IF($D232="Unlabeled-13",MCDM_Settings!$F$11,MCDM_Settings!$D$11)=0,"n.a.",5*(COUNTIF(Z232:AB232,"Y")+COUNTIF(Z232:AB232,"U")+COUNTIF(Z232:AB232,"X"))/IF($D232="Unlabeled-13",MCDM_Settings!$F$11,MCDM_Settings!$D$11))</f>
        <v>5</v>
      </c>
      <c r="AT232" s="13">
        <f>IF(IF($D232="Unlabeled-13",MCDM_Settings!$F$11,MCDM_Settings!$D$11)=0,"n.a.",(COUNTIF(Z232:AB232,"Y")+COUNTIF(Z232:AB232,"N"))/IF($D232="Unlabeled-13",MCDM_Settings!$F$11,MCDM_Settings!$D$11))</f>
        <v>0.33333333333333331</v>
      </c>
      <c r="AU232" s="5" t="str">
        <f>IF(AND(INDEX(Manual_Review!$G$6:$G$238,MATCH(A232,Manual_Review!$A$6:$A$238,0))&lt;&gt;"",ISNUMBER(INDEX(Manual_Review!$H$6:$H$238,MATCH(A232,Manual_Review!$A$6:$A$238,0))),INDEX(Manual_Review!$H$6:$H$238,MATCH(A232,Manual_Review!$A$6:$A$238,0))&gt;0,INDEX(Manual_Review!$I$6:$I$238,MATCH(A232,Manual_Review!$A$6:$A$238,0))="Confirmed",INDEX(Manual_Review!$AF$6:$AF$238,MATCH(A232,Manual_Review!$A$6:$A$238,0))&lt;&gt;""),IF(INDEX(Manual_Review!$AA$6:$AA$238,MATCH(A232,Manual_Review!$A$6:$A$238,0))="Pass","Pass",IF(INDEX(Manual_Review!$AA$6:$AA$238,MATCH(A232,Manual_Review!$A$6:$A$238,0))="Fail","Fail","Pending")),"Pending human identity confirmation")</f>
        <v>Pending human identity confirmation</v>
      </c>
      <c r="AV232" s="5" t="str">
        <f>IF(AND(AND(INDEX(Manual_Review!$G$6:$G$238,MATCH(A232,Manual_Review!$A$6:$A$238,0))&lt;&gt;"",ISNUMBER(INDEX(Manual_Review!$H$6:$H$238,MATCH(A232,Manual_Review!$A$6:$A$238,0))),INDEX(Manual_Review!$H$6:$H$238,MATCH(A232,Manual_Review!$A$6:$A$238,0))&gt;0,INDEX(Manual_Review!$I$6:$I$238,MATCH(A232,Manual_Review!$A$6:$A$238,0))="Confirmed",INDEX(Manual_Review!$AF$6:$AF$238,MATCH(A232,Manual_Review!$A$6:$A$238,0))&lt;&gt;""),INDEX(Manual_Review!$AG$6:$AG$238,MATCH(A232,Manual_Review!$A$6:$A$238,0))&lt;&gt;""),IF(INDEX(Manual_Review!$AB$6:$AB$238,MATCH(A232,Manual_Review!$A$6:$A$238,0))="Pass","Pass",IF(INDEX(Manual_Review!$AB$6:$AB$238,MATCH(A232,Manual_Review!$A$6:$A$238,0))="Fail","Fail","Pending")),"Not assessed: define intended task")</f>
        <v>Not assessed: define intended task</v>
      </c>
      <c r="AW232" s="5" t="str">
        <f>IF(AND(AND(INDEX(Manual_Review!$G$6:$G$238,MATCH(A232,Manual_Review!$A$6:$A$238,0))&lt;&gt;"",ISNUMBER(INDEX(Manual_Review!$H$6:$H$238,MATCH(A232,Manual_Review!$A$6:$A$238,0))),INDEX(Manual_Review!$H$6:$H$238,MATCH(A232,Manual_Review!$A$6:$A$238,0))&gt;0,INDEX(Manual_Review!$I$6:$I$238,MATCH(A232,Manual_Review!$A$6:$A$238,0))="Confirmed",INDEX(Manual_Review!$AF$6:$AF$238,MATCH(A232,Manual_Review!$A$6:$A$238,0))&lt;&gt;""),INDEX(Manual_Review!$AG$6:$AG$238,MATCH(A232,Manual_Review!$A$6:$A$238,0))&lt;&gt;""),IF(OR(INDEX(Manual_Review!$AC$6:$AC$238,MATCH(A232,Manual_Review!$A$6:$A$238,0))="Fail",INDEX(Manual_Review!$AD$6:$AD$238,MATCH(A232,Manual_Review!$A$6:$A$238,0))="Fail"),"Fail: rights or retrieval",IF(AND(INDEX(Manual_Review!$AC$6:$AC$238,MATCH(A232,Manual_Review!$A$6:$A$238,0))="Pass",INDEX(Manual_Review!$AD$6:$AD$238,MATCH(A232,Manual_Review!$A$6:$A$238,0))="Pass"),"Pass","Pending rights and retrieval")),"Pending rights and retrieval")</f>
        <v>Pending rights and retrieval</v>
      </c>
      <c r="AX232" s="5" t="str">
        <f>IF(INDEX(Manual_Review!$AG$6:$AG$238,MATCH(A232,Manual_Review!$A$6:$A$238,0))="","N/A: documentation inventory",IF(AND(INDEX(Manual_Review!$G$6:$G$238,MATCH(A232,Manual_Review!$A$6:$A$238,0))&lt;&gt;"",ISNUMBER(INDEX(Manual_Review!$H$6:$H$238,MATCH(A232,Manual_Review!$A$6:$A$238,0))),INDEX(Manual_Review!$H$6:$H$238,MATCH(A232,Manual_Review!$A$6:$A$238,0))&gt;0,INDEX(Manual_Review!$I$6:$I$238,MATCH(A232,Manual_Review!$A$6:$A$238,0))="Confirmed",INDEX(Manual_Review!$AF$6:$AF$238,MATCH(A232,Manual_Review!$A$6:$A$238,0))&lt;&gt;""),IF(INDEX(Manual_Review!$AE$6:$AE$238,MATCH(A232,Manual_Review!$A$6:$A$238,0))="Pass","Pass",IF(INDEX(Manual_Review!$AE$6:$AE$238,MATCH(A232,Manual_Review!$A$6:$A$238,0))="Fail","Fail: benchmark leakage",IF(INDEX(Manual_Review!$AE$6:$AE$238,MATCH(A232,Manual_Review!$A$6:$A$238,0))="N/A","N/A: nonbenchmark task","Pending task-specific leakage check"))),"Pending task-specific leakage check"))</f>
        <v>N/A: documentation inventory</v>
      </c>
      <c r="AY232" s="5" t="str">
        <f>IF(IF(D232="Unlabeled-13",AND(ABS(MCDM_Settings!$D$14-1)&lt;0.0000001,MIN(MCDM_Settings!$E$6:$E$11)&gt;=0,MCDM_Settings!$E$7=0),AND(ABS(MCDM_Settings!$B$14-1)&lt;0.0000001,MIN(MCDM_Settings!$C$6:$C$11)&gt;=0)),"Valid","Check weights")</f>
        <v>Valid</v>
      </c>
      <c r="AZ232" s="5" t="str">
        <f>IF(AND(COUNTIF(MCDM_Checks!$B$6:$B$3733,A232)=16,COUNTIF(Manual_Review!$A$6:$A$238,A232)=1),"16 keys present","Check key count")</f>
        <v>16 keys present</v>
      </c>
    </row>
    <row r="233" spans="1:52">
      <c r="A233" s="5" t="s">
        <v>2663</v>
      </c>
      <c r="B233" s="5" t="s">
        <v>2664</v>
      </c>
      <c r="C233" s="5"/>
      <c r="D233" s="5" t="s">
        <v>118</v>
      </c>
      <c r="E233" s="12">
        <f>IF(OR(AY233&lt;&gt;"Valid",AZ233&lt;&gt;"16 keys present"),"Review settings",20*(IF(ISNUMBER(AC233),AC233*IF($D233="Unlabeled-13",MCDM_Settings!$E$6,MCDM_Settings!$C$6),0)+IF(ISNUMBER(AF233),AF233*IF($D233="Unlabeled-13",MCDM_Settings!$E$7,MCDM_Settings!$C$7),0)+IF(ISNUMBER(AI233),AI233*IF($D233="Unlabeled-13",MCDM_Settings!$E$8,MCDM_Settings!$C$8),0)+IF(ISNUMBER(AL233),AL233*IF($D233="Unlabeled-13",MCDM_Settings!$E$9,MCDM_Settings!$C$9),0)+IF(ISNUMBER(AO233),AO233*IF($D233="Unlabeled-13",MCDM_Settings!$E$10,MCDM_Settings!$C$10),0)+IF(ISNUMBER(AR233),AR233*IF($D233="Unlabeled-13",MCDM_Settings!$E$11,MCDM_Settings!$C$11),0)))</f>
        <v>63.888888888888893</v>
      </c>
      <c r="F233" s="12">
        <f>IF(OR(AY233&lt;&gt;"Valid",AZ233&lt;&gt;"16 keys present"),"Review settings",20*(IF(ISNUMBER(AD233),AD233*IF($D233="Unlabeled-13",MCDM_Settings!$E$6,MCDM_Settings!$C$6),0)+IF(ISNUMBER(AG233),AG233*IF($D233="Unlabeled-13",MCDM_Settings!$E$7,MCDM_Settings!$C$7),0)+IF(ISNUMBER(AJ233),AJ233*IF($D233="Unlabeled-13",MCDM_Settings!$E$8,MCDM_Settings!$C$8),0)+IF(ISNUMBER(AM233),AM233*IF($D233="Unlabeled-13",MCDM_Settings!$E$9,MCDM_Settings!$C$9),0)+IF(ISNUMBER(AP233),AP233*IF($D233="Unlabeled-13",MCDM_Settings!$E$10,MCDM_Settings!$C$10),0)+IF(ISNUMBER(AS233),AS233*IF($D233="Unlabeled-13",MCDM_Settings!$E$11,MCDM_Settings!$C$11),0)))</f>
        <v>99.999999999999986</v>
      </c>
      <c r="G233" s="13">
        <f>IF(OR(AY233&lt;&gt;"Valid",AZ233&lt;&gt;"16 keys present"),"Review settings",1*(IF(ISNUMBER(AE233),AE233*IF($D233="Unlabeled-13",MCDM_Settings!$E$6,MCDM_Settings!$C$6),0)+IF(ISNUMBER(AH233),AH233*IF($D233="Unlabeled-13",MCDM_Settings!$E$7,MCDM_Settings!$C$7),0)+IF(ISNUMBER(AK233),AK233*IF($D233="Unlabeled-13",MCDM_Settings!$E$8,MCDM_Settings!$C$8),0)+IF(ISNUMBER(AN233),AN233*IF($D233="Unlabeled-13",MCDM_Settings!$E$9,MCDM_Settings!$C$9),0)+IF(ISNUMBER(AQ233),AQ233*IF($D233="Unlabeled-13",MCDM_Settings!$E$10,MCDM_Settings!$C$10),0)+IF(ISNUMBER(AT233),AT233*IF($D233="Unlabeled-13",MCDM_Settings!$E$11,MCDM_Settings!$C$11),0)))</f>
        <v>0.63888888888888884</v>
      </c>
      <c r="H233" s="5" t="str">
        <f>INDEX(Manual_Review!$AH$6:$AH$238,MATCH(A233,Manual_Review!$A$6:$A$238,0))</f>
        <v>Not started</v>
      </c>
      <c r="I233" s="5" t="s">
        <v>182</v>
      </c>
      <c r="J233" s="5" t="s">
        <v>2665</v>
      </c>
      <c r="K233" s="5" t="str">
        <f>HYPERLINK("https://huggingface.co/datasets/Torc-Robotics/TruckDrive","Dataset")</f>
        <v>Dataset</v>
      </c>
      <c r="L233" s="5" t="str">
        <f>HYPERLINK("#'Manual_Review'!A"&amp;(MATCH("DS-228",Manual_Review!$A$6:$A$238,0)+5),"Enter review")</f>
        <v>Enter review</v>
      </c>
      <c r="M233" s="5" t="str">
        <f>INDEX(MCDM_Checks!$K$6:$K$3733,MATCH(A233&amp;"|"&amp;M$5,MCDM_Checks!$A$6:$A$3733,0))</f>
        <v>Y</v>
      </c>
      <c r="N233" s="5" t="str">
        <f>INDEX(MCDM_Checks!$K$6:$K$3733,MATCH(A233&amp;"|"&amp;N$5,MCDM_Checks!$A$6:$A$3733,0))</f>
        <v>Y</v>
      </c>
      <c r="O233" s="5" t="str">
        <f>INDEX(MCDM_Checks!$K$6:$K$3733,MATCH(A233&amp;"|"&amp;O$5,MCDM_Checks!$A$6:$A$3733,0))</f>
        <v>Y</v>
      </c>
      <c r="P233" s="5" t="str">
        <f>INDEX(MCDM_Checks!$K$6:$K$3733,MATCH(A233&amp;"|"&amp;P$5,MCDM_Checks!$A$6:$A$3733,0))</f>
        <v>Y</v>
      </c>
      <c r="Q233" s="5" t="str">
        <f>INDEX(MCDM_Checks!$K$6:$K$3733,MATCH(A233&amp;"|"&amp;Q$5,MCDM_Checks!$A$6:$A$3733,0))</f>
        <v>U</v>
      </c>
      <c r="R233" s="5" t="str">
        <f>INDEX(MCDM_Checks!$K$6:$K$3733,MATCH(A233&amp;"|"&amp;R$5,MCDM_Checks!$A$6:$A$3733,0))</f>
        <v>U</v>
      </c>
      <c r="S233" s="5" t="str">
        <f>INDEX(MCDM_Checks!$K$6:$K$3733,MATCH(A233&amp;"|"&amp;S$5,MCDM_Checks!$A$6:$A$3733,0))</f>
        <v>U</v>
      </c>
      <c r="T233" s="5" t="str">
        <f>INDEX(MCDM_Checks!$K$6:$K$3733,MATCH(A233&amp;"|"&amp;T$5,MCDM_Checks!$A$6:$A$3733,0))</f>
        <v>Y</v>
      </c>
      <c r="U233" s="5" t="str">
        <f>INDEX(MCDM_Checks!$K$6:$K$3733,MATCH(A233&amp;"|"&amp;U$5,MCDM_Checks!$A$6:$A$3733,0))</f>
        <v>Y</v>
      </c>
      <c r="V233" s="5" t="str">
        <f>INDEX(MCDM_Checks!$K$6:$K$3733,MATCH(A233&amp;"|"&amp;V$5,MCDM_Checks!$A$6:$A$3733,0))</f>
        <v>Y</v>
      </c>
      <c r="W233" s="5" t="str">
        <f>INDEX(MCDM_Checks!$K$6:$K$3733,MATCH(A233&amp;"|"&amp;W$5,MCDM_Checks!$A$6:$A$3733,0))</f>
        <v>U</v>
      </c>
      <c r="X233" s="5" t="str">
        <f>INDEX(MCDM_Checks!$K$6:$K$3733,MATCH(A233&amp;"|"&amp;X$5,MCDM_Checks!$A$6:$A$3733,0))</f>
        <v>Y</v>
      </c>
      <c r="Y233" s="5" t="str">
        <f>INDEX(MCDM_Checks!$K$6:$K$3733,MATCH(A233&amp;"|"&amp;Y$5,MCDM_Checks!$A$6:$A$3733,0))</f>
        <v>Y</v>
      </c>
      <c r="Z233" s="5" t="str">
        <f>INDEX(MCDM_Checks!$K$6:$K$3733,MATCH(A233&amp;"|"&amp;Z$5,MCDM_Checks!$A$6:$A$3733,0))</f>
        <v>Y</v>
      </c>
      <c r="AA233" s="5" t="str">
        <f>INDEX(MCDM_Checks!$K$6:$K$3733,MATCH(A233&amp;"|"&amp;AA$5,MCDM_Checks!$A$6:$A$3733,0))</f>
        <v>U</v>
      </c>
      <c r="AB233" s="5" t="str">
        <f>INDEX(MCDM_Checks!$K$6:$K$3733,MATCH(A233&amp;"|"&amp;AB$5,MCDM_Checks!$A$6:$A$3733,0))</f>
        <v>U</v>
      </c>
      <c r="AC233" s="12">
        <f>IF(IF($D233="Unlabeled-13",MCDM_Settings!$F$6,MCDM_Settings!$D$6)=0,"n.a.",5*COUNTIF(M233:O233,"Y")/IF($D233="Unlabeled-13",MCDM_Settings!$F$6,MCDM_Settings!$D$6))</f>
        <v>5</v>
      </c>
      <c r="AD233" s="12">
        <f>IF(IF($D233="Unlabeled-13",MCDM_Settings!$F$6,MCDM_Settings!$D$6)=0,"n.a.",5*(COUNTIF(M233:O233,"Y")+COUNTIF(M233:O233,"U")+COUNTIF(M233:O233,"X"))/IF($D233="Unlabeled-13",MCDM_Settings!$F$6,MCDM_Settings!$D$6))</f>
        <v>5</v>
      </c>
      <c r="AE233" s="13">
        <f>IF(IF($D233="Unlabeled-13",MCDM_Settings!$F$6,MCDM_Settings!$D$6)=0,"n.a.",(COUNTIF(M233:O233,"Y")+COUNTIF(M233:O233,"N"))/IF($D233="Unlabeled-13",MCDM_Settings!$F$6,MCDM_Settings!$D$6))</f>
        <v>1</v>
      </c>
      <c r="AF233" s="12">
        <f>IF(IF($D233="Unlabeled-13",MCDM_Settings!$F$7,MCDM_Settings!$D$7)=0,"n.a.",5*COUNTIF(P233:R233,"Y")/IF($D233="Unlabeled-13",MCDM_Settings!$F$7,MCDM_Settings!$D$7))</f>
        <v>1.6666666666666667</v>
      </c>
      <c r="AG233" s="12">
        <f>IF(IF($D233="Unlabeled-13",MCDM_Settings!$F$7,MCDM_Settings!$D$7)=0,"n.a.",5*(COUNTIF(P233:R233,"Y")+COUNTIF(P233:R233,"U")+COUNTIF(P233:R233,"X"))/IF($D233="Unlabeled-13",MCDM_Settings!$F$7,MCDM_Settings!$D$7))</f>
        <v>5</v>
      </c>
      <c r="AH233" s="13">
        <f>IF(IF($D233="Unlabeled-13",MCDM_Settings!$F$7,MCDM_Settings!$D$7)=0,"n.a.",(COUNTIF(P233:R233,"Y")+COUNTIF(P233:R233,"N"))/IF($D233="Unlabeled-13",MCDM_Settings!$F$7,MCDM_Settings!$D$7))</f>
        <v>0.33333333333333331</v>
      </c>
      <c r="AI233" s="12">
        <f>IF(IF($D233="Unlabeled-13",MCDM_Settings!$F$8,MCDM_Settings!$D$8)=0,"n.a.",5*COUNTIF(S233:U233,"Y")/IF($D233="Unlabeled-13",MCDM_Settings!$F$8,MCDM_Settings!$D$8))</f>
        <v>3.3333333333333335</v>
      </c>
      <c r="AJ233" s="12">
        <f>IF(IF($D233="Unlabeled-13",MCDM_Settings!$F$8,MCDM_Settings!$D$8)=0,"n.a.",5*(COUNTIF(S233:U233,"Y")+COUNTIF(S233:U233,"U")+COUNTIF(S233:U233,"X"))/IF($D233="Unlabeled-13",MCDM_Settings!$F$8,MCDM_Settings!$D$8))</f>
        <v>5</v>
      </c>
      <c r="AK233" s="13">
        <f>IF(IF($D233="Unlabeled-13",MCDM_Settings!$F$8,MCDM_Settings!$D$8)=0,"n.a.",(COUNTIF(S233:U233,"Y")+COUNTIF(S233:U233,"N"))/IF($D233="Unlabeled-13",MCDM_Settings!$F$8,MCDM_Settings!$D$8))</f>
        <v>0.66666666666666663</v>
      </c>
      <c r="AL233" s="12">
        <f>IF(IF($D233="Unlabeled-13",MCDM_Settings!$F$9,MCDM_Settings!$D$9)=0,"n.a.",5*COUNTIF(V233:W233,"Y")/IF($D233="Unlabeled-13",MCDM_Settings!$F$9,MCDM_Settings!$D$9))</f>
        <v>2.5</v>
      </c>
      <c r="AM233" s="12">
        <f>IF(IF($D233="Unlabeled-13",MCDM_Settings!$F$9,MCDM_Settings!$D$9)=0,"n.a.",5*(COUNTIF(V233:W233,"Y")+COUNTIF(V233:W233,"U")+COUNTIF(V233:W233,"X"))/IF($D233="Unlabeled-13",MCDM_Settings!$F$9,MCDM_Settings!$D$9))</f>
        <v>5</v>
      </c>
      <c r="AN233" s="13">
        <f>IF(IF($D233="Unlabeled-13",MCDM_Settings!$F$9,MCDM_Settings!$D$9)=0,"n.a.",(COUNTIF(V233:W233,"Y")+COUNTIF(V233:W233,"N"))/IF($D233="Unlabeled-13",MCDM_Settings!$F$9,MCDM_Settings!$D$9))</f>
        <v>0.5</v>
      </c>
      <c r="AO233" s="12">
        <f>IF(IF($D233="Unlabeled-13",MCDM_Settings!$F$10,MCDM_Settings!$D$10)=0,"n.a.",5*COUNTIF(X233:Y233,"Y")/IF($D233="Unlabeled-13",MCDM_Settings!$F$10,MCDM_Settings!$D$10))</f>
        <v>5</v>
      </c>
      <c r="AP233" s="12">
        <f>IF(IF($D233="Unlabeled-13",MCDM_Settings!$F$10,MCDM_Settings!$D$10)=0,"n.a.",5*(COUNTIF(X233:Y233,"Y")+COUNTIF(X233:Y233,"U")+COUNTIF(X233:Y233,"X"))/IF($D233="Unlabeled-13",MCDM_Settings!$F$10,MCDM_Settings!$D$10))</f>
        <v>5</v>
      </c>
      <c r="AQ233" s="13">
        <f>IF(IF($D233="Unlabeled-13",MCDM_Settings!$F$10,MCDM_Settings!$D$10)=0,"n.a.",(COUNTIF(X233:Y233,"Y")+COUNTIF(X233:Y233,"N"))/IF($D233="Unlabeled-13",MCDM_Settings!$F$10,MCDM_Settings!$D$10))</f>
        <v>1</v>
      </c>
      <c r="AR233" s="12">
        <f>IF(IF($D233="Unlabeled-13",MCDM_Settings!$F$11,MCDM_Settings!$D$11)=0,"n.a.",5*COUNTIF(Z233:AB233,"Y")/IF($D233="Unlabeled-13",MCDM_Settings!$F$11,MCDM_Settings!$D$11))</f>
        <v>1.6666666666666667</v>
      </c>
      <c r="AS233" s="12">
        <f>IF(IF($D233="Unlabeled-13",MCDM_Settings!$F$11,MCDM_Settings!$D$11)=0,"n.a.",5*(COUNTIF(Z233:AB233,"Y")+COUNTIF(Z233:AB233,"U")+COUNTIF(Z233:AB233,"X"))/IF($D233="Unlabeled-13",MCDM_Settings!$F$11,MCDM_Settings!$D$11))</f>
        <v>5</v>
      </c>
      <c r="AT233" s="13">
        <f>IF(IF($D233="Unlabeled-13",MCDM_Settings!$F$11,MCDM_Settings!$D$11)=0,"n.a.",(COUNTIF(Z233:AB233,"Y")+COUNTIF(Z233:AB233,"N"))/IF($D233="Unlabeled-13",MCDM_Settings!$F$11,MCDM_Settings!$D$11))</f>
        <v>0.33333333333333331</v>
      </c>
      <c r="AU233" s="5" t="str">
        <f>IF(AND(INDEX(Manual_Review!$G$6:$G$238,MATCH(A233,Manual_Review!$A$6:$A$238,0))&lt;&gt;"",ISNUMBER(INDEX(Manual_Review!$H$6:$H$238,MATCH(A233,Manual_Review!$A$6:$A$238,0))),INDEX(Manual_Review!$H$6:$H$238,MATCH(A233,Manual_Review!$A$6:$A$238,0))&gt;0,INDEX(Manual_Review!$I$6:$I$238,MATCH(A233,Manual_Review!$A$6:$A$238,0))="Confirmed",INDEX(Manual_Review!$AF$6:$AF$238,MATCH(A233,Manual_Review!$A$6:$A$238,0))&lt;&gt;""),IF(INDEX(Manual_Review!$AA$6:$AA$238,MATCH(A233,Manual_Review!$A$6:$A$238,0))="Pass","Pass",IF(INDEX(Manual_Review!$AA$6:$AA$238,MATCH(A233,Manual_Review!$A$6:$A$238,0))="Fail","Fail","Pending")),"Pending human identity confirmation")</f>
        <v>Pending human identity confirmation</v>
      </c>
      <c r="AV233" s="5" t="str">
        <f>IF(AND(AND(INDEX(Manual_Review!$G$6:$G$238,MATCH(A233,Manual_Review!$A$6:$A$238,0))&lt;&gt;"",ISNUMBER(INDEX(Manual_Review!$H$6:$H$238,MATCH(A233,Manual_Review!$A$6:$A$238,0))),INDEX(Manual_Review!$H$6:$H$238,MATCH(A233,Manual_Review!$A$6:$A$238,0))&gt;0,INDEX(Manual_Review!$I$6:$I$238,MATCH(A233,Manual_Review!$A$6:$A$238,0))="Confirmed",INDEX(Manual_Review!$AF$6:$AF$238,MATCH(A233,Manual_Review!$A$6:$A$238,0))&lt;&gt;""),INDEX(Manual_Review!$AG$6:$AG$238,MATCH(A233,Manual_Review!$A$6:$A$238,0))&lt;&gt;""),IF(INDEX(Manual_Review!$AB$6:$AB$238,MATCH(A233,Manual_Review!$A$6:$A$238,0))="Pass","Pass",IF(INDEX(Manual_Review!$AB$6:$AB$238,MATCH(A233,Manual_Review!$A$6:$A$238,0))="Fail","Fail","Pending")),"Not assessed: define intended task")</f>
        <v>Not assessed: define intended task</v>
      </c>
      <c r="AW233" s="5" t="str">
        <f>IF(AND(AND(INDEX(Manual_Review!$G$6:$G$238,MATCH(A233,Manual_Review!$A$6:$A$238,0))&lt;&gt;"",ISNUMBER(INDEX(Manual_Review!$H$6:$H$238,MATCH(A233,Manual_Review!$A$6:$A$238,0))),INDEX(Manual_Review!$H$6:$H$238,MATCH(A233,Manual_Review!$A$6:$A$238,0))&gt;0,INDEX(Manual_Review!$I$6:$I$238,MATCH(A233,Manual_Review!$A$6:$A$238,0))="Confirmed",INDEX(Manual_Review!$AF$6:$AF$238,MATCH(A233,Manual_Review!$A$6:$A$238,0))&lt;&gt;""),INDEX(Manual_Review!$AG$6:$AG$238,MATCH(A233,Manual_Review!$A$6:$A$238,0))&lt;&gt;""),IF(OR(INDEX(Manual_Review!$AC$6:$AC$238,MATCH(A233,Manual_Review!$A$6:$A$238,0))="Fail",INDEX(Manual_Review!$AD$6:$AD$238,MATCH(A233,Manual_Review!$A$6:$A$238,0))="Fail"),"Fail: rights or retrieval",IF(AND(INDEX(Manual_Review!$AC$6:$AC$238,MATCH(A233,Manual_Review!$A$6:$A$238,0))="Pass",INDEX(Manual_Review!$AD$6:$AD$238,MATCH(A233,Manual_Review!$A$6:$A$238,0))="Pass"),"Pass","Pending rights and retrieval")),"Pending rights and retrieval")</f>
        <v>Pending rights and retrieval</v>
      </c>
      <c r="AX233" s="5" t="str">
        <f>IF(INDEX(Manual_Review!$AG$6:$AG$238,MATCH(A233,Manual_Review!$A$6:$A$238,0))="","N/A: documentation inventory",IF(AND(INDEX(Manual_Review!$G$6:$G$238,MATCH(A233,Manual_Review!$A$6:$A$238,0))&lt;&gt;"",ISNUMBER(INDEX(Manual_Review!$H$6:$H$238,MATCH(A233,Manual_Review!$A$6:$A$238,0))),INDEX(Manual_Review!$H$6:$H$238,MATCH(A233,Manual_Review!$A$6:$A$238,0))&gt;0,INDEX(Manual_Review!$I$6:$I$238,MATCH(A233,Manual_Review!$A$6:$A$238,0))="Confirmed",INDEX(Manual_Review!$AF$6:$AF$238,MATCH(A233,Manual_Review!$A$6:$A$238,0))&lt;&gt;""),IF(INDEX(Manual_Review!$AE$6:$AE$238,MATCH(A233,Manual_Review!$A$6:$A$238,0))="Pass","Pass",IF(INDEX(Manual_Review!$AE$6:$AE$238,MATCH(A233,Manual_Review!$A$6:$A$238,0))="Fail","Fail: benchmark leakage",IF(INDEX(Manual_Review!$AE$6:$AE$238,MATCH(A233,Manual_Review!$A$6:$A$238,0))="N/A","N/A: nonbenchmark task","Pending task-specific leakage check"))),"Pending task-specific leakage check"))</f>
        <v>N/A: documentation inventory</v>
      </c>
      <c r="AY233" s="5" t="str">
        <f>IF(IF(D233="Unlabeled-13",AND(ABS(MCDM_Settings!$D$14-1)&lt;0.0000001,MIN(MCDM_Settings!$E$6:$E$11)&gt;=0,MCDM_Settings!$E$7=0),AND(ABS(MCDM_Settings!$B$14-1)&lt;0.0000001,MIN(MCDM_Settings!$C$6:$C$11)&gt;=0)),"Valid","Check weights")</f>
        <v>Valid</v>
      </c>
      <c r="AZ233" s="5" t="str">
        <f>IF(AND(COUNTIF(MCDM_Checks!$B$6:$B$3733,A233)=16,COUNTIF(Manual_Review!$A$6:$A$238,A233)=1),"16 keys present","Check key count")</f>
        <v>16 keys present</v>
      </c>
    </row>
    <row r="234" spans="1:52">
      <c r="A234" s="5" t="s">
        <v>2676</v>
      </c>
      <c r="B234" s="5" t="s">
        <v>2677</v>
      </c>
      <c r="C234" s="5"/>
      <c r="D234" s="5" t="s">
        <v>118</v>
      </c>
      <c r="E234" s="12">
        <f>IF(OR(AY234&lt;&gt;"Valid",AZ234&lt;&gt;"16 keys present"),"Review settings",20*(IF(ISNUMBER(AC234),AC234*IF($D234="Unlabeled-13",MCDM_Settings!$E$6,MCDM_Settings!$C$6),0)+IF(ISNUMBER(AF234),AF234*IF($D234="Unlabeled-13",MCDM_Settings!$E$7,MCDM_Settings!$C$7),0)+IF(ISNUMBER(AI234),AI234*IF($D234="Unlabeled-13",MCDM_Settings!$E$8,MCDM_Settings!$C$8),0)+IF(ISNUMBER(AL234),AL234*IF($D234="Unlabeled-13",MCDM_Settings!$E$9,MCDM_Settings!$C$9),0)+IF(ISNUMBER(AO234),AO234*IF($D234="Unlabeled-13",MCDM_Settings!$E$10,MCDM_Settings!$C$10),0)+IF(ISNUMBER(AR234),AR234*IF($D234="Unlabeled-13",MCDM_Settings!$E$11,MCDM_Settings!$C$11),0)))</f>
        <v>63.888888888888886</v>
      </c>
      <c r="F234" s="12">
        <f>IF(OR(AY234&lt;&gt;"Valid",AZ234&lt;&gt;"16 keys present"),"Review settings",20*(IF(ISNUMBER(AD234),AD234*IF($D234="Unlabeled-13",MCDM_Settings!$E$6,MCDM_Settings!$C$6),0)+IF(ISNUMBER(AG234),AG234*IF($D234="Unlabeled-13",MCDM_Settings!$E$7,MCDM_Settings!$C$7),0)+IF(ISNUMBER(AJ234),AJ234*IF($D234="Unlabeled-13",MCDM_Settings!$E$8,MCDM_Settings!$C$8),0)+IF(ISNUMBER(AM234),AM234*IF($D234="Unlabeled-13",MCDM_Settings!$E$9,MCDM_Settings!$C$9),0)+IF(ISNUMBER(AP234),AP234*IF($D234="Unlabeled-13",MCDM_Settings!$E$10,MCDM_Settings!$C$10),0)+IF(ISNUMBER(AS234),AS234*IF($D234="Unlabeled-13",MCDM_Settings!$E$11,MCDM_Settings!$C$11),0)))</f>
        <v>99.999999999999986</v>
      </c>
      <c r="G234" s="13">
        <f>IF(OR(AY234&lt;&gt;"Valid",AZ234&lt;&gt;"16 keys present"),"Review settings",1*(IF(ISNUMBER(AE234),AE234*IF($D234="Unlabeled-13",MCDM_Settings!$E$6,MCDM_Settings!$C$6),0)+IF(ISNUMBER(AH234),AH234*IF($D234="Unlabeled-13",MCDM_Settings!$E$7,MCDM_Settings!$C$7),0)+IF(ISNUMBER(AK234),AK234*IF($D234="Unlabeled-13",MCDM_Settings!$E$8,MCDM_Settings!$C$8),0)+IF(ISNUMBER(AN234),AN234*IF($D234="Unlabeled-13",MCDM_Settings!$E$9,MCDM_Settings!$C$9),0)+IF(ISNUMBER(AQ234),AQ234*IF($D234="Unlabeled-13",MCDM_Settings!$E$10,MCDM_Settings!$C$10),0)+IF(ISNUMBER(AT234),AT234*IF($D234="Unlabeled-13",MCDM_Settings!$E$11,MCDM_Settings!$C$11),0)))</f>
        <v>0.63888888888888895</v>
      </c>
      <c r="H234" s="5" t="str">
        <f>INDEX(Manual_Review!$AH$6:$AH$238,MATCH(A234,Manual_Review!$A$6:$A$238,0))</f>
        <v>Not started</v>
      </c>
      <c r="I234" s="5" t="s">
        <v>182</v>
      </c>
      <c r="J234" s="5" t="s">
        <v>2678</v>
      </c>
      <c r="K234" s="5" t="str">
        <f>HYPERLINK("https://github.com/TuSimple/tusimple-benchmark/issues/3","Dataset")</f>
        <v>Dataset</v>
      </c>
      <c r="L234" s="5" t="str">
        <f>HYPERLINK("#'Manual_Review'!A"&amp;(MATCH("DS-229",Manual_Review!$A$6:$A$238,0)+5),"Enter review")</f>
        <v>Enter review</v>
      </c>
      <c r="M234" s="5" t="str">
        <f>INDEX(MCDM_Checks!$K$6:$K$3733,MATCH(A234&amp;"|"&amp;M$5,MCDM_Checks!$A$6:$A$3733,0))</f>
        <v>Y</v>
      </c>
      <c r="N234" s="5" t="str">
        <f>INDEX(MCDM_Checks!$K$6:$K$3733,MATCH(A234&amp;"|"&amp;N$5,MCDM_Checks!$A$6:$A$3733,0))</f>
        <v>Y</v>
      </c>
      <c r="O234" s="5" t="str">
        <f>INDEX(MCDM_Checks!$K$6:$K$3733,MATCH(A234&amp;"|"&amp;O$5,MCDM_Checks!$A$6:$A$3733,0))</f>
        <v>U</v>
      </c>
      <c r="P234" s="5" t="str">
        <f>INDEX(MCDM_Checks!$K$6:$K$3733,MATCH(A234&amp;"|"&amp;P$5,MCDM_Checks!$A$6:$A$3733,0))</f>
        <v>Y</v>
      </c>
      <c r="Q234" s="5" t="str">
        <f>INDEX(MCDM_Checks!$K$6:$K$3733,MATCH(A234&amp;"|"&amp;Q$5,MCDM_Checks!$A$6:$A$3733,0))</f>
        <v>U</v>
      </c>
      <c r="R234" s="5" t="str">
        <f>INDEX(MCDM_Checks!$K$6:$K$3733,MATCH(A234&amp;"|"&amp;R$5,MCDM_Checks!$A$6:$A$3733,0))</f>
        <v>U</v>
      </c>
      <c r="S234" s="5" t="str">
        <f>INDEX(MCDM_Checks!$K$6:$K$3733,MATCH(A234&amp;"|"&amp;S$5,MCDM_Checks!$A$6:$A$3733,0))</f>
        <v>Y</v>
      </c>
      <c r="T234" s="5" t="str">
        <f>INDEX(MCDM_Checks!$K$6:$K$3733,MATCH(A234&amp;"|"&amp;T$5,MCDM_Checks!$A$6:$A$3733,0))</f>
        <v>Y</v>
      </c>
      <c r="U234" s="5" t="str">
        <f>INDEX(MCDM_Checks!$K$6:$K$3733,MATCH(A234&amp;"|"&amp;U$5,MCDM_Checks!$A$6:$A$3733,0))</f>
        <v>Y</v>
      </c>
      <c r="V234" s="5" t="str">
        <f>INDEX(MCDM_Checks!$K$6:$K$3733,MATCH(A234&amp;"|"&amp;V$5,MCDM_Checks!$A$6:$A$3733,0))</f>
        <v>Y</v>
      </c>
      <c r="W234" s="5" t="str">
        <f>INDEX(MCDM_Checks!$K$6:$K$3733,MATCH(A234&amp;"|"&amp;W$5,MCDM_Checks!$A$6:$A$3733,0))</f>
        <v>Y</v>
      </c>
      <c r="X234" s="5" t="str">
        <f>INDEX(MCDM_Checks!$K$6:$K$3733,MATCH(A234&amp;"|"&amp;X$5,MCDM_Checks!$A$6:$A$3733,0))</f>
        <v>U</v>
      </c>
      <c r="Y234" s="5" t="str">
        <f>INDEX(MCDM_Checks!$K$6:$K$3733,MATCH(A234&amp;"|"&amp;Y$5,MCDM_Checks!$A$6:$A$3733,0))</f>
        <v>Y</v>
      </c>
      <c r="Z234" s="5" t="str">
        <f>INDEX(MCDM_Checks!$K$6:$K$3733,MATCH(A234&amp;"|"&amp;Z$5,MCDM_Checks!$A$6:$A$3733,0))</f>
        <v>Y</v>
      </c>
      <c r="AA234" s="5" t="str">
        <f>INDEX(MCDM_Checks!$K$6:$K$3733,MATCH(A234&amp;"|"&amp;AA$5,MCDM_Checks!$A$6:$A$3733,0))</f>
        <v>U</v>
      </c>
      <c r="AB234" s="5" t="str">
        <f>INDEX(MCDM_Checks!$K$6:$K$3733,MATCH(A234&amp;"|"&amp;AB$5,MCDM_Checks!$A$6:$A$3733,0))</f>
        <v>U</v>
      </c>
      <c r="AC234" s="12">
        <f>IF(IF($D234="Unlabeled-13",MCDM_Settings!$F$6,MCDM_Settings!$D$6)=0,"n.a.",5*COUNTIF(M234:O234,"Y")/IF($D234="Unlabeled-13",MCDM_Settings!$F$6,MCDM_Settings!$D$6))</f>
        <v>3.3333333333333335</v>
      </c>
      <c r="AD234" s="12">
        <f>IF(IF($D234="Unlabeled-13",MCDM_Settings!$F$6,MCDM_Settings!$D$6)=0,"n.a.",5*(COUNTIF(M234:O234,"Y")+COUNTIF(M234:O234,"U")+COUNTIF(M234:O234,"X"))/IF($D234="Unlabeled-13",MCDM_Settings!$F$6,MCDM_Settings!$D$6))</f>
        <v>5</v>
      </c>
      <c r="AE234" s="13">
        <f>IF(IF($D234="Unlabeled-13",MCDM_Settings!$F$6,MCDM_Settings!$D$6)=0,"n.a.",(COUNTIF(M234:O234,"Y")+COUNTIF(M234:O234,"N"))/IF($D234="Unlabeled-13",MCDM_Settings!$F$6,MCDM_Settings!$D$6))</f>
        <v>0.66666666666666663</v>
      </c>
      <c r="AF234" s="12">
        <f>IF(IF($D234="Unlabeled-13",MCDM_Settings!$F$7,MCDM_Settings!$D$7)=0,"n.a.",5*COUNTIF(P234:R234,"Y")/IF($D234="Unlabeled-13",MCDM_Settings!$F$7,MCDM_Settings!$D$7))</f>
        <v>1.6666666666666667</v>
      </c>
      <c r="AG234" s="12">
        <f>IF(IF($D234="Unlabeled-13",MCDM_Settings!$F$7,MCDM_Settings!$D$7)=0,"n.a.",5*(COUNTIF(P234:R234,"Y")+COUNTIF(P234:R234,"U")+COUNTIF(P234:R234,"X"))/IF($D234="Unlabeled-13",MCDM_Settings!$F$7,MCDM_Settings!$D$7))</f>
        <v>5</v>
      </c>
      <c r="AH234" s="13">
        <f>IF(IF($D234="Unlabeled-13",MCDM_Settings!$F$7,MCDM_Settings!$D$7)=0,"n.a.",(COUNTIF(P234:R234,"Y")+COUNTIF(P234:R234,"N"))/IF($D234="Unlabeled-13",MCDM_Settings!$F$7,MCDM_Settings!$D$7))</f>
        <v>0.33333333333333331</v>
      </c>
      <c r="AI234" s="12">
        <f>IF(IF($D234="Unlabeled-13",MCDM_Settings!$F$8,MCDM_Settings!$D$8)=0,"n.a.",5*COUNTIF(S234:U234,"Y")/IF($D234="Unlabeled-13",MCDM_Settings!$F$8,MCDM_Settings!$D$8))</f>
        <v>5</v>
      </c>
      <c r="AJ234" s="12">
        <f>IF(IF($D234="Unlabeled-13",MCDM_Settings!$F$8,MCDM_Settings!$D$8)=0,"n.a.",5*(COUNTIF(S234:U234,"Y")+COUNTIF(S234:U234,"U")+COUNTIF(S234:U234,"X"))/IF($D234="Unlabeled-13",MCDM_Settings!$F$8,MCDM_Settings!$D$8))</f>
        <v>5</v>
      </c>
      <c r="AK234" s="13">
        <f>IF(IF($D234="Unlabeled-13",MCDM_Settings!$F$8,MCDM_Settings!$D$8)=0,"n.a.",(COUNTIF(S234:U234,"Y")+COUNTIF(S234:U234,"N"))/IF($D234="Unlabeled-13",MCDM_Settings!$F$8,MCDM_Settings!$D$8))</f>
        <v>1</v>
      </c>
      <c r="AL234" s="12">
        <f>IF(IF($D234="Unlabeled-13",MCDM_Settings!$F$9,MCDM_Settings!$D$9)=0,"n.a.",5*COUNTIF(V234:W234,"Y")/IF($D234="Unlabeled-13",MCDM_Settings!$F$9,MCDM_Settings!$D$9))</f>
        <v>5</v>
      </c>
      <c r="AM234" s="12">
        <f>IF(IF($D234="Unlabeled-13",MCDM_Settings!$F$9,MCDM_Settings!$D$9)=0,"n.a.",5*(COUNTIF(V234:W234,"Y")+COUNTIF(V234:W234,"U")+COUNTIF(V234:W234,"X"))/IF($D234="Unlabeled-13",MCDM_Settings!$F$9,MCDM_Settings!$D$9))</f>
        <v>5</v>
      </c>
      <c r="AN234" s="13">
        <f>IF(IF($D234="Unlabeled-13",MCDM_Settings!$F$9,MCDM_Settings!$D$9)=0,"n.a.",(COUNTIF(V234:W234,"Y")+COUNTIF(V234:W234,"N"))/IF($D234="Unlabeled-13",MCDM_Settings!$F$9,MCDM_Settings!$D$9))</f>
        <v>1</v>
      </c>
      <c r="AO234" s="12">
        <f>IF(IF($D234="Unlabeled-13",MCDM_Settings!$F$10,MCDM_Settings!$D$10)=0,"n.a.",5*COUNTIF(X234:Y234,"Y")/IF($D234="Unlabeled-13",MCDM_Settings!$F$10,MCDM_Settings!$D$10))</f>
        <v>2.5</v>
      </c>
      <c r="AP234" s="12">
        <f>IF(IF($D234="Unlabeled-13",MCDM_Settings!$F$10,MCDM_Settings!$D$10)=0,"n.a.",5*(COUNTIF(X234:Y234,"Y")+COUNTIF(X234:Y234,"U")+COUNTIF(X234:Y234,"X"))/IF($D234="Unlabeled-13",MCDM_Settings!$F$10,MCDM_Settings!$D$10))</f>
        <v>5</v>
      </c>
      <c r="AQ234" s="13">
        <f>IF(IF($D234="Unlabeled-13",MCDM_Settings!$F$10,MCDM_Settings!$D$10)=0,"n.a.",(COUNTIF(X234:Y234,"Y")+COUNTIF(X234:Y234,"N"))/IF($D234="Unlabeled-13",MCDM_Settings!$F$10,MCDM_Settings!$D$10))</f>
        <v>0.5</v>
      </c>
      <c r="AR234" s="12">
        <f>IF(IF($D234="Unlabeled-13",MCDM_Settings!$F$11,MCDM_Settings!$D$11)=0,"n.a.",5*COUNTIF(Z234:AB234,"Y")/IF($D234="Unlabeled-13",MCDM_Settings!$F$11,MCDM_Settings!$D$11))</f>
        <v>1.6666666666666667</v>
      </c>
      <c r="AS234" s="12">
        <f>IF(IF($D234="Unlabeled-13",MCDM_Settings!$F$11,MCDM_Settings!$D$11)=0,"n.a.",5*(COUNTIF(Z234:AB234,"Y")+COUNTIF(Z234:AB234,"U")+COUNTIF(Z234:AB234,"X"))/IF($D234="Unlabeled-13",MCDM_Settings!$F$11,MCDM_Settings!$D$11))</f>
        <v>5</v>
      </c>
      <c r="AT234" s="13">
        <f>IF(IF($D234="Unlabeled-13",MCDM_Settings!$F$11,MCDM_Settings!$D$11)=0,"n.a.",(COUNTIF(Z234:AB234,"Y")+COUNTIF(Z234:AB234,"N"))/IF($D234="Unlabeled-13",MCDM_Settings!$F$11,MCDM_Settings!$D$11))</f>
        <v>0.33333333333333331</v>
      </c>
      <c r="AU234" s="5" t="str">
        <f>IF(AND(INDEX(Manual_Review!$G$6:$G$238,MATCH(A234,Manual_Review!$A$6:$A$238,0))&lt;&gt;"",ISNUMBER(INDEX(Manual_Review!$H$6:$H$238,MATCH(A234,Manual_Review!$A$6:$A$238,0))),INDEX(Manual_Review!$H$6:$H$238,MATCH(A234,Manual_Review!$A$6:$A$238,0))&gt;0,INDEX(Manual_Review!$I$6:$I$238,MATCH(A234,Manual_Review!$A$6:$A$238,0))="Confirmed",INDEX(Manual_Review!$AF$6:$AF$238,MATCH(A234,Manual_Review!$A$6:$A$238,0))&lt;&gt;""),IF(INDEX(Manual_Review!$AA$6:$AA$238,MATCH(A234,Manual_Review!$A$6:$A$238,0))="Pass","Pass",IF(INDEX(Manual_Review!$AA$6:$AA$238,MATCH(A234,Manual_Review!$A$6:$A$238,0))="Fail","Fail","Pending")),"Pending human identity confirmation")</f>
        <v>Pending human identity confirmation</v>
      </c>
      <c r="AV234" s="5" t="str">
        <f>IF(AND(AND(INDEX(Manual_Review!$G$6:$G$238,MATCH(A234,Manual_Review!$A$6:$A$238,0))&lt;&gt;"",ISNUMBER(INDEX(Manual_Review!$H$6:$H$238,MATCH(A234,Manual_Review!$A$6:$A$238,0))),INDEX(Manual_Review!$H$6:$H$238,MATCH(A234,Manual_Review!$A$6:$A$238,0))&gt;0,INDEX(Manual_Review!$I$6:$I$238,MATCH(A234,Manual_Review!$A$6:$A$238,0))="Confirmed",INDEX(Manual_Review!$AF$6:$AF$238,MATCH(A234,Manual_Review!$A$6:$A$238,0))&lt;&gt;""),INDEX(Manual_Review!$AG$6:$AG$238,MATCH(A234,Manual_Review!$A$6:$A$238,0))&lt;&gt;""),IF(INDEX(Manual_Review!$AB$6:$AB$238,MATCH(A234,Manual_Review!$A$6:$A$238,0))="Pass","Pass",IF(INDEX(Manual_Review!$AB$6:$AB$238,MATCH(A234,Manual_Review!$A$6:$A$238,0))="Fail","Fail","Pending")),"Not assessed: define intended task")</f>
        <v>Not assessed: define intended task</v>
      </c>
      <c r="AW234" s="5" t="str">
        <f>IF(AND(AND(INDEX(Manual_Review!$G$6:$G$238,MATCH(A234,Manual_Review!$A$6:$A$238,0))&lt;&gt;"",ISNUMBER(INDEX(Manual_Review!$H$6:$H$238,MATCH(A234,Manual_Review!$A$6:$A$238,0))),INDEX(Manual_Review!$H$6:$H$238,MATCH(A234,Manual_Review!$A$6:$A$238,0))&gt;0,INDEX(Manual_Review!$I$6:$I$238,MATCH(A234,Manual_Review!$A$6:$A$238,0))="Confirmed",INDEX(Manual_Review!$AF$6:$AF$238,MATCH(A234,Manual_Review!$A$6:$A$238,0))&lt;&gt;""),INDEX(Manual_Review!$AG$6:$AG$238,MATCH(A234,Manual_Review!$A$6:$A$238,0))&lt;&gt;""),IF(OR(INDEX(Manual_Review!$AC$6:$AC$238,MATCH(A234,Manual_Review!$A$6:$A$238,0))="Fail",INDEX(Manual_Review!$AD$6:$AD$238,MATCH(A234,Manual_Review!$A$6:$A$238,0))="Fail"),"Fail: rights or retrieval",IF(AND(INDEX(Manual_Review!$AC$6:$AC$238,MATCH(A234,Manual_Review!$A$6:$A$238,0))="Pass",INDEX(Manual_Review!$AD$6:$AD$238,MATCH(A234,Manual_Review!$A$6:$A$238,0))="Pass"),"Pass","Pending rights and retrieval")),"Pending rights and retrieval")</f>
        <v>Pending rights and retrieval</v>
      </c>
      <c r="AX234" s="5" t="str">
        <f>IF(INDEX(Manual_Review!$AG$6:$AG$238,MATCH(A234,Manual_Review!$A$6:$A$238,0))="","N/A: documentation inventory",IF(AND(INDEX(Manual_Review!$G$6:$G$238,MATCH(A234,Manual_Review!$A$6:$A$238,0))&lt;&gt;"",ISNUMBER(INDEX(Manual_Review!$H$6:$H$238,MATCH(A234,Manual_Review!$A$6:$A$238,0))),INDEX(Manual_Review!$H$6:$H$238,MATCH(A234,Manual_Review!$A$6:$A$238,0))&gt;0,INDEX(Manual_Review!$I$6:$I$238,MATCH(A234,Manual_Review!$A$6:$A$238,0))="Confirmed",INDEX(Manual_Review!$AF$6:$AF$238,MATCH(A234,Manual_Review!$A$6:$A$238,0))&lt;&gt;""),IF(INDEX(Manual_Review!$AE$6:$AE$238,MATCH(A234,Manual_Review!$A$6:$A$238,0))="Pass","Pass",IF(INDEX(Manual_Review!$AE$6:$AE$238,MATCH(A234,Manual_Review!$A$6:$A$238,0))="Fail","Fail: benchmark leakage",IF(INDEX(Manual_Review!$AE$6:$AE$238,MATCH(A234,Manual_Review!$A$6:$A$238,0))="N/A","N/A: nonbenchmark task","Pending task-specific leakage check"))),"Pending task-specific leakage check"))</f>
        <v>N/A: documentation inventory</v>
      </c>
      <c r="AY234" s="5" t="str">
        <f>IF(IF(D234="Unlabeled-13",AND(ABS(MCDM_Settings!$D$14-1)&lt;0.0000001,MIN(MCDM_Settings!$E$6:$E$11)&gt;=0,MCDM_Settings!$E$7=0),AND(ABS(MCDM_Settings!$B$14-1)&lt;0.0000001,MIN(MCDM_Settings!$C$6:$C$11)&gt;=0)),"Valid","Check weights")</f>
        <v>Valid</v>
      </c>
      <c r="AZ234" s="5" t="str">
        <f>IF(AND(COUNTIF(MCDM_Checks!$B$6:$B$3733,A234)=16,COUNTIF(Manual_Review!$A$6:$A$238,A234)=1),"16 keys present","Check key count")</f>
        <v>16 keys present</v>
      </c>
    </row>
    <row r="235" spans="1:52">
      <c r="A235" s="5" t="s">
        <v>2690</v>
      </c>
      <c r="B235" s="5" t="s">
        <v>2691</v>
      </c>
      <c r="C235" s="5"/>
      <c r="D235" s="5" t="s">
        <v>118</v>
      </c>
      <c r="E235" s="12">
        <f>IF(OR(AY235&lt;&gt;"Valid",AZ235&lt;&gt;"16 keys present"),"Review settings",20*(IF(ISNUMBER(AC235),AC235*IF($D235="Unlabeled-13",MCDM_Settings!$E$6,MCDM_Settings!$C$6),0)+IF(ISNUMBER(AF235),AF235*IF($D235="Unlabeled-13",MCDM_Settings!$E$7,MCDM_Settings!$C$7),0)+IF(ISNUMBER(AI235),AI235*IF($D235="Unlabeled-13",MCDM_Settings!$E$8,MCDM_Settings!$C$8),0)+IF(ISNUMBER(AL235),AL235*IF($D235="Unlabeled-13",MCDM_Settings!$E$9,MCDM_Settings!$C$9),0)+IF(ISNUMBER(AO235),AO235*IF($D235="Unlabeled-13",MCDM_Settings!$E$10,MCDM_Settings!$C$10),0)+IF(ISNUMBER(AR235),AR235*IF($D235="Unlabeled-13",MCDM_Settings!$E$11,MCDM_Settings!$C$11),0)))</f>
        <v>69.444444444444443</v>
      </c>
      <c r="F235" s="12">
        <f>IF(OR(AY235&lt;&gt;"Valid",AZ235&lt;&gt;"16 keys present"),"Review settings",20*(IF(ISNUMBER(AD235),AD235*IF($D235="Unlabeled-13",MCDM_Settings!$E$6,MCDM_Settings!$C$6),0)+IF(ISNUMBER(AG235),AG235*IF($D235="Unlabeled-13",MCDM_Settings!$E$7,MCDM_Settings!$C$7),0)+IF(ISNUMBER(AJ235),AJ235*IF($D235="Unlabeled-13",MCDM_Settings!$E$8,MCDM_Settings!$C$8),0)+IF(ISNUMBER(AM235),AM235*IF($D235="Unlabeled-13",MCDM_Settings!$E$9,MCDM_Settings!$C$9),0)+IF(ISNUMBER(AP235),AP235*IF($D235="Unlabeled-13",MCDM_Settings!$E$10,MCDM_Settings!$C$10),0)+IF(ISNUMBER(AS235),AS235*IF($D235="Unlabeled-13",MCDM_Settings!$E$11,MCDM_Settings!$C$11),0)))</f>
        <v>99.999999999999986</v>
      </c>
      <c r="G235" s="13">
        <f>IF(OR(AY235&lt;&gt;"Valid",AZ235&lt;&gt;"16 keys present"),"Review settings",1*(IF(ISNUMBER(AE235),AE235*IF($D235="Unlabeled-13",MCDM_Settings!$E$6,MCDM_Settings!$C$6),0)+IF(ISNUMBER(AH235),AH235*IF($D235="Unlabeled-13",MCDM_Settings!$E$7,MCDM_Settings!$C$7),0)+IF(ISNUMBER(AK235),AK235*IF($D235="Unlabeled-13",MCDM_Settings!$E$8,MCDM_Settings!$C$8),0)+IF(ISNUMBER(AN235),AN235*IF($D235="Unlabeled-13",MCDM_Settings!$E$9,MCDM_Settings!$C$9),0)+IF(ISNUMBER(AQ235),AQ235*IF($D235="Unlabeled-13",MCDM_Settings!$E$10,MCDM_Settings!$C$10),0)+IF(ISNUMBER(AT235),AT235*IF($D235="Unlabeled-13",MCDM_Settings!$E$11,MCDM_Settings!$C$11),0)))</f>
        <v>0.69444444444444442</v>
      </c>
      <c r="H235" s="5" t="str">
        <f>INDEX(Manual_Review!$AH$6:$AH$238,MATCH(A235,Manual_Review!$A$6:$A$238,0))</f>
        <v>Not started</v>
      </c>
      <c r="I235" s="5" t="s">
        <v>182</v>
      </c>
      <c r="J235" s="5" t="s">
        <v>2692</v>
      </c>
      <c r="K235" s="5" t="str">
        <f>HYPERLINK("https://waymo.com/open/download/","Dataset")</f>
        <v>Dataset</v>
      </c>
      <c r="L235" s="5" t="str">
        <f>HYPERLINK("#'Manual_Review'!A"&amp;(MATCH("DS-230",Manual_Review!$A$6:$A$238,0)+5),"Enter review")</f>
        <v>Enter review</v>
      </c>
      <c r="M235" s="5" t="str">
        <f>INDEX(MCDM_Checks!$K$6:$K$3733,MATCH(A235&amp;"|"&amp;M$5,MCDM_Checks!$A$6:$A$3733,0))</f>
        <v>Y</v>
      </c>
      <c r="N235" s="5" t="str">
        <f>INDEX(MCDM_Checks!$K$6:$K$3733,MATCH(A235&amp;"|"&amp;N$5,MCDM_Checks!$A$6:$A$3733,0))</f>
        <v>Y</v>
      </c>
      <c r="O235" s="5" t="str">
        <f>INDEX(MCDM_Checks!$K$6:$K$3733,MATCH(A235&amp;"|"&amp;O$5,MCDM_Checks!$A$6:$A$3733,0))</f>
        <v>Y</v>
      </c>
      <c r="P235" s="5" t="str">
        <f>INDEX(MCDM_Checks!$K$6:$K$3733,MATCH(A235&amp;"|"&amp;P$5,MCDM_Checks!$A$6:$A$3733,0))</f>
        <v>Y</v>
      </c>
      <c r="Q235" s="5" t="str">
        <f>INDEX(MCDM_Checks!$K$6:$K$3733,MATCH(A235&amp;"|"&amp;Q$5,MCDM_Checks!$A$6:$A$3733,0))</f>
        <v>U</v>
      </c>
      <c r="R235" s="5" t="str">
        <f>INDEX(MCDM_Checks!$K$6:$K$3733,MATCH(A235&amp;"|"&amp;R$5,MCDM_Checks!$A$6:$A$3733,0))</f>
        <v>U</v>
      </c>
      <c r="S235" s="5" t="str">
        <f>INDEX(MCDM_Checks!$K$6:$K$3733,MATCH(A235&amp;"|"&amp;S$5,MCDM_Checks!$A$6:$A$3733,0))</f>
        <v>U</v>
      </c>
      <c r="T235" s="5" t="str">
        <f>INDEX(MCDM_Checks!$K$6:$K$3733,MATCH(A235&amp;"|"&amp;T$5,MCDM_Checks!$A$6:$A$3733,0))</f>
        <v>Y</v>
      </c>
      <c r="U235" s="5" t="str">
        <f>INDEX(MCDM_Checks!$K$6:$K$3733,MATCH(A235&amp;"|"&amp;U$5,MCDM_Checks!$A$6:$A$3733,0))</f>
        <v>Y</v>
      </c>
      <c r="V235" s="5" t="str">
        <f>INDEX(MCDM_Checks!$K$6:$K$3733,MATCH(A235&amp;"|"&amp;V$5,MCDM_Checks!$A$6:$A$3733,0))</f>
        <v>X</v>
      </c>
      <c r="W235" s="5" t="str">
        <f>INDEX(MCDM_Checks!$K$6:$K$3733,MATCH(A235&amp;"|"&amp;W$5,MCDM_Checks!$A$6:$A$3733,0))</f>
        <v>Y</v>
      </c>
      <c r="X235" s="5" t="str">
        <f>INDEX(MCDM_Checks!$K$6:$K$3733,MATCH(A235&amp;"|"&amp;X$5,MCDM_Checks!$A$6:$A$3733,0))</f>
        <v>Y</v>
      </c>
      <c r="Y235" s="5" t="str">
        <f>INDEX(MCDM_Checks!$K$6:$K$3733,MATCH(A235&amp;"|"&amp;Y$5,MCDM_Checks!$A$6:$A$3733,0))</f>
        <v>Y</v>
      </c>
      <c r="Z235" s="5" t="str">
        <f>INDEX(MCDM_Checks!$K$6:$K$3733,MATCH(A235&amp;"|"&amp;Z$5,MCDM_Checks!$A$6:$A$3733,0))</f>
        <v>Y</v>
      </c>
      <c r="AA235" s="5" t="str">
        <f>INDEX(MCDM_Checks!$K$6:$K$3733,MATCH(A235&amp;"|"&amp;AA$5,MCDM_Checks!$A$6:$A$3733,0))</f>
        <v>Y</v>
      </c>
      <c r="AB235" s="5" t="str">
        <f>INDEX(MCDM_Checks!$K$6:$K$3733,MATCH(A235&amp;"|"&amp;AB$5,MCDM_Checks!$A$6:$A$3733,0))</f>
        <v>U</v>
      </c>
      <c r="AC235" s="12">
        <f>IF(IF($D235="Unlabeled-13",MCDM_Settings!$F$6,MCDM_Settings!$D$6)=0,"n.a.",5*COUNTIF(M235:O235,"Y")/IF($D235="Unlabeled-13",MCDM_Settings!$F$6,MCDM_Settings!$D$6))</f>
        <v>5</v>
      </c>
      <c r="AD235" s="12">
        <f>IF(IF($D235="Unlabeled-13",MCDM_Settings!$F$6,MCDM_Settings!$D$6)=0,"n.a.",5*(COUNTIF(M235:O235,"Y")+COUNTIF(M235:O235,"U")+COUNTIF(M235:O235,"X"))/IF($D235="Unlabeled-13",MCDM_Settings!$F$6,MCDM_Settings!$D$6))</f>
        <v>5</v>
      </c>
      <c r="AE235" s="13">
        <f>IF(IF($D235="Unlabeled-13",MCDM_Settings!$F$6,MCDM_Settings!$D$6)=0,"n.a.",(COUNTIF(M235:O235,"Y")+COUNTIF(M235:O235,"N"))/IF($D235="Unlabeled-13",MCDM_Settings!$F$6,MCDM_Settings!$D$6))</f>
        <v>1</v>
      </c>
      <c r="AF235" s="12">
        <f>IF(IF($D235="Unlabeled-13",MCDM_Settings!$F$7,MCDM_Settings!$D$7)=0,"n.a.",5*COUNTIF(P235:R235,"Y")/IF($D235="Unlabeled-13",MCDM_Settings!$F$7,MCDM_Settings!$D$7))</f>
        <v>1.6666666666666667</v>
      </c>
      <c r="AG235" s="12">
        <f>IF(IF($D235="Unlabeled-13",MCDM_Settings!$F$7,MCDM_Settings!$D$7)=0,"n.a.",5*(COUNTIF(P235:R235,"Y")+COUNTIF(P235:R235,"U")+COUNTIF(P235:R235,"X"))/IF($D235="Unlabeled-13",MCDM_Settings!$F$7,MCDM_Settings!$D$7))</f>
        <v>5</v>
      </c>
      <c r="AH235" s="13">
        <f>IF(IF($D235="Unlabeled-13",MCDM_Settings!$F$7,MCDM_Settings!$D$7)=0,"n.a.",(COUNTIF(P235:R235,"Y")+COUNTIF(P235:R235,"N"))/IF($D235="Unlabeled-13",MCDM_Settings!$F$7,MCDM_Settings!$D$7))</f>
        <v>0.33333333333333331</v>
      </c>
      <c r="AI235" s="12">
        <f>IF(IF($D235="Unlabeled-13",MCDM_Settings!$F$8,MCDM_Settings!$D$8)=0,"n.a.",5*COUNTIF(S235:U235,"Y")/IF($D235="Unlabeled-13",MCDM_Settings!$F$8,MCDM_Settings!$D$8))</f>
        <v>3.3333333333333335</v>
      </c>
      <c r="AJ235" s="12">
        <f>IF(IF($D235="Unlabeled-13",MCDM_Settings!$F$8,MCDM_Settings!$D$8)=0,"n.a.",5*(COUNTIF(S235:U235,"Y")+COUNTIF(S235:U235,"U")+COUNTIF(S235:U235,"X"))/IF($D235="Unlabeled-13",MCDM_Settings!$F$8,MCDM_Settings!$D$8))</f>
        <v>5</v>
      </c>
      <c r="AK235" s="13">
        <f>IF(IF($D235="Unlabeled-13",MCDM_Settings!$F$8,MCDM_Settings!$D$8)=0,"n.a.",(COUNTIF(S235:U235,"Y")+COUNTIF(S235:U235,"N"))/IF($D235="Unlabeled-13",MCDM_Settings!$F$8,MCDM_Settings!$D$8))</f>
        <v>0.66666666666666663</v>
      </c>
      <c r="AL235" s="12">
        <f>IF(IF($D235="Unlabeled-13",MCDM_Settings!$F$9,MCDM_Settings!$D$9)=0,"n.a.",5*COUNTIF(V235:W235,"Y")/IF($D235="Unlabeled-13",MCDM_Settings!$F$9,MCDM_Settings!$D$9))</f>
        <v>2.5</v>
      </c>
      <c r="AM235" s="12">
        <f>IF(IF($D235="Unlabeled-13",MCDM_Settings!$F$9,MCDM_Settings!$D$9)=0,"n.a.",5*(COUNTIF(V235:W235,"Y")+COUNTIF(V235:W235,"U")+COUNTIF(V235:W235,"X"))/IF($D235="Unlabeled-13",MCDM_Settings!$F$9,MCDM_Settings!$D$9))</f>
        <v>5</v>
      </c>
      <c r="AN235" s="13">
        <f>IF(IF($D235="Unlabeled-13",MCDM_Settings!$F$9,MCDM_Settings!$D$9)=0,"n.a.",(COUNTIF(V235:W235,"Y")+COUNTIF(V235:W235,"N"))/IF($D235="Unlabeled-13",MCDM_Settings!$F$9,MCDM_Settings!$D$9))</f>
        <v>0.5</v>
      </c>
      <c r="AO235" s="12">
        <f>IF(IF($D235="Unlabeled-13",MCDM_Settings!$F$10,MCDM_Settings!$D$10)=0,"n.a.",5*COUNTIF(X235:Y235,"Y")/IF($D235="Unlabeled-13",MCDM_Settings!$F$10,MCDM_Settings!$D$10))</f>
        <v>5</v>
      </c>
      <c r="AP235" s="12">
        <f>IF(IF($D235="Unlabeled-13",MCDM_Settings!$F$10,MCDM_Settings!$D$10)=0,"n.a.",5*(COUNTIF(X235:Y235,"Y")+COUNTIF(X235:Y235,"U")+COUNTIF(X235:Y235,"X"))/IF($D235="Unlabeled-13",MCDM_Settings!$F$10,MCDM_Settings!$D$10))</f>
        <v>5</v>
      </c>
      <c r="AQ235" s="13">
        <f>IF(IF($D235="Unlabeled-13",MCDM_Settings!$F$10,MCDM_Settings!$D$10)=0,"n.a.",(COUNTIF(X235:Y235,"Y")+COUNTIF(X235:Y235,"N"))/IF($D235="Unlabeled-13",MCDM_Settings!$F$10,MCDM_Settings!$D$10))</f>
        <v>1</v>
      </c>
      <c r="AR235" s="12">
        <f>IF(IF($D235="Unlabeled-13",MCDM_Settings!$F$11,MCDM_Settings!$D$11)=0,"n.a.",5*COUNTIF(Z235:AB235,"Y")/IF($D235="Unlabeled-13",MCDM_Settings!$F$11,MCDM_Settings!$D$11))</f>
        <v>3.3333333333333335</v>
      </c>
      <c r="AS235" s="12">
        <f>IF(IF($D235="Unlabeled-13",MCDM_Settings!$F$11,MCDM_Settings!$D$11)=0,"n.a.",5*(COUNTIF(Z235:AB235,"Y")+COUNTIF(Z235:AB235,"U")+COUNTIF(Z235:AB235,"X"))/IF($D235="Unlabeled-13",MCDM_Settings!$F$11,MCDM_Settings!$D$11))</f>
        <v>5</v>
      </c>
      <c r="AT235" s="13">
        <f>IF(IF($D235="Unlabeled-13",MCDM_Settings!$F$11,MCDM_Settings!$D$11)=0,"n.a.",(COUNTIF(Z235:AB235,"Y")+COUNTIF(Z235:AB235,"N"))/IF($D235="Unlabeled-13",MCDM_Settings!$F$11,MCDM_Settings!$D$11))</f>
        <v>0.66666666666666663</v>
      </c>
      <c r="AU235" s="5" t="str">
        <f>IF(AND(INDEX(Manual_Review!$G$6:$G$238,MATCH(A235,Manual_Review!$A$6:$A$238,0))&lt;&gt;"",ISNUMBER(INDEX(Manual_Review!$H$6:$H$238,MATCH(A235,Manual_Review!$A$6:$A$238,0))),INDEX(Manual_Review!$H$6:$H$238,MATCH(A235,Manual_Review!$A$6:$A$238,0))&gt;0,INDEX(Manual_Review!$I$6:$I$238,MATCH(A235,Manual_Review!$A$6:$A$238,0))="Confirmed",INDEX(Manual_Review!$AF$6:$AF$238,MATCH(A235,Manual_Review!$A$6:$A$238,0))&lt;&gt;""),IF(INDEX(Manual_Review!$AA$6:$AA$238,MATCH(A235,Manual_Review!$A$6:$A$238,0))="Pass","Pass",IF(INDEX(Manual_Review!$AA$6:$AA$238,MATCH(A235,Manual_Review!$A$6:$A$238,0))="Fail","Fail","Pending")),"Pending human identity confirmation")</f>
        <v>Pending human identity confirmation</v>
      </c>
      <c r="AV235" s="5" t="str">
        <f>IF(AND(AND(INDEX(Manual_Review!$G$6:$G$238,MATCH(A235,Manual_Review!$A$6:$A$238,0))&lt;&gt;"",ISNUMBER(INDEX(Manual_Review!$H$6:$H$238,MATCH(A235,Manual_Review!$A$6:$A$238,0))),INDEX(Manual_Review!$H$6:$H$238,MATCH(A235,Manual_Review!$A$6:$A$238,0))&gt;0,INDEX(Manual_Review!$I$6:$I$238,MATCH(A235,Manual_Review!$A$6:$A$238,0))="Confirmed",INDEX(Manual_Review!$AF$6:$AF$238,MATCH(A235,Manual_Review!$A$6:$A$238,0))&lt;&gt;""),INDEX(Manual_Review!$AG$6:$AG$238,MATCH(A235,Manual_Review!$A$6:$A$238,0))&lt;&gt;""),IF(INDEX(Manual_Review!$AB$6:$AB$238,MATCH(A235,Manual_Review!$A$6:$A$238,0))="Pass","Pass",IF(INDEX(Manual_Review!$AB$6:$AB$238,MATCH(A235,Manual_Review!$A$6:$A$238,0))="Fail","Fail","Pending")),"Not assessed: define intended task")</f>
        <v>Not assessed: define intended task</v>
      </c>
      <c r="AW235" s="5" t="str">
        <f>IF(AND(AND(INDEX(Manual_Review!$G$6:$G$238,MATCH(A235,Manual_Review!$A$6:$A$238,0))&lt;&gt;"",ISNUMBER(INDEX(Manual_Review!$H$6:$H$238,MATCH(A235,Manual_Review!$A$6:$A$238,0))),INDEX(Manual_Review!$H$6:$H$238,MATCH(A235,Manual_Review!$A$6:$A$238,0))&gt;0,INDEX(Manual_Review!$I$6:$I$238,MATCH(A235,Manual_Review!$A$6:$A$238,0))="Confirmed",INDEX(Manual_Review!$AF$6:$AF$238,MATCH(A235,Manual_Review!$A$6:$A$238,0))&lt;&gt;""),INDEX(Manual_Review!$AG$6:$AG$238,MATCH(A235,Manual_Review!$A$6:$A$238,0))&lt;&gt;""),IF(OR(INDEX(Manual_Review!$AC$6:$AC$238,MATCH(A235,Manual_Review!$A$6:$A$238,0))="Fail",INDEX(Manual_Review!$AD$6:$AD$238,MATCH(A235,Manual_Review!$A$6:$A$238,0))="Fail"),"Fail: rights or retrieval",IF(AND(INDEX(Manual_Review!$AC$6:$AC$238,MATCH(A235,Manual_Review!$A$6:$A$238,0))="Pass",INDEX(Manual_Review!$AD$6:$AD$238,MATCH(A235,Manual_Review!$A$6:$A$238,0))="Pass"),"Pass","Pending rights and retrieval")),"Pending rights and retrieval")</f>
        <v>Pending rights and retrieval</v>
      </c>
      <c r="AX235" s="5" t="str">
        <f>IF(INDEX(Manual_Review!$AG$6:$AG$238,MATCH(A235,Manual_Review!$A$6:$A$238,0))="","N/A: documentation inventory",IF(AND(INDEX(Manual_Review!$G$6:$G$238,MATCH(A235,Manual_Review!$A$6:$A$238,0))&lt;&gt;"",ISNUMBER(INDEX(Manual_Review!$H$6:$H$238,MATCH(A235,Manual_Review!$A$6:$A$238,0))),INDEX(Manual_Review!$H$6:$H$238,MATCH(A235,Manual_Review!$A$6:$A$238,0))&gt;0,INDEX(Manual_Review!$I$6:$I$238,MATCH(A235,Manual_Review!$A$6:$A$238,0))="Confirmed",INDEX(Manual_Review!$AF$6:$AF$238,MATCH(A235,Manual_Review!$A$6:$A$238,0))&lt;&gt;""),IF(INDEX(Manual_Review!$AE$6:$AE$238,MATCH(A235,Manual_Review!$A$6:$A$238,0))="Pass","Pass",IF(INDEX(Manual_Review!$AE$6:$AE$238,MATCH(A235,Manual_Review!$A$6:$A$238,0))="Fail","Fail: benchmark leakage",IF(INDEX(Manual_Review!$AE$6:$AE$238,MATCH(A235,Manual_Review!$A$6:$A$238,0))="N/A","N/A: nonbenchmark task","Pending task-specific leakage check"))),"Pending task-specific leakage check"))</f>
        <v>N/A: documentation inventory</v>
      </c>
      <c r="AY235" s="5" t="str">
        <f>IF(IF(D235="Unlabeled-13",AND(ABS(MCDM_Settings!$D$14-1)&lt;0.0000001,MIN(MCDM_Settings!$E$6:$E$11)&gt;=0,MCDM_Settings!$E$7=0),AND(ABS(MCDM_Settings!$B$14-1)&lt;0.0000001,MIN(MCDM_Settings!$C$6:$C$11)&gt;=0)),"Valid","Check weights")</f>
        <v>Valid</v>
      </c>
      <c r="AZ235" s="5" t="str">
        <f>IF(AND(COUNTIF(MCDM_Checks!$B$6:$B$3733,A235)=16,COUNTIF(Manual_Review!$A$6:$A$238,A235)=1),"16 keys present","Check key count")</f>
        <v>16 keys present</v>
      </c>
    </row>
    <row r="236" spans="1:52" ht="25.5">
      <c r="A236" s="5" t="s">
        <v>2705</v>
      </c>
      <c r="B236" s="5" t="s">
        <v>2706</v>
      </c>
      <c r="C236" s="5"/>
      <c r="D236" s="5" t="s">
        <v>118</v>
      </c>
      <c r="E236" s="12">
        <f>IF(OR(AY236&lt;&gt;"Valid",AZ236&lt;&gt;"16 keys present"),"Review settings",20*(IF(ISNUMBER(AC236),AC236*IF($D236="Unlabeled-13",MCDM_Settings!$E$6,MCDM_Settings!$C$6),0)+IF(ISNUMBER(AF236),AF236*IF($D236="Unlabeled-13",MCDM_Settings!$E$7,MCDM_Settings!$C$7),0)+IF(ISNUMBER(AI236),AI236*IF($D236="Unlabeled-13",MCDM_Settings!$E$8,MCDM_Settings!$C$8),0)+IF(ISNUMBER(AL236),AL236*IF($D236="Unlabeled-13",MCDM_Settings!$E$9,MCDM_Settings!$C$9),0)+IF(ISNUMBER(AO236),AO236*IF($D236="Unlabeled-13",MCDM_Settings!$E$10,MCDM_Settings!$C$10),0)+IF(ISNUMBER(AR236),AR236*IF($D236="Unlabeled-13",MCDM_Settings!$E$11,MCDM_Settings!$C$11),0)))</f>
        <v>63.888888888888893</v>
      </c>
      <c r="F236" s="12">
        <f>IF(OR(AY236&lt;&gt;"Valid",AZ236&lt;&gt;"16 keys present"),"Review settings",20*(IF(ISNUMBER(AD236),AD236*IF($D236="Unlabeled-13",MCDM_Settings!$E$6,MCDM_Settings!$C$6),0)+IF(ISNUMBER(AG236),AG236*IF($D236="Unlabeled-13",MCDM_Settings!$E$7,MCDM_Settings!$C$7),0)+IF(ISNUMBER(AJ236),AJ236*IF($D236="Unlabeled-13",MCDM_Settings!$E$8,MCDM_Settings!$C$8),0)+IF(ISNUMBER(AM236),AM236*IF($D236="Unlabeled-13",MCDM_Settings!$E$9,MCDM_Settings!$C$9),0)+IF(ISNUMBER(AP236),AP236*IF($D236="Unlabeled-13",MCDM_Settings!$E$10,MCDM_Settings!$C$10),0)+IF(ISNUMBER(AS236),AS236*IF($D236="Unlabeled-13",MCDM_Settings!$E$11,MCDM_Settings!$C$11),0)))</f>
        <v>99.999999999999986</v>
      </c>
      <c r="G236" s="13">
        <f>IF(OR(AY236&lt;&gt;"Valid",AZ236&lt;&gt;"16 keys present"),"Review settings",1*(IF(ISNUMBER(AE236),AE236*IF($D236="Unlabeled-13",MCDM_Settings!$E$6,MCDM_Settings!$C$6),0)+IF(ISNUMBER(AH236),AH236*IF($D236="Unlabeled-13",MCDM_Settings!$E$7,MCDM_Settings!$C$7),0)+IF(ISNUMBER(AK236),AK236*IF($D236="Unlabeled-13",MCDM_Settings!$E$8,MCDM_Settings!$C$8),0)+IF(ISNUMBER(AN236),AN236*IF($D236="Unlabeled-13",MCDM_Settings!$E$9,MCDM_Settings!$C$9),0)+IF(ISNUMBER(AQ236),AQ236*IF($D236="Unlabeled-13",MCDM_Settings!$E$10,MCDM_Settings!$C$10),0)+IF(ISNUMBER(AT236),AT236*IF($D236="Unlabeled-13",MCDM_Settings!$E$11,MCDM_Settings!$C$11),0)))</f>
        <v>0.63888888888888884</v>
      </c>
      <c r="H236" s="5" t="str">
        <f>INDEX(Manual_Review!$AH$6:$AH$238,MATCH(A236,Manual_Review!$A$6:$A$238,0))</f>
        <v>Not started</v>
      </c>
      <c r="I236" s="5" t="s">
        <v>182</v>
      </c>
      <c r="J236" s="5" t="s">
        <v>2707</v>
      </c>
      <c r="K236" s="5" t="str">
        <f>HYPERLINK("https://waymo.com/open/download/","Dataset")</f>
        <v>Dataset</v>
      </c>
      <c r="L236" s="5" t="str">
        <f>HYPERLINK("#'Manual_Review'!A"&amp;(MATCH("DS-231",Manual_Review!$A$6:$A$238,0)+5),"Enter review")</f>
        <v>Enter review</v>
      </c>
      <c r="M236" s="5" t="str">
        <f>INDEX(MCDM_Checks!$K$6:$K$3733,MATCH(A236&amp;"|"&amp;M$5,MCDM_Checks!$A$6:$A$3733,0))</f>
        <v>Y</v>
      </c>
      <c r="N236" s="5" t="str">
        <f>INDEX(MCDM_Checks!$K$6:$K$3733,MATCH(A236&amp;"|"&amp;N$5,MCDM_Checks!$A$6:$A$3733,0))</f>
        <v>Y</v>
      </c>
      <c r="O236" s="5" t="str">
        <f>INDEX(MCDM_Checks!$K$6:$K$3733,MATCH(A236&amp;"|"&amp;O$5,MCDM_Checks!$A$6:$A$3733,0))</f>
        <v>Y</v>
      </c>
      <c r="P236" s="5" t="str">
        <f>INDEX(MCDM_Checks!$K$6:$K$3733,MATCH(A236&amp;"|"&amp;P$5,MCDM_Checks!$A$6:$A$3733,0))</f>
        <v>Y</v>
      </c>
      <c r="Q236" s="5" t="str">
        <f>INDEX(MCDM_Checks!$K$6:$K$3733,MATCH(A236&amp;"|"&amp;Q$5,MCDM_Checks!$A$6:$A$3733,0))</f>
        <v>U</v>
      </c>
      <c r="R236" s="5" t="str">
        <f>INDEX(MCDM_Checks!$K$6:$K$3733,MATCH(A236&amp;"|"&amp;R$5,MCDM_Checks!$A$6:$A$3733,0))</f>
        <v>U</v>
      </c>
      <c r="S236" s="5" t="str">
        <f>INDEX(MCDM_Checks!$K$6:$K$3733,MATCH(A236&amp;"|"&amp;S$5,MCDM_Checks!$A$6:$A$3733,0))</f>
        <v>U</v>
      </c>
      <c r="T236" s="5" t="str">
        <f>INDEX(MCDM_Checks!$K$6:$K$3733,MATCH(A236&amp;"|"&amp;T$5,MCDM_Checks!$A$6:$A$3733,0))</f>
        <v>Y</v>
      </c>
      <c r="U236" s="5" t="str">
        <f>INDEX(MCDM_Checks!$K$6:$K$3733,MATCH(A236&amp;"|"&amp;U$5,MCDM_Checks!$A$6:$A$3733,0))</f>
        <v>Y</v>
      </c>
      <c r="V236" s="5" t="str">
        <f>INDEX(MCDM_Checks!$K$6:$K$3733,MATCH(A236&amp;"|"&amp;V$5,MCDM_Checks!$A$6:$A$3733,0))</f>
        <v>Y</v>
      </c>
      <c r="W236" s="5" t="str">
        <f>INDEX(MCDM_Checks!$K$6:$K$3733,MATCH(A236&amp;"|"&amp;W$5,MCDM_Checks!$A$6:$A$3733,0))</f>
        <v>U</v>
      </c>
      <c r="X236" s="5" t="str">
        <f>INDEX(MCDM_Checks!$K$6:$K$3733,MATCH(A236&amp;"|"&amp;X$5,MCDM_Checks!$A$6:$A$3733,0))</f>
        <v>Y</v>
      </c>
      <c r="Y236" s="5" t="str">
        <f>INDEX(MCDM_Checks!$K$6:$K$3733,MATCH(A236&amp;"|"&amp;Y$5,MCDM_Checks!$A$6:$A$3733,0))</f>
        <v>Y</v>
      </c>
      <c r="Z236" s="5" t="str">
        <f>INDEX(MCDM_Checks!$K$6:$K$3733,MATCH(A236&amp;"|"&amp;Z$5,MCDM_Checks!$A$6:$A$3733,0))</f>
        <v>Y</v>
      </c>
      <c r="AA236" s="5" t="str">
        <f>INDEX(MCDM_Checks!$K$6:$K$3733,MATCH(A236&amp;"|"&amp;AA$5,MCDM_Checks!$A$6:$A$3733,0))</f>
        <v>U</v>
      </c>
      <c r="AB236" s="5" t="str">
        <f>INDEX(MCDM_Checks!$K$6:$K$3733,MATCH(A236&amp;"|"&amp;AB$5,MCDM_Checks!$A$6:$A$3733,0))</f>
        <v>U</v>
      </c>
      <c r="AC236" s="12">
        <f>IF(IF($D236="Unlabeled-13",MCDM_Settings!$F$6,MCDM_Settings!$D$6)=0,"n.a.",5*COUNTIF(M236:O236,"Y")/IF($D236="Unlabeled-13",MCDM_Settings!$F$6,MCDM_Settings!$D$6))</f>
        <v>5</v>
      </c>
      <c r="AD236" s="12">
        <f>IF(IF($D236="Unlabeled-13",MCDM_Settings!$F$6,MCDM_Settings!$D$6)=0,"n.a.",5*(COUNTIF(M236:O236,"Y")+COUNTIF(M236:O236,"U")+COUNTIF(M236:O236,"X"))/IF($D236="Unlabeled-13",MCDM_Settings!$F$6,MCDM_Settings!$D$6))</f>
        <v>5</v>
      </c>
      <c r="AE236" s="13">
        <f>IF(IF($D236="Unlabeled-13",MCDM_Settings!$F$6,MCDM_Settings!$D$6)=0,"n.a.",(COUNTIF(M236:O236,"Y")+COUNTIF(M236:O236,"N"))/IF($D236="Unlabeled-13",MCDM_Settings!$F$6,MCDM_Settings!$D$6))</f>
        <v>1</v>
      </c>
      <c r="AF236" s="12">
        <f>IF(IF($D236="Unlabeled-13",MCDM_Settings!$F$7,MCDM_Settings!$D$7)=0,"n.a.",5*COUNTIF(P236:R236,"Y")/IF($D236="Unlabeled-13",MCDM_Settings!$F$7,MCDM_Settings!$D$7))</f>
        <v>1.6666666666666667</v>
      </c>
      <c r="AG236" s="12">
        <f>IF(IF($D236="Unlabeled-13",MCDM_Settings!$F$7,MCDM_Settings!$D$7)=0,"n.a.",5*(COUNTIF(P236:R236,"Y")+COUNTIF(P236:R236,"U")+COUNTIF(P236:R236,"X"))/IF($D236="Unlabeled-13",MCDM_Settings!$F$7,MCDM_Settings!$D$7))</f>
        <v>5</v>
      </c>
      <c r="AH236" s="13">
        <f>IF(IF($D236="Unlabeled-13",MCDM_Settings!$F$7,MCDM_Settings!$D$7)=0,"n.a.",(COUNTIF(P236:R236,"Y")+COUNTIF(P236:R236,"N"))/IF($D236="Unlabeled-13",MCDM_Settings!$F$7,MCDM_Settings!$D$7))</f>
        <v>0.33333333333333331</v>
      </c>
      <c r="AI236" s="12">
        <f>IF(IF($D236="Unlabeled-13",MCDM_Settings!$F$8,MCDM_Settings!$D$8)=0,"n.a.",5*COUNTIF(S236:U236,"Y")/IF($D236="Unlabeled-13",MCDM_Settings!$F$8,MCDM_Settings!$D$8))</f>
        <v>3.3333333333333335</v>
      </c>
      <c r="AJ236" s="12">
        <f>IF(IF($D236="Unlabeled-13",MCDM_Settings!$F$8,MCDM_Settings!$D$8)=0,"n.a.",5*(COUNTIF(S236:U236,"Y")+COUNTIF(S236:U236,"U")+COUNTIF(S236:U236,"X"))/IF($D236="Unlabeled-13",MCDM_Settings!$F$8,MCDM_Settings!$D$8))</f>
        <v>5</v>
      </c>
      <c r="AK236" s="13">
        <f>IF(IF($D236="Unlabeled-13",MCDM_Settings!$F$8,MCDM_Settings!$D$8)=0,"n.a.",(COUNTIF(S236:U236,"Y")+COUNTIF(S236:U236,"N"))/IF($D236="Unlabeled-13",MCDM_Settings!$F$8,MCDM_Settings!$D$8))</f>
        <v>0.66666666666666663</v>
      </c>
      <c r="AL236" s="12">
        <f>IF(IF($D236="Unlabeled-13",MCDM_Settings!$F$9,MCDM_Settings!$D$9)=0,"n.a.",5*COUNTIF(V236:W236,"Y")/IF($D236="Unlabeled-13",MCDM_Settings!$F$9,MCDM_Settings!$D$9))</f>
        <v>2.5</v>
      </c>
      <c r="AM236" s="12">
        <f>IF(IF($D236="Unlabeled-13",MCDM_Settings!$F$9,MCDM_Settings!$D$9)=0,"n.a.",5*(COUNTIF(V236:W236,"Y")+COUNTIF(V236:W236,"U")+COUNTIF(V236:W236,"X"))/IF($D236="Unlabeled-13",MCDM_Settings!$F$9,MCDM_Settings!$D$9))</f>
        <v>5</v>
      </c>
      <c r="AN236" s="13">
        <f>IF(IF($D236="Unlabeled-13",MCDM_Settings!$F$9,MCDM_Settings!$D$9)=0,"n.a.",(COUNTIF(V236:W236,"Y")+COUNTIF(V236:W236,"N"))/IF($D236="Unlabeled-13",MCDM_Settings!$F$9,MCDM_Settings!$D$9))</f>
        <v>0.5</v>
      </c>
      <c r="AO236" s="12">
        <f>IF(IF($D236="Unlabeled-13",MCDM_Settings!$F$10,MCDM_Settings!$D$10)=0,"n.a.",5*COUNTIF(X236:Y236,"Y")/IF($D236="Unlabeled-13",MCDM_Settings!$F$10,MCDM_Settings!$D$10))</f>
        <v>5</v>
      </c>
      <c r="AP236" s="12">
        <f>IF(IF($D236="Unlabeled-13",MCDM_Settings!$F$10,MCDM_Settings!$D$10)=0,"n.a.",5*(COUNTIF(X236:Y236,"Y")+COUNTIF(X236:Y236,"U")+COUNTIF(X236:Y236,"X"))/IF($D236="Unlabeled-13",MCDM_Settings!$F$10,MCDM_Settings!$D$10))</f>
        <v>5</v>
      </c>
      <c r="AQ236" s="13">
        <f>IF(IF($D236="Unlabeled-13",MCDM_Settings!$F$10,MCDM_Settings!$D$10)=0,"n.a.",(COUNTIF(X236:Y236,"Y")+COUNTIF(X236:Y236,"N"))/IF($D236="Unlabeled-13",MCDM_Settings!$F$10,MCDM_Settings!$D$10))</f>
        <v>1</v>
      </c>
      <c r="AR236" s="12">
        <f>IF(IF($D236="Unlabeled-13",MCDM_Settings!$F$11,MCDM_Settings!$D$11)=0,"n.a.",5*COUNTIF(Z236:AB236,"Y")/IF($D236="Unlabeled-13",MCDM_Settings!$F$11,MCDM_Settings!$D$11))</f>
        <v>1.6666666666666667</v>
      </c>
      <c r="AS236" s="12">
        <f>IF(IF($D236="Unlabeled-13",MCDM_Settings!$F$11,MCDM_Settings!$D$11)=0,"n.a.",5*(COUNTIF(Z236:AB236,"Y")+COUNTIF(Z236:AB236,"U")+COUNTIF(Z236:AB236,"X"))/IF($D236="Unlabeled-13",MCDM_Settings!$F$11,MCDM_Settings!$D$11))</f>
        <v>5</v>
      </c>
      <c r="AT236" s="13">
        <f>IF(IF($D236="Unlabeled-13",MCDM_Settings!$F$11,MCDM_Settings!$D$11)=0,"n.a.",(COUNTIF(Z236:AB236,"Y")+COUNTIF(Z236:AB236,"N"))/IF($D236="Unlabeled-13",MCDM_Settings!$F$11,MCDM_Settings!$D$11))</f>
        <v>0.33333333333333331</v>
      </c>
      <c r="AU236" s="5" t="str">
        <f>IF(AND(INDEX(Manual_Review!$G$6:$G$238,MATCH(A236,Manual_Review!$A$6:$A$238,0))&lt;&gt;"",ISNUMBER(INDEX(Manual_Review!$H$6:$H$238,MATCH(A236,Manual_Review!$A$6:$A$238,0))),INDEX(Manual_Review!$H$6:$H$238,MATCH(A236,Manual_Review!$A$6:$A$238,0))&gt;0,INDEX(Manual_Review!$I$6:$I$238,MATCH(A236,Manual_Review!$A$6:$A$238,0))="Confirmed",INDEX(Manual_Review!$AF$6:$AF$238,MATCH(A236,Manual_Review!$A$6:$A$238,0))&lt;&gt;""),IF(INDEX(Manual_Review!$AA$6:$AA$238,MATCH(A236,Manual_Review!$A$6:$A$238,0))="Pass","Pass",IF(INDEX(Manual_Review!$AA$6:$AA$238,MATCH(A236,Manual_Review!$A$6:$A$238,0))="Fail","Fail","Pending")),"Pending human identity confirmation")</f>
        <v>Pending human identity confirmation</v>
      </c>
      <c r="AV236" s="5" t="str">
        <f>IF(AND(AND(INDEX(Manual_Review!$G$6:$G$238,MATCH(A236,Manual_Review!$A$6:$A$238,0))&lt;&gt;"",ISNUMBER(INDEX(Manual_Review!$H$6:$H$238,MATCH(A236,Manual_Review!$A$6:$A$238,0))),INDEX(Manual_Review!$H$6:$H$238,MATCH(A236,Manual_Review!$A$6:$A$238,0))&gt;0,INDEX(Manual_Review!$I$6:$I$238,MATCH(A236,Manual_Review!$A$6:$A$238,0))="Confirmed",INDEX(Manual_Review!$AF$6:$AF$238,MATCH(A236,Manual_Review!$A$6:$A$238,0))&lt;&gt;""),INDEX(Manual_Review!$AG$6:$AG$238,MATCH(A236,Manual_Review!$A$6:$A$238,0))&lt;&gt;""),IF(INDEX(Manual_Review!$AB$6:$AB$238,MATCH(A236,Manual_Review!$A$6:$A$238,0))="Pass","Pass",IF(INDEX(Manual_Review!$AB$6:$AB$238,MATCH(A236,Manual_Review!$A$6:$A$238,0))="Fail","Fail","Pending")),"Not assessed: define intended task")</f>
        <v>Not assessed: define intended task</v>
      </c>
      <c r="AW236" s="5" t="str">
        <f>IF(AND(AND(INDEX(Manual_Review!$G$6:$G$238,MATCH(A236,Manual_Review!$A$6:$A$238,0))&lt;&gt;"",ISNUMBER(INDEX(Manual_Review!$H$6:$H$238,MATCH(A236,Manual_Review!$A$6:$A$238,0))),INDEX(Manual_Review!$H$6:$H$238,MATCH(A236,Manual_Review!$A$6:$A$238,0))&gt;0,INDEX(Manual_Review!$I$6:$I$238,MATCH(A236,Manual_Review!$A$6:$A$238,0))="Confirmed",INDEX(Manual_Review!$AF$6:$AF$238,MATCH(A236,Manual_Review!$A$6:$A$238,0))&lt;&gt;""),INDEX(Manual_Review!$AG$6:$AG$238,MATCH(A236,Manual_Review!$A$6:$A$238,0))&lt;&gt;""),IF(OR(INDEX(Manual_Review!$AC$6:$AC$238,MATCH(A236,Manual_Review!$A$6:$A$238,0))="Fail",INDEX(Manual_Review!$AD$6:$AD$238,MATCH(A236,Manual_Review!$A$6:$A$238,0))="Fail"),"Fail: rights or retrieval",IF(AND(INDEX(Manual_Review!$AC$6:$AC$238,MATCH(A236,Manual_Review!$A$6:$A$238,0))="Pass",INDEX(Manual_Review!$AD$6:$AD$238,MATCH(A236,Manual_Review!$A$6:$A$238,0))="Pass"),"Pass","Pending rights and retrieval")),"Pending rights and retrieval")</f>
        <v>Pending rights and retrieval</v>
      </c>
      <c r="AX236" s="5" t="str">
        <f>IF(INDEX(Manual_Review!$AG$6:$AG$238,MATCH(A236,Manual_Review!$A$6:$A$238,0))="","N/A: documentation inventory",IF(AND(INDEX(Manual_Review!$G$6:$G$238,MATCH(A236,Manual_Review!$A$6:$A$238,0))&lt;&gt;"",ISNUMBER(INDEX(Manual_Review!$H$6:$H$238,MATCH(A236,Manual_Review!$A$6:$A$238,0))),INDEX(Manual_Review!$H$6:$H$238,MATCH(A236,Manual_Review!$A$6:$A$238,0))&gt;0,INDEX(Manual_Review!$I$6:$I$238,MATCH(A236,Manual_Review!$A$6:$A$238,0))="Confirmed",INDEX(Manual_Review!$AF$6:$AF$238,MATCH(A236,Manual_Review!$A$6:$A$238,0))&lt;&gt;""),IF(INDEX(Manual_Review!$AE$6:$AE$238,MATCH(A236,Manual_Review!$A$6:$A$238,0))="Pass","Pass",IF(INDEX(Manual_Review!$AE$6:$AE$238,MATCH(A236,Manual_Review!$A$6:$A$238,0))="Fail","Fail: benchmark leakage",IF(INDEX(Manual_Review!$AE$6:$AE$238,MATCH(A236,Manual_Review!$A$6:$A$238,0))="N/A","N/A: nonbenchmark task","Pending task-specific leakage check"))),"Pending task-specific leakage check"))</f>
        <v>N/A: documentation inventory</v>
      </c>
      <c r="AY236" s="5" t="str">
        <f>IF(IF(D236="Unlabeled-13",AND(ABS(MCDM_Settings!$D$14-1)&lt;0.0000001,MIN(MCDM_Settings!$E$6:$E$11)&gt;=0,MCDM_Settings!$E$7=0),AND(ABS(MCDM_Settings!$B$14-1)&lt;0.0000001,MIN(MCDM_Settings!$C$6:$C$11)&gt;=0)),"Valid","Check weights")</f>
        <v>Valid</v>
      </c>
      <c r="AZ236" s="5" t="str">
        <f>IF(AND(COUNTIF(MCDM_Checks!$B$6:$B$3733,A236)=16,COUNTIF(Manual_Review!$A$6:$A$238,A236)=1),"16 keys present","Check key count")</f>
        <v>16 keys present</v>
      </c>
    </row>
    <row r="237" spans="1:52">
      <c r="A237" s="5" t="s">
        <v>2717</v>
      </c>
      <c r="B237" s="5" t="s">
        <v>2718</v>
      </c>
      <c r="C237" s="5"/>
      <c r="D237" s="5" t="s">
        <v>118</v>
      </c>
      <c r="E237" s="12">
        <f>IF(OR(AY237&lt;&gt;"Valid",AZ237&lt;&gt;"16 keys present"),"Review settings",20*(IF(ISNUMBER(AC237),AC237*IF($D237="Unlabeled-13",MCDM_Settings!$E$6,MCDM_Settings!$C$6),0)+IF(ISNUMBER(AF237),AF237*IF($D237="Unlabeled-13",MCDM_Settings!$E$7,MCDM_Settings!$C$7),0)+IF(ISNUMBER(AI237),AI237*IF($D237="Unlabeled-13",MCDM_Settings!$E$8,MCDM_Settings!$C$8),0)+IF(ISNUMBER(AL237),AL237*IF($D237="Unlabeled-13",MCDM_Settings!$E$9,MCDM_Settings!$C$9),0)+IF(ISNUMBER(AO237),AO237*IF($D237="Unlabeled-13",MCDM_Settings!$E$10,MCDM_Settings!$C$10),0)+IF(ISNUMBER(AR237),AR237*IF($D237="Unlabeled-13",MCDM_Settings!$E$11,MCDM_Settings!$C$11),0)))</f>
        <v>75</v>
      </c>
      <c r="F237" s="12">
        <f>IF(OR(AY237&lt;&gt;"Valid",AZ237&lt;&gt;"16 keys present"),"Review settings",20*(IF(ISNUMBER(AD237),AD237*IF($D237="Unlabeled-13",MCDM_Settings!$E$6,MCDM_Settings!$C$6),0)+IF(ISNUMBER(AG237),AG237*IF($D237="Unlabeled-13",MCDM_Settings!$E$7,MCDM_Settings!$C$7),0)+IF(ISNUMBER(AJ237),AJ237*IF($D237="Unlabeled-13",MCDM_Settings!$E$8,MCDM_Settings!$C$8),0)+IF(ISNUMBER(AM237),AM237*IF($D237="Unlabeled-13",MCDM_Settings!$E$9,MCDM_Settings!$C$9),0)+IF(ISNUMBER(AP237),AP237*IF($D237="Unlabeled-13",MCDM_Settings!$E$10,MCDM_Settings!$C$10),0)+IF(ISNUMBER(AS237),AS237*IF($D237="Unlabeled-13",MCDM_Settings!$E$11,MCDM_Settings!$C$11),0)))</f>
        <v>99.999999999999986</v>
      </c>
      <c r="G237" s="13">
        <f>IF(OR(AY237&lt;&gt;"Valid",AZ237&lt;&gt;"16 keys present"),"Review settings",1*(IF(ISNUMBER(AE237),AE237*IF($D237="Unlabeled-13",MCDM_Settings!$E$6,MCDM_Settings!$C$6),0)+IF(ISNUMBER(AH237),AH237*IF($D237="Unlabeled-13",MCDM_Settings!$E$7,MCDM_Settings!$C$7),0)+IF(ISNUMBER(AK237),AK237*IF($D237="Unlabeled-13",MCDM_Settings!$E$8,MCDM_Settings!$C$8),0)+IF(ISNUMBER(AN237),AN237*IF($D237="Unlabeled-13",MCDM_Settings!$E$9,MCDM_Settings!$C$9),0)+IF(ISNUMBER(AQ237),AQ237*IF($D237="Unlabeled-13",MCDM_Settings!$E$10,MCDM_Settings!$C$10),0)+IF(ISNUMBER(AT237),AT237*IF($D237="Unlabeled-13",MCDM_Settings!$E$11,MCDM_Settings!$C$11),0)))</f>
        <v>0.75</v>
      </c>
      <c r="H237" s="5" t="str">
        <f>INDEX(Manual_Review!$AH$6:$AH$238,MATCH(A237,Manual_Review!$A$6:$A$238,0))</f>
        <v>Not started</v>
      </c>
      <c r="I237" s="5" t="s">
        <v>182</v>
      </c>
      <c r="J237" s="5" t="s">
        <v>2719</v>
      </c>
      <c r="K237" s="5" t="str">
        <f>HYPERLINK("https://huggingface.co/datasets/XieTenghu1/TruckV2X","Dataset")</f>
        <v>Dataset</v>
      </c>
      <c r="L237" s="5" t="str">
        <f>HYPERLINK("#'Manual_Review'!A"&amp;(MATCH("DS-232",Manual_Review!$A$6:$A$238,0)+5),"Enter review")</f>
        <v>Enter review</v>
      </c>
      <c r="M237" s="5" t="str">
        <f>INDEX(MCDM_Checks!$K$6:$K$3733,MATCH(A237&amp;"|"&amp;M$5,MCDM_Checks!$A$6:$A$3733,0))</f>
        <v>Y</v>
      </c>
      <c r="N237" s="5" t="str">
        <f>INDEX(MCDM_Checks!$K$6:$K$3733,MATCH(A237&amp;"|"&amp;N$5,MCDM_Checks!$A$6:$A$3733,0))</f>
        <v>Y</v>
      </c>
      <c r="O237" s="5" t="str">
        <f>INDEX(MCDM_Checks!$K$6:$K$3733,MATCH(A237&amp;"|"&amp;O$5,MCDM_Checks!$A$6:$A$3733,0))</f>
        <v>Y</v>
      </c>
      <c r="P237" s="5" t="str">
        <f>INDEX(MCDM_Checks!$K$6:$K$3733,MATCH(A237&amp;"|"&amp;P$5,MCDM_Checks!$A$6:$A$3733,0))</f>
        <v>Y</v>
      </c>
      <c r="Q237" s="5" t="str">
        <f>INDEX(MCDM_Checks!$K$6:$K$3733,MATCH(A237&amp;"|"&amp;Q$5,MCDM_Checks!$A$6:$A$3733,0))</f>
        <v>U</v>
      </c>
      <c r="R237" s="5" t="str">
        <f>INDEX(MCDM_Checks!$K$6:$K$3733,MATCH(A237&amp;"|"&amp;R$5,MCDM_Checks!$A$6:$A$3733,0))</f>
        <v>U</v>
      </c>
      <c r="S237" s="5" t="str">
        <f>INDEX(MCDM_Checks!$K$6:$K$3733,MATCH(A237&amp;"|"&amp;S$5,MCDM_Checks!$A$6:$A$3733,0))</f>
        <v>Y</v>
      </c>
      <c r="T237" s="5" t="str">
        <f>INDEX(MCDM_Checks!$K$6:$K$3733,MATCH(A237&amp;"|"&amp;T$5,MCDM_Checks!$A$6:$A$3733,0))</f>
        <v>Y</v>
      </c>
      <c r="U237" s="5" t="str">
        <f>INDEX(MCDM_Checks!$K$6:$K$3733,MATCH(A237&amp;"|"&amp;U$5,MCDM_Checks!$A$6:$A$3733,0))</f>
        <v>Y</v>
      </c>
      <c r="V237" s="5" t="str">
        <f>INDEX(MCDM_Checks!$K$6:$K$3733,MATCH(A237&amp;"|"&amp;V$5,MCDM_Checks!$A$6:$A$3733,0))</f>
        <v>Y</v>
      </c>
      <c r="W237" s="5" t="str">
        <f>INDEX(MCDM_Checks!$K$6:$K$3733,MATCH(A237&amp;"|"&amp;W$5,MCDM_Checks!$A$6:$A$3733,0))</f>
        <v>U</v>
      </c>
      <c r="X237" s="5" t="str">
        <f>INDEX(MCDM_Checks!$K$6:$K$3733,MATCH(A237&amp;"|"&amp;X$5,MCDM_Checks!$A$6:$A$3733,0))</f>
        <v>Y</v>
      </c>
      <c r="Y237" s="5" t="str">
        <f>INDEX(MCDM_Checks!$K$6:$K$3733,MATCH(A237&amp;"|"&amp;Y$5,MCDM_Checks!$A$6:$A$3733,0))</f>
        <v>Y</v>
      </c>
      <c r="Z237" s="5" t="str">
        <f>INDEX(MCDM_Checks!$K$6:$K$3733,MATCH(A237&amp;"|"&amp;Z$5,MCDM_Checks!$A$6:$A$3733,0))</f>
        <v>Y</v>
      </c>
      <c r="AA237" s="5" t="str">
        <f>INDEX(MCDM_Checks!$K$6:$K$3733,MATCH(A237&amp;"|"&amp;AA$5,MCDM_Checks!$A$6:$A$3733,0))</f>
        <v>U</v>
      </c>
      <c r="AB237" s="5" t="str">
        <f>INDEX(MCDM_Checks!$K$6:$K$3733,MATCH(A237&amp;"|"&amp;AB$5,MCDM_Checks!$A$6:$A$3733,0))</f>
        <v>Y</v>
      </c>
      <c r="AC237" s="12">
        <f>IF(IF($D237="Unlabeled-13",MCDM_Settings!$F$6,MCDM_Settings!$D$6)=0,"n.a.",5*COUNTIF(M237:O237,"Y")/IF($D237="Unlabeled-13",MCDM_Settings!$F$6,MCDM_Settings!$D$6))</f>
        <v>5</v>
      </c>
      <c r="AD237" s="12">
        <f>IF(IF($D237="Unlabeled-13",MCDM_Settings!$F$6,MCDM_Settings!$D$6)=0,"n.a.",5*(COUNTIF(M237:O237,"Y")+COUNTIF(M237:O237,"U")+COUNTIF(M237:O237,"X"))/IF($D237="Unlabeled-13",MCDM_Settings!$F$6,MCDM_Settings!$D$6))</f>
        <v>5</v>
      </c>
      <c r="AE237" s="13">
        <f>IF(IF($D237="Unlabeled-13",MCDM_Settings!$F$6,MCDM_Settings!$D$6)=0,"n.a.",(COUNTIF(M237:O237,"Y")+COUNTIF(M237:O237,"N"))/IF($D237="Unlabeled-13",MCDM_Settings!$F$6,MCDM_Settings!$D$6))</f>
        <v>1</v>
      </c>
      <c r="AF237" s="12">
        <f>IF(IF($D237="Unlabeled-13",MCDM_Settings!$F$7,MCDM_Settings!$D$7)=0,"n.a.",5*COUNTIF(P237:R237,"Y")/IF($D237="Unlabeled-13",MCDM_Settings!$F$7,MCDM_Settings!$D$7))</f>
        <v>1.6666666666666667</v>
      </c>
      <c r="AG237" s="12">
        <f>IF(IF($D237="Unlabeled-13",MCDM_Settings!$F$7,MCDM_Settings!$D$7)=0,"n.a.",5*(COUNTIF(P237:R237,"Y")+COUNTIF(P237:R237,"U")+COUNTIF(P237:R237,"X"))/IF($D237="Unlabeled-13",MCDM_Settings!$F$7,MCDM_Settings!$D$7))</f>
        <v>5</v>
      </c>
      <c r="AH237" s="13">
        <f>IF(IF($D237="Unlabeled-13",MCDM_Settings!$F$7,MCDM_Settings!$D$7)=0,"n.a.",(COUNTIF(P237:R237,"Y")+COUNTIF(P237:R237,"N"))/IF($D237="Unlabeled-13",MCDM_Settings!$F$7,MCDM_Settings!$D$7))</f>
        <v>0.33333333333333331</v>
      </c>
      <c r="AI237" s="12">
        <f>IF(IF($D237="Unlabeled-13",MCDM_Settings!$F$8,MCDM_Settings!$D$8)=0,"n.a.",5*COUNTIF(S237:U237,"Y")/IF($D237="Unlabeled-13",MCDM_Settings!$F$8,MCDM_Settings!$D$8))</f>
        <v>5</v>
      </c>
      <c r="AJ237" s="12">
        <f>IF(IF($D237="Unlabeled-13",MCDM_Settings!$F$8,MCDM_Settings!$D$8)=0,"n.a.",5*(COUNTIF(S237:U237,"Y")+COUNTIF(S237:U237,"U")+COUNTIF(S237:U237,"X"))/IF($D237="Unlabeled-13",MCDM_Settings!$F$8,MCDM_Settings!$D$8))</f>
        <v>5</v>
      </c>
      <c r="AK237" s="13">
        <f>IF(IF($D237="Unlabeled-13",MCDM_Settings!$F$8,MCDM_Settings!$D$8)=0,"n.a.",(COUNTIF(S237:U237,"Y")+COUNTIF(S237:U237,"N"))/IF($D237="Unlabeled-13",MCDM_Settings!$F$8,MCDM_Settings!$D$8))</f>
        <v>1</v>
      </c>
      <c r="AL237" s="12">
        <f>IF(IF($D237="Unlabeled-13",MCDM_Settings!$F$9,MCDM_Settings!$D$9)=0,"n.a.",5*COUNTIF(V237:W237,"Y")/IF($D237="Unlabeled-13",MCDM_Settings!$F$9,MCDM_Settings!$D$9))</f>
        <v>2.5</v>
      </c>
      <c r="AM237" s="12">
        <f>IF(IF($D237="Unlabeled-13",MCDM_Settings!$F$9,MCDM_Settings!$D$9)=0,"n.a.",5*(COUNTIF(V237:W237,"Y")+COUNTIF(V237:W237,"U")+COUNTIF(V237:W237,"X"))/IF($D237="Unlabeled-13",MCDM_Settings!$F$9,MCDM_Settings!$D$9))</f>
        <v>5</v>
      </c>
      <c r="AN237" s="13">
        <f>IF(IF($D237="Unlabeled-13",MCDM_Settings!$F$9,MCDM_Settings!$D$9)=0,"n.a.",(COUNTIF(V237:W237,"Y")+COUNTIF(V237:W237,"N"))/IF($D237="Unlabeled-13",MCDM_Settings!$F$9,MCDM_Settings!$D$9))</f>
        <v>0.5</v>
      </c>
      <c r="AO237" s="12">
        <f>IF(IF($D237="Unlabeled-13",MCDM_Settings!$F$10,MCDM_Settings!$D$10)=0,"n.a.",5*COUNTIF(X237:Y237,"Y")/IF($D237="Unlabeled-13",MCDM_Settings!$F$10,MCDM_Settings!$D$10))</f>
        <v>5</v>
      </c>
      <c r="AP237" s="12">
        <f>IF(IF($D237="Unlabeled-13",MCDM_Settings!$F$10,MCDM_Settings!$D$10)=0,"n.a.",5*(COUNTIF(X237:Y237,"Y")+COUNTIF(X237:Y237,"U")+COUNTIF(X237:Y237,"X"))/IF($D237="Unlabeled-13",MCDM_Settings!$F$10,MCDM_Settings!$D$10))</f>
        <v>5</v>
      </c>
      <c r="AQ237" s="13">
        <f>IF(IF($D237="Unlabeled-13",MCDM_Settings!$F$10,MCDM_Settings!$D$10)=0,"n.a.",(COUNTIF(X237:Y237,"Y")+COUNTIF(X237:Y237,"N"))/IF($D237="Unlabeled-13",MCDM_Settings!$F$10,MCDM_Settings!$D$10))</f>
        <v>1</v>
      </c>
      <c r="AR237" s="12">
        <f>IF(IF($D237="Unlabeled-13",MCDM_Settings!$F$11,MCDM_Settings!$D$11)=0,"n.a.",5*COUNTIF(Z237:AB237,"Y")/IF($D237="Unlabeled-13",MCDM_Settings!$F$11,MCDM_Settings!$D$11))</f>
        <v>3.3333333333333335</v>
      </c>
      <c r="AS237" s="12">
        <f>IF(IF($D237="Unlabeled-13",MCDM_Settings!$F$11,MCDM_Settings!$D$11)=0,"n.a.",5*(COUNTIF(Z237:AB237,"Y")+COUNTIF(Z237:AB237,"U")+COUNTIF(Z237:AB237,"X"))/IF($D237="Unlabeled-13",MCDM_Settings!$F$11,MCDM_Settings!$D$11))</f>
        <v>5</v>
      </c>
      <c r="AT237" s="13">
        <f>IF(IF($D237="Unlabeled-13",MCDM_Settings!$F$11,MCDM_Settings!$D$11)=0,"n.a.",(COUNTIF(Z237:AB237,"Y")+COUNTIF(Z237:AB237,"N"))/IF($D237="Unlabeled-13",MCDM_Settings!$F$11,MCDM_Settings!$D$11))</f>
        <v>0.66666666666666663</v>
      </c>
      <c r="AU237" s="5" t="str">
        <f>IF(AND(INDEX(Manual_Review!$G$6:$G$238,MATCH(A237,Manual_Review!$A$6:$A$238,0))&lt;&gt;"",ISNUMBER(INDEX(Manual_Review!$H$6:$H$238,MATCH(A237,Manual_Review!$A$6:$A$238,0))),INDEX(Manual_Review!$H$6:$H$238,MATCH(A237,Manual_Review!$A$6:$A$238,0))&gt;0,INDEX(Manual_Review!$I$6:$I$238,MATCH(A237,Manual_Review!$A$6:$A$238,0))="Confirmed",INDEX(Manual_Review!$AF$6:$AF$238,MATCH(A237,Manual_Review!$A$6:$A$238,0))&lt;&gt;""),IF(INDEX(Manual_Review!$AA$6:$AA$238,MATCH(A237,Manual_Review!$A$6:$A$238,0))="Pass","Pass",IF(INDEX(Manual_Review!$AA$6:$AA$238,MATCH(A237,Manual_Review!$A$6:$A$238,0))="Fail","Fail","Pending")),"Pending human identity confirmation")</f>
        <v>Pending human identity confirmation</v>
      </c>
      <c r="AV237" s="5" t="str">
        <f>IF(AND(AND(INDEX(Manual_Review!$G$6:$G$238,MATCH(A237,Manual_Review!$A$6:$A$238,0))&lt;&gt;"",ISNUMBER(INDEX(Manual_Review!$H$6:$H$238,MATCH(A237,Manual_Review!$A$6:$A$238,0))),INDEX(Manual_Review!$H$6:$H$238,MATCH(A237,Manual_Review!$A$6:$A$238,0))&gt;0,INDEX(Manual_Review!$I$6:$I$238,MATCH(A237,Manual_Review!$A$6:$A$238,0))="Confirmed",INDEX(Manual_Review!$AF$6:$AF$238,MATCH(A237,Manual_Review!$A$6:$A$238,0))&lt;&gt;""),INDEX(Manual_Review!$AG$6:$AG$238,MATCH(A237,Manual_Review!$A$6:$A$238,0))&lt;&gt;""),IF(INDEX(Manual_Review!$AB$6:$AB$238,MATCH(A237,Manual_Review!$A$6:$A$238,0))="Pass","Pass",IF(INDEX(Manual_Review!$AB$6:$AB$238,MATCH(A237,Manual_Review!$A$6:$A$238,0))="Fail","Fail","Pending")),"Not assessed: define intended task")</f>
        <v>Not assessed: define intended task</v>
      </c>
      <c r="AW237" s="5" t="str">
        <f>IF(AND(AND(INDEX(Manual_Review!$G$6:$G$238,MATCH(A237,Manual_Review!$A$6:$A$238,0))&lt;&gt;"",ISNUMBER(INDEX(Manual_Review!$H$6:$H$238,MATCH(A237,Manual_Review!$A$6:$A$238,0))),INDEX(Manual_Review!$H$6:$H$238,MATCH(A237,Manual_Review!$A$6:$A$238,0))&gt;0,INDEX(Manual_Review!$I$6:$I$238,MATCH(A237,Manual_Review!$A$6:$A$238,0))="Confirmed",INDEX(Manual_Review!$AF$6:$AF$238,MATCH(A237,Manual_Review!$A$6:$A$238,0))&lt;&gt;""),INDEX(Manual_Review!$AG$6:$AG$238,MATCH(A237,Manual_Review!$A$6:$A$238,0))&lt;&gt;""),IF(OR(INDEX(Manual_Review!$AC$6:$AC$238,MATCH(A237,Manual_Review!$A$6:$A$238,0))="Fail",INDEX(Manual_Review!$AD$6:$AD$238,MATCH(A237,Manual_Review!$A$6:$A$238,0))="Fail"),"Fail: rights or retrieval",IF(AND(INDEX(Manual_Review!$AC$6:$AC$238,MATCH(A237,Manual_Review!$A$6:$A$238,0))="Pass",INDEX(Manual_Review!$AD$6:$AD$238,MATCH(A237,Manual_Review!$A$6:$A$238,0))="Pass"),"Pass","Pending rights and retrieval")),"Pending rights and retrieval")</f>
        <v>Pending rights and retrieval</v>
      </c>
      <c r="AX237" s="5" t="str">
        <f>IF(INDEX(Manual_Review!$AG$6:$AG$238,MATCH(A237,Manual_Review!$A$6:$A$238,0))="","N/A: documentation inventory",IF(AND(INDEX(Manual_Review!$G$6:$G$238,MATCH(A237,Manual_Review!$A$6:$A$238,0))&lt;&gt;"",ISNUMBER(INDEX(Manual_Review!$H$6:$H$238,MATCH(A237,Manual_Review!$A$6:$A$238,0))),INDEX(Manual_Review!$H$6:$H$238,MATCH(A237,Manual_Review!$A$6:$A$238,0))&gt;0,INDEX(Manual_Review!$I$6:$I$238,MATCH(A237,Manual_Review!$A$6:$A$238,0))="Confirmed",INDEX(Manual_Review!$AF$6:$AF$238,MATCH(A237,Manual_Review!$A$6:$A$238,0))&lt;&gt;""),IF(INDEX(Manual_Review!$AE$6:$AE$238,MATCH(A237,Manual_Review!$A$6:$A$238,0))="Pass","Pass",IF(INDEX(Manual_Review!$AE$6:$AE$238,MATCH(A237,Manual_Review!$A$6:$A$238,0))="Fail","Fail: benchmark leakage",IF(INDEX(Manual_Review!$AE$6:$AE$238,MATCH(A237,Manual_Review!$A$6:$A$238,0))="N/A","N/A: nonbenchmark task","Pending task-specific leakage check"))),"Pending task-specific leakage check"))</f>
        <v>N/A: documentation inventory</v>
      </c>
      <c r="AY237" s="5" t="str">
        <f>IF(IF(D237="Unlabeled-13",AND(ABS(MCDM_Settings!$D$14-1)&lt;0.0000001,MIN(MCDM_Settings!$E$6:$E$11)&gt;=0,MCDM_Settings!$E$7=0),AND(ABS(MCDM_Settings!$B$14-1)&lt;0.0000001,MIN(MCDM_Settings!$C$6:$C$11)&gt;=0)),"Valid","Check weights")</f>
        <v>Valid</v>
      </c>
      <c r="AZ237" s="5" t="str">
        <f>IF(AND(COUNTIF(MCDM_Checks!$B$6:$B$3733,A237)=16,COUNTIF(Manual_Review!$A$6:$A$238,A237)=1),"16 keys present","Check key count")</f>
        <v>16 keys present</v>
      </c>
    </row>
    <row r="238" spans="1:52" ht="25.5">
      <c r="A238" s="5" t="s">
        <v>2733</v>
      </c>
      <c r="B238" s="5" t="s">
        <v>2734</v>
      </c>
      <c r="C238" s="5"/>
      <c r="D238" s="5" t="s">
        <v>118</v>
      </c>
      <c r="E238" s="12">
        <f>IF(OR(AY238&lt;&gt;"Valid",AZ238&lt;&gt;"16 keys present"),"Review settings",20*(IF(ISNUMBER(AC238),AC238*IF($D238="Unlabeled-13",MCDM_Settings!$E$6,MCDM_Settings!$C$6),0)+IF(ISNUMBER(AF238),AF238*IF($D238="Unlabeled-13",MCDM_Settings!$E$7,MCDM_Settings!$C$7),0)+IF(ISNUMBER(AI238),AI238*IF($D238="Unlabeled-13",MCDM_Settings!$E$8,MCDM_Settings!$C$8),0)+IF(ISNUMBER(AL238),AL238*IF($D238="Unlabeled-13",MCDM_Settings!$E$9,MCDM_Settings!$C$9),0)+IF(ISNUMBER(AO238),AO238*IF($D238="Unlabeled-13",MCDM_Settings!$E$10,MCDM_Settings!$C$10),0)+IF(ISNUMBER(AR238),AR238*IF($D238="Unlabeled-13",MCDM_Settings!$E$11,MCDM_Settings!$C$11),0)))</f>
        <v>83.333333333333314</v>
      </c>
      <c r="F238" s="12">
        <f>IF(OR(AY238&lt;&gt;"Valid",AZ238&lt;&gt;"16 keys present"),"Review settings",20*(IF(ISNUMBER(AD238),AD238*IF($D238="Unlabeled-13",MCDM_Settings!$E$6,MCDM_Settings!$C$6),0)+IF(ISNUMBER(AG238),AG238*IF($D238="Unlabeled-13",MCDM_Settings!$E$7,MCDM_Settings!$C$7),0)+IF(ISNUMBER(AJ238),AJ238*IF($D238="Unlabeled-13",MCDM_Settings!$E$8,MCDM_Settings!$C$8),0)+IF(ISNUMBER(AM238),AM238*IF($D238="Unlabeled-13",MCDM_Settings!$E$9,MCDM_Settings!$C$9),0)+IF(ISNUMBER(AP238),AP238*IF($D238="Unlabeled-13",MCDM_Settings!$E$10,MCDM_Settings!$C$10),0)+IF(ISNUMBER(AS238),AS238*IF($D238="Unlabeled-13",MCDM_Settings!$E$11,MCDM_Settings!$C$11),0)))</f>
        <v>99.999999999999986</v>
      </c>
      <c r="G238" s="13">
        <f>IF(OR(AY238&lt;&gt;"Valid",AZ238&lt;&gt;"16 keys present"),"Review settings",1*(IF(ISNUMBER(AE238),AE238*IF($D238="Unlabeled-13",MCDM_Settings!$E$6,MCDM_Settings!$C$6),0)+IF(ISNUMBER(AH238),AH238*IF($D238="Unlabeled-13",MCDM_Settings!$E$7,MCDM_Settings!$C$7),0)+IF(ISNUMBER(AK238),AK238*IF($D238="Unlabeled-13",MCDM_Settings!$E$8,MCDM_Settings!$C$8),0)+IF(ISNUMBER(AN238),AN238*IF($D238="Unlabeled-13",MCDM_Settings!$E$9,MCDM_Settings!$C$9),0)+IF(ISNUMBER(AQ238),AQ238*IF($D238="Unlabeled-13",MCDM_Settings!$E$10,MCDM_Settings!$C$10),0)+IF(ISNUMBER(AT238),AT238*IF($D238="Unlabeled-13",MCDM_Settings!$E$11,MCDM_Settings!$C$11),0)))</f>
        <v>0.83333333333333326</v>
      </c>
      <c r="H238" s="5" t="str">
        <f>INDEX(Manual_Review!$AH$6:$AH$238,MATCH(A238,Manual_Review!$A$6:$A$238,0))</f>
        <v>Not started</v>
      </c>
      <c r="I238" s="5" t="s">
        <v>182</v>
      </c>
      <c r="J238" s="5" t="s">
        <v>2735</v>
      </c>
      <c r="K238" s="5" t="str">
        <f>HYPERLINK("https://thu-rsxd.com/dxhdiefb/","Dataset")</f>
        <v>Dataset</v>
      </c>
      <c r="L238" s="5" t="str">
        <f>HYPERLINK("#'Manual_Review'!A"&amp;(MATCH("DS-233",Manual_Review!$A$6:$A$238,0)+5),"Enter review")</f>
        <v>Enter review</v>
      </c>
      <c r="M238" s="5" t="str">
        <f>INDEX(MCDM_Checks!$K$6:$K$3733,MATCH(A238&amp;"|"&amp;M$5,MCDM_Checks!$A$6:$A$3733,0))</f>
        <v>Y</v>
      </c>
      <c r="N238" s="5" t="str">
        <f>INDEX(MCDM_Checks!$K$6:$K$3733,MATCH(A238&amp;"|"&amp;N$5,MCDM_Checks!$A$6:$A$3733,0))</f>
        <v>Y</v>
      </c>
      <c r="O238" s="5" t="str">
        <f>INDEX(MCDM_Checks!$K$6:$K$3733,MATCH(A238&amp;"|"&amp;O$5,MCDM_Checks!$A$6:$A$3733,0))</f>
        <v>Y</v>
      </c>
      <c r="P238" s="5" t="str">
        <f>INDEX(MCDM_Checks!$K$6:$K$3733,MATCH(A238&amp;"|"&amp;P$5,MCDM_Checks!$A$6:$A$3733,0))</f>
        <v>Y</v>
      </c>
      <c r="Q238" s="5" t="str">
        <f>INDEX(MCDM_Checks!$K$6:$K$3733,MATCH(A238&amp;"|"&amp;Q$5,MCDM_Checks!$A$6:$A$3733,0))</f>
        <v>U</v>
      </c>
      <c r="R238" s="5" t="str">
        <f>INDEX(MCDM_Checks!$K$6:$K$3733,MATCH(A238&amp;"|"&amp;R$5,MCDM_Checks!$A$6:$A$3733,0))</f>
        <v>U</v>
      </c>
      <c r="S238" s="5" t="str">
        <f>INDEX(MCDM_Checks!$K$6:$K$3733,MATCH(A238&amp;"|"&amp;S$5,MCDM_Checks!$A$6:$A$3733,0))</f>
        <v>Y</v>
      </c>
      <c r="T238" s="5" t="str">
        <f>INDEX(MCDM_Checks!$K$6:$K$3733,MATCH(A238&amp;"|"&amp;T$5,MCDM_Checks!$A$6:$A$3733,0))</f>
        <v>Y</v>
      </c>
      <c r="U238" s="5" t="str">
        <f>INDEX(MCDM_Checks!$K$6:$K$3733,MATCH(A238&amp;"|"&amp;U$5,MCDM_Checks!$A$6:$A$3733,0))</f>
        <v>Y</v>
      </c>
      <c r="V238" s="5" t="str">
        <f>INDEX(MCDM_Checks!$K$6:$K$3733,MATCH(A238&amp;"|"&amp;V$5,MCDM_Checks!$A$6:$A$3733,0))</f>
        <v>Y</v>
      </c>
      <c r="W238" s="5" t="str">
        <f>INDEX(MCDM_Checks!$K$6:$K$3733,MATCH(A238&amp;"|"&amp;W$5,MCDM_Checks!$A$6:$A$3733,0))</f>
        <v>Y</v>
      </c>
      <c r="X238" s="5" t="str">
        <f>INDEX(MCDM_Checks!$K$6:$K$3733,MATCH(A238&amp;"|"&amp;X$5,MCDM_Checks!$A$6:$A$3733,0))</f>
        <v>Y</v>
      </c>
      <c r="Y238" s="5" t="str">
        <f>INDEX(MCDM_Checks!$K$6:$K$3733,MATCH(A238&amp;"|"&amp;Y$5,MCDM_Checks!$A$6:$A$3733,0))</f>
        <v>Y</v>
      </c>
      <c r="Z238" s="5" t="str">
        <f>INDEX(MCDM_Checks!$K$6:$K$3733,MATCH(A238&amp;"|"&amp;Z$5,MCDM_Checks!$A$6:$A$3733,0))</f>
        <v>Y</v>
      </c>
      <c r="AA238" s="5" t="str">
        <f>INDEX(MCDM_Checks!$K$6:$K$3733,MATCH(A238&amp;"|"&amp;AA$5,MCDM_Checks!$A$6:$A$3733,0))</f>
        <v>U</v>
      </c>
      <c r="AB238" s="5" t="str">
        <f>INDEX(MCDM_Checks!$K$6:$K$3733,MATCH(A238&amp;"|"&amp;AB$5,MCDM_Checks!$A$6:$A$3733,0))</f>
        <v>Y</v>
      </c>
      <c r="AC238" s="12">
        <f>IF(IF($D238="Unlabeled-13",MCDM_Settings!$F$6,MCDM_Settings!$D$6)=0,"n.a.",5*COUNTIF(M238:O238,"Y")/IF($D238="Unlabeled-13",MCDM_Settings!$F$6,MCDM_Settings!$D$6))</f>
        <v>5</v>
      </c>
      <c r="AD238" s="12">
        <f>IF(IF($D238="Unlabeled-13",MCDM_Settings!$F$6,MCDM_Settings!$D$6)=0,"n.a.",5*(COUNTIF(M238:O238,"Y")+COUNTIF(M238:O238,"U")+COUNTIF(M238:O238,"X"))/IF($D238="Unlabeled-13",MCDM_Settings!$F$6,MCDM_Settings!$D$6))</f>
        <v>5</v>
      </c>
      <c r="AE238" s="13">
        <f>IF(IF($D238="Unlabeled-13",MCDM_Settings!$F$6,MCDM_Settings!$D$6)=0,"n.a.",(COUNTIF(M238:O238,"Y")+COUNTIF(M238:O238,"N"))/IF($D238="Unlabeled-13",MCDM_Settings!$F$6,MCDM_Settings!$D$6))</f>
        <v>1</v>
      </c>
      <c r="AF238" s="12">
        <f>IF(IF($D238="Unlabeled-13",MCDM_Settings!$F$7,MCDM_Settings!$D$7)=0,"n.a.",5*COUNTIF(P238:R238,"Y")/IF($D238="Unlabeled-13",MCDM_Settings!$F$7,MCDM_Settings!$D$7))</f>
        <v>1.6666666666666667</v>
      </c>
      <c r="AG238" s="12">
        <f>IF(IF($D238="Unlabeled-13",MCDM_Settings!$F$7,MCDM_Settings!$D$7)=0,"n.a.",5*(COUNTIF(P238:R238,"Y")+COUNTIF(P238:R238,"U")+COUNTIF(P238:R238,"X"))/IF($D238="Unlabeled-13",MCDM_Settings!$F$7,MCDM_Settings!$D$7))</f>
        <v>5</v>
      </c>
      <c r="AH238" s="13">
        <f>IF(IF($D238="Unlabeled-13",MCDM_Settings!$F$7,MCDM_Settings!$D$7)=0,"n.a.",(COUNTIF(P238:R238,"Y")+COUNTIF(P238:R238,"N"))/IF($D238="Unlabeled-13",MCDM_Settings!$F$7,MCDM_Settings!$D$7))</f>
        <v>0.33333333333333331</v>
      </c>
      <c r="AI238" s="12">
        <f>IF(IF($D238="Unlabeled-13",MCDM_Settings!$F$8,MCDM_Settings!$D$8)=0,"n.a.",5*COUNTIF(S238:U238,"Y")/IF($D238="Unlabeled-13",MCDM_Settings!$F$8,MCDM_Settings!$D$8))</f>
        <v>5</v>
      </c>
      <c r="AJ238" s="12">
        <f>IF(IF($D238="Unlabeled-13",MCDM_Settings!$F$8,MCDM_Settings!$D$8)=0,"n.a.",5*(COUNTIF(S238:U238,"Y")+COUNTIF(S238:U238,"U")+COUNTIF(S238:U238,"X"))/IF($D238="Unlabeled-13",MCDM_Settings!$F$8,MCDM_Settings!$D$8))</f>
        <v>5</v>
      </c>
      <c r="AK238" s="13">
        <f>IF(IF($D238="Unlabeled-13",MCDM_Settings!$F$8,MCDM_Settings!$D$8)=0,"n.a.",(COUNTIF(S238:U238,"Y")+COUNTIF(S238:U238,"N"))/IF($D238="Unlabeled-13",MCDM_Settings!$F$8,MCDM_Settings!$D$8))</f>
        <v>1</v>
      </c>
      <c r="AL238" s="12">
        <f>IF(IF($D238="Unlabeled-13",MCDM_Settings!$F$9,MCDM_Settings!$D$9)=0,"n.a.",5*COUNTIF(V238:W238,"Y")/IF($D238="Unlabeled-13",MCDM_Settings!$F$9,MCDM_Settings!$D$9))</f>
        <v>5</v>
      </c>
      <c r="AM238" s="12">
        <f>IF(IF($D238="Unlabeled-13",MCDM_Settings!$F$9,MCDM_Settings!$D$9)=0,"n.a.",5*(COUNTIF(V238:W238,"Y")+COUNTIF(V238:W238,"U")+COUNTIF(V238:W238,"X"))/IF($D238="Unlabeled-13",MCDM_Settings!$F$9,MCDM_Settings!$D$9))</f>
        <v>5</v>
      </c>
      <c r="AN238" s="13">
        <f>IF(IF($D238="Unlabeled-13",MCDM_Settings!$F$9,MCDM_Settings!$D$9)=0,"n.a.",(COUNTIF(V238:W238,"Y")+COUNTIF(V238:W238,"N"))/IF($D238="Unlabeled-13",MCDM_Settings!$F$9,MCDM_Settings!$D$9))</f>
        <v>1</v>
      </c>
      <c r="AO238" s="12">
        <f>IF(IF($D238="Unlabeled-13",MCDM_Settings!$F$10,MCDM_Settings!$D$10)=0,"n.a.",5*COUNTIF(X238:Y238,"Y")/IF($D238="Unlabeled-13",MCDM_Settings!$F$10,MCDM_Settings!$D$10))</f>
        <v>5</v>
      </c>
      <c r="AP238" s="12">
        <f>IF(IF($D238="Unlabeled-13",MCDM_Settings!$F$10,MCDM_Settings!$D$10)=0,"n.a.",5*(COUNTIF(X238:Y238,"Y")+COUNTIF(X238:Y238,"U")+COUNTIF(X238:Y238,"X"))/IF($D238="Unlabeled-13",MCDM_Settings!$F$10,MCDM_Settings!$D$10))</f>
        <v>5</v>
      </c>
      <c r="AQ238" s="13">
        <f>IF(IF($D238="Unlabeled-13",MCDM_Settings!$F$10,MCDM_Settings!$D$10)=0,"n.a.",(COUNTIF(X238:Y238,"Y")+COUNTIF(X238:Y238,"N"))/IF($D238="Unlabeled-13",MCDM_Settings!$F$10,MCDM_Settings!$D$10))</f>
        <v>1</v>
      </c>
      <c r="AR238" s="12">
        <f>IF(IF($D238="Unlabeled-13",MCDM_Settings!$F$11,MCDM_Settings!$D$11)=0,"n.a.",5*COUNTIF(Z238:AB238,"Y")/IF($D238="Unlabeled-13",MCDM_Settings!$F$11,MCDM_Settings!$D$11))</f>
        <v>3.3333333333333335</v>
      </c>
      <c r="AS238" s="12">
        <f>IF(IF($D238="Unlabeled-13",MCDM_Settings!$F$11,MCDM_Settings!$D$11)=0,"n.a.",5*(COUNTIF(Z238:AB238,"Y")+COUNTIF(Z238:AB238,"U")+COUNTIF(Z238:AB238,"X"))/IF($D238="Unlabeled-13",MCDM_Settings!$F$11,MCDM_Settings!$D$11))</f>
        <v>5</v>
      </c>
      <c r="AT238" s="13">
        <f>IF(IF($D238="Unlabeled-13",MCDM_Settings!$F$11,MCDM_Settings!$D$11)=0,"n.a.",(COUNTIF(Z238:AB238,"Y")+COUNTIF(Z238:AB238,"N"))/IF($D238="Unlabeled-13",MCDM_Settings!$F$11,MCDM_Settings!$D$11))</f>
        <v>0.66666666666666663</v>
      </c>
      <c r="AU238" s="5" t="str">
        <f>IF(AND(INDEX(Manual_Review!$G$6:$G$238,MATCH(A238,Manual_Review!$A$6:$A$238,0))&lt;&gt;"",ISNUMBER(INDEX(Manual_Review!$H$6:$H$238,MATCH(A238,Manual_Review!$A$6:$A$238,0))),INDEX(Manual_Review!$H$6:$H$238,MATCH(A238,Manual_Review!$A$6:$A$238,0))&gt;0,INDEX(Manual_Review!$I$6:$I$238,MATCH(A238,Manual_Review!$A$6:$A$238,0))="Confirmed",INDEX(Manual_Review!$AF$6:$AF$238,MATCH(A238,Manual_Review!$A$6:$A$238,0))&lt;&gt;""),IF(INDEX(Manual_Review!$AA$6:$AA$238,MATCH(A238,Manual_Review!$A$6:$A$238,0))="Pass","Pass",IF(INDEX(Manual_Review!$AA$6:$AA$238,MATCH(A238,Manual_Review!$A$6:$A$238,0))="Fail","Fail","Pending")),"Pending human identity confirmation")</f>
        <v>Pending human identity confirmation</v>
      </c>
      <c r="AV238" s="5" t="str">
        <f>IF(AND(AND(INDEX(Manual_Review!$G$6:$G$238,MATCH(A238,Manual_Review!$A$6:$A$238,0))&lt;&gt;"",ISNUMBER(INDEX(Manual_Review!$H$6:$H$238,MATCH(A238,Manual_Review!$A$6:$A$238,0))),INDEX(Manual_Review!$H$6:$H$238,MATCH(A238,Manual_Review!$A$6:$A$238,0))&gt;0,INDEX(Manual_Review!$I$6:$I$238,MATCH(A238,Manual_Review!$A$6:$A$238,0))="Confirmed",INDEX(Manual_Review!$AF$6:$AF$238,MATCH(A238,Manual_Review!$A$6:$A$238,0))&lt;&gt;""),INDEX(Manual_Review!$AG$6:$AG$238,MATCH(A238,Manual_Review!$A$6:$A$238,0))&lt;&gt;""),IF(INDEX(Manual_Review!$AB$6:$AB$238,MATCH(A238,Manual_Review!$A$6:$A$238,0))="Pass","Pass",IF(INDEX(Manual_Review!$AB$6:$AB$238,MATCH(A238,Manual_Review!$A$6:$A$238,0))="Fail","Fail","Pending")),"Not assessed: define intended task")</f>
        <v>Not assessed: define intended task</v>
      </c>
      <c r="AW238" s="5" t="str">
        <f>IF(AND(AND(INDEX(Manual_Review!$G$6:$G$238,MATCH(A238,Manual_Review!$A$6:$A$238,0))&lt;&gt;"",ISNUMBER(INDEX(Manual_Review!$H$6:$H$238,MATCH(A238,Manual_Review!$A$6:$A$238,0))),INDEX(Manual_Review!$H$6:$H$238,MATCH(A238,Manual_Review!$A$6:$A$238,0))&gt;0,INDEX(Manual_Review!$I$6:$I$238,MATCH(A238,Manual_Review!$A$6:$A$238,0))="Confirmed",INDEX(Manual_Review!$AF$6:$AF$238,MATCH(A238,Manual_Review!$A$6:$A$238,0))&lt;&gt;""),INDEX(Manual_Review!$AG$6:$AG$238,MATCH(A238,Manual_Review!$A$6:$A$238,0))&lt;&gt;""),IF(OR(INDEX(Manual_Review!$AC$6:$AC$238,MATCH(A238,Manual_Review!$A$6:$A$238,0))="Fail",INDEX(Manual_Review!$AD$6:$AD$238,MATCH(A238,Manual_Review!$A$6:$A$238,0))="Fail"),"Fail: rights or retrieval",IF(AND(INDEX(Manual_Review!$AC$6:$AC$238,MATCH(A238,Manual_Review!$A$6:$A$238,0))="Pass",INDEX(Manual_Review!$AD$6:$AD$238,MATCH(A238,Manual_Review!$A$6:$A$238,0))="Pass"),"Pass","Pending rights and retrieval")),"Pending rights and retrieval")</f>
        <v>Pending rights and retrieval</v>
      </c>
      <c r="AX238" s="5" t="str">
        <f>IF(INDEX(Manual_Review!$AG$6:$AG$238,MATCH(A238,Manual_Review!$A$6:$A$238,0))="","N/A: documentation inventory",IF(AND(INDEX(Manual_Review!$G$6:$G$238,MATCH(A238,Manual_Review!$A$6:$A$238,0))&lt;&gt;"",ISNUMBER(INDEX(Manual_Review!$H$6:$H$238,MATCH(A238,Manual_Review!$A$6:$A$238,0))),INDEX(Manual_Review!$H$6:$H$238,MATCH(A238,Manual_Review!$A$6:$A$238,0))&gt;0,INDEX(Manual_Review!$I$6:$I$238,MATCH(A238,Manual_Review!$A$6:$A$238,0))="Confirmed",INDEX(Manual_Review!$AF$6:$AF$238,MATCH(A238,Manual_Review!$A$6:$A$238,0))&lt;&gt;""),IF(INDEX(Manual_Review!$AE$6:$AE$238,MATCH(A238,Manual_Review!$A$6:$A$238,0))="Pass","Pass",IF(INDEX(Manual_Review!$AE$6:$AE$238,MATCH(A238,Manual_Review!$A$6:$A$238,0))="Fail","Fail: benchmark leakage",IF(INDEX(Manual_Review!$AE$6:$AE$238,MATCH(A238,Manual_Review!$A$6:$A$238,0))="N/A","N/A: nonbenchmark task","Pending task-specific leakage check"))),"Pending task-specific leakage check"))</f>
        <v>N/A: documentation inventory</v>
      </c>
      <c r="AY238" s="5" t="str">
        <f>IF(IF(D238="Unlabeled-13",AND(ABS(MCDM_Settings!$D$14-1)&lt;0.0000001,MIN(MCDM_Settings!$E$6:$E$11)&gt;=0,MCDM_Settings!$E$7=0),AND(ABS(MCDM_Settings!$B$14-1)&lt;0.0000001,MIN(MCDM_Settings!$C$6:$C$11)&gt;=0)),"Valid","Check weights")</f>
        <v>Valid</v>
      </c>
      <c r="AZ238" s="5" t="str">
        <f>IF(AND(COUNTIF(MCDM_Checks!$B$6:$B$3733,A238)=16,COUNTIF(Manual_Review!$A$6:$A$238,A238)=1),"16 keys present","Check key count")</f>
        <v>16 keys present</v>
      </c>
    </row>
  </sheetData>
  <conditionalFormatting sqref="A6:AZ238">
    <cfRule type="expression" dxfId="1" priority="1">
      <formula>AND(ISNUMBER($C6),$C6&gt;0)</formula>
    </cfRule>
  </conditionalFormatting>
  <hyperlinks>
    <hyperlink ref="K199" r:id="rId1" xr:uid="{6987C75E-684B-446B-8D84-23F87729F5C5}"/>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73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25" customWidth="1"/>
    <col min="2" max="2" width="13" customWidth="1"/>
    <col min="3" max="3" width="40" customWidth="1"/>
    <col min="4" max="4" width="18" customWidth="1"/>
    <col min="5" max="6" width="10" customWidth="1"/>
    <col min="7" max="7" width="13" customWidth="1"/>
    <col min="8" max="9" width="10" customWidth="1"/>
    <col min="10" max="10" width="24" customWidth="1"/>
    <col min="11" max="11" width="12" customWidth="1"/>
    <col min="12" max="12" width="50" customWidth="1"/>
    <col min="13" max="13" width="65" customWidth="1"/>
    <col min="14" max="14" width="95" customWidth="1"/>
    <col min="15" max="15" width="80" customWidth="1"/>
    <col min="16" max="16" width="40" customWidth="1"/>
    <col min="17" max="17" width="18" customWidth="1"/>
    <col min="18" max="18" width="50" customWidth="1"/>
    <col min="19" max="19" width="60" customWidth="1"/>
    <col min="20" max="20" width="90" customWidth="1"/>
    <col min="21" max="21" width="14" customWidth="1"/>
    <col min="22" max="22" width="22" customWidth="1"/>
    <col min="23" max="23" width="16" customWidth="1"/>
    <col min="24" max="24" width="19" customWidth="1"/>
    <col min="25" max="25" width="24" customWidth="1"/>
  </cols>
  <sheetData>
    <row r="1" spans="1:25" ht="12" customHeight="1">
      <c r="A1" s="1"/>
      <c r="B1" s="1"/>
      <c r="C1" s="1"/>
      <c r="D1" s="1"/>
      <c r="E1" s="1"/>
      <c r="F1" s="1"/>
      <c r="G1" s="1"/>
      <c r="H1" s="1"/>
      <c r="I1" s="1"/>
      <c r="J1" s="1"/>
      <c r="K1" s="1"/>
      <c r="L1" s="1"/>
      <c r="M1" s="1"/>
      <c r="N1" s="1"/>
      <c r="O1" s="1"/>
      <c r="P1" s="1"/>
      <c r="Q1" s="1"/>
      <c r="R1" s="1"/>
      <c r="S1" s="1"/>
      <c r="T1" s="1"/>
      <c r="U1" s="1"/>
      <c r="V1" s="1"/>
      <c r="W1" s="1"/>
      <c r="X1" s="1"/>
      <c r="Y1" s="1"/>
    </row>
    <row r="2" spans="1:25" ht="24" customHeight="1">
      <c r="A2" s="2" t="s">
        <v>2833</v>
      </c>
      <c r="B2" s="1"/>
      <c r="C2" s="1"/>
      <c r="D2" s="1"/>
      <c r="E2" s="1"/>
      <c r="F2" s="1"/>
      <c r="G2" s="1"/>
      <c r="H2" s="1"/>
      <c r="I2" s="1"/>
      <c r="J2" s="1"/>
      <c r="K2" s="1"/>
      <c r="L2" s="1"/>
      <c r="M2" s="1"/>
      <c r="N2" s="1"/>
      <c r="O2" s="1"/>
      <c r="P2" s="1"/>
      <c r="Q2" s="1"/>
      <c r="R2" s="1"/>
      <c r="S2" s="1"/>
      <c r="T2" s="1"/>
      <c r="U2" s="1"/>
      <c r="V2" s="1"/>
      <c r="W2" s="1"/>
      <c r="X2" s="1"/>
      <c r="Y2" s="1"/>
    </row>
    <row r="3" spans="1:25" ht="21" customHeight="1">
      <c r="A3" s="3" t="s">
        <v>2834</v>
      </c>
      <c r="B3" s="1"/>
      <c r="C3" s="1"/>
      <c r="D3" s="1"/>
      <c r="E3" s="1"/>
      <c r="F3" s="1"/>
      <c r="G3" s="1"/>
      <c r="H3" s="1"/>
      <c r="I3" s="1"/>
      <c r="J3" s="1"/>
      <c r="K3" s="1"/>
      <c r="L3" s="1"/>
      <c r="M3" s="1"/>
      <c r="N3" s="1"/>
      <c r="O3" s="1"/>
      <c r="P3" s="1"/>
      <c r="Q3" s="1"/>
      <c r="R3" s="1"/>
      <c r="S3" s="1"/>
      <c r="T3" s="1"/>
      <c r="U3" s="1"/>
      <c r="V3" s="1"/>
      <c r="W3" s="1"/>
      <c r="X3" s="1"/>
      <c r="Y3" s="1"/>
    </row>
    <row r="4" spans="1:25" ht="9.9499999999999993" customHeight="1">
      <c r="A4" s="1"/>
      <c r="B4" s="1"/>
      <c r="C4" s="1"/>
      <c r="D4" s="1"/>
      <c r="E4" s="1"/>
      <c r="F4" s="1"/>
      <c r="G4" s="1"/>
      <c r="H4" s="1"/>
      <c r="I4" s="1"/>
      <c r="J4" s="1"/>
      <c r="K4" s="1"/>
      <c r="L4" s="1"/>
      <c r="M4" s="1"/>
      <c r="N4" s="1"/>
      <c r="O4" s="1"/>
      <c r="P4" s="1"/>
      <c r="Q4" s="1"/>
      <c r="R4" s="1"/>
      <c r="S4" s="1"/>
      <c r="T4" s="1"/>
      <c r="U4" s="1"/>
      <c r="V4" s="1"/>
      <c r="W4" s="1"/>
      <c r="X4" s="1"/>
      <c r="Y4" s="1"/>
    </row>
    <row r="5" spans="1:25" ht="42.95" customHeight="1">
      <c r="A5" s="4" t="s">
        <v>2835</v>
      </c>
      <c r="B5" s="4" t="s">
        <v>3</v>
      </c>
      <c r="C5" s="4" t="s">
        <v>90</v>
      </c>
      <c r="D5" s="4" t="s">
        <v>92</v>
      </c>
      <c r="E5" s="4" t="s">
        <v>2836</v>
      </c>
      <c r="F5" s="4" t="s">
        <v>2748</v>
      </c>
      <c r="G5" s="4" t="s">
        <v>2837</v>
      </c>
      <c r="H5" s="4" t="s">
        <v>2838</v>
      </c>
      <c r="I5" s="4" t="s">
        <v>2839</v>
      </c>
      <c r="J5" s="4" t="s">
        <v>2840</v>
      </c>
      <c r="K5" s="4" t="s">
        <v>2841</v>
      </c>
      <c r="L5" s="4" t="s">
        <v>2842</v>
      </c>
      <c r="M5" s="4" t="s">
        <v>2843</v>
      </c>
      <c r="N5" s="4" t="s">
        <v>2844</v>
      </c>
      <c r="O5" s="4" t="s">
        <v>2845</v>
      </c>
      <c r="P5" s="4" t="s">
        <v>2846</v>
      </c>
      <c r="Q5" s="4" t="s">
        <v>2847</v>
      </c>
      <c r="R5" s="4" t="s">
        <v>2848</v>
      </c>
      <c r="S5" s="4" t="s">
        <v>2849</v>
      </c>
      <c r="T5" s="4" t="s">
        <v>2850</v>
      </c>
      <c r="U5" s="4" t="s">
        <v>2851</v>
      </c>
      <c r="V5" s="4" t="s">
        <v>2777</v>
      </c>
      <c r="W5" s="4" t="s">
        <v>2778</v>
      </c>
      <c r="X5" s="4" t="s">
        <v>2779</v>
      </c>
      <c r="Y5" s="4" t="s">
        <v>2852</v>
      </c>
    </row>
    <row r="6" spans="1:25" ht="25.5">
      <c r="A6" s="5" t="s">
        <v>2853</v>
      </c>
      <c r="B6" s="5" t="s">
        <v>116</v>
      </c>
      <c r="C6" s="5" t="s">
        <v>117</v>
      </c>
      <c r="D6" s="5" t="s">
        <v>118</v>
      </c>
      <c r="E6" s="5" t="s">
        <v>2781</v>
      </c>
      <c r="F6" s="5" t="s">
        <v>2754</v>
      </c>
      <c r="G6" s="5">
        <v>1</v>
      </c>
      <c r="H6" s="5" t="s">
        <v>2854</v>
      </c>
      <c r="I6" s="5" t="str">
        <f>IF(INDEX(Manual_Review!$K$6:$K$238,U6)="","",INDEX(Manual_Review!$K$6:$K$238,U6))</f>
        <v/>
      </c>
      <c r="J6" s="5" t="str">
        <f t="shared" ref="J6:J69" si="0">IF(G6=0,"Not applicable",IF(I6="","AI provisional",IF(AND(OR(I6="Y",I6="N",I6="U",I6="X"),V6&lt;&gt;"",ISNUMBER(W6),W6&gt;0,X6="Confirmed",R6&lt;&gt;"",S6&lt;&gt;"",T6&lt;&gt;""),"Human valid","Evidence needed")))</f>
        <v>AI provisional</v>
      </c>
      <c r="K6" s="5" t="str">
        <f t="shared" ref="K6:K69" si="1">IF(G6=0,"N/A",IF(I6="",H6,IF(J6="Human valid",I6,"U")))</f>
        <v>Y</v>
      </c>
      <c r="L6" s="5" t="s">
        <v>130</v>
      </c>
      <c r="M6" s="5" t="s">
        <v>2855</v>
      </c>
      <c r="N6" s="5" t="s">
        <v>2856</v>
      </c>
      <c r="O6" s="5" t="s">
        <v>2857</v>
      </c>
      <c r="P6" s="5" t="s">
        <v>2858</v>
      </c>
      <c r="Q6" s="11">
        <v>46306.5</v>
      </c>
      <c r="R6" s="6"/>
      <c r="S6" s="6"/>
      <c r="T6" s="6"/>
      <c r="U6" s="5">
        <f>MATCH(B6,Manual_Review!$A$6:$A$238,0)</f>
        <v>1</v>
      </c>
      <c r="V6" s="5" t="str">
        <f>IF(INDEX(Manual_Review!$G$6:$G$238,U6)="","",INDEX(Manual_Review!$G$6:$G$238,U6))</f>
        <v/>
      </c>
      <c r="W6" s="11" t="str">
        <f>IF(INDEX(Manual_Review!$H$6:$H$238,U6)="","",INDEX(Manual_Review!$H$6:$H$238,U6))</f>
        <v/>
      </c>
      <c r="X6" s="5" t="str">
        <f>IF(INDEX(Manual_Review!$I$6:$I$238,U6)="","",INDEX(Manual_Review!$I$6:$I$238,U6))</f>
        <v/>
      </c>
      <c r="Y6" s="5" t="s">
        <v>2859</v>
      </c>
    </row>
    <row r="7" spans="1:25" ht="25.5">
      <c r="A7" s="5" t="s">
        <v>2860</v>
      </c>
      <c r="B7" s="5" t="s">
        <v>116</v>
      </c>
      <c r="C7" s="5" t="s">
        <v>117</v>
      </c>
      <c r="D7" s="5" t="s">
        <v>118</v>
      </c>
      <c r="E7" s="5" t="s">
        <v>2782</v>
      </c>
      <c r="F7" s="5" t="s">
        <v>2754</v>
      </c>
      <c r="G7" s="5">
        <v>1</v>
      </c>
      <c r="H7" s="5" t="s">
        <v>2854</v>
      </c>
      <c r="I7" s="5" t="str">
        <f>IF(INDEX(Manual_Review!$L$6:$L$238,U7)="","",INDEX(Manual_Review!$L$6:$L$238,U7))</f>
        <v/>
      </c>
      <c r="J7" s="5" t="str">
        <f t="shared" si="0"/>
        <v>AI provisional</v>
      </c>
      <c r="K7" s="5" t="str">
        <f t="shared" si="1"/>
        <v>Y</v>
      </c>
      <c r="L7" s="5" t="s">
        <v>130</v>
      </c>
      <c r="M7" s="5" t="s">
        <v>2861</v>
      </c>
      <c r="N7" s="5" t="s">
        <v>2856</v>
      </c>
      <c r="O7" s="5" t="s">
        <v>2862</v>
      </c>
      <c r="P7" s="5" t="s">
        <v>2858</v>
      </c>
      <c r="Q7" s="11">
        <v>46306.5</v>
      </c>
      <c r="R7" s="6"/>
      <c r="S7" s="6"/>
      <c r="T7" s="6"/>
      <c r="U7" s="5">
        <f>MATCH(B7,Manual_Review!$A$6:$A$238,0)</f>
        <v>1</v>
      </c>
      <c r="V7" s="5" t="str">
        <f>IF(INDEX(Manual_Review!$G$6:$G$238,U7)="","",INDEX(Manual_Review!$G$6:$G$238,U7))</f>
        <v/>
      </c>
      <c r="W7" s="11" t="str">
        <f>IF(INDEX(Manual_Review!$H$6:$H$238,U7)="","",INDEX(Manual_Review!$H$6:$H$238,U7))</f>
        <v/>
      </c>
      <c r="X7" s="5" t="str">
        <f>IF(INDEX(Manual_Review!$I$6:$I$238,U7)="","",INDEX(Manual_Review!$I$6:$I$238,U7))</f>
        <v/>
      </c>
      <c r="Y7" s="5" t="s">
        <v>2859</v>
      </c>
    </row>
    <row r="8" spans="1:25" ht="25.5">
      <c r="A8" s="5" t="s">
        <v>2863</v>
      </c>
      <c r="B8" s="5" t="s">
        <v>116</v>
      </c>
      <c r="C8" s="5" t="s">
        <v>117</v>
      </c>
      <c r="D8" s="5" t="s">
        <v>118</v>
      </c>
      <c r="E8" s="5" t="s">
        <v>2783</v>
      </c>
      <c r="F8" s="5" t="s">
        <v>2754</v>
      </c>
      <c r="G8" s="5">
        <v>1</v>
      </c>
      <c r="H8" s="5" t="s">
        <v>2864</v>
      </c>
      <c r="I8" s="5" t="str">
        <f>IF(INDEX(Manual_Review!$M$6:$M$238,U8)="","",INDEX(Manual_Review!$M$6:$M$238,U8))</f>
        <v/>
      </c>
      <c r="J8" s="5" t="str">
        <f t="shared" si="0"/>
        <v>AI provisional</v>
      </c>
      <c r="K8" s="5" t="str">
        <f t="shared" si="1"/>
        <v>U</v>
      </c>
      <c r="L8" s="5" t="s">
        <v>130</v>
      </c>
      <c r="M8" s="5" t="s">
        <v>2865</v>
      </c>
      <c r="N8" s="5" t="s">
        <v>2856</v>
      </c>
      <c r="O8" s="5" t="s">
        <v>2866</v>
      </c>
      <c r="P8" s="5" t="s">
        <v>2858</v>
      </c>
      <c r="Q8" s="11">
        <v>46306.5</v>
      </c>
      <c r="R8" s="6"/>
      <c r="S8" s="6"/>
      <c r="T8" s="6"/>
      <c r="U8" s="5">
        <f>MATCH(B8,Manual_Review!$A$6:$A$238,0)</f>
        <v>1</v>
      </c>
      <c r="V8" s="5" t="str">
        <f>IF(INDEX(Manual_Review!$G$6:$G$238,U8)="","",INDEX(Manual_Review!$G$6:$G$238,U8))</f>
        <v/>
      </c>
      <c r="W8" s="11" t="str">
        <f>IF(INDEX(Manual_Review!$H$6:$H$238,U8)="","",INDEX(Manual_Review!$H$6:$H$238,U8))</f>
        <v/>
      </c>
      <c r="X8" s="5" t="str">
        <f>IF(INDEX(Manual_Review!$I$6:$I$238,U8)="","",INDEX(Manual_Review!$I$6:$I$238,U8))</f>
        <v/>
      </c>
      <c r="Y8" s="5" t="s">
        <v>2859</v>
      </c>
    </row>
    <row r="9" spans="1:25" ht="25.5">
      <c r="A9" s="5" t="s">
        <v>2867</v>
      </c>
      <c r="B9" s="5" t="s">
        <v>116</v>
      </c>
      <c r="C9" s="5" t="s">
        <v>117</v>
      </c>
      <c r="D9" s="5" t="s">
        <v>118</v>
      </c>
      <c r="E9" s="5" t="s">
        <v>2784</v>
      </c>
      <c r="F9" s="5" t="s">
        <v>2756</v>
      </c>
      <c r="G9" s="5">
        <v>1</v>
      </c>
      <c r="H9" s="5" t="s">
        <v>2864</v>
      </c>
      <c r="I9" s="5" t="str">
        <f>IF(INDEX(Manual_Review!$N$6:$N$238,U9)="","",INDEX(Manual_Review!$N$6:$N$238,U9))</f>
        <v/>
      </c>
      <c r="J9" s="5" t="str">
        <f t="shared" si="0"/>
        <v>AI provisional</v>
      </c>
      <c r="K9" s="5" t="str">
        <f t="shared" si="1"/>
        <v>U</v>
      </c>
      <c r="L9" s="5" t="s">
        <v>130</v>
      </c>
      <c r="M9" s="5" t="s">
        <v>2868</v>
      </c>
      <c r="N9" s="5" t="s">
        <v>2856</v>
      </c>
      <c r="O9" s="5" t="s">
        <v>2869</v>
      </c>
      <c r="P9" s="5" t="s">
        <v>2858</v>
      </c>
      <c r="Q9" s="11">
        <v>46306.5</v>
      </c>
      <c r="R9" s="6"/>
      <c r="S9" s="6"/>
      <c r="T9" s="6"/>
      <c r="U9" s="5">
        <f>MATCH(B9,Manual_Review!$A$6:$A$238,0)</f>
        <v>1</v>
      </c>
      <c r="V9" s="5" t="str">
        <f>IF(INDEX(Manual_Review!$G$6:$G$238,U9)="","",INDEX(Manual_Review!$G$6:$G$238,U9))</f>
        <v/>
      </c>
      <c r="W9" s="11" t="str">
        <f>IF(INDEX(Manual_Review!$H$6:$H$238,U9)="","",INDEX(Manual_Review!$H$6:$H$238,U9))</f>
        <v/>
      </c>
      <c r="X9" s="5" t="str">
        <f>IF(INDEX(Manual_Review!$I$6:$I$238,U9)="","",INDEX(Manual_Review!$I$6:$I$238,U9))</f>
        <v/>
      </c>
      <c r="Y9" s="5" t="s">
        <v>2859</v>
      </c>
    </row>
    <row r="10" spans="1:25" ht="25.5">
      <c r="A10" s="5" t="s">
        <v>2870</v>
      </c>
      <c r="B10" s="5" t="s">
        <v>116</v>
      </c>
      <c r="C10" s="5" t="s">
        <v>117</v>
      </c>
      <c r="D10" s="5" t="s">
        <v>118</v>
      </c>
      <c r="E10" s="5" t="s">
        <v>2785</v>
      </c>
      <c r="F10" s="5" t="s">
        <v>2756</v>
      </c>
      <c r="G10" s="5">
        <v>1</v>
      </c>
      <c r="H10" s="5" t="s">
        <v>2864</v>
      </c>
      <c r="I10" s="5" t="str">
        <f>IF(INDEX(Manual_Review!$O$6:$O$238,U10)="","",INDEX(Manual_Review!$O$6:$O$238,U10))</f>
        <v/>
      </c>
      <c r="J10" s="5" t="str">
        <f t="shared" si="0"/>
        <v>AI provisional</v>
      </c>
      <c r="K10" s="5" t="str">
        <f t="shared" si="1"/>
        <v>U</v>
      </c>
      <c r="L10" s="5" t="s">
        <v>130</v>
      </c>
      <c r="M10" s="5" t="s">
        <v>2871</v>
      </c>
      <c r="N10" s="5" t="s">
        <v>2856</v>
      </c>
      <c r="O10" s="5" t="s">
        <v>2872</v>
      </c>
      <c r="P10" s="5" t="s">
        <v>2858</v>
      </c>
      <c r="Q10" s="11">
        <v>46306.5</v>
      </c>
      <c r="R10" s="6"/>
      <c r="S10" s="6"/>
      <c r="T10" s="6"/>
      <c r="U10" s="5">
        <f>MATCH(B10,Manual_Review!$A$6:$A$238,0)</f>
        <v>1</v>
      </c>
      <c r="V10" s="5" t="str">
        <f>IF(INDEX(Manual_Review!$G$6:$G$238,U10)="","",INDEX(Manual_Review!$G$6:$G$238,U10))</f>
        <v/>
      </c>
      <c r="W10" s="11" t="str">
        <f>IF(INDEX(Manual_Review!$H$6:$H$238,U10)="","",INDEX(Manual_Review!$H$6:$H$238,U10))</f>
        <v/>
      </c>
      <c r="X10" s="5" t="str">
        <f>IF(INDEX(Manual_Review!$I$6:$I$238,U10)="","",INDEX(Manual_Review!$I$6:$I$238,U10))</f>
        <v/>
      </c>
      <c r="Y10" s="5" t="s">
        <v>2859</v>
      </c>
    </row>
    <row r="11" spans="1:25" ht="25.5">
      <c r="A11" s="5" t="s">
        <v>2873</v>
      </c>
      <c r="B11" s="5" t="s">
        <v>116</v>
      </c>
      <c r="C11" s="5" t="s">
        <v>117</v>
      </c>
      <c r="D11" s="5" t="s">
        <v>118</v>
      </c>
      <c r="E11" s="5" t="s">
        <v>2786</v>
      </c>
      <c r="F11" s="5" t="s">
        <v>2756</v>
      </c>
      <c r="G11" s="5">
        <v>1</v>
      </c>
      <c r="H11" s="5" t="s">
        <v>2864</v>
      </c>
      <c r="I11" s="5" t="str">
        <f>IF(INDEX(Manual_Review!$P$6:$P$238,U11)="","",INDEX(Manual_Review!$P$6:$P$238,U11))</f>
        <v/>
      </c>
      <c r="J11" s="5" t="str">
        <f t="shared" si="0"/>
        <v>AI provisional</v>
      </c>
      <c r="K11" s="5" t="str">
        <f t="shared" si="1"/>
        <v>U</v>
      </c>
      <c r="L11" s="5" t="s">
        <v>130</v>
      </c>
      <c r="M11" s="5" t="s">
        <v>2865</v>
      </c>
      <c r="N11" s="5" t="s">
        <v>2856</v>
      </c>
      <c r="O11" s="5" t="s">
        <v>2874</v>
      </c>
      <c r="P11" s="5" t="s">
        <v>2858</v>
      </c>
      <c r="Q11" s="11">
        <v>46306.5</v>
      </c>
      <c r="R11" s="6"/>
      <c r="S11" s="6"/>
      <c r="T11" s="6"/>
      <c r="U11" s="5">
        <f>MATCH(B11,Manual_Review!$A$6:$A$238,0)</f>
        <v>1</v>
      </c>
      <c r="V11" s="5" t="str">
        <f>IF(INDEX(Manual_Review!$G$6:$G$238,U11)="","",INDEX(Manual_Review!$G$6:$G$238,U11))</f>
        <v/>
      </c>
      <c r="W11" s="11" t="str">
        <f>IF(INDEX(Manual_Review!$H$6:$H$238,U11)="","",INDEX(Manual_Review!$H$6:$H$238,U11))</f>
        <v/>
      </c>
      <c r="X11" s="5" t="str">
        <f>IF(INDEX(Manual_Review!$I$6:$I$238,U11)="","",INDEX(Manual_Review!$I$6:$I$238,U11))</f>
        <v/>
      </c>
      <c r="Y11" s="5" t="s">
        <v>2859</v>
      </c>
    </row>
    <row r="12" spans="1:25" ht="25.5">
      <c r="A12" s="5" t="s">
        <v>2875</v>
      </c>
      <c r="B12" s="5" t="s">
        <v>116</v>
      </c>
      <c r="C12" s="5" t="s">
        <v>117</v>
      </c>
      <c r="D12" s="5" t="s">
        <v>118</v>
      </c>
      <c r="E12" s="5" t="s">
        <v>2787</v>
      </c>
      <c r="F12" s="5" t="s">
        <v>2758</v>
      </c>
      <c r="G12" s="5">
        <v>1</v>
      </c>
      <c r="H12" s="5" t="s">
        <v>2864</v>
      </c>
      <c r="I12" s="5" t="str">
        <f>IF(INDEX(Manual_Review!$Q$6:$Q$238,U12)="","",INDEX(Manual_Review!$Q$6:$Q$238,U12))</f>
        <v/>
      </c>
      <c r="J12" s="5" t="str">
        <f t="shared" si="0"/>
        <v>AI provisional</v>
      </c>
      <c r="K12" s="5" t="str">
        <f t="shared" si="1"/>
        <v>U</v>
      </c>
      <c r="L12" s="5" t="s">
        <v>130</v>
      </c>
      <c r="M12" s="5" t="s">
        <v>2876</v>
      </c>
      <c r="N12" s="5" t="s">
        <v>2856</v>
      </c>
      <c r="O12" s="5" t="s">
        <v>2877</v>
      </c>
      <c r="P12" s="5" t="s">
        <v>2858</v>
      </c>
      <c r="Q12" s="11">
        <v>46306.5</v>
      </c>
      <c r="R12" s="6"/>
      <c r="S12" s="6"/>
      <c r="T12" s="6"/>
      <c r="U12" s="5">
        <f>MATCH(B12,Manual_Review!$A$6:$A$238,0)</f>
        <v>1</v>
      </c>
      <c r="V12" s="5" t="str">
        <f>IF(INDEX(Manual_Review!$G$6:$G$238,U12)="","",INDEX(Manual_Review!$G$6:$G$238,U12))</f>
        <v/>
      </c>
      <c r="W12" s="11" t="str">
        <f>IF(INDEX(Manual_Review!$H$6:$H$238,U12)="","",INDEX(Manual_Review!$H$6:$H$238,U12))</f>
        <v/>
      </c>
      <c r="X12" s="5" t="str">
        <f>IF(INDEX(Manual_Review!$I$6:$I$238,U12)="","",INDEX(Manual_Review!$I$6:$I$238,U12))</f>
        <v/>
      </c>
      <c r="Y12" s="5" t="s">
        <v>2859</v>
      </c>
    </row>
    <row r="13" spans="1:25" ht="25.5">
      <c r="A13" s="5" t="s">
        <v>2878</v>
      </c>
      <c r="B13" s="5" t="s">
        <v>116</v>
      </c>
      <c r="C13" s="5" t="s">
        <v>117</v>
      </c>
      <c r="D13" s="5" t="s">
        <v>118</v>
      </c>
      <c r="E13" s="5" t="s">
        <v>2788</v>
      </c>
      <c r="F13" s="5" t="s">
        <v>2758</v>
      </c>
      <c r="G13" s="5">
        <v>1</v>
      </c>
      <c r="H13" s="5" t="s">
        <v>2864</v>
      </c>
      <c r="I13" s="5" t="str">
        <f>IF(INDEX(Manual_Review!$R$6:$R$238,U13)="","",INDEX(Manual_Review!$R$6:$R$238,U13))</f>
        <v/>
      </c>
      <c r="J13" s="5" t="str">
        <f t="shared" si="0"/>
        <v>AI provisional</v>
      </c>
      <c r="K13" s="5" t="str">
        <f t="shared" si="1"/>
        <v>U</v>
      </c>
      <c r="L13" s="5" t="s">
        <v>130</v>
      </c>
      <c r="M13" s="5" t="s">
        <v>2879</v>
      </c>
      <c r="N13" s="5" t="s">
        <v>2856</v>
      </c>
      <c r="O13" s="5" t="s">
        <v>2880</v>
      </c>
      <c r="P13" s="5" t="s">
        <v>2858</v>
      </c>
      <c r="Q13" s="11">
        <v>46306.5</v>
      </c>
      <c r="R13" s="6"/>
      <c r="S13" s="6"/>
      <c r="T13" s="6"/>
      <c r="U13" s="5">
        <f>MATCH(B13,Manual_Review!$A$6:$A$238,0)</f>
        <v>1</v>
      </c>
      <c r="V13" s="5" t="str">
        <f>IF(INDEX(Manual_Review!$G$6:$G$238,U13)="","",INDEX(Manual_Review!$G$6:$G$238,U13))</f>
        <v/>
      </c>
      <c r="W13" s="11" t="str">
        <f>IF(INDEX(Manual_Review!$H$6:$H$238,U13)="","",INDEX(Manual_Review!$H$6:$H$238,U13))</f>
        <v/>
      </c>
      <c r="X13" s="5" t="str">
        <f>IF(INDEX(Manual_Review!$I$6:$I$238,U13)="","",INDEX(Manual_Review!$I$6:$I$238,U13))</f>
        <v/>
      </c>
      <c r="Y13" s="5" t="s">
        <v>2859</v>
      </c>
    </row>
    <row r="14" spans="1:25" ht="25.5">
      <c r="A14" s="5" t="s">
        <v>2881</v>
      </c>
      <c r="B14" s="5" t="s">
        <v>116</v>
      </c>
      <c r="C14" s="5" t="s">
        <v>117</v>
      </c>
      <c r="D14" s="5" t="s">
        <v>118</v>
      </c>
      <c r="E14" s="5" t="s">
        <v>2789</v>
      </c>
      <c r="F14" s="5" t="s">
        <v>2758</v>
      </c>
      <c r="G14" s="5">
        <v>1</v>
      </c>
      <c r="H14" s="5" t="s">
        <v>2864</v>
      </c>
      <c r="I14" s="5" t="str">
        <f>IF(INDEX(Manual_Review!$S$6:$S$238,U14)="","",INDEX(Manual_Review!$S$6:$S$238,U14))</f>
        <v/>
      </c>
      <c r="J14" s="5" t="str">
        <f t="shared" si="0"/>
        <v>AI provisional</v>
      </c>
      <c r="K14" s="5" t="str">
        <f t="shared" si="1"/>
        <v>U</v>
      </c>
      <c r="L14" s="5" t="s">
        <v>130</v>
      </c>
      <c r="M14" s="5" t="s">
        <v>2882</v>
      </c>
      <c r="N14" s="5" t="s">
        <v>2856</v>
      </c>
      <c r="O14" s="5" t="s">
        <v>2883</v>
      </c>
      <c r="P14" s="5" t="s">
        <v>2858</v>
      </c>
      <c r="Q14" s="11">
        <v>46306.5</v>
      </c>
      <c r="R14" s="6"/>
      <c r="S14" s="6"/>
      <c r="T14" s="6"/>
      <c r="U14" s="5">
        <f>MATCH(B14,Manual_Review!$A$6:$A$238,0)</f>
        <v>1</v>
      </c>
      <c r="V14" s="5" t="str">
        <f>IF(INDEX(Manual_Review!$G$6:$G$238,U14)="","",INDEX(Manual_Review!$G$6:$G$238,U14))</f>
        <v/>
      </c>
      <c r="W14" s="11" t="str">
        <f>IF(INDEX(Manual_Review!$H$6:$H$238,U14)="","",INDEX(Manual_Review!$H$6:$H$238,U14))</f>
        <v/>
      </c>
      <c r="X14" s="5" t="str">
        <f>IF(INDEX(Manual_Review!$I$6:$I$238,U14)="","",INDEX(Manual_Review!$I$6:$I$238,U14))</f>
        <v/>
      </c>
      <c r="Y14" s="5" t="s">
        <v>2859</v>
      </c>
    </row>
    <row r="15" spans="1:25" ht="25.5">
      <c r="A15" s="5" t="s">
        <v>2884</v>
      </c>
      <c r="B15" s="5" t="s">
        <v>116</v>
      </c>
      <c r="C15" s="5" t="s">
        <v>117</v>
      </c>
      <c r="D15" s="5" t="s">
        <v>118</v>
      </c>
      <c r="E15" s="5" t="s">
        <v>2790</v>
      </c>
      <c r="F15" s="5" t="s">
        <v>2760</v>
      </c>
      <c r="G15" s="5">
        <v>1</v>
      </c>
      <c r="H15" s="5" t="s">
        <v>2864</v>
      </c>
      <c r="I15" s="5" t="str">
        <f>IF(INDEX(Manual_Review!$T$6:$T$238,U15)="","",INDEX(Manual_Review!$T$6:$T$238,U15))</f>
        <v/>
      </c>
      <c r="J15" s="5" t="str">
        <f t="shared" si="0"/>
        <v>AI provisional</v>
      </c>
      <c r="K15" s="5" t="str">
        <f t="shared" si="1"/>
        <v>U</v>
      </c>
      <c r="L15" s="5" t="s">
        <v>130</v>
      </c>
      <c r="M15" s="5" t="s">
        <v>2865</v>
      </c>
      <c r="N15" s="5" t="s">
        <v>2856</v>
      </c>
      <c r="O15" s="5" t="s">
        <v>2885</v>
      </c>
      <c r="P15" s="5" t="s">
        <v>2858</v>
      </c>
      <c r="Q15" s="11">
        <v>46306.5</v>
      </c>
      <c r="R15" s="6"/>
      <c r="S15" s="6"/>
      <c r="T15" s="6"/>
      <c r="U15" s="5">
        <f>MATCH(B15,Manual_Review!$A$6:$A$238,0)</f>
        <v>1</v>
      </c>
      <c r="V15" s="5" t="str">
        <f>IF(INDEX(Manual_Review!$G$6:$G$238,U15)="","",INDEX(Manual_Review!$G$6:$G$238,U15))</f>
        <v/>
      </c>
      <c r="W15" s="11" t="str">
        <f>IF(INDEX(Manual_Review!$H$6:$H$238,U15)="","",INDEX(Manual_Review!$H$6:$H$238,U15))</f>
        <v/>
      </c>
      <c r="X15" s="5" t="str">
        <f>IF(INDEX(Manual_Review!$I$6:$I$238,U15)="","",INDEX(Manual_Review!$I$6:$I$238,U15))</f>
        <v/>
      </c>
      <c r="Y15" s="5" t="s">
        <v>2859</v>
      </c>
    </row>
    <row r="16" spans="1:25" ht="25.5">
      <c r="A16" s="5" t="s">
        <v>2886</v>
      </c>
      <c r="B16" s="5" t="s">
        <v>116</v>
      </c>
      <c r="C16" s="5" t="s">
        <v>117</v>
      </c>
      <c r="D16" s="5" t="s">
        <v>118</v>
      </c>
      <c r="E16" s="5" t="s">
        <v>2791</v>
      </c>
      <c r="F16" s="5" t="s">
        <v>2760</v>
      </c>
      <c r="G16" s="5">
        <v>1</v>
      </c>
      <c r="H16" s="5" t="s">
        <v>2864</v>
      </c>
      <c r="I16" s="5" t="str">
        <f>IF(INDEX(Manual_Review!$U$6:$U$238,U16)="","",INDEX(Manual_Review!$U$6:$U$238,U16))</f>
        <v/>
      </c>
      <c r="J16" s="5" t="str">
        <f t="shared" si="0"/>
        <v>AI provisional</v>
      </c>
      <c r="K16" s="5" t="str">
        <f t="shared" si="1"/>
        <v>U</v>
      </c>
      <c r="L16" s="5" t="s">
        <v>130</v>
      </c>
      <c r="M16" s="5" t="s">
        <v>2887</v>
      </c>
      <c r="N16" s="5" t="s">
        <v>2856</v>
      </c>
      <c r="O16" s="5" t="s">
        <v>2888</v>
      </c>
      <c r="P16" s="5" t="s">
        <v>2858</v>
      </c>
      <c r="Q16" s="11">
        <v>46306.5</v>
      </c>
      <c r="R16" s="6"/>
      <c r="S16" s="6"/>
      <c r="T16" s="6"/>
      <c r="U16" s="5">
        <f>MATCH(B16,Manual_Review!$A$6:$A$238,0)</f>
        <v>1</v>
      </c>
      <c r="V16" s="5" t="str">
        <f>IF(INDEX(Manual_Review!$G$6:$G$238,U16)="","",INDEX(Manual_Review!$G$6:$G$238,U16))</f>
        <v/>
      </c>
      <c r="W16" s="11" t="str">
        <f>IF(INDEX(Manual_Review!$H$6:$H$238,U16)="","",INDEX(Manual_Review!$H$6:$H$238,U16))</f>
        <v/>
      </c>
      <c r="X16" s="5" t="str">
        <f>IF(INDEX(Manual_Review!$I$6:$I$238,U16)="","",INDEX(Manual_Review!$I$6:$I$238,U16))</f>
        <v/>
      </c>
      <c r="Y16" s="5" t="s">
        <v>2859</v>
      </c>
    </row>
    <row r="17" spans="1:25" ht="25.5">
      <c r="A17" s="5" t="s">
        <v>2889</v>
      </c>
      <c r="B17" s="5" t="s">
        <v>116</v>
      </c>
      <c r="C17" s="5" t="s">
        <v>117</v>
      </c>
      <c r="D17" s="5" t="s">
        <v>118</v>
      </c>
      <c r="E17" s="5" t="s">
        <v>2792</v>
      </c>
      <c r="F17" s="5" t="s">
        <v>2762</v>
      </c>
      <c r="G17" s="5">
        <v>1</v>
      </c>
      <c r="H17" s="5" t="s">
        <v>2864</v>
      </c>
      <c r="I17" s="5" t="str">
        <f>IF(INDEX(Manual_Review!$V$6:$V$238,U17)="","",INDEX(Manual_Review!$V$6:$V$238,U17))</f>
        <v/>
      </c>
      <c r="J17" s="5" t="str">
        <f t="shared" si="0"/>
        <v>AI provisional</v>
      </c>
      <c r="K17" s="5" t="str">
        <f t="shared" si="1"/>
        <v>U</v>
      </c>
      <c r="L17" s="5" t="s">
        <v>130</v>
      </c>
      <c r="M17" s="5" t="s">
        <v>2890</v>
      </c>
      <c r="N17" s="5" t="s">
        <v>2856</v>
      </c>
      <c r="O17" s="5" t="s">
        <v>2891</v>
      </c>
      <c r="P17" s="5" t="s">
        <v>2858</v>
      </c>
      <c r="Q17" s="11">
        <v>46306.5</v>
      </c>
      <c r="R17" s="6"/>
      <c r="S17" s="6"/>
      <c r="T17" s="6"/>
      <c r="U17" s="5">
        <f>MATCH(B17,Manual_Review!$A$6:$A$238,0)</f>
        <v>1</v>
      </c>
      <c r="V17" s="5" t="str">
        <f>IF(INDEX(Manual_Review!$G$6:$G$238,U17)="","",INDEX(Manual_Review!$G$6:$G$238,U17))</f>
        <v/>
      </c>
      <c r="W17" s="11" t="str">
        <f>IF(INDEX(Manual_Review!$H$6:$H$238,U17)="","",INDEX(Manual_Review!$H$6:$H$238,U17))</f>
        <v/>
      </c>
      <c r="X17" s="5" t="str">
        <f>IF(INDEX(Manual_Review!$I$6:$I$238,U17)="","",INDEX(Manual_Review!$I$6:$I$238,U17))</f>
        <v/>
      </c>
      <c r="Y17" s="5" t="s">
        <v>2859</v>
      </c>
    </row>
    <row r="18" spans="1:25" ht="25.5">
      <c r="A18" s="5" t="s">
        <v>2892</v>
      </c>
      <c r="B18" s="5" t="s">
        <v>116</v>
      </c>
      <c r="C18" s="5" t="s">
        <v>117</v>
      </c>
      <c r="D18" s="5" t="s">
        <v>118</v>
      </c>
      <c r="E18" s="5" t="s">
        <v>2793</v>
      </c>
      <c r="F18" s="5" t="s">
        <v>2762</v>
      </c>
      <c r="G18" s="5">
        <v>1</v>
      </c>
      <c r="H18" s="5" t="s">
        <v>2864</v>
      </c>
      <c r="I18" s="5" t="str">
        <f>IF(INDEX(Manual_Review!$W$6:$W$238,U18)="","",INDEX(Manual_Review!$W$6:$W$238,U18))</f>
        <v/>
      </c>
      <c r="J18" s="5" t="str">
        <f t="shared" si="0"/>
        <v>AI provisional</v>
      </c>
      <c r="K18" s="5" t="str">
        <f t="shared" si="1"/>
        <v>U</v>
      </c>
      <c r="L18" s="5" t="s">
        <v>130</v>
      </c>
      <c r="M18" s="5" t="s">
        <v>2890</v>
      </c>
      <c r="N18" s="5" t="s">
        <v>2856</v>
      </c>
      <c r="O18" s="5" t="s">
        <v>2893</v>
      </c>
      <c r="P18" s="5" t="s">
        <v>2858</v>
      </c>
      <c r="Q18" s="11">
        <v>46306.5</v>
      </c>
      <c r="R18" s="6"/>
      <c r="S18" s="6"/>
      <c r="T18" s="6"/>
      <c r="U18" s="5">
        <f>MATCH(B18,Manual_Review!$A$6:$A$238,0)</f>
        <v>1</v>
      </c>
      <c r="V18" s="5" t="str">
        <f>IF(INDEX(Manual_Review!$G$6:$G$238,U18)="","",INDEX(Manual_Review!$G$6:$G$238,U18))</f>
        <v/>
      </c>
      <c r="W18" s="11" t="str">
        <f>IF(INDEX(Manual_Review!$H$6:$H$238,U18)="","",INDEX(Manual_Review!$H$6:$H$238,U18))</f>
        <v/>
      </c>
      <c r="X18" s="5" t="str">
        <f>IF(INDEX(Manual_Review!$I$6:$I$238,U18)="","",INDEX(Manual_Review!$I$6:$I$238,U18))</f>
        <v/>
      </c>
      <c r="Y18" s="5" t="s">
        <v>2859</v>
      </c>
    </row>
    <row r="19" spans="1:25" ht="25.5">
      <c r="A19" s="5" t="s">
        <v>2894</v>
      </c>
      <c r="B19" s="5" t="s">
        <v>116</v>
      </c>
      <c r="C19" s="5" t="s">
        <v>117</v>
      </c>
      <c r="D19" s="5" t="s">
        <v>118</v>
      </c>
      <c r="E19" s="5" t="s">
        <v>2794</v>
      </c>
      <c r="F19" s="5" t="s">
        <v>2764</v>
      </c>
      <c r="G19" s="5">
        <v>1</v>
      </c>
      <c r="H19" s="5" t="s">
        <v>2864</v>
      </c>
      <c r="I19" s="5" t="str">
        <f>IF(INDEX(Manual_Review!$X$6:$X$238,U19)="","",INDEX(Manual_Review!$X$6:$X$238,U19))</f>
        <v/>
      </c>
      <c r="J19" s="5" t="str">
        <f t="shared" si="0"/>
        <v>AI provisional</v>
      </c>
      <c r="K19" s="5" t="str">
        <f t="shared" si="1"/>
        <v>U</v>
      </c>
      <c r="L19" s="5" t="s">
        <v>130</v>
      </c>
      <c r="M19" s="5" t="s">
        <v>2865</v>
      </c>
      <c r="N19" s="5" t="s">
        <v>2856</v>
      </c>
      <c r="O19" s="5" t="s">
        <v>2895</v>
      </c>
      <c r="P19" s="5" t="s">
        <v>2858</v>
      </c>
      <c r="Q19" s="11">
        <v>46306.5</v>
      </c>
      <c r="R19" s="6"/>
      <c r="S19" s="6"/>
      <c r="T19" s="6"/>
      <c r="U19" s="5">
        <f>MATCH(B19,Manual_Review!$A$6:$A$238,0)</f>
        <v>1</v>
      </c>
      <c r="V19" s="5" t="str">
        <f>IF(INDEX(Manual_Review!$G$6:$G$238,U19)="","",INDEX(Manual_Review!$G$6:$G$238,U19))</f>
        <v/>
      </c>
      <c r="W19" s="11" t="str">
        <f>IF(INDEX(Manual_Review!$H$6:$H$238,U19)="","",INDEX(Manual_Review!$H$6:$H$238,U19))</f>
        <v/>
      </c>
      <c r="X19" s="5" t="str">
        <f>IF(INDEX(Manual_Review!$I$6:$I$238,U19)="","",INDEX(Manual_Review!$I$6:$I$238,U19))</f>
        <v/>
      </c>
      <c r="Y19" s="5" t="s">
        <v>2859</v>
      </c>
    </row>
    <row r="20" spans="1:25" ht="25.5">
      <c r="A20" s="5" t="s">
        <v>2896</v>
      </c>
      <c r="B20" s="5" t="s">
        <v>116</v>
      </c>
      <c r="C20" s="5" t="s">
        <v>117</v>
      </c>
      <c r="D20" s="5" t="s">
        <v>118</v>
      </c>
      <c r="E20" s="5" t="s">
        <v>2795</v>
      </c>
      <c r="F20" s="5" t="s">
        <v>2764</v>
      </c>
      <c r="G20" s="5">
        <v>1</v>
      </c>
      <c r="H20" s="5" t="s">
        <v>2864</v>
      </c>
      <c r="I20" s="5" t="str">
        <f>IF(INDEX(Manual_Review!$Y$6:$Y$238,U20)="","",INDEX(Manual_Review!$Y$6:$Y$238,U20))</f>
        <v/>
      </c>
      <c r="J20" s="5" t="str">
        <f t="shared" si="0"/>
        <v>AI provisional</v>
      </c>
      <c r="K20" s="5" t="str">
        <f t="shared" si="1"/>
        <v>U</v>
      </c>
      <c r="L20" s="5" t="s">
        <v>130</v>
      </c>
      <c r="M20" s="5" t="s">
        <v>2865</v>
      </c>
      <c r="N20" s="5" t="s">
        <v>2856</v>
      </c>
      <c r="O20" s="5" t="s">
        <v>2897</v>
      </c>
      <c r="P20" s="5" t="s">
        <v>2858</v>
      </c>
      <c r="Q20" s="11">
        <v>46306.5</v>
      </c>
      <c r="R20" s="6"/>
      <c r="S20" s="6"/>
      <c r="T20" s="6"/>
      <c r="U20" s="5">
        <f>MATCH(B20,Manual_Review!$A$6:$A$238,0)</f>
        <v>1</v>
      </c>
      <c r="V20" s="5" t="str">
        <f>IF(INDEX(Manual_Review!$G$6:$G$238,U20)="","",INDEX(Manual_Review!$G$6:$G$238,U20))</f>
        <v/>
      </c>
      <c r="W20" s="11" t="str">
        <f>IF(INDEX(Manual_Review!$H$6:$H$238,U20)="","",INDEX(Manual_Review!$H$6:$H$238,U20))</f>
        <v/>
      </c>
      <c r="X20" s="5" t="str">
        <f>IF(INDEX(Manual_Review!$I$6:$I$238,U20)="","",INDEX(Manual_Review!$I$6:$I$238,U20))</f>
        <v/>
      </c>
      <c r="Y20" s="5" t="s">
        <v>2859</v>
      </c>
    </row>
    <row r="21" spans="1:25" ht="25.5">
      <c r="A21" s="5" t="s">
        <v>2898</v>
      </c>
      <c r="B21" s="5" t="s">
        <v>116</v>
      </c>
      <c r="C21" s="5" t="s">
        <v>117</v>
      </c>
      <c r="D21" s="5" t="s">
        <v>118</v>
      </c>
      <c r="E21" s="5" t="s">
        <v>2796</v>
      </c>
      <c r="F21" s="5" t="s">
        <v>2764</v>
      </c>
      <c r="G21" s="5">
        <v>1</v>
      </c>
      <c r="H21" s="5" t="s">
        <v>2864</v>
      </c>
      <c r="I21" s="5" t="str">
        <f>IF(INDEX(Manual_Review!$Z$6:$Z$238,U21)="","",INDEX(Manual_Review!$Z$6:$Z$238,U21))</f>
        <v/>
      </c>
      <c r="J21" s="5" t="str">
        <f t="shared" si="0"/>
        <v>AI provisional</v>
      </c>
      <c r="K21" s="5" t="str">
        <f t="shared" si="1"/>
        <v>U</v>
      </c>
      <c r="L21" s="5" t="s">
        <v>130</v>
      </c>
      <c r="M21" s="5" t="s">
        <v>2882</v>
      </c>
      <c r="N21" s="5" t="s">
        <v>2856</v>
      </c>
      <c r="O21" s="5" t="s">
        <v>2899</v>
      </c>
      <c r="P21" s="5" t="s">
        <v>2858</v>
      </c>
      <c r="Q21" s="11">
        <v>46306.5</v>
      </c>
      <c r="R21" s="6"/>
      <c r="S21" s="6"/>
      <c r="T21" s="6"/>
      <c r="U21" s="5">
        <f>MATCH(B21,Manual_Review!$A$6:$A$238,0)</f>
        <v>1</v>
      </c>
      <c r="V21" s="5" t="str">
        <f>IF(INDEX(Manual_Review!$G$6:$G$238,U21)="","",INDEX(Manual_Review!$G$6:$G$238,U21))</f>
        <v/>
      </c>
      <c r="W21" s="11" t="str">
        <f>IF(INDEX(Manual_Review!$H$6:$H$238,U21)="","",INDEX(Manual_Review!$H$6:$H$238,U21))</f>
        <v/>
      </c>
      <c r="X21" s="5" t="str">
        <f>IF(INDEX(Manual_Review!$I$6:$I$238,U21)="","",INDEX(Manual_Review!$I$6:$I$238,U21))</f>
        <v/>
      </c>
      <c r="Y21" s="5" t="s">
        <v>2859</v>
      </c>
    </row>
    <row r="22" spans="1:25" ht="25.5">
      <c r="A22" s="5" t="s">
        <v>2900</v>
      </c>
      <c r="B22" s="5" t="s">
        <v>132</v>
      </c>
      <c r="C22" s="5" t="s">
        <v>133</v>
      </c>
      <c r="D22" s="5" t="s">
        <v>118</v>
      </c>
      <c r="E22" s="5" t="s">
        <v>2781</v>
      </c>
      <c r="F22" s="5" t="s">
        <v>2754</v>
      </c>
      <c r="G22" s="5">
        <v>1</v>
      </c>
      <c r="H22" s="5" t="s">
        <v>2854</v>
      </c>
      <c r="I22" s="5" t="str">
        <f>IF(INDEX(Manual_Review!$K$6:$K$238,U22)="","",INDEX(Manual_Review!$K$6:$K$238,U22))</f>
        <v/>
      </c>
      <c r="J22" s="5" t="str">
        <f t="shared" si="0"/>
        <v>AI provisional</v>
      </c>
      <c r="K22" s="5" t="str">
        <f t="shared" si="1"/>
        <v>Y</v>
      </c>
      <c r="L22" s="5" t="s">
        <v>140</v>
      </c>
      <c r="M22" s="5" t="s">
        <v>2901</v>
      </c>
      <c r="N22" s="5" t="s">
        <v>2902</v>
      </c>
      <c r="O22" s="5" t="s">
        <v>2857</v>
      </c>
      <c r="P22" s="5" t="s">
        <v>2858</v>
      </c>
      <c r="Q22" s="11">
        <v>46306.5</v>
      </c>
      <c r="R22" s="6"/>
      <c r="S22" s="6"/>
      <c r="T22" s="6"/>
      <c r="U22" s="5">
        <f>MATCH(B22,Manual_Review!$A$6:$A$238,0)</f>
        <v>2</v>
      </c>
      <c r="V22" s="5" t="str">
        <f>IF(INDEX(Manual_Review!$G$6:$G$238,U22)="","",INDEX(Manual_Review!$G$6:$G$238,U22))</f>
        <v/>
      </c>
      <c r="W22" s="11" t="str">
        <f>IF(INDEX(Manual_Review!$H$6:$H$238,U22)="","",INDEX(Manual_Review!$H$6:$H$238,U22))</f>
        <v/>
      </c>
      <c r="X22" s="5" t="str">
        <f>IF(INDEX(Manual_Review!$I$6:$I$238,U22)="","",INDEX(Manual_Review!$I$6:$I$238,U22))</f>
        <v/>
      </c>
      <c r="Y22" s="5" t="s">
        <v>2859</v>
      </c>
    </row>
    <row r="23" spans="1:25" ht="25.5">
      <c r="A23" s="5" t="s">
        <v>2903</v>
      </c>
      <c r="B23" s="5" t="s">
        <v>132</v>
      </c>
      <c r="C23" s="5" t="s">
        <v>133</v>
      </c>
      <c r="D23" s="5" t="s">
        <v>118</v>
      </c>
      <c r="E23" s="5" t="s">
        <v>2782</v>
      </c>
      <c r="F23" s="5" t="s">
        <v>2754</v>
      </c>
      <c r="G23" s="5">
        <v>1</v>
      </c>
      <c r="H23" s="5" t="s">
        <v>2854</v>
      </c>
      <c r="I23" s="5" t="str">
        <f>IF(INDEX(Manual_Review!$L$6:$L$238,U23)="","",INDEX(Manual_Review!$L$6:$L$238,U23))</f>
        <v/>
      </c>
      <c r="J23" s="5" t="str">
        <f t="shared" si="0"/>
        <v>AI provisional</v>
      </c>
      <c r="K23" s="5" t="str">
        <f t="shared" si="1"/>
        <v>Y</v>
      </c>
      <c r="L23" s="5" t="s">
        <v>140</v>
      </c>
      <c r="M23" s="5" t="s">
        <v>2904</v>
      </c>
      <c r="N23" s="5" t="s">
        <v>2902</v>
      </c>
      <c r="O23" s="5" t="s">
        <v>2862</v>
      </c>
      <c r="P23" s="5" t="s">
        <v>2858</v>
      </c>
      <c r="Q23" s="11">
        <v>46306.5</v>
      </c>
      <c r="R23" s="6"/>
      <c r="S23" s="6"/>
      <c r="T23" s="6"/>
      <c r="U23" s="5">
        <f>MATCH(B23,Manual_Review!$A$6:$A$238,0)</f>
        <v>2</v>
      </c>
      <c r="V23" s="5" t="str">
        <f>IF(INDEX(Manual_Review!$G$6:$G$238,U23)="","",INDEX(Manual_Review!$G$6:$G$238,U23))</f>
        <v/>
      </c>
      <c r="W23" s="11" t="str">
        <f>IF(INDEX(Manual_Review!$H$6:$H$238,U23)="","",INDEX(Manual_Review!$H$6:$H$238,U23))</f>
        <v/>
      </c>
      <c r="X23" s="5" t="str">
        <f>IF(INDEX(Manual_Review!$I$6:$I$238,U23)="","",INDEX(Manual_Review!$I$6:$I$238,U23))</f>
        <v/>
      </c>
      <c r="Y23" s="5" t="s">
        <v>2859</v>
      </c>
    </row>
    <row r="24" spans="1:25" ht="25.5">
      <c r="A24" s="5" t="s">
        <v>2905</v>
      </c>
      <c r="B24" s="5" t="s">
        <v>132</v>
      </c>
      <c r="C24" s="5" t="s">
        <v>133</v>
      </c>
      <c r="D24" s="5" t="s">
        <v>118</v>
      </c>
      <c r="E24" s="5" t="s">
        <v>2783</v>
      </c>
      <c r="F24" s="5" t="s">
        <v>2754</v>
      </c>
      <c r="G24" s="5">
        <v>1</v>
      </c>
      <c r="H24" s="5" t="s">
        <v>2864</v>
      </c>
      <c r="I24" s="5" t="str">
        <f>IF(INDEX(Manual_Review!$M$6:$M$238,U24)="","",INDEX(Manual_Review!$M$6:$M$238,U24))</f>
        <v/>
      </c>
      <c r="J24" s="5" t="str">
        <f t="shared" si="0"/>
        <v>AI provisional</v>
      </c>
      <c r="K24" s="5" t="str">
        <f t="shared" si="1"/>
        <v>U</v>
      </c>
      <c r="L24" s="5" t="s">
        <v>140</v>
      </c>
      <c r="M24" s="5" t="s">
        <v>2906</v>
      </c>
      <c r="N24" s="5" t="s">
        <v>2902</v>
      </c>
      <c r="O24" s="5" t="s">
        <v>2866</v>
      </c>
      <c r="P24" s="5" t="s">
        <v>2858</v>
      </c>
      <c r="Q24" s="11">
        <v>46306.5</v>
      </c>
      <c r="R24" s="6"/>
      <c r="S24" s="6"/>
      <c r="T24" s="6"/>
      <c r="U24" s="5">
        <f>MATCH(B24,Manual_Review!$A$6:$A$238,0)</f>
        <v>2</v>
      </c>
      <c r="V24" s="5" t="str">
        <f>IF(INDEX(Manual_Review!$G$6:$G$238,U24)="","",INDEX(Manual_Review!$G$6:$G$238,U24))</f>
        <v/>
      </c>
      <c r="W24" s="11" t="str">
        <f>IF(INDEX(Manual_Review!$H$6:$H$238,U24)="","",INDEX(Manual_Review!$H$6:$H$238,U24))</f>
        <v/>
      </c>
      <c r="X24" s="5" t="str">
        <f>IF(INDEX(Manual_Review!$I$6:$I$238,U24)="","",INDEX(Manual_Review!$I$6:$I$238,U24))</f>
        <v/>
      </c>
      <c r="Y24" s="5" t="s">
        <v>2859</v>
      </c>
    </row>
    <row r="25" spans="1:25" ht="25.5">
      <c r="A25" s="5" t="s">
        <v>2907</v>
      </c>
      <c r="B25" s="5" t="s">
        <v>132</v>
      </c>
      <c r="C25" s="5" t="s">
        <v>133</v>
      </c>
      <c r="D25" s="5" t="s">
        <v>118</v>
      </c>
      <c r="E25" s="5" t="s">
        <v>2784</v>
      </c>
      <c r="F25" s="5" t="s">
        <v>2756</v>
      </c>
      <c r="G25" s="5">
        <v>1</v>
      </c>
      <c r="H25" s="5" t="s">
        <v>2908</v>
      </c>
      <c r="I25" s="5" t="str">
        <f>IF(INDEX(Manual_Review!$N$6:$N$238,U25)="","",INDEX(Manual_Review!$N$6:$N$238,U25))</f>
        <v/>
      </c>
      <c r="J25" s="5" t="str">
        <f t="shared" si="0"/>
        <v>AI provisional</v>
      </c>
      <c r="K25" s="5" t="str">
        <f t="shared" si="1"/>
        <v>X</v>
      </c>
      <c r="L25" s="5" t="s">
        <v>140</v>
      </c>
      <c r="M25" s="5" t="s">
        <v>2909</v>
      </c>
      <c r="N25" s="5" t="s">
        <v>2902</v>
      </c>
      <c r="O25" s="5" t="s">
        <v>2910</v>
      </c>
      <c r="P25" s="5" t="s">
        <v>2858</v>
      </c>
      <c r="Q25" s="11">
        <v>46306.5</v>
      </c>
      <c r="R25" s="6"/>
      <c r="S25" s="6"/>
      <c r="T25" s="6"/>
      <c r="U25" s="5">
        <f>MATCH(B25,Manual_Review!$A$6:$A$238,0)</f>
        <v>2</v>
      </c>
      <c r="V25" s="5" t="str">
        <f>IF(INDEX(Manual_Review!$G$6:$G$238,U25)="","",INDEX(Manual_Review!$G$6:$G$238,U25))</f>
        <v/>
      </c>
      <c r="W25" s="11" t="str">
        <f>IF(INDEX(Manual_Review!$H$6:$H$238,U25)="","",INDEX(Manual_Review!$H$6:$H$238,U25))</f>
        <v/>
      </c>
      <c r="X25" s="5" t="str">
        <f>IF(INDEX(Manual_Review!$I$6:$I$238,U25)="","",INDEX(Manual_Review!$I$6:$I$238,U25))</f>
        <v/>
      </c>
      <c r="Y25" s="5" t="s">
        <v>2859</v>
      </c>
    </row>
    <row r="26" spans="1:25" ht="25.5">
      <c r="A26" s="5" t="s">
        <v>2911</v>
      </c>
      <c r="B26" s="5" t="s">
        <v>132</v>
      </c>
      <c r="C26" s="5" t="s">
        <v>133</v>
      </c>
      <c r="D26" s="5" t="s">
        <v>118</v>
      </c>
      <c r="E26" s="5" t="s">
        <v>2785</v>
      </c>
      <c r="F26" s="5" t="s">
        <v>2756</v>
      </c>
      <c r="G26" s="5">
        <v>1</v>
      </c>
      <c r="H26" s="5" t="s">
        <v>2864</v>
      </c>
      <c r="I26" s="5" t="str">
        <f>IF(INDEX(Manual_Review!$O$6:$O$238,U26)="","",INDEX(Manual_Review!$O$6:$O$238,U26))</f>
        <v/>
      </c>
      <c r="J26" s="5" t="str">
        <f t="shared" si="0"/>
        <v>AI provisional</v>
      </c>
      <c r="K26" s="5" t="str">
        <f t="shared" si="1"/>
        <v>U</v>
      </c>
      <c r="L26" s="5" t="s">
        <v>140</v>
      </c>
      <c r="M26" s="5" t="s">
        <v>2912</v>
      </c>
      <c r="N26" s="5" t="s">
        <v>2902</v>
      </c>
      <c r="O26" s="5" t="s">
        <v>2872</v>
      </c>
      <c r="P26" s="5" t="s">
        <v>2858</v>
      </c>
      <c r="Q26" s="11">
        <v>46306.5</v>
      </c>
      <c r="R26" s="6"/>
      <c r="S26" s="6"/>
      <c r="T26" s="6"/>
      <c r="U26" s="5">
        <f>MATCH(B26,Manual_Review!$A$6:$A$238,0)</f>
        <v>2</v>
      </c>
      <c r="V26" s="5" t="str">
        <f>IF(INDEX(Manual_Review!$G$6:$G$238,U26)="","",INDEX(Manual_Review!$G$6:$G$238,U26))</f>
        <v/>
      </c>
      <c r="W26" s="11" t="str">
        <f>IF(INDEX(Manual_Review!$H$6:$H$238,U26)="","",INDEX(Manual_Review!$H$6:$H$238,U26))</f>
        <v/>
      </c>
      <c r="X26" s="5" t="str">
        <f>IF(INDEX(Manual_Review!$I$6:$I$238,U26)="","",INDEX(Manual_Review!$I$6:$I$238,U26))</f>
        <v/>
      </c>
      <c r="Y26" s="5" t="s">
        <v>2859</v>
      </c>
    </row>
    <row r="27" spans="1:25" ht="25.5">
      <c r="A27" s="5" t="s">
        <v>2913</v>
      </c>
      <c r="B27" s="5" t="s">
        <v>132</v>
      </c>
      <c r="C27" s="5" t="s">
        <v>133</v>
      </c>
      <c r="D27" s="5" t="s">
        <v>118</v>
      </c>
      <c r="E27" s="5" t="s">
        <v>2786</v>
      </c>
      <c r="F27" s="5" t="s">
        <v>2756</v>
      </c>
      <c r="G27" s="5">
        <v>1</v>
      </c>
      <c r="H27" s="5" t="s">
        <v>2864</v>
      </c>
      <c r="I27" s="5" t="str">
        <f>IF(INDEX(Manual_Review!$P$6:$P$238,U27)="","",INDEX(Manual_Review!$P$6:$P$238,U27))</f>
        <v/>
      </c>
      <c r="J27" s="5" t="str">
        <f t="shared" si="0"/>
        <v>AI provisional</v>
      </c>
      <c r="K27" s="5" t="str">
        <f t="shared" si="1"/>
        <v>U</v>
      </c>
      <c r="L27" s="5" t="s">
        <v>140</v>
      </c>
      <c r="M27" s="5" t="s">
        <v>2906</v>
      </c>
      <c r="N27" s="5" t="s">
        <v>2902</v>
      </c>
      <c r="O27" s="5" t="s">
        <v>2874</v>
      </c>
      <c r="P27" s="5" t="s">
        <v>2858</v>
      </c>
      <c r="Q27" s="11">
        <v>46306.5</v>
      </c>
      <c r="R27" s="6"/>
      <c r="S27" s="6"/>
      <c r="T27" s="6"/>
      <c r="U27" s="5">
        <f>MATCH(B27,Manual_Review!$A$6:$A$238,0)</f>
        <v>2</v>
      </c>
      <c r="V27" s="5" t="str">
        <f>IF(INDEX(Manual_Review!$G$6:$G$238,U27)="","",INDEX(Manual_Review!$G$6:$G$238,U27))</f>
        <v/>
      </c>
      <c r="W27" s="11" t="str">
        <f>IF(INDEX(Manual_Review!$H$6:$H$238,U27)="","",INDEX(Manual_Review!$H$6:$H$238,U27))</f>
        <v/>
      </c>
      <c r="X27" s="5" t="str">
        <f>IF(INDEX(Manual_Review!$I$6:$I$238,U27)="","",INDEX(Manual_Review!$I$6:$I$238,U27))</f>
        <v/>
      </c>
      <c r="Y27" s="5" t="s">
        <v>2859</v>
      </c>
    </row>
    <row r="28" spans="1:25" ht="25.5">
      <c r="A28" s="5" t="s">
        <v>2914</v>
      </c>
      <c r="B28" s="5" t="s">
        <v>132</v>
      </c>
      <c r="C28" s="5" t="s">
        <v>133</v>
      </c>
      <c r="D28" s="5" t="s">
        <v>118</v>
      </c>
      <c r="E28" s="5" t="s">
        <v>2787</v>
      </c>
      <c r="F28" s="5" t="s">
        <v>2758</v>
      </c>
      <c r="G28" s="5">
        <v>1</v>
      </c>
      <c r="H28" s="5" t="s">
        <v>2864</v>
      </c>
      <c r="I28" s="5" t="str">
        <f>IF(INDEX(Manual_Review!$Q$6:$Q$238,U28)="","",INDEX(Manual_Review!$Q$6:$Q$238,U28))</f>
        <v/>
      </c>
      <c r="J28" s="5" t="str">
        <f t="shared" si="0"/>
        <v>AI provisional</v>
      </c>
      <c r="K28" s="5" t="str">
        <f t="shared" si="1"/>
        <v>U</v>
      </c>
      <c r="L28" s="5" t="s">
        <v>140</v>
      </c>
      <c r="M28" s="5" t="s">
        <v>2915</v>
      </c>
      <c r="N28" s="5" t="s">
        <v>2902</v>
      </c>
      <c r="O28" s="5" t="s">
        <v>2877</v>
      </c>
      <c r="P28" s="5" t="s">
        <v>2858</v>
      </c>
      <c r="Q28" s="11">
        <v>46306.5</v>
      </c>
      <c r="R28" s="6"/>
      <c r="S28" s="6"/>
      <c r="T28" s="6"/>
      <c r="U28" s="5">
        <f>MATCH(B28,Manual_Review!$A$6:$A$238,0)</f>
        <v>2</v>
      </c>
      <c r="V28" s="5" t="str">
        <f>IF(INDEX(Manual_Review!$G$6:$G$238,U28)="","",INDEX(Manual_Review!$G$6:$G$238,U28))</f>
        <v/>
      </c>
      <c r="W28" s="11" t="str">
        <f>IF(INDEX(Manual_Review!$H$6:$H$238,U28)="","",INDEX(Manual_Review!$H$6:$H$238,U28))</f>
        <v/>
      </c>
      <c r="X28" s="5" t="str">
        <f>IF(INDEX(Manual_Review!$I$6:$I$238,U28)="","",INDEX(Manual_Review!$I$6:$I$238,U28))</f>
        <v/>
      </c>
      <c r="Y28" s="5" t="s">
        <v>2859</v>
      </c>
    </row>
    <row r="29" spans="1:25" ht="25.5">
      <c r="A29" s="5" t="s">
        <v>2916</v>
      </c>
      <c r="B29" s="5" t="s">
        <v>132</v>
      </c>
      <c r="C29" s="5" t="s">
        <v>133</v>
      </c>
      <c r="D29" s="5" t="s">
        <v>118</v>
      </c>
      <c r="E29" s="5" t="s">
        <v>2788</v>
      </c>
      <c r="F29" s="5" t="s">
        <v>2758</v>
      </c>
      <c r="G29" s="5">
        <v>1</v>
      </c>
      <c r="H29" s="5" t="s">
        <v>2864</v>
      </c>
      <c r="I29" s="5" t="str">
        <f>IF(INDEX(Manual_Review!$R$6:$R$238,U29)="","",INDEX(Manual_Review!$R$6:$R$238,U29))</f>
        <v/>
      </c>
      <c r="J29" s="5" t="str">
        <f t="shared" si="0"/>
        <v>AI provisional</v>
      </c>
      <c r="K29" s="5" t="str">
        <f t="shared" si="1"/>
        <v>U</v>
      </c>
      <c r="L29" s="5" t="s">
        <v>140</v>
      </c>
      <c r="M29" s="5" t="s">
        <v>2917</v>
      </c>
      <c r="N29" s="5" t="s">
        <v>2902</v>
      </c>
      <c r="O29" s="5" t="s">
        <v>2880</v>
      </c>
      <c r="P29" s="5" t="s">
        <v>2858</v>
      </c>
      <c r="Q29" s="11">
        <v>46306.5</v>
      </c>
      <c r="R29" s="6"/>
      <c r="S29" s="6"/>
      <c r="T29" s="6"/>
      <c r="U29" s="5">
        <f>MATCH(B29,Manual_Review!$A$6:$A$238,0)</f>
        <v>2</v>
      </c>
      <c r="V29" s="5" t="str">
        <f>IF(INDEX(Manual_Review!$G$6:$G$238,U29)="","",INDEX(Manual_Review!$G$6:$G$238,U29))</f>
        <v/>
      </c>
      <c r="W29" s="11" t="str">
        <f>IF(INDEX(Manual_Review!$H$6:$H$238,U29)="","",INDEX(Manual_Review!$H$6:$H$238,U29))</f>
        <v/>
      </c>
      <c r="X29" s="5" t="str">
        <f>IF(INDEX(Manual_Review!$I$6:$I$238,U29)="","",INDEX(Manual_Review!$I$6:$I$238,U29))</f>
        <v/>
      </c>
      <c r="Y29" s="5" t="s">
        <v>2859</v>
      </c>
    </row>
    <row r="30" spans="1:25" ht="25.5">
      <c r="A30" s="5" t="s">
        <v>2918</v>
      </c>
      <c r="B30" s="5" t="s">
        <v>132</v>
      </c>
      <c r="C30" s="5" t="s">
        <v>133</v>
      </c>
      <c r="D30" s="5" t="s">
        <v>118</v>
      </c>
      <c r="E30" s="5" t="s">
        <v>2789</v>
      </c>
      <c r="F30" s="5" t="s">
        <v>2758</v>
      </c>
      <c r="G30" s="5">
        <v>1</v>
      </c>
      <c r="H30" s="5" t="s">
        <v>2864</v>
      </c>
      <c r="I30" s="5" t="str">
        <f>IF(INDEX(Manual_Review!$S$6:$S$238,U30)="","",INDEX(Manual_Review!$S$6:$S$238,U30))</f>
        <v/>
      </c>
      <c r="J30" s="5" t="str">
        <f t="shared" si="0"/>
        <v>AI provisional</v>
      </c>
      <c r="K30" s="5" t="str">
        <f t="shared" si="1"/>
        <v>U</v>
      </c>
      <c r="L30" s="5" t="s">
        <v>140</v>
      </c>
      <c r="M30" s="5" t="s">
        <v>2919</v>
      </c>
      <c r="N30" s="5" t="s">
        <v>2902</v>
      </c>
      <c r="O30" s="5" t="s">
        <v>2883</v>
      </c>
      <c r="P30" s="5" t="s">
        <v>2858</v>
      </c>
      <c r="Q30" s="11">
        <v>46306.5</v>
      </c>
      <c r="R30" s="6"/>
      <c r="S30" s="6"/>
      <c r="T30" s="6"/>
      <c r="U30" s="5">
        <f>MATCH(B30,Manual_Review!$A$6:$A$238,0)</f>
        <v>2</v>
      </c>
      <c r="V30" s="5" t="str">
        <f>IF(INDEX(Manual_Review!$G$6:$G$238,U30)="","",INDEX(Manual_Review!$G$6:$G$238,U30))</f>
        <v/>
      </c>
      <c r="W30" s="11" t="str">
        <f>IF(INDEX(Manual_Review!$H$6:$H$238,U30)="","",INDEX(Manual_Review!$H$6:$H$238,U30))</f>
        <v/>
      </c>
      <c r="X30" s="5" t="str">
        <f>IF(INDEX(Manual_Review!$I$6:$I$238,U30)="","",INDEX(Manual_Review!$I$6:$I$238,U30))</f>
        <v/>
      </c>
      <c r="Y30" s="5" t="s">
        <v>2859</v>
      </c>
    </row>
    <row r="31" spans="1:25" ht="25.5">
      <c r="A31" s="5" t="s">
        <v>2920</v>
      </c>
      <c r="B31" s="5" t="s">
        <v>132</v>
      </c>
      <c r="C31" s="5" t="s">
        <v>133</v>
      </c>
      <c r="D31" s="5" t="s">
        <v>118</v>
      </c>
      <c r="E31" s="5" t="s">
        <v>2790</v>
      </c>
      <c r="F31" s="5" t="s">
        <v>2760</v>
      </c>
      <c r="G31" s="5">
        <v>1</v>
      </c>
      <c r="H31" s="5" t="s">
        <v>2864</v>
      </c>
      <c r="I31" s="5" t="str">
        <f>IF(INDEX(Manual_Review!$T$6:$T$238,U31)="","",INDEX(Manual_Review!$T$6:$T$238,U31))</f>
        <v/>
      </c>
      <c r="J31" s="5" t="str">
        <f t="shared" si="0"/>
        <v>AI provisional</v>
      </c>
      <c r="K31" s="5" t="str">
        <f t="shared" si="1"/>
        <v>U</v>
      </c>
      <c r="L31" s="5" t="s">
        <v>140</v>
      </c>
      <c r="M31" s="5" t="s">
        <v>2906</v>
      </c>
      <c r="N31" s="5" t="s">
        <v>2902</v>
      </c>
      <c r="O31" s="5" t="s">
        <v>2885</v>
      </c>
      <c r="P31" s="5" t="s">
        <v>2858</v>
      </c>
      <c r="Q31" s="11">
        <v>46306.5</v>
      </c>
      <c r="R31" s="6"/>
      <c r="S31" s="6"/>
      <c r="T31" s="6"/>
      <c r="U31" s="5">
        <f>MATCH(B31,Manual_Review!$A$6:$A$238,0)</f>
        <v>2</v>
      </c>
      <c r="V31" s="5" t="str">
        <f>IF(INDEX(Manual_Review!$G$6:$G$238,U31)="","",INDEX(Manual_Review!$G$6:$G$238,U31))</f>
        <v/>
      </c>
      <c r="W31" s="11" t="str">
        <f>IF(INDEX(Manual_Review!$H$6:$H$238,U31)="","",INDEX(Manual_Review!$H$6:$H$238,U31))</f>
        <v/>
      </c>
      <c r="X31" s="5" t="str">
        <f>IF(INDEX(Manual_Review!$I$6:$I$238,U31)="","",INDEX(Manual_Review!$I$6:$I$238,U31))</f>
        <v/>
      </c>
      <c r="Y31" s="5" t="s">
        <v>2859</v>
      </c>
    </row>
    <row r="32" spans="1:25" ht="25.5">
      <c r="A32" s="5" t="s">
        <v>2921</v>
      </c>
      <c r="B32" s="5" t="s">
        <v>132</v>
      </c>
      <c r="C32" s="5" t="s">
        <v>133</v>
      </c>
      <c r="D32" s="5" t="s">
        <v>118</v>
      </c>
      <c r="E32" s="5" t="s">
        <v>2791</v>
      </c>
      <c r="F32" s="5" t="s">
        <v>2760</v>
      </c>
      <c r="G32" s="5">
        <v>1</v>
      </c>
      <c r="H32" s="5" t="s">
        <v>2864</v>
      </c>
      <c r="I32" s="5" t="str">
        <f>IF(INDEX(Manual_Review!$U$6:$U$238,U32)="","",INDEX(Manual_Review!$U$6:$U$238,U32))</f>
        <v/>
      </c>
      <c r="J32" s="5" t="str">
        <f t="shared" si="0"/>
        <v>AI provisional</v>
      </c>
      <c r="K32" s="5" t="str">
        <f t="shared" si="1"/>
        <v>U</v>
      </c>
      <c r="L32" s="5" t="s">
        <v>140</v>
      </c>
      <c r="M32" s="5" t="s">
        <v>2922</v>
      </c>
      <c r="N32" s="5" t="s">
        <v>2902</v>
      </c>
      <c r="O32" s="5" t="s">
        <v>2888</v>
      </c>
      <c r="P32" s="5" t="s">
        <v>2858</v>
      </c>
      <c r="Q32" s="11">
        <v>46306.5</v>
      </c>
      <c r="R32" s="6"/>
      <c r="S32" s="6"/>
      <c r="T32" s="6"/>
      <c r="U32" s="5">
        <f>MATCH(B32,Manual_Review!$A$6:$A$238,0)</f>
        <v>2</v>
      </c>
      <c r="V32" s="5" t="str">
        <f>IF(INDEX(Manual_Review!$G$6:$G$238,U32)="","",INDEX(Manual_Review!$G$6:$G$238,U32))</f>
        <v/>
      </c>
      <c r="W32" s="11" t="str">
        <f>IF(INDEX(Manual_Review!$H$6:$H$238,U32)="","",INDEX(Manual_Review!$H$6:$H$238,U32))</f>
        <v/>
      </c>
      <c r="X32" s="5" t="str">
        <f>IF(INDEX(Manual_Review!$I$6:$I$238,U32)="","",INDEX(Manual_Review!$I$6:$I$238,U32))</f>
        <v/>
      </c>
      <c r="Y32" s="5" t="s">
        <v>2859</v>
      </c>
    </row>
    <row r="33" spans="1:25" ht="25.5">
      <c r="A33" s="5" t="s">
        <v>2923</v>
      </c>
      <c r="B33" s="5" t="s">
        <v>132</v>
      </c>
      <c r="C33" s="5" t="s">
        <v>133</v>
      </c>
      <c r="D33" s="5" t="s">
        <v>118</v>
      </c>
      <c r="E33" s="5" t="s">
        <v>2792</v>
      </c>
      <c r="F33" s="5" t="s">
        <v>2762</v>
      </c>
      <c r="G33" s="5">
        <v>1</v>
      </c>
      <c r="H33" s="5" t="s">
        <v>2864</v>
      </c>
      <c r="I33" s="5" t="str">
        <f>IF(INDEX(Manual_Review!$V$6:$V$238,U33)="","",INDEX(Manual_Review!$V$6:$V$238,U33))</f>
        <v/>
      </c>
      <c r="J33" s="5" t="str">
        <f t="shared" si="0"/>
        <v>AI provisional</v>
      </c>
      <c r="K33" s="5" t="str">
        <f t="shared" si="1"/>
        <v>U</v>
      </c>
      <c r="L33" s="5" t="s">
        <v>140</v>
      </c>
      <c r="M33" s="5" t="s">
        <v>2924</v>
      </c>
      <c r="N33" s="5" t="s">
        <v>2902</v>
      </c>
      <c r="O33" s="5" t="s">
        <v>2891</v>
      </c>
      <c r="P33" s="5" t="s">
        <v>2858</v>
      </c>
      <c r="Q33" s="11">
        <v>46306.5</v>
      </c>
      <c r="R33" s="6"/>
      <c r="S33" s="6"/>
      <c r="T33" s="6"/>
      <c r="U33" s="5">
        <f>MATCH(B33,Manual_Review!$A$6:$A$238,0)</f>
        <v>2</v>
      </c>
      <c r="V33" s="5" t="str">
        <f>IF(INDEX(Manual_Review!$G$6:$G$238,U33)="","",INDEX(Manual_Review!$G$6:$G$238,U33))</f>
        <v/>
      </c>
      <c r="W33" s="11" t="str">
        <f>IF(INDEX(Manual_Review!$H$6:$H$238,U33)="","",INDEX(Manual_Review!$H$6:$H$238,U33))</f>
        <v/>
      </c>
      <c r="X33" s="5" t="str">
        <f>IF(INDEX(Manual_Review!$I$6:$I$238,U33)="","",INDEX(Manual_Review!$I$6:$I$238,U33))</f>
        <v/>
      </c>
      <c r="Y33" s="5" t="s">
        <v>2859</v>
      </c>
    </row>
    <row r="34" spans="1:25" ht="25.5">
      <c r="A34" s="5" t="s">
        <v>2925</v>
      </c>
      <c r="B34" s="5" t="s">
        <v>132</v>
      </c>
      <c r="C34" s="5" t="s">
        <v>133</v>
      </c>
      <c r="D34" s="5" t="s">
        <v>118</v>
      </c>
      <c r="E34" s="5" t="s">
        <v>2793</v>
      </c>
      <c r="F34" s="5" t="s">
        <v>2762</v>
      </c>
      <c r="G34" s="5">
        <v>1</v>
      </c>
      <c r="H34" s="5" t="s">
        <v>2864</v>
      </c>
      <c r="I34" s="5" t="str">
        <f>IF(INDEX(Manual_Review!$W$6:$W$238,U34)="","",INDEX(Manual_Review!$W$6:$W$238,U34))</f>
        <v/>
      </c>
      <c r="J34" s="5" t="str">
        <f t="shared" si="0"/>
        <v>AI provisional</v>
      </c>
      <c r="K34" s="5" t="str">
        <f t="shared" si="1"/>
        <v>U</v>
      </c>
      <c r="L34" s="5" t="s">
        <v>140</v>
      </c>
      <c r="M34" s="5" t="s">
        <v>2924</v>
      </c>
      <c r="N34" s="5" t="s">
        <v>2902</v>
      </c>
      <c r="O34" s="5" t="s">
        <v>2893</v>
      </c>
      <c r="P34" s="5" t="s">
        <v>2858</v>
      </c>
      <c r="Q34" s="11">
        <v>46306.5</v>
      </c>
      <c r="R34" s="6"/>
      <c r="S34" s="6"/>
      <c r="T34" s="6"/>
      <c r="U34" s="5">
        <f>MATCH(B34,Manual_Review!$A$6:$A$238,0)</f>
        <v>2</v>
      </c>
      <c r="V34" s="5" t="str">
        <f>IF(INDEX(Manual_Review!$G$6:$G$238,U34)="","",INDEX(Manual_Review!$G$6:$G$238,U34))</f>
        <v/>
      </c>
      <c r="W34" s="11" t="str">
        <f>IF(INDEX(Manual_Review!$H$6:$H$238,U34)="","",INDEX(Manual_Review!$H$6:$H$238,U34))</f>
        <v/>
      </c>
      <c r="X34" s="5" t="str">
        <f>IF(INDEX(Manual_Review!$I$6:$I$238,U34)="","",INDEX(Manual_Review!$I$6:$I$238,U34))</f>
        <v/>
      </c>
      <c r="Y34" s="5" t="s">
        <v>2859</v>
      </c>
    </row>
    <row r="35" spans="1:25" ht="25.5">
      <c r="A35" s="5" t="s">
        <v>2926</v>
      </c>
      <c r="B35" s="5" t="s">
        <v>132</v>
      </c>
      <c r="C35" s="5" t="s">
        <v>133</v>
      </c>
      <c r="D35" s="5" t="s">
        <v>118</v>
      </c>
      <c r="E35" s="5" t="s">
        <v>2794</v>
      </c>
      <c r="F35" s="5" t="s">
        <v>2764</v>
      </c>
      <c r="G35" s="5">
        <v>1</v>
      </c>
      <c r="H35" s="5" t="s">
        <v>2864</v>
      </c>
      <c r="I35" s="5" t="str">
        <f>IF(INDEX(Manual_Review!$X$6:$X$238,U35)="","",INDEX(Manual_Review!$X$6:$X$238,U35))</f>
        <v/>
      </c>
      <c r="J35" s="5" t="str">
        <f t="shared" si="0"/>
        <v>AI provisional</v>
      </c>
      <c r="K35" s="5" t="str">
        <f t="shared" si="1"/>
        <v>U</v>
      </c>
      <c r="L35" s="5" t="s">
        <v>140</v>
      </c>
      <c r="M35" s="5" t="s">
        <v>2906</v>
      </c>
      <c r="N35" s="5" t="s">
        <v>2902</v>
      </c>
      <c r="O35" s="5" t="s">
        <v>2895</v>
      </c>
      <c r="P35" s="5" t="s">
        <v>2858</v>
      </c>
      <c r="Q35" s="11">
        <v>46306.5</v>
      </c>
      <c r="R35" s="6"/>
      <c r="S35" s="6"/>
      <c r="T35" s="6"/>
      <c r="U35" s="5">
        <f>MATCH(B35,Manual_Review!$A$6:$A$238,0)</f>
        <v>2</v>
      </c>
      <c r="V35" s="5" t="str">
        <f>IF(INDEX(Manual_Review!$G$6:$G$238,U35)="","",INDEX(Manual_Review!$G$6:$G$238,U35))</f>
        <v/>
      </c>
      <c r="W35" s="11" t="str">
        <f>IF(INDEX(Manual_Review!$H$6:$H$238,U35)="","",INDEX(Manual_Review!$H$6:$H$238,U35))</f>
        <v/>
      </c>
      <c r="X35" s="5" t="str">
        <f>IF(INDEX(Manual_Review!$I$6:$I$238,U35)="","",INDEX(Manual_Review!$I$6:$I$238,U35))</f>
        <v/>
      </c>
      <c r="Y35" s="5" t="s">
        <v>2859</v>
      </c>
    </row>
    <row r="36" spans="1:25" ht="25.5">
      <c r="A36" s="5" t="s">
        <v>2927</v>
      </c>
      <c r="B36" s="5" t="s">
        <v>132</v>
      </c>
      <c r="C36" s="5" t="s">
        <v>133</v>
      </c>
      <c r="D36" s="5" t="s">
        <v>118</v>
      </c>
      <c r="E36" s="5" t="s">
        <v>2795</v>
      </c>
      <c r="F36" s="5" t="s">
        <v>2764</v>
      </c>
      <c r="G36" s="5">
        <v>1</v>
      </c>
      <c r="H36" s="5" t="s">
        <v>2864</v>
      </c>
      <c r="I36" s="5" t="str">
        <f>IF(INDEX(Manual_Review!$Y$6:$Y$238,U36)="","",INDEX(Manual_Review!$Y$6:$Y$238,U36))</f>
        <v/>
      </c>
      <c r="J36" s="5" t="str">
        <f t="shared" si="0"/>
        <v>AI provisional</v>
      </c>
      <c r="K36" s="5" t="str">
        <f t="shared" si="1"/>
        <v>U</v>
      </c>
      <c r="L36" s="5" t="s">
        <v>140</v>
      </c>
      <c r="M36" s="5" t="s">
        <v>2906</v>
      </c>
      <c r="N36" s="5" t="s">
        <v>2902</v>
      </c>
      <c r="O36" s="5" t="s">
        <v>2897</v>
      </c>
      <c r="P36" s="5" t="s">
        <v>2858</v>
      </c>
      <c r="Q36" s="11">
        <v>46306.5</v>
      </c>
      <c r="R36" s="6"/>
      <c r="S36" s="6"/>
      <c r="T36" s="6"/>
      <c r="U36" s="5">
        <f>MATCH(B36,Manual_Review!$A$6:$A$238,0)</f>
        <v>2</v>
      </c>
      <c r="V36" s="5" t="str">
        <f>IF(INDEX(Manual_Review!$G$6:$G$238,U36)="","",INDEX(Manual_Review!$G$6:$G$238,U36))</f>
        <v/>
      </c>
      <c r="W36" s="11" t="str">
        <f>IF(INDEX(Manual_Review!$H$6:$H$238,U36)="","",INDEX(Manual_Review!$H$6:$H$238,U36))</f>
        <v/>
      </c>
      <c r="X36" s="5" t="str">
        <f>IF(INDEX(Manual_Review!$I$6:$I$238,U36)="","",INDEX(Manual_Review!$I$6:$I$238,U36))</f>
        <v/>
      </c>
      <c r="Y36" s="5" t="s">
        <v>2859</v>
      </c>
    </row>
    <row r="37" spans="1:25" ht="25.5">
      <c r="A37" s="5" t="s">
        <v>2928</v>
      </c>
      <c r="B37" s="5" t="s">
        <v>132</v>
      </c>
      <c r="C37" s="5" t="s">
        <v>133</v>
      </c>
      <c r="D37" s="5" t="s">
        <v>118</v>
      </c>
      <c r="E37" s="5" t="s">
        <v>2796</v>
      </c>
      <c r="F37" s="5" t="s">
        <v>2764</v>
      </c>
      <c r="G37" s="5">
        <v>1</v>
      </c>
      <c r="H37" s="5" t="s">
        <v>2864</v>
      </c>
      <c r="I37" s="5" t="str">
        <f>IF(INDEX(Manual_Review!$Z$6:$Z$238,U37)="","",INDEX(Manual_Review!$Z$6:$Z$238,U37))</f>
        <v/>
      </c>
      <c r="J37" s="5" t="str">
        <f t="shared" si="0"/>
        <v>AI provisional</v>
      </c>
      <c r="K37" s="5" t="str">
        <f t="shared" si="1"/>
        <v>U</v>
      </c>
      <c r="L37" s="5" t="s">
        <v>140</v>
      </c>
      <c r="M37" s="5" t="s">
        <v>2929</v>
      </c>
      <c r="N37" s="5" t="s">
        <v>2902</v>
      </c>
      <c r="O37" s="5" t="s">
        <v>2899</v>
      </c>
      <c r="P37" s="5" t="s">
        <v>2858</v>
      </c>
      <c r="Q37" s="11">
        <v>46306.5</v>
      </c>
      <c r="R37" s="6"/>
      <c r="S37" s="6"/>
      <c r="T37" s="6"/>
      <c r="U37" s="5">
        <f>MATCH(B37,Manual_Review!$A$6:$A$238,0)</f>
        <v>2</v>
      </c>
      <c r="V37" s="5" t="str">
        <f>IF(INDEX(Manual_Review!$G$6:$G$238,U37)="","",INDEX(Manual_Review!$G$6:$G$238,U37))</f>
        <v/>
      </c>
      <c r="W37" s="11" t="str">
        <f>IF(INDEX(Manual_Review!$H$6:$H$238,U37)="","",INDEX(Manual_Review!$H$6:$H$238,U37))</f>
        <v/>
      </c>
      <c r="X37" s="5" t="str">
        <f>IF(INDEX(Manual_Review!$I$6:$I$238,U37)="","",INDEX(Manual_Review!$I$6:$I$238,U37))</f>
        <v/>
      </c>
      <c r="Y37" s="5" t="s">
        <v>2859</v>
      </c>
    </row>
    <row r="38" spans="1:25" ht="25.5">
      <c r="A38" s="5" t="s">
        <v>2930</v>
      </c>
      <c r="B38" s="5" t="s">
        <v>142</v>
      </c>
      <c r="C38" s="5" t="s">
        <v>143</v>
      </c>
      <c r="D38" s="5" t="s">
        <v>118</v>
      </c>
      <c r="E38" s="5" t="s">
        <v>2781</v>
      </c>
      <c r="F38" s="5" t="s">
        <v>2754</v>
      </c>
      <c r="G38" s="5">
        <v>1</v>
      </c>
      <c r="H38" s="5" t="s">
        <v>2854</v>
      </c>
      <c r="I38" s="5" t="str">
        <f>IF(INDEX(Manual_Review!$K$6:$K$238,U38)="","",INDEX(Manual_Review!$K$6:$K$238,U38))</f>
        <v/>
      </c>
      <c r="J38" s="5" t="str">
        <f t="shared" si="0"/>
        <v>AI provisional</v>
      </c>
      <c r="K38" s="5" t="str">
        <f t="shared" si="1"/>
        <v>Y</v>
      </c>
      <c r="L38" s="5" t="s">
        <v>150</v>
      </c>
      <c r="M38" s="5" t="s">
        <v>2931</v>
      </c>
      <c r="N38" s="5" t="s">
        <v>2932</v>
      </c>
      <c r="O38" s="5" t="s">
        <v>2857</v>
      </c>
      <c r="P38" s="5" t="s">
        <v>2858</v>
      </c>
      <c r="Q38" s="11">
        <v>46306.5</v>
      </c>
      <c r="R38" s="6"/>
      <c r="S38" s="6"/>
      <c r="T38" s="6"/>
      <c r="U38" s="5">
        <f>MATCH(B38,Manual_Review!$A$6:$A$238,0)</f>
        <v>3</v>
      </c>
      <c r="V38" s="5" t="str">
        <f>IF(INDEX(Manual_Review!$G$6:$G$238,U38)="","",INDEX(Manual_Review!$G$6:$G$238,U38))</f>
        <v/>
      </c>
      <c r="W38" s="11" t="str">
        <f>IF(INDEX(Manual_Review!$H$6:$H$238,U38)="","",INDEX(Manual_Review!$H$6:$H$238,U38))</f>
        <v/>
      </c>
      <c r="X38" s="5" t="str">
        <f>IF(INDEX(Manual_Review!$I$6:$I$238,U38)="","",INDEX(Manual_Review!$I$6:$I$238,U38))</f>
        <v/>
      </c>
      <c r="Y38" s="5" t="s">
        <v>2859</v>
      </c>
    </row>
    <row r="39" spans="1:25" ht="25.5">
      <c r="A39" s="5" t="s">
        <v>2933</v>
      </c>
      <c r="B39" s="5" t="s">
        <v>142</v>
      </c>
      <c r="C39" s="5" t="s">
        <v>143</v>
      </c>
      <c r="D39" s="5" t="s">
        <v>118</v>
      </c>
      <c r="E39" s="5" t="s">
        <v>2782</v>
      </c>
      <c r="F39" s="5" t="s">
        <v>2754</v>
      </c>
      <c r="G39" s="5">
        <v>1</v>
      </c>
      <c r="H39" s="5" t="s">
        <v>2854</v>
      </c>
      <c r="I39" s="5" t="str">
        <f>IF(INDEX(Manual_Review!$L$6:$L$238,U39)="","",INDEX(Manual_Review!$L$6:$L$238,U39))</f>
        <v/>
      </c>
      <c r="J39" s="5" t="str">
        <f t="shared" si="0"/>
        <v>AI provisional</v>
      </c>
      <c r="K39" s="5" t="str">
        <f t="shared" si="1"/>
        <v>Y</v>
      </c>
      <c r="L39" s="5" t="s">
        <v>150</v>
      </c>
      <c r="M39" s="5" t="s">
        <v>2934</v>
      </c>
      <c r="N39" s="5" t="s">
        <v>2932</v>
      </c>
      <c r="O39" s="5" t="s">
        <v>2862</v>
      </c>
      <c r="P39" s="5" t="s">
        <v>2858</v>
      </c>
      <c r="Q39" s="11">
        <v>46306.5</v>
      </c>
      <c r="R39" s="6"/>
      <c r="S39" s="6"/>
      <c r="T39" s="6"/>
      <c r="U39" s="5">
        <f>MATCH(B39,Manual_Review!$A$6:$A$238,0)</f>
        <v>3</v>
      </c>
      <c r="V39" s="5" t="str">
        <f>IF(INDEX(Manual_Review!$G$6:$G$238,U39)="","",INDEX(Manual_Review!$G$6:$G$238,U39))</f>
        <v/>
      </c>
      <c r="W39" s="11" t="str">
        <f>IF(INDEX(Manual_Review!$H$6:$H$238,U39)="","",INDEX(Manual_Review!$H$6:$H$238,U39))</f>
        <v/>
      </c>
      <c r="X39" s="5" t="str">
        <f>IF(INDEX(Manual_Review!$I$6:$I$238,U39)="","",INDEX(Manual_Review!$I$6:$I$238,U39))</f>
        <v/>
      </c>
      <c r="Y39" s="5" t="s">
        <v>2859</v>
      </c>
    </row>
    <row r="40" spans="1:25" ht="25.5">
      <c r="A40" s="5" t="s">
        <v>2935</v>
      </c>
      <c r="B40" s="5" t="s">
        <v>142</v>
      </c>
      <c r="C40" s="5" t="s">
        <v>143</v>
      </c>
      <c r="D40" s="5" t="s">
        <v>118</v>
      </c>
      <c r="E40" s="5" t="s">
        <v>2783</v>
      </c>
      <c r="F40" s="5" t="s">
        <v>2754</v>
      </c>
      <c r="G40" s="5">
        <v>1</v>
      </c>
      <c r="H40" s="5" t="s">
        <v>2864</v>
      </c>
      <c r="I40" s="5" t="str">
        <f>IF(INDEX(Manual_Review!$M$6:$M$238,U40)="","",INDEX(Manual_Review!$M$6:$M$238,U40))</f>
        <v/>
      </c>
      <c r="J40" s="5" t="str">
        <f t="shared" si="0"/>
        <v>AI provisional</v>
      </c>
      <c r="K40" s="5" t="str">
        <f t="shared" si="1"/>
        <v>U</v>
      </c>
      <c r="L40" s="5" t="s">
        <v>150</v>
      </c>
      <c r="M40" s="5" t="s">
        <v>2936</v>
      </c>
      <c r="N40" s="5" t="s">
        <v>2932</v>
      </c>
      <c r="O40" s="5" t="s">
        <v>2866</v>
      </c>
      <c r="P40" s="5" t="s">
        <v>2858</v>
      </c>
      <c r="Q40" s="11">
        <v>46306.5</v>
      </c>
      <c r="R40" s="6"/>
      <c r="S40" s="6"/>
      <c r="T40" s="6"/>
      <c r="U40" s="5">
        <f>MATCH(B40,Manual_Review!$A$6:$A$238,0)</f>
        <v>3</v>
      </c>
      <c r="V40" s="5" t="str">
        <f>IF(INDEX(Manual_Review!$G$6:$G$238,U40)="","",INDEX(Manual_Review!$G$6:$G$238,U40))</f>
        <v/>
      </c>
      <c r="W40" s="11" t="str">
        <f>IF(INDEX(Manual_Review!$H$6:$H$238,U40)="","",INDEX(Manual_Review!$H$6:$H$238,U40))</f>
        <v/>
      </c>
      <c r="X40" s="5" t="str">
        <f>IF(INDEX(Manual_Review!$I$6:$I$238,U40)="","",INDEX(Manual_Review!$I$6:$I$238,U40))</f>
        <v/>
      </c>
      <c r="Y40" s="5" t="s">
        <v>2859</v>
      </c>
    </row>
    <row r="41" spans="1:25" ht="25.5">
      <c r="A41" s="5" t="s">
        <v>2937</v>
      </c>
      <c r="B41" s="5" t="s">
        <v>142</v>
      </c>
      <c r="C41" s="5" t="s">
        <v>143</v>
      </c>
      <c r="D41" s="5" t="s">
        <v>118</v>
      </c>
      <c r="E41" s="5" t="s">
        <v>2784</v>
      </c>
      <c r="F41" s="5" t="s">
        <v>2756</v>
      </c>
      <c r="G41" s="5">
        <v>1</v>
      </c>
      <c r="H41" s="5" t="s">
        <v>2864</v>
      </c>
      <c r="I41" s="5" t="str">
        <f>IF(INDEX(Manual_Review!$N$6:$N$238,U41)="","",INDEX(Manual_Review!$N$6:$N$238,U41))</f>
        <v/>
      </c>
      <c r="J41" s="5" t="str">
        <f t="shared" si="0"/>
        <v>AI provisional</v>
      </c>
      <c r="K41" s="5" t="str">
        <f t="shared" si="1"/>
        <v>U</v>
      </c>
      <c r="L41" s="5" t="s">
        <v>150</v>
      </c>
      <c r="M41" s="5" t="s">
        <v>2938</v>
      </c>
      <c r="N41" s="5" t="s">
        <v>2932</v>
      </c>
      <c r="O41" s="5" t="s">
        <v>2869</v>
      </c>
      <c r="P41" s="5" t="s">
        <v>2858</v>
      </c>
      <c r="Q41" s="11">
        <v>46306.5</v>
      </c>
      <c r="R41" s="6"/>
      <c r="S41" s="6"/>
      <c r="T41" s="6"/>
      <c r="U41" s="5">
        <f>MATCH(B41,Manual_Review!$A$6:$A$238,0)</f>
        <v>3</v>
      </c>
      <c r="V41" s="5" t="str">
        <f>IF(INDEX(Manual_Review!$G$6:$G$238,U41)="","",INDEX(Manual_Review!$G$6:$G$238,U41))</f>
        <v/>
      </c>
      <c r="W41" s="11" t="str">
        <f>IF(INDEX(Manual_Review!$H$6:$H$238,U41)="","",INDEX(Manual_Review!$H$6:$H$238,U41))</f>
        <v/>
      </c>
      <c r="X41" s="5" t="str">
        <f>IF(INDEX(Manual_Review!$I$6:$I$238,U41)="","",INDEX(Manual_Review!$I$6:$I$238,U41))</f>
        <v/>
      </c>
      <c r="Y41" s="5" t="s">
        <v>2859</v>
      </c>
    </row>
    <row r="42" spans="1:25" ht="25.5">
      <c r="A42" s="5" t="s">
        <v>2939</v>
      </c>
      <c r="B42" s="5" t="s">
        <v>142</v>
      </c>
      <c r="C42" s="5" t="s">
        <v>143</v>
      </c>
      <c r="D42" s="5" t="s">
        <v>118</v>
      </c>
      <c r="E42" s="5" t="s">
        <v>2785</v>
      </c>
      <c r="F42" s="5" t="s">
        <v>2756</v>
      </c>
      <c r="G42" s="5">
        <v>1</v>
      </c>
      <c r="H42" s="5" t="s">
        <v>2864</v>
      </c>
      <c r="I42" s="5" t="str">
        <f>IF(INDEX(Manual_Review!$O$6:$O$238,U42)="","",INDEX(Manual_Review!$O$6:$O$238,U42))</f>
        <v/>
      </c>
      <c r="J42" s="5" t="str">
        <f t="shared" si="0"/>
        <v>AI provisional</v>
      </c>
      <c r="K42" s="5" t="str">
        <f t="shared" si="1"/>
        <v>U</v>
      </c>
      <c r="L42" s="5" t="s">
        <v>150</v>
      </c>
      <c r="M42" s="5" t="s">
        <v>2936</v>
      </c>
      <c r="N42" s="5" t="s">
        <v>2932</v>
      </c>
      <c r="O42" s="5" t="s">
        <v>2872</v>
      </c>
      <c r="P42" s="5" t="s">
        <v>2858</v>
      </c>
      <c r="Q42" s="11">
        <v>46306.5</v>
      </c>
      <c r="R42" s="6"/>
      <c r="S42" s="6"/>
      <c r="T42" s="6"/>
      <c r="U42" s="5">
        <f>MATCH(B42,Manual_Review!$A$6:$A$238,0)</f>
        <v>3</v>
      </c>
      <c r="V42" s="5" t="str">
        <f>IF(INDEX(Manual_Review!$G$6:$G$238,U42)="","",INDEX(Manual_Review!$G$6:$G$238,U42))</f>
        <v/>
      </c>
      <c r="W42" s="11" t="str">
        <f>IF(INDEX(Manual_Review!$H$6:$H$238,U42)="","",INDEX(Manual_Review!$H$6:$H$238,U42))</f>
        <v/>
      </c>
      <c r="X42" s="5" t="str">
        <f>IF(INDEX(Manual_Review!$I$6:$I$238,U42)="","",INDEX(Manual_Review!$I$6:$I$238,U42))</f>
        <v/>
      </c>
      <c r="Y42" s="5" t="s">
        <v>2859</v>
      </c>
    </row>
    <row r="43" spans="1:25" ht="25.5">
      <c r="A43" s="5" t="s">
        <v>2940</v>
      </c>
      <c r="B43" s="5" t="s">
        <v>142</v>
      </c>
      <c r="C43" s="5" t="s">
        <v>143</v>
      </c>
      <c r="D43" s="5" t="s">
        <v>118</v>
      </c>
      <c r="E43" s="5" t="s">
        <v>2786</v>
      </c>
      <c r="F43" s="5" t="s">
        <v>2756</v>
      </c>
      <c r="G43" s="5">
        <v>1</v>
      </c>
      <c r="H43" s="5" t="s">
        <v>2864</v>
      </c>
      <c r="I43" s="5" t="str">
        <f>IF(INDEX(Manual_Review!$P$6:$P$238,U43)="","",INDEX(Manual_Review!$P$6:$P$238,U43))</f>
        <v/>
      </c>
      <c r="J43" s="5" t="str">
        <f t="shared" si="0"/>
        <v>AI provisional</v>
      </c>
      <c r="K43" s="5" t="str">
        <f t="shared" si="1"/>
        <v>U</v>
      </c>
      <c r="L43" s="5" t="s">
        <v>150</v>
      </c>
      <c r="M43" s="5" t="s">
        <v>2936</v>
      </c>
      <c r="N43" s="5" t="s">
        <v>2932</v>
      </c>
      <c r="O43" s="5" t="s">
        <v>2874</v>
      </c>
      <c r="P43" s="5" t="s">
        <v>2858</v>
      </c>
      <c r="Q43" s="11">
        <v>46306.5</v>
      </c>
      <c r="R43" s="6"/>
      <c r="S43" s="6"/>
      <c r="T43" s="6"/>
      <c r="U43" s="5">
        <f>MATCH(B43,Manual_Review!$A$6:$A$238,0)</f>
        <v>3</v>
      </c>
      <c r="V43" s="5" t="str">
        <f>IF(INDEX(Manual_Review!$G$6:$G$238,U43)="","",INDEX(Manual_Review!$G$6:$G$238,U43))</f>
        <v/>
      </c>
      <c r="W43" s="11" t="str">
        <f>IF(INDEX(Manual_Review!$H$6:$H$238,U43)="","",INDEX(Manual_Review!$H$6:$H$238,U43))</f>
        <v/>
      </c>
      <c r="X43" s="5" t="str">
        <f>IF(INDEX(Manual_Review!$I$6:$I$238,U43)="","",INDEX(Manual_Review!$I$6:$I$238,U43))</f>
        <v/>
      </c>
      <c r="Y43" s="5" t="s">
        <v>2859</v>
      </c>
    </row>
    <row r="44" spans="1:25" ht="25.5">
      <c r="A44" s="5" t="s">
        <v>2941</v>
      </c>
      <c r="B44" s="5" t="s">
        <v>142</v>
      </c>
      <c r="C44" s="5" t="s">
        <v>143</v>
      </c>
      <c r="D44" s="5" t="s">
        <v>118</v>
      </c>
      <c r="E44" s="5" t="s">
        <v>2787</v>
      </c>
      <c r="F44" s="5" t="s">
        <v>2758</v>
      </c>
      <c r="G44" s="5">
        <v>1</v>
      </c>
      <c r="H44" s="5" t="s">
        <v>2864</v>
      </c>
      <c r="I44" s="5" t="str">
        <f>IF(INDEX(Manual_Review!$Q$6:$Q$238,U44)="","",INDEX(Manual_Review!$Q$6:$Q$238,U44))</f>
        <v/>
      </c>
      <c r="J44" s="5" t="str">
        <f t="shared" si="0"/>
        <v>AI provisional</v>
      </c>
      <c r="K44" s="5" t="str">
        <f t="shared" si="1"/>
        <v>U</v>
      </c>
      <c r="L44" s="5" t="s">
        <v>150</v>
      </c>
      <c r="M44" s="5" t="s">
        <v>2936</v>
      </c>
      <c r="N44" s="5" t="s">
        <v>2932</v>
      </c>
      <c r="O44" s="5" t="s">
        <v>2877</v>
      </c>
      <c r="P44" s="5" t="s">
        <v>2858</v>
      </c>
      <c r="Q44" s="11">
        <v>46306.5</v>
      </c>
      <c r="R44" s="6"/>
      <c r="S44" s="6"/>
      <c r="T44" s="6"/>
      <c r="U44" s="5">
        <f>MATCH(B44,Manual_Review!$A$6:$A$238,0)</f>
        <v>3</v>
      </c>
      <c r="V44" s="5" t="str">
        <f>IF(INDEX(Manual_Review!$G$6:$G$238,U44)="","",INDEX(Manual_Review!$G$6:$G$238,U44))</f>
        <v/>
      </c>
      <c r="W44" s="11" t="str">
        <f>IF(INDEX(Manual_Review!$H$6:$H$238,U44)="","",INDEX(Manual_Review!$H$6:$H$238,U44))</f>
        <v/>
      </c>
      <c r="X44" s="5" t="str">
        <f>IF(INDEX(Manual_Review!$I$6:$I$238,U44)="","",INDEX(Manual_Review!$I$6:$I$238,U44))</f>
        <v/>
      </c>
      <c r="Y44" s="5" t="s">
        <v>2859</v>
      </c>
    </row>
    <row r="45" spans="1:25" ht="25.5">
      <c r="A45" s="5" t="s">
        <v>2942</v>
      </c>
      <c r="B45" s="5" t="s">
        <v>142</v>
      </c>
      <c r="C45" s="5" t="s">
        <v>143</v>
      </c>
      <c r="D45" s="5" t="s">
        <v>118</v>
      </c>
      <c r="E45" s="5" t="s">
        <v>2788</v>
      </c>
      <c r="F45" s="5" t="s">
        <v>2758</v>
      </c>
      <c r="G45" s="5">
        <v>1</v>
      </c>
      <c r="H45" s="5" t="s">
        <v>2864</v>
      </c>
      <c r="I45" s="5" t="str">
        <f>IF(INDEX(Manual_Review!$R$6:$R$238,U45)="","",INDEX(Manual_Review!$R$6:$R$238,U45))</f>
        <v/>
      </c>
      <c r="J45" s="5" t="str">
        <f t="shared" si="0"/>
        <v>AI provisional</v>
      </c>
      <c r="K45" s="5" t="str">
        <f t="shared" si="1"/>
        <v>U</v>
      </c>
      <c r="L45" s="5" t="s">
        <v>150</v>
      </c>
      <c r="M45" s="5" t="s">
        <v>2943</v>
      </c>
      <c r="N45" s="5" t="s">
        <v>2932</v>
      </c>
      <c r="O45" s="5" t="s">
        <v>2880</v>
      </c>
      <c r="P45" s="5" t="s">
        <v>2858</v>
      </c>
      <c r="Q45" s="11">
        <v>46306.5</v>
      </c>
      <c r="R45" s="6"/>
      <c r="S45" s="6"/>
      <c r="T45" s="6"/>
      <c r="U45" s="5">
        <f>MATCH(B45,Manual_Review!$A$6:$A$238,0)</f>
        <v>3</v>
      </c>
      <c r="V45" s="5" t="str">
        <f>IF(INDEX(Manual_Review!$G$6:$G$238,U45)="","",INDEX(Manual_Review!$G$6:$G$238,U45))</f>
        <v/>
      </c>
      <c r="W45" s="11" t="str">
        <f>IF(INDEX(Manual_Review!$H$6:$H$238,U45)="","",INDEX(Manual_Review!$H$6:$H$238,U45))</f>
        <v/>
      </c>
      <c r="X45" s="5" t="str">
        <f>IF(INDEX(Manual_Review!$I$6:$I$238,U45)="","",INDEX(Manual_Review!$I$6:$I$238,U45))</f>
        <v/>
      </c>
      <c r="Y45" s="5" t="s">
        <v>2859</v>
      </c>
    </row>
    <row r="46" spans="1:25" ht="25.5">
      <c r="A46" s="5" t="s">
        <v>2944</v>
      </c>
      <c r="B46" s="5" t="s">
        <v>142</v>
      </c>
      <c r="C46" s="5" t="s">
        <v>143</v>
      </c>
      <c r="D46" s="5" t="s">
        <v>118</v>
      </c>
      <c r="E46" s="5" t="s">
        <v>2789</v>
      </c>
      <c r="F46" s="5" t="s">
        <v>2758</v>
      </c>
      <c r="G46" s="5">
        <v>1</v>
      </c>
      <c r="H46" s="5" t="s">
        <v>2864</v>
      </c>
      <c r="I46" s="5" t="str">
        <f>IF(INDEX(Manual_Review!$S$6:$S$238,U46)="","",INDEX(Manual_Review!$S$6:$S$238,U46))</f>
        <v/>
      </c>
      <c r="J46" s="5" t="str">
        <f t="shared" si="0"/>
        <v>AI provisional</v>
      </c>
      <c r="K46" s="5" t="str">
        <f t="shared" si="1"/>
        <v>U</v>
      </c>
      <c r="L46" s="5" t="s">
        <v>150</v>
      </c>
      <c r="M46" s="5" t="s">
        <v>2945</v>
      </c>
      <c r="N46" s="5" t="s">
        <v>2932</v>
      </c>
      <c r="O46" s="5" t="s">
        <v>2883</v>
      </c>
      <c r="P46" s="5" t="s">
        <v>2858</v>
      </c>
      <c r="Q46" s="11">
        <v>46306.5</v>
      </c>
      <c r="R46" s="6"/>
      <c r="S46" s="6"/>
      <c r="T46" s="6"/>
      <c r="U46" s="5">
        <f>MATCH(B46,Manual_Review!$A$6:$A$238,0)</f>
        <v>3</v>
      </c>
      <c r="V46" s="5" t="str">
        <f>IF(INDEX(Manual_Review!$G$6:$G$238,U46)="","",INDEX(Manual_Review!$G$6:$G$238,U46))</f>
        <v/>
      </c>
      <c r="W46" s="11" t="str">
        <f>IF(INDEX(Manual_Review!$H$6:$H$238,U46)="","",INDEX(Manual_Review!$H$6:$H$238,U46))</f>
        <v/>
      </c>
      <c r="X46" s="5" t="str">
        <f>IF(INDEX(Manual_Review!$I$6:$I$238,U46)="","",INDEX(Manual_Review!$I$6:$I$238,U46))</f>
        <v/>
      </c>
      <c r="Y46" s="5" t="s">
        <v>2859</v>
      </c>
    </row>
    <row r="47" spans="1:25" ht="25.5">
      <c r="A47" s="5" t="s">
        <v>2946</v>
      </c>
      <c r="B47" s="5" t="s">
        <v>142</v>
      </c>
      <c r="C47" s="5" t="s">
        <v>143</v>
      </c>
      <c r="D47" s="5" t="s">
        <v>118</v>
      </c>
      <c r="E47" s="5" t="s">
        <v>2790</v>
      </c>
      <c r="F47" s="5" t="s">
        <v>2760</v>
      </c>
      <c r="G47" s="5">
        <v>1</v>
      </c>
      <c r="H47" s="5" t="s">
        <v>2864</v>
      </c>
      <c r="I47" s="5" t="str">
        <f>IF(INDEX(Manual_Review!$T$6:$T$238,U47)="","",INDEX(Manual_Review!$T$6:$T$238,U47))</f>
        <v/>
      </c>
      <c r="J47" s="5" t="str">
        <f t="shared" si="0"/>
        <v>AI provisional</v>
      </c>
      <c r="K47" s="5" t="str">
        <f t="shared" si="1"/>
        <v>U</v>
      </c>
      <c r="L47" s="5" t="s">
        <v>150</v>
      </c>
      <c r="M47" s="5" t="s">
        <v>2936</v>
      </c>
      <c r="N47" s="5" t="s">
        <v>2932</v>
      </c>
      <c r="O47" s="5" t="s">
        <v>2885</v>
      </c>
      <c r="P47" s="5" t="s">
        <v>2858</v>
      </c>
      <c r="Q47" s="11">
        <v>46306.5</v>
      </c>
      <c r="R47" s="6"/>
      <c r="S47" s="6"/>
      <c r="T47" s="6"/>
      <c r="U47" s="5">
        <f>MATCH(B47,Manual_Review!$A$6:$A$238,0)</f>
        <v>3</v>
      </c>
      <c r="V47" s="5" t="str">
        <f>IF(INDEX(Manual_Review!$G$6:$G$238,U47)="","",INDEX(Manual_Review!$G$6:$G$238,U47))</f>
        <v/>
      </c>
      <c r="W47" s="11" t="str">
        <f>IF(INDEX(Manual_Review!$H$6:$H$238,U47)="","",INDEX(Manual_Review!$H$6:$H$238,U47))</f>
        <v/>
      </c>
      <c r="X47" s="5" t="str">
        <f>IF(INDEX(Manual_Review!$I$6:$I$238,U47)="","",INDEX(Manual_Review!$I$6:$I$238,U47))</f>
        <v/>
      </c>
      <c r="Y47" s="5" t="s">
        <v>2859</v>
      </c>
    </row>
    <row r="48" spans="1:25" ht="25.5">
      <c r="A48" s="5" t="s">
        <v>2947</v>
      </c>
      <c r="B48" s="5" t="s">
        <v>142</v>
      </c>
      <c r="C48" s="5" t="s">
        <v>143</v>
      </c>
      <c r="D48" s="5" t="s">
        <v>118</v>
      </c>
      <c r="E48" s="5" t="s">
        <v>2791</v>
      </c>
      <c r="F48" s="5" t="s">
        <v>2760</v>
      </c>
      <c r="G48" s="5">
        <v>1</v>
      </c>
      <c r="H48" s="5" t="s">
        <v>2864</v>
      </c>
      <c r="I48" s="5" t="str">
        <f>IF(INDEX(Manual_Review!$U$6:$U$238,U48)="","",INDEX(Manual_Review!$U$6:$U$238,U48))</f>
        <v/>
      </c>
      <c r="J48" s="5" t="str">
        <f t="shared" si="0"/>
        <v>AI provisional</v>
      </c>
      <c r="K48" s="5" t="str">
        <f t="shared" si="1"/>
        <v>U</v>
      </c>
      <c r="L48" s="5" t="s">
        <v>150</v>
      </c>
      <c r="M48" s="5" t="s">
        <v>2936</v>
      </c>
      <c r="N48" s="5" t="s">
        <v>2932</v>
      </c>
      <c r="O48" s="5" t="s">
        <v>2888</v>
      </c>
      <c r="P48" s="5" t="s">
        <v>2858</v>
      </c>
      <c r="Q48" s="11">
        <v>46306.5</v>
      </c>
      <c r="R48" s="6"/>
      <c r="S48" s="6"/>
      <c r="T48" s="6"/>
      <c r="U48" s="5">
        <f>MATCH(B48,Manual_Review!$A$6:$A$238,0)</f>
        <v>3</v>
      </c>
      <c r="V48" s="5" t="str">
        <f>IF(INDEX(Manual_Review!$G$6:$G$238,U48)="","",INDEX(Manual_Review!$G$6:$G$238,U48))</f>
        <v/>
      </c>
      <c r="W48" s="11" t="str">
        <f>IF(INDEX(Manual_Review!$H$6:$H$238,U48)="","",INDEX(Manual_Review!$H$6:$H$238,U48))</f>
        <v/>
      </c>
      <c r="X48" s="5" t="str">
        <f>IF(INDEX(Manual_Review!$I$6:$I$238,U48)="","",INDEX(Manual_Review!$I$6:$I$238,U48))</f>
        <v/>
      </c>
      <c r="Y48" s="5" t="s">
        <v>2859</v>
      </c>
    </row>
    <row r="49" spans="1:25" ht="25.5">
      <c r="A49" s="5" t="s">
        <v>2948</v>
      </c>
      <c r="B49" s="5" t="s">
        <v>142</v>
      </c>
      <c r="C49" s="5" t="s">
        <v>143</v>
      </c>
      <c r="D49" s="5" t="s">
        <v>118</v>
      </c>
      <c r="E49" s="5" t="s">
        <v>2792</v>
      </c>
      <c r="F49" s="5" t="s">
        <v>2762</v>
      </c>
      <c r="G49" s="5">
        <v>1</v>
      </c>
      <c r="H49" s="5" t="s">
        <v>2864</v>
      </c>
      <c r="I49" s="5" t="str">
        <f>IF(INDEX(Manual_Review!$V$6:$V$238,U49)="","",INDEX(Manual_Review!$V$6:$V$238,U49))</f>
        <v/>
      </c>
      <c r="J49" s="5" t="str">
        <f t="shared" si="0"/>
        <v>AI provisional</v>
      </c>
      <c r="K49" s="5" t="str">
        <f t="shared" si="1"/>
        <v>U</v>
      </c>
      <c r="L49" s="5" t="s">
        <v>150</v>
      </c>
      <c r="M49" s="5" t="s">
        <v>2949</v>
      </c>
      <c r="N49" s="5" t="s">
        <v>2932</v>
      </c>
      <c r="O49" s="5" t="s">
        <v>2891</v>
      </c>
      <c r="P49" s="5" t="s">
        <v>2858</v>
      </c>
      <c r="Q49" s="11">
        <v>46306.5</v>
      </c>
      <c r="R49" s="6"/>
      <c r="S49" s="6"/>
      <c r="T49" s="6"/>
      <c r="U49" s="5">
        <f>MATCH(B49,Manual_Review!$A$6:$A$238,0)</f>
        <v>3</v>
      </c>
      <c r="V49" s="5" t="str">
        <f>IF(INDEX(Manual_Review!$G$6:$G$238,U49)="","",INDEX(Manual_Review!$G$6:$G$238,U49))</f>
        <v/>
      </c>
      <c r="W49" s="11" t="str">
        <f>IF(INDEX(Manual_Review!$H$6:$H$238,U49)="","",INDEX(Manual_Review!$H$6:$H$238,U49))</f>
        <v/>
      </c>
      <c r="X49" s="5" t="str">
        <f>IF(INDEX(Manual_Review!$I$6:$I$238,U49)="","",INDEX(Manual_Review!$I$6:$I$238,U49))</f>
        <v/>
      </c>
      <c r="Y49" s="5" t="s">
        <v>2859</v>
      </c>
    </row>
    <row r="50" spans="1:25" ht="25.5">
      <c r="A50" s="5" t="s">
        <v>2950</v>
      </c>
      <c r="B50" s="5" t="s">
        <v>142</v>
      </c>
      <c r="C50" s="5" t="s">
        <v>143</v>
      </c>
      <c r="D50" s="5" t="s">
        <v>118</v>
      </c>
      <c r="E50" s="5" t="s">
        <v>2793</v>
      </c>
      <c r="F50" s="5" t="s">
        <v>2762</v>
      </c>
      <c r="G50" s="5">
        <v>1</v>
      </c>
      <c r="H50" s="5" t="s">
        <v>2864</v>
      </c>
      <c r="I50" s="5" t="str">
        <f>IF(INDEX(Manual_Review!$W$6:$W$238,U50)="","",INDEX(Manual_Review!$W$6:$W$238,U50))</f>
        <v/>
      </c>
      <c r="J50" s="5" t="str">
        <f t="shared" si="0"/>
        <v>AI provisional</v>
      </c>
      <c r="K50" s="5" t="str">
        <f t="shared" si="1"/>
        <v>U</v>
      </c>
      <c r="L50" s="5" t="s">
        <v>150</v>
      </c>
      <c r="M50" s="5" t="s">
        <v>2949</v>
      </c>
      <c r="N50" s="5" t="s">
        <v>2932</v>
      </c>
      <c r="O50" s="5" t="s">
        <v>2893</v>
      </c>
      <c r="P50" s="5" t="s">
        <v>2858</v>
      </c>
      <c r="Q50" s="11">
        <v>46306.5</v>
      </c>
      <c r="R50" s="6"/>
      <c r="S50" s="6"/>
      <c r="T50" s="6"/>
      <c r="U50" s="5">
        <f>MATCH(B50,Manual_Review!$A$6:$A$238,0)</f>
        <v>3</v>
      </c>
      <c r="V50" s="5" t="str">
        <f>IF(INDEX(Manual_Review!$G$6:$G$238,U50)="","",INDEX(Manual_Review!$G$6:$G$238,U50))</f>
        <v/>
      </c>
      <c r="W50" s="11" t="str">
        <f>IF(INDEX(Manual_Review!$H$6:$H$238,U50)="","",INDEX(Manual_Review!$H$6:$H$238,U50))</f>
        <v/>
      </c>
      <c r="X50" s="5" t="str">
        <f>IF(INDEX(Manual_Review!$I$6:$I$238,U50)="","",INDEX(Manual_Review!$I$6:$I$238,U50))</f>
        <v/>
      </c>
      <c r="Y50" s="5" t="s">
        <v>2859</v>
      </c>
    </row>
    <row r="51" spans="1:25" ht="25.5">
      <c r="A51" s="5" t="s">
        <v>2951</v>
      </c>
      <c r="B51" s="5" t="s">
        <v>142</v>
      </c>
      <c r="C51" s="5" t="s">
        <v>143</v>
      </c>
      <c r="D51" s="5" t="s">
        <v>118</v>
      </c>
      <c r="E51" s="5" t="s">
        <v>2794</v>
      </c>
      <c r="F51" s="5" t="s">
        <v>2764</v>
      </c>
      <c r="G51" s="5">
        <v>1</v>
      </c>
      <c r="H51" s="5" t="s">
        <v>2864</v>
      </c>
      <c r="I51" s="5" t="str">
        <f>IF(INDEX(Manual_Review!$X$6:$X$238,U51)="","",INDEX(Manual_Review!$X$6:$X$238,U51))</f>
        <v/>
      </c>
      <c r="J51" s="5" t="str">
        <f t="shared" si="0"/>
        <v>AI provisional</v>
      </c>
      <c r="K51" s="5" t="str">
        <f t="shared" si="1"/>
        <v>U</v>
      </c>
      <c r="L51" s="5" t="s">
        <v>150</v>
      </c>
      <c r="M51" s="5" t="s">
        <v>2936</v>
      </c>
      <c r="N51" s="5" t="s">
        <v>2932</v>
      </c>
      <c r="O51" s="5" t="s">
        <v>2895</v>
      </c>
      <c r="P51" s="5" t="s">
        <v>2858</v>
      </c>
      <c r="Q51" s="11">
        <v>46306.5</v>
      </c>
      <c r="R51" s="6"/>
      <c r="S51" s="6"/>
      <c r="T51" s="6"/>
      <c r="U51" s="5">
        <f>MATCH(B51,Manual_Review!$A$6:$A$238,0)</f>
        <v>3</v>
      </c>
      <c r="V51" s="5" t="str">
        <f>IF(INDEX(Manual_Review!$G$6:$G$238,U51)="","",INDEX(Manual_Review!$G$6:$G$238,U51))</f>
        <v/>
      </c>
      <c r="W51" s="11" t="str">
        <f>IF(INDEX(Manual_Review!$H$6:$H$238,U51)="","",INDEX(Manual_Review!$H$6:$H$238,U51))</f>
        <v/>
      </c>
      <c r="X51" s="5" t="str">
        <f>IF(INDEX(Manual_Review!$I$6:$I$238,U51)="","",INDEX(Manual_Review!$I$6:$I$238,U51))</f>
        <v/>
      </c>
      <c r="Y51" s="5" t="s">
        <v>2859</v>
      </c>
    </row>
    <row r="52" spans="1:25" ht="25.5">
      <c r="A52" s="5" t="s">
        <v>2952</v>
      </c>
      <c r="B52" s="5" t="s">
        <v>142</v>
      </c>
      <c r="C52" s="5" t="s">
        <v>143</v>
      </c>
      <c r="D52" s="5" t="s">
        <v>118</v>
      </c>
      <c r="E52" s="5" t="s">
        <v>2795</v>
      </c>
      <c r="F52" s="5" t="s">
        <v>2764</v>
      </c>
      <c r="G52" s="5">
        <v>1</v>
      </c>
      <c r="H52" s="5" t="s">
        <v>2864</v>
      </c>
      <c r="I52" s="5" t="str">
        <f>IF(INDEX(Manual_Review!$Y$6:$Y$238,U52)="","",INDEX(Manual_Review!$Y$6:$Y$238,U52))</f>
        <v/>
      </c>
      <c r="J52" s="5" t="str">
        <f t="shared" si="0"/>
        <v>AI provisional</v>
      </c>
      <c r="K52" s="5" t="str">
        <f t="shared" si="1"/>
        <v>U</v>
      </c>
      <c r="L52" s="5" t="s">
        <v>150</v>
      </c>
      <c r="M52" s="5" t="s">
        <v>2936</v>
      </c>
      <c r="N52" s="5" t="s">
        <v>2932</v>
      </c>
      <c r="O52" s="5" t="s">
        <v>2897</v>
      </c>
      <c r="P52" s="5" t="s">
        <v>2858</v>
      </c>
      <c r="Q52" s="11">
        <v>46306.5</v>
      </c>
      <c r="R52" s="6"/>
      <c r="S52" s="6"/>
      <c r="T52" s="6"/>
      <c r="U52" s="5">
        <f>MATCH(B52,Manual_Review!$A$6:$A$238,0)</f>
        <v>3</v>
      </c>
      <c r="V52" s="5" t="str">
        <f>IF(INDEX(Manual_Review!$G$6:$G$238,U52)="","",INDEX(Manual_Review!$G$6:$G$238,U52))</f>
        <v/>
      </c>
      <c r="W52" s="11" t="str">
        <f>IF(INDEX(Manual_Review!$H$6:$H$238,U52)="","",INDEX(Manual_Review!$H$6:$H$238,U52))</f>
        <v/>
      </c>
      <c r="X52" s="5" t="str">
        <f>IF(INDEX(Manual_Review!$I$6:$I$238,U52)="","",INDEX(Manual_Review!$I$6:$I$238,U52))</f>
        <v/>
      </c>
      <c r="Y52" s="5" t="s">
        <v>2859</v>
      </c>
    </row>
    <row r="53" spans="1:25" ht="25.5">
      <c r="A53" s="5" t="s">
        <v>2953</v>
      </c>
      <c r="B53" s="5" t="s">
        <v>142</v>
      </c>
      <c r="C53" s="5" t="s">
        <v>143</v>
      </c>
      <c r="D53" s="5" t="s">
        <v>118</v>
      </c>
      <c r="E53" s="5" t="s">
        <v>2796</v>
      </c>
      <c r="F53" s="5" t="s">
        <v>2764</v>
      </c>
      <c r="G53" s="5">
        <v>1</v>
      </c>
      <c r="H53" s="5" t="s">
        <v>2864</v>
      </c>
      <c r="I53" s="5" t="str">
        <f>IF(INDEX(Manual_Review!$Z$6:$Z$238,U53)="","",INDEX(Manual_Review!$Z$6:$Z$238,U53))</f>
        <v/>
      </c>
      <c r="J53" s="5" t="str">
        <f t="shared" si="0"/>
        <v>AI provisional</v>
      </c>
      <c r="K53" s="5" t="str">
        <f t="shared" si="1"/>
        <v>U</v>
      </c>
      <c r="L53" s="5" t="s">
        <v>150</v>
      </c>
      <c r="M53" s="5" t="s">
        <v>2945</v>
      </c>
      <c r="N53" s="5" t="s">
        <v>2932</v>
      </c>
      <c r="O53" s="5" t="s">
        <v>2899</v>
      </c>
      <c r="P53" s="5" t="s">
        <v>2858</v>
      </c>
      <c r="Q53" s="11">
        <v>46306.5</v>
      </c>
      <c r="R53" s="6"/>
      <c r="S53" s="6"/>
      <c r="T53" s="6"/>
      <c r="U53" s="5">
        <f>MATCH(B53,Manual_Review!$A$6:$A$238,0)</f>
        <v>3</v>
      </c>
      <c r="V53" s="5" t="str">
        <f>IF(INDEX(Manual_Review!$G$6:$G$238,U53)="","",INDEX(Manual_Review!$G$6:$G$238,U53))</f>
        <v/>
      </c>
      <c r="W53" s="11" t="str">
        <f>IF(INDEX(Manual_Review!$H$6:$H$238,U53)="","",INDEX(Manual_Review!$H$6:$H$238,U53))</f>
        <v/>
      </c>
      <c r="X53" s="5" t="str">
        <f>IF(INDEX(Manual_Review!$I$6:$I$238,U53)="","",INDEX(Manual_Review!$I$6:$I$238,U53))</f>
        <v/>
      </c>
      <c r="Y53" s="5" t="s">
        <v>2859</v>
      </c>
    </row>
    <row r="54" spans="1:25" ht="25.5">
      <c r="A54" s="5" t="s">
        <v>2954</v>
      </c>
      <c r="B54" s="5" t="s">
        <v>152</v>
      </c>
      <c r="C54" s="5" t="s">
        <v>153</v>
      </c>
      <c r="D54" s="5" t="s">
        <v>118</v>
      </c>
      <c r="E54" s="5" t="s">
        <v>2781</v>
      </c>
      <c r="F54" s="5" t="s">
        <v>2754</v>
      </c>
      <c r="G54" s="5">
        <v>1</v>
      </c>
      <c r="H54" s="5" t="s">
        <v>2854</v>
      </c>
      <c r="I54" s="5" t="str">
        <f>IF(INDEX(Manual_Review!$K$6:$K$238,U54)="","",INDEX(Manual_Review!$K$6:$K$238,U54))</f>
        <v/>
      </c>
      <c r="J54" s="5" t="str">
        <f t="shared" si="0"/>
        <v>AI provisional</v>
      </c>
      <c r="K54" s="5" t="str">
        <f t="shared" si="1"/>
        <v>Y</v>
      </c>
      <c r="L54" s="5" t="s">
        <v>163</v>
      </c>
      <c r="M54" s="5" t="s">
        <v>2955</v>
      </c>
      <c r="N54" s="5" t="s">
        <v>2956</v>
      </c>
      <c r="O54" s="5" t="s">
        <v>2857</v>
      </c>
      <c r="P54" s="5" t="s">
        <v>2858</v>
      </c>
      <c r="Q54" s="11">
        <v>46306.5</v>
      </c>
      <c r="R54" s="6"/>
      <c r="S54" s="6"/>
      <c r="T54" s="6"/>
      <c r="U54" s="5">
        <f>MATCH(B54,Manual_Review!$A$6:$A$238,0)</f>
        <v>4</v>
      </c>
      <c r="V54" s="5" t="str">
        <f>IF(INDEX(Manual_Review!$G$6:$G$238,U54)="","",INDEX(Manual_Review!$G$6:$G$238,U54))</f>
        <v/>
      </c>
      <c r="W54" s="11" t="str">
        <f>IF(INDEX(Manual_Review!$H$6:$H$238,U54)="","",INDEX(Manual_Review!$H$6:$H$238,U54))</f>
        <v/>
      </c>
      <c r="X54" s="5" t="str">
        <f>IF(INDEX(Manual_Review!$I$6:$I$238,U54)="","",INDEX(Manual_Review!$I$6:$I$238,U54))</f>
        <v/>
      </c>
      <c r="Y54" s="5" t="s">
        <v>2859</v>
      </c>
    </row>
    <row r="55" spans="1:25" ht="25.5">
      <c r="A55" s="5" t="s">
        <v>2957</v>
      </c>
      <c r="B55" s="5" t="s">
        <v>152</v>
      </c>
      <c r="C55" s="5" t="s">
        <v>153</v>
      </c>
      <c r="D55" s="5" t="s">
        <v>118</v>
      </c>
      <c r="E55" s="5" t="s">
        <v>2782</v>
      </c>
      <c r="F55" s="5" t="s">
        <v>2754</v>
      </c>
      <c r="G55" s="5">
        <v>1</v>
      </c>
      <c r="H55" s="5" t="s">
        <v>2854</v>
      </c>
      <c r="I55" s="5" t="str">
        <f>IF(INDEX(Manual_Review!$L$6:$L$238,U55)="","",INDEX(Manual_Review!$L$6:$L$238,U55))</f>
        <v/>
      </c>
      <c r="J55" s="5" t="str">
        <f t="shared" si="0"/>
        <v>AI provisional</v>
      </c>
      <c r="K55" s="5" t="str">
        <f t="shared" si="1"/>
        <v>Y</v>
      </c>
      <c r="L55" s="5" t="s">
        <v>163</v>
      </c>
      <c r="M55" s="5" t="s">
        <v>2958</v>
      </c>
      <c r="N55" s="5" t="s">
        <v>2956</v>
      </c>
      <c r="O55" s="5" t="s">
        <v>2862</v>
      </c>
      <c r="P55" s="5" t="s">
        <v>2858</v>
      </c>
      <c r="Q55" s="11">
        <v>46306.5</v>
      </c>
      <c r="R55" s="6"/>
      <c r="S55" s="6"/>
      <c r="T55" s="6"/>
      <c r="U55" s="5">
        <f>MATCH(B55,Manual_Review!$A$6:$A$238,0)</f>
        <v>4</v>
      </c>
      <c r="V55" s="5" t="str">
        <f>IF(INDEX(Manual_Review!$G$6:$G$238,U55)="","",INDEX(Manual_Review!$G$6:$G$238,U55))</f>
        <v/>
      </c>
      <c r="W55" s="11" t="str">
        <f>IF(INDEX(Manual_Review!$H$6:$H$238,U55)="","",INDEX(Manual_Review!$H$6:$H$238,U55))</f>
        <v/>
      </c>
      <c r="X55" s="5" t="str">
        <f>IF(INDEX(Manual_Review!$I$6:$I$238,U55)="","",INDEX(Manual_Review!$I$6:$I$238,U55))</f>
        <v/>
      </c>
      <c r="Y55" s="5" t="s">
        <v>2859</v>
      </c>
    </row>
    <row r="56" spans="1:25" ht="25.5">
      <c r="A56" s="5" t="s">
        <v>2959</v>
      </c>
      <c r="B56" s="5" t="s">
        <v>152</v>
      </c>
      <c r="C56" s="5" t="s">
        <v>153</v>
      </c>
      <c r="D56" s="5" t="s">
        <v>118</v>
      </c>
      <c r="E56" s="5" t="s">
        <v>2783</v>
      </c>
      <c r="F56" s="5" t="s">
        <v>2754</v>
      </c>
      <c r="G56" s="5">
        <v>1</v>
      </c>
      <c r="H56" s="5" t="s">
        <v>2864</v>
      </c>
      <c r="I56" s="5" t="str">
        <f>IF(INDEX(Manual_Review!$M$6:$M$238,U56)="","",INDEX(Manual_Review!$M$6:$M$238,U56))</f>
        <v/>
      </c>
      <c r="J56" s="5" t="str">
        <f t="shared" si="0"/>
        <v>AI provisional</v>
      </c>
      <c r="K56" s="5" t="str">
        <f t="shared" si="1"/>
        <v>U</v>
      </c>
      <c r="L56" s="5" t="s">
        <v>163</v>
      </c>
      <c r="M56" s="5" t="s">
        <v>2960</v>
      </c>
      <c r="N56" s="5" t="s">
        <v>2956</v>
      </c>
      <c r="O56" s="5" t="s">
        <v>2866</v>
      </c>
      <c r="P56" s="5" t="s">
        <v>2858</v>
      </c>
      <c r="Q56" s="11">
        <v>46306.5</v>
      </c>
      <c r="R56" s="6"/>
      <c r="S56" s="6"/>
      <c r="T56" s="6"/>
      <c r="U56" s="5">
        <f>MATCH(B56,Manual_Review!$A$6:$A$238,0)</f>
        <v>4</v>
      </c>
      <c r="V56" s="5" t="str">
        <f>IF(INDEX(Manual_Review!$G$6:$G$238,U56)="","",INDEX(Manual_Review!$G$6:$G$238,U56))</f>
        <v/>
      </c>
      <c r="W56" s="11" t="str">
        <f>IF(INDEX(Manual_Review!$H$6:$H$238,U56)="","",INDEX(Manual_Review!$H$6:$H$238,U56))</f>
        <v/>
      </c>
      <c r="X56" s="5" t="str">
        <f>IF(INDEX(Manual_Review!$I$6:$I$238,U56)="","",INDEX(Manual_Review!$I$6:$I$238,U56))</f>
        <v/>
      </c>
      <c r="Y56" s="5" t="s">
        <v>2859</v>
      </c>
    </row>
    <row r="57" spans="1:25" ht="25.5">
      <c r="A57" s="5" t="s">
        <v>2961</v>
      </c>
      <c r="B57" s="5" t="s">
        <v>152</v>
      </c>
      <c r="C57" s="5" t="s">
        <v>153</v>
      </c>
      <c r="D57" s="5" t="s">
        <v>118</v>
      </c>
      <c r="E57" s="5" t="s">
        <v>2784</v>
      </c>
      <c r="F57" s="5" t="s">
        <v>2756</v>
      </c>
      <c r="G57" s="5">
        <v>1</v>
      </c>
      <c r="H57" s="5" t="s">
        <v>2854</v>
      </c>
      <c r="I57" s="5" t="str">
        <f>IF(INDEX(Manual_Review!$N$6:$N$238,U57)="","",INDEX(Manual_Review!$N$6:$N$238,U57))</f>
        <v/>
      </c>
      <c r="J57" s="5" t="str">
        <f t="shared" si="0"/>
        <v>AI provisional</v>
      </c>
      <c r="K57" s="5" t="str">
        <f t="shared" si="1"/>
        <v>Y</v>
      </c>
      <c r="L57" s="5" t="s">
        <v>163</v>
      </c>
      <c r="M57" s="5" t="s">
        <v>2962</v>
      </c>
      <c r="N57" s="5" t="s">
        <v>2956</v>
      </c>
      <c r="O57" s="5" t="s">
        <v>2963</v>
      </c>
      <c r="P57" s="5" t="s">
        <v>2858</v>
      </c>
      <c r="Q57" s="11">
        <v>46306.5</v>
      </c>
      <c r="R57" s="6"/>
      <c r="S57" s="6"/>
      <c r="T57" s="6"/>
      <c r="U57" s="5">
        <f>MATCH(B57,Manual_Review!$A$6:$A$238,0)</f>
        <v>4</v>
      </c>
      <c r="V57" s="5" t="str">
        <f>IF(INDEX(Manual_Review!$G$6:$G$238,U57)="","",INDEX(Manual_Review!$G$6:$G$238,U57))</f>
        <v/>
      </c>
      <c r="W57" s="11" t="str">
        <f>IF(INDEX(Manual_Review!$H$6:$H$238,U57)="","",INDEX(Manual_Review!$H$6:$H$238,U57))</f>
        <v/>
      </c>
      <c r="X57" s="5" t="str">
        <f>IF(INDEX(Manual_Review!$I$6:$I$238,U57)="","",INDEX(Manual_Review!$I$6:$I$238,U57))</f>
        <v/>
      </c>
      <c r="Y57" s="5" t="s">
        <v>2859</v>
      </c>
    </row>
    <row r="58" spans="1:25" ht="25.5">
      <c r="A58" s="5" t="s">
        <v>2964</v>
      </c>
      <c r="B58" s="5" t="s">
        <v>152</v>
      </c>
      <c r="C58" s="5" t="s">
        <v>153</v>
      </c>
      <c r="D58" s="5" t="s">
        <v>118</v>
      </c>
      <c r="E58" s="5" t="s">
        <v>2785</v>
      </c>
      <c r="F58" s="5" t="s">
        <v>2756</v>
      </c>
      <c r="G58" s="5">
        <v>1</v>
      </c>
      <c r="H58" s="5" t="s">
        <v>2864</v>
      </c>
      <c r="I58" s="5" t="str">
        <f>IF(INDEX(Manual_Review!$O$6:$O$238,U58)="","",INDEX(Manual_Review!$O$6:$O$238,U58))</f>
        <v/>
      </c>
      <c r="J58" s="5" t="str">
        <f t="shared" si="0"/>
        <v>AI provisional</v>
      </c>
      <c r="K58" s="5" t="str">
        <f t="shared" si="1"/>
        <v>U</v>
      </c>
      <c r="L58" s="5" t="s">
        <v>163</v>
      </c>
      <c r="M58" s="5" t="s">
        <v>2965</v>
      </c>
      <c r="N58" s="5" t="s">
        <v>2956</v>
      </c>
      <c r="O58" s="5" t="s">
        <v>2872</v>
      </c>
      <c r="P58" s="5" t="s">
        <v>2858</v>
      </c>
      <c r="Q58" s="11">
        <v>46306.5</v>
      </c>
      <c r="R58" s="6"/>
      <c r="S58" s="6"/>
      <c r="T58" s="6"/>
      <c r="U58" s="5">
        <f>MATCH(B58,Manual_Review!$A$6:$A$238,0)</f>
        <v>4</v>
      </c>
      <c r="V58" s="5" t="str">
        <f>IF(INDEX(Manual_Review!$G$6:$G$238,U58)="","",INDEX(Manual_Review!$G$6:$G$238,U58))</f>
        <v/>
      </c>
      <c r="W58" s="11" t="str">
        <f>IF(INDEX(Manual_Review!$H$6:$H$238,U58)="","",INDEX(Manual_Review!$H$6:$H$238,U58))</f>
        <v/>
      </c>
      <c r="X58" s="5" t="str">
        <f>IF(INDEX(Manual_Review!$I$6:$I$238,U58)="","",INDEX(Manual_Review!$I$6:$I$238,U58))</f>
        <v/>
      </c>
      <c r="Y58" s="5" t="s">
        <v>2859</v>
      </c>
    </row>
    <row r="59" spans="1:25" ht="25.5">
      <c r="A59" s="5" t="s">
        <v>2966</v>
      </c>
      <c r="B59" s="5" t="s">
        <v>152</v>
      </c>
      <c r="C59" s="5" t="s">
        <v>153</v>
      </c>
      <c r="D59" s="5" t="s">
        <v>118</v>
      </c>
      <c r="E59" s="5" t="s">
        <v>2786</v>
      </c>
      <c r="F59" s="5" t="s">
        <v>2756</v>
      </c>
      <c r="G59" s="5">
        <v>1</v>
      </c>
      <c r="H59" s="5" t="s">
        <v>2864</v>
      </c>
      <c r="I59" s="5" t="str">
        <f>IF(INDEX(Manual_Review!$P$6:$P$238,U59)="","",INDEX(Manual_Review!$P$6:$P$238,U59))</f>
        <v/>
      </c>
      <c r="J59" s="5" t="str">
        <f t="shared" si="0"/>
        <v>AI provisional</v>
      </c>
      <c r="K59" s="5" t="str">
        <f t="shared" si="1"/>
        <v>U</v>
      </c>
      <c r="L59" s="5" t="s">
        <v>163</v>
      </c>
      <c r="M59" s="5" t="s">
        <v>2960</v>
      </c>
      <c r="N59" s="5" t="s">
        <v>2956</v>
      </c>
      <c r="O59" s="5" t="s">
        <v>2874</v>
      </c>
      <c r="P59" s="5" t="s">
        <v>2858</v>
      </c>
      <c r="Q59" s="11">
        <v>46306.5</v>
      </c>
      <c r="R59" s="6"/>
      <c r="S59" s="6"/>
      <c r="T59" s="6"/>
      <c r="U59" s="5">
        <f>MATCH(B59,Manual_Review!$A$6:$A$238,0)</f>
        <v>4</v>
      </c>
      <c r="V59" s="5" t="str">
        <f>IF(INDEX(Manual_Review!$G$6:$G$238,U59)="","",INDEX(Manual_Review!$G$6:$G$238,U59))</f>
        <v/>
      </c>
      <c r="W59" s="11" t="str">
        <f>IF(INDEX(Manual_Review!$H$6:$H$238,U59)="","",INDEX(Manual_Review!$H$6:$H$238,U59))</f>
        <v/>
      </c>
      <c r="X59" s="5" t="str">
        <f>IF(INDEX(Manual_Review!$I$6:$I$238,U59)="","",INDEX(Manual_Review!$I$6:$I$238,U59))</f>
        <v/>
      </c>
      <c r="Y59" s="5" t="s">
        <v>2859</v>
      </c>
    </row>
    <row r="60" spans="1:25" ht="25.5">
      <c r="A60" s="5" t="s">
        <v>2967</v>
      </c>
      <c r="B60" s="5" t="s">
        <v>152</v>
      </c>
      <c r="C60" s="5" t="s">
        <v>153</v>
      </c>
      <c r="D60" s="5" t="s">
        <v>118</v>
      </c>
      <c r="E60" s="5" t="s">
        <v>2787</v>
      </c>
      <c r="F60" s="5" t="s">
        <v>2758</v>
      </c>
      <c r="G60" s="5">
        <v>1</v>
      </c>
      <c r="H60" s="5" t="s">
        <v>2854</v>
      </c>
      <c r="I60" s="5" t="str">
        <f>IF(INDEX(Manual_Review!$Q$6:$Q$238,U60)="","",INDEX(Manual_Review!$Q$6:$Q$238,U60))</f>
        <v/>
      </c>
      <c r="J60" s="5" t="str">
        <f t="shared" si="0"/>
        <v>AI provisional</v>
      </c>
      <c r="K60" s="5" t="str">
        <f t="shared" si="1"/>
        <v>Y</v>
      </c>
      <c r="L60" s="5" t="s">
        <v>163</v>
      </c>
      <c r="M60" s="5" t="s">
        <v>2968</v>
      </c>
      <c r="N60" s="5" t="s">
        <v>2956</v>
      </c>
      <c r="O60" s="5" t="s">
        <v>2969</v>
      </c>
      <c r="P60" s="5" t="s">
        <v>2858</v>
      </c>
      <c r="Q60" s="11">
        <v>46306.5</v>
      </c>
      <c r="R60" s="6"/>
      <c r="S60" s="6"/>
      <c r="T60" s="6"/>
      <c r="U60" s="5">
        <f>MATCH(B60,Manual_Review!$A$6:$A$238,0)</f>
        <v>4</v>
      </c>
      <c r="V60" s="5" t="str">
        <f>IF(INDEX(Manual_Review!$G$6:$G$238,U60)="","",INDEX(Manual_Review!$G$6:$G$238,U60))</f>
        <v/>
      </c>
      <c r="W60" s="11" t="str">
        <f>IF(INDEX(Manual_Review!$H$6:$H$238,U60)="","",INDEX(Manual_Review!$H$6:$H$238,U60))</f>
        <v/>
      </c>
      <c r="X60" s="5" t="str">
        <f>IF(INDEX(Manual_Review!$I$6:$I$238,U60)="","",INDEX(Manual_Review!$I$6:$I$238,U60))</f>
        <v/>
      </c>
      <c r="Y60" s="5" t="s">
        <v>2859</v>
      </c>
    </row>
    <row r="61" spans="1:25" ht="25.5">
      <c r="A61" s="5" t="s">
        <v>2970</v>
      </c>
      <c r="B61" s="5" t="s">
        <v>152</v>
      </c>
      <c r="C61" s="5" t="s">
        <v>153</v>
      </c>
      <c r="D61" s="5" t="s">
        <v>118</v>
      </c>
      <c r="E61" s="5" t="s">
        <v>2788</v>
      </c>
      <c r="F61" s="5" t="s">
        <v>2758</v>
      </c>
      <c r="G61" s="5">
        <v>1</v>
      </c>
      <c r="H61" s="5" t="s">
        <v>2864</v>
      </c>
      <c r="I61" s="5" t="str">
        <f>IF(INDEX(Manual_Review!$R$6:$R$238,U61)="","",INDEX(Manual_Review!$R$6:$R$238,U61))</f>
        <v/>
      </c>
      <c r="J61" s="5" t="str">
        <f t="shared" si="0"/>
        <v>AI provisional</v>
      </c>
      <c r="K61" s="5" t="str">
        <f t="shared" si="1"/>
        <v>U</v>
      </c>
      <c r="L61" s="5" t="s">
        <v>163</v>
      </c>
      <c r="M61" s="5" t="s">
        <v>2971</v>
      </c>
      <c r="N61" s="5" t="s">
        <v>2956</v>
      </c>
      <c r="O61" s="5" t="s">
        <v>2880</v>
      </c>
      <c r="P61" s="5" t="s">
        <v>2858</v>
      </c>
      <c r="Q61" s="11">
        <v>46306.5</v>
      </c>
      <c r="R61" s="6"/>
      <c r="S61" s="6"/>
      <c r="T61" s="6"/>
      <c r="U61" s="5">
        <f>MATCH(B61,Manual_Review!$A$6:$A$238,0)</f>
        <v>4</v>
      </c>
      <c r="V61" s="5" t="str">
        <f>IF(INDEX(Manual_Review!$G$6:$G$238,U61)="","",INDEX(Manual_Review!$G$6:$G$238,U61))</f>
        <v/>
      </c>
      <c r="W61" s="11" t="str">
        <f>IF(INDEX(Manual_Review!$H$6:$H$238,U61)="","",INDEX(Manual_Review!$H$6:$H$238,U61))</f>
        <v/>
      </c>
      <c r="X61" s="5" t="str">
        <f>IF(INDEX(Manual_Review!$I$6:$I$238,U61)="","",INDEX(Manual_Review!$I$6:$I$238,U61))</f>
        <v/>
      </c>
      <c r="Y61" s="5" t="s">
        <v>2859</v>
      </c>
    </row>
    <row r="62" spans="1:25" ht="25.5">
      <c r="A62" s="5" t="s">
        <v>2972</v>
      </c>
      <c r="B62" s="5" t="s">
        <v>152</v>
      </c>
      <c r="C62" s="5" t="s">
        <v>153</v>
      </c>
      <c r="D62" s="5" t="s">
        <v>118</v>
      </c>
      <c r="E62" s="5" t="s">
        <v>2789</v>
      </c>
      <c r="F62" s="5" t="s">
        <v>2758</v>
      </c>
      <c r="G62" s="5">
        <v>1</v>
      </c>
      <c r="H62" s="5" t="s">
        <v>2864</v>
      </c>
      <c r="I62" s="5" t="str">
        <f>IF(INDEX(Manual_Review!$S$6:$S$238,U62)="","",INDEX(Manual_Review!$S$6:$S$238,U62))</f>
        <v/>
      </c>
      <c r="J62" s="5" t="str">
        <f t="shared" si="0"/>
        <v>AI provisional</v>
      </c>
      <c r="K62" s="5" t="str">
        <f t="shared" si="1"/>
        <v>U</v>
      </c>
      <c r="L62" s="5" t="s">
        <v>163</v>
      </c>
      <c r="M62" s="5" t="s">
        <v>2973</v>
      </c>
      <c r="N62" s="5" t="s">
        <v>2956</v>
      </c>
      <c r="O62" s="5" t="s">
        <v>2883</v>
      </c>
      <c r="P62" s="5" t="s">
        <v>2858</v>
      </c>
      <c r="Q62" s="11">
        <v>46306.5</v>
      </c>
      <c r="R62" s="6"/>
      <c r="S62" s="6"/>
      <c r="T62" s="6"/>
      <c r="U62" s="5">
        <f>MATCH(B62,Manual_Review!$A$6:$A$238,0)</f>
        <v>4</v>
      </c>
      <c r="V62" s="5" t="str">
        <f>IF(INDEX(Manual_Review!$G$6:$G$238,U62)="","",INDEX(Manual_Review!$G$6:$G$238,U62))</f>
        <v/>
      </c>
      <c r="W62" s="11" t="str">
        <f>IF(INDEX(Manual_Review!$H$6:$H$238,U62)="","",INDEX(Manual_Review!$H$6:$H$238,U62))</f>
        <v/>
      </c>
      <c r="X62" s="5" t="str">
        <f>IF(INDEX(Manual_Review!$I$6:$I$238,U62)="","",INDEX(Manual_Review!$I$6:$I$238,U62))</f>
        <v/>
      </c>
      <c r="Y62" s="5" t="s">
        <v>2859</v>
      </c>
    </row>
    <row r="63" spans="1:25" ht="25.5">
      <c r="A63" s="5" t="s">
        <v>2974</v>
      </c>
      <c r="B63" s="5" t="s">
        <v>152</v>
      </c>
      <c r="C63" s="5" t="s">
        <v>153</v>
      </c>
      <c r="D63" s="5" t="s">
        <v>118</v>
      </c>
      <c r="E63" s="5" t="s">
        <v>2790</v>
      </c>
      <c r="F63" s="5" t="s">
        <v>2760</v>
      </c>
      <c r="G63" s="5">
        <v>1</v>
      </c>
      <c r="H63" s="5" t="s">
        <v>2854</v>
      </c>
      <c r="I63" s="5" t="str">
        <f>IF(INDEX(Manual_Review!$T$6:$T$238,U63)="","",INDEX(Manual_Review!$T$6:$T$238,U63))</f>
        <v/>
      </c>
      <c r="J63" s="5" t="str">
        <f t="shared" si="0"/>
        <v>AI provisional</v>
      </c>
      <c r="K63" s="5" t="str">
        <f t="shared" si="1"/>
        <v>Y</v>
      </c>
      <c r="L63" s="5" t="s">
        <v>163</v>
      </c>
      <c r="M63" s="5" t="s">
        <v>2975</v>
      </c>
      <c r="N63" s="5" t="s">
        <v>2956</v>
      </c>
      <c r="O63" s="5" t="s">
        <v>2976</v>
      </c>
      <c r="P63" s="5" t="s">
        <v>2858</v>
      </c>
      <c r="Q63" s="11">
        <v>46306.5</v>
      </c>
      <c r="R63" s="6"/>
      <c r="S63" s="6"/>
      <c r="T63" s="6"/>
      <c r="U63" s="5">
        <f>MATCH(B63,Manual_Review!$A$6:$A$238,0)</f>
        <v>4</v>
      </c>
      <c r="V63" s="5" t="str">
        <f>IF(INDEX(Manual_Review!$G$6:$G$238,U63)="","",INDEX(Manual_Review!$G$6:$G$238,U63))</f>
        <v/>
      </c>
      <c r="W63" s="11" t="str">
        <f>IF(INDEX(Manual_Review!$H$6:$H$238,U63)="","",INDEX(Manual_Review!$H$6:$H$238,U63))</f>
        <v/>
      </c>
      <c r="X63" s="5" t="str">
        <f>IF(INDEX(Manual_Review!$I$6:$I$238,U63)="","",INDEX(Manual_Review!$I$6:$I$238,U63))</f>
        <v/>
      </c>
      <c r="Y63" s="5" t="s">
        <v>2859</v>
      </c>
    </row>
    <row r="64" spans="1:25" ht="25.5">
      <c r="A64" s="5" t="s">
        <v>2977</v>
      </c>
      <c r="B64" s="5" t="s">
        <v>152</v>
      </c>
      <c r="C64" s="5" t="s">
        <v>153</v>
      </c>
      <c r="D64" s="5" t="s">
        <v>118</v>
      </c>
      <c r="E64" s="5" t="s">
        <v>2791</v>
      </c>
      <c r="F64" s="5" t="s">
        <v>2760</v>
      </c>
      <c r="G64" s="5">
        <v>1</v>
      </c>
      <c r="H64" s="5" t="s">
        <v>2864</v>
      </c>
      <c r="I64" s="5" t="str">
        <f>IF(INDEX(Manual_Review!$U$6:$U$238,U64)="","",INDEX(Manual_Review!$U$6:$U$238,U64))</f>
        <v/>
      </c>
      <c r="J64" s="5" t="str">
        <f t="shared" si="0"/>
        <v>AI provisional</v>
      </c>
      <c r="K64" s="5" t="str">
        <f t="shared" si="1"/>
        <v>U</v>
      </c>
      <c r="L64" s="5" t="s">
        <v>163</v>
      </c>
      <c r="M64" s="5" t="s">
        <v>2978</v>
      </c>
      <c r="N64" s="5" t="s">
        <v>2956</v>
      </c>
      <c r="O64" s="5" t="s">
        <v>2888</v>
      </c>
      <c r="P64" s="5" t="s">
        <v>2858</v>
      </c>
      <c r="Q64" s="11">
        <v>46306.5</v>
      </c>
      <c r="R64" s="6"/>
      <c r="S64" s="6"/>
      <c r="T64" s="6"/>
      <c r="U64" s="5">
        <f>MATCH(B64,Manual_Review!$A$6:$A$238,0)</f>
        <v>4</v>
      </c>
      <c r="V64" s="5" t="str">
        <f>IF(INDEX(Manual_Review!$G$6:$G$238,U64)="","",INDEX(Manual_Review!$G$6:$G$238,U64))</f>
        <v/>
      </c>
      <c r="W64" s="11" t="str">
        <f>IF(INDEX(Manual_Review!$H$6:$H$238,U64)="","",INDEX(Manual_Review!$H$6:$H$238,U64))</f>
        <v/>
      </c>
      <c r="X64" s="5" t="str">
        <f>IF(INDEX(Manual_Review!$I$6:$I$238,U64)="","",INDEX(Manual_Review!$I$6:$I$238,U64))</f>
        <v/>
      </c>
      <c r="Y64" s="5" t="s">
        <v>2859</v>
      </c>
    </row>
    <row r="65" spans="1:25" ht="25.5">
      <c r="A65" s="5" t="s">
        <v>2979</v>
      </c>
      <c r="B65" s="5" t="s">
        <v>152</v>
      </c>
      <c r="C65" s="5" t="s">
        <v>153</v>
      </c>
      <c r="D65" s="5" t="s">
        <v>118</v>
      </c>
      <c r="E65" s="5" t="s">
        <v>2792</v>
      </c>
      <c r="F65" s="5" t="s">
        <v>2762</v>
      </c>
      <c r="G65" s="5">
        <v>1</v>
      </c>
      <c r="H65" s="5" t="s">
        <v>2864</v>
      </c>
      <c r="I65" s="5" t="str">
        <f>IF(INDEX(Manual_Review!$V$6:$V$238,U65)="","",INDEX(Manual_Review!$V$6:$V$238,U65))</f>
        <v/>
      </c>
      <c r="J65" s="5" t="str">
        <f t="shared" si="0"/>
        <v>AI provisional</v>
      </c>
      <c r="K65" s="5" t="str">
        <f t="shared" si="1"/>
        <v>U</v>
      </c>
      <c r="L65" s="5" t="s">
        <v>163</v>
      </c>
      <c r="M65" s="5" t="s">
        <v>2980</v>
      </c>
      <c r="N65" s="5" t="s">
        <v>2956</v>
      </c>
      <c r="O65" s="5" t="s">
        <v>2891</v>
      </c>
      <c r="P65" s="5" t="s">
        <v>2858</v>
      </c>
      <c r="Q65" s="11">
        <v>46306.5</v>
      </c>
      <c r="R65" s="6"/>
      <c r="S65" s="6"/>
      <c r="T65" s="6"/>
      <c r="U65" s="5">
        <f>MATCH(B65,Manual_Review!$A$6:$A$238,0)</f>
        <v>4</v>
      </c>
      <c r="V65" s="5" t="str">
        <f>IF(INDEX(Manual_Review!$G$6:$G$238,U65)="","",INDEX(Manual_Review!$G$6:$G$238,U65))</f>
        <v/>
      </c>
      <c r="W65" s="11" t="str">
        <f>IF(INDEX(Manual_Review!$H$6:$H$238,U65)="","",INDEX(Manual_Review!$H$6:$H$238,U65))</f>
        <v/>
      </c>
      <c r="X65" s="5" t="str">
        <f>IF(INDEX(Manual_Review!$I$6:$I$238,U65)="","",INDEX(Manual_Review!$I$6:$I$238,U65))</f>
        <v/>
      </c>
      <c r="Y65" s="5" t="s">
        <v>2859</v>
      </c>
    </row>
    <row r="66" spans="1:25" ht="25.5">
      <c r="A66" s="5" t="s">
        <v>2981</v>
      </c>
      <c r="B66" s="5" t="s">
        <v>152</v>
      </c>
      <c r="C66" s="5" t="s">
        <v>153</v>
      </c>
      <c r="D66" s="5" t="s">
        <v>118</v>
      </c>
      <c r="E66" s="5" t="s">
        <v>2793</v>
      </c>
      <c r="F66" s="5" t="s">
        <v>2762</v>
      </c>
      <c r="G66" s="5">
        <v>1</v>
      </c>
      <c r="H66" s="5" t="s">
        <v>2864</v>
      </c>
      <c r="I66" s="5" t="str">
        <f>IF(INDEX(Manual_Review!$W$6:$W$238,U66)="","",INDEX(Manual_Review!$W$6:$W$238,U66))</f>
        <v/>
      </c>
      <c r="J66" s="5" t="str">
        <f t="shared" si="0"/>
        <v>AI provisional</v>
      </c>
      <c r="K66" s="5" t="str">
        <f t="shared" si="1"/>
        <v>U</v>
      </c>
      <c r="L66" s="5" t="s">
        <v>163</v>
      </c>
      <c r="M66" s="5" t="s">
        <v>2980</v>
      </c>
      <c r="N66" s="5" t="s">
        <v>2956</v>
      </c>
      <c r="O66" s="5" t="s">
        <v>2893</v>
      </c>
      <c r="P66" s="5" t="s">
        <v>2858</v>
      </c>
      <c r="Q66" s="11">
        <v>46306.5</v>
      </c>
      <c r="R66" s="6"/>
      <c r="S66" s="6"/>
      <c r="T66" s="6"/>
      <c r="U66" s="5">
        <f>MATCH(B66,Manual_Review!$A$6:$A$238,0)</f>
        <v>4</v>
      </c>
      <c r="V66" s="5" t="str">
        <f>IF(INDEX(Manual_Review!$G$6:$G$238,U66)="","",INDEX(Manual_Review!$G$6:$G$238,U66))</f>
        <v/>
      </c>
      <c r="W66" s="11" t="str">
        <f>IF(INDEX(Manual_Review!$H$6:$H$238,U66)="","",INDEX(Manual_Review!$H$6:$H$238,U66))</f>
        <v/>
      </c>
      <c r="X66" s="5" t="str">
        <f>IF(INDEX(Manual_Review!$I$6:$I$238,U66)="","",INDEX(Manual_Review!$I$6:$I$238,U66))</f>
        <v/>
      </c>
      <c r="Y66" s="5" t="s">
        <v>2859</v>
      </c>
    </row>
    <row r="67" spans="1:25" ht="25.5">
      <c r="A67" s="5" t="s">
        <v>2982</v>
      </c>
      <c r="B67" s="5" t="s">
        <v>152</v>
      </c>
      <c r="C67" s="5" t="s">
        <v>153</v>
      </c>
      <c r="D67" s="5" t="s">
        <v>118</v>
      </c>
      <c r="E67" s="5" t="s">
        <v>2794</v>
      </c>
      <c r="F67" s="5" t="s">
        <v>2764</v>
      </c>
      <c r="G67" s="5">
        <v>1</v>
      </c>
      <c r="H67" s="5" t="s">
        <v>2854</v>
      </c>
      <c r="I67" s="5" t="str">
        <f>IF(INDEX(Manual_Review!$X$6:$X$238,U67)="","",INDEX(Manual_Review!$X$6:$X$238,U67))</f>
        <v/>
      </c>
      <c r="J67" s="5" t="str">
        <f t="shared" si="0"/>
        <v>AI provisional</v>
      </c>
      <c r="K67" s="5" t="str">
        <f t="shared" si="1"/>
        <v>Y</v>
      </c>
      <c r="L67" s="5" t="s">
        <v>163</v>
      </c>
      <c r="M67" s="5" t="s">
        <v>2983</v>
      </c>
      <c r="N67" s="5" t="s">
        <v>2956</v>
      </c>
      <c r="O67" s="5" t="s">
        <v>2984</v>
      </c>
      <c r="P67" s="5" t="s">
        <v>2858</v>
      </c>
      <c r="Q67" s="11">
        <v>46306.5</v>
      </c>
      <c r="R67" s="6"/>
      <c r="S67" s="6"/>
      <c r="T67" s="6"/>
      <c r="U67" s="5">
        <f>MATCH(B67,Manual_Review!$A$6:$A$238,0)</f>
        <v>4</v>
      </c>
      <c r="V67" s="5" t="str">
        <f>IF(INDEX(Manual_Review!$G$6:$G$238,U67)="","",INDEX(Manual_Review!$G$6:$G$238,U67))</f>
        <v/>
      </c>
      <c r="W67" s="11" t="str">
        <f>IF(INDEX(Manual_Review!$H$6:$H$238,U67)="","",INDEX(Manual_Review!$H$6:$H$238,U67))</f>
        <v/>
      </c>
      <c r="X67" s="5" t="str">
        <f>IF(INDEX(Manual_Review!$I$6:$I$238,U67)="","",INDEX(Manual_Review!$I$6:$I$238,U67))</f>
        <v/>
      </c>
      <c r="Y67" s="5" t="s">
        <v>2859</v>
      </c>
    </row>
    <row r="68" spans="1:25" ht="25.5">
      <c r="A68" s="5" t="s">
        <v>2985</v>
      </c>
      <c r="B68" s="5" t="s">
        <v>152</v>
      </c>
      <c r="C68" s="5" t="s">
        <v>153</v>
      </c>
      <c r="D68" s="5" t="s">
        <v>118</v>
      </c>
      <c r="E68" s="5" t="s">
        <v>2795</v>
      </c>
      <c r="F68" s="5" t="s">
        <v>2764</v>
      </c>
      <c r="G68" s="5">
        <v>1</v>
      </c>
      <c r="H68" s="5" t="s">
        <v>2864</v>
      </c>
      <c r="I68" s="5" t="str">
        <f>IF(INDEX(Manual_Review!$Y$6:$Y$238,U68)="","",INDEX(Manual_Review!$Y$6:$Y$238,U68))</f>
        <v/>
      </c>
      <c r="J68" s="5" t="str">
        <f t="shared" si="0"/>
        <v>AI provisional</v>
      </c>
      <c r="K68" s="5" t="str">
        <f t="shared" si="1"/>
        <v>U</v>
      </c>
      <c r="L68" s="5" t="s">
        <v>163</v>
      </c>
      <c r="M68" s="5" t="s">
        <v>2960</v>
      </c>
      <c r="N68" s="5" t="s">
        <v>2956</v>
      </c>
      <c r="O68" s="5" t="s">
        <v>2897</v>
      </c>
      <c r="P68" s="5" t="s">
        <v>2858</v>
      </c>
      <c r="Q68" s="11">
        <v>46306.5</v>
      </c>
      <c r="R68" s="6"/>
      <c r="S68" s="6"/>
      <c r="T68" s="6"/>
      <c r="U68" s="5">
        <f>MATCH(B68,Manual_Review!$A$6:$A$238,0)</f>
        <v>4</v>
      </c>
      <c r="V68" s="5" t="str">
        <f>IF(INDEX(Manual_Review!$G$6:$G$238,U68)="","",INDEX(Manual_Review!$G$6:$G$238,U68))</f>
        <v/>
      </c>
      <c r="W68" s="11" t="str">
        <f>IF(INDEX(Manual_Review!$H$6:$H$238,U68)="","",INDEX(Manual_Review!$H$6:$H$238,U68))</f>
        <v/>
      </c>
      <c r="X68" s="5" t="str">
        <f>IF(INDEX(Manual_Review!$I$6:$I$238,U68)="","",INDEX(Manual_Review!$I$6:$I$238,U68))</f>
        <v/>
      </c>
      <c r="Y68" s="5" t="s">
        <v>2859</v>
      </c>
    </row>
    <row r="69" spans="1:25" ht="25.5">
      <c r="A69" s="5" t="s">
        <v>2986</v>
      </c>
      <c r="B69" s="5" t="s">
        <v>152</v>
      </c>
      <c r="C69" s="5" t="s">
        <v>153</v>
      </c>
      <c r="D69" s="5" t="s">
        <v>118</v>
      </c>
      <c r="E69" s="5" t="s">
        <v>2796</v>
      </c>
      <c r="F69" s="5" t="s">
        <v>2764</v>
      </c>
      <c r="G69" s="5">
        <v>1</v>
      </c>
      <c r="H69" s="5" t="s">
        <v>2864</v>
      </c>
      <c r="I69" s="5" t="str">
        <f>IF(INDEX(Manual_Review!$Z$6:$Z$238,U69)="","",INDEX(Manual_Review!$Z$6:$Z$238,U69))</f>
        <v/>
      </c>
      <c r="J69" s="5" t="str">
        <f t="shared" si="0"/>
        <v>AI provisional</v>
      </c>
      <c r="K69" s="5" t="str">
        <f t="shared" si="1"/>
        <v>U</v>
      </c>
      <c r="L69" s="5" t="s">
        <v>163</v>
      </c>
      <c r="M69" s="5" t="s">
        <v>2973</v>
      </c>
      <c r="N69" s="5" t="s">
        <v>2956</v>
      </c>
      <c r="O69" s="5" t="s">
        <v>2899</v>
      </c>
      <c r="P69" s="5" t="s">
        <v>2858</v>
      </c>
      <c r="Q69" s="11">
        <v>46306.5</v>
      </c>
      <c r="R69" s="6"/>
      <c r="S69" s="6"/>
      <c r="T69" s="6"/>
      <c r="U69" s="5">
        <f>MATCH(B69,Manual_Review!$A$6:$A$238,0)</f>
        <v>4</v>
      </c>
      <c r="V69" s="5" t="str">
        <f>IF(INDEX(Manual_Review!$G$6:$G$238,U69)="","",INDEX(Manual_Review!$G$6:$G$238,U69))</f>
        <v/>
      </c>
      <c r="W69" s="11" t="str">
        <f>IF(INDEX(Manual_Review!$H$6:$H$238,U69)="","",INDEX(Manual_Review!$H$6:$H$238,U69))</f>
        <v/>
      </c>
      <c r="X69" s="5" t="str">
        <f>IF(INDEX(Manual_Review!$I$6:$I$238,U69)="","",INDEX(Manual_Review!$I$6:$I$238,U69))</f>
        <v/>
      </c>
      <c r="Y69" s="5" t="s">
        <v>2859</v>
      </c>
    </row>
    <row r="70" spans="1:25" ht="25.5">
      <c r="A70" s="5" t="s">
        <v>2987</v>
      </c>
      <c r="B70" s="5" t="s">
        <v>165</v>
      </c>
      <c r="C70" s="5" t="s">
        <v>166</v>
      </c>
      <c r="D70" s="5" t="s">
        <v>118</v>
      </c>
      <c r="E70" s="5" t="s">
        <v>2781</v>
      </c>
      <c r="F70" s="5" t="s">
        <v>2754</v>
      </c>
      <c r="G70" s="5">
        <v>1</v>
      </c>
      <c r="H70" s="5" t="s">
        <v>2854</v>
      </c>
      <c r="I70" s="5" t="str">
        <f>IF(INDEX(Manual_Review!$K$6:$K$238,U70)="","",INDEX(Manual_Review!$K$6:$K$238,U70))</f>
        <v/>
      </c>
      <c r="J70" s="5" t="str">
        <f t="shared" ref="J70:J133" si="2">IF(G70=0,"Not applicable",IF(I70="","AI provisional",IF(AND(OR(I70="Y",I70="N",I70="U",I70="X"),V70&lt;&gt;"",ISNUMBER(W70),W70&gt;0,X70="Confirmed",R70&lt;&gt;"",S70&lt;&gt;"",T70&lt;&gt;""),"Human valid","Evidence needed")))</f>
        <v>AI provisional</v>
      </c>
      <c r="K70" s="5" t="str">
        <f t="shared" ref="K70:K133" si="3">IF(G70=0,"N/A",IF(I70="",H70,IF(J70="Human valid",I70,"U")))</f>
        <v>Y</v>
      </c>
      <c r="L70" s="5" t="s">
        <v>2988</v>
      </c>
      <c r="M70" s="5" t="s">
        <v>2989</v>
      </c>
      <c r="N70" s="5" t="s">
        <v>2990</v>
      </c>
      <c r="O70" s="5" t="s">
        <v>2991</v>
      </c>
      <c r="P70" s="5" t="s">
        <v>2992</v>
      </c>
      <c r="Q70" s="11">
        <v>46306.5</v>
      </c>
      <c r="R70" s="6"/>
      <c r="S70" s="6"/>
      <c r="T70" s="6"/>
      <c r="U70" s="5">
        <f>MATCH(B70,Manual_Review!$A$6:$A$238,0)</f>
        <v>5</v>
      </c>
      <c r="V70" s="5" t="str">
        <f>IF(INDEX(Manual_Review!$G$6:$G$238,U70)="","",INDEX(Manual_Review!$G$6:$G$238,U70))</f>
        <v/>
      </c>
      <c r="W70" s="11" t="str">
        <f>IF(INDEX(Manual_Review!$H$6:$H$238,U70)="","",INDEX(Manual_Review!$H$6:$H$238,U70))</f>
        <v/>
      </c>
      <c r="X70" s="5" t="str">
        <f>IF(INDEX(Manual_Review!$I$6:$I$238,U70)="","",INDEX(Manual_Review!$I$6:$I$238,U70))</f>
        <v/>
      </c>
      <c r="Y70" s="5" t="s">
        <v>2859</v>
      </c>
    </row>
    <row r="71" spans="1:25" ht="25.5">
      <c r="A71" s="5" t="s">
        <v>2993</v>
      </c>
      <c r="B71" s="5" t="s">
        <v>165</v>
      </c>
      <c r="C71" s="5" t="s">
        <v>166</v>
      </c>
      <c r="D71" s="5" t="s">
        <v>118</v>
      </c>
      <c r="E71" s="5" t="s">
        <v>2782</v>
      </c>
      <c r="F71" s="5" t="s">
        <v>2754</v>
      </c>
      <c r="G71" s="5">
        <v>1</v>
      </c>
      <c r="H71" s="5" t="s">
        <v>2854</v>
      </c>
      <c r="I71" s="5" t="str">
        <f>IF(INDEX(Manual_Review!$L$6:$L$238,U71)="","",INDEX(Manual_Review!$L$6:$L$238,U71))</f>
        <v/>
      </c>
      <c r="J71" s="5" t="str">
        <f t="shared" si="2"/>
        <v>AI provisional</v>
      </c>
      <c r="K71" s="5" t="str">
        <f t="shared" si="3"/>
        <v>Y</v>
      </c>
      <c r="L71" s="5" t="s">
        <v>2988</v>
      </c>
      <c r="M71" s="5" t="s">
        <v>2994</v>
      </c>
      <c r="N71" s="5" t="s">
        <v>2995</v>
      </c>
      <c r="O71" s="5" t="s">
        <v>2996</v>
      </c>
      <c r="P71" s="5" t="s">
        <v>2992</v>
      </c>
      <c r="Q71" s="11">
        <v>46306.5</v>
      </c>
      <c r="R71" s="6"/>
      <c r="S71" s="6"/>
      <c r="T71" s="6"/>
      <c r="U71" s="5">
        <f>MATCH(B71,Manual_Review!$A$6:$A$238,0)</f>
        <v>5</v>
      </c>
      <c r="V71" s="5" t="str">
        <f>IF(INDEX(Manual_Review!$G$6:$G$238,U71)="","",INDEX(Manual_Review!$G$6:$G$238,U71))</f>
        <v/>
      </c>
      <c r="W71" s="11" t="str">
        <f>IF(INDEX(Manual_Review!$H$6:$H$238,U71)="","",INDEX(Manual_Review!$H$6:$H$238,U71))</f>
        <v/>
      </c>
      <c r="X71" s="5" t="str">
        <f>IF(INDEX(Manual_Review!$I$6:$I$238,U71)="","",INDEX(Manual_Review!$I$6:$I$238,U71))</f>
        <v/>
      </c>
      <c r="Y71" s="5" t="s">
        <v>2859</v>
      </c>
    </row>
    <row r="72" spans="1:25" ht="25.5">
      <c r="A72" s="5" t="s">
        <v>2997</v>
      </c>
      <c r="B72" s="5" t="s">
        <v>165</v>
      </c>
      <c r="C72" s="5" t="s">
        <v>166</v>
      </c>
      <c r="D72" s="5" t="s">
        <v>118</v>
      </c>
      <c r="E72" s="5" t="s">
        <v>2783</v>
      </c>
      <c r="F72" s="5" t="s">
        <v>2754</v>
      </c>
      <c r="G72" s="5">
        <v>1</v>
      </c>
      <c r="H72" s="5" t="s">
        <v>2854</v>
      </c>
      <c r="I72" s="5" t="str">
        <f>IF(INDEX(Manual_Review!$M$6:$M$238,U72)="","",INDEX(Manual_Review!$M$6:$M$238,U72))</f>
        <v/>
      </c>
      <c r="J72" s="5" t="str">
        <f t="shared" si="2"/>
        <v>AI provisional</v>
      </c>
      <c r="K72" s="5" t="str">
        <f t="shared" si="3"/>
        <v>Y</v>
      </c>
      <c r="L72" s="5" t="s">
        <v>2988</v>
      </c>
      <c r="M72" s="5" t="s">
        <v>2998</v>
      </c>
      <c r="N72" s="5" t="s">
        <v>2999</v>
      </c>
      <c r="O72" s="5" t="s">
        <v>3000</v>
      </c>
      <c r="P72" s="5" t="s">
        <v>2992</v>
      </c>
      <c r="Q72" s="11">
        <v>46306.5</v>
      </c>
      <c r="R72" s="6"/>
      <c r="S72" s="6"/>
      <c r="T72" s="6"/>
      <c r="U72" s="5">
        <f>MATCH(B72,Manual_Review!$A$6:$A$238,0)</f>
        <v>5</v>
      </c>
      <c r="V72" s="5" t="str">
        <f>IF(INDEX(Manual_Review!$G$6:$G$238,U72)="","",INDEX(Manual_Review!$G$6:$G$238,U72))</f>
        <v/>
      </c>
      <c r="W72" s="11" t="str">
        <f>IF(INDEX(Manual_Review!$H$6:$H$238,U72)="","",INDEX(Manual_Review!$H$6:$H$238,U72))</f>
        <v/>
      </c>
      <c r="X72" s="5" t="str">
        <f>IF(INDEX(Manual_Review!$I$6:$I$238,U72)="","",INDEX(Manual_Review!$I$6:$I$238,U72))</f>
        <v/>
      </c>
      <c r="Y72" s="5" t="s">
        <v>2859</v>
      </c>
    </row>
    <row r="73" spans="1:25" ht="25.5">
      <c r="A73" s="5" t="s">
        <v>3001</v>
      </c>
      <c r="B73" s="5" t="s">
        <v>165</v>
      </c>
      <c r="C73" s="5" t="s">
        <v>166</v>
      </c>
      <c r="D73" s="5" t="s">
        <v>118</v>
      </c>
      <c r="E73" s="5" t="s">
        <v>2784</v>
      </c>
      <c r="F73" s="5" t="s">
        <v>2756</v>
      </c>
      <c r="G73" s="5">
        <v>1</v>
      </c>
      <c r="H73" s="5" t="s">
        <v>2854</v>
      </c>
      <c r="I73" s="5" t="str">
        <f>IF(INDEX(Manual_Review!$N$6:$N$238,U73)="","",INDEX(Manual_Review!$N$6:$N$238,U73))</f>
        <v/>
      </c>
      <c r="J73" s="5" t="str">
        <f t="shared" si="2"/>
        <v>AI provisional</v>
      </c>
      <c r="K73" s="5" t="str">
        <f t="shared" si="3"/>
        <v>Y</v>
      </c>
      <c r="L73" s="5" t="s">
        <v>2988</v>
      </c>
      <c r="M73" s="5" t="s">
        <v>3002</v>
      </c>
      <c r="N73" s="5" t="s">
        <v>3003</v>
      </c>
      <c r="O73" s="5" t="s">
        <v>3004</v>
      </c>
      <c r="P73" s="5" t="s">
        <v>2992</v>
      </c>
      <c r="Q73" s="11">
        <v>46306.5</v>
      </c>
      <c r="R73" s="6"/>
      <c r="S73" s="6"/>
      <c r="T73" s="6"/>
      <c r="U73" s="5">
        <f>MATCH(B73,Manual_Review!$A$6:$A$238,0)</f>
        <v>5</v>
      </c>
      <c r="V73" s="5" t="str">
        <f>IF(INDEX(Manual_Review!$G$6:$G$238,U73)="","",INDEX(Manual_Review!$G$6:$G$238,U73))</f>
        <v/>
      </c>
      <c r="W73" s="11" t="str">
        <f>IF(INDEX(Manual_Review!$H$6:$H$238,U73)="","",INDEX(Manual_Review!$H$6:$H$238,U73))</f>
        <v/>
      </c>
      <c r="X73" s="5" t="str">
        <f>IF(INDEX(Manual_Review!$I$6:$I$238,U73)="","",INDEX(Manual_Review!$I$6:$I$238,U73))</f>
        <v/>
      </c>
      <c r="Y73" s="5" t="s">
        <v>2859</v>
      </c>
    </row>
    <row r="74" spans="1:25" ht="25.5">
      <c r="A74" s="5" t="s">
        <v>3005</v>
      </c>
      <c r="B74" s="5" t="s">
        <v>165</v>
      </c>
      <c r="C74" s="5" t="s">
        <v>166</v>
      </c>
      <c r="D74" s="5" t="s">
        <v>118</v>
      </c>
      <c r="E74" s="5" t="s">
        <v>2785</v>
      </c>
      <c r="F74" s="5" t="s">
        <v>2756</v>
      </c>
      <c r="G74" s="5">
        <v>1</v>
      </c>
      <c r="H74" s="5" t="s">
        <v>2864</v>
      </c>
      <c r="I74" s="5" t="str">
        <f>IF(INDEX(Manual_Review!$O$6:$O$238,U74)="","",INDEX(Manual_Review!$O$6:$O$238,U74))</f>
        <v/>
      </c>
      <c r="J74" s="5" t="str">
        <f t="shared" si="2"/>
        <v>AI provisional</v>
      </c>
      <c r="K74" s="5" t="str">
        <f t="shared" si="3"/>
        <v>U</v>
      </c>
      <c r="L74" s="5" t="s">
        <v>2988</v>
      </c>
      <c r="M74" s="5" t="s">
        <v>3002</v>
      </c>
      <c r="N74" s="5" t="s">
        <v>3003</v>
      </c>
      <c r="O74" s="5" t="s">
        <v>3006</v>
      </c>
      <c r="P74" s="5" t="s">
        <v>2992</v>
      </c>
      <c r="Q74" s="11">
        <v>46306.5</v>
      </c>
      <c r="R74" s="6"/>
      <c r="S74" s="6"/>
      <c r="T74" s="6"/>
      <c r="U74" s="5">
        <f>MATCH(B74,Manual_Review!$A$6:$A$238,0)</f>
        <v>5</v>
      </c>
      <c r="V74" s="5" t="str">
        <f>IF(INDEX(Manual_Review!$G$6:$G$238,U74)="","",INDEX(Manual_Review!$G$6:$G$238,U74))</f>
        <v/>
      </c>
      <c r="W74" s="11" t="str">
        <f>IF(INDEX(Manual_Review!$H$6:$H$238,U74)="","",INDEX(Manual_Review!$H$6:$H$238,U74))</f>
        <v/>
      </c>
      <c r="X74" s="5" t="str">
        <f>IF(INDEX(Manual_Review!$I$6:$I$238,U74)="","",INDEX(Manual_Review!$I$6:$I$238,U74))</f>
        <v/>
      </c>
      <c r="Y74" s="5" t="s">
        <v>2859</v>
      </c>
    </row>
    <row r="75" spans="1:25" ht="25.5">
      <c r="A75" s="5" t="s">
        <v>3007</v>
      </c>
      <c r="B75" s="5" t="s">
        <v>165</v>
      </c>
      <c r="C75" s="5" t="s">
        <v>166</v>
      </c>
      <c r="D75" s="5" t="s">
        <v>118</v>
      </c>
      <c r="E75" s="5" t="s">
        <v>2786</v>
      </c>
      <c r="F75" s="5" t="s">
        <v>2756</v>
      </c>
      <c r="G75" s="5">
        <v>1</v>
      </c>
      <c r="H75" s="5" t="s">
        <v>2864</v>
      </c>
      <c r="I75" s="5" t="str">
        <f>IF(INDEX(Manual_Review!$P$6:$P$238,U75)="","",INDEX(Manual_Review!$P$6:$P$238,U75))</f>
        <v/>
      </c>
      <c r="J75" s="5" t="str">
        <f t="shared" si="2"/>
        <v>AI provisional</v>
      </c>
      <c r="K75" s="5" t="str">
        <f t="shared" si="3"/>
        <v>U</v>
      </c>
      <c r="L75" s="5" t="s">
        <v>2988</v>
      </c>
      <c r="M75" s="5" t="s">
        <v>3008</v>
      </c>
      <c r="N75" s="5" t="s">
        <v>3009</v>
      </c>
      <c r="O75" s="5" t="s">
        <v>3010</v>
      </c>
      <c r="P75" s="5" t="s">
        <v>2992</v>
      </c>
      <c r="Q75" s="11">
        <v>46306.5</v>
      </c>
      <c r="R75" s="6"/>
      <c r="S75" s="6"/>
      <c r="T75" s="6"/>
      <c r="U75" s="5">
        <f>MATCH(B75,Manual_Review!$A$6:$A$238,0)</f>
        <v>5</v>
      </c>
      <c r="V75" s="5" t="str">
        <f>IF(INDEX(Manual_Review!$G$6:$G$238,U75)="","",INDEX(Manual_Review!$G$6:$G$238,U75))</f>
        <v/>
      </c>
      <c r="W75" s="11" t="str">
        <f>IF(INDEX(Manual_Review!$H$6:$H$238,U75)="","",INDEX(Manual_Review!$H$6:$H$238,U75))</f>
        <v/>
      </c>
      <c r="X75" s="5" t="str">
        <f>IF(INDEX(Manual_Review!$I$6:$I$238,U75)="","",INDEX(Manual_Review!$I$6:$I$238,U75))</f>
        <v/>
      </c>
      <c r="Y75" s="5" t="s">
        <v>2859</v>
      </c>
    </row>
    <row r="76" spans="1:25" ht="25.5">
      <c r="A76" s="5" t="s">
        <v>3011</v>
      </c>
      <c r="B76" s="5" t="s">
        <v>165</v>
      </c>
      <c r="C76" s="5" t="s">
        <v>166</v>
      </c>
      <c r="D76" s="5" t="s">
        <v>118</v>
      </c>
      <c r="E76" s="5" t="s">
        <v>2787</v>
      </c>
      <c r="F76" s="5" t="s">
        <v>2758</v>
      </c>
      <c r="G76" s="5">
        <v>1</v>
      </c>
      <c r="H76" s="5" t="s">
        <v>2864</v>
      </c>
      <c r="I76" s="5" t="str">
        <f>IF(INDEX(Manual_Review!$Q$6:$Q$238,U76)="","",INDEX(Manual_Review!$Q$6:$Q$238,U76))</f>
        <v/>
      </c>
      <c r="J76" s="5" t="str">
        <f t="shared" si="2"/>
        <v>AI provisional</v>
      </c>
      <c r="K76" s="5" t="str">
        <f t="shared" si="3"/>
        <v>U</v>
      </c>
      <c r="L76" s="5" t="s">
        <v>2988</v>
      </c>
      <c r="M76" s="5" t="s">
        <v>3012</v>
      </c>
      <c r="N76" s="5" t="s">
        <v>3013</v>
      </c>
      <c r="O76" s="5" t="s">
        <v>3014</v>
      </c>
      <c r="P76" s="5" t="s">
        <v>2992</v>
      </c>
      <c r="Q76" s="11">
        <v>46306.5</v>
      </c>
      <c r="R76" s="6"/>
      <c r="S76" s="6"/>
      <c r="T76" s="6"/>
      <c r="U76" s="5">
        <f>MATCH(B76,Manual_Review!$A$6:$A$238,0)</f>
        <v>5</v>
      </c>
      <c r="V76" s="5" t="str">
        <f>IF(INDEX(Manual_Review!$G$6:$G$238,U76)="","",INDEX(Manual_Review!$G$6:$G$238,U76))</f>
        <v/>
      </c>
      <c r="W76" s="11" t="str">
        <f>IF(INDEX(Manual_Review!$H$6:$H$238,U76)="","",INDEX(Manual_Review!$H$6:$H$238,U76))</f>
        <v/>
      </c>
      <c r="X76" s="5" t="str">
        <f>IF(INDEX(Manual_Review!$I$6:$I$238,U76)="","",INDEX(Manual_Review!$I$6:$I$238,U76))</f>
        <v/>
      </c>
      <c r="Y76" s="5" t="s">
        <v>2859</v>
      </c>
    </row>
    <row r="77" spans="1:25" ht="51">
      <c r="A77" s="5" t="s">
        <v>3015</v>
      </c>
      <c r="B77" s="5" t="s">
        <v>165</v>
      </c>
      <c r="C77" s="5" t="s">
        <v>166</v>
      </c>
      <c r="D77" s="5" t="s">
        <v>118</v>
      </c>
      <c r="E77" s="5" t="s">
        <v>2788</v>
      </c>
      <c r="F77" s="5" t="s">
        <v>2758</v>
      </c>
      <c r="G77" s="5">
        <v>1</v>
      </c>
      <c r="H77" s="5" t="s">
        <v>2854</v>
      </c>
      <c r="I77" s="5" t="str">
        <f>IF(INDEX(Manual_Review!$R$6:$R$238,U77)="","",INDEX(Manual_Review!$R$6:$R$238,U77))</f>
        <v/>
      </c>
      <c r="J77" s="5" t="str">
        <f t="shared" si="2"/>
        <v>AI provisional</v>
      </c>
      <c r="K77" s="5" t="str">
        <f t="shared" si="3"/>
        <v>Y</v>
      </c>
      <c r="L77" s="5" t="s">
        <v>2988</v>
      </c>
      <c r="M77" s="5" t="s">
        <v>3016</v>
      </c>
      <c r="N77" s="5" t="s">
        <v>3017</v>
      </c>
      <c r="O77" s="5" t="s">
        <v>3018</v>
      </c>
      <c r="P77" s="5" t="s">
        <v>2992</v>
      </c>
      <c r="Q77" s="11">
        <v>46306.5</v>
      </c>
      <c r="R77" s="6"/>
      <c r="S77" s="6"/>
      <c r="T77" s="6"/>
      <c r="U77" s="5">
        <f>MATCH(B77,Manual_Review!$A$6:$A$238,0)</f>
        <v>5</v>
      </c>
      <c r="V77" s="5" t="str">
        <f>IF(INDEX(Manual_Review!$G$6:$G$238,U77)="","",INDEX(Manual_Review!$G$6:$G$238,U77))</f>
        <v/>
      </c>
      <c r="W77" s="11" t="str">
        <f>IF(INDEX(Manual_Review!$H$6:$H$238,U77)="","",INDEX(Manual_Review!$H$6:$H$238,U77))</f>
        <v/>
      </c>
      <c r="X77" s="5" t="str">
        <f>IF(INDEX(Manual_Review!$I$6:$I$238,U77)="","",INDEX(Manual_Review!$I$6:$I$238,U77))</f>
        <v/>
      </c>
      <c r="Y77" s="5" t="s">
        <v>2859</v>
      </c>
    </row>
    <row r="78" spans="1:25" ht="38.25">
      <c r="A78" s="5" t="s">
        <v>3019</v>
      </c>
      <c r="B78" s="5" t="s">
        <v>165</v>
      </c>
      <c r="C78" s="5" t="s">
        <v>166</v>
      </c>
      <c r="D78" s="5" t="s">
        <v>118</v>
      </c>
      <c r="E78" s="5" t="s">
        <v>2789</v>
      </c>
      <c r="F78" s="5" t="s">
        <v>2758</v>
      </c>
      <c r="G78" s="5">
        <v>1</v>
      </c>
      <c r="H78" s="5" t="s">
        <v>2854</v>
      </c>
      <c r="I78" s="5" t="str">
        <f>IF(INDEX(Manual_Review!$S$6:$S$238,U78)="","",INDEX(Manual_Review!$S$6:$S$238,U78))</f>
        <v/>
      </c>
      <c r="J78" s="5" t="str">
        <f t="shared" si="2"/>
        <v>AI provisional</v>
      </c>
      <c r="K78" s="5" t="str">
        <f t="shared" si="3"/>
        <v>Y</v>
      </c>
      <c r="L78" s="5" t="s">
        <v>2988</v>
      </c>
      <c r="M78" s="5" t="s">
        <v>3020</v>
      </c>
      <c r="N78" s="5" t="s">
        <v>3021</v>
      </c>
      <c r="O78" s="5" t="s">
        <v>3022</v>
      </c>
      <c r="P78" s="5" t="s">
        <v>2992</v>
      </c>
      <c r="Q78" s="11">
        <v>46306.5</v>
      </c>
      <c r="R78" s="6"/>
      <c r="S78" s="6"/>
      <c r="T78" s="6"/>
      <c r="U78" s="5">
        <f>MATCH(B78,Manual_Review!$A$6:$A$238,0)</f>
        <v>5</v>
      </c>
      <c r="V78" s="5" t="str">
        <f>IF(INDEX(Manual_Review!$G$6:$G$238,U78)="","",INDEX(Manual_Review!$G$6:$G$238,U78))</f>
        <v/>
      </c>
      <c r="W78" s="11" t="str">
        <f>IF(INDEX(Manual_Review!$H$6:$H$238,U78)="","",INDEX(Manual_Review!$H$6:$H$238,U78))</f>
        <v/>
      </c>
      <c r="X78" s="5" t="str">
        <f>IF(INDEX(Manual_Review!$I$6:$I$238,U78)="","",INDEX(Manual_Review!$I$6:$I$238,U78))</f>
        <v/>
      </c>
      <c r="Y78" s="5" t="s">
        <v>2859</v>
      </c>
    </row>
    <row r="79" spans="1:25" ht="25.5">
      <c r="A79" s="5" t="s">
        <v>3023</v>
      </c>
      <c r="B79" s="5" t="s">
        <v>165</v>
      </c>
      <c r="C79" s="5" t="s">
        <v>166</v>
      </c>
      <c r="D79" s="5" t="s">
        <v>118</v>
      </c>
      <c r="E79" s="5" t="s">
        <v>2790</v>
      </c>
      <c r="F79" s="5" t="s">
        <v>2760</v>
      </c>
      <c r="G79" s="5">
        <v>1</v>
      </c>
      <c r="H79" s="5" t="s">
        <v>2908</v>
      </c>
      <c r="I79" s="5" t="str">
        <f>IF(INDEX(Manual_Review!$T$6:$T$238,U79)="","",INDEX(Manual_Review!$T$6:$T$238,U79))</f>
        <v/>
      </c>
      <c r="J79" s="5" t="str">
        <f t="shared" si="2"/>
        <v>AI provisional</v>
      </c>
      <c r="K79" s="5" t="str">
        <f t="shared" si="3"/>
        <v>X</v>
      </c>
      <c r="L79" s="5" t="s">
        <v>2988</v>
      </c>
      <c r="M79" s="5" t="s">
        <v>3024</v>
      </c>
      <c r="N79" s="5" t="s">
        <v>3025</v>
      </c>
      <c r="O79" s="5" t="s">
        <v>3026</v>
      </c>
      <c r="P79" s="5" t="s">
        <v>2992</v>
      </c>
      <c r="Q79" s="11">
        <v>46306.5</v>
      </c>
      <c r="R79" s="6"/>
      <c r="S79" s="6"/>
      <c r="T79" s="6"/>
      <c r="U79" s="5">
        <f>MATCH(B79,Manual_Review!$A$6:$A$238,0)</f>
        <v>5</v>
      </c>
      <c r="V79" s="5" t="str">
        <f>IF(INDEX(Manual_Review!$G$6:$G$238,U79)="","",INDEX(Manual_Review!$G$6:$G$238,U79))</f>
        <v/>
      </c>
      <c r="W79" s="11" t="str">
        <f>IF(INDEX(Manual_Review!$H$6:$H$238,U79)="","",INDEX(Manual_Review!$H$6:$H$238,U79))</f>
        <v/>
      </c>
      <c r="X79" s="5" t="str">
        <f>IF(INDEX(Manual_Review!$I$6:$I$238,U79)="","",INDEX(Manual_Review!$I$6:$I$238,U79))</f>
        <v/>
      </c>
      <c r="Y79" s="5" t="s">
        <v>2859</v>
      </c>
    </row>
    <row r="80" spans="1:25" ht="25.5">
      <c r="A80" s="5" t="s">
        <v>3027</v>
      </c>
      <c r="B80" s="5" t="s">
        <v>165</v>
      </c>
      <c r="C80" s="5" t="s">
        <v>166</v>
      </c>
      <c r="D80" s="5" t="s">
        <v>118</v>
      </c>
      <c r="E80" s="5" t="s">
        <v>2791</v>
      </c>
      <c r="F80" s="5" t="s">
        <v>2760</v>
      </c>
      <c r="G80" s="5">
        <v>1</v>
      </c>
      <c r="H80" s="5" t="s">
        <v>2864</v>
      </c>
      <c r="I80" s="5" t="str">
        <f>IF(INDEX(Manual_Review!$U$6:$U$238,U80)="","",INDEX(Manual_Review!$U$6:$U$238,U80))</f>
        <v/>
      </c>
      <c r="J80" s="5" t="str">
        <f t="shared" si="2"/>
        <v>AI provisional</v>
      </c>
      <c r="K80" s="5" t="str">
        <f t="shared" si="3"/>
        <v>U</v>
      </c>
      <c r="L80" s="5" t="s">
        <v>2988</v>
      </c>
      <c r="M80" s="5" t="s">
        <v>3028</v>
      </c>
      <c r="N80" s="5" t="s">
        <v>3029</v>
      </c>
      <c r="O80" s="5" t="s">
        <v>3030</v>
      </c>
      <c r="P80" s="5" t="s">
        <v>2992</v>
      </c>
      <c r="Q80" s="11">
        <v>46306.5</v>
      </c>
      <c r="R80" s="6"/>
      <c r="S80" s="6"/>
      <c r="T80" s="6"/>
      <c r="U80" s="5">
        <f>MATCH(B80,Manual_Review!$A$6:$A$238,0)</f>
        <v>5</v>
      </c>
      <c r="V80" s="5" t="str">
        <f>IF(INDEX(Manual_Review!$G$6:$G$238,U80)="","",INDEX(Manual_Review!$G$6:$G$238,U80))</f>
        <v/>
      </c>
      <c r="W80" s="11" t="str">
        <f>IF(INDEX(Manual_Review!$H$6:$H$238,U80)="","",INDEX(Manual_Review!$H$6:$H$238,U80))</f>
        <v/>
      </c>
      <c r="X80" s="5" t="str">
        <f>IF(INDEX(Manual_Review!$I$6:$I$238,U80)="","",INDEX(Manual_Review!$I$6:$I$238,U80))</f>
        <v/>
      </c>
      <c r="Y80" s="5" t="s">
        <v>2859</v>
      </c>
    </row>
    <row r="81" spans="1:25" ht="25.5">
      <c r="A81" s="5" t="s">
        <v>3031</v>
      </c>
      <c r="B81" s="5" t="s">
        <v>165</v>
      </c>
      <c r="C81" s="5" t="s">
        <v>166</v>
      </c>
      <c r="D81" s="5" t="s">
        <v>118</v>
      </c>
      <c r="E81" s="5" t="s">
        <v>2792</v>
      </c>
      <c r="F81" s="5" t="s">
        <v>2762</v>
      </c>
      <c r="G81" s="5">
        <v>1</v>
      </c>
      <c r="H81" s="5" t="s">
        <v>2854</v>
      </c>
      <c r="I81" s="5" t="str">
        <f>IF(INDEX(Manual_Review!$V$6:$V$238,U81)="","",INDEX(Manual_Review!$V$6:$V$238,U81))</f>
        <v/>
      </c>
      <c r="J81" s="5" t="str">
        <f t="shared" si="2"/>
        <v>AI provisional</v>
      </c>
      <c r="K81" s="5" t="str">
        <f t="shared" si="3"/>
        <v>Y</v>
      </c>
      <c r="L81" s="5" t="s">
        <v>2988</v>
      </c>
      <c r="M81" s="5" t="s">
        <v>3032</v>
      </c>
      <c r="N81" s="5" t="s">
        <v>3033</v>
      </c>
      <c r="O81" s="5" t="s">
        <v>3034</v>
      </c>
      <c r="P81" s="5" t="s">
        <v>2992</v>
      </c>
      <c r="Q81" s="11">
        <v>46306.5</v>
      </c>
      <c r="R81" s="6"/>
      <c r="S81" s="6"/>
      <c r="T81" s="6"/>
      <c r="U81" s="5">
        <f>MATCH(B81,Manual_Review!$A$6:$A$238,0)</f>
        <v>5</v>
      </c>
      <c r="V81" s="5" t="str">
        <f>IF(INDEX(Manual_Review!$G$6:$G$238,U81)="","",INDEX(Manual_Review!$G$6:$G$238,U81))</f>
        <v/>
      </c>
      <c r="W81" s="11" t="str">
        <f>IF(INDEX(Manual_Review!$H$6:$H$238,U81)="","",INDEX(Manual_Review!$H$6:$H$238,U81))</f>
        <v/>
      </c>
      <c r="X81" s="5" t="str">
        <f>IF(INDEX(Manual_Review!$I$6:$I$238,U81)="","",INDEX(Manual_Review!$I$6:$I$238,U81))</f>
        <v/>
      </c>
      <c r="Y81" s="5" t="s">
        <v>2859</v>
      </c>
    </row>
    <row r="82" spans="1:25" ht="38.25">
      <c r="A82" s="5" t="s">
        <v>3035</v>
      </c>
      <c r="B82" s="5" t="s">
        <v>165</v>
      </c>
      <c r="C82" s="5" t="s">
        <v>166</v>
      </c>
      <c r="D82" s="5" t="s">
        <v>118</v>
      </c>
      <c r="E82" s="5" t="s">
        <v>2793</v>
      </c>
      <c r="F82" s="5" t="s">
        <v>2762</v>
      </c>
      <c r="G82" s="5">
        <v>1</v>
      </c>
      <c r="H82" s="5" t="s">
        <v>2854</v>
      </c>
      <c r="I82" s="5" t="str">
        <f>IF(INDEX(Manual_Review!$W$6:$W$238,U82)="","",INDEX(Manual_Review!$W$6:$W$238,U82))</f>
        <v/>
      </c>
      <c r="J82" s="5" t="str">
        <f t="shared" si="2"/>
        <v>AI provisional</v>
      </c>
      <c r="K82" s="5" t="str">
        <f t="shared" si="3"/>
        <v>Y</v>
      </c>
      <c r="L82" s="5" t="s">
        <v>2988</v>
      </c>
      <c r="M82" s="5" t="s">
        <v>3036</v>
      </c>
      <c r="N82" s="5" t="s">
        <v>3037</v>
      </c>
      <c r="O82" s="5" t="s">
        <v>3038</v>
      </c>
      <c r="P82" s="5" t="s">
        <v>2992</v>
      </c>
      <c r="Q82" s="11">
        <v>46306.5</v>
      </c>
      <c r="R82" s="6"/>
      <c r="S82" s="6"/>
      <c r="T82" s="6"/>
      <c r="U82" s="5">
        <f>MATCH(B82,Manual_Review!$A$6:$A$238,0)</f>
        <v>5</v>
      </c>
      <c r="V82" s="5" t="str">
        <f>IF(INDEX(Manual_Review!$G$6:$G$238,U82)="","",INDEX(Manual_Review!$G$6:$G$238,U82))</f>
        <v/>
      </c>
      <c r="W82" s="11" t="str">
        <f>IF(INDEX(Manual_Review!$H$6:$H$238,U82)="","",INDEX(Manual_Review!$H$6:$H$238,U82))</f>
        <v/>
      </c>
      <c r="X82" s="5" t="str">
        <f>IF(INDEX(Manual_Review!$I$6:$I$238,U82)="","",INDEX(Manual_Review!$I$6:$I$238,U82))</f>
        <v/>
      </c>
      <c r="Y82" s="5" t="s">
        <v>2859</v>
      </c>
    </row>
    <row r="83" spans="1:25" ht="25.5">
      <c r="A83" s="5" t="s">
        <v>3039</v>
      </c>
      <c r="B83" s="5" t="s">
        <v>165</v>
      </c>
      <c r="C83" s="5" t="s">
        <v>166</v>
      </c>
      <c r="D83" s="5" t="s">
        <v>118</v>
      </c>
      <c r="E83" s="5" t="s">
        <v>2794</v>
      </c>
      <c r="F83" s="5" t="s">
        <v>2764</v>
      </c>
      <c r="G83" s="5">
        <v>1</v>
      </c>
      <c r="H83" s="5" t="s">
        <v>2854</v>
      </c>
      <c r="I83" s="5" t="str">
        <f>IF(INDEX(Manual_Review!$X$6:$X$238,U83)="","",INDEX(Manual_Review!$X$6:$X$238,U83))</f>
        <v/>
      </c>
      <c r="J83" s="5" t="str">
        <f t="shared" si="2"/>
        <v>AI provisional</v>
      </c>
      <c r="K83" s="5" t="str">
        <f t="shared" si="3"/>
        <v>Y</v>
      </c>
      <c r="L83" s="5" t="s">
        <v>2988</v>
      </c>
      <c r="M83" s="5" t="s">
        <v>3040</v>
      </c>
      <c r="N83" s="5" t="s">
        <v>3041</v>
      </c>
      <c r="O83" s="5" t="s">
        <v>3042</v>
      </c>
      <c r="P83" s="5" t="s">
        <v>2992</v>
      </c>
      <c r="Q83" s="11">
        <v>46306.5</v>
      </c>
      <c r="R83" s="6"/>
      <c r="S83" s="6"/>
      <c r="T83" s="6"/>
      <c r="U83" s="5">
        <f>MATCH(B83,Manual_Review!$A$6:$A$238,0)</f>
        <v>5</v>
      </c>
      <c r="V83" s="5" t="str">
        <f>IF(INDEX(Manual_Review!$G$6:$G$238,U83)="","",INDEX(Manual_Review!$G$6:$G$238,U83))</f>
        <v/>
      </c>
      <c r="W83" s="11" t="str">
        <f>IF(INDEX(Manual_Review!$H$6:$H$238,U83)="","",INDEX(Manual_Review!$H$6:$H$238,U83))</f>
        <v/>
      </c>
      <c r="X83" s="5" t="str">
        <f>IF(INDEX(Manual_Review!$I$6:$I$238,U83)="","",INDEX(Manual_Review!$I$6:$I$238,U83))</f>
        <v/>
      </c>
      <c r="Y83" s="5" t="s">
        <v>2859</v>
      </c>
    </row>
    <row r="84" spans="1:25" ht="25.5">
      <c r="A84" s="5" t="s">
        <v>3043</v>
      </c>
      <c r="B84" s="5" t="s">
        <v>165</v>
      </c>
      <c r="C84" s="5" t="s">
        <v>166</v>
      </c>
      <c r="D84" s="5" t="s">
        <v>118</v>
      </c>
      <c r="E84" s="5" t="s">
        <v>2795</v>
      </c>
      <c r="F84" s="5" t="s">
        <v>2764</v>
      </c>
      <c r="G84" s="5">
        <v>1</v>
      </c>
      <c r="H84" s="5" t="s">
        <v>2854</v>
      </c>
      <c r="I84" s="5" t="str">
        <f>IF(INDEX(Manual_Review!$Y$6:$Y$238,U84)="","",INDEX(Manual_Review!$Y$6:$Y$238,U84))</f>
        <v/>
      </c>
      <c r="J84" s="5" t="str">
        <f t="shared" si="2"/>
        <v>AI provisional</v>
      </c>
      <c r="K84" s="5" t="str">
        <f t="shared" si="3"/>
        <v>Y</v>
      </c>
      <c r="L84" s="5" t="s">
        <v>2988</v>
      </c>
      <c r="M84" s="5" t="s">
        <v>3044</v>
      </c>
      <c r="N84" s="5" t="s">
        <v>3045</v>
      </c>
      <c r="O84" s="5" t="s">
        <v>3046</v>
      </c>
      <c r="P84" s="5" t="s">
        <v>2992</v>
      </c>
      <c r="Q84" s="11">
        <v>46306.5</v>
      </c>
      <c r="R84" s="6"/>
      <c r="S84" s="6"/>
      <c r="T84" s="6"/>
      <c r="U84" s="5">
        <f>MATCH(B84,Manual_Review!$A$6:$A$238,0)</f>
        <v>5</v>
      </c>
      <c r="V84" s="5" t="str">
        <f>IF(INDEX(Manual_Review!$G$6:$G$238,U84)="","",INDEX(Manual_Review!$G$6:$G$238,U84))</f>
        <v/>
      </c>
      <c r="W84" s="11" t="str">
        <f>IF(INDEX(Manual_Review!$H$6:$H$238,U84)="","",INDEX(Manual_Review!$H$6:$H$238,U84))</f>
        <v/>
      </c>
      <c r="X84" s="5" t="str">
        <f>IF(INDEX(Manual_Review!$I$6:$I$238,U84)="","",INDEX(Manual_Review!$I$6:$I$238,U84))</f>
        <v/>
      </c>
      <c r="Y84" s="5" t="s">
        <v>2859</v>
      </c>
    </row>
    <row r="85" spans="1:25" ht="38.25">
      <c r="A85" s="5" t="s">
        <v>3047</v>
      </c>
      <c r="B85" s="5" t="s">
        <v>165</v>
      </c>
      <c r="C85" s="5" t="s">
        <v>166</v>
      </c>
      <c r="D85" s="5" t="s">
        <v>118</v>
      </c>
      <c r="E85" s="5" t="s">
        <v>2796</v>
      </c>
      <c r="F85" s="5" t="s">
        <v>2764</v>
      </c>
      <c r="G85" s="5">
        <v>1</v>
      </c>
      <c r="H85" s="5" t="s">
        <v>2864</v>
      </c>
      <c r="I85" s="5" t="str">
        <f>IF(INDEX(Manual_Review!$Z$6:$Z$238,U85)="","",INDEX(Manual_Review!$Z$6:$Z$238,U85))</f>
        <v/>
      </c>
      <c r="J85" s="5" t="str">
        <f t="shared" si="2"/>
        <v>AI provisional</v>
      </c>
      <c r="K85" s="5" t="str">
        <f t="shared" si="3"/>
        <v>U</v>
      </c>
      <c r="L85" s="5" t="s">
        <v>2988</v>
      </c>
      <c r="M85" s="5" t="s">
        <v>3048</v>
      </c>
      <c r="N85" s="5" t="s">
        <v>3049</v>
      </c>
      <c r="O85" s="5" t="s">
        <v>3050</v>
      </c>
      <c r="P85" s="5" t="s">
        <v>2992</v>
      </c>
      <c r="Q85" s="11">
        <v>46306.5</v>
      </c>
      <c r="R85" s="6"/>
      <c r="S85" s="6"/>
      <c r="T85" s="6"/>
      <c r="U85" s="5">
        <f>MATCH(B85,Manual_Review!$A$6:$A$238,0)</f>
        <v>5</v>
      </c>
      <c r="V85" s="5" t="str">
        <f>IF(INDEX(Manual_Review!$G$6:$G$238,U85)="","",INDEX(Manual_Review!$G$6:$G$238,U85))</f>
        <v/>
      </c>
      <c r="W85" s="11" t="str">
        <f>IF(INDEX(Manual_Review!$H$6:$H$238,U85)="","",INDEX(Manual_Review!$H$6:$H$238,U85))</f>
        <v/>
      </c>
      <c r="X85" s="5" t="str">
        <f>IF(INDEX(Manual_Review!$I$6:$I$238,U85)="","",INDEX(Manual_Review!$I$6:$I$238,U85))</f>
        <v/>
      </c>
      <c r="Y85" s="5" t="s">
        <v>2859</v>
      </c>
    </row>
    <row r="86" spans="1:25" ht="25.5">
      <c r="A86" s="5" t="s">
        <v>3051</v>
      </c>
      <c r="B86" s="5" t="s">
        <v>187</v>
      </c>
      <c r="C86" s="5" t="s">
        <v>188</v>
      </c>
      <c r="D86" s="5" t="s">
        <v>118</v>
      </c>
      <c r="E86" s="5" t="s">
        <v>2781</v>
      </c>
      <c r="F86" s="5" t="s">
        <v>2754</v>
      </c>
      <c r="G86" s="5">
        <v>1</v>
      </c>
      <c r="H86" s="5" t="s">
        <v>2854</v>
      </c>
      <c r="I86" s="5" t="str">
        <f>IF(INDEX(Manual_Review!$K$6:$K$238,U86)="","",INDEX(Manual_Review!$K$6:$K$238,U86))</f>
        <v/>
      </c>
      <c r="J86" s="5" t="str">
        <f t="shared" si="2"/>
        <v>AI provisional</v>
      </c>
      <c r="K86" s="5" t="str">
        <f t="shared" si="3"/>
        <v>Y</v>
      </c>
      <c r="L86" s="5" t="s">
        <v>194</v>
      </c>
      <c r="M86" s="5" t="s">
        <v>3052</v>
      </c>
      <c r="N86" s="5" t="s">
        <v>3053</v>
      </c>
      <c r="O86" s="5" t="s">
        <v>2857</v>
      </c>
      <c r="P86" s="5" t="s">
        <v>2858</v>
      </c>
      <c r="Q86" s="11">
        <v>46306.5</v>
      </c>
      <c r="R86" s="6"/>
      <c r="S86" s="6"/>
      <c r="T86" s="6"/>
      <c r="U86" s="5">
        <f>MATCH(B86,Manual_Review!$A$6:$A$238,0)</f>
        <v>6</v>
      </c>
      <c r="V86" s="5" t="str">
        <f>IF(INDEX(Manual_Review!$G$6:$G$238,U86)="","",INDEX(Manual_Review!$G$6:$G$238,U86))</f>
        <v/>
      </c>
      <c r="W86" s="11" t="str">
        <f>IF(INDEX(Manual_Review!$H$6:$H$238,U86)="","",INDEX(Manual_Review!$H$6:$H$238,U86))</f>
        <v/>
      </c>
      <c r="X86" s="5" t="str">
        <f>IF(INDEX(Manual_Review!$I$6:$I$238,U86)="","",INDEX(Manual_Review!$I$6:$I$238,U86))</f>
        <v/>
      </c>
      <c r="Y86" s="5" t="s">
        <v>2859</v>
      </c>
    </row>
    <row r="87" spans="1:25" ht="25.5">
      <c r="A87" s="5" t="s">
        <v>3054</v>
      </c>
      <c r="B87" s="5" t="s">
        <v>187</v>
      </c>
      <c r="C87" s="5" t="s">
        <v>188</v>
      </c>
      <c r="D87" s="5" t="s">
        <v>118</v>
      </c>
      <c r="E87" s="5" t="s">
        <v>2782</v>
      </c>
      <c r="F87" s="5" t="s">
        <v>2754</v>
      </c>
      <c r="G87" s="5">
        <v>1</v>
      </c>
      <c r="H87" s="5" t="s">
        <v>2854</v>
      </c>
      <c r="I87" s="5" t="str">
        <f>IF(INDEX(Manual_Review!$L$6:$L$238,U87)="","",INDEX(Manual_Review!$L$6:$L$238,U87))</f>
        <v/>
      </c>
      <c r="J87" s="5" t="str">
        <f t="shared" si="2"/>
        <v>AI provisional</v>
      </c>
      <c r="K87" s="5" t="str">
        <f t="shared" si="3"/>
        <v>Y</v>
      </c>
      <c r="L87" s="5" t="s">
        <v>194</v>
      </c>
      <c r="M87" s="5" t="s">
        <v>3055</v>
      </c>
      <c r="N87" s="5" t="s">
        <v>3053</v>
      </c>
      <c r="O87" s="5" t="s">
        <v>2862</v>
      </c>
      <c r="P87" s="5" t="s">
        <v>2858</v>
      </c>
      <c r="Q87" s="11">
        <v>46306.5</v>
      </c>
      <c r="R87" s="6"/>
      <c r="S87" s="6"/>
      <c r="T87" s="6"/>
      <c r="U87" s="5">
        <f>MATCH(B87,Manual_Review!$A$6:$A$238,0)</f>
        <v>6</v>
      </c>
      <c r="V87" s="5" t="str">
        <f>IF(INDEX(Manual_Review!$G$6:$G$238,U87)="","",INDEX(Manual_Review!$G$6:$G$238,U87))</f>
        <v/>
      </c>
      <c r="W87" s="11" t="str">
        <f>IF(INDEX(Manual_Review!$H$6:$H$238,U87)="","",INDEX(Manual_Review!$H$6:$H$238,U87))</f>
        <v/>
      </c>
      <c r="X87" s="5" t="str">
        <f>IF(INDEX(Manual_Review!$I$6:$I$238,U87)="","",INDEX(Manual_Review!$I$6:$I$238,U87))</f>
        <v/>
      </c>
      <c r="Y87" s="5" t="s">
        <v>2859</v>
      </c>
    </row>
    <row r="88" spans="1:25" ht="25.5">
      <c r="A88" s="5" t="s">
        <v>3056</v>
      </c>
      <c r="B88" s="5" t="s">
        <v>187</v>
      </c>
      <c r="C88" s="5" t="s">
        <v>188</v>
      </c>
      <c r="D88" s="5" t="s">
        <v>118</v>
      </c>
      <c r="E88" s="5" t="s">
        <v>2783</v>
      </c>
      <c r="F88" s="5" t="s">
        <v>2754</v>
      </c>
      <c r="G88" s="5">
        <v>1</v>
      </c>
      <c r="H88" s="5" t="s">
        <v>2864</v>
      </c>
      <c r="I88" s="5" t="str">
        <f>IF(INDEX(Manual_Review!$M$6:$M$238,U88)="","",INDEX(Manual_Review!$M$6:$M$238,U88))</f>
        <v/>
      </c>
      <c r="J88" s="5" t="str">
        <f t="shared" si="2"/>
        <v>AI provisional</v>
      </c>
      <c r="K88" s="5" t="str">
        <f t="shared" si="3"/>
        <v>U</v>
      </c>
      <c r="L88" s="5" t="s">
        <v>194</v>
      </c>
      <c r="M88" s="5" t="s">
        <v>3057</v>
      </c>
      <c r="N88" s="5" t="s">
        <v>3053</v>
      </c>
      <c r="O88" s="5" t="s">
        <v>2866</v>
      </c>
      <c r="P88" s="5" t="s">
        <v>2858</v>
      </c>
      <c r="Q88" s="11">
        <v>46306.5</v>
      </c>
      <c r="R88" s="6"/>
      <c r="S88" s="6"/>
      <c r="T88" s="6"/>
      <c r="U88" s="5">
        <f>MATCH(B88,Manual_Review!$A$6:$A$238,0)</f>
        <v>6</v>
      </c>
      <c r="V88" s="5" t="str">
        <f>IF(INDEX(Manual_Review!$G$6:$G$238,U88)="","",INDEX(Manual_Review!$G$6:$G$238,U88))</f>
        <v/>
      </c>
      <c r="W88" s="11" t="str">
        <f>IF(INDEX(Manual_Review!$H$6:$H$238,U88)="","",INDEX(Manual_Review!$H$6:$H$238,U88))</f>
        <v/>
      </c>
      <c r="X88" s="5" t="str">
        <f>IF(INDEX(Manual_Review!$I$6:$I$238,U88)="","",INDEX(Manual_Review!$I$6:$I$238,U88))</f>
        <v/>
      </c>
      <c r="Y88" s="5" t="s">
        <v>2859</v>
      </c>
    </row>
    <row r="89" spans="1:25" ht="25.5">
      <c r="A89" s="5" t="s">
        <v>3058</v>
      </c>
      <c r="B89" s="5" t="s">
        <v>187</v>
      </c>
      <c r="C89" s="5" t="s">
        <v>188</v>
      </c>
      <c r="D89" s="5" t="s">
        <v>118</v>
      </c>
      <c r="E89" s="5" t="s">
        <v>2784</v>
      </c>
      <c r="F89" s="5" t="s">
        <v>2756</v>
      </c>
      <c r="G89" s="5">
        <v>1</v>
      </c>
      <c r="H89" s="5" t="s">
        <v>2864</v>
      </c>
      <c r="I89" s="5" t="str">
        <f>IF(INDEX(Manual_Review!$N$6:$N$238,U89)="","",INDEX(Manual_Review!$N$6:$N$238,U89))</f>
        <v/>
      </c>
      <c r="J89" s="5" t="str">
        <f t="shared" si="2"/>
        <v>AI provisional</v>
      </c>
      <c r="K89" s="5" t="str">
        <f t="shared" si="3"/>
        <v>U</v>
      </c>
      <c r="L89" s="5" t="s">
        <v>194</v>
      </c>
      <c r="M89" s="5" t="s">
        <v>3059</v>
      </c>
      <c r="N89" s="5" t="s">
        <v>3053</v>
      </c>
      <c r="O89" s="5" t="s">
        <v>2869</v>
      </c>
      <c r="P89" s="5" t="s">
        <v>2858</v>
      </c>
      <c r="Q89" s="11">
        <v>46306.5</v>
      </c>
      <c r="R89" s="6"/>
      <c r="S89" s="6"/>
      <c r="T89" s="6"/>
      <c r="U89" s="5">
        <f>MATCH(B89,Manual_Review!$A$6:$A$238,0)</f>
        <v>6</v>
      </c>
      <c r="V89" s="5" t="str">
        <f>IF(INDEX(Manual_Review!$G$6:$G$238,U89)="","",INDEX(Manual_Review!$G$6:$G$238,U89))</f>
        <v/>
      </c>
      <c r="W89" s="11" t="str">
        <f>IF(INDEX(Manual_Review!$H$6:$H$238,U89)="","",INDEX(Manual_Review!$H$6:$H$238,U89))</f>
        <v/>
      </c>
      <c r="X89" s="5" t="str">
        <f>IF(INDEX(Manual_Review!$I$6:$I$238,U89)="","",INDEX(Manual_Review!$I$6:$I$238,U89))</f>
        <v/>
      </c>
      <c r="Y89" s="5" t="s">
        <v>2859</v>
      </c>
    </row>
    <row r="90" spans="1:25" ht="25.5">
      <c r="A90" s="5" t="s">
        <v>3060</v>
      </c>
      <c r="B90" s="5" t="s">
        <v>187</v>
      </c>
      <c r="C90" s="5" t="s">
        <v>188</v>
      </c>
      <c r="D90" s="5" t="s">
        <v>118</v>
      </c>
      <c r="E90" s="5" t="s">
        <v>2785</v>
      </c>
      <c r="F90" s="5" t="s">
        <v>2756</v>
      </c>
      <c r="G90" s="5">
        <v>1</v>
      </c>
      <c r="H90" s="5" t="s">
        <v>2864</v>
      </c>
      <c r="I90" s="5" t="str">
        <f>IF(INDEX(Manual_Review!$O$6:$O$238,U90)="","",INDEX(Manual_Review!$O$6:$O$238,U90))</f>
        <v/>
      </c>
      <c r="J90" s="5" t="str">
        <f t="shared" si="2"/>
        <v>AI provisional</v>
      </c>
      <c r="K90" s="5" t="str">
        <f t="shared" si="3"/>
        <v>U</v>
      </c>
      <c r="L90" s="5" t="s">
        <v>194</v>
      </c>
      <c r="M90" s="5" t="s">
        <v>3061</v>
      </c>
      <c r="N90" s="5" t="s">
        <v>3053</v>
      </c>
      <c r="O90" s="5" t="s">
        <v>2872</v>
      </c>
      <c r="P90" s="5" t="s">
        <v>2858</v>
      </c>
      <c r="Q90" s="11">
        <v>46306.5</v>
      </c>
      <c r="R90" s="6"/>
      <c r="S90" s="6"/>
      <c r="T90" s="6"/>
      <c r="U90" s="5">
        <f>MATCH(B90,Manual_Review!$A$6:$A$238,0)</f>
        <v>6</v>
      </c>
      <c r="V90" s="5" t="str">
        <f>IF(INDEX(Manual_Review!$G$6:$G$238,U90)="","",INDEX(Manual_Review!$G$6:$G$238,U90))</f>
        <v/>
      </c>
      <c r="W90" s="11" t="str">
        <f>IF(INDEX(Manual_Review!$H$6:$H$238,U90)="","",INDEX(Manual_Review!$H$6:$H$238,U90))</f>
        <v/>
      </c>
      <c r="X90" s="5" t="str">
        <f>IF(INDEX(Manual_Review!$I$6:$I$238,U90)="","",INDEX(Manual_Review!$I$6:$I$238,U90))</f>
        <v/>
      </c>
      <c r="Y90" s="5" t="s">
        <v>2859</v>
      </c>
    </row>
    <row r="91" spans="1:25" ht="25.5">
      <c r="A91" s="5" t="s">
        <v>3062</v>
      </c>
      <c r="B91" s="5" t="s">
        <v>187</v>
      </c>
      <c r="C91" s="5" t="s">
        <v>188</v>
      </c>
      <c r="D91" s="5" t="s">
        <v>118</v>
      </c>
      <c r="E91" s="5" t="s">
        <v>2786</v>
      </c>
      <c r="F91" s="5" t="s">
        <v>2756</v>
      </c>
      <c r="G91" s="5">
        <v>1</v>
      </c>
      <c r="H91" s="5" t="s">
        <v>2864</v>
      </c>
      <c r="I91" s="5" t="str">
        <f>IF(INDEX(Manual_Review!$P$6:$P$238,U91)="","",INDEX(Manual_Review!$P$6:$P$238,U91))</f>
        <v/>
      </c>
      <c r="J91" s="5" t="str">
        <f t="shared" si="2"/>
        <v>AI provisional</v>
      </c>
      <c r="K91" s="5" t="str">
        <f t="shared" si="3"/>
        <v>U</v>
      </c>
      <c r="L91" s="5" t="s">
        <v>194</v>
      </c>
      <c r="M91" s="5" t="s">
        <v>3057</v>
      </c>
      <c r="N91" s="5" t="s">
        <v>3053</v>
      </c>
      <c r="O91" s="5" t="s">
        <v>2874</v>
      </c>
      <c r="P91" s="5" t="s">
        <v>2858</v>
      </c>
      <c r="Q91" s="11">
        <v>46306.5</v>
      </c>
      <c r="R91" s="6"/>
      <c r="S91" s="6"/>
      <c r="T91" s="6"/>
      <c r="U91" s="5">
        <f>MATCH(B91,Manual_Review!$A$6:$A$238,0)</f>
        <v>6</v>
      </c>
      <c r="V91" s="5" t="str">
        <f>IF(INDEX(Manual_Review!$G$6:$G$238,U91)="","",INDEX(Manual_Review!$G$6:$G$238,U91))</f>
        <v/>
      </c>
      <c r="W91" s="11" t="str">
        <f>IF(INDEX(Manual_Review!$H$6:$H$238,U91)="","",INDEX(Manual_Review!$H$6:$H$238,U91))</f>
        <v/>
      </c>
      <c r="X91" s="5" t="str">
        <f>IF(INDEX(Manual_Review!$I$6:$I$238,U91)="","",INDEX(Manual_Review!$I$6:$I$238,U91))</f>
        <v/>
      </c>
      <c r="Y91" s="5" t="s">
        <v>2859</v>
      </c>
    </row>
    <row r="92" spans="1:25" ht="25.5">
      <c r="A92" s="5" t="s">
        <v>3063</v>
      </c>
      <c r="B92" s="5" t="s">
        <v>187</v>
      </c>
      <c r="C92" s="5" t="s">
        <v>188</v>
      </c>
      <c r="D92" s="5" t="s">
        <v>118</v>
      </c>
      <c r="E92" s="5" t="s">
        <v>2787</v>
      </c>
      <c r="F92" s="5" t="s">
        <v>2758</v>
      </c>
      <c r="G92" s="5">
        <v>1</v>
      </c>
      <c r="H92" s="5" t="s">
        <v>2864</v>
      </c>
      <c r="I92" s="5" t="str">
        <f>IF(INDEX(Manual_Review!$Q$6:$Q$238,U92)="","",INDEX(Manual_Review!$Q$6:$Q$238,U92))</f>
        <v/>
      </c>
      <c r="J92" s="5" t="str">
        <f t="shared" si="2"/>
        <v>AI provisional</v>
      </c>
      <c r="K92" s="5" t="str">
        <f t="shared" si="3"/>
        <v>U</v>
      </c>
      <c r="L92" s="5" t="s">
        <v>194</v>
      </c>
      <c r="M92" s="5" t="s">
        <v>3064</v>
      </c>
      <c r="N92" s="5" t="s">
        <v>3053</v>
      </c>
      <c r="O92" s="5" t="s">
        <v>2877</v>
      </c>
      <c r="P92" s="5" t="s">
        <v>2858</v>
      </c>
      <c r="Q92" s="11">
        <v>46306.5</v>
      </c>
      <c r="R92" s="6"/>
      <c r="S92" s="6"/>
      <c r="T92" s="6"/>
      <c r="U92" s="5">
        <f>MATCH(B92,Manual_Review!$A$6:$A$238,0)</f>
        <v>6</v>
      </c>
      <c r="V92" s="5" t="str">
        <f>IF(INDEX(Manual_Review!$G$6:$G$238,U92)="","",INDEX(Manual_Review!$G$6:$G$238,U92))</f>
        <v/>
      </c>
      <c r="W92" s="11" t="str">
        <f>IF(INDEX(Manual_Review!$H$6:$H$238,U92)="","",INDEX(Manual_Review!$H$6:$H$238,U92))</f>
        <v/>
      </c>
      <c r="X92" s="5" t="str">
        <f>IF(INDEX(Manual_Review!$I$6:$I$238,U92)="","",INDEX(Manual_Review!$I$6:$I$238,U92))</f>
        <v/>
      </c>
      <c r="Y92" s="5" t="s">
        <v>2859</v>
      </c>
    </row>
    <row r="93" spans="1:25" ht="25.5">
      <c r="A93" s="5" t="s">
        <v>3065</v>
      </c>
      <c r="B93" s="5" t="s">
        <v>187</v>
      </c>
      <c r="C93" s="5" t="s">
        <v>188</v>
      </c>
      <c r="D93" s="5" t="s">
        <v>118</v>
      </c>
      <c r="E93" s="5" t="s">
        <v>2788</v>
      </c>
      <c r="F93" s="5" t="s">
        <v>2758</v>
      </c>
      <c r="G93" s="5">
        <v>1</v>
      </c>
      <c r="H93" s="5" t="s">
        <v>2854</v>
      </c>
      <c r="I93" s="5" t="str">
        <f>IF(INDEX(Manual_Review!$R$6:$R$238,U93)="","",INDEX(Manual_Review!$R$6:$R$238,U93))</f>
        <v/>
      </c>
      <c r="J93" s="5" t="str">
        <f t="shared" si="2"/>
        <v>AI provisional</v>
      </c>
      <c r="K93" s="5" t="str">
        <f t="shared" si="3"/>
        <v>Y</v>
      </c>
      <c r="L93" s="5" t="s">
        <v>194</v>
      </c>
      <c r="M93" s="5" t="s">
        <v>3066</v>
      </c>
      <c r="N93" s="5" t="s">
        <v>3053</v>
      </c>
      <c r="O93" s="5" t="s">
        <v>3067</v>
      </c>
      <c r="P93" s="5" t="s">
        <v>2858</v>
      </c>
      <c r="Q93" s="11">
        <v>46306.5</v>
      </c>
      <c r="R93" s="6"/>
      <c r="S93" s="6"/>
      <c r="T93" s="6"/>
      <c r="U93" s="5">
        <f>MATCH(B93,Manual_Review!$A$6:$A$238,0)</f>
        <v>6</v>
      </c>
      <c r="V93" s="5" t="str">
        <f>IF(INDEX(Manual_Review!$G$6:$G$238,U93)="","",INDEX(Manual_Review!$G$6:$G$238,U93))</f>
        <v/>
      </c>
      <c r="W93" s="11" t="str">
        <f>IF(INDEX(Manual_Review!$H$6:$H$238,U93)="","",INDEX(Manual_Review!$H$6:$H$238,U93))</f>
        <v/>
      </c>
      <c r="X93" s="5" t="str">
        <f>IF(INDEX(Manual_Review!$I$6:$I$238,U93)="","",INDEX(Manual_Review!$I$6:$I$238,U93))</f>
        <v/>
      </c>
      <c r="Y93" s="5" t="s">
        <v>2859</v>
      </c>
    </row>
    <row r="94" spans="1:25" ht="25.5">
      <c r="A94" s="5" t="s">
        <v>3068</v>
      </c>
      <c r="B94" s="5" t="s">
        <v>187</v>
      </c>
      <c r="C94" s="5" t="s">
        <v>188</v>
      </c>
      <c r="D94" s="5" t="s">
        <v>118</v>
      </c>
      <c r="E94" s="5" t="s">
        <v>2789</v>
      </c>
      <c r="F94" s="5" t="s">
        <v>2758</v>
      </c>
      <c r="G94" s="5">
        <v>1</v>
      </c>
      <c r="H94" s="5" t="s">
        <v>2864</v>
      </c>
      <c r="I94" s="5" t="str">
        <f>IF(INDEX(Manual_Review!$S$6:$S$238,U94)="","",INDEX(Manual_Review!$S$6:$S$238,U94))</f>
        <v/>
      </c>
      <c r="J94" s="5" t="str">
        <f t="shared" si="2"/>
        <v>AI provisional</v>
      </c>
      <c r="K94" s="5" t="str">
        <f t="shared" si="3"/>
        <v>U</v>
      </c>
      <c r="L94" s="5" t="s">
        <v>194</v>
      </c>
      <c r="M94" s="5" t="s">
        <v>3069</v>
      </c>
      <c r="N94" s="5" t="s">
        <v>3053</v>
      </c>
      <c r="O94" s="5" t="s">
        <v>2883</v>
      </c>
      <c r="P94" s="5" t="s">
        <v>2858</v>
      </c>
      <c r="Q94" s="11">
        <v>46306.5</v>
      </c>
      <c r="R94" s="6"/>
      <c r="S94" s="6"/>
      <c r="T94" s="6"/>
      <c r="U94" s="5">
        <f>MATCH(B94,Manual_Review!$A$6:$A$238,0)</f>
        <v>6</v>
      </c>
      <c r="V94" s="5" t="str">
        <f>IF(INDEX(Manual_Review!$G$6:$G$238,U94)="","",INDEX(Manual_Review!$G$6:$G$238,U94))</f>
        <v/>
      </c>
      <c r="W94" s="11" t="str">
        <f>IF(INDEX(Manual_Review!$H$6:$H$238,U94)="","",INDEX(Manual_Review!$H$6:$H$238,U94))</f>
        <v/>
      </c>
      <c r="X94" s="5" t="str">
        <f>IF(INDEX(Manual_Review!$I$6:$I$238,U94)="","",INDEX(Manual_Review!$I$6:$I$238,U94))</f>
        <v/>
      </c>
      <c r="Y94" s="5" t="s">
        <v>2859</v>
      </c>
    </row>
    <row r="95" spans="1:25" ht="25.5">
      <c r="A95" s="5" t="s">
        <v>3070</v>
      </c>
      <c r="B95" s="5" t="s">
        <v>187</v>
      </c>
      <c r="C95" s="5" t="s">
        <v>188</v>
      </c>
      <c r="D95" s="5" t="s">
        <v>118</v>
      </c>
      <c r="E95" s="5" t="s">
        <v>2790</v>
      </c>
      <c r="F95" s="5" t="s">
        <v>2760</v>
      </c>
      <c r="G95" s="5">
        <v>1</v>
      </c>
      <c r="H95" s="5" t="s">
        <v>2854</v>
      </c>
      <c r="I95" s="5" t="str">
        <f>IF(INDEX(Manual_Review!$T$6:$T$238,U95)="","",INDEX(Manual_Review!$T$6:$T$238,U95))</f>
        <v/>
      </c>
      <c r="J95" s="5" t="str">
        <f t="shared" si="2"/>
        <v>AI provisional</v>
      </c>
      <c r="K95" s="5" t="str">
        <f t="shared" si="3"/>
        <v>Y</v>
      </c>
      <c r="L95" s="5" t="s">
        <v>194</v>
      </c>
      <c r="M95" s="5" t="s">
        <v>3071</v>
      </c>
      <c r="N95" s="5" t="s">
        <v>3053</v>
      </c>
      <c r="O95" s="5" t="s">
        <v>2976</v>
      </c>
      <c r="P95" s="5" t="s">
        <v>2858</v>
      </c>
      <c r="Q95" s="11">
        <v>46306.5</v>
      </c>
      <c r="R95" s="6"/>
      <c r="S95" s="6"/>
      <c r="T95" s="6"/>
      <c r="U95" s="5">
        <f>MATCH(B95,Manual_Review!$A$6:$A$238,0)</f>
        <v>6</v>
      </c>
      <c r="V95" s="5" t="str">
        <f>IF(INDEX(Manual_Review!$G$6:$G$238,U95)="","",INDEX(Manual_Review!$G$6:$G$238,U95))</f>
        <v/>
      </c>
      <c r="W95" s="11" t="str">
        <f>IF(INDEX(Manual_Review!$H$6:$H$238,U95)="","",INDEX(Manual_Review!$H$6:$H$238,U95))</f>
        <v/>
      </c>
      <c r="X95" s="5" t="str">
        <f>IF(INDEX(Manual_Review!$I$6:$I$238,U95)="","",INDEX(Manual_Review!$I$6:$I$238,U95))</f>
        <v/>
      </c>
      <c r="Y95" s="5" t="s">
        <v>2859</v>
      </c>
    </row>
    <row r="96" spans="1:25" ht="25.5">
      <c r="A96" s="5" t="s">
        <v>3072</v>
      </c>
      <c r="B96" s="5" t="s">
        <v>187</v>
      </c>
      <c r="C96" s="5" t="s">
        <v>188</v>
      </c>
      <c r="D96" s="5" t="s">
        <v>118</v>
      </c>
      <c r="E96" s="5" t="s">
        <v>2791</v>
      </c>
      <c r="F96" s="5" t="s">
        <v>2760</v>
      </c>
      <c r="G96" s="5">
        <v>1</v>
      </c>
      <c r="H96" s="5" t="s">
        <v>2864</v>
      </c>
      <c r="I96" s="5" t="str">
        <f>IF(INDEX(Manual_Review!$U$6:$U$238,U96)="","",INDEX(Manual_Review!$U$6:$U$238,U96))</f>
        <v/>
      </c>
      <c r="J96" s="5" t="str">
        <f t="shared" si="2"/>
        <v>AI provisional</v>
      </c>
      <c r="K96" s="5" t="str">
        <f t="shared" si="3"/>
        <v>U</v>
      </c>
      <c r="L96" s="5" t="s">
        <v>194</v>
      </c>
      <c r="M96" s="5" t="s">
        <v>3073</v>
      </c>
      <c r="N96" s="5" t="s">
        <v>3053</v>
      </c>
      <c r="O96" s="5" t="s">
        <v>2888</v>
      </c>
      <c r="P96" s="5" t="s">
        <v>2858</v>
      </c>
      <c r="Q96" s="11">
        <v>46306.5</v>
      </c>
      <c r="R96" s="6"/>
      <c r="S96" s="6"/>
      <c r="T96" s="6"/>
      <c r="U96" s="5">
        <f>MATCH(B96,Manual_Review!$A$6:$A$238,0)</f>
        <v>6</v>
      </c>
      <c r="V96" s="5" t="str">
        <f>IF(INDEX(Manual_Review!$G$6:$G$238,U96)="","",INDEX(Manual_Review!$G$6:$G$238,U96))</f>
        <v/>
      </c>
      <c r="W96" s="11" t="str">
        <f>IF(INDEX(Manual_Review!$H$6:$H$238,U96)="","",INDEX(Manual_Review!$H$6:$H$238,U96))</f>
        <v/>
      </c>
      <c r="X96" s="5" t="str">
        <f>IF(INDEX(Manual_Review!$I$6:$I$238,U96)="","",INDEX(Manual_Review!$I$6:$I$238,U96))</f>
        <v/>
      </c>
      <c r="Y96" s="5" t="s">
        <v>2859</v>
      </c>
    </row>
    <row r="97" spans="1:25" ht="25.5">
      <c r="A97" s="5" t="s">
        <v>3074</v>
      </c>
      <c r="B97" s="5" t="s">
        <v>187</v>
      </c>
      <c r="C97" s="5" t="s">
        <v>188</v>
      </c>
      <c r="D97" s="5" t="s">
        <v>118</v>
      </c>
      <c r="E97" s="5" t="s">
        <v>2792</v>
      </c>
      <c r="F97" s="5" t="s">
        <v>2762</v>
      </c>
      <c r="G97" s="5">
        <v>1</v>
      </c>
      <c r="H97" s="5" t="s">
        <v>2864</v>
      </c>
      <c r="I97" s="5" t="str">
        <f>IF(INDEX(Manual_Review!$V$6:$V$238,U97)="","",INDEX(Manual_Review!$V$6:$V$238,U97))</f>
        <v/>
      </c>
      <c r="J97" s="5" t="str">
        <f t="shared" si="2"/>
        <v>AI provisional</v>
      </c>
      <c r="K97" s="5" t="str">
        <f t="shared" si="3"/>
        <v>U</v>
      </c>
      <c r="L97" s="5" t="s">
        <v>194</v>
      </c>
      <c r="M97" s="5" t="s">
        <v>3075</v>
      </c>
      <c r="N97" s="5" t="s">
        <v>3053</v>
      </c>
      <c r="O97" s="5" t="s">
        <v>2891</v>
      </c>
      <c r="P97" s="5" t="s">
        <v>2858</v>
      </c>
      <c r="Q97" s="11">
        <v>46306.5</v>
      </c>
      <c r="R97" s="6"/>
      <c r="S97" s="6"/>
      <c r="T97" s="6"/>
      <c r="U97" s="5">
        <f>MATCH(B97,Manual_Review!$A$6:$A$238,0)</f>
        <v>6</v>
      </c>
      <c r="V97" s="5" t="str">
        <f>IF(INDEX(Manual_Review!$G$6:$G$238,U97)="","",INDEX(Manual_Review!$G$6:$G$238,U97))</f>
        <v/>
      </c>
      <c r="W97" s="11" t="str">
        <f>IF(INDEX(Manual_Review!$H$6:$H$238,U97)="","",INDEX(Manual_Review!$H$6:$H$238,U97))</f>
        <v/>
      </c>
      <c r="X97" s="5" t="str">
        <f>IF(INDEX(Manual_Review!$I$6:$I$238,U97)="","",INDEX(Manual_Review!$I$6:$I$238,U97))</f>
        <v/>
      </c>
      <c r="Y97" s="5" t="s">
        <v>2859</v>
      </c>
    </row>
    <row r="98" spans="1:25" ht="25.5">
      <c r="A98" s="5" t="s">
        <v>3076</v>
      </c>
      <c r="B98" s="5" t="s">
        <v>187</v>
      </c>
      <c r="C98" s="5" t="s">
        <v>188</v>
      </c>
      <c r="D98" s="5" t="s">
        <v>118</v>
      </c>
      <c r="E98" s="5" t="s">
        <v>2793</v>
      </c>
      <c r="F98" s="5" t="s">
        <v>2762</v>
      </c>
      <c r="G98" s="5">
        <v>1</v>
      </c>
      <c r="H98" s="5" t="s">
        <v>2854</v>
      </c>
      <c r="I98" s="5" t="str">
        <f>IF(INDEX(Manual_Review!$W$6:$W$238,U98)="","",INDEX(Manual_Review!$W$6:$W$238,U98))</f>
        <v/>
      </c>
      <c r="J98" s="5" t="str">
        <f t="shared" si="2"/>
        <v>AI provisional</v>
      </c>
      <c r="K98" s="5" t="str">
        <f t="shared" si="3"/>
        <v>Y</v>
      </c>
      <c r="L98" s="5" t="s">
        <v>194</v>
      </c>
      <c r="M98" s="5" t="s">
        <v>3075</v>
      </c>
      <c r="N98" s="5" t="s">
        <v>3053</v>
      </c>
      <c r="O98" s="5" t="s">
        <v>3077</v>
      </c>
      <c r="P98" s="5" t="s">
        <v>2858</v>
      </c>
      <c r="Q98" s="11">
        <v>46306.5</v>
      </c>
      <c r="R98" s="6"/>
      <c r="S98" s="6"/>
      <c r="T98" s="6"/>
      <c r="U98" s="5">
        <f>MATCH(B98,Manual_Review!$A$6:$A$238,0)</f>
        <v>6</v>
      </c>
      <c r="V98" s="5" t="str">
        <f>IF(INDEX(Manual_Review!$G$6:$G$238,U98)="","",INDEX(Manual_Review!$G$6:$G$238,U98))</f>
        <v/>
      </c>
      <c r="W98" s="11" t="str">
        <f>IF(INDEX(Manual_Review!$H$6:$H$238,U98)="","",INDEX(Manual_Review!$H$6:$H$238,U98))</f>
        <v/>
      </c>
      <c r="X98" s="5" t="str">
        <f>IF(INDEX(Manual_Review!$I$6:$I$238,U98)="","",INDEX(Manual_Review!$I$6:$I$238,U98))</f>
        <v/>
      </c>
      <c r="Y98" s="5" t="s">
        <v>2859</v>
      </c>
    </row>
    <row r="99" spans="1:25" ht="25.5">
      <c r="A99" s="5" t="s">
        <v>3078</v>
      </c>
      <c r="B99" s="5" t="s">
        <v>187</v>
      </c>
      <c r="C99" s="5" t="s">
        <v>188</v>
      </c>
      <c r="D99" s="5" t="s">
        <v>118</v>
      </c>
      <c r="E99" s="5" t="s">
        <v>2794</v>
      </c>
      <c r="F99" s="5" t="s">
        <v>2764</v>
      </c>
      <c r="G99" s="5">
        <v>1</v>
      </c>
      <c r="H99" s="5" t="s">
        <v>2854</v>
      </c>
      <c r="I99" s="5" t="str">
        <f>IF(INDEX(Manual_Review!$X$6:$X$238,U99)="","",INDEX(Manual_Review!$X$6:$X$238,U99))</f>
        <v/>
      </c>
      <c r="J99" s="5" t="str">
        <f t="shared" si="2"/>
        <v>AI provisional</v>
      </c>
      <c r="K99" s="5" t="str">
        <f t="shared" si="3"/>
        <v>Y</v>
      </c>
      <c r="L99" s="5" t="s">
        <v>194</v>
      </c>
      <c r="M99" s="5" t="s">
        <v>3079</v>
      </c>
      <c r="N99" s="5" t="s">
        <v>3053</v>
      </c>
      <c r="O99" s="5" t="s">
        <v>2984</v>
      </c>
      <c r="P99" s="5" t="s">
        <v>2858</v>
      </c>
      <c r="Q99" s="11">
        <v>46306.5</v>
      </c>
      <c r="R99" s="6"/>
      <c r="S99" s="6"/>
      <c r="T99" s="6"/>
      <c r="U99" s="5">
        <f>MATCH(B99,Manual_Review!$A$6:$A$238,0)</f>
        <v>6</v>
      </c>
      <c r="V99" s="5" t="str">
        <f>IF(INDEX(Manual_Review!$G$6:$G$238,U99)="","",INDEX(Manual_Review!$G$6:$G$238,U99))</f>
        <v/>
      </c>
      <c r="W99" s="11" t="str">
        <f>IF(INDEX(Manual_Review!$H$6:$H$238,U99)="","",INDEX(Manual_Review!$H$6:$H$238,U99))</f>
        <v/>
      </c>
      <c r="X99" s="5" t="str">
        <f>IF(INDEX(Manual_Review!$I$6:$I$238,U99)="","",INDEX(Manual_Review!$I$6:$I$238,U99))</f>
        <v/>
      </c>
      <c r="Y99" s="5" t="s">
        <v>2859</v>
      </c>
    </row>
    <row r="100" spans="1:25" ht="25.5">
      <c r="A100" s="5" t="s">
        <v>3080</v>
      </c>
      <c r="B100" s="5" t="s">
        <v>187</v>
      </c>
      <c r="C100" s="5" t="s">
        <v>188</v>
      </c>
      <c r="D100" s="5" t="s">
        <v>118</v>
      </c>
      <c r="E100" s="5" t="s">
        <v>2795</v>
      </c>
      <c r="F100" s="5" t="s">
        <v>2764</v>
      </c>
      <c r="G100" s="5">
        <v>1</v>
      </c>
      <c r="H100" s="5" t="s">
        <v>2854</v>
      </c>
      <c r="I100" s="5" t="str">
        <f>IF(INDEX(Manual_Review!$Y$6:$Y$238,U100)="","",INDEX(Manual_Review!$Y$6:$Y$238,U100))</f>
        <v/>
      </c>
      <c r="J100" s="5" t="str">
        <f t="shared" si="2"/>
        <v>AI provisional</v>
      </c>
      <c r="K100" s="5" t="str">
        <f t="shared" si="3"/>
        <v>Y</v>
      </c>
      <c r="L100" s="5" t="s">
        <v>194</v>
      </c>
      <c r="M100" s="5" t="s">
        <v>3081</v>
      </c>
      <c r="N100" s="5" t="s">
        <v>3053</v>
      </c>
      <c r="O100" s="5" t="s">
        <v>3082</v>
      </c>
      <c r="P100" s="5" t="s">
        <v>2858</v>
      </c>
      <c r="Q100" s="11">
        <v>46306.5</v>
      </c>
      <c r="R100" s="6"/>
      <c r="S100" s="6"/>
      <c r="T100" s="6"/>
      <c r="U100" s="5">
        <f>MATCH(B100,Manual_Review!$A$6:$A$238,0)</f>
        <v>6</v>
      </c>
      <c r="V100" s="5" t="str">
        <f>IF(INDEX(Manual_Review!$G$6:$G$238,U100)="","",INDEX(Manual_Review!$G$6:$G$238,U100))</f>
        <v/>
      </c>
      <c r="W100" s="11" t="str">
        <f>IF(INDEX(Manual_Review!$H$6:$H$238,U100)="","",INDEX(Manual_Review!$H$6:$H$238,U100))</f>
        <v/>
      </c>
      <c r="X100" s="5" t="str">
        <f>IF(INDEX(Manual_Review!$I$6:$I$238,U100)="","",INDEX(Manual_Review!$I$6:$I$238,U100))</f>
        <v/>
      </c>
      <c r="Y100" s="5" t="s">
        <v>2859</v>
      </c>
    </row>
    <row r="101" spans="1:25" ht="25.5">
      <c r="A101" s="5" t="s">
        <v>3083</v>
      </c>
      <c r="B101" s="5" t="s">
        <v>187</v>
      </c>
      <c r="C101" s="5" t="s">
        <v>188</v>
      </c>
      <c r="D101" s="5" t="s">
        <v>118</v>
      </c>
      <c r="E101" s="5" t="s">
        <v>2796</v>
      </c>
      <c r="F101" s="5" t="s">
        <v>2764</v>
      </c>
      <c r="G101" s="5">
        <v>1</v>
      </c>
      <c r="H101" s="5" t="s">
        <v>2854</v>
      </c>
      <c r="I101" s="5" t="str">
        <f>IF(INDEX(Manual_Review!$Z$6:$Z$238,U101)="","",INDEX(Manual_Review!$Z$6:$Z$238,U101))</f>
        <v/>
      </c>
      <c r="J101" s="5" t="str">
        <f t="shared" si="2"/>
        <v>AI provisional</v>
      </c>
      <c r="K101" s="5" t="str">
        <f t="shared" si="3"/>
        <v>Y</v>
      </c>
      <c r="L101" s="5" t="s">
        <v>194</v>
      </c>
      <c r="M101" s="5" t="s">
        <v>3084</v>
      </c>
      <c r="N101" s="5" t="s">
        <v>3053</v>
      </c>
      <c r="O101" s="5" t="s">
        <v>3085</v>
      </c>
      <c r="P101" s="5" t="s">
        <v>2858</v>
      </c>
      <c r="Q101" s="11">
        <v>46306.5</v>
      </c>
      <c r="R101" s="6"/>
      <c r="S101" s="6"/>
      <c r="T101" s="6"/>
      <c r="U101" s="5">
        <f>MATCH(B101,Manual_Review!$A$6:$A$238,0)</f>
        <v>6</v>
      </c>
      <c r="V101" s="5" t="str">
        <f>IF(INDEX(Manual_Review!$G$6:$G$238,U101)="","",INDEX(Manual_Review!$G$6:$G$238,U101))</f>
        <v/>
      </c>
      <c r="W101" s="11" t="str">
        <f>IF(INDEX(Manual_Review!$H$6:$H$238,U101)="","",INDEX(Manual_Review!$H$6:$H$238,U101))</f>
        <v/>
      </c>
      <c r="X101" s="5" t="str">
        <f>IF(INDEX(Manual_Review!$I$6:$I$238,U101)="","",INDEX(Manual_Review!$I$6:$I$238,U101))</f>
        <v/>
      </c>
      <c r="Y101" s="5" t="s">
        <v>2859</v>
      </c>
    </row>
    <row r="102" spans="1:25" ht="25.5">
      <c r="A102" s="5" t="s">
        <v>3086</v>
      </c>
      <c r="B102" s="5" t="s">
        <v>25</v>
      </c>
      <c r="C102" s="5" t="s">
        <v>196</v>
      </c>
      <c r="D102" s="5" t="s">
        <v>118</v>
      </c>
      <c r="E102" s="5" t="s">
        <v>2781</v>
      </c>
      <c r="F102" s="5" t="s">
        <v>2754</v>
      </c>
      <c r="G102" s="5">
        <v>1</v>
      </c>
      <c r="H102" s="5" t="s">
        <v>2854</v>
      </c>
      <c r="I102" s="5" t="str">
        <f>IF(INDEX(Manual_Review!$K$6:$K$238,U102)="","",INDEX(Manual_Review!$K$6:$K$238,U102))</f>
        <v/>
      </c>
      <c r="J102" s="5" t="str">
        <f t="shared" si="2"/>
        <v>AI provisional</v>
      </c>
      <c r="K102" s="5" t="str">
        <f t="shared" si="3"/>
        <v>Y</v>
      </c>
      <c r="L102" s="5" t="s">
        <v>208</v>
      </c>
      <c r="M102" s="5" t="s">
        <v>3087</v>
      </c>
      <c r="N102" s="5" t="s">
        <v>3088</v>
      </c>
      <c r="O102" s="5" t="s">
        <v>3089</v>
      </c>
      <c r="P102" s="5" t="s">
        <v>3090</v>
      </c>
      <c r="Q102" s="11">
        <v>46306.5</v>
      </c>
      <c r="R102" s="6"/>
      <c r="S102" s="6"/>
      <c r="T102" s="6"/>
      <c r="U102" s="5">
        <f>MATCH(B102,Manual_Review!$A$6:$A$238,0)</f>
        <v>7</v>
      </c>
      <c r="V102" s="5" t="str">
        <f>IF(INDEX(Manual_Review!$G$6:$G$238,U102)="","",INDEX(Manual_Review!$G$6:$G$238,U102))</f>
        <v/>
      </c>
      <c r="W102" s="11" t="str">
        <f>IF(INDEX(Manual_Review!$H$6:$H$238,U102)="","",INDEX(Manual_Review!$H$6:$H$238,U102))</f>
        <v/>
      </c>
      <c r="X102" s="5" t="str">
        <f>IF(INDEX(Manual_Review!$I$6:$I$238,U102)="","",INDEX(Manual_Review!$I$6:$I$238,U102))</f>
        <v/>
      </c>
      <c r="Y102" s="5" t="s">
        <v>2859</v>
      </c>
    </row>
    <row r="103" spans="1:25" ht="25.5">
      <c r="A103" s="5" t="s">
        <v>3091</v>
      </c>
      <c r="B103" s="5" t="s">
        <v>25</v>
      </c>
      <c r="C103" s="5" t="s">
        <v>196</v>
      </c>
      <c r="D103" s="5" t="s">
        <v>118</v>
      </c>
      <c r="E103" s="5" t="s">
        <v>2782</v>
      </c>
      <c r="F103" s="5" t="s">
        <v>2754</v>
      </c>
      <c r="G103" s="5">
        <v>1</v>
      </c>
      <c r="H103" s="5" t="s">
        <v>2854</v>
      </c>
      <c r="I103" s="5" t="str">
        <f>IF(INDEX(Manual_Review!$L$6:$L$238,U103)="","",INDEX(Manual_Review!$L$6:$L$238,U103))</f>
        <v/>
      </c>
      <c r="J103" s="5" t="str">
        <f t="shared" si="2"/>
        <v>AI provisional</v>
      </c>
      <c r="K103" s="5" t="str">
        <f t="shared" si="3"/>
        <v>Y</v>
      </c>
      <c r="L103" s="5" t="s">
        <v>208</v>
      </c>
      <c r="M103" s="5" t="s">
        <v>3092</v>
      </c>
      <c r="N103" s="5" t="s">
        <v>3093</v>
      </c>
      <c r="O103" s="5" t="s">
        <v>3089</v>
      </c>
      <c r="P103" s="5" t="s">
        <v>3090</v>
      </c>
      <c r="Q103" s="11">
        <v>46306.5</v>
      </c>
      <c r="R103" s="6"/>
      <c r="S103" s="6"/>
      <c r="T103" s="6"/>
      <c r="U103" s="5">
        <f>MATCH(B103,Manual_Review!$A$6:$A$238,0)</f>
        <v>7</v>
      </c>
      <c r="V103" s="5" t="str">
        <f>IF(INDEX(Manual_Review!$G$6:$G$238,U103)="","",INDEX(Manual_Review!$G$6:$G$238,U103))</f>
        <v/>
      </c>
      <c r="W103" s="11" t="str">
        <f>IF(INDEX(Manual_Review!$H$6:$H$238,U103)="","",INDEX(Manual_Review!$H$6:$H$238,U103))</f>
        <v/>
      </c>
      <c r="X103" s="5" t="str">
        <f>IF(INDEX(Manual_Review!$I$6:$I$238,U103)="","",INDEX(Manual_Review!$I$6:$I$238,U103))</f>
        <v/>
      </c>
      <c r="Y103" s="5" t="s">
        <v>2859</v>
      </c>
    </row>
    <row r="104" spans="1:25" ht="25.5">
      <c r="A104" s="5" t="s">
        <v>3094</v>
      </c>
      <c r="B104" s="5" t="s">
        <v>25</v>
      </c>
      <c r="C104" s="5" t="s">
        <v>196</v>
      </c>
      <c r="D104" s="5" t="s">
        <v>118</v>
      </c>
      <c r="E104" s="5" t="s">
        <v>2783</v>
      </c>
      <c r="F104" s="5" t="s">
        <v>2754</v>
      </c>
      <c r="G104" s="5">
        <v>1</v>
      </c>
      <c r="H104" s="5" t="s">
        <v>2864</v>
      </c>
      <c r="I104" s="5" t="str">
        <f>IF(INDEX(Manual_Review!$M$6:$M$238,U104)="","",INDEX(Manual_Review!$M$6:$M$238,U104))</f>
        <v/>
      </c>
      <c r="J104" s="5" t="str">
        <f t="shared" si="2"/>
        <v>AI provisional</v>
      </c>
      <c r="K104" s="5" t="str">
        <f t="shared" si="3"/>
        <v>U</v>
      </c>
      <c r="L104" s="5" t="s">
        <v>208</v>
      </c>
      <c r="M104" s="5" t="s">
        <v>3095</v>
      </c>
      <c r="N104" s="5" t="s">
        <v>3096</v>
      </c>
      <c r="O104" s="5" t="s">
        <v>3089</v>
      </c>
      <c r="P104" s="5" t="s">
        <v>3090</v>
      </c>
      <c r="Q104" s="11">
        <v>46306.5</v>
      </c>
      <c r="R104" s="6"/>
      <c r="S104" s="6"/>
      <c r="T104" s="6"/>
      <c r="U104" s="5">
        <f>MATCH(B104,Manual_Review!$A$6:$A$238,0)</f>
        <v>7</v>
      </c>
      <c r="V104" s="5" t="str">
        <f>IF(INDEX(Manual_Review!$G$6:$G$238,U104)="","",INDEX(Manual_Review!$G$6:$G$238,U104))</f>
        <v/>
      </c>
      <c r="W104" s="11" t="str">
        <f>IF(INDEX(Manual_Review!$H$6:$H$238,U104)="","",INDEX(Manual_Review!$H$6:$H$238,U104))</f>
        <v/>
      </c>
      <c r="X104" s="5" t="str">
        <f>IF(INDEX(Manual_Review!$I$6:$I$238,U104)="","",INDEX(Manual_Review!$I$6:$I$238,U104))</f>
        <v/>
      </c>
      <c r="Y104" s="5" t="s">
        <v>2859</v>
      </c>
    </row>
    <row r="105" spans="1:25" ht="25.5">
      <c r="A105" s="5" t="s">
        <v>3097</v>
      </c>
      <c r="B105" s="5" t="s">
        <v>25</v>
      </c>
      <c r="C105" s="5" t="s">
        <v>196</v>
      </c>
      <c r="D105" s="5" t="s">
        <v>118</v>
      </c>
      <c r="E105" s="5" t="s">
        <v>2784</v>
      </c>
      <c r="F105" s="5" t="s">
        <v>2756</v>
      </c>
      <c r="G105" s="5">
        <v>1</v>
      </c>
      <c r="H105" s="5" t="s">
        <v>2854</v>
      </c>
      <c r="I105" s="5" t="str">
        <f>IF(INDEX(Manual_Review!$N$6:$N$238,U105)="","",INDEX(Manual_Review!$N$6:$N$238,U105))</f>
        <v/>
      </c>
      <c r="J105" s="5" t="str">
        <f t="shared" si="2"/>
        <v>AI provisional</v>
      </c>
      <c r="K105" s="5" t="str">
        <f t="shared" si="3"/>
        <v>Y</v>
      </c>
      <c r="L105" s="5" t="s">
        <v>3098</v>
      </c>
      <c r="M105" s="5" t="s">
        <v>3099</v>
      </c>
      <c r="N105" s="5" t="s">
        <v>3100</v>
      </c>
      <c r="O105" s="5" t="s">
        <v>3089</v>
      </c>
      <c r="P105" s="5" t="s">
        <v>3090</v>
      </c>
      <c r="Q105" s="11">
        <v>46306.5</v>
      </c>
      <c r="R105" s="6"/>
      <c r="S105" s="6"/>
      <c r="T105" s="6"/>
      <c r="U105" s="5">
        <f>MATCH(B105,Manual_Review!$A$6:$A$238,0)</f>
        <v>7</v>
      </c>
      <c r="V105" s="5" t="str">
        <f>IF(INDEX(Manual_Review!$G$6:$G$238,U105)="","",INDEX(Manual_Review!$G$6:$G$238,U105))</f>
        <v/>
      </c>
      <c r="W105" s="11" t="str">
        <f>IF(INDEX(Manual_Review!$H$6:$H$238,U105)="","",INDEX(Manual_Review!$H$6:$H$238,U105))</f>
        <v/>
      </c>
      <c r="X105" s="5" t="str">
        <f>IF(INDEX(Manual_Review!$I$6:$I$238,U105)="","",INDEX(Manual_Review!$I$6:$I$238,U105))</f>
        <v/>
      </c>
      <c r="Y105" s="5" t="s">
        <v>2859</v>
      </c>
    </row>
    <row r="106" spans="1:25" ht="25.5">
      <c r="A106" s="5" t="s">
        <v>3101</v>
      </c>
      <c r="B106" s="5" t="s">
        <v>25</v>
      </c>
      <c r="C106" s="5" t="s">
        <v>196</v>
      </c>
      <c r="D106" s="5" t="s">
        <v>118</v>
      </c>
      <c r="E106" s="5" t="s">
        <v>2785</v>
      </c>
      <c r="F106" s="5" t="s">
        <v>2756</v>
      </c>
      <c r="G106" s="5">
        <v>1</v>
      </c>
      <c r="H106" s="5" t="s">
        <v>2864</v>
      </c>
      <c r="I106" s="5" t="str">
        <f>IF(INDEX(Manual_Review!$O$6:$O$238,U106)="","",INDEX(Manual_Review!$O$6:$O$238,U106))</f>
        <v/>
      </c>
      <c r="J106" s="5" t="str">
        <f t="shared" si="2"/>
        <v>AI provisional</v>
      </c>
      <c r="K106" s="5" t="str">
        <f t="shared" si="3"/>
        <v>U</v>
      </c>
      <c r="L106" s="5" t="s">
        <v>3098</v>
      </c>
      <c r="M106" s="5" t="s">
        <v>3099</v>
      </c>
      <c r="N106" s="5" t="s">
        <v>3102</v>
      </c>
      <c r="O106" s="5" t="s">
        <v>3089</v>
      </c>
      <c r="P106" s="5" t="s">
        <v>3090</v>
      </c>
      <c r="Q106" s="11">
        <v>46306.5</v>
      </c>
      <c r="R106" s="6"/>
      <c r="S106" s="6"/>
      <c r="T106" s="6"/>
      <c r="U106" s="5">
        <f>MATCH(B106,Manual_Review!$A$6:$A$238,0)</f>
        <v>7</v>
      </c>
      <c r="V106" s="5" t="str">
        <f>IF(INDEX(Manual_Review!$G$6:$G$238,U106)="","",INDEX(Manual_Review!$G$6:$G$238,U106))</f>
        <v/>
      </c>
      <c r="W106" s="11" t="str">
        <f>IF(INDEX(Manual_Review!$H$6:$H$238,U106)="","",INDEX(Manual_Review!$H$6:$H$238,U106))</f>
        <v/>
      </c>
      <c r="X106" s="5" t="str">
        <f>IF(INDEX(Manual_Review!$I$6:$I$238,U106)="","",INDEX(Manual_Review!$I$6:$I$238,U106))</f>
        <v/>
      </c>
      <c r="Y106" s="5" t="s">
        <v>2859</v>
      </c>
    </row>
    <row r="107" spans="1:25" ht="25.5">
      <c r="A107" s="5" t="s">
        <v>3103</v>
      </c>
      <c r="B107" s="5" t="s">
        <v>25</v>
      </c>
      <c r="C107" s="5" t="s">
        <v>196</v>
      </c>
      <c r="D107" s="5" t="s">
        <v>118</v>
      </c>
      <c r="E107" s="5" t="s">
        <v>2786</v>
      </c>
      <c r="F107" s="5" t="s">
        <v>2756</v>
      </c>
      <c r="G107" s="5">
        <v>1</v>
      </c>
      <c r="H107" s="5" t="s">
        <v>2864</v>
      </c>
      <c r="I107" s="5" t="str">
        <f>IF(INDEX(Manual_Review!$P$6:$P$238,U107)="","",INDEX(Manual_Review!$P$6:$P$238,U107))</f>
        <v/>
      </c>
      <c r="J107" s="5" t="str">
        <f t="shared" si="2"/>
        <v>AI provisional</v>
      </c>
      <c r="K107" s="5" t="str">
        <f t="shared" si="3"/>
        <v>U</v>
      </c>
      <c r="L107" s="5" t="s">
        <v>3098</v>
      </c>
      <c r="M107" s="5" t="s">
        <v>3099</v>
      </c>
      <c r="N107" s="5" t="s">
        <v>3104</v>
      </c>
      <c r="O107" s="5" t="s">
        <v>3089</v>
      </c>
      <c r="P107" s="5" t="s">
        <v>3090</v>
      </c>
      <c r="Q107" s="11">
        <v>46306.5</v>
      </c>
      <c r="R107" s="6"/>
      <c r="S107" s="6"/>
      <c r="T107" s="6"/>
      <c r="U107" s="5">
        <f>MATCH(B107,Manual_Review!$A$6:$A$238,0)</f>
        <v>7</v>
      </c>
      <c r="V107" s="5" t="str">
        <f>IF(INDEX(Manual_Review!$G$6:$G$238,U107)="","",INDEX(Manual_Review!$G$6:$G$238,U107))</f>
        <v/>
      </c>
      <c r="W107" s="11" t="str">
        <f>IF(INDEX(Manual_Review!$H$6:$H$238,U107)="","",INDEX(Manual_Review!$H$6:$H$238,U107))</f>
        <v/>
      </c>
      <c r="X107" s="5" t="str">
        <f>IF(INDEX(Manual_Review!$I$6:$I$238,U107)="","",INDEX(Manual_Review!$I$6:$I$238,U107))</f>
        <v/>
      </c>
      <c r="Y107" s="5" t="s">
        <v>2859</v>
      </c>
    </row>
    <row r="108" spans="1:25" ht="25.5">
      <c r="A108" s="5" t="s">
        <v>3105</v>
      </c>
      <c r="B108" s="5" t="s">
        <v>25</v>
      </c>
      <c r="C108" s="5" t="s">
        <v>196</v>
      </c>
      <c r="D108" s="5" t="s">
        <v>118</v>
      </c>
      <c r="E108" s="5" t="s">
        <v>2787</v>
      </c>
      <c r="F108" s="5" t="s">
        <v>2758</v>
      </c>
      <c r="G108" s="5">
        <v>1</v>
      </c>
      <c r="H108" s="5" t="s">
        <v>2864</v>
      </c>
      <c r="I108" s="5" t="str">
        <f>IF(INDEX(Manual_Review!$Q$6:$Q$238,U108)="","",INDEX(Manual_Review!$Q$6:$Q$238,U108))</f>
        <v/>
      </c>
      <c r="J108" s="5" t="str">
        <f t="shared" si="2"/>
        <v>AI provisional</v>
      </c>
      <c r="K108" s="5" t="str">
        <f t="shared" si="3"/>
        <v>U</v>
      </c>
      <c r="L108" s="5" t="s">
        <v>208</v>
      </c>
      <c r="M108" s="5" t="s">
        <v>3106</v>
      </c>
      <c r="N108" s="5" t="s">
        <v>3107</v>
      </c>
      <c r="O108" s="5" t="s">
        <v>3089</v>
      </c>
      <c r="P108" s="5" t="s">
        <v>3090</v>
      </c>
      <c r="Q108" s="11">
        <v>46306.5</v>
      </c>
      <c r="R108" s="6"/>
      <c r="S108" s="6"/>
      <c r="T108" s="6"/>
      <c r="U108" s="5">
        <f>MATCH(B108,Manual_Review!$A$6:$A$238,0)</f>
        <v>7</v>
      </c>
      <c r="V108" s="5" t="str">
        <f>IF(INDEX(Manual_Review!$G$6:$G$238,U108)="","",INDEX(Manual_Review!$G$6:$G$238,U108))</f>
        <v/>
      </c>
      <c r="W108" s="11" t="str">
        <f>IF(INDEX(Manual_Review!$H$6:$H$238,U108)="","",INDEX(Manual_Review!$H$6:$H$238,U108))</f>
        <v/>
      </c>
      <c r="X108" s="5" t="str">
        <f>IF(INDEX(Manual_Review!$I$6:$I$238,U108)="","",INDEX(Manual_Review!$I$6:$I$238,U108))</f>
        <v/>
      </c>
      <c r="Y108" s="5" t="s">
        <v>2859</v>
      </c>
    </row>
    <row r="109" spans="1:25" ht="25.5">
      <c r="A109" s="5" t="s">
        <v>3108</v>
      </c>
      <c r="B109" s="5" t="s">
        <v>25</v>
      </c>
      <c r="C109" s="5" t="s">
        <v>196</v>
      </c>
      <c r="D109" s="5" t="s">
        <v>118</v>
      </c>
      <c r="E109" s="5" t="s">
        <v>2788</v>
      </c>
      <c r="F109" s="5" t="s">
        <v>2758</v>
      </c>
      <c r="G109" s="5">
        <v>1</v>
      </c>
      <c r="H109" s="5" t="s">
        <v>2854</v>
      </c>
      <c r="I109" s="5" t="str">
        <f>IF(INDEX(Manual_Review!$R$6:$R$238,U109)="","",INDEX(Manual_Review!$R$6:$R$238,U109))</f>
        <v/>
      </c>
      <c r="J109" s="5" t="str">
        <f t="shared" si="2"/>
        <v>AI provisional</v>
      </c>
      <c r="K109" s="5" t="str">
        <f t="shared" si="3"/>
        <v>Y</v>
      </c>
      <c r="L109" s="5" t="s">
        <v>3098</v>
      </c>
      <c r="M109" s="5" t="s">
        <v>3099</v>
      </c>
      <c r="N109" s="5" t="s">
        <v>3109</v>
      </c>
      <c r="O109" s="5" t="s">
        <v>3089</v>
      </c>
      <c r="P109" s="5" t="s">
        <v>3090</v>
      </c>
      <c r="Q109" s="11">
        <v>46306.5</v>
      </c>
      <c r="R109" s="6"/>
      <c r="S109" s="6"/>
      <c r="T109" s="6"/>
      <c r="U109" s="5">
        <f>MATCH(B109,Manual_Review!$A$6:$A$238,0)</f>
        <v>7</v>
      </c>
      <c r="V109" s="5" t="str">
        <f>IF(INDEX(Manual_Review!$G$6:$G$238,U109)="","",INDEX(Manual_Review!$G$6:$G$238,U109))</f>
        <v/>
      </c>
      <c r="W109" s="11" t="str">
        <f>IF(INDEX(Manual_Review!$H$6:$H$238,U109)="","",INDEX(Manual_Review!$H$6:$H$238,U109))</f>
        <v/>
      </c>
      <c r="X109" s="5" t="str">
        <f>IF(INDEX(Manual_Review!$I$6:$I$238,U109)="","",INDEX(Manual_Review!$I$6:$I$238,U109))</f>
        <v/>
      </c>
      <c r="Y109" s="5" t="s">
        <v>2859</v>
      </c>
    </row>
    <row r="110" spans="1:25" ht="25.5">
      <c r="A110" s="5" t="s">
        <v>3110</v>
      </c>
      <c r="B110" s="5" t="s">
        <v>25</v>
      </c>
      <c r="C110" s="5" t="s">
        <v>196</v>
      </c>
      <c r="D110" s="5" t="s">
        <v>118</v>
      </c>
      <c r="E110" s="5" t="s">
        <v>2789</v>
      </c>
      <c r="F110" s="5" t="s">
        <v>2758</v>
      </c>
      <c r="G110" s="5">
        <v>1</v>
      </c>
      <c r="H110" s="5" t="s">
        <v>2854</v>
      </c>
      <c r="I110" s="5" t="str">
        <f>IF(INDEX(Manual_Review!$S$6:$S$238,U110)="","",INDEX(Manual_Review!$S$6:$S$238,U110))</f>
        <v/>
      </c>
      <c r="J110" s="5" t="str">
        <f t="shared" si="2"/>
        <v>AI provisional</v>
      </c>
      <c r="K110" s="5" t="str">
        <f t="shared" si="3"/>
        <v>Y</v>
      </c>
      <c r="L110" s="5" t="s">
        <v>3098</v>
      </c>
      <c r="M110" s="5" t="s">
        <v>3099</v>
      </c>
      <c r="N110" s="5" t="s">
        <v>3111</v>
      </c>
      <c r="O110" s="5" t="s">
        <v>3089</v>
      </c>
      <c r="P110" s="5" t="s">
        <v>3090</v>
      </c>
      <c r="Q110" s="11">
        <v>46306.5</v>
      </c>
      <c r="R110" s="6"/>
      <c r="S110" s="6"/>
      <c r="T110" s="6"/>
      <c r="U110" s="5">
        <f>MATCH(B110,Manual_Review!$A$6:$A$238,0)</f>
        <v>7</v>
      </c>
      <c r="V110" s="5" t="str">
        <f>IF(INDEX(Manual_Review!$G$6:$G$238,U110)="","",INDEX(Manual_Review!$G$6:$G$238,U110))</f>
        <v/>
      </c>
      <c r="W110" s="11" t="str">
        <f>IF(INDEX(Manual_Review!$H$6:$H$238,U110)="","",INDEX(Manual_Review!$H$6:$H$238,U110))</f>
        <v/>
      </c>
      <c r="X110" s="5" t="str">
        <f>IF(INDEX(Manual_Review!$I$6:$I$238,U110)="","",INDEX(Manual_Review!$I$6:$I$238,U110))</f>
        <v/>
      </c>
      <c r="Y110" s="5" t="s">
        <v>2859</v>
      </c>
    </row>
    <row r="111" spans="1:25" ht="25.5">
      <c r="A111" s="5" t="s">
        <v>3112</v>
      </c>
      <c r="B111" s="5" t="s">
        <v>25</v>
      </c>
      <c r="C111" s="5" t="s">
        <v>196</v>
      </c>
      <c r="D111" s="5" t="s">
        <v>118</v>
      </c>
      <c r="E111" s="5" t="s">
        <v>2790</v>
      </c>
      <c r="F111" s="5" t="s">
        <v>2760</v>
      </c>
      <c r="G111" s="5">
        <v>1</v>
      </c>
      <c r="H111" s="5" t="s">
        <v>2854</v>
      </c>
      <c r="I111" s="5" t="str">
        <f>IF(INDEX(Manual_Review!$T$6:$T$238,U111)="","",INDEX(Manual_Review!$T$6:$T$238,U111))</f>
        <v/>
      </c>
      <c r="J111" s="5" t="str">
        <f t="shared" si="2"/>
        <v>AI provisional</v>
      </c>
      <c r="K111" s="5" t="str">
        <f t="shared" si="3"/>
        <v>Y</v>
      </c>
      <c r="L111" s="5" t="s">
        <v>3098</v>
      </c>
      <c r="M111" s="5" t="s">
        <v>3099</v>
      </c>
      <c r="N111" s="5" t="s">
        <v>3113</v>
      </c>
      <c r="O111" s="5" t="s">
        <v>3089</v>
      </c>
      <c r="P111" s="5" t="s">
        <v>3090</v>
      </c>
      <c r="Q111" s="11">
        <v>46306.5</v>
      </c>
      <c r="R111" s="6"/>
      <c r="S111" s="6"/>
      <c r="T111" s="6"/>
      <c r="U111" s="5">
        <f>MATCH(B111,Manual_Review!$A$6:$A$238,0)</f>
        <v>7</v>
      </c>
      <c r="V111" s="5" t="str">
        <f>IF(INDEX(Manual_Review!$G$6:$G$238,U111)="","",INDEX(Manual_Review!$G$6:$G$238,U111))</f>
        <v/>
      </c>
      <c r="W111" s="11" t="str">
        <f>IF(INDEX(Manual_Review!$H$6:$H$238,U111)="","",INDEX(Manual_Review!$H$6:$H$238,U111))</f>
        <v/>
      </c>
      <c r="X111" s="5" t="str">
        <f>IF(INDEX(Manual_Review!$I$6:$I$238,U111)="","",INDEX(Manual_Review!$I$6:$I$238,U111))</f>
        <v/>
      </c>
      <c r="Y111" s="5" t="s">
        <v>2859</v>
      </c>
    </row>
    <row r="112" spans="1:25" ht="25.5">
      <c r="A112" s="5" t="s">
        <v>3114</v>
      </c>
      <c r="B112" s="5" t="s">
        <v>25</v>
      </c>
      <c r="C112" s="5" t="s">
        <v>196</v>
      </c>
      <c r="D112" s="5" t="s">
        <v>118</v>
      </c>
      <c r="E112" s="5" t="s">
        <v>2791</v>
      </c>
      <c r="F112" s="5" t="s">
        <v>2760</v>
      </c>
      <c r="G112" s="5">
        <v>1</v>
      </c>
      <c r="H112" s="5" t="s">
        <v>2854</v>
      </c>
      <c r="I112" s="5" t="str">
        <f>IF(INDEX(Manual_Review!$U$6:$U$238,U112)="","",INDEX(Manual_Review!$U$6:$U$238,U112))</f>
        <v/>
      </c>
      <c r="J112" s="5" t="str">
        <f t="shared" si="2"/>
        <v>AI provisional</v>
      </c>
      <c r="K112" s="5" t="str">
        <f t="shared" si="3"/>
        <v>Y</v>
      </c>
      <c r="L112" s="5" t="s">
        <v>3098</v>
      </c>
      <c r="M112" s="5" t="s">
        <v>3099</v>
      </c>
      <c r="N112" s="5" t="s">
        <v>3115</v>
      </c>
      <c r="O112" s="5" t="s">
        <v>3089</v>
      </c>
      <c r="P112" s="5" t="s">
        <v>3090</v>
      </c>
      <c r="Q112" s="11">
        <v>46306.5</v>
      </c>
      <c r="R112" s="6"/>
      <c r="S112" s="6"/>
      <c r="T112" s="6"/>
      <c r="U112" s="5">
        <f>MATCH(B112,Manual_Review!$A$6:$A$238,0)</f>
        <v>7</v>
      </c>
      <c r="V112" s="5" t="str">
        <f>IF(INDEX(Manual_Review!$G$6:$G$238,U112)="","",INDEX(Manual_Review!$G$6:$G$238,U112))</f>
        <v/>
      </c>
      <c r="W112" s="11" t="str">
        <f>IF(INDEX(Manual_Review!$H$6:$H$238,U112)="","",INDEX(Manual_Review!$H$6:$H$238,U112))</f>
        <v/>
      </c>
      <c r="X112" s="5" t="str">
        <f>IF(INDEX(Manual_Review!$I$6:$I$238,U112)="","",INDEX(Manual_Review!$I$6:$I$238,U112))</f>
        <v/>
      </c>
      <c r="Y112" s="5" t="s">
        <v>2859</v>
      </c>
    </row>
    <row r="113" spans="1:25" ht="25.5">
      <c r="A113" s="5" t="s">
        <v>3116</v>
      </c>
      <c r="B113" s="5" t="s">
        <v>25</v>
      </c>
      <c r="C113" s="5" t="s">
        <v>196</v>
      </c>
      <c r="D113" s="5" t="s">
        <v>118</v>
      </c>
      <c r="E113" s="5" t="s">
        <v>2792</v>
      </c>
      <c r="F113" s="5" t="s">
        <v>2762</v>
      </c>
      <c r="G113" s="5">
        <v>1</v>
      </c>
      <c r="H113" s="5" t="s">
        <v>2854</v>
      </c>
      <c r="I113" s="5" t="str">
        <f>IF(INDEX(Manual_Review!$V$6:$V$238,U113)="","",INDEX(Manual_Review!$V$6:$V$238,U113))</f>
        <v/>
      </c>
      <c r="J113" s="5" t="str">
        <f t="shared" si="2"/>
        <v>AI provisional</v>
      </c>
      <c r="K113" s="5" t="str">
        <f t="shared" si="3"/>
        <v>Y</v>
      </c>
      <c r="L113" s="5" t="s">
        <v>3098</v>
      </c>
      <c r="M113" s="5" t="s">
        <v>3099</v>
      </c>
      <c r="N113" s="5" t="s">
        <v>3117</v>
      </c>
      <c r="O113" s="5" t="s">
        <v>3089</v>
      </c>
      <c r="P113" s="5" t="s">
        <v>3090</v>
      </c>
      <c r="Q113" s="11">
        <v>46306.5</v>
      </c>
      <c r="R113" s="6"/>
      <c r="S113" s="6"/>
      <c r="T113" s="6"/>
      <c r="U113" s="5">
        <f>MATCH(B113,Manual_Review!$A$6:$A$238,0)</f>
        <v>7</v>
      </c>
      <c r="V113" s="5" t="str">
        <f>IF(INDEX(Manual_Review!$G$6:$G$238,U113)="","",INDEX(Manual_Review!$G$6:$G$238,U113))</f>
        <v/>
      </c>
      <c r="W113" s="11" t="str">
        <f>IF(INDEX(Manual_Review!$H$6:$H$238,U113)="","",INDEX(Manual_Review!$H$6:$H$238,U113))</f>
        <v/>
      </c>
      <c r="X113" s="5" t="str">
        <f>IF(INDEX(Manual_Review!$I$6:$I$238,U113)="","",INDEX(Manual_Review!$I$6:$I$238,U113))</f>
        <v/>
      </c>
      <c r="Y113" s="5" t="s">
        <v>2859</v>
      </c>
    </row>
    <row r="114" spans="1:25" ht="25.5">
      <c r="A114" s="5" t="s">
        <v>3118</v>
      </c>
      <c r="B114" s="5" t="s">
        <v>25</v>
      </c>
      <c r="C114" s="5" t="s">
        <v>196</v>
      </c>
      <c r="D114" s="5" t="s">
        <v>118</v>
      </c>
      <c r="E114" s="5" t="s">
        <v>2793</v>
      </c>
      <c r="F114" s="5" t="s">
        <v>2762</v>
      </c>
      <c r="G114" s="5">
        <v>1</v>
      </c>
      <c r="H114" s="5" t="s">
        <v>2854</v>
      </c>
      <c r="I114" s="5" t="str">
        <f>IF(INDEX(Manual_Review!$W$6:$W$238,U114)="","",INDEX(Manual_Review!$W$6:$W$238,U114))</f>
        <v/>
      </c>
      <c r="J114" s="5" t="str">
        <f t="shared" si="2"/>
        <v>AI provisional</v>
      </c>
      <c r="K114" s="5" t="str">
        <f t="shared" si="3"/>
        <v>Y</v>
      </c>
      <c r="L114" s="5" t="s">
        <v>3098</v>
      </c>
      <c r="M114" s="5" t="s">
        <v>3099</v>
      </c>
      <c r="N114" s="5" t="s">
        <v>3119</v>
      </c>
      <c r="O114" s="5" t="s">
        <v>3089</v>
      </c>
      <c r="P114" s="5" t="s">
        <v>3090</v>
      </c>
      <c r="Q114" s="11">
        <v>46306.5</v>
      </c>
      <c r="R114" s="6"/>
      <c r="S114" s="6"/>
      <c r="T114" s="6"/>
      <c r="U114" s="5">
        <f>MATCH(B114,Manual_Review!$A$6:$A$238,0)</f>
        <v>7</v>
      </c>
      <c r="V114" s="5" t="str">
        <f>IF(INDEX(Manual_Review!$G$6:$G$238,U114)="","",INDEX(Manual_Review!$G$6:$G$238,U114))</f>
        <v/>
      </c>
      <c r="W114" s="11" t="str">
        <f>IF(INDEX(Manual_Review!$H$6:$H$238,U114)="","",INDEX(Manual_Review!$H$6:$H$238,U114))</f>
        <v/>
      </c>
      <c r="X114" s="5" t="str">
        <f>IF(INDEX(Manual_Review!$I$6:$I$238,U114)="","",INDEX(Manual_Review!$I$6:$I$238,U114))</f>
        <v/>
      </c>
      <c r="Y114" s="5" t="s">
        <v>2859</v>
      </c>
    </row>
    <row r="115" spans="1:25" ht="25.5">
      <c r="A115" s="5" t="s">
        <v>3120</v>
      </c>
      <c r="B115" s="5" t="s">
        <v>25</v>
      </c>
      <c r="C115" s="5" t="s">
        <v>196</v>
      </c>
      <c r="D115" s="5" t="s">
        <v>118</v>
      </c>
      <c r="E115" s="5" t="s">
        <v>2794</v>
      </c>
      <c r="F115" s="5" t="s">
        <v>2764</v>
      </c>
      <c r="G115" s="5">
        <v>1</v>
      </c>
      <c r="H115" s="5" t="s">
        <v>2854</v>
      </c>
      <c r="I115" s="5" t="str">
        <f>IF(INDEX(Manual_Review!$X$6:$X$238,U115)="","",INDEX(Manual_Review!$X$6:$X$238,U115))</f>
        <v/>
      </c>
      <c r="J115" s="5" t="str">
        <f t="shared" si="2"/>
        <v>AI provisional</v>
      </c>
      <c r="K115" s="5" t="str">
        <f t="shared" si="3"/>
        <v>Y</v>
      </c>
      <c r="L115" s="5" t="s">
        <v>3098</v>
      </c>
      <c r="M115" s="5" t="s">
        <v>3099</v>
      </c>
      <c r="N115" s="5" t="s">
        <v>3121</v>
      </c>
      <c r="O115" s="5" t="s">
        <v>3089</v>
      </c>
      <c r="P115" s="5" t="s">
        <v>3090</v>
      </c>
      <c r="Q115" s="11">
        <v>46306.5</v>
      </c>
      <c r="R115" s="6"/>
      <c r="S115" s="6"/>
      <c r="T115" s="6"/>
      <c r="U115" s="5">
        <f>MATCH(B115,Manual_Review!$A$6:$A$238,0)</f>
        <v>7</v>
      </c>
      <c r="V115" s="5" t="str">
        <f>IF(INDEX(Manual_Review!$G$6:$G$238,U115)="","",INDEX(Manual_Review!$G$6:$G$238,U115))</f>
        <v/>
      </c>
      <c r="W115" s="11" t="str">
        <f>IF(INDEX(Manual_Review!$H$6:$H$238,U115)="","",INDEX(Manual_Review!$H$6:$H$238,U115))</f>
        <v/>
      </c>
      <c r="X115" s="5" t="str">
        <f>IF(INDEX(Manual_Review!$I$6:$I$238,U115)="","",INDEX(Manual_Review!$I$6:$I$238,U115))</f>
        <v/>
      </c>
      <c r="Y115" s="5" t="s">
        <v>2859</v>
      </c>
    </row>
    <row r="116" spans="1:25" ht="25.5">
      <c r="A116" s="5" t="s">
        <v>3122</v>
      </c>
      <c r="B116" s="5" t="s">
        <v>25</v>
      </c>
      <c r="C116" s="5" t="s">
        <v>196</v>
      </c>
      <c r="D116" s="5" t="s">
        <v>118</v>
      </c>
      <c r="E116" s="5" t="s">
        <v>2795</v>
      </c>
      <c r="F116" s="5" t="s">
        <v>2764</v>
      </c>
      <c r="G116" s="5">
        <v>1</v>
      </c>
      <c r="H116" s="5" t="s">
        <v>2854</v>
      </c>
      <c r="I116" s="5" t="str">
        <f>IF(INDEX(Manual_Review!$Y$6:$Y$238,U116)="","",INDEX(Manual_Review!$Y$6:$Y$238,U116))</f>
        <v/>
      </c>
      <c r="J116" s="5" t="str">
        <f t="shared" si="2"/>
        <v>AI provisional</v>
      </c>
      <c r="K116" s="5" t="str">
        <f t="shared" si="3"/>
        <v>Y</v>
      </c>
      <c r="L116" s="5" t="s">
        <v>3098</v>
      </c>
      <c r="M116" s="5" t="s">
        <v>3099</v>
      </c>
      <c r="N116" s="5" t="s">
        <v>3123</v>
      </c>
      <c r="O116" s="5" t="s">
        <v>3089</v>
      </c>
      <c r="P116" s="5" t="s">
        <v>3090</v>
      </c>
      <c r="Q116" s="11">
        <v>46306.5</v>
      </c>
      <c r="R116" s="6"/>
      <c r="S116" s="6"/>
      <c r="T116" s="6"/>
      <c r="U116" s="5">
        <f>MATCH(B116,Manual_Review!$A$6:$A$238,0)</f>
        <v>7</v>
      </c>
      <c r="V116" s="5" t="str">
        <f>IF(INDEX(Manual_Review!$G$6:$G$238,U116)="","",INDEX(Manual_Review!$G$6:$G$238,U116))</f>
        <v/>
      </c>
      <c r="W116" s="11" t="str">
        <f>IF(INDEX(Manual_Review!$H$6:$H$238,U116)="","",INDEX(Manual_Review!$H$6:$H$238,U116))</f>
        <v/>
      </c>
      <c r="X116" s="5" t="str">
        <f>IF(INDEX(Manual_Review!$I$6:$I$238,U116)="","",INDEX(Manual_Review!$I$6:$I$238,U116))</f>
        <v/>
      </c>
      <c r="Y116" s="5" t="s">
        <v>2859</v>
      </c>
    </row>
    <row r="117" spans="1:25" ht="25.5">
      <c r="A117" s="5" t="s">
        <v>3124</v>
      </c>
      <c r="B117" s="5" t="s">
        <v>25</v>
      </c>
      <c r="C117" s="5" t="s">
        <v>196</v>
      </c>
      <c r="D117" s="5" t="s">
        <v>118</v>
      </c>
      <c r="E117" s="5" t="s">
        <v>2796</v>
      </c>
      <c r="F117" s="5" t="s">
        <v>2764</v>
      </c>
      <c r="G117" s="5">
        <v>1</v>
      </c>
      <c r="H117" s="5" t="s">
        <v>2854</v>
      </c>
      <c r="I117" s="5" t="str">
        <f>IF(INDEX(Manual_Review!$Z$6:$Z$238,U117)="","",INDEX(Manual_Review!$Z$6:$Z$238,U117))</f>
        <v/>
      </c>
      <c r="J117" s="5" t="str">
        <f t="shared" si="2"/>
        <v>AI provisional</v>
      </c>
      <c r="K117" s="5" t="str">
        <f t="shared" si="3"/>
        <v>Y</v>
      </c>
      <c r="L117" s="5" t="s">
        <v>3098</v>
      </c>
      <c r="M117" s="5" t="s">
        <v>3099</v>
      </c>
      <c r="N117" s="5" t="s">
        <v>3125</v>
      </c>
      <c r="O117" s="5" t="s">
        <v>3089</v>
      </c>
      <c r="P117" s="5" t="s">
        <v>3090</v>
      </c>
      <c r="Q117" s="11">
        <v>46306.5</v>
      </c>
      <c r="R117" s="6"/>
      <c r="S117" s="6"/>
      <c r="T117" s="6"/>
      <c r="U117" s="5">
        <f>MATCH(B117,Manual_Review!$A$6:$A$238,0)</f>
        <v>7</v>
      </c>
      <c r="V117" s="5" t="str">
        <f>IF(INDEX(Manual_Review!$G$6:$G$238,U117)="","",INDEX(Manual_Review!$G$6:$G$238,U117))</f>
        <v/>
      </c>
      <c r="W117" s="11" t="str">
        <f>IF(INDEX(Manual_Review!$H$6:$H$238,U117)="","",INDEX(Manual_Review!$H$6:$H$238,U117))</f>
        <v/>
      </c>
      <c r="X117" s="5" t="str">
        <f>IF(INDEX(Manual_Review!$I$6:$I$238,U117)="","",INDEX(Manual_Review!$I$6:$I$238,U117))</f>
        <v/>
      </c>
      <c r="Y117" s="5" t="s">
        <v>2859</v>
      </c>
    </row>
    <row r="118" spans="1:25" ht="25.5">
      <c r="A118" s="5" t="s">
        <v>3126</v>
      </c>
      <c r="B118" s="5" t="s">
        <v>211</v>
      </c>
      <c r="C118" s="5" t="s">
        <v>212</v>
      </c>
      <c r="D118" s="5" t="s">
        <v>118</v>
      </c>
      <c r="E118" s="5" t="s">
        <v>2781</v>
      </c>
      <c r="F118" s="5" t="s">
        <v>2754</v>
      </c>
      <c r="G118" s="5">
        <v>1</v>
      </c>
      <c r="H118" s="5" t="s">
        <v>2854</v>
      </c>
      <c r="I118" s="5" t="str">
        <f>IF(INDEX(Manual_Review!$K$6:$K$238,U118)="","",INDEX(Manual_Review!$K$6:$K$238,U118))</f>
        <v/>
      </c>
      <c r="J118" s="5" t="str">
        <f t="shared" si="2"/>
        <v>AI provisional</v>
      </c>
      <c r="K118" s="5" t="str">
        <f t="shared" si="3"/>
        <v>Y</v>
      </c>
      <c r="L118" s="5" t="s">
        <v>221</v>
      </c>
      <c r="M118" s="5" t="s">
        <v>3127</v>
      </c>
      <c r="N118" s="5" t="s">
        <v>3128</v>
      </c>
      <c r="O118" s="5" t="s">
        <v>2857</v>
      </c>
      <c r="P118" s="5" t="s">
        <v>2858</v>
      </c>
      <c r="Q118" s="11">
        <v>46306.5</v>
      </c>
      <c r="R118" s="6"/>
      <c r="S118" s="6"/>
      <c r="T118" s="6"/>
      <c r="U118" s="5">
        <f>MATCH(B118,Manual_Review!$A$6:$A$238,0)</f>
        <v>8</v>
      </c>
      <c r="V118" s="5" t="str">
        <f>IF(INDEX(Manual_Review!$G$6:$G$238,U118)="","",INDEX(Manual_Review!$G$6:$G$238,U118))</f>
        <v/>
      </c>
      <c r="W118" s="11" t="str">
        <f>IF(INDEX(Manual_Review!$H$6:$H$238,U118)="","",INDEX(Manual_Review!$H$6:$H$238,U118))</f>
        <v/>
      </c>
      <c r="X118" s="5" t="str">
        <f>IF(INDEX(Manual_Review!$I$6:$I$238,U118)="","",INDEX(Manual_Review!$I$6:$I$238,U118))</f>
        <v/>
      </c>
      <c r="Y118" s="5" t="s">
        <v>2859</v>
      </c>
    </row>
    <row r="119" spans="1:25" ht="25.5">
      <c r="A119" s="5" t="s">
        <v>3129</v>
      </c>
      <c r="B119" s="5" t="s">
        <v>211</v>
      </c>
      <c r="C119" s="5" t="s">
        <v>212</v>
      </c>
      <c r="D119" s="5" t="s">
        <v>118</v>
      </c>
      <c r="E119" s="5" t="s">
        <v>2782</v>
      </c>
      <c r="F119" s="5" t="s">
        <v>2754</v>
      </c>
      <c r="G119" s="5">
        <v>1</v>
      </c>
      <c r="H119" s="5" t="s">
        <v>2854</v>
      </c>
      <c r="I119" s="5" t="str">
        <f>IF(INDEX(Manual_Review!$L$6:$L$238,U119)="","",INDEX(Manual_Review!$L$6:$L$238,U119))</f>
        <v/>
      </c>
      <c r="J119" s="5" t="str">
        <f t="shared" si="2"/>
        <v>AI provisional</v>
      </c>
      <c r="K119" s="5" t="str">
        <f t="shared" si="3"/>
        <v>Y</v>
      </c>
      <c r="L119" s="5" t="s">
        <v>221</v>
      </c>
      <c r="M119" s="5" t="s">
        <v>3130</v>
      </c>
      <c r="N119" s="5" t="s">
        <v>3128</v>
      </c>
      <c r="O119" s="5" t="s">
        <v>2862</v>
      </c>
      <c r="P119" s="5" t="s">
        <v>2858</v>
      </c>
      <c r="Q119" s="11">
        <v>46306.5</v>
      </c>
      <c r="R119" s="6"/>
      <c r="S119" s="6"/>
      <c r="T119" s="6"/>
      <c r="U119" s="5">
        <f>MATCH(B119,Manual_Review!$A$6:$A$238,0)</f>
        <v>8</v>
      </c>
      <c r="V119" s="5" t="str">
        <f>IF(INDEX(Manual_Review!$G$6:$G$238,U119)="","",INDEX(Manual_Review!$G$6:$G$238,U119))</f>
        <v/>
      </c>
      <c r="W119" s="11" t="str">
        <f>IF(INDEX(Manual_Review!$H$6:$H$238,U119)="","",INDEX(Manual_Review!$H$6:$H$238,U119))</f>
        <v/>
      </c>
      <c r="X119" s="5" t="str">
        <f>IF(INDEX(Manual_Review!$I$6:$I$238,U119)="","",INDEX(Manual_Review!$I$6:$I$238,U119))</f>
        <v/>
      </c>
      <c r="Y119" s="5" t="s">
        <v>2859</v>
      </c>
    </row>
    <row r="120" spans="1:25" ht="25.5">
      <c r="A120" s="5" t="s">
        <v>3131</v>
      </c>
      <c r="B120" s="5" t="s">
        <v>211</v>
      </c>
      <c r="C120" s="5" t="s">
        <v>212</v>
      </c>
      <c r="D120" s="5" t="s">
        <v>118</v>
      </c>
      <c r="E120" s="5" t="s">
        <v>2783</v>
      </c>
      <c r="F120" s="5" t="s">
        <v>2754</v>
      </c>
      <c r="G120" s="5">
        <v>1</v>
      </c>
      <c r="H120" s="5" t="s">
        <v>2854</v>
      </c>
      <c r="I120" s="5" t="str">
        <f>IF(INDEX(Manual_Review!$M$6:$M$238,U120)="","",INDEX(Manual_Review!$M$6:$M$238,U120))</f>
        <v/>
      </c>
      <c r="J120" s="5" t="str">
        <f t="shared" si="2"/>
        <v>AI provisional</v>
      </c>
      <c r="K120" s="5" t="str">
        <f t="shared" si="3"/>
        <v>Y</v>
      </c>
      <c r="L120" s="5" t="s">
        <v>221</v>
      </c>
      <c r="M120" s="5" t="s">
        <v>3132</v>
      </c>
      <c r="N120" s="5" t="s">
        <v>3128</v>
      </c>
      <c r="O120" s="5" t="s">
        <v>3133</v>
      </c>
      <c r="P120" s="5" t="s">
        <v>2858</v>
      </c>
      <c r="Q120" s="11">
        <v>46306.5</v>
      </c>
      <c r="R120" s="6"/>
      <c r="S120" s="6"/>
      <c r="T120" s="6"/>
      <c r="U120" s="5">
        <f>MATCH(B120,Manual_Review!$A$6:$A$238,0)</f>
        <v>8</v>
      </c>
      <c r="V120" s="5" t="str">
        <f>IF(INDEX(Manual_Review!$G$6:$G$238,U120)="","",INDEX(Manual_Review!$G$6:$G$238,U120))</f>
        <v/>
      </c>
      <c r="W120" s="11" t="str">
        <f>IF(INDEX(Manual_Review!$H$6:$H$238,U120)="","",INDEX(Manual_Review!$H$6:$H$238,U120))</f>
        <v/>
      </c>
      <c r="X120" s="5" t="str">
        <f>IF(INDEX(Manual_Review!$I$6:$I$238,U120)="","",INDEX(Manual_Review!$I$6:$I$238,U120))</f>
        <v/>
      </c>
      <c r="Y120" s="5" t="s">
        <v>2859</v>
      </c>
    </row>
    <row r="121" spans="1:25" ht="25.5">
      <c r="A121" s="5" t="s">
        <v>3134</v>
      </c>
      <c r="B121" s="5" t="s">
        <v>211</v>
      </c>
      <c r="C121" s="5" t="s">
        <v>212</v>
      </c>
      <c r="D121" s="5" t="s">
        <v>118</v>
      </c>
      <c r="E121" s="5" t="s">
        <v>2784</v>
      </c>
      <c r="F121" s="5" t="s">
        <v>2756</v>
      </c>
      <c r="G121" s="5">
        <v>1</v>
      </c>
      <c r="H121" s="5" t="s">
        <v>2854</v>
      </c>
      <c r="I121" s="5" t="str">
        <f>IF(INDEX(Manual_Review!$N$6:$N$238,U121)="","",INDEX(Manual_Review!$N$6:$N$238,U121))</f>
        <v/>
      </c>
      <c r="J121" s="5" t="str">
        <f t="shared" si="2"/>
        <v>AI provisional</v>
      </c>
      <c r="K121" s="5" t="str">
        <f t="shared" si="3"/>
        <v>Y</v>
      </c>
      <c r="L121" s="5" t="s">
        <v>221</v>
      </c>
      <c r="M121" s="5" t="s">
        <v>3135</v>
      </c>
      <c r="N121" s="5" t="s">
        <v>3128</v>
      </c>
      <c r="O121" s="5" t="s">
        <v>2963</v>
      </c>
      <c r="P121" s="5" t="s">
        <v>2858</v>
      </c>
      <c r="Q121" s="11">
        <v>46306.5</v>
      </c>
      <c r="R121" s="6"/>
      <c r="S121" s="6"/>
      <c r="T121" s="6"/>
      <c r="U121" s="5">
        <f>MATCH(B121,Manual_Review!$A$6:$A$238,0)</f>
        <v>8</v>
      </c>
      <c r="V121" s="5" t="str">
        <f>IF(INDEX(Manual_Review!$G$6:$G$238,U121)="","",INDEX(Manual_Review!$G$6:$G$238,U121))</f>
        <v/>
      </c>
      <c r="W121" s="11" t="str">
        <f>IF(INDEX(Manual_Review!$H$6:$H$238,U121)="","",INDEX(Manual_Review!$H$6:$H$238,U121))</f>
        <v/>
      </c>
      <c r="X121" s="5" t="str">
        <f>IF(INDEX(Manual_Review!$I$6:$I$238,U121)="","",INDEX(Manual_Review!$I$6:$I$238,U121))</f>
        <v/>
      </c>
      <c r="Y121" s="5" t="s">
        <v>2859</v>
      </c>
    </row>
    <row r="122" spans="1:25" ht="25.5">
      <c r="A122" s="5" t="s">
        <v>3136</v>
      </c>
      <c r="B122" s="5" t="s">
        <v>211</v>
      </c>
      <c r="C122" s="5" t="s">
        <v>212</v>
      </c>
      <c r="D122" s="5" t="s">
        <v>118</v>
      </c>
      <c r="E122" s="5" t="s">
        <v>2785</v>
      </c>
      <c r="F122" s="5" t="s">
        <v>2756</v>
      </c>
      <c r="G122" s="5">
        <v>1</v>
      </c>
      <c r="H122" s="5" t="s">
        <v>2854</v>
      </c>
      <c r="I122" s="5" t="str">
        <f>IF(INDEX(Manual_Review!$O$6:$O$238,U122)="","",INDEX(Manual_Review!$O$6:$O$238,U122))</f>
        <v/>
      </c>
      <c r="J122" s="5" t="str">
        <f t="shared" si="2"/>
        <v>AI provisional</v>
      </c>
      <c r="K122" s="5" t="str">
        <f t="shared" si="3"/>
        <v>Y</v>
      </c>
      <c r="L122" s="5" t="s">
        <v>221</v>
      </c>
      <c r="M122" s="5" t="s">
        <v>3137</v>
      </c>
      <c r="N122" s="5" t="s">
        <v>3128</v>
      </c>
      <c r="O122" s="5" t="s">
        <v>3138</v>
      </c>
      <c r="P122" s="5" t="s">
        <v>2858</v>
      </c>
      <c r="Q122" s="11">
        <v>46306.5</v>
      </c>
      <c r="R122" s="6"/>
      <c r="S122" s="6"/>
      <c r="T122" s="6"/>
      <c r="U122" s="5">
        <f>MATCH(B122,Manual_Review!$A$6:$A$238,0)</f>
        <v>8</v>
      </c>
      <c r="V122" s="5" t="str">
        <f>IF(INDEX(Manual_Review!$G$6:$G$238,U122)="","",INDEX(Manual_Review!$G$6:$G$238,U122))</f>
        <v/>
      </c>
      <c r="W122" s="11" t="str">
        <f>IF(INDEX(Manual_Review!$H$6:$H$238,U122)="","",INDEX(Manual_Review!$H$6:$H$238,U122))</f>
        <v/>
      </c>
      <c r="X122" s="5" t="str">
        <f>IF(INDEX(Manual_Review!$I$6:$I$238,U122)="","",INDEX(Manual_Review!$I$6:$I$238,U122))</f>
        <v/>
      </c>
      <c r="Y122" s="5" t="s">
        <v>2859</v>
      </c>
    </row>
    <row r="123" spans="1:25" ht="25.5">
      <c r="A123" s="5" t="s">
        <v>3139</v>
      </c>
      <c r="B123" s="5" t="s">
        <v>211</v>
      </c>
      <c r="C123" s="5" t="s">
        <v>212</v>
      </c>
      <c r="D123" s="5" t="s">
        <v>118</v>
      </c>
      <c r="E123" s="5" t="s">
        <v>2786</v>
      </c>
      <c r="F123" s="5" t="s">
        <v>2756</v>
      </c>
      <c r="G123" s="5">
        <v>1</v>
      </c>
      <c r="H123" s="5" t="s">
        <v>2864</v>
      </c>
      <c r="I123" s="5" t="str">
        <f>IF(INDEX(Manual_Review!$P$6:$P$238,U123)="","",INDEX(Manual_Review!$P$6:$P$238,U123))</f>
        <v/>
      </c>
      <c r="J123" s="5" t="str">
        <f t="shared" si="2"/>
        <v>AI provisional</v>
      </c>
      <c r="K123" s="5" t="str">
        <f t="shared" si="3"/>
        <v>U</v>
      </c>
      <c r="L123" s="5" t="s">
        <v>221</v>
      </c>
      <c r="M123" s="5" t="s">
        <v>3132</v>
      </c>
      <c r="N123" s="5" t="s">
        <v>3128</v>
      </c>
      <c r="O123" s="5" t="s">
        <v>2874</v>
      </c>
      <c r="P123" s="5" t="s">
        <v>2858</v>
      </c>
      <c r="Q123" s="11">
        <v>46306.5</v>
      </c>
      <c r="R123" s="6"/>
      <c r="S123" s="6"/>
      <c r="T123" s="6"/>
      <c r="U123" s="5">
        <f>MATCH(B123,Manual_Review!$A$6:$A$238,0)</f>
        <v>8</v>
      </c>
      <c r="V123" s="5" t="str">
        <f>IF(INDEX(Manual_Review!$G$6:$G$238,U123)="","",INDEX(Manual_Review!$G$6:$G$238,U123))</f>
        <v/>
      </c>
      <c r="W123" s="11" t="str">
        <f>IF(INDEX(Manual_Review!$H$6:$H$238,U123)="","",INDEX(Manual_Review!$H$6:$H$238,U123))</f>
        <v/>
      </c>
      <c r="X123" s="5" t="str">
        <f>IF(INDEX(Manual_Review!$I$6:$I$238,U123)="","",INDEX(Manual_Review!$I$6:$I$238,U123))</f>
        <v/>
      </c>
      <c r="Y123" s="5" t="s">
        <v>2859</v>
      </c>
    </row>
    <row r="124" spans="1:25" ht="25.5">
      <c r="A124" s="5" t="s">
        <v>3140</v>
      </c>
      <c r="B124" s="5" t="s">
        <v>211</v>
      </c>
      <c r="C124" s="5" t="s">
        <v>212</v>
      </c>
      <c r="D124" s="5" t="s">
        <v>118</v>
      </c>
      <c r="E124" s="5" t="s">
        <v>2787</v>
      </c>
      <c r="F124" s="5" t="s">
        <v>2758</v>
      </c>
      <c r="G124" s="5">
        <v>1</v>
      </c>
      <c r="H124" s="5" t="s">
        <v>2854</v>
      </c>
      <c r="I124" s="5" t="str">
        <f>IF(INDEX(Manual_Review!$Q$6:$Q$238,U124)="","",INDEX(Manual_Review!$Q$6:$Q$238,U124))</f>
        <v/>
      </c>
      <c r="J124" s="5" t="str">
        <f t="shared" si="2"/>
        <v>AI provisional</v>
      </c>
      <c r="K124" s="5" t="str">
        <f t="shared" si="3"/>
        <v>Y</v>
      </c>
      <c r="L124" s="5" t="s">
        <v>221</v>
      </c>
      <c r="M124" s="5" t="s">
        <v>3141</v>
      </c>
      <c r="N124" s="5" t="s">
        <v>3128</v>
      </c>
      <c r="O124" s="5" t="s">
        <v>2969</v>
      </c>
      <c r="P124" s="5" t="s">
        <v>2858</v>
      </c>
      <c r="Q124" s="11">
        <v>46306.5</v>
      </c>
      <c r="R124" s="6"/>
      <c r="S124" s="6"/>
      <c r="T124" s="6"/>
      <c r="U124" s="5">
        <f>MATCH(B124,Manual_Review!$A$6:$A$238,0)</f>
        <v>8</v>
      </c>
      <c r="V124" s="5" t="str">
        <f>IF(INDEX(Manual_Review!$G$6:$G$238,U124)="","",INDEX(Manual_Review!$G$6:$G$238,U124))</f>
        <v/>
      </c>
      <c r="W124" s="11" t="str">
        <f>IF(INDEX(Manual_Review!$H$6:$H$238,U124)="","",INDEX(Manual_Review!$H$6:$H$238,U124))</f>
        <v/>
      </c>
      <c r="X124" s="5" t="str">
        <f>IF(INDEX(Manual_Review!$I$6:$I$238,U124)="","",INDEX(Manual_Review!$I$6:$I$238,U124))</f>
        <v/>
      </c>
      <c r="Y124" s="5" t="s">
        <v>2859</v>
      </c>
    </row>
    <row r="125" spans="1:25" ht="25.5">
      <c r="A125" s="5" t="s">
        <v>3142</v>
      </c>
      <c r="B125" s="5" t="s">
        <v>211</v>
      </c>
      <c r="C125" s="5" t="s">
        <v>212</v>
      </c>
      <c r="D125" s="5" t="s">
        <v>118</v>
      </c>
      <c r="E125" s="5" t="s">
        <v>2788</v>
      </c>
      <c r="F125" s="5" t="s">
        <v>2758</v>
      </c>
      <c r="G125" s="5">
        <v>1</v>
      </c>
      <c r="H125" s="5" t="s">
        <v>2854</v>
      </c>
      <c r="I125" s="5" t="str">
        <f>IF(INDEX(Manual_Review!$R$6:$R$238,U125)="","",INDEX(Manual_Review!$R$6:$R$238,U125))</f>
        <v/>
      </c>
      <c r="J125" s="5" t="str">
        <f t="shared" si="2"/>
        <v>AI provisional</v>
      </c>
      <c r="K125" s="5" t="str">
        <f t="shared" si="3"/>
        <v>Y</v>
      </c>
      <c r="L125" s="5" t="s">
        <v>221</v>
      </c>
      <c r="M125" s="5" t="s">
        <v>3143</v>
      </c>
      <c r="N125" s="5" t="s">
        <v>3128</v>
      </c>
      <c r="O125" s="5" t="s">
        <v>3067</v>
      </c>
      <c r="P125" s="5" t="s">
        <v>2858</v>
      </c>
      <c r="Q125" s="11">
        <v>46306.5</v>
      </c>
      <c r="R125" s="6"/>
      <c r="S125" s="6"/>
      <c r="T125" s="6"/>
      <c r="U125" s="5">
        <f>MATCH(B125,Manual_Review!$A$6:$A$238,0)</f>
        <v>8</v>
      </c>
      <c r="V125" s="5" t="str">
        <f>IF(INDEX(Manual_Review!$G$6:$G$238,U125)="","",INDEX(Manual_Review!$G$6:$G$238,U125))</f>
        <v/>
      </c>
      <c r="W125" s="11" t="str">
        <f>IF(INDEX(Manual_Review!$H$6:$H$238,U125)="","",INDEX(Manual_Review!$H$6:$H$238,U125))</f>
        <v/>
      </c>
      <c r="X125" s="5" t="str">
        <f>IF(INDEX(Manual_Review!$I$6:$I$238,U125)="","",INDEX(Manual_Review!$I$6:$I$238,U125))</f>
        <v/>
      </c>
      <c r="Y125" s="5" t="s">
        <v>2859</v>
      </c>
    </row>
    <row r="126" spans="1:25" ht="25.5">
      <c r="A126" s="5" t="s">
        <v>3144</v>
      </c>
      <c r="B126" s="5" t="s">
        <v>211</v>
      </c>
      <c r="C126" s="5" t="s">
        <v>212</v>
      </c>
      <c r="D126" s="5" t="s">
        <v>118</v>
      </c>
      <c r="E126" s="5" t="s">
        <v>2789</v>
      </c>
      <c r="F126" s="5" t="s">
        <v>2758</v>
      </c>
      <c r="G126" s="5">
        <v>1</v>
      </c>
      <c r="H126" s="5" t="s">
        <v>2864</v>
      </c>
      <c r="I126" s="5" t="str">
        <f>IF(INDEX(Manual_Review!$S$6:$S$238,U126)="","",INDEX(Manual_Review!$S$6:$S$238,U126))</f>
        <v/>
      </c>
      <c r="J126" s="5" t="str">
        <f t="shared" si="2"/>
        <v>AI provisional</v>
      </c>
      <c r="K126" s="5" t="str">
        <f t="shared" si="3"/>
        <v>U</v>
      </c>
      <c r="L126" s="5" t="s">
        <v>221</v>
      </c>
      <c r="M126" s="5" t="s">
        <v>3145</v>
      </c>
      <c r="N126" s="5" t="s">
        <v>3128</v>
      </c>
      <c r="O126" s="5" t="s">
        <v>2883</v>
      </c>
      <c r="P126" s="5" t="s">
        <v>2858</v>
      </c>
      <c r="Q126" s="11">
        <v>46306.5</v>
      </c>
      <c r="R126" s="6"/>
      <c r="S126" s="6"/>
      <c r="T126" s="6"/>
      <c r="U126" s="5">
        <f>MATCH(B126,Manual_Review!$A$6:$A$238,0)</f>
        <v>8</v>
      </c>
      <c r="V126" s="5" t="str">
        <f>IF(INDEX(Manual_Review!$G$6:$G$238,U126)="","",INDEX(Manual_Review!$G$6:$G$238,U126))</f>
        <v/>
      </c>
      <c r="W126" s="11" t="str">
        <f>IF(INDEX(Manual_Review!$H$6:$H$238,U126)="","",INDEX(Manual_Review!$H$6:$H$238,U126))</f>
        <v/>
      </c>
      <c r="X126" s="5" t="str">
        <f>IF(INDEX(Manual_Review!$I$6:$I$238,U126)="","",INDEX(Manual_Review!$I$6:$I$238,U126))</f>
        <v/>
      </c>
      <c r="Y126" s="5" t="s">
        <v>2859</v>
      </c>
    </row>
    <row r="127" spans="1:25" ht="25.5">
      <c r="A127" s="5" t="s">
        <v>3146</v>
      </c>
      <c r="B127" s="5" t="s">
        <v>211</v>
      </c>
      <c r="C127" s="5" t="s">
        <v>212</v>
      </c>
      <c r="D127" s="5" t="s">
        <v>118</v>
      </c>
      <c r="E127" s="5" t="s">
        <v>2790</v>
      </c>
      <c r="F127" s="5" t="s">
        <v>2760</v>
      </c>
      <c r="G127" s="5">
        <v>1</v>
      </c>
      <c r="H127" s="5" t="s">
        <v>2854</v>
      </c>
      <c r="I127" s="5" t="str">
        <f>IF(INDEX(Manual_Review!$T$6:$T$238,U127)="","",INDEX(Manual_Review!$T$6:$T$238,U127))</f>
        <v/>
      </c>
      <c r="J127" s="5" t="str">
        <f t="shared" si="2"/>
        <v>AI provisional</v>
      </c>
      <c r="K127" s="5" t="str">
        <f t="shared" si="3"/>
        <v>Y</v>
      </c>
      <c r="L127" s="5" t="s">
        <v>221</v>
      </c>
      <c r="M127" s="5" t="s">
        <v>3147</v>
      </c>
      <c r="N127" s="5" t="s">
        <v>3128</v>
      </c>
      <c r="O127" s="5" t="s">
        <v>2976</v>
      </c>
      <c r="P127" s="5" t="s">
        <v>2858</v>
      </c>
      <c r="Q127" s="11">
        <v>46306.5</v>
      </c>
      <c r="R127" s="6"/>
      <c r="S127" s="6"/>
      <c r="T127" s="6"/>
      <c r="U127" s="5">
        <f>MATCH(B127,Manual_Review!$A$6:$A$238,0)</f>
        <v>8</v>
      </c>
      <c r="V127" s="5" t="str">
        <f>IF(INDEX(Manual_Review!$G$6:$G$238,U127)="","",INDEX(Manual_Review!$G$6:$G$238,U127))</f>
        <v/>
      </c>
      <c r="W127" s="11" t="str">
        <f>IF(INDEX(Manual_Review!$H$6:$H$238,U127)="","",INDEX(Manual_Review!$H$6:$H$238,U127))</f>
        <v/>
      </c>
      <c r="X127" s="5" t="str">
        <f>IF(INDEX(Manual_Review!$I$6:$I$238,U127)="","",INDEX(Manual_Review!$I$6:$I$238,U127))</f>
        <v/>
      </c>
      <c r="Y127" s="5" t="s">
        <v>2859</v>
      </c>
    </row>
    <row r="128" spans="1:25" ht="25.5">
      <c r="A128" s="5" t="s">
        <v>3148</v>
      </c>
      <c r="B128" s="5" t="s">
        <v>211</v>
      </c>
      <c r="C128" s="5" t="s">
        <v>212</v>
      </c>
      <c r="D128" s="5" t="s">
        <v>118</v>
      </c>
      <c r="E128" s="5" t="s">
        <v>2791</v>
      </c>
      <c r="F128" s="5" t="s">
        <v>2760</v>
      </c>
      <c r="G128" s="5">
        <v>1</v>
      </c>
      <c r="H128" s="5" t="s">
        <v>2864</v>
      </c>
      <c r="I128" s="5" t="str">
        <f>IF(INDEX(Manual_Review!$U$6:$U$238,U128)="","",INDEX(Manual_Review!$U$6:$U$238,U128))</f>
        <v/>
      </c>
      <c r="J128" s="5" t="str">
        <f t="shared" si="2"/>
        <v>AI provisional</v>
      </c>
      <c r="K128" s="5" t="str">
        <f t="shared" si="3"/>
        <v>U</v>
      </c>
      <c r="L128" s="5" t="s">
        <v>221</v>
      </c>
      <c r="M128" s="5" t="s">
        <v>3149</v>
      </c>
      <c r="N128" s="5" t="s">
        <v>3128</v>
      </c>
      <c r="O128" s="5" t="s">
        <v>2888</v>
      </c>
      <c r="P128" s="5" t="s">
        <v>2858</v>
      </c>
      <c r="Q128" s="11">
        <v>46306.5</v>
      </c>
      <c r="R128" s="6"/>
      <c r="S128" s="6"/>
      <c r="T128" s="6"/>
      <c r="U128" s="5">
        <f>MATCH(B128,Manual_Review!$A$6:$A$238,0)</f>
        <v>8</v>
      </c>
      <c r="V128" s="5" t="str">
        <f>IF(INDEX(Manual_Review!$G$6:$G$238,U128)="","",INDEX(Manual_Review!$G$6:$G$238,U128))</f>
        <v/>
      </c>
      <c r="W128" s="11" t="str">
        <f>IF(INDEX(Manual_Review!$H$6:$H$238,U128)="","",INDEX(Manual_Review!$H$6:$H$238,U128))</f>
        <v/>
      </c>
      <c r="X128" s="5" t="str">
        <f>IF(INDEX(Manual_Review!$I$6:$I$238,U128)="","",INDEX(Manual_Review!$I$6:$I$238,U128))</f>
        <v/>
      </c>
      <c r="Y128" s="5" t="s">
        <v>2859</v>
      </c>
    </row>
    <row r="129" spans="1:25" ht="25.5">
      <c r="A129" s="5" t="s">
        <v>3150</v>
      </c>
      <c r="B129" s="5" t="s">
        <v>211</v>
      </c>
      <c r="C129" s="5" t="s">
        <v>212</v>
      </c>
      <c r="D129" s="5" t="s">
        <v>118</v>
      </c>
      <c r="E129" s="5" t="s">
        <v>2792</v>
      </c>
      <c r="F129" s="5" t="s">
        <v>2762</v>
      </c>
      <c r="G129" s="5">
        <v>1</v>
      </c>
      <c r="H129" s="5" t="s">
        <v>2854</v>
      </c>
      <c r="I129" s="5" t="str">
        <f>IF(INDEX(Manual_Review!$V$6:$V$238,U129)="","",INDEX(Manual_Review!$V$6:$V$238,U129))</f>
        <v/>
      </c>
      <c r="J129" s="5" t="str">
        <f t="shared" si="2"/>
        <v>AI provisional</v>
      </c>
      <c r="K129" s="5" t="str">
        <f t="shared" si="3"/>
        <v>Y</v>
      </c>
      <c r="L129" s="5" t="s">
        <v>221</v>
      </c>
      <c r="M129" s="5" t="s">
        <v>3151</v>
      </c>
      <c r="N129" s="5" t="s">
        <v>3128</v>
      </c>
      <c r="O129" s="5" t="s">
        <v>3152</v>
      </c>
      <c r="P129" s="5" t="s">
        <v>2858</v>
      </c>
      <c r="Q129" s="11">
        <v>46306.5</v>
      </c>
      <c r="R129" s="6"/>
      <c r="S129" s="6"/>
      <c r="T129" s="6"/>
      <c r="U129" s="5">
        <f>MATCH(B129,Manual_Review!$A$6:$A$238,0)</f>
        <v>8</v>
      </c>
      <c r="V129" s="5" t="str">
        <f>IF(INDEX(Manual_Review!$G$6:$G$238,U129)="","",INDEX(Manual_Review!$G$6:$G$238,U129))</f>
        <v/>
      </c>
      <c r="W129" s="11" t="str">
        <f>IF(INDEX(Manual_Review!$H$6:$H$238,U129)="","",INDEX(Manual_Review!$H$6:$H$238,U129))</f>
        <v/>
      </c>
      <c r="X129" s="5" t="str">
        <f>IF(INDEX(Manual_Review!$I$6:$I$238,U129)="","",INDEX(Manual_Review!$I$6:$I$238,U129))</f>
        <v/>
      </c>
      <c r="Y129" s="5" t="s">
        <v>2859</v>
      </c>
    </row>
    <row r="130" spans="1:25" ht="25.5">
      <c r="A130" s="5" t="s">
        <v>3153</v>
      </c>
      <c r="B130" s="5" t="s">
        <v>211</v>
      </c>
      <c r="C130" s="5" t="s">
        <v>212</v>
      </c>
      <c r="D130" s="5" t="s">
        <v>118</v>
      </c>
      <c r="E130" s="5" t="s">
        <v>2793</v>
      </c>
      <c r="F130" s="5" t="s">
        <v>2762</v>
      </c>
      <c r="G130" s="5">
        <v>1</v>
      </c>
      <c r="H130" s="5" t="s">
        <v>2854</v>
      </c>
      <c r="I130" s="5" t="str">
        <f>IF(INDEX(Manual_Review!$W$6:$W$238,U130)="","",INDEX(Manual_Review!$W$6:$W$238,U130))</f>
        <v/>
      </c>
      <c r="J130" s="5" t="str">
        <f t="shared" si="2"/>
        <v>AI provisional</v>
      </c>
      <c r="K130" s="5" t="str">
        <f t="shared" si="3"/>
        <v>Y</v>
      </c>
      <c r="L130" s="5" t="s">
        <v>221</v>
      </c>
      <c r="M130" s="5" t="s">
        <v>3154</v>
      </c>
      <c r="N130" s="5" t="s">
        <v>3128</v>
      </c>
      <c r="O130" s="5" t="s">
        <v>3077</v>
      </c>
      <c r="P130" s="5" t="s">
        <v>2858</v>
      </c>
      <c r="Q130" s="11">
        <v>46306.5</v>
      </c>
      <c r="R130" s="6"/>
      <c r="S130" s="6"/>
      <c r="T130" s="6"/>
      <c r="U130" s="5">
        <f>MATCH(B130,Manual_Review!$A$6:$A$238,0)</f>
        <v>8</v>
      </c>
      <c r="V130" s="5" t="str">
        <f>IF(INDEX(Manual_Review!$G$6:$G$238,U130)="","",INDEX(Manual_Review!$G$6:$G$238,U130))</f>
        <v/>
      </c>
      <c r="W130" s="11" t="str">
        <f>IF(INDEX(Manual_Review!$H$6:$H$238,U130)="","",INDEX(Manual_Review!$H$6:$H$238,U130))</f>
        <v/>
      </c>
      <c r="X130" s="5" t="str">
        <f>IF(INDEX(Manual_Review!$I$6:$I$238,U130)="","",INDEX(Manual_Review!$I$6:$I$238,U130))</f>
        <v/>
      </c>
      <c r="Y130" s="5" t="s">
        <v>2859</v>
      </c>
    </row>
    <row r="131" spans="1:25" ht="25.5">
      <c r="A131" s="5" t="s">
        <v>3155</v>
      </c>
      <c r="B131" s="5" t="s">
        <v>211</v>
      </c>
      <c r="C131" s="5" t="s">
        <v>212</v>
      </c>
      <c r="D131" s="5" t="s">
        <v>118</v>
      </c>
      <c r="E131" s="5" t="s">
        <v>2794</v>
      </c>
      <c r="F131" s="5" t="s">
        <v>2764</v>
      </c>
      <c r="G131" s="5">
        <v>1</v>
      </c>
      <c r="H131" s="5" t="s">
        <v>2854</v>
      </c>
      <c r="I131" s="5" t="str">
        <f>IF(INDEX(Manual_Review!$X$6:$X$238,U131)="","",INDEX(Manual_Review!$X$6:$X$238,U131))</f>
        <v/>
      </c>
      <c r="J131" s="5" t="str">
        <f t="shared" si="2"/>
        <v>AI provisional</v>
      </c>
      <c r="K131" s="5" t="str">
        <f t="shared" si="3"/>
        <v>Y</v>
      </c>
      <c r="L131" s="5" t="s">
        <v>221</v>
      </c>
      <c r="M131" s="5" t="s">
        <v>3156</v>
      </c>
      <c r="N131" s="5" t="s">
        <v>3128</v>
      </c>
      <c r="O131" s="5" t="s">
        <v>2984</v>
      </c>
      <c r="P131" s="5" t="s">
        <v>2858</v>
      </c>
      <c r="Q131" s="11">
        <v>46306.5</v>
      </c>
      <c r="R131" s="6"/>
      <c r="S131" s="6"/>
      <c r="T131" s="6"/>
      <c r="U131" s="5">
        <f>MATCH(B131,Manual_Review!$A$6:$A$238,0)</f>
        <v>8</v>
      </c>
      <c r="V131" s="5" t="str">
        <f>IF(INDEX(Manual_Review!$G$6:$G$238,U131)="","",INDEX(Manual_Review!$G$6:$G$238,U131))</f>
        <v/>
      </c>
      <c r="W131" s="11" t="str">
        <f>IF(INDEX(Manual_Review!$H$6:$H$238,U131)="","",INDEX(Manual_Review!$H$6:$H$238,U131))</f>
        <v/>
      </c>
      <c r="X131" s="5" t="str">
        <f>IF(INDEX(Manual_Review!$I$6:$I$238,U131)="","",INDEX(Manual_Review!$I$6:$I$238,U131))</f>
        <v/>
      </c>
      <c r="Y131" s="5" t="s">
        <v>2859</v>
      </c>
    </row>
    <row r="132" spans="1:25" ht="25.5">
      <c r="A132" s="5" t="s">
        <v>3157</v>
      </c>
      <c r="B132" s="5" t="s">
        <v>211</v>
      </c>
      <c r="C132" s="5" t="s">
        <v>212</v>
      </c>
      <c r="D132" s="5" t="s">
        <v>118</v>
      </c>
      <c r="E132" s="5" t="s">
        <v>2795</v>
      </c>
      <c r="F132" s="5" t="s">
        <v>2764</v>
      </c>
      <c r="G132" s="5">
        <v>1</v>
      </c>
      <c r="H132" s="5" t="s">
        <v>2864</v>
      </c>
      <c r="I132" s="5" t="str">
        <f>IF(INDEX(Manual_Review!$Y$6:$Y$238,U132)="","",INDEX(Manual_Review!$Y$6:$Y$238,U132))</f>
        <v/>
      </c>
      <c r="J132" s="5" t="str">
        <f t="shared" si="2"/>
        <v>AI provisional</v>
      </c>
      <c r="K132" s="5" t="str">
        <f t="shared" si="3"/>
        <v>U</v>
      </c>
      <c r="L132" s="5" t="s">
        <v>221</v>
      </c>
      <c r="M132" s="5" t="s">
        <v>3132</v>
      </c>
      <c r="N132" s="5" t="s">
        <v>3128</v>
      </c>
      <c r="O132" s="5" t="s">
        <v>2897</v>
      </c>
      <c r="P132" s="5" t="s">
        <v>2858</v>
      </c>
      <c r="Q132" s="11">
        <v>46306.5</v>
      </c>
      <c r="R132" s="6"/>
      <c r="S132" s="6"/>
      <c r="T132" s="6"/>
      <c r="U132" s="5">
        <f>MATCH(B132,Manual_Review!$A$6:$A$238,0)</f>
        <v>8</v>
      </c>
      <c r="V132" s="5" t="str">
        <f>IF(INDEX(Manual_Review!$G$6:$G$238,U132)="","",INDEX(Manual_Review!$G$6:$G$238,U132))</f>
        <v/>
      </c>
      <c r="W132" s="11" t="str">
        <f>IF(INDEX(Manual_Review!$H$6:$H$238,U132)="","",INDEX(Manual_Review!$H$6:$H$238,U132))</f>
        <v/>
      </c>
      <c r="X132" s="5" t="str">
        <f>IF(INDEX(Manual_Review!$I$6:$I$238,U132)="","",INDEX(Manual_Review!$I$6:$I$238,U132))</f>
        <v/>
      </c>
      <c r="Y132" s="5" t="s">
        <v>2859</v>
      </c>
    </row>
    <row r="133" spans="1:25" ht="25.5">
      <c r="A133" s="5" t="s">
        <v>3158</v>
      </c>
      <c r="B133" s="5" t="s">
        <v>211</v>
      </c>
      <c r="C133" s="5" t="s">
        <v>212</v>
      </c>
      <c r="D133" s="5" t="s">
        <v>118</v>
      </c>
      <c r="E133" s="5" t="s">
        <v>2796</v>
      </c>
      <c r="F133" s="5" t="s">
        <v>2764</v>
      </c>
      <c r="G133" s="5">
        <v>1</v>
      </c>
      <c r="H133" s="5" t="s">
        <v>2864</v>
      </c>
      <c r="I133" s="5" t="str">
        <f>IF(INDEX(Manual_Review!$Z$6:$Z$238,U133)="","",INDEX(Manual_Review!$Z$6:$Z$238,U133))</f>
        <v/>
      </c>
      <c r="J133" s="5" t="str">
        <f t="shared" si="2"/>
        <v>AI provisional</v>
      </c>
      <c r="K133" s="5" t="str">
        <f t="shared" si="3"/>
        <v>U</v>
      </c>
      <c r="L133" s="5" t="s">
        <v>221</v>
      </c>
      <c r="M133" s="5" t="s">
        <v>3159</v>
      </c>
      <c r="N133" s="5" t="s">
        <v>3128</v>
      </c>
      <c r="O133" s="5" t="s">
        <v>2899</v>
      </c>
      <c r="P133" s="5" t="s">
        <v>2858</v>
      </c>
      <c r="Q133" s="11">
        <v>46306.5</v>
      </c>
      <c r="R133" s="6"/>
      <c r="S133" s="6"/>
      <c r="T133" s="6"/>
      <c r="U133" s="5">
        <f>MATCH(B133,Manual_Review!$A$6:$A$238,0)</f>
        <v>8</v>
      </c>
      <c r="V133" s="5" t="str">
        <f>IF(INDEX(Manual_Review!$G$6:$G$238,U133)="","",INDEX(Manual_Review!$G$6:$G$238,U133))</f>
        <v/>
      </c>
      <c r="W133" s="11" t="str">
        <f>IF(INDEX(Manual_Review!$H$6:$H$238,U133)="","",INDEX(Manual_Review!$H$6:$H$238,U133))</f>
        <v/>
      </c>
      <c r="X133" s="5" t="str">
        <f>IF(INDEX(Manual_Review!$I$6:$I$238,U133)="","",INDEX(Manual_Review!$I$6:$I$238,U133))</f>
        <v/>
      </c>
      <c r="Y133" s="5" t="s">
        <v>2859</v>
      </c>
    </row>
    <row r="134" spans="1:25" ht="25.5">
      <c r="A134" s="5" t="s">
        <v>3160</v>
      </c>
      <c r="B134" s="5" t="s">
        <v>223</v>
      </c>
      <c r="C134" s="5" t="s">
        <v>224</v>
      </c>
      <c r="D134" s="5" t="s">
        <v>118</v>
      </c>
      <c r="E134" s="5" t="s">
        <v>2781</v>
      </c>
      <c r="F134" s="5" t="s">
        <v>2754</v>
      </c>
      <c r="G134" s="5">
        <v>1</v>
      </c>
      <c r="H134" s="5" t="s">
        <v>2854</v>
      </c>
      <c r="I134" s="5" t="str">
        <f>IF(INDEX(Manual_Review!$K$6:$K$238,U134)="","",INDEX(Manual_Review!$K$6:$K$238,U134))</f>
        <v/>
      </c>
      <c r="J134" s="5" t="str">
        <f t="shared" ref="J134:J197" si="4">IF(G134=0,"Not applicable",IF(I134="","AI provisional",IF(AND(OR(I134="Y",I134="N",I134="U",I134="X"),V134&lt;&gt;"",ISNUMBER(W134),W134&gt;0,X134="Confirmed",R134&lt;&gt;"",S134&lt;&gt;"",T134&lt;&gt;""),"Human valid","Evidence needed")))</f>
        <v>AI provisional</v>
      </c>
      <c r="K134" s="5" t="str">
        <f t="shared" ref="K134:K197" si="5">IF(G134=0,"N/A",IF(I134="",H134,IF(J134="Human valid",I134,"U")))</f>
        <v>Y</v>
      </c>
      <c r="L134" s="5" t="s">
        <v>232</v>
      </c>
      <c r="M134" s="5" t="s">
        <v>3161</v>
      </c>
      <c r="N134" s="5" t="s">
        <v>3162</v>
      </c>
      <c r="O134" s="5" t="s">
        <v>2857</v>
      </c>
      <c r="P134" s="5" t="s">
        <v>2858</v>
      </c>
      <c r="Q134" s="11">
        <v>46306.5</v>
      </c>
      <c r="R134" s="6"/>
      <c r="S134" s="6"/>
      <c r="T134" s="6"/>
      <c r="U134" s="5">
        <f>MATCH(B134,Manual_Review!$A$6:$A$238,0)</f>
        <v>9</v>
      </c>
      <c r="V134" s="5" t="str">
        <f>IF(INDEX(Manual_Review!$G$6:$G$238,U134)="","",INDEX(Manual_Review!$G$6:$G$238,U134))</f>
        <v/>
      </c>
      <c r="W134" s="11" t="str">
        <f>IF(INDEX(Manual_Review!$H$6:$H$238,U134)="","",INDEX(Manual_Review!$H$6:$H$238,U134))</f>
        <v/>
      </c>
      <c r="X134" s="5" t="str">
        <f>IF(INDEX(Manual_Review!$I$6:$I$238,U134)="","",INDEX(Manual_Review!$I$6:$I$238,U134))</f>
        <v/>
      </c>
      <c r="Y134" s="5" t="s">
        <v>2859</v>
      </c>
    </row>
    <row r="135" spans="1:25" ht="25.5">
      <c r="A135" s="5" t="s">
        <v>3163</v>
      </c>
      <c r="B135" s="5" t="s">
        <v>223</v>
      </c>
      <c r="C135" s="5" t="s">
        <v>224</v>
      </c>
      <c r="D135" s="5" t="s">
        <v>118</v>
      </c>
      <c r="E135" s="5" t="s">
        <v>2782</v>
      </c>
      <c r="F135" s="5" t="s">
        <v>2754</v>
      </c>
      <c r="G135" s="5">
        <v>1</v>
      </c>
      <c r="H135" s="5" t="s">
        <v>2854</v>
      </c>
      <c r="I135" s="5" t="str">
        <f>IF(INDEX(Manual_Review!$L$6:$L$238,U135)="","",INDEX(Manual_Review!$L$6:$L$238,U135))</f>
        <v/>
      </c>
      <c r="J135" s="5" t="str">
        <f t="shared" si="4"/>
        <v>AI provisional</v>
      </c>
      <c r="K135" s="5" t="str">
        <f t="shared" si="5"/>
        <v>Y</v>
      </c>
      <c r="L135" s="5" t="s">
        <v>232</v>
      </c>
      <c r="M135" s="5" t="s">
        <v>3164</v>
      </c>
      <c r="N135" s="5" t="s">
        <v>3162</v>
      </c>
      <c r="O135" s="5" t="s">
        <v>2862</v>
      </c>
      <c r="P135" s="5" t="s">
        <v>2858</v>
      </c>
      <c r="Q135" s="11">
        <v>46306.5</v>
      </c>
      <c r="R135" s="6"/>
      <c r="S135" s="6"/>
      <c r="T135" s="6"/>
      <c r="U135" s="5">
        <f>MATCH(B135,Manual_Review!$A$6:$A$238,0)</f>
        <v>9</v>
      </c>
      <c r="V135" s="5" t="str">
        <f>IF(INDEX(Manual_Review!$G$6:$G$238,U135)="","",INDEX(Manual_Review!$G$6:$G$238,U135))</f>
        <v/>
      </c>
      <c r="W135" s="11" t="str">
        <f>IF(INDEX(Manual_Review!$H$6:$H$238,U135)="","",INDEX(Manual_Review!$H$6:$H$238,U135))</f>
        <v/>
      </c>
      <c r="X135" s="5" t="str">
        <f>IF(INDEX(Manual_Review!$I$6:$I$238,U135)="","",INDEX(Manual_Review!$I$6:$I$238,U135))</f>
        <v/>
      </c>
      <c r="Y135" s="5" t="s">
        <v>2859</v>
      </c>
    </row>
    <row r="136" spans="1:25" ht="25.5">
      <c r="A136" s="5" t="s">
        <v>3165</v>
      </c>
      <c r="B136" s="5" t="s">
        <v>223</v>
      </c>
      <c r="C136" s="5" t="s">
        <v>224</v>
      </c>
      <c r="D136" s="5" t="s">
        <v>118</v>
      </c>
      <c r="E136" s="5" t="s">
        <v>2783</v>
      </c>
      <c r="F136" s="5" t="s">
        <v>2754</v>
      </c>
      <c r="G136" s="5">
        <v>1</v>
      </c>
      <c r="H136" s="5" t="s">
        <v>2864</v>
      </c>
      <c r="I136" s="5" t="str">
        <f>IF(INDEX(Manual_Review!$M$6:$M$238,U136)="","",INDEX(Manual_Review!$M$6:$M$238,U136))</f>
        <v/>
      </c>
      <c r="J136" s="5" t="str">
        <f t="shared" si="4"/>
        <v>AI provisional</v>
      </c>
      <c r="K136" s="5" t="str">
        <f t="shared" si="5"/>
        <v>U</v>
      </c>
      <c r="L136" s="5" t="s">
        <v>232</v>
      </c>
      <c r="M136" s="5" t="s">
        <v>3166</v>
      </c>
      <c r="N136" s="5" t="s">
        <v>3162</v>
      </c>
      <c r="O136" s="5" t="s">
        <v>2866</v>
      </c>
      <c r="P136" s="5" t="s">
        <v>2858</v>
      </c>
      <c r="Q136" s="11">
        <v>46306.5</v>
      </c>
      <c r="R136" s="6"/>
      <c r="S136" s="6"/>
      <c r="T136" s="6"/>
      <c r="U136" s="5">
        <f>MATCH(B136,Manual_Review!$A$6:$A$238,0)</f>
        <v>9</v>
      </c>
      <c r="V136" s="5" t="str">
        <f>IF(INDEX(Manual_Review!$G$6:$G$238,U136)="","",INDEX(Manual_Review!$G$6:$G$238,U136))</f>
        <v/>
      </c>
      <c r="W136" s="11" t="str">
        <f>IF(INDEX(Manual_Review!$H$6:$H$238,U136)="","",INDEX(Manual_Review!$H$6:$H$238,U136))</f>
        <v/>
      </c>
      <c r="X136" s="5" t="str">
        <f>IF(INDEX(Manual_Review!$I$6:$I$238,U136)="","",INDEX(Manual_Review!$I$6:$I$238,U136))</f>
        <v/>
      </c>
      <c r="Y136" s="5" t="s">
        <v>2859</v>
      </c>
    </row>
    <row r="137" spans="1:25" ht="25.5">
      <c r="A137" s="5" t="s">
        <v>3167</v>
      </c>
      <c r="B137" s="5" t="s">
        <v>223</v>
      </c>
      <c r="C137" s="5" t="s">
        <v>224</v>
      </c>
      <c r="D137" s="5" t="s">
        <v>118</v>
      </c>
      <c r="E137" s="5" t="s">
        <v>2784</v>
      </c>
      <c r="F137" s="5" t="s">
        <v>2756</v>
      </c>
      <c r="G137" s="5">
        <v>1</v>
      </c>
      <c r="H137" s="5" t="s">
        <v>2854</v>
      </c>
      <c r="I137" s="5" t="str">
        <f>IF(INDEX(Manual_Review!$N$6:$N$238,U137)="","",INDEX(Manual_Review!$N$6:$N$238,U137))</f>
        <v/>
      </c>
      <c r="J137" s="5" t="str">
        <f t="shared" si="4"/>
        <v>AI provisional</v>
      </c>
      <c r="K137" s="5" t="str">
        <f t="shared" si="5"/>
        <v>Y</v>
      </c>
      <c r="L137" s="5" t="s">
        <v>232</v>
      </c>
      <c r="M137" s="5" t="s">
        <v>3168</v>
      </c>
      <c r="N137" s="5" t="s">
        <v>3162</v>
      </c>
      <c r="O137" s="5" t="s">
        <v>2963</v>
      </c>
      <c r="P137" s="5" t="s">
        <v>2858</v>
      </c>
      <c r="Q137" s="11">
        <v>46306.5</v>
      </c>
      <c r="R137" s="6"/>
      <c r="S137" s="6"/>
      <c r="T137" s="6"/>
      <c r="U137" s="5">
        <f>MATCH(B137,Manual_Review!$A$6:$A$238,0)</f>
        <v>9</v>
      </c>
      <c r="V137" s="5" t="str">
        <f>IF(INDEX(Manual_Review!$G$6:$G$238,U137)="","",INDEX(Manual_Review!$G$6:$G$238,U137))</f>
        <v/>
      </c>
      <c r="W137" s="11" t="str">
        <f>IF(INDEX(Manual_Review!$H$6:$H$238,U137)="","",INDEX(Manual_Review!$H$6:$H$238,U137))</f>
        <v/>
      </c>
      <c r="X137" s="5" t="str">
        <f>IF(INDEX(Manual_Review!$I$6:$I$238,U137)="","",INDEX(Manual_Review!$I$6:$I$238,U137))</f>
        <v/>
      </c>
      <c r="Y137" s="5" t="s">
        <v>2859</v>
      </c>
    </row>
    <row r="138" spans="1:25" ht="25.5">
      <c r="A138" s="5" t="s">
        <v>3169</v>
      </c>
      <c r="B138" s="5" t="s">
        <v>223</v>
      </c>
      <c r="C138" s="5" t="s">
        <v>224</v>
      </c>
      <c r="D138" s="5" t="s">
        <v>118</v>
      </c>
      <c r="E138" s="5" t="s">
        <v>2785</v>
      </c>
      <c r="F138" s="5" t="s">
        <v>2756</v>
      </c>
      <c r="G138" s="5">
        <v>1</v>
      </c>
      <c r="H138" s="5" t="s">
        <v>2854</v>
      </c>
      <c r="I138" s="5" t="str">
        <f>IF(INDEX(Manual_Review!$O$6:$O$238,U138)="","",INDEX(Manual_Review!$O$6:$O$238,U138))</f>
        <v/>
      </c>
      <c r="J138" s="5" t="str">
        <f t="shared" si="4"/>
        <v>AI provisional</v>
      </c>
      <c r="K138" s="5" t="str">
        <f t="shared" si="5"/>
        <v>Y</v>
      </c>
      <c r="L138" s="5" t="s">
        <v>232</v>
      </c>
      <c r="M138" s="5" t="s">
        <v>3170</v>
      </c>
      <c r="N138" s="5" t="s">
        <v>3162</v>
      </c>
      <c r="O138" s="5" t="s">
        <v>3138</v>
      </c>
      <c r="P138" s="5" t="s">
        <v>2858</v>
      </c>
      <c r="Q138" s="11">
        <v>46306.5</v>
      </c>
      <c r="R138" s="6"/>
      <c r="S138" s="6"/>
      <c r="T138" s="6"/>
      <c r="U138" s="5">
        <f>MATCH(B138,Manual_Review!$A$6:$A$238,0)</f>
        <v>9</v>
      </c>
      <c r="V138" s="5" t="str">
        <f>IF(INDEX(Manual_Review!$G$6:$G$238,U138)="","",INDEX(Manual_Review!$G$6:$G$238,U138))</f>
        <v/>
      </c>
      <c r="W138" s="11" t="str">
        <f>IF(INDEX(Manual_Review!$H$6:$H$238,U138)="","",INDEX(Manual_Review!$H$6:$H$238,U138))</f>
        <v/>
      </c>
      <c r="X138" s="5" t="str">
        <f>IF(INDEX(Manual_Review!$I$6:$I$238,U138)="","",INDEX(Manual_Review!$I$6:$I$238,U138))</f>
        <v/>
      </c>
      <c r="Y138" s="5" t="s">
        <v>2859</v>
      </c>
    </row>
    <row r="139" spans="1:25" ht="25.5">
      <c r="A139" s="5" t="s">
        <v>3171</v>
      </c>
      <c r="B139" s="5" t="s">
        <v>223</v>
      </c>
      <c r="C139" s="5" t="s">
        <v>224</v>
      </c>
      <c r="D139" s="5" t="s">
        <v>118</v>
      </c>
      <c r="E139" s="5" t="s">
        <v>2786</v>
      </c>
      <c r="F139" s="5" t="s">
        <v>2756</v>
      </c>
      <c r="G139" s="5">
        <v>1</v>
      </c>
      <c r="H139" s="5" t="s">
        <v>2864</v>
      </c>
      <c r="I139" s="5" t="str">
        <f>IF(INDEX(Manual_Review!$P$6:$P$238,U139)="","",INDEX(Manual_Review!$P$6:$P$238,U139))</f>
        <v/>
      </c>
      <c r="J139" s="5" t="str">
        <f t="shared" si="4"/>
        <v>AI provisional</v>
      </c>
      <c r="K139" s="5" t="str">
        <f t="shared" si="5"/>
        <v>U</v>
      </c>
      <c r="L139" s="5" t="s">
        <v>232</v>
      </c>
      <c r="M139" s="5" t="s">
        <v>3166</v>
      </c>
      <c r="N139" s="5" t="s">
        <v>3162</v>
      </c>
      <c r="O139" s="5" t="s">
        <v>2874</v>
      </c>
      <c r="P139" s="5" t="s">
        <v>2858</v>
      </c>
      <c r="Q139" s="11">
        <v>46306.5</v>
      </c>
      <c r="R139" s="6"/>
      <c r="S139" s="6"/>
      <c r="T139" s="6"/>
      <c r="U139" s="5">
        <f>MATCH(B139,Manual_Review!$A$6:$A$238,0)</f>
        <v>9</v>
      </c>
      <c r="V139" s="5" t="str">
        <f>IF(INDEX(Manual_Review!$G$6:$G$238,U139)="","",INDEX(Manual_Review!$G$6:$G$238,U139))</f>
        <v/>
      </c>
      <c r="W139" s="11" t="str">
        <f>IF(INDEX(Manual_Review!$H$6:$H$238,U139)="","",INDEX(Manual_Review!$H$6:$H$238,U139))</f>
        <v/>
      </c>
      <c r="X139" s="5" t="str">
        <f>IF(INDEX(Manual_Review!$I$6:$I$238,U139)="","",INDEX(Manual_Review!$I$6:$I$238,U139))</f>
        <v/>
      </c>
      <c r="Y139" s="5" t="s">
        <v>2859</v>
      </c>
    </row>
    <row r="140" spans="1:25" ht="25.5">
      <c r="A140" s="5" t="s">
        <v>3172</v>
      </c>
      <c r="B140" s="5" t="s">
        <v>223</v>
      </c>
      <c r="C140" s="5" t="s">
        <v>224</v>
      </c>
      <c r="D140" s="5" t="s">
        <v>118</v>
      </c>
      <c r="E140" s="5" t="s">
        <v>2787</v>
      </c>
      <c r="F140" s="5" t="s">
        <v>2758</v>
      </c>
      <c r="G140" s="5">
        <v>1</v>
      </c>
      <c r="H140" s="5" t="s">
        <v>2864</v>
      </c>
      <c r="I140" s="5" t="str">
        <f>IF(INDEX(Manual_Review!$Q$6:$Q$238,U140)="","",INDEX(Manual_Review!$Q$6:$Q$238,U140))</f>
        <v/>
      </c>
      <c r="J140" s="5" t="str">
        <f t="shared" si="4"/>
        <v>AI provisional</v>
      </c>
      <c r="K140" s="5" t="str">
        <f t="shared" si="5"/>
        <v>U</v>
      </c>
      <c r="L140" s="5" t="s">
        <v>232</v>
      </c>
      <c r="M140" s="5" t="s">
        <v>3173</v>
      </c>
      <c r="N140" s="5" t="s">
        <v>3162</v>
      </c>
      <c r="O140" s="5" t="s">
        <v>2877</v>
      </c>
      <c r="P140" s="5" t="s">
        <v>2858</v>
      </c>
      <c r="Q140" s="11">
        <v>46306.5</v>
      </c>
      <c r="R140" s="6"/>
      <c r="S140" s="6"/>
      <c r="T140" s="6"/>
      <c r="U140" s="5">
        <f>MATCH(B140,Manual_Review!$A$6:$A$238,0)</f>
        <v>9</v>
      </c>
      <c r="V140" s="5" t="str">
        <f>IF(INDEX(Manual_Review!$G$6:$G$238,U140)="","",INDEX(Manual_Review!$G$6:$G$238,U140))</f>
        <v/>
      </c>
      <c r="W140" s="11" t="str">
        <f>IF(INDEX(Manual_Review!$H$6:$H$238,U140)="","",INDEX(Manual_Review!$H$6:$H$238,U140))</f>
        <v/>
      </c>
      <c r="X140" s="5" t="str">
        <f>IF(INDEX(Manual_Review!$I$6:$I$238,U140)="","",INDEX(Manual_Review!$I$6:$I$238,U140))</f>
        <v/>
      </c>
      <c r="Y140" s="5" t="s">
        <v>2859</v>
      </c>
    </row>
    <row r="141" spans="1:25" ht="25.5">
      <c r="A141" s="5" t="s">
        <v>3174</v>
      </c>
      <c r="B141" s="5" t="s">
        <v>223</v>
      </c>
      <c r="C141" s="5" t="s">
        <v>224</v>
      </c>
      <c r="D141" s="5" t="s">
        <v>118</v>
      </c>
      <c r="E141" s="5" t="s">
        <v>2788</v>
      </c>
      <c r="F141" s="5" t="s">
        <v>2758</v>
      </c>
      <c r="G141" s="5">
        <v>1</v>
      </c>
      <c r="H141" s="5" t="s">
        <v>2864</v>
      </c>
      <c r="I141" s="5" t="str">
        <f>IF(INDEX(Manual_Review!$R$6:$R$238,U141)="","",INDEX(Manual_Review!$R$6:$R$238,U141))</f>
        <v/>
      </c>
      <c r="J141" s="5" t="str">
        <f t="shared" si="4"/>
        <v>AI provisional</v>
      </c>
      <c r="K141" s="5" t="str">
        <f t="shared" si="5"/>
        <v>U</v>
      </c>
      <c r="L141" s="5" t="s">
        <v>232</v>
      </c>
      <c r="M141" s="5" t="s">
        <v>3175</v>
      </c>
      <c r="N141" s="5" t="s">
        <v>3162</v>
      </c>
      <c r="O141" s="5" t="s">
        <v>2880</v>
      </c>
      <c r="P141" s="5" t="s">
        <v>2858</v>
      </c>
      <c r="Q141" s="11">
        <v>46306.5</v>
      </c>
      <c r="R141" s="6"/>
      <c r="S141" s="6"/>
      <c r="T141" s="6"/>
      <c r="U141" s="5">
        <f>MATCH(B141,Manual_Review!$A$6:$A$238,0)</f>
        <v>9</v>
      </c>
      <c r="V141" s="5" t="str">
        <f>IF(INDEX(Manual_Review!$G$6:$G$238,U141)="","",INDEX(Manual_Review!$G$6:$G$238,U141))</f>
        <v/>
      </c>
      <c r="W141" s="11" t="str">
        <f>IF(INDEX(Manual_Review!$H$6:$H$238,U141)="","",INDEX(Manual_Review!$H$6:$H$238,U141))</f>
        <v/>
      </c>
      <c r="X141" s="5" t="str">
        <f>IF(INDEX(Manual_Review!$I$6:$I$238,U141)="","",INDEX(Manual_Review!$I$6:$I$238,U141))</f>
        <v/>
      </c>
      <c r="Y141" s="5" t="s">
        <v>2859</v>
      </c>
    </row>
    <row r="142" spans="1:25" ht="25.5">
      <c r="A142" s="5" t="s">
        <v>3176</v>
      </c>
      <c r="B142" s="5" t="s">
        <v>223</v>
      </c>
      <c r="C142" s="5" t="s">
        <v>224</v>
      </c>
      <c r="D142" s="5" t="s">
        <v>118</v>
      </c>
      <c r="E142" s="5" t="s">
        <v>2789</v>
      </c>
      <c r="F142" s="5" t="s">
        <v>2758</v>
      </c>
      <c r="G142" s="5">
        <v>1</v>
      </c>
      <c r="H142" s="5" t="s">
        <v>2854</v>
      </c>
      <c r="I142" s="5" t="str">
        <f>IF(INDEX(Manual_Review!$S$6:$S$238,U142)="","",INDEX(Manual_Review!$S$6:$S$238,U142))</f>
        <v/>
      </c>
      <c r="J142" s="5" t="str">
        <f t="shared" si="4"/>
        <v>AI provisional</v>
      </c>
      <c r="K142" s="5" t="str">
        <f t="shared" si="5"/>
        <v>Y</v>
      </c>
      <c r="L142" s="5" t="s">
        <v>232</v>
      </c>
      <c r="M142" s="5" t="s">
        <v>3177</v>
      </c>
      <c r="N142" s="5" t="s">
        <v>3162</v>
      </c>
      <c r="O142" s="5" t="s">
        <v>3178</v>
      </c>
      <c r="P142" s="5" t="s">
        <v>2858</v>
      </c>
      <c r="Q142" s="11">
        <v>46306.5</v>
      </c>
      <c r="R142" s="6"/>
      <c r="S142" s="6"/>
      <c r="T142" s="6"/>
      <c r="U142" s="5">
        <f>MATCH(B142,Manual_Review!$A$6:$A$238,0)</f>
        <v>9</v>
      </c>
      <c r="V142" s="5" t="str">
        <f>IF(INDEX(Manual_Review!$G$6:$G$238,U142)="","",INDEX(Manual_Review!$G$6:$G$238,U142))</f>
        <v/>
      </c>
      <c r="W142" s="11" t="str">
        <f>IF(INDEX(Manual_Review!$H$6:$H$238,U142)="","",INDEX(Manual_Review!$H$6:$H$238,U142))</f>
        <v/>
      </c>
      <c r="X142" s="5" t="str">
        <f>IF(INDEX(Manual_Review!$I$6:$I$238,U142)="","",INDEX(Manual_Review!$I$6:$I$238,U142))</f>
        <v/>
      </c>
      <c r="Y142" s="5" t="s">
        <v>2859</v>
      </c>
    </row>
    <row r="143" spans="1:25" ht="25.5">
      <c r="A143" s="5" t="s">
        <v>3179</v>
      </c>
      <c r="B143" s="5" t="s">
        <v>223</v>
      </c>
      <c r="C143" s="5" t="s">
        <v>224</v>
      </c>
      <c r="D143" s="5" t="s">
        <v>118</v>
      </c>
      <c r="E143" s="5" t="s">
        <v>2790</v>
      </c>
      <c r="F143" s="5" t="s">
        <v>2760</v>
      </c>
      <c r="G143" s="5">
        <v>1</v>
      </c>
      <c r="H143" s="5" t="s">
        <v>2854</v>
      </c>
      <c r="I143" s="5" t="str">
        <f>IF(INDEX(Manual_Review!$T$6:$T$238,U143)="","",INDEX(Manual_Review!$T$6:$T$238,U143))</f>
        <v/>
      </c>
      <c r="J143" s="5" t="str">
        <f t="shared" si="4"/>
        <v>AI provisional</v>
      </c>
      <c r="K143" s="5" t="str">
        <f t="shared" si="5"/>
        <v>Y</v>
      </c>
      <c r="L143" s="5" t="s">
        <v>232</v>
      </c>
      <c r="M143" s="5" t="s">
        <v>3180</v>
      </c>
      <c r="N143" s="5" t="s">
        <v>3162</v>
      </c>
      <c r="O143" s="5" t="s">
        <v>2976</v>
      </c>
      <c r="P143" s="5" t="s">
        <v>2858</v>
      </c>
      <c r="Q143" s="11">
        <v>46306.5</v>
      </c>
      <c r="R143" s="6"/>
      <c r="S143" s="6"/>
      <c r="T143" s="6"/>
      <c r="U143" s="5">
        <f>MATCH(B143,Manual_Review!$A$6:$A$238,0)</f>
        <v>9</v>
      </c>
      <c r="V143" s="5" t="str">
        <f>IF(INDEX(Manual_Review!$G$6:$G$238,U143)="","",INDEX(Manual_Review!$G$6:$G$238,U143))</f>
        <v/>
      </c>
      <c r="W143" s="11" t="str">
        <f>IF(INDEX(Manual_Review!$H$6:$H$238,U143)="","",INDEX(Manual_Review!$H$6:$H$238,U143))</f>
        <v/>
      </c>
      <c r="X143" s="5" t="str">
        <f>IF(INDEX(Manual_Review!$I$6:$I$238,U143)="","",INDEX(Manual_Review!$I$6:$I$238,U143))</f>
        <v/>
      </c>
      <c r="Y143" s="5" t="s">
        <v>2859</v>
      </c>
    </row>
    <row r="144" spans="1:25" ht="25.5">
      <c r="A144" s="5" t="s">
        <v>3181</v>
      </c>
      <c r="B144" s="5" t="s">
        <v>223</v>
      </c>
      <c r="C144" s="5" t="s">
        <v>224</v>
      </c>
      <c r="D144" s="5" t="s">
        <v>118</v>
      </c>
      <c r="E144" s="5" t="s">
        <v>2791</v>
      </c>
      <c r="F144" s="5" t="s">
        <v>2760</v>
      </c>
      <c r="G144" s="5">
        <v>1</v>
      </c>
      <c r="H144" s="5" t="s">
        <v>2864</v>
      </c>
      <c r="I144" s="5" t="str">
        <f>IF(INDEX(Manual_Review!$U$6:$U$238,U144)="","",INDEX(Manual_Review!$U$6:$U$238,U144))</f>
        <v/>
      </c>
      <c r="J144" s="5" t="str">
        <f t="shared" si="4"/>
        <v>AI provisional</v>
      </c>
      <c r="K144" s="5" t="str">
        <f t="shared" si="5"/>
        <v>U</v>
      </c>
      <c r="L144" s="5" t="s">
        <v>232</v>
      </c>
      <c r="M144" s="5" t="s">
        <v>3182</v>
      </c>
      <c r="N144" s="5" t="s">
        <v>3162</v>
      </c>
      <c r="O144" s="5" t="s">
        <v>2888</v>
      </c>
      <c r="P144" s="5" t="s">
        <v>2858</v>
      </c>
      <c r="Q144" s="11">
        <v>46306.5</v>
      </c>
      <c r="R144" s="6"/>
      <c r="S144" s="6"/>
      <c r="T144" s="6"/>
      <c r="U144" s="5">
        <f>MATCH(B144,Manual_Review!$A$6:$A$238,0)</f>
        <v>9</v>
      </c>
      <c r="V144" s="5" t="str">
        <f>IF(INDEX(Manual_Review!$G$6:$G$238,U144)="","",INDEX(Manual_Review!$G$6:$G$238,U144))</f>
        <v/>
      </c>
      <c r="W144" s="11" t="str">
        <f>IF(INDEX(Manual_Review!$H$6:$H$238,U144)="","",INDEX(Manual_Review!$H$6:$H$238,U144))</f>
        <v/>
      </c>
      <c r="X144" s="5" t="str">
        <f>IF(INDEX(Manual_Review!$I$6:$I$238,U144)="","",INDEX(Manual_Review!$I$6:$I$238,U144))</f>
        <v/>
      </c>
      <c r="Y144" s="5" t="s">
        <v>2859</v>
      </c>
    </row>
    <row r="145" spans="1:25" ht="25.5">
      <c r="A145" s="5" t="s">
        <v>3183</v>
      </c>
      <c r="B145" s="5" t="s">
        <v>223</v>
      </c>
      <c r="C145" s="5" t="s">
        <v>224</v>
      </c>
      <c r="D145" s="5" t="s">
        <v>118</v>
      </c>
      <c r="E145" s="5" t="s">
        <v>2792</v>
      </c>
      <c r="F145" s="5" t="s">
        <v>2762</v>
      </c>
      <c r="G145" s="5">
        <v>1</v>
      </c>
      <c r="H145" s="5" t="s">
        <v>2864</v>
      </c>
      <c r="I145" s="5" t="str">
        <f>IF(INDEX(Manual_Review!$V$6:$V$238,U145)="","",INDEX(Manual_Review!$V$6:$V$238,U145))</f>
        <v/>
      </c>
      <c r="J145" s="5" t="str">
        <f t="shared" si="4"/>
        <v>AI provisional</v>
      </c>
      <c r="K145" s="5" t="str">
        <f t="shared" si="5"/>
        <v>U</v>
      </c>
      <c r="L145" s="5" t="s">
        <v>232</v>
      </c>
      <c r="M145" s="5" t="s">
        <v>3184</v>
      </c>
      <c r="N145" s="5" t="s">
        <v>3162</v>
      </c>
      <c r="O145" s="5" t="s">
        <v>2891</v>
      </c>
      <c r="P145" s="5" t="s">
        <v>2858</v>
      </c>
      <c r="Q145" s="11">
        <v>46306.5</v>
      </c>
      <c r="R145" s="6"/>
      <c r="S145" s="6"/>
      <c r="T145" s="6"/>
      <c r="U145" s="5">
        <f>MATCH(B145,Manual_Review!$A$6:$A$238,0)</f>
        <v>9</v>
      </c>
      <c r="V145" s="5" t="str">
        <f>IF(INDEX(Manual_Review!$G$6:$G$238,U145)="","",INDEX(Manual_Review!$G$6:$G$238,U145))</f>
        <v/>
      </c>
      <c r="W145" s="11" t="str">
        <f>IF(INDEX(Manual_Review!$H$6:$H$238,U145)="","",INDEX(Manual_Review!$H$6:$H$238,U145))</f>
        <v/>
      </c>
      <c r="X145" s="5" t="str">
        <f>IF(INDEX(Manual_Review!$I$6:$I$238,U145)="","",INDEX(Manual_Review!$I$6:$I$238,U145))</f>
        <v/>
      </c>
      <c r="Y145" s="5" t="s">
        <v>2859</v>
      </c>
    </row>
    <row r="146" spans="1:25" ht="25.5">
      <c r="A146" s="5" t="s">
        <v>3185</v>
      </c>
      <c r="B146" s="5" t="s">
        <v>223</v>
      </c>
      <c r="C146" s="5" t="s">
        <v>224</v>
      </c>
      <c r="D146" s="5" t="s">
        <v>118</v>
      </c>
      <c r="E146" s="5" t="s">
        <v>2793</v>
      </c>
      <c r="F146" s="5" t="s">
        <v>2762</v>
      </c>
      <c r="G146" s="5">
        <v>1</v>
      </c>
      <c r="H146" s="5" t="s">
        <v>2864</v>
      </c>
      <c r="I146" s="5" t="str">
        <f>IF(INDEX(Manual_Review!$W$6:$W$238,U146)="","",INDEX(Manual_Review!$W$6:$W$238,U146))</f>
        <v/>
      </c>
      <c r="J146" s="5" t="str">
        <f t="shared" si="4"/>
        <v>AI provisional</v>
      </c>
      <c r="K146" s="5" t="str">
        <f t="shared" si="5"/>
        <v>U</v>
      </c>
      <c r="L146" s="5" t="s">
        <v>232</v>
      </c>
      <c r="M146" s="5" t="s">
        <v>3186</v>
      </c>
      <c r="N146" s="5" t="s">
        <v>3162</v>
      </c>
      <c r="O146" s="5" t="s">
        <v>2893</v>
      </c>
      <c r="P146" s="5" t="s">
        <v>2858</v>
      </c>
      <c r="Q146" s="11">
        <v>46306.5</v>
      </c>
      <c r="R146" s="6"/>
      <c r="S146" s="6"/>
      <c r="T146" s="6"/>
      <c r="U146" s="5">
        <f>MATCH(B146,Manual_Review!$A$6:$A$238,0)</f>
        <v>9</v>
      </c>
      <c r="V146" s="5" t="str">
        <f>IF(INDEX(Manual_Review!$G$6:$G$238,U146)="","",INDEX(Manual_Review!$G$6:$G$238,U146))</f>
        <v/>
      </c>
      <c r="W146" s="11" t="str">
        <f>IF(INDEX(Manual_Review!$H$6:$H$238,U146)="","",INDEX(Manual_Review!$H$6:$H$238,U146))</f>
        <v/>
      </c>
      <c r="X146" s="5" t="str">
        <f>IF(INDEX(Manual_Review!$I$6:$I$238,U146)="","",INDEX(Manual_Review!$I$6:$I$238,U146))</f>
        <v/>
      </c>
      <c r="Y146" s="5" t="s">
        <v>2859</v>
      </c>
    </row>
    <row r="147" spans="1:25" ht="25.5">
      <c r="A147" s="5" t="s">
        <v>3187</v>
      </c>
      <c r="B147" s="5" t="s">
        <v>223</v>
      </c>
      <c r="C147" s="5" t="s">
        <v>224</v>
      </c>
      <c r="D147" s="5" t="s">
        <v>118</v>
      </c>
      <c r="E147" s="5" t="s">
        <v>2794</v>
      </c>
      <c r="F147" s="5" t="s">
        <v>2764</v>
      </c>
      <c r="G147" s="5">
        <v>1</v>
      </c>
      <c r="H147" s="5" t="s">
        <v>2854</v>
      </c>
      <c r="I147" s="5" t="str">
        <f>IF(INDEX(Manual_Review!$X$6:$X$238,U147)="","",INDEX(Manual_Review!$X$6:$X$238,U147))</f>
        <v/>
      </c>
      <c r="J147" s="5" t="str">
        <f t="shared" si="4"/>
        <v>AI provisional</v>
      </c>
      <c r="K147" s="5" t="str">
        <f t="shared" si="5"/>
        <v>Y</v>
      </c>
      <c r="L147" s="5" t="s">
        <v>232</v>
      </c>
      <c r="M147" s="5" t="s">
        <v>3188</v>
      </c>
      <c r="N147" s="5" t="s">
        <v>3162</v>
      </c>
      <c r="O147" s="5" t="s">
        <v>2984</v>
      </c>
      <c r="P147" s="5" t="s">
        <v>2858</v>
      </c>
      <c r="Q147" s="11">
        <v>46306.5</v>
      </c>
      <c r="R147" s="6"/>
      <c r="S147" s="6"/>
      <c r="T147" s="6"/>
      <c r="U147" s="5">
        <f>MATCH(B147,Manual_Review!$A$6:$A$238,0)</f>
        <v>9</v>
      </c>
      <c r="V147" s="5" t="str">
        <f>IF(INDEX(Manual_Review!$G$6:$G$238,U147)="","",INDEX(Manual_Review!$G$6:$G$238,U147))</f>
        <v/>
      </c>
      <c r="W147" s="11" t="str">
        <f>IF(INDEX(Manual_Review!$H$6:$H$238,U147)="","",INDEX(Manual_Review!$H$6:$H$238,U147))</f>
        <v/>
      </c>
      <c r="X147" s="5" t="str">
        <f>IF(INDEX(Manual_Review!$I$6:$I$238,U147)="","",INDEX(Manual_Review!$I$6:$I$238,U147))</f>
        <v/>
      </c>
      <c r="Y147" s="5" t="s">
        <v>2859</v>
      </c>
    </row>
    <row r="148" spans="1:25" ht="25.5">
      <c r="A148" s="5" t="s">
        <v>3189</v>
      </c>
      <c r="B148" s="5" t="s">
        <v>223</v>
      </c>
      <c r="C148" s="5" t="s">
        <v>224</v>
      </c>
      <c r="D148" s="5" t="s">
        <v>118</v>
      </c>
      <c r="E148" s="5" t="s">
        <v>2795</v>
      </c>
      <c r="F148" s="5" t="s">
        <v>2764</v>
      </c>
      <c r="G148" s="5">
        <v>1</v>
      </c>
      <c r="H148" s="5" t="s">
        <v>2864</v>
      </c>
      <c r="I148" s="5" t="str">
        <f>IF(INDEX(Manual_Review!$Y$6:$Y$238,U148)="","",INDEX(Manual_Review!$Y$6:$Y$238,U148))</f>
        <v/>
      </c>
      <c r="J148" s="5" t="str">
        <f t="shared" si="4"/>
        <v>AI provisional</v>
      </c>
      <c r="K148" s="5" t="str">
        <f t="shared" si="5"/>
        <v>U</v>
      </c>
      <c r="L148" s="5" t="s">
        <v>232</v>
      </c>
      <c r="M148" s="5" t="s">
        <v>3190</v>
      </c>
      <c r="N148" s="5" t="s">
        <v>3162</v>
      </c>
      <c r="O148" s="5" t="s">
        <v>2897</v>
      </c>
      <c r="P148" s="5" t="s">
        <v>2858</v>
      </c>
      <c r="Q148" s="11">
        <v>46306.5</v>
      </c>
      <c r="R148" s="6"/>
      <c r="S148" s="6"/>
      <c r="T148" s="6"/>
      <c r="U148" s="5">
        <f>MATCH(B148,Manual_Review!$A$6:$A$238,0)</f>
        <v>9</v>
      </c>
      <c r="V148" s="5" t="str">
        <f>IF(INDEX(Manual_Review!$G$6:$G$238,U148)="","",INDEX(Manual_Review!$G$6:$G$238,U148))</f>
        <v/>
      </c>
      <c r="W148" s="11" t="str">
        <f>IF(INDEX(Manual_Review!$H$6:$H$238,U148)="","",INDEX(Manual_Review!$H$6:$H$238,U148))</f>
        <v/>
      </c>
      <c r="X148" s="5" t="str">
        <f>IF(INDEX(Manual_Review!$I$6:$I$238,U148)="","",INDEX(Manual_Review!$I$6:$I$238,U148))</f>
        <v/>
      </c>
      <c r="Y148" s="5" t="s">
        <v>2859</v>
      </c>
    </row>
    <row r="149" spans="1:25" ht="25.5">
      <c r="A149" s="5" t="s">
        <v>3191</v>
      </c>
      <c r="B149" s="5" t="s">
        <v>223</v>
      </c>
      <c r="C149" s="5" t="s">
        <v>224</v>
      </c>
      <c r="D149" s="5" t="s">
        <v>118</v>
      </c>
      <c r="E149" s="5" t="s">
        <v>2796</v>
      </c>
      <c r="F149" s="5" t="s">
        <v>2764</v>
      </c>
      <c r="G149" s="5">
        <v>1</v>
      </c>
      <c r="H149" s="5" t="s">
        <v>2864</v>
      </c>
      <c r="I149" s="5" t="str">
        <f>IF(INDEX(Manual_Review!$Z$6:$Z$238,U149)="","",INDEX(Manual_Review!$Z$6:$Z$238,U149))</f>
        <v/>
      </c>
      <c r="J149" s="5" t="str">
        <f t="shared" si="4"/>
        <v>AI provisional</v>
      </c>
      <c r="K149" s="5" t="str">
        <f t="shared" si="5"/>
        <v>U</v>
      </c>
      <c r="L149" s="5" t="s">
        <v>232</v>
      </c>
      <c r="M149" s="5" t="s">
        <v>3192</v>
      </c>
      <c r="N149" s="5" t="s">
        <v>3162</v>
      </c>
      <c r="O149" s="5" t="s">
        <v>2899</v>
      </c>
      <c r="P149" s="5" t="s">
        <v>2858</v>
      </c>
      <c r="Q149" s="11">
        <v>46306.5</v>
      </c>
      <c r="R149" s="6"/>
      <c r="S149" s="6"/>
      <c r="T149" s="6"/>
      <c r="U149" s="5">
        <f>MATCH(B149,Manual_Review!$A$6:$A$238,0)</f>
        <v>9</v>
      </c>
      <c r="V149" s="5" t="str">
        <f>IF(INDEX(Manual_Review!$G$6:$G$238,U149)="","",INDEX(Manual_Review!$G$6:$G$238,U149))</f>
        <v/>
      </c>
      <c r="W149" s="11" t="str">
        <f>IF(INDEX(Manual_Review!$H$6:$H$238,U149)="","",INDEX(Manual_Review!$H$6:$H$238,U149))</f>
        <v/>
      </c>
      <c r="X149" s="5" t="str">
        <f>IF(INDEX(Manual_Review!$I$6:$I$238,U149)="","",INDEX(Manual_Review!$I$6:$I$238,U149))</f>
        <v/>
      </c>
      <c r="Y149" s="5" t="s">
        <v>2859</v>
      </c>
    </row>
    <row r="150" spans="1:25" ht="38.25">
      <c r="A150" s="5" t="s">
        <v>3193</v>
      </c>
      <c r="B150" s="5" t="s">
        <v>234</v>
      </c>
      <c r="C150" s="5" t="s">
        <v>235</v>
      </c>
      <c r="D150" s="5" t="s">
        <v>118</v>
      </c>
      <c r="E150" s="5" t="s">
        <v>2781</v>
      </c>
      <c r="F150" s="5" t="s">
        <v>2754</v>
      </c>
      <c r="G150" s="5">
        <v>1</v>
      </c>
      <c r="H150" s="5" t="s">
        <v>2854</v>
      </c>
      <c r="I150" s="5" t="str">
        <f>IF(INDEX(Manual_Review!$K$6:$K$238,U150)="","",INDEX(Manual_Review!$K$6:$K$238,U150))</f>
        <v/>
      </c>
      <c r="J150" s="5" t="str">
        <f t="shared" si="4"/>
        <v>AI provisional</v>
      </c>
      <c r="K150" s="5" t="str">
        <f t="shared" si="5"/>
        <v>Y</v>
      </c>
      <c r="L150" s="5" t="s">
        <v>246</v>
      </c>
      <c r="M150" s="5" t="s">
        <v>3194</v>
      </c>
      <c r="N150" s="5" t="s">
        <v>3195</v>
      </c>
      <c r="O150" s="5" t="s">
        <v>2857</v>
      </c>
      <c r="P150" s="5" t="s">
        <v>2858</v>
      </c>
      <c r="Q150" s="11">
        <v>46306.5</v>
      </c>
      <c r="R150" s="6"/>
      <c r="S150" s="6"/>
      <c r="T150" s="6"/>
      <c r="U150" s="5">
        <f>MATCH(B150,Manual_Review!$A$6:$A$238,0)</f>
        <v>10</v>
      </c>
      <c r="V150" s="5" t="str">
        <f>IF(INDEX(Manual_Review!$G$6:$G$238,U150)="","",INDEX(Manual_Review!$G$6:$G$238,U150))</f>
        <v/>
      </c>
      <c r="W150" s="11" t="str">
        <f>IF(INDEX(Manual_Review!$H$6:$H$238,U150)="","",INDEX(Manual_Review!$H$6:$H$238,U150))</f>
        <v/>
      </c>
      <c r="X150" s="5" t="str">
        <f>IF(INDEX(Manual_Review!$I$6:$I$238,U150)="","",INDEX(Manual_Review!$I$6:$I$238,U150))</f>
        <v/>
      </c>
      <c r="Y150" s="5" t="s">
        <v>2859</v>
      </c>
    </row>
    <row r="151" spans="1:25" ht="38.25">
      <c r="A151" s="5" t="s">
        <v>3196</v>
      </c>
      <c r="B151" s="5" t="s">
        <v>234</v>
      </c>
      <c r="C151" s="5" t="s">
        <v>235</v>
      </c>
      <c r="D151" s="5" t="s">
        <v>118</v>
      </c>
      <c r="E151" s="5" t="s">
        <v>2782</v>
      </c>
      <c r="F151" s="5" t="s">
        <v>2754</v>
      </c>
      <c r="G151" s="5">
        <v>1</v>
      </c>
      <c r="H151" s="5" t="s">
        <v>2854</v>
      </c>
      <c r="I151" s="5" t="str">
        <f>IF(INDEX(Manual_Review!$L$6:$L$238,U151)="","",INDEX(Manual_Review!$L$6:$L$238,U151))</f>
        <v/>
      </c>
      <c r="J151" s="5" t="str">
        <f t="shared" si="4"/>
        <v>AI provisional</v>
      </c>
      <c r="K151" s="5" t="str">
        <f t="shared" si="5"/>
        <v>Y</v>
      </c>
      <c r="L151" s="5" t="s">
        <v>246</v>
      </c>
      <c r="M151" s="5" t="s">
        <v>3197</v>
      </c>
      <c r="N151" s="5" t="s">
        <v>3195</v>
      </c>
      <c r="O151" s="5" t="s">
        <v>2862</v>
      </c>
      <c r="P151" s="5" t="s">
        <v>2858</v>
      </c>
      <c r="Q151" s="11">
        <v>46306.5</v>
      </c>
      <c r="R151" s="6"/>
      <c r="S151" s="6"/>
      <c r="T151" s="6"/>
      <c r="U151" s="5">
        <f>MATCH(B151,Manual_Review!$A$6:$A$238,0)</f>
        <v>10</v>
      </c>
      <c r="V151" s="5" t="str">
        <f>IF(INDEX(Manual_Review!$G$6:$G$238,U151)="","",INDEX(Manual_Review!$G$6:$G$238,U151))</f>
        <v/>
      </c>
      <c r="W151" s="11" t="str">
        <f>IF(INDEX(Manual_Review!$H$6:$H$238,U151)="","",INDEX(Manual_Review!$H$6:$H$238,U151))</f>
        <v/>
      </c>
      <c r="X151" s="5" t="str">
        <f>IF(INDEX(Manual_Review!$I$6:$I$238,U151)="","",INDEX(Manual_Review!$I$6:$I$238,U151))</f>
        <v/>
      </c>
      <c r="Y151" s="5" t="s">
        <v>2859</v>
      </c>
    </row>
    <row r="152" spans="1:25" ht="38.25">
      <c r="A152" s="5" t="s">
        <v>3198</v>
      </c>
      <c r="B152" s="5" t="s">
        <v>234</v>
      </c>
      <c r="C152" s="5" t="s">
        <v>235</v>
      </c>
      <c r="D152" s="5" t="s">
        <v>118</v>
      </c>
      <c r="E152" s="5" t="s">
        <v>2783</v>
      </c>
      <c r="F152" s="5" t="s">
        <v>2754</v>
      </c>
      <c r="G152" s="5">
        <v>1</v>
      </c>
      <c r="H152" s="5" t="s">
        <v>2854</v>
      </c>
      <c r="I152" s="5" t="str">
        <f>IF(INDEX(Manual_Review!$M$6:$M$238,U152)="","",INDEX(Manual_Review!$M$6:$M$238,U152))</f>
        <v/>
      </c>
      <c r="J152" s="5" t="str">
        <f t="shared" si="4"/>
        <v>AI provisional</v>
      </c>
      <c r="K152" s="5" t="str">
        <f t="shared" si="5"/>
        <v>Y</v>
      </c>
      <c r="L152" s="5" t="s">
        <v>246</v>
      </c>
      <c r="M152" s="5" t="s">
        <v>3199</v>
      </c>
      <c r="N152" s="5" t="s">
        <v>3195</v>
      </c>
      <c r="O152" s="5" t="s">
        <v>3133</v>
      </c>
      <c r="P152" s="5" t="s">
        <v>2858</v>
      </c>
      <c r="Q152" s="11">
        <v>46306.5</v>
      </c>
      <c r="R152" s="6"/>
      <c r="S152" s="6"/>
      <c r="T152" s="6"/>
      <c r="U152" s="5">
        <f>MATCH(B152,Manual_Review!$A$6:$A$238,0)</f>
        <v>10</v>
      </c>
      <c r="V152" s="5" t="str">
        <f>IF(INDEX(Manual_Review!$G$6:$G$238,U152)="","",INDEX(Manual_Review!$G$6:$G$238,U152))</f>
        <v/>
      </c>
      <c r="W152" s="11" t="str">
        <f>IF(INDEX(Manual_Review!$H$6:$H$238,U152)="","",INDEX(Manual_Review!$H$6:$H$238,U152))</f>
        <v/>
      </c>
      <c r="X152" s="5" t="str">
        <f>IF(INDEX(Manual_Review!$I$6:$I$238,U152)="","",INDEX(Manual_Review!$I$6:$I$238,U152))</f>
        <v/>
      </c>
      <c r="Y152" s="5" t="s">
        <v>2859</v>
      </c>
    </row>
    <row r="153" spans="1:25" ht="38.25">
      <c r="A153" s="5" t="s">
        <v>3200</v>
      </c>
      <c r="B153" s="5" t="s">
        <v>234</v>
      </c>
      <c r="C153" s="5" t="s">
        <v>235</v>
      </c>
      <c r="D153" s="5" t="s">
        <v>118</v>
      </c>
      <c r="E153" s="5" t="s">
        <v>2784</v>
      </c>
      <c r="F153" s="5" t="s">
        <v>2756</v>
      </c>
      <c r="G153" s="5">
        <v>1</v>
      </c>
      <c r="H153" s="5" t="s">
        <v>2854</v>
      </c>
      <c r="I153" s="5" t="str">
        <f>IF(INDEX(Manual_Review!$N$6:$N$238,U153)="","",INDEX(Manual_Review!$N$6:$N$238,U153))</f>
        <v/>
      </c>
      <c r="J153" s="5" t="str">
        <f t="shared" si="4"/>
        <v>AI provisional</v>
      </c>
      <c r="K153" s="5" t="str">
        <f t="shared" si="5"/>
        <v>Y</v>
      </c>
      <c r="L153" s="5" t="s">
        <v>246</v>
      </c>
      <c r="M153" s="5" t="s">
        <v>3201</v>
      </c>
      <c r="N153" s="5" t="s">
        <v>3195</v>
      </c>
      <c r="O153" s="5" t="s">
        <v>2963</v>
      </c>
      <c r="P153" s="5" t="s">
        <v>2858</v>
      </c>
      <c r="Q153" s="11">
        <v>46306.5</v>
      </c>
      <c r="R153" s="6"/>
      <c r="S153" s="6"/>
      <c r="T153" s="6"/>
      <c r="U153" s="5">
        <f>MATCH(B153,Manual_Review!$A$6:$A$238,0)</f>
        <v>10</v>
      </c>
      <c r="V153" s="5" t="str">
        <f>IF(INDEX(Manual_Review!$G$6:$G$238,U153)="","",INDEX(Manual_Review!$G$6:$G$238,U153))</f>
        <v/>
      </c>
      <c r="W153" s="11" t="str">
        <f>IF(INDEX(Manual_Review!$H$6:$H$238,U153)="","",INDEX(Manual_Review!$H$6:$H$238,U153))</f>
        <v/>
      </c>
      <c r="X153" s="5" t="str">
        <f>IF(INDEX(Manual_Review!$I$6:$I$238,U153)="","",INDEX(Manual_Review!$I$6:$I$238,U153))</f>
        <v/>
      </c>
      <c r="Y153" s="5" t="s">
        <v>2859</v>
      </c>
    </row>
    <row r="154" spans="1:25" ht="38.25">
      <c r="A154" s="5" t="s">
        <v>3202</v>
      </c>
      <c r="B154" s="5" t="s">
        <v>234</v>
      </c>
      <c r="C154" s="5" t="s">
        <v>235</v>
      </c>
      <c r="D154" s="5" t="s">
        <v>118</v>
      </c>
      <c r="E154" s="5" t="s">
        <v>2785</v>
      </c>
      <c r="F154" s="5" t="s">
        <v>2756</v>
      </c>
      <c r="G154" s="5">
        <v>1</v>
      </c>
      <c r="H154" s="5" t="s">
        <v>2854</v>
      </c>
      <c r="I154" s="5" t="str">
        <f>IF(INDEX(Manual_Review!$O$6:$O$238,U154)="","",INDEX(Manual_Review!$O$6:$O$238,U154))</f>
        <v/>
      </c>
      <c r="J154" s="5" t="str">
        <f t="shared" si="4"/>
        <v>AI provisional</v>
      </c>
      <c r="K154" s="5" t="str">
        <f t="shared" si="5"/>
        <v>Y</v>
      </c>
      <c r="L154" s="5" t="s">
        <v>246</v>
      </c>
      <c r="M154" s="5" t="s">
        <v>3203</v>
      </c>
      <c r="N154" s="5" t="s">
        <v>3195</v>
      </c>
      <c r="O154" s="5" t="s">
        <v>3138</v>
      </c>
      <c r="P154" s="5" t="s">
        <v>2858</v>
      </c>
      <c r="Q154" s="11">
        <v>46306.5</v>
      </c>
      <c r="R154" s="6"/>
      <c r="S154" s="6"/>
      <c r="T154" s="6"/>
      <c r="U154" s="5">
        <f>MATCH(B154,Manual_Review!$A$6:$A$238,0)</f>
        <v>10</v>
      </c>
      <c r="V154" s="5" t="str">
        <f>IF(INDEX(Manual_Review!$G$6:$G$238,U154)="","",INDEX(Manual_Review!$G$6:$G$238,U154))</f>
        <v/>
      </c>
      <c r="W154" s="11" t="str">
        <f>IF(INDEX(Manual_Review!$H$6:$H$238,U154)="","",INDEX(Manual_Review!$H$6:$H$238,U154))</f>
        <v/>
      </c>
      <c r="X154" s="5" t="str">
        <f>IF(INDEX(Manual_Review!$I$6:$I$238,U154)="","",INDEX(Manual_Review!$I$6:$I$238,U154))</f>
        <v/>
      </c>
      <c r="Y154" s="5" t="s">
        <v>2859</v>
      </c>
    </row>
    <row r="155" spans="1:25" ht="38.25">
      <c r="A155" s="5" t="s">
        <v>3204</v>
      </c>
      <c r="B155" s="5" t="s">
        <v>234</v>
      </c>
      <c r="C155" s="5" t="s">
        <v>235</v>
      </c>
      <c r="D155" s="5" t="s">
        <v>118</v>
      </c>
      <c r="E155" s="5" t="s">
        <v>2786</v>
      </c>
      <c r="F155" s="5" t="s">
        <v>2756</v>
      </c>
      <c r="G155" s="5">
        <v>1</v>
      </c>
      <c r="H155" s="5" t="s">
        <v>2864</v>
      </c>
      <c r="I155" s="5" t="str">
        <f>IF(INDEX(Manual_Review!$P$6:$P$238,U155)="","",INDEX(Manual_Review!$P$6:$P$238,U155))</f>
        <v/>
      </c>
      <c r="J155" s="5" t="str">
        <f t="shared" si="4"/>
        <v>AI provisional</v>
      </c>
      <c r="K155" s="5" t="str">
        <f t="shared" si="5"/>
        <v>U</v>
      </c>
      <c r="L155" s="5" t="s">
        <v>246</v>
      </c>
      <c r="M155" s="5" t="s">
        <v>3205</v>
      </c>
      <c r="N155" s="5" t="s">
        <v>3195</v>
      </c>
      <c r="O155" s="5" t="s">
        <v>2874</v>
      </c>
      <c r="P155" s="5" t="s">
        <v>2858</v>
      </c>
      <c r="Q155" s="11">
        <v>46306.5</v>
      </c>
      <c r="R155" s="6"/>
      <c r="S155" s="6"/>
      <c r="T155" s="6"/>
      <c r="U155" s="5">
        <f>MATCH(B155,Manual_Review!$A$6:$A$238,0)</f>
        <v>10</v>
      </c>
      <c r="V155" s="5" t="str">
        <f>IF(INDEX(Manual_Review!$G$6:$G$238,U155)="","",INDEX(Manual_Review!$G$6:$G$238,U155))</f>
        <v/>
      </c>
      <c r="W155" s="11" t="str">
        <f>IF(INDEX(Manual_Review!$H$6:$H$238,U155)="","",INDEX(Manual_Review!$H$6:$H$238,U155))</f>
        <v/>
      </c>
      <c r="X155" s="5" t="str">
        <f>IF(INDEX(Manual_Review!$I$6:$I$238,U155)="","",INDEX(Manual_Review!$I$6:$I$238,U155))</f>
        <v/>
      </c>
      <c r="Y155" s="5" t="s">
        <v>2859</v>
      </c>
    </row>
    <row r="156" spans="1:25" ht="38.25">
      <c r="A156" s="5" t="s">
        <v>3206</v>
      </c>
      <c r="B156" s="5" t="s">
        <v>234</v>
      </c>
      <c r="C156" s="5" t="s">
        <v>235</v>
      </c>
      <c r="D156" s="5" t="s">
        <v>118</v>
      </c>
      <c r="E156" s="5" t="s">
        <v>2787</v>
      </c>
      <c r="F156" s="5" t="s">
        <v>2758</v>
      </c>
      <c r="G156" s="5">
        <v>1</v>
      </c>
      <c r="H156" s="5" t="s">
        <v>2864</v>
      </c>
      <c r="I156" s="5" t="str">
        <f>IF(INDEX(Manual_Review!$Q$6:$Q$238,U156)="","",INDEX(Manual_Review!$Q$6:$Q$238,U156))</f>
        <v/>
      </c>
      <c r="J156" s="5" t="str">
        <f t="shared" si="4"/>
        <v>AI provisional</v>
      </c>
      <c r="K156" s="5" t="str">
        <f t="shared" si="5"/>
        <v>U</v>
      </c>
      <c r="L156" s="5" t="s">
        <v>246</v>
      </c>
      <c r="M156" s="5" t="s">
        <v>3207</v>
      </c>
      <c r="N156" s="5" t="s">
        <v>3195</v>
      </c>
      <c r="O156" s="5" t="s">
        <v>2877</v>
      </c>
      <c r="P156" s="5" t="s">
        <v>2858</v>
      </c>
      <c r="Q156" s="11">
        <v>46306.5</v>
      </c>
      <c r="R156" s="6"/>
      <c r="S156" s="6"/>
      <c r="T156" s="6"/>
      <c r="U156" s="5">
        <f>MATCH(B156,Manual_Review!$A$6:$A$238,0)</f>
        <v>10</v>
      </c>
      <c r="V156" s="5" t="str">
        <f>IF(INDEX(Manual_Review!$G$6:$G$238,U156)="","",INDEX(Manual_Review!$G$6:$G$238,U156))</f>
        <v/>
      </c>
      <c r="W156" s="11" t="str">
        <f>IF(INDEX(Manual_Review!$H$6:$H$238,U156)="","",INDEX(Manual_Review!$H$6:$H$238,U156))</f>
        <v/>
      </c>
      <c r="X156" s="5" t="str">
        <f>IF(INDEX(Manual_Review!$I$6:$I$238,U156)="","",INDEX(Manual_Review!$I$6:$I$238,U156))</f>
        <v/>
      </c>
      <c r="Y156" s="5" t="s">
        <v>2859</v>
      </c>
    </row>
    <row r="157" spans="1:25" ht="38.25">
      <c r="A157" s="5" t="s">
        <v>3208</v>
      </c>
      <c r="B157" s="5" t="s">
        <v>234</v>
      </c>
      <c r="C157" s="5" t="s">
        <v>235</v>
      </c>
      <c r="D157" s="5" t="s">
        <v>118</v>
      </c>
      <c r="E157" s="5" t="s">
        <v>2788</v>
      </c>
      <c r="F157" s="5" t="s">
        <v>2758</v>
      </c>
      <c r="G157" s="5">
        <v>1</v>
      </c>
      <c r="H157" s="5" t="s">
        <v>2854</v>
      </c>
      <c r="I157" s="5" t="str">
        <f>IF(INDEX(Manual_Review!$R$6:$R$238,U157)="","",INDEX(Manual_Review!$R$6:$R$238,U157))</f>
        <v/>
      </c>
      <c r="J157" s="5" t="str">
        <f t="shared" si="4"/>
        <v>AI provisional</v>
      </c>
      <c r="K157" s="5" t="str">
        <f t="shared" si="5"/>
        <v>Y</v>
      </c>
      <c r="L157" s="5" t="s">
        <v>246</v>
      </c>
      <c r="M157" s="5" t="s">
        <v>3209</v>
      </c>
      <c r="N157" s="5" t="s">
        <v>3195</v>
      </c>
      <c r="O157" s="5" t="s">
        <v>3067</v>
      </c>
      <c r="P157" s="5" t="s">
        <v>2858</v>
      </c>
      <c r="Q157" s="11">
        <v>46306.5</v>
      </c>
      <c r="R157" s="6"/>
      <c r="S157" s="6"/>
      <c r="T157" s="6"/>
      <c r="U157" s="5">
        <f>MATCH(B157,Manual_Review!$A$6:$A$238,0)</f>
        <v>10</v>
      </c>
      <c r="V157" s="5" t="str">
        <f>IF(INDEX(Manual_Review!$G$6:$G$238,U157)="","",INDEX(Manual_Review!$G$6:$G$238,U157))</f>
        <v/>
      </c>
      <c r="W157" s="11" t="str">
        <f>IF(INDEX(Manual_Review!$H$6:$H$238,U157)="","",INDEX(Manual_Review!$H$6:$H$238,U157))</f>
        <v/>
      </c>
      <c r="X157" s="5" t="str">
        <f>IF(INDEX(Manual_Review!$I$6:$I$238,U157)="","",INDEX(Manual_Review!$I$6:$I$238,U157))</f>
        <v/>
      </c>
      <c r="Y157" s="5" t="s">
        <v>2859</v>
      </c>
    </row>
    <row r="158" spans="1:25" ht="38.25">
      <c r="A158" s="5" t="s">
        <v>3210</v>
      </c>
      <c r="B158" s="5" t="s">
        <v>234</v>
      </c>
      <c r="C158" s="5" t="s">
        <v>235</v>
      </c>
      <c r="D158" s="5" t="s">
        <v>118</v>
      </c>
      <c r="E158" s="5" t="s">
        <v>2789</v>
      </c>
      <c r="F158" s="5" t="s">
        <v>2758</v>
      </c>
      <c r="G158" s="5">
        <v>1</v>
      </c>
      <c r="H158" s="5" t="s">
        <v>2864</v>
      </c>
      <c r="I158" s="5" t="str">
        <f>IF(INDEX(Manual_Review!$S$6:$S$238,U158)="","",INDEX(Manual_Review!$S$6:$S$238,U158))</f>
        <v/>
      </c>
      <c r="J158" s="5" t="str">
        <f t="shared" si="4"/>
        <v>AI provisional</v>
      </c>
      <c r="K158" s="5" t="str">
        <f t="shared" si="5"/>
        <v>U</v>
      </c>
      <c r="L158" s="5" t="s">
        <v>246</v>
      </c>
      <c r="M158" s="5" t="s">
        <v>3211</v>
      </c>
      <c r="N158" s="5" t="s">
        <v>3195</v>
      </c>
      <c r="O158" s="5" t="s">
        <v>2883</v>
      </c>
      <c r="P158" s="5" t="s">
        <v>2858</v>
      </c>
      <c r="Q158" s="11">
        <v>46306.5</v>
      </c>
      <c r="R158" s="6"/>
      <c r="S158" s="6"/>
      <c r="T158" s="6"/>
      <c r="U158" s="5">
        <f>MATCH(B158,Manual_Review!$A$6:$A$238,0)</f>
        <v>10</v>
      </c>
      <c r="V158" s="5" t="str">
        <f>IF(INDEX(Manual_Review!$G$6:$G$238,U158)="","",INDEX(Manual_Review!$G$6:$G$238,U158))</f>
        <v/>
      </c>
      <c r="W158" s="11" t="str">
        <f>IF(INDEX(Manual_Review!$H$6:$H$238,U158)="","",INDEX(Manual_Review!$H$6:$H$238,U158))</f>
        <v/>
      </c>
      <c r="X158" s="5" t="str">
        <f>IF(INDEX(Manual_Review!$I$6:$I$238,U158)="","",INDEX(Manual_Review!$I$6:$I$238,U158))</f>
        <v/>
      </c>
      <c r="Y158" s="5" t="s">
        <v>2859</v>
      </c>
    </row>
    <row r="159" spans="1:25" ht="38.25">
      <c r="A159" s="5" t="s">
        <v>3212</v>
      </c>
      <c r="B159" s="5" t="s">
        <v>234</v>
      </c>
      <c r="C159" s="5" t="s">
        <v>235</v>
      </c>
      <c r="D159" s="5" t="s">
        <v>118</v>
      </c>
      <c r="E159" s="5" t="s">
        <v>2790</v>
      </c>
      <c r="F159" s="5" t="s">
        <v>2760</v>
      </c>
      <c r="G159" s="5">
        <v>1</v>
      </c>
      <c r="H159" s="5" t="s">
        <v>2854</v>
      </c>
      <c r="I159" s="5" t="str">
        <f>IF(INDEX(Manual_Review!$T$6:$T$238,U159)="","",INDEX(Manual_Review!$T$6:$T$238,U159))</f>
        <v/>
      </c>
      <c r="J159" s="5" t="str">
        <f t="shared" si="4"/>
        <v>AI provisional</v>
      </c>
      <c r="K159" s="5" t="str">
        <f t="shared" si="5"/>
        <v>Y</v>
      </c>
      <c r="L159" s="5" t="s">
        <v>246</v>
      </c>
      <c r="M159" s="5" t="s">
        <v>3213</v>
      </c>
      <c r="N159" s="5" t="s">
        <v>3195</v>
      </c>
      <c r="O159" s="5" t="s">
        <v>2976</v>
      </c>
      <c r="P159" s="5" t="s">
        <v>2858</v>
      </c>
      <c r="Q159" s="11">
        <v>46306.5</v>
      </c>
      <c r="R159" s="6"/>
      <c r="S159" s="6"/>
      <c r="T159" s="6"/>
      <c r="U159" s="5">
        <f>MATCH(B159,Manual_Review!$A$6:$A$238,0)</f>
        <v>10</v>
      </c>
      <c r="V159" s="5" t="str">
        <f>IF(INDEX(Manual_Review!$G$6:$G$238,U159)="","",INDEX(Manual_Review!$G$6:$G$238,U159))</f>
        <v/>
      </c>
      <c r="W159" s="11" t="str">
        <f>IF(INDEX(Manual_Review!$H$6:$H$238,U159)="","",INDEX(Manual_Review!$H$6:$H$238,U159))</f>
        <v/>
      </c>
      <c r="X159" s="5" t="str">
        <f>IF(INDEX(Manual_Review!$I$6:$I$238,U159)="","",INDEX(Manual_Review!$I$6:$I$238,U159))</f>
        <v/>
      </c>
      <c r="Y159" s="5" t="s">
        <v>2859</v>
      </c>
    </row>
    <row r="160" spans="1:25" ht="38.25">
      <c r="A160" s="5" t="s">
        <v>3214</v>
      </c>
      <c r="B160" s="5" t="s">
        <v>234</v>
      </c>
      <c r="C160" s="5" t="s">
        <v>235</v>
      </c>
      <c r="D160" s="5" t="s">
        <v>118</v>
      </c>
      <c r="E160" s="5" t="s">
        <v>2791</v>
      </c>
      <c r="F160" s="5" t="s">
        <v>2760</v>
      </c>
      <c r="G160" s="5">
        <v>1</v>
      </c>
      <c r="H160" s="5" t="s">
        <v>2864</v>
      </c>
      <c r="I160" s="5" t="str">
        <f>IF(INDEX(Manual_Review!$U$6:$U$238,U160)="","",INDEX(Manual_Review!$U$6:$U$238,U160))</f>
        <v/>
      </c>
      <c r="J160" s="5" t="str">
        <f t="shared" si="4"/>
        <v>AI provisional</v>
      </c>
      <c r="K160" s="5" t="str">
        <f t="shared" si="5"/>
        <v>U</v>
      </c>
      <c r="L160" s="5" t="s">
        <v>246</v>
      </c>
      <c r="M160" s="5" t="s">
        <v>3215</v>
      </c>
      <c r="N160" s="5" t="s">
        <v>3195</v>
      </c>
      <c r="O160" s="5" t="s">
        <v>2888</v>
      </c>
      <c r="P160" s="5" t="s">
        <v>2858</v>
      </c>
      <c r="Q160" s="11">
        <v>46306.5</v>
      </c>
      <c r="R160" s="6"/>
      <c r="S160" s="6"/>
      <c r="T160" s="6"/>
      <c r="U160" s="5">
        <f>MATCH(B160,Manual_Review!$A$6:$A$238,0)</f>
        <v>10</v>
      </c>
      <c r="V160" s="5" t="str">
        <f>IF(INDEX(Manual_Review!$G$6:$G$238,U160)="","",INDEX(Manual_Review!$G$6:$G$238,U160))</f>
        <v/>
      </c>
      <c r="W160" s="11" t="str">
        <f>IF(INDEX(Manual_Review!$H$6:$H$238,U160)="","",INDEX(Manual_Review!$H$6:$H$238,U160))</f>
        <v/>
      </c>
      <c r="X160" s="5" t="str">
        <f>IF(INDEX(Manual_Review!$I$6:$I$238,U160)="","",INDEX(Manual_Review!$I$6:$I$238,U160))</f>
        <v/>
      </c>
      <c r="Y160" s="5" t="s">
        <v>2859</v>
      </c>
    </row>
    <row r="161" spans="1:25" ht="38.25">
      <c r="A161" s="5" t="s">
        <v>3216</v>
      </c>
      <c r="B161" s="5" t="s">
        <v>234</v>
      </c>
      <c r="C161" s="5" t="s">
        <v>235</v>
      </c>
      <c r="D161" s="5" t="s">
        <v>118</v>
      </c>
      <c r="E161" s="5" t="s">
        <v>2792</v>
      </c>
      <c r="F161" s="5" t="s">
        <v>2762</v>
      </c>
      <c r="G161" s="5">
        <v>1</v>
      </c>
      <c r="H161" s="5" t="s">
        <v>2854</v>
      </c>
      <c r="I161" s="5" t="str">
        <f>IF(INDEX(Manual_Review!$V$6:$V$238,U161)="","",INDEX(Manual_Review!$V$6:$V$238,U161))</f>
        <v/>
      </c>
      <c r="J161" s="5" t="str">
        <f t="shared" si="4"/>
        <v>AI provisional</v>
      </c>
      <c r="K161" s="5" t="str">
        <f t="shared" si="5"/>
        <v>Y</v>
      </c>
      <c r="L161" s="5" t="s">
        <v>246</v>
      </c>
      <c r="M161" s="5" t="s">
        <v>3217</v>
      </c>
      <c r="N161" s="5" t="s">
        <v>3195</v>
      </c>
      <c r="O161" s="5" t="s">
        <v>3152</v>
      </c>
      <c r="P161" s="5" t="s">
        <v>2858</v>
      </c>
      <c r="Q161" s="11">
        <v>46306.5</v>
      </c>
      <c r="R161" s="6"/>
      <c r="S161" s="6"/>
      <c r="T161" s="6"/>
      <c r="U161" s="5">
        <f>MATCH(B161,Manual_Review!$A$6:$A$238,0)</f>
        <v>10</v>
      </c>
      <c r="V161" s="5" t="str">
        <f>IF(INDEX(Manual_Review!$G$6:$G$238,U161)="","",INDEX(Manual_Review!$G$6:$G$238,U161))</f>
        <v/>
      </c>
      <c r="W161" s="11" t="str">
        <f>IF(INDEX(Manual_Review!$H$6:$H$238,U161)="","",INDEX(Manual_Review!$H$6:$H$238,U161))</f>
        <v/>
      </c>
      <c r="X161" s="5" t="str">
        <f>IF(INDEX(Manual_Review!$I$6:$I$238,U161)="","",INDEX(Manual_Review!$I$6:$I$238,U161))</f>
        <v/>
      </c>
      <c r="Y161" s="5" t="s">
        <v>2859</v>
      </c>
    </row>
    <row r="162" spans="1:25" ht="38.25">
      <c r="A162" s="5" t="s">
        <v>3218</v>
      </c>
      <c r="B162" s="5" t="s">
        <v>234</v>
      </c>
      <c r="C162" s="5" t="s">
        <v>235</v>
      </c>
      <c r="D162" s="5" t="s">
        <v>118</v>
      </c>
      <c r="E162" s="5" t="s">
        <v>2793</v>
      </c>
      <c r="F162" s="5" t="s">
        <v>2762</v>
      </c>
      <c r="G162" s="5">
        <v>1</v>
      </c>
      <c r="H162" s="5" t="s">
        <v>2854</v>
      </c>
      <c r="I162" s="5" t="str">
        <f>IF(INDEX(Manual_Review!$W$6:$W$238,U162)="","",INDEX(Manual_Review!$W$6:$W$238,U162))</f>
        <v/>
      </c>
      <c r="J162" s="5" t="str">
        <f t="shared" si="4"/>
        <v>AI provisional</v>
      </c>
      <c r="K162" s="5" t="str">
        <f t="shared" si="5"/>
        <v>Y</v>
      </c>
      <c r="L162" s="5" t="s">
        <v>246</v>
      </c>
      <c r="M162" s="5" t="s">
        <v>3219</v>
      </c>
      <c r="N162" s="5" t="s">
        <v>3195</v>
      </c>
      <c r="O162" s="5" t="s">
        <v>3077</v>
      </c>
      <c r="P162" s="5" t="s">
        <v>2858</v>
      </c>
      <c r="Q162" s="11">
        <v>46306.5</v>
      </c>
      <c r="R162" s="6"/>
      <c r="S162" s="6"/>
      <c r="T162" s="6"/>
      <c r="U162" s="5">
        <f>MATCH(B162,Manual_Review!$A$6:$A$238,0)</f>
        <v>10</v>
      </c>
      <c r="V162" s="5" t="str">
        <f>IF(INDEX(Manual_Review!$G$6:$G$238,U162)="","",INDEX(Manual_Review!$G$6:$G$238,U162))</f>
        <v/>
      </c>
      <c r="W162" s="11" t="str">
        <f>IF(INDEX(Manual_Review!$H$6:$H$238,U162)="","",INDEX(Manual_Review!$H$6:$H$238,U162))</f>
        <v/>
      </c>
      <c r="X162" s="5" t="str">
        <f>IF(INDEX(Manual_Review!$I$6:$I$238,U162)="","",INDEX(Manual_Review!$I$6:$I$238,U162))</f>
        <v/>
      </c>
      <c r="Y162" s="5" t="s">
        <v>2859</v>
      </c>
    </row>
    <row r="163" spans="1:25" ht="38.25">
      <c r="A163" s="5" t="s">
        <v>3220</v>
      </c>
      <c r="B163" s="5" t="s">
        <v>234</v>
      </c>
      <c r="C163" s="5" t="s">
        <v>235</v>
      </c>
      <c r="D163" s="5" t="s">
        <v>118</v>
      </c>
      <c r="E163" s="5" t="s">
        <v>2794</v>
      </c>
      <c r="F163" s="5" t="s">
        <v>2764</v>
      </c>
      <c r="G163" s="5">
        <v>1</v>
      </c>
      <c r="H163" s="5" t="s">
        <v>2864</v>
      </c>
      <c r="I163" s="5" t="str">
        <f>IF(INDEX(Manual_Review!$X$6:$X$238,U163)="","",INDEX(Manual_Review!$X$6:$X$238,U163))</f>
        <v/>
      </c>
      <c r="J163" s="5" t="str">
        <f t="shared" si="4"/>
        <v>AI provisional</v>
      </c>
      <c r="K163" s="5" t="str">
        <f t="shared" si="5"/>
        <v>U</v>
      </c>
      <c r="L163" s="5" t="s">
        <v>246</v>
      </c>
      <c r="M163" s="5" t="s">
        <v>3221</v>
      </c>
      <c r="N163" s="5" t="s">
        <v>3195</v>
      </c>
      <c r="O163" s="5" t="s">
        <v>2895</v>
      </c>
      <c r="P163" s="5" t="s">
        <v>2858</v>
      </c>
      <c r="Q163" s="11">
        <v>46306.5</v>
      </c>
      <c r="R163" s="6"/>
      <c r="S163" s="6"/>
      <c r="T163" s="6"/>
      <c r="U163" s="5">
        <f>MATCH(B163,Manual_Review!$A$6:$A$238,0)</f>
        <v>10</v>
      </c>
      <c r="V163" s="5" t="str">
        <f>IF(INDEX(Manual_Review!$G$6:$G$238,U163)="","",INDEX(Manual_Review!$G$6:$G$238,U163))</f>
        <v/>
      </c>
      <c r="W163" s="11" t="str">
        <f>IF(INDEX(Manual_Review!$H$6:$H$238,U163)="","",INDEX(Manual_Review!$H$6:$H$238,U163))</f>
        <v/>
      </c>
      <c r="X163" s="5" t="str">
        <f>IF(INDEX(Manual_Review!$I$6:$I$238,U163)="","",INDEX(Manual_Review!$I$6:$I$238,U163))</f>
        <v/>
      </c>
      <c r="Y163" s="5" t="s">
        <v>2859</v>
      </c>
    </row>
    <row r="164" spans="1:25" ht="38.25">
      <c r="A164" s="5" t="s">
        <v>3222</v>
      </c>
      <c r="B164" s="5" t="s">
        <v>234</v>
      </c>
      <c r="C164" s="5" t="s">
        <v>235</v>
      </c>
      <c r="D164" s="5" t="s">
        <v>118</v>
      </c>
      <c r="E164" s="5" t="s">
        <v>2795</v>
      </c>
      <c r="F164" s="5" t="s">
        <v>2764</v>
      </c>
      <c r="G164" s="5">
        <v>1</v>
      </c>
      <c r="H164" s="5" t="s">
        <v>2864</v>
      </c>
      <c r="I164" s="5" t="str">
        <f>IF(INDEX(Manual_Review!$Y$6:$Y$238,U164)="","",INDEX(Manual_Review!$Y$6:$Y$238,U164))</f>
        <v/>
      </c>
      <c r="J164" s="5" t="str">
        <f t="shared" si="4"/>
        <v>AI provisional</v>
      </c>
      <c r="K164" s="5" t="str">
        <f t="shared" si="5"/>
        <v>U</v>
      </c>
      <c r="L164" s="5" t="s">
        <v>246</v>
      </c>
      <c r="M164" s="5" t="s">
        <v>3205</v>
      </c>
      <c r="N164" s="5" t="s">
        <v>3195</v>
      </c>
      <c r="O164" s="5" t="s">
        <v>2897</v>
      </c>
      <c r="P164" s="5" t="s">
        <v>2858</v>
      </c>
      <c r="Q164" s="11">
        <v>46306.5</v>
      </c>
      <c r="R164" s="6"/>
      <c r="S164" s="6"/>
      <c r="T164" s="6"/>
      <c r="U164" s="5">
        <f>MATCH(B164,Manual_Review!$A$6:$A$238,0)</f>
        <v>10</v>
      </c>
      <c r="V164" s="5" t="str">
        <f>IF(INDEX(Manual_Review!$G$6:$G$238,U164)="","",INDEX(Manual_Review!$G$6:$G$238,U164))</f>
        <v/>
      </c>
      <c r="W164" s="11" t="str">
        <f>IF(INDEX(Manual_Review!$H$6:$H$238,U164)="","",INDEX(Manual_Review!$H$6:$H$238,U164))</f>
        <v/>
      </c>
      <c r="X164" s="5" t="str">
        <f>IF(INDEX(Manual_Review!$I$6:$I$238,U164)="","",INDEX(Manual_Review!$I$6:$I$238,U164))</f>
        <v/>
      </c>
      <c r="Y164" s="5" t="s">
        <v>2859</v>
      </c>
    </row>
    <row r="165" spans="1:25" ht="38.25">
      <c r="A165" s="5" t="s">
        <v>3223</v>
      </c>
      <c r="B165" s="5" t="s">
        <v>234</v>
      </c>
      <c r="C165" s="5" t="s">
        <v>235</v>
      </c>
      <c r="D165" s="5" t="s">
        <v>118</v>
      </c>
      <c r="E165" s="5" t="s">
        <v>2796</v>
      </c>
      <c r="F165" s="5" t="s">
        <v>2764</v>
      </c>
      <c r="G165" s="5">
        <v>1</v>
      </c>
      <c r="H165" s="5" t="s">
        <v>2864</v>
      </c>
      <c r="I165" s="5" t="str">
        <f>IF(INDEX(Manual_Review!$Z$6:$Z$238,U165)="","",INDEX(Manual_Review!$Z$6:$Z$238,U165))</f>
        <v/>
      </c>
      <c r="J165" s="5" t="str">
        <f t="shared" si="4"/>
        <v>AI provisional</v>
      </c>
      <c r="K165" s="5" t="str">
        <f t="shared" si="5"/>
        <v>U</v>
      </c>
      <c r="L165" s="5" t="s">
        <v>246</v>
      </c>
      <c r="M165" s="5" t="s">
        <v>3224</v>
      </c>
      <c r="N165" s="5" t="s">
        <v>3195</v>
      </c>
      <c r="O165" s="5" t="s">
        <v>2899</v>
      </c>
      <c r="P165" s="5" t="s">
        <v>2858</v>
      </c>
      <c r="Q165" s="11">
        <v>46306.5</v>
      </c>
      <c r="R165" s="6"/>
      <c r="S165" s="6"/>
      <c r="T165" s="6"/>
      <c r="U165" s="5">
        <f>MATCH(B165,Manual_Review!$A$6:$A$238,0)</f>
        <v>10</v>
      </c>
      <c r="V165" s="5" t="str">
        <f>IF(INDEX(Manual_Review!$G$6:$G$238,U165)="","",INDEX(Manual_Review!$G$6:$G$238,U165))</f>
        <v/>
      </c>
      <c r="W165" s="11" t="str">
        <f>IF(INDEX(Manual_Review!$H$6:$H$238,U165)="","",INDEX(Manual_Review!$H$6:$H$238,U165))</f>
        <v/>
      </c>
      <c r="X165" s="5" t="str">
        <f>IF(INDEX(Manual_Review!$I$6:$I$238,U165)="","",INDEX(Manual_Review!$I$6:$I$238,U165))</f>
        <v/>
      </c>
      <c r="Y165" s="5" t="s">
        <v>2859</v>
      </c>
    </row>
    <row r="166" spans="1:25" ht="25.5">
      <c r="A166" s="5" t="s">
        <v>3225</v>
      </c>
      <c r="B166" s="5" t="s">
        <v>46</v>
      </c>
      <c r="C166" s="5" t="s">
        <v>47</v>
      </c>
      <c r="D166" s="5" t="s">
        <v>118</v>
      </c>
      <c r="E166" s="5" t="s">
        <v>2781</v>
      </c>
      <c r="F166" s="5" t="s">
        <v>2754</v>
      </c>
      <c r="G166" s="5">
        <v>1</v>
      </c>
      <c r="H166" s="5" t="s">
        <v>2854</v>
      </c>
      <c r="I166" s="5" t="str">
        <f>IF(INDEX(Manual_Review!$K$6:$K$238,U166)="","",INDEX(Manual_Review!$K$6:$K$238,U166))</f>
        <v/>
      </c>
      <c r="J166" s="5" t="str">
        <f t="shared" si="4"/>
        <v>AI provisional</v>
      </c>
      <c r="K166" s="5" t="str">
        <f t="shared" si="5"/>
        <v>Y</v>
      </c>
      <c r="L166" s="5" t="s">
        <v>3226</v>
      </c>
      <c r="M166" s="5" t="s">
        <v>3227</v>
      </c>
      <c r="N166" s="5" t="s">
        <v>3228</v>
      </c>
      <c r="O166" s="5" t="s">
        <v>3089</v>
      </c>
      <c r="P166" s="5" t="s">
        <v>3090</v>
      </c>
      <c r="Q166" s="11">
        <v>46306.5</v>
      </c>
      <c r="R166" s="6"/>
      <c r="S166" s="6"/>
      <c r="T166" s="6"/>
      <c r="U166" s="5">
        <f>MATCH(B166,Manual_Review!$A$6:$A$238,0)</f>
        <v>11</v>
      </c>
      <c r="V166" s="5" t="str">
        <f>IF(INDEX(Manual_Review!$G$6:$G$238,U166)="","",INDEX(Manual_Review!$G$6:$G$238,U166))</f>
        <v/>
      </c>
      <c r="W166" s="11" t="str">
        <f>IF(INDEX(Manual_Review!$H$6:$H$238,U166)="","",INDEX(Manual_Review!$H$6:$H$238,U166))</f>
        <v/>
      </c>
      <c r="X166" s="5" t="str">
        <f>IF(INDEX(Manual_Review!$I$6:$I$238,U166)="","",INDEX(Manual_Review!$I$6:$I$238,U166))</f>
        <v/>
      </c>
      <c r="Y166" s="5" t="s">
        <v>2859</v>
      </c>
    </row>
    <row r="167" spans="1:25" ht="25.5">
      <c r="A167" s="5" t="s">
        <v>3229</v>
      </c>
      <c r="B167" s="5" t="s">
        <v>46</v>
      </c>
      <c r="C167" s="5" t="s">
        <v>47</v>
      </c>
      <c r="D167" s="5" t="s">
        <v>118</v>
      </c>
      <c r="E167" s="5" t="s">
        <v>2782</v>
      </c>
      <c r="F167" s="5" t="s">
        <v>2754</v>
      </c>
      <c r="G167" s="5">
        <v>1</v>
      </c>
      <c r="H167" s="5" t="s">
        <v>2854</v>
      </c>
      <c r="I167" s="5" t="str">
        <f>IF(INDEX(Manual_Review!$L$6:$L$238,U167)="","",INDEX(Manual_Review!$L$6:$L$238,U167))</f>
        <v/>
      </c>
      <c r="J167" s="5" t="str">
        <f t="shared" si="4"/>
        <v>AI provisional</v>
      </c>
      <c r="K167" s="5" t="str">
        <f t="shared" si="5"/>
        <v>Y</v>
      </c>
      <c r="L167" s="5" t="s">
        <v>3226</v>
      </c>
      <c r="M167" s="5" t="s">
        <v>3230</v>
      </c>
      <c r="N167" s="5" t="s">
        <v>3231</v>
      </c>
      <c r="O167" s="5" t="s">
        <v>3089</v>
      </c>
      <c r="P167" s="5" t="s">
        <v>3090</v>
      </c>
      <c r="Q167" s="11">
        <v>46306.5</v>
      </c>
      <c r="R167" s="6"/>
      <c r="S167" s="6"/>
      <c r="T167" s="6"/>
      <c r="U167" s="5">
        <f>MATCH(B167,Manual_Review!$A$6:$A$238,0)</f>
        <v>11</v>
      </c>
      <c r="V167" s="5" t="str">
        <f>IF(INDEX(Manual_Review!$G$6:$G$238,U167)="","",INDEX(Manual_Review!$G$6:$G$238,U167))</f>
        <v/>
      </c>
      <c r="W167" s="11" t="str">
        <f>IF(INDEX(Manual_Review!$H$6:$H$238,U167)="","",INDEX(Manual_Review!$H$6:$H$238,U167))</f>
        <v/>
      </c>
      <c r="X167" s="5" t="str">
        <f>IF(INDEX(Manual_Review!$I$6:$I$238,U167)="","",INDEX(Manual_Review!$I$6:$I$238,U167))</f>
        <v/>
      </c>
      <c r="Y167" s="5" t="s">
        <v>2859</v>
      </c>
    </row>
    <row r="168" spans="1:25" ht="25.5">
      <c r="A168" s="5" t="s">
        <v>3232</v>
      </c>
      <c r="B168" s="5" t="s">
        <v>46</v>
      </c>
      <c r="C168" s="5" t="s">
        <v>47</v>
      </c>
      <c r="D168" s="5" t="s">
        <v>118</v>
      </c>
      <c r="E168" s="5" t="s">
        <v>2783</v>
      </c>
      <c r="F168" s="5" t="s">
        <v>2754</v>
      </c>
      <c r="G168" s="5">
        <v>1</v>
      </c>
      <c r="H168" s="5" t="s">
        <v>2864</v>
      </c>
      <c r="I168" s="5" t="str">
        <f>IF(INDEX(Manual_Review!$M$6:$M$238,U168)="","",INDEX(Manual_Review!$M$6:$M$238,U168))</f>
        <v/>
      </c>
      <c r="J168" s="5" t="str">
        <f t="shared" si="4"/>
        <v>AI provisional</v>
      </c>
      <c r="K168" s="5" t="str">
        <f t="shared" si="5"/>
        <v>U</v>
      </c>
      <c r="L168" s="5" t="s">
        <v>3226</v>
      </c>
      <c r="M168" s="5" t="s">
        <v>3233</v>
      </c>
      <c r="N168" s="5" t="s">
        <v>3234</v>
      </c>
      <c r="O168" s="5" t="s">
        <v>3089</v>
      </c>
      <c r="P168" s="5" t="s">
        <v>3090</v>
      </c>
      <c r="Q168" s="11">
        <v>46306.5</v>
      </c>
      <c r="R168" s="6"/>
      <c r="S168" s="6"/>
      <c r="T168" s="6"/>
      <c r="U168" s="5">
        <f>MATCH(B168,Manual_Review!$A$6:$A$238,0)</f>
        <v>11</v>
      </c>
      <c r="V168" s="5" t="str">
        <f>IF(INDEX(Manual_Review!$G$6:$G$238,U168)="","",INDEX(Manual_Review!$G$6:$G$238,U168))</f>
        <v/>
      </c>
      <c r="W168" s="11" t="str">
        <f>IF(INDEX(Manual_Review!$H$6:$H$238,U168)="","",INDEX(Manual_Review!$H$6:$H$238,U168))</f>
        <v/>
      </c>
      <c r="X168" s="5" t="str">
        <f>IF(INDEX(Manual_Review!$I$6:$I$238,U168)="","",INDEX(Manual_Review!$I$6:$I$238,U168))</f>
        <v/>
      </c>
      <c r="Y168" s="5" t="s">
        <v>2859</v>
      </c>
    </row>
    <row r="169" spans="1:25" ht="25.5">
      <c r="A169" s="5" t="s">
        <v>3235</v>
      </c>
      <c r="B169" s="5" t="s">
        <v>46</v>
      </c>
      <c r="C169" s="5" t="s">
        <v>47</v>
      </c>
      <c r="D169" s="5" t="s">
        <v>118</v>
      </c>
      <c r="E169" s="5" t="s">
        <v>2784</v>
      </c>
      <c r="F169" s="5" t="s">
        <v>2756</v>
      </c>
      <c r="G169" s="5">
        <v>1</v>
      </c>
      <c r="H169" s="5" t="s">
        <v>2854</v>
      </c>
      <c r="I169" s="5" t="str">
        <f>IF(INDEX(Manual_Review!$N$6:$N$238,U169)="","",INDEX(Manual_Review!$N$6:$N$238,U169))</f>
        <v/>
      </c>
      <c r="J169" s="5" t="str">
        <f t="shared" si="4"/>
        <v>AI provisional</v>
      </c>
      <c r="K169" s="5" t="str">
        <f t="shared" si="5"/>
        <v>Y</v>
      </c>
      <c r="L169" s="5" t="s">
        <v>3236</v>
      </c>
      <c r="M169" s="5" t="s">
        <v>3237</v>
      </c>
      <c r="N169" s="5" t="s">
        <v>3238</v>
      </c>
      <c r="O169" s="5" t="s">
        <v>3089</v>
      </c>
      <c r="P169" s="5" t="s">
        <v>3090</v>
      </c>
      <c r="Q169" s="11">
        <v>46306.5</v>
      </c>
      <c r="R169" s="6"/>
      <c r="S169" s="6"/>
      <c r="T169" s="6"/>
      <c r="U169" s="5">
        <f>MATCH(B169,Manual_Review!$A$6:$A$238,0)</f>
        <v>11</v>
      </c>
      <c r="V169" s="5" t="str">
        <f>IF(INDEX(Manual_Review!$G$6:$G$238,U169)="","",INDEX(Manual_Review!$G$6:$G$238,U169))</f>
        <v/>
      </c>
      <c r="W169" s="11" t="str">
        <f>IF(INDEX(Manual_Review!$H$6:$H$238,U169)="","",INDEX(Manual_Review!$H$6:$H$238,U169))</f>
        <v/>
      </c>
      <c r="X169" s="5" t="str">
        <f>IF(INDEX(Manual_Review!$I$6:$I$238,U169)="","",INDEX(Manual_Review!$I$6:$I$238,U169))</f>
        <v/>
      </c>
      <c r="Y169" s="5" t="s">
        <v>2859</v>
      </c>
    </row>
    <row r="170" spans="1:25" ht="25.5">
      <c r="A170" s="5" t="s">
        <v>3239</v>
      </c>
      <c r="B170" s="5" t="s">
        <v>46</v>
      </c>
      <c r="C170" s="5" t="s">
        <v>47</v>
      </c>
      <c r="D170" s="5" t="s">
        <v>118</v>
      </c>
      <c r="E170" s="5" t="s">
        <v>2785</v>
      </c>
      <c r="F170" s="5" t="s">
        <v>2756</v>
      </c>
      <c r="G170" s="5">
        <v>1</v>
      </c>
      <c r="H170" s="5" t="s">
        <v>2864</v>
      </c>
      <c r="I170" s="5" t="str">
        <f>IF(INDEX(Manual_Review!$O$6:$O$238,U170)="","",INDEX(Manual_Review!$O$6:$O$238,U170))</f>
        <v/>
      </c>
      <c r="J170" s="5" t="str">
        <f t="shared" si="4"/>
        <v>AI provisional</v>
      </c>
      <c r="K170" s="5" t="str">
        <f t="shared" si="5"/>
        <v>U</v>
      </c>
      <c r="L170" s="5" t="s">
        <v>3236</v>
      </c>
      <c r="M170" s="5" t="s">
        <v>3240</v>
      </c>
      <c r="N170" s="5" t="s">
        <v>3241</v>
      </c>
      <c r="O170" s="5" t="s">
        <v>3089</v>
      </c>
      <c r="P170" s="5" t="s">
        <v>3090</v>
      </c>
      <c r="Q170" s="11">
        <v>46306.5</v>
      </c>
      <c r="R170" s="6"/>
      <c r="S170" s="6"/>
      <c r="T170" s="6"/>
      <c r="U170" s="5">
        <f>MATCH(B170,Manual_Review!$A$6:$A$238,0)</f>
        <v>11</v>
      </c>
      <c r="V170" s="5" t="str">
        <f>IF(INDEX(Manual_Review!$G$6:$G$238,U170)="","",INDEX(Manual_Review!$G$6:$G$238,U170))</f>
        <v/>
      </c>
      <c r="W170" s="11" t="str">
        <f>IF(INDEX(Manual_Review!$H$6:$H$238,U170)="","",INDEX(Manual_Review!$H$6:$H$238,U170))</f>
        <v/>
      </c>
      <c r="X170" s="5" t="str">
        <f>IF(INDEX(Manual_Review!$I$6:$I$238,U170)="","",INDEX(Manual_Review!$I$6:$I$238,U170))</f>
        <v/>
      </c>
      <c r="Y170" s="5" t="s">
        <v>2859</v>
      </c>
    </row>
    <row r="171" spans="1:25" ht="25.5">
      <c r="A171" s="5" t="s">
        <v>3242</v>
      </c>
      <c r="B171" s="5" t="s">
        <v>46</v>
      </c>
      <c r="C171" s="5" t="s">
        <v>47</v>
      </c>
      <c r="D171" s="5" t="s">
        <v>118</v>
      </c>
      <c r="E171" s="5" t="s">
        <v>2786</v>
      </c>
      <c r="F171" s="5" t="s">
        <v>2756</v>
      </c>
      <c r="G171" s="5">
        <v>1</v>
      </c>
      <c r="H171" s="5" t="s">
        <v>2864</v>
      </c>
      <c r="I171" s="5" t="str">
        <f>IF(INDEX(Manual_Review!$P$6:$P$238,U171)="","",INDEX(Manual_Review!$P$6:$P$238,U171))</f>
        <v/>
      </c>
      <c r="J171" s="5" t="str">
        <f t="shared" si="4"/>
        <v>AI provisional</v>
      </c>
      <c r="K171" s="5" t="str">
        <f t="shared" si="5"/>
        <v>U</v>
      </c>
      <c r="L171" s="5" t="s">
        <v>3236</v>
      </c>
      <c r="M171" s="5" t="s">
        <v>3240</v>
      </c>
      <c r="N171" s="5" t="s">
        <v>3243</v>
      </c>
      <c r="O171" s="5" t="s">
        <v>3089</v>
      </c>
      <c r="P171" s="5" t="s">
        <v>3090</v>
      </c>
      <c r="Q171" s="11">
        <v>46306.5</v>
      </c>
      <c r="R171" s="6"/>
      <c r="S171" s="6"/>
      <c r="T171" s="6"/>
      <c r="U171" s="5">
        <f>MATCH(B171,Manual_Review!$A$6:$A$238,0)</f>
        <v>11</v>
      </c>
      <c r="V171" s="5" t="str">
        <f>IF(INDEX(Manual_Review!$G$6:$G$238,U171)="","",INDEX(Manual_Review!$G$6:$G$238,U171))</f>
        <v/>
      </c>
      <c r="W171" s="11" t="str">
        <f>IF(INDEX(Manual_Review!$H$6:$H$238,U171)="","",INDEX(Manual_Review!$H$6:$H$238,U171))</f>
        <v/>
      </c>
      <c r="X171" s="5" t="str">
        <f>IF(INDEX(Manual_Review!$I$6:$I$238,U171)="","",INDEX(Manual_Review!$I$6:$I$238,U171))</f>
        <v/>
      </c>
      <c r="Y171" s="5" t="s">
        <v>2859</v>
      </c>
    </row>
    <row r="172" spans="1:25" ht="25.5">
      <c r="A172" s="5" t="s">
        <v>3244</v>
      </c>
      <c r="B172" s="5" t="s">
        <v>46</v>
      </c>
      <c r="C172" s="5" t="s">
        <v>47</v>
      </c>
      <c r="D172" s="5" t="s">
        <v>118</v>
      </c>
      <c r="E172" s="5" t="s">
        <v>2787</v>
      </c>
      <c r="F172" s="5" t="s">
        <v>2758</v>
      </c>
      <c r="G172" s="5">
        <v>1</v>
      </c>
      <c r="H172" s="5" t="s">
        <v>2864</v>
      </c>
      <c r="I172" s="5" t="str">
        <f>IF(INDEX(Manual_Review!$Q$6:$Q$238,U172)="","",INDEX(Manual_Review!$Q$6:$Q$238,U172))</f>
        <v/>
      </c>
      <c r="J172" s="5" t="str">
        <f t="shared" si="4"/>
        <v>AI provisional</v>
      </c>
      <c r="K172" s="5" t="str">
        <f t="shared" si="5"/>
        <v>U</v>
      </c>
      <c r="L172" s="5" t="s">
        <v>3226</v>
      </c>
      <c r="M172" s="5" t="s">
        <v>3230</v>
      </c>
      <c r="N172" s="5" t="s">
        <v>3245</v>
      </c>
      <c r="O172" s="5" t="s">
        <v>3089</v>
      </c>
      <c r="P172" s="5" t="s">
        <v>3090</v>
      </c>
      <c r="Q172" s="11">
        <v>46306.5</v>
      </c>
      <c r="R172" s="6"/>
      <c r="S172" s="6"/>
      <c r="T172" s="6"/>
      <c r="U172" s="5">
        <f>MATCH(B172,Manual_Review!$A$6:$A$238,0)</f>
        <v>11</v>
      </c>
      <c r="V172" s="5" t="str">
        <f>IF(INDEX(Manual_Review!$G$6:$G$238,U172)="","",INDEX(Manual_Review!$G$6:$G$238,U172))</f>
        <v/>
      </c>
      <c r="W172" s="11" t="str">
        <f>IF(INDEX(Manual_Review!$H$6:$H$238,U172)="","",INDEX(Manual_Review!$H$6:$H$238,U172))</f>
        <v/>
      </c>
      <c r="X172" s="5" t="str">
        <f>IF(INDEX(Manual_Review!$I$6:$I$238,U172)="","",INDEX(Manual_Review!$I$6:$I$238,U172))</f>
        <v/>
      </c>
      <c r="Y172" s="5" t="s">
        <v>2859</v>
      </c>
    </row>
    <row r="173" spans="1:25" ht="25.5">
      <c r="A173" s="5" t="s">
        <v>3246</v>
      </c>
      <c r="B173" s="5" t="s">
        <v>46</v>
      </c>
      <c r="C173" s="5" t="s">
        <v>47</v>
      </c>
      <c r="D173" s="5" t="s">
        <v>118</v>
      </c>
      <c r="E173" s="5" t="s">
        <v>2788</v>
      </c>
      <c r="F173" s="5" t="s">
        <v>2758</v>
      </c>
      <c r="G173" s="5">
        <v>1</v>
      </c>
      <c r="H173" s="5" t="s">
        <v>2854</v>
      </c>
      <c r="I173" s="5" t="str">
        <f>IF(INDEX(Manual_Review!$R$6:$R$238,U173)="","",INDEX(Manual_Review!$R$6:$R$238,U173))</f>
        <v/>
      </c>
      <c r="J173" s="5" t="str">
        <f t="shared" si="4"/>
        <v>AI provisional</v>
      </c>
      <c r="K173" s="5" t="str">
        <f t="shared" si="5"/>
        <v>Y</v>
      </c>
      <c r="L173" s="5" t="s">
        <v>3236</v>
      </c>
      <c r="M173" s="5" t="s">
        <v>3247</v>
      </c>
      <c r="N173" s="5" t="s">
        <v>3248</v>
      </c>
      <c r="O173" s="5" t="s">
        <v>3089</v>
      </c>
      <c r="P173" s="5" t="s">
        <v>3090</v>
      </c>
      <c r="Q173" s="11">
        <v>46306.5</v>
      </c>
      <c r="R173" s="6"/>
      <c r="S173" s="6"/>
      <c r="T173" s="6"/>
      <c r="U173" s="5">
        <f>MATCH(B173,Manual_Review!$A$6:$A$238,0)</f>
        <v>11</v>
      </c>
      <c r="V173" s="5" t="str">
        <f>IF(INDEX(Manual_Review!$G$6:$G$238,U173)="","",INDEX(Manual_Review!$G$6:$G$238,U173))</f>
        <v/>
      </c>
      <c r="W173" s="11" t="str">
        <f>IF(INDEX(Manual_Review!$H$6:$H$238,U173)="","",INDEX(Manual_Review!$H$6:$H$238,U173))</f>
        <v/>
      </c>
      <c r="X173" s="5" t="str">
        <f>IF(INDEX(Manual_Review!$I$6:$I$238,U173)="","",INDEX(Manual_Review!$I$6:$I$238,U173))</f>
        <v/>
      </c>
      <c r="Y173" s="5" t="s">
        <v>2859</v>
      </c>
    </row>
    <row r="174" spans="1:25" ht="25.5">
      <c r="A174" s="5" t="s">
        <v>3249</v>
      </c>
      <c r="B174" s="5" t="s">
        <v>46</v>
      </c>
      <c r="C174" s="5" t="s">
        <v>47</v>
      </c>
      <c r="D174" s="5" t="s">
        <v>118</v>
      </c>
      <c r="E174" s="5" t="s">
        <v>2789</v>
      </c>
      <c r="F174" s="5" t="s">
        <v>2758</v>
      </c>
      <c r="G174" s="5">
        <v>1</v>
      </c>
      <c r="H174" s="5" t="s">
        <v>2854</v>
      </c>
      <c r="I174" s="5" t="str">
        <f>IF(INDEX(Manual_Review!$S$6:$S$238,U174)="","",INDEX(Manual_Review!$S$6:$S$238,U174))</f>
        <v/>
      </c>
      <c r="J174" s="5" t="str">
        <f t="shared" si="4"/>
        <v>AI provisional</v>
      </c>
      <c r="K174" s="5" t="str">
        <f t="shared" si="5"/>
        <v>Y</v>
      </c>
      <c r="L174" s="5" t="s">
        <v>3236</v>
      </c>
      <c r="M174" s="5" t="s">
        <v>3237</v>
      </c>
      <c r="N174" s="5" t="s">
        <v>3250</v>
      </c>
      <c r="O174" s="5" t="s">
        <v>3089</v>
      </c>
      <c r="P174" s="5" t="s">
        <v>3090</v>
      </c>
      <c r="Q174" s="11">
        <v>46306.5</v>
      </c>
      <c r="R174" s="6"/>
      <c r="S174" s="6"/>
      <c r="T174" s="6"/>
      <c r="U174" s="5">
        <f>MATCH(B174,Manual_Review!$A$6:$A$238,0)</f>
        <v>11</v>
      </c>
      <c r="V174" s="5" t="str">
        <f>IF(INDEX(Manual_Review!$G$6:$G$238,U174)="","",INDEX(Manual_Review!$G$6:$G$238,U174))</f>
        <v/>
      </c>
      <c r="W174" s="11" t="str">
        <f>IF(INDEX(Manual_Review!$H$6:$H$238,U174)="","",INDEX(Manual_Review!$H$6:$H$238,U174))</f>
        <v/>
      </c>
      <c r="X174" s="5" t="str">
        <f>IF(INDEX(Manual_Review!$I$6:$I$238,U174)="","",INDEX(Manual_Review!$I$6:$I$238,U174))</f>
        <v/>
      </c>
      <c r="Y174" s="5" t="s">
        <v>2859</v>
      </c>
    </row>
    <row r="175" spans="1:25" ht="25.5">
      <c r="A175" s="5" t="s">
        <v>3251</v>
      </c>
      <c r="B175" s="5" t="s">
        <v>46</v>
      </c>
      <c r="C175" s="5" t="s">
        <v>47</v>
      </c>
      <c r="D175" s="5" t="s">
        <v>118</v>
      </c>
      <c r="E175" s="5" t="s">
        <v>2790</v>
      </c>
      <c r="F175" s="5" t="s">
        <v>2760</v>
      </c>
      <c r="G175" s="5">
        <v>1</v>
      </c>
      <c r="H175" s="5" t="s">
        <v>2854</v>
      </c>
      <c r="I175" s="5" t="str">
        <f>IF(INDEX(Manual_Review!$T$6:$T$238,U175)="","",INDEX(Manual_Review!$T$6:$T$238,U175))</f>
        <v/>
      </c>
      <c r="J175" s="5" t="str">
        <f t="shared" si="4"/>
        <v>AI provisional</v>
      </c>
      <c r="K175" s="5" t="str">
        <f t="shared" si="5"/>
        <v>Y</v>
      </c>
      <c r="L175" s="5" t="s">
        <v>3226</v>
      </c>
      <c r="M175" s="5" t="s">
        <v>3230</v>
      </c>
      <c r="N175" s="5" t="s">
        <v>3252</v>
      </c>
      <c r="O175" s="5" t="s">
        <v>3089</v>
      </c>
      <c r="P175" s="5" t="s">
        <v>3090</v>
      </c>
      <c r="Q175" s="11">
        <v>46306.5</v>
      </c>
      <c r="R175" s="6"/>
      <c r="S175" s="6"/>
      <c r="T175" s="6"/>
      <c r="U175" s="5">
        <f>MATCH(B175,Manual_Review!$A$6:$A$238,0)</f>
        <v>11</v>
      </c>
      <c r="V175" s="5" t="str">
        <f>IF(INDEX(Manual_Review!$G$6:$G$238,U175)="","",INDEX(Manual_Review!$G$6:$G$238,U175))</f>
        <v/>
      </c>
      <c r="W175" s="11" t="str">
        <f>IF(INDEX(Manual_Review!$H$6:$H$238,U175)="","",INDEX(Manual_Review!$H$6:$H$238,U175))</f>
        <v/>
      </c>
      <c r="X175" s="5" t="str">
        <f>IF(INDEX(Manual_Review!$I$6:$I$238,U175)="","",INDEX(Manual_Review!$I$6:$I$238,U175))</f>
        <v/>
      </c>
      <c r="Y175" s="5" t="s">
        <v>2859</v>
      </c>
    </row>
    <row r="176" spans="1:25" ht="25.5">
      <c r="A176" s="5" t="s">
        <v>3253</v>
      </c>
      <c r="B176" s="5" t="s">
        <v>46</v>
      </c>
      <c r="C176" s="5" t="s">
        <v>47</v>
      </c>
      <c r="D176" s="5" t="s">
        <v>118</v>
      </c>
      <c r="E176" s="5" t="s">
        <v>2791</v>
      </c>
      <c r="F176" s="5" t="s">
        <v>2760</v>
      </c>
      <c r="G176" s="5">
        <v>1</v>
      </c>
      <c r="H176" s="5" t="s">
        <v>2864</v>
      </c>
      <c r="I176" s="5" t="str">
        <f>IF(INDEX(Manual_Review!$U$6:$U$238,U176)="","",INDEX(Manual_Review!$U$6:$U$238,U176))</f>
        <v/>
      </c>
      <c r="J176" s="5" t="str">
        <f t="shared" si="4"/>
        <v>AI provisional</v>
      </c>
      <c r="K176" s="5" t="str">
        <f t="shared" si="5"/>
        <v>U</v>
      </c>
      <c r="L176" s="5" t="s">
        <v>3236</v>
      </c>
      <c r="M176" s="5" t="s">
        <v>3247</v>
      </c>
      <c r="N176" s="5" t="s">
        <v>3254</v>
      </c>
      <c r="O176" s="5" t="s">
        <v>3089</v>
      </c>
      <c r="P176" s="5" t="s">
        <v>3090</v>
      </c>
      <c r="Q176" s="11">
        <v>46306.5</v>
      </c>
      <c r="R176" s="6"/>
      <c r="S176" s="6"/>
      <c r="T176" s="6"/>
      <c r="U176" s="5">
        <f>MATCH(B176,Manual_Review!$A$6:$A$238,0)</f>
        <v>11</v>
      </c>
      <c r="V176" s="5" t="str">
        <f>IF(INDEX(Manual_Review!$G$6:$G$238,U176)="","",INDEX(Manual_Review!$G$6:$G$238,U176))</f>
        <v/>
      </c>
      <c r="W176" s="11" t="str">
        <f>IF(INDEX(Manual_Review!$H$6:$H$238,U176)="","",INDEX(Manual_Review!$H$6:$H$238,U176))</f>
        <v/>
      </c>
      <c r="X176" s="5" t="str">
        <f>IF(INDEX(Manual_Review!$I$6:$I$238,U176)="","",INDEX(Manual_Review!$I$6:$I$238,U176))</f>
        <v/>
      </c>
      <c r="Y176" s="5" t="s">
        <v>2859</v>
      </c>
    </row>
    <row r="177" spans="1:25" ht="25.5">
      <c r="A177" s="5" t="s">
        <v>3255</v>
      </c>
      <c r="B177" s="5" t="s">
        <v>46</v>
      </c>
      <c r="C177" s="5" t="s">
        <v>47</v>
      </c>
      <c r="D177" s="5" t="s">
        <v>118</v>
      </c>
      <c r="E177" s="5" t="s">
        <v>2792</v>
      </c>
      <c r="F177" s="5" t="s">
        <v>2762</v>
      </c>
      <c r="G177" s="5">
        <v>1</v>
      </c>
      <c r="H177" s="5" t="s">
        <v>2854</v>
      </c>
      <c r="I177" s="5" t="str">
        <f>IF(INDEX(Manual_Review!$V$6:$V$238,U177)="","",INDEX(Manual_Review!$V$6:$V$238,U177))</f>
        <v/>
      </c>
      <c r="J177" s="5" t="str">
        <f t="shared" si="4"/>
        <v>AI provisional</v>
      </c>
      <c r="K177" s="5" t="str">
        <f t="shared" si="5"/>
        <v>Y</v>
      </c>
      <c r="L177" s="5" t="s">
        <v>3236</v>
      </c>
      <c r="M177" s="5" t="s">
        <v>3256</v>
      </c>
      <c r="N177" s="5" t="s">
        <v>3257</v>
      </c>
      <c r="O177" s="5" t="s">
        <v>3089</v>
      </c>
      <c r="P177" s="5" t="s">
        <v>3090</v>
      </c>
      <c r="Q177" s="11">
        <v>46306.5</v>
      </c>
      <c r="R177" s="6"/>
      <c r="S177" s="6"/>
      <c r="T177" s="6"/>
      <c r="U177" s="5">
        <f>MATCH(B177,Manual_Review!$A$6:$A$238,0)</f>
        <v>11</v>
      </c>
      <c r="V177" s="5" t="str">
        <f>IF(INDEX(Manual_Review!$G$6:$G$238,U177)="","",INDEX(Manual_Review!$G$6:$G$238,U177))</f>
        <v/>
      </c>
      <c r="W177" s="11" t="str">
        <f>IF(INDEX(Manual_Review!$H$6:$H$238,U177)="","",INDEX(Manual_Review!$H$6:$H$238,U177))</f>
        <v/>
      </c>
      <c r="X177" s="5" t="str">
        <f>IF(INDEX(Manual_Review!$I$6:$I$238,U177)="","",INDEX(Manual_Review!$I$6:$I$238,U177))</f>
        <v/>
      </c>
      <c r="Y177" s="5" t="s">
        <v>2859</v>
      </c>
    </row>
    <row r="178" spans="1:25" ht="25.5">
      <c r="A178" s="5" t="s">
        <v>3258</v>
      </c>
      <c r="B178" s="5" t="s">
        <v>46</v>
      </c>
      <c r="C178" s="5" t="s">
        <v>47</v>
      </c>
      <c r="D178" s="5" t="s">
        <v>118</v>
      </c>
      <c r="E178" s="5" t="s">
        <v>2793</v>
      </c>
      <c r="F178" s="5" t="s">
        <v>2762</v>
      </c>
      <c r="G178" s="5">
        <v>1</v>
      </c>
      <c r="H178" s="5" t="s">
        <v>2854</v>
      </c>
      <c r="I178" s="5" t="str">
        <f>IF(INDEX(Manual_Review!$W$6:$W$238,U178)="","",INDEX(Manual_Review!$W$6:$W$238,U178))</f>
        <v/>
      </c>
      <c r="J178" s="5" t="str">
        <f t="shared" si="4"/>
        <v>AI provisional</v>
      </c>
      <c r="K178" s="5" t="str">
        <f t="shared" si="5"/>
        <v>Y</v>
      </c>
      <c r="L178" s="5" t="s">
        <v>3236</v>
      </c>
      <c r="M178" s="5" t="s">
        <v>3237</v>
      </c>
      <c r="N178" s="5" t="s">
        <v>3259</v>
      </c>
      <c r="O178" s="5" t="s">
        <v>3089</v>
      </c>
      <c r="P178" s="5" t="s">
        <v>3090</v>
      </c>
      <c r="Q178" s="11">
        <v>46306.5</v>
      </c>
      <c r="R178" s="6"/>
      <c r="S178" s="6"/>
      <c r="T178" s="6"/>
      <c r="U178" s="5">
        <f>MATCH(B178,Manual_Review!$A$6:$A$238,0)</f>
        <v>11</v>
      </c>
      <c r="V178" s="5" t="str">
        <f>IF(INDEX(Manual_Review!$G$6:$G$238,U178)="","",INDEX(Manual_Review!$G$6:$G$238,U178))</f>
        <v/>
      </c>
      <c r="W178" s="11" t="str">
        <f>IF(INDEX(Manual_Review!$H$6:$H$238,U178)="","",INDEX(Manual_Review!$H$6:$H$238,U178))</f>
        <v/>
      </c>
      <c r="X178" s="5" t="str">
        <f>IF(INDEX(Manual_Review!$I$6:$I$238,U178)="","",INDEX(Manual_Review!$I$6:$I$238,U178))</f>
        <v/>
      </c>
      <c r="Y178" s="5" t="s">
        <v>2859</v>
      </c>
    </row>
    <row r="179" spans="1:25" ht="25.5">
      <c r="A179" s="5" t="s">
        <v>3260</v>
      </c>
      <c r="B179" s="5" t="s">
        <v>46</v>
      </c>
      <c r="C179" s="5" t="s">
        <v>47</v>
      </c>
      <c r="D179" s="5" t="s">
        <v>118</v>
      </c>
      <c r="E179" s="5" t="s">
        <v>2794</v>
      </c>
      <c r="F179" s="5" t="s">
        <v>2764</v>
      </c>
      <c r="G179" s="5">
        <v>1</v>
      </c>
      <c r="H179" s="5" t="s">
        <v>2854</v>
      </c>
      <c r="I179" s="5" t="str">
        <f>IF(INDEX(Manual_Review!$X$6:$X$238,U179)="","",INDEX(Manual_Review!$X$6:$X$238,U179))</f>
        <v/>
      </c>
      <c r="J179" s="5" t="str">
        <f t="shared" si="4"/>
        <v>AI provisional</v>
      </c>
      <c r="K179" s="5" t="str">
        <f t="shared" si="5"/>
        <v>Y</v>
      </c>
      <c r="L179" s="5" t="s">
        <v>3236</v>
      </c>
      <c r="M179" s="5" t="s">
        <v>3261</v>
      </c>
      <c r="N179" s="5" t="s">
        <v>3262</v>
      </c>
      <c r="O179" s="5" t="s">
        <v>3089</v>
      </c>
      <c r="P179" s="5" t="s">
        <v>3090</v>
      </c>
      <c r="Q179" s="11">
        <v>46306.5</v>
      </c>
      <c r="R179" s="6"/>
      <c r="S179" s="6"/>
      <c r="T179" s="6"/>
      <c r="U179" s="5">
        <f>MATCH(B179,Manual_Review!$A$6:$A$238,0)</f>
        <v>11</v>
      </c>
      <c r="V179" s="5" t="str">
        <f>IF(INDEX(Manual_Review!$G$6:$G$238,U179)="","",INDEX(Manual_Review!$G$6:$G$238,U179))</f>
        <v/>
      </c>
      <c r="W179" s="11" t="str">
        <f>IF(INDEX(Manual_Review!$H$6:$H$238,U179)="","",INDEX(Manual_Review!$H$6:$H$238,U179))</f>
        <v/>
      </c>
      <c r="X179" s="5" t="str">
        <f>IF(INDEX(Manual_Review!$I$6:$I$238,U179)="","",INDEX(Manual_Review!$I$6:$I$238,U179))</f>
        <v/>
      </c>
      <c r="Y179" s="5" t="s">
        <v>2859</v>
      </c>
    </row>
    <row r="180" spans="1:25" ht="25.5">
      <c r="A180" s="5" t="s">
        <v>3263</v>
      </c>
      <c r="B180" s="5" t="s">
        <v>46</v>
      </c>
      <c r="C180" s="5" t="s">
        <v>47</v>
      </c>
      <c r="D180" s="5" t="s">
        <v>118</v>
      </c>
      <c r="E180" s="5" t="s">
        <v>2795</v>
      </c>
      <c r="F180" s="5" t="s">
        <v>2764</v>
      </c>
      <c r="G180" s="5">
        <v>1</v>
      </c>
      <c r="H180" s="5" t="s">
        <v>2864</v>
      </c>
      <c r="I180" s="5" t="str">
        <f>IF(INDEX(Manual_Review!$Y$6:$Y$238,U180)="","",INDEX(Manual_Review!$Y$6:$Y$238,U180))</f>
        <v/>
      </c>
      <c r="J180" s="5" t="str">
        <f t="shared" si="4"/>
        <v>AI provisional</v>
      </c>
      <c r="K180" s="5" t="str">
        <f t="shared" si="5"/>
        <v>U</v>
      </c>
      <c r="L180" s="5" t="s">
        <v>3236</v>
      </c>
      <c r="M180" s="5" t="s">
        <v>3240</v>
      </c>
      <c r="N180" s="5" t="s">
        <v>3264</v>
      </c>
      <c r="O180" s="5" t="s">
        <v>3089</v>
      </c>
      <c r="P180" s="5" t="s">
        <v>3090</v>
      </c>
      <c r="Q180" s="11">
        <v>46306.5</v>
      </c>
      <c r="R180" s="6"/>
      <c r="S180" s="6"/>
      <c r="T180" s="6"/>
      <c r="U180" s="5">
        <f>MATCH(B180,Manual_Review!$A$6:$A$238,0)</f>
        <v>11</v>
      </c>
      <c r="V180" s="5" t="str">
        <f>IF(INDEX(Manual_Review!$G$6:$G$238,U180)="","",INDEX(Manual_Review!$G$6:$G$238,U180))</f>
        <v/>
      </c>
      <c r="W180" s="11" t="str">
        <f>IF(INDEX(Manual_Review!$H$6:$H$238,U180)="","",INDEX(Manual_Review!$H$6:$H$238,U180))</f>
        <v/>
      </c>
      <c r="X180" s="5" t="str">
        <f>IF(INDEX(Manual_Review!$I$6:$I$238,U180)="","",INDEX(Manual_Review!$I$6:$I$238,U180))</f>
        <v/>
      </c>
      <c r="Y180" s="5" t="s">
        <v>2859</v>
      </c>
    </row>
    <row r="181" spans="1:25" ht="25.5">
      <c r="A181" s="5" t="s">
        <v>3265</v>
      </c>
      <c r="B181" s="5" t="s">
        <v>46</v>
      </c>
      <c r="C181" s="5" t="s">
        <v>47</v>
      </c>
      <c r="D181" s="5" t="s">
        <v>118</v>
      </c>
      <c r="E181" s="5" t="s">
        <v>2796</v>
      </c>
      <c r="F181" s="5" t="s">
        <v>2764</v>
      </c>
      <c r="G181" s="5">
        <v>1</v>
      </c>
      <c r="H181" s="5" t="s">
        <v>2864</v>
      </c>
      <c r="I181" s="5" t="str">
        <f>IF(INDEX(Manual_Review!$Z$6:$Z$238,U181)="","",INDEX(Manual_Review!$Z$6:$Z$238,U181))</f>
        <v/>
      </c>
      <c r="J181" s="5" t="str">
        <f t="shared" si="4"/>
        <v>AI provisional</v>
      </c>
      <c r="K181" s="5" t="str">
        <f t="shared" si="5"/>
        <v>U</v>
      </c>
      <c r="L181" s="5" t="s">
        <v>3236</v>
      </c>
      <c r="M181" s="5" t="s">
        <v>3240</v>
      </c>
      <c r="N181" s="5" t="s">
        <v>3266</v>
      </c>
      <c r="O181" s="5" t="s">
        <v>3089</v>
      </c>
      <c r="P181" s="5" t="s">
        <v>3090</v>
      </c>
      <c r="Q181" s="11">
        <v>46306.5</v>
      </c>
      <c r="R181" s="6"/>
      <c r="S181" s="6"/>
      <c r="T181" s="6"/>
      <c r="U181" s="5">
        <f>MATCH(B181,Manual_Review!$A$6:$A$238,0)</f>
        <v>11</v>
      </c>
      <c r="V181" s="5" t="str">
        <f>IF(INDEX(Manual_Review!$G$6:$G$238,U181)="","",INDEX(Manual_Review!$G$6:$G$238,U181))</f>
        <v/>
      </c>
      <c r="W181" s="11" t="str">
        <f>IF(INDEX(Manual_Review!$H$6:$H$238,U181)="","",INDEX(Manual_Review!$H$6:$H$238,U181))</f>
        <v/>
      </c>
      <c r="X181" s="5" t="str">
        <f>IF(INDEX(Manual_Review!$I$6:$I$238,U181)="","",INDEX(Manual_Review!$I$6:$I$238,U181))</f>
        <v/>
      </c>
      <c r="Y181" s="5" t="s">
        <v>2859</v>
      </c>
    </row>
    <row r="182" spans="1:25" ht="25.5">
      <c r="A182" s="5" t="s">
        <v>3267</v>
      </c>
      <c r="B182" s="5" t="s">
        <v>256</v>
      </c>
      <c r="C182" s="5" t="s">
        <v>257</v>
      </c>
      <c r="D182" s="5" t="s">
        <v>118</v>
      </c>
      <c r="E182" s="5" t="s">
        <v>2781</v>
      </c>
      <c r="F182" s="5" t="s">
        <v>2754</v>
      </c>
      <c r="G182" s="5">
        <v>1</v>
      </c>
      <c r="H182" s="5" t="s">
        <v>2854</v>
      </c>
      <c r="I182" s="5" t="str">
        <f>IF(INDEX(Manual_Review!$K$6:$K$238,U182)="","",INDEX(Manual_Review!$K$6:$K$238,U182))</f>
        <v/>
      </c>
      <c r="J182" s="5" t="str">
        <f t="shared" si="4"/>
        <v>AI provisional</v>
      </c>
      <c r="K182" s="5" t="str">
        <f t="shared" si="5"/>
        <v>Y</v>
      </c>
      <c r="L182" s="5" t="s">
        <v>266</v>
      </c>
      <c r="M182" s="5" t="s">
        <v>3268</v>
      </c>
      <c r="N182" s="5" t="s">
        <v>3269</v>
      </c>
      <c r="O182" s="5" t="s">
        <v>2857</v>
      </c>
      <c r="P182" s="5" t="s">
        <v>2858</v>
      </c>
      <c r="Q182" s="11">
        <v>46306.5</v>
      </c>
      <c r="R182" s="6"/>
      <c r="S182" s="6"/>
      <c r="T182" s="6"/>
      <c r="U182" s="5">
        <f>MATCH(B182,Manual_Review!$A$6:$A$238,0)</f>
        <v>12</v>
      </c>
      <c r="V182" s="5" t="str">
        <f>IF(INDEX(Manual_Review!$G$6:$G$238,U182)="","",INDEX(Manual_Review!$G$6:$G$238,U182))</f>
        <v/>
      </c>
      <c r="W182" s="11" t="str">
        <f>IF(INDEX(Manual_Review!$H$6:$H$238,U182)="","",INDEX(Manual_Review!$H$6:$H$238,U182))</f>
        <v/>
      </c>
      <c r="X182" s="5" t="str">
        <f>IF(INDEX(Manual_Review!$I$6:$I$238,U182)="","",INDEX(Manual_Review!$I$6:$I$238,U182))</f>
        <v/>
      </c>
      <c r="Y182" s="5" t="s">
        <v>2859</v>
      </c>
    </row>
    <row r="183" spans="1:25" ht="25.5">
      <c r="A183" s="5" t="s">
        <v>3270</v>
      </c>
      <c r="B183" s="5" t="s">
        <v>256</v>
      </c>
      <c r="C183" s="5" t="s">
        <v>257</v>
      </c>
      <c r="D183" s="5" t="s">
        <v>118</v>
      </c>
      <c r="E183" s="5" t="s">
        <v>2782</v>
      </c>
      <c r="F183" s="5" t="s">
        <v>2754</v>
      </c>
      <c r="G183" s="5">
        <v>1</v>
      </c>
      <c r="H183" s="5" t="s">
        <v>2854</v>
      </c>
      <c r="I183" s="5" t="str">
        <f>IF(INDEX(Manual_Review!$L$6:$L$238,U183)="","",INDEX(Manual_Review!$L$6:$L$238,U183))</f>
        <v/>
      </c>
      <c r="J183" s="5" t="str">
        <f t="shared" si="4"/>
        <v>AI provisional</v>
      </c>
      <c r="K183" s="5" t="str">
        <f t="shared" si="5"/>
        <v>Y</v>
      </c>
      <c r="L183" s="5" t="s">
        <v>266</v>
      </c>
      <c r="M183" s="5" t="s">
        <v>3271</v>
      </c>
      <c r="N183" s="5" t="s">
        <v>3269</v>
      </c>
      <c r="O183" s="5" t="s">
        <v>2862</v>
      </c>
      <c r="P183" s="5" t="s">
        <v>2858</v>
      </c>
      <c r="Q183" s="11">
        <v>46306.5</v>
      </c>
      <c r="R183" s="6"/>
      <c r="S183" s="6"/>
      <c r="T183" s="6"/>
      <c r="U183" s="5">
        <f>MATCH(B183,Manual_Review!$A$6:$A$238,0)</f>
        <v>12</v>
      </c>
      <c r="V183" s="5" t="str">
        <f>IF(INDEX(Manual_Review!$G$6:$G$238,U183)="","",INDEX(Manual_Review!$G$6:$G$238,U183))</f>
        <v/>
      </c>
      <c r="W183" s="11" t="str">
        <f>IF(INDEX(Manual_Review!$H$6:$H$238,U183)="","",INDEX(Manual_Review!$H$6:$H$238,U183))</f>
        <v/>
      </c>
      <c r="X183" s="5" t="str">
        <f>IF(INDEX(Manual_Review!$I$6:$I$238,U183)="","",INDEX(Manual_Review!$I$6:$I$238,U183))</f>
        <v/>
      </c>
      <c r="Y183" s="5" t="s">
        <v>2859</v>
      </c>
    </row>
    <row r="184" spans="1:25" ht="25.5">
      <c r="A184" s="5" t="s">
        <v>3272</v>
      </c>
      <c r="B184" s="5" t="s">
        <v>256</v>
      </c>
      <c r="C184" s="5" t="s">
        <v>257</v>
      </c>
      <c r="D184" s="5" t="s">
        <v>118</v>
      </c>
      <c r="E184" s="5" t="s">
        <v>2783</v>
      </c>
      <c r="F184" s="5" t="s">
        <v>2754</v>
      </c>
      <c r="G184" s="5">
        <v>1</v>
      </c>
      <c r="H184" s="5" t="s">
        <v>2864</v>
      </c>
      <c r="I184" s="5" t="str">
        <f>IF(INDEX(Manual_Review!$M$6:$M$238,U184)="","",INDEX(Manual_Review!$M$6:$M$238,U184))</f>
        <v/>
      </c>
      <c r="J184" s="5" t="str">
        <f t="shared" si="4"/>
        <v>AI provisional</v>
      </c>
      <c r="K184" s="5" t="str">
        <f t="shared" si="5"/>
        <v>U</v>
      </c>
      <c r="L184" s="5" t="s">
        <v>266</v>
      </c>
      <c r="M184" s="5" t="s">
        <v>3273</v>
      </c>
      <c r="N184" s="5" t="s">
        <v>3269</v>
      </c>
      <c r="O184" s="5" t="s">
        <v>2866</v>
      </c>
      <c r="P184" s="5" t="s">
        <v>2858</v>
      </c>
      <c r="Q184" s="11">
        <v>46306.5</v>
      </c>
      <c r="R184" s="6"/>
      <c r="S184" s="6"/>
      <c r="T184" s="6"/>
      <c r="U184" s="5">
        <f>MATCH(B184,Manual_Review!$A$6:$A$238,0)</f>
        <v>12</v>
      </c>
      <c r="V184" s="5" t="str">
        <f>IF(INDEX(Manual_Review!$G$6:$G$238,U184)="","",INDEX(Manual_Review!$G$6:$G$238,U184))</f>
        <v/>
      </c>
      <c r="W184" s="11" t="str">
        <f>IF(INDEX(Manual_Review!$H$6:$H$238,U184)="","",INDEX(Manual_Review!$H$6:$H$238,U184))</f>
        <v/>
      </c>
      <c r="X184" s="5" t="str">
        <f>IF(INDEX(Manual_Review!$I$6:$I$238,U184)="","",INDEX(Manual_Review!$I$6:$I$238,U184))</f>
        <v/>
      </c>
      <c r="Y184" s="5" t="s">
        <v>2859</v>
      </c>
    </row>
    <row r="185" spans="1:25" ht="25.5">
      <c r="A185" s="5" t="s">
        <v>3274</v>
      </c>
      <c r="B185" s="5" t="s">
        <v>256</v>
      </c>
      <c r="C185" s="5" t="s">
        <v>257</v>
      </c>
      <c r="D185" s="5" t="s">
        <v>118</v>
      </c>
      <c r="E185" s="5" t="s">
        <v>2784</v>
      </c>
      <c r="F185" s="5" t="s">
        <v>2756</v>
      </c>
      <c r="G185" s="5">
        <v>1</v>
      </c>
      <c r="H185" s="5" t="s">
        <v>2854</v>
      </c>
      <c r="I185" s="5" t="str">
        <f>IF(INDEX(Manual_Review!$N$6:$N$238,U185)="","",INDEX(Manual_Review!$N$6:$N$238,U185))</f>
        <v/>
      </c>
      <c r="J185" s="5" t="str">
        <f t="shared" si="4"/>
        <v>AI provisional</v>
      </c>
      <c r="K185" s="5" t="str">
        <f t="shared" si="5"/>
        <v>Y</v>
      </c>
      <c r="L185" s="5" t="s">
        <v>266</v>
      </c>
      <c r="M185" s="5" t="s">
        <v>3275</v>
      </c>
      <c r="N185" s="5" t="s">
        <v>3269</v>
      </c>
      <c r="O185" s="5" t="s">
        <v>2963</v>
      </c>
      <c r="P185" s="5" t="s">
        <v>2858</v>
      </c>
      <c r="Q185" s="11">
        <v>46306.5</v>
      </c>
      <c r="R185" s="6"/>
      <c r="S185" s="6"/>
      <c r="T185" s="6"/>
      <c r="U185" s="5">
        <f>MATCH(B185,Manual_Review!$A$6:$A$238,0)</f>
        <v>12</v>
      </c>
      <c r="V185" s="5" t="str">
        <f>IF(INDEX(Manual_Review!$G$6:$G$238,U185)="","",INDEX(Manual_Review!$G$6:$G$238,U185))</f>
        <v/>
      </c>
      <c r="W185" s="11" t="str">
        <f>IF(INDEX(Manual_Review!$H$6:$H$238,U185)="","",INDEX(Manual_Review!$H$6:$H$238,U185))</f>
        <v/>
      </c>
      <c r="X185" s="5" t="str">
        <f>IF(INDEX(Manual_Review!$I$6:$I$238,U185)="","",INDEX(Manual_Review!$I$6:$I$238,U185))</f>
        <v/>
      </c>
      <c r="Y185" s="5" t="s">
        <v>2859</v>
      </c>
    </row>
    <row r="186" spans="1:25" ht="25.5">
      <c r="A186" s="5" t="s">
        <v>3276</v>
      </c>
      <c r="B186" s="5" t="s">
        <v>256</v>
      </c>
      <c r="C186" s="5" t="s">
        <v>257</v>
      </c>
      <c r="D186" s="5" t="s">
        <v>118</v>
      </c>
      <c r="E186" s="5" t="s">
        <v>2785</v>
      </c>
      <c r="F186" s="5" t="s">
        <v>2756</v>
      </c>
      <c r="G186" s="5">
        <v>1</v>
      </c>
      <c r="H186" s="5" t="s">
        <v>2864</v>
      </c>
      <c r="I186" s="5" t="str">
        <f>IF(INDEX(Manual_Review!$O$6:$O$238,U186)="","",INDEX(Manual_Review!$O$6:$O$238,U186))</f>
        <v/>
      </c>
      <c r="J186" s="5" t="str">
        <f t="shared" si="4"/>
        <v>AI provisional</v>
      </c>
      <c r="K186" s="5" t="str">
        <f t="shared" si="5"/>
        <v>U</v>
      </c>
      <c r="L186" s="5" t="s">
        <v>266</v>
      </c>
      <c r="M186" s="5" t="s">
        <v>3277</v>
      </c>
      <c r="N186" s="5" t="s">
        <v>3269</v>
      </c>
      <c r="O186" s="5" t="s">
        <v>2872</v>
      </c>
      <c r="P186" s="5" t="s">
        <v>2858</v>
      </c>
      <c r="Q186" s="11">
        <v>46306.5</v>
      </c>
      <c r="R186" s="6"/>
      <c r="S186" s="6"/>
      <c r="T186" s="6"/>
      <c r="U186" s="5">
        <f>MATCH(B186,Manual_Review!$A$6:$A$238,0)</f>
        <v>12</v>
      </c>
      <c r="V186" s="5" t="str">
        <f>IF(INDEX(Manual_Review!$G$6:$G$238,U186)="","",INDEX(Manual_Review!$G$6:$G$238,U186))</f>
        <v/>
      </c>
      <c r="W186" s="11" t="str">
        <f>IF(INDEX(Manual_Review!$H$6:$H$238,U186)="","",INDEX(Manual_Review!$H$6:$H$238,U186))</f>
        <v/>
      </c>
      <c r="X186" s="5" t="str">
        <f>IF(INDEX(Manual_Review!$I$6:$I$238,U186)="","",INDEX(Manual_Review!$I$6:$I$238,U186))</f>
        <v/>
      </c>
      <c r="Y186" s="5" t="s">
        <v>2859</v>
      </c>
    </row>
    <row r="187" spans="1:25" ht="25.5">
      <c r="A187" s="5" t="s">
        <v>3278</v>
      </c>
      <c r="B187" s="5" t="s">
        <v>256</v>
      </c>
      <c r="C187" s="5" t="s">
        <v>257</v>
      </c>
      <c r="D187" s="5" t="s">
        <v>118</v>
      </c>
      <c r="E187" s="5" t="s">
        <v>2786</v>
      </c>
      <c r="F187" s="5" t="s">
        <v>2756</v>
      </c>
      <c r="G187" s="5">
        <v>1</v>
      </c>
      <c r="H187" s="5" t="s">
        <v>2864</v>
      </c>
      <c r="I187" s="5" t="str">
        <f>IF(INDEX(Manual_Review!$P$6:$P$238,U187)="","",INDEX(Manual_Review!$P$6:$P$238,U187))</f>
        <v/>
      </c>
      <c r="J187" s="5" t="str">
        <f t="shared" si="4"/>
        <v>AI provisional</v>
      </c>
      <c r="K187" s="5" t="str">
        <f t="shared" si="5"/>
        <v>U</v>
      </c>
      <c r="L187" s="5" t="s">
        <v>266</v>
      </c>
      <c r="M187" s="5" t="s">
        <v>3273</v>
      </c>
      <c r="N187" s="5" t="s">
        <v>3269</v>
      </c>
      <c r="O187" s="5" t="s">
        <v>2874</v>
      </c>
      <c r="P187" s="5" t="s">
        <v>2858</v>
      </c>
      <c r="Q187" s="11">
        <v>46306.5</v>
      </c>
      <c r="R187" s="6"/>
      <c r="S187" s="6"/>
      <c r="T187" s="6"/>
      <c r="U187" s="5">
        <f>MATCH(B187,Manual_Review!$A$6:$A$238,0)</f>
        <v>12</v>
      </c>
      <c r="V187" s="5" t="str">
        <f>IF(INDEX(Manual_Review!$G$6:$G$238,U187)="","",INDEX(Manual_Review!$G$6:$G$238,U187))</f>
        <v/>
      </c>
      <c r="W187" s="11" t="str">
        <f>IF(INDEX(Manual_Review!$H$6:$H$238,U187)="","",INDEX(Manual_Review!$H$6:$H$238,U187))</f>
        <v/>
      </c>
      <c r="X187" s="5" t="str">
        <f>IF(INDEX(Manual_Review!$I$6:$I$238,U187)="","",INDEX(Manual_Review!$I$6:$I$238,U187))</f>
        <v/>
      </c>
      <c r="Y187" s="5" t="s">
        <v>2859</v>
      </c>
    </row>
    <row r="188" spans="1:25" ht="25.5">
      <c r="A188" s="5" t="s">
        <v>3279</v>
      </c>
      <c r="B188" s="5" t="s">
        <v>256</v>
      </c>
      <c r="C188" s="5" t="s">
        <v>257</v>
      </c>
      <c r="D188" s="5" t="s">
        <v>118</v>
      </c>
      <c r="E188" s="5" t="s">
        <v>2787</v>
      </c>
      <c r="F188" s="5" t="s">
        <v>2758</v>
      </c>
      <c r="G188" s="5">
        <v>1</v>
      </c>
      <c r="H188" s="5" t="s">
        <v>2864</v>
      </c>
      <c r="I188" s="5" t="str">
        <f>IF(INDEX(Manual_Review!$Q$6:$Q$238,U188)="","",INDEX(Manual_Review!$Q$6:$Q$238,U188))</f>
        <v/>
      </c>
      <c r="J188" s="5" t="str">
        <f t="shared" si="4"/>
        <v>AI provisional</v>
      </c>
      <c r="K188" s="5" t="str">
        <f t="shared" si="5"/>
        <v>U</v>
      </c>
      <c r="L188" s="5" t="s">
        <v>266</v>
      </c>
      <c r="M188" s="5" t="s">
        <v>3280</v>
      </c>
      <c r="N188" s="5" t="s">
        <v>3269</v>
      </c>
      <c r="O188" s="5" t="s">
        <v>2877</v>
      </c>
      <c r="P188" s="5" t="s">
        <v>2858</v>
      </c>
      <c r="Q188" s="11">
        <v>46306.5</v>
      </c>
      <c r="R188" s="6"/>
      <c r="S188" s="6"/>
      <c r="T188" s="6"/>
      <c r="U188" s="5">
        <f>MATCH(B188,Manual_Review!$A$6:$A$238,0)</f>
        <v>12</v>
      </c>
      <c r="V188" s="5" t="str">
        <f>IF(INDEX(Manual_Review!$G$6:$G$238,U188)="","",INDEX(Manual_Review!$G$6:$G$238,U188))</f>
        <v/>
      </c>
      <c r="W188" s="11" t="str">
        <f>IF(INDEX(Manual_Review!$H$6:$H$238,U188)="","",INDEX(Manual_Review!$H$6:$H$238,U188))</f>
        <v/>
      </c>
      <c r="X188" s="5" t="str">
        <f>IF(INDEX(Manual_Review!$I$6:$I$238,U188)="","",INDEX(Manual_Review!$I$6:$I$238,U188))</f>
        <v/>
      </c>
      <c r="Y188" s="5" t="s">
        <v>2859</v>
      </c>
    </row>
    <row r="189" spans="1:25" ht="25.5">
      <c r="A189" s="5" t="s">
        <v>3281</v>
      </c>
      <c r="B189" s="5" t="s">
        <v>256</v>
      </c>
      <c r="C189" s="5" t="s">
        <v>257</v>
      </c>
      <c r="D189" s="5" t="s">
        <v>118</v>
      </c>
      <c r="E189" s="5" t="s">
        <v>2788</v>
      </c>
      <c r="F189" s="5" t="s">
        <v>2758</v>
      </c>
      <c r="G189" s="5">
        <v>1</v>
      </c>
      <c r="H189" s="5" t="s">
        <v>2864</v>
      </c>
      <c r="I189" s="5" t="str">
        <f>IF(INDEX(Manual_Review!$R$6:$R$238,U189)="","",INDEX(Manual_Review!$R$6:$R$238,U189))</f>
        <v/>
      </c>
      <c r="J189" s="5" t="str">
        <f t="shared" si="4"/>
        <v>AI provisional</v>
      </c>
      <c r="K189" s="5" t="str">
        <f t="shared" si="5"/>
        <v>U</v>
      </c>
      <c r="L189" s="5" t="s">
        <v>266</v>
      </c>
      <c r="M189" s="5" t="s">
        <v>3282</v>
      </c>
      <c r="N189" s="5" t="s">
        <v>3269</v>
      </c>
      <c r="O189" s="5" t="s">
        <v>2880</v>
      </c>
      <c r="P189" s="5" t="s">
        <v>2858</v>
      </c>
      <c r="Q189" s="11">
        <v>46306.5</v>
      </c>
      <c r="R189" s="6"/>
      <c r="S189" s="6"/>
      <c r="T189" s="6"/>
      <c r="U189" s="5">
        <f>MATCH(B189,Manual_Review!$A$6:$A$238,0)</f>
        <v>12</v>
      </c>
      <c r="V189" s="5" t="str">
        <f>IF(INDEX(Manual_Review!$G$6:$G$238,U189)="","",INDEX(Manual_Review!$G$6:$G$238,U189))</f>
        <v/>
      </c>
      <c r="W189" s="11" t="str">
        <f>IF(INDEX(Manual_Review!$H$6:$H$238,U189)="","",INDEX(Manual_Review!$H$6:$H$238,U189))</f>
        <v/>
      </c>
      <c r="X189" s="5" t="str">
        <f>IF(INDEX(Manual_Review!$I$6:$I$238,U189)="","",INDEX(Manual_Review!$I$6:$I$238,U189))</f>
        <v/>
      </c>
      <c r="Y189" s="5" t="s">
        <v>2859</v>
      </c>
    </row>
    <row r="190" spans="1:25" ht="25.5">
      <c r="A190" s="5" t="s">
        <v>3283</v>
      </c>
      <c r="B190" s="5" t="s">
        <v>256</v>
      </c>
      <c r="C190" s="5" t="s">
        <v>257</v>
      </c>
      <c r="D190" s="5" t="s">
        <v>118</v>
      </c>
      <c r="E190" s="5" t="s">
        <v>2789</v>
      </c>
      <c r="F190" s="5" t="s">
        <v>2758</v>
      </c>
      <c r="G190" s="5">
        <v>1</v>
      </c>
      <c r="H190" s="5" t="s">
        <v>2854</v>
      </c>
      <c r="I190" s="5" t="str">
        <f>IF(INDEX(Manual_Review!$S$6:$S$238,U190)="","",INDEX(Manual_Review!$S$6:$S$238,U190))</f>
        <v/>
      </c>
      <c r="J190" s="5" t="str">
        <f t="shared" si="4"/>
        <v>AI provisional</v>
      </c>
      <c r="K190" s="5" t="str">
        <f t="shared" si="5"/>
        <v>Y</v>
      </c>
      <c r="L190" s="5" t="s">
        <v>266</v>
      </c>
      <c r="M190" s="5" t="s">
        <v>3284</v>
      </c>
      <c r="N190" s="5" t="s">
        <v>3269</v>
      </c>
      <c r="O190" s="5" t="s">
        <v>3178</v>
      </c>
      <c r="P190" s="5" t="s">
        <v>2858</v>
      </c>
      <c r="Q190" s="11">
        <v>46306.5</v>
      </c>
      <c r="R190" s="6"/>
      <c r="S190" s="6"/>
      <c r="T190" s="6"/>
      <c r="U190" s="5">
        <f>MATCH(B190,Manual_Review!$A$6:$A$238,0)</f>
        <v>12</v>
      </c>
      <c r="V190" s="5" t="str">
        <f>IF(INDEX(Manual_Review!$G$6:$G$238,U190)="","",INDEX(Manual_Review!$G$6:$G$238,U190))</f>
        <v/>
      </c>
      <c r="W190" s="11" t="str">
        <f>IF(INDEX(Manual_Review!$H$6:$H$238,U190)="","",INDEX(Manual_Review!$H$6:$H$238,U190))</f>
        <v/>
      </c>
      <c r="X190" s="5" t="str">
        <f>IF(INDEX(Manual_Review!$I$6:$I$238,U190)="","",INDEX(Manual_Review!$I$6:$I$238,U190))</f>
        <v/>
      </c>
      <c r="Y190" s="5" t="s">
        <v>2859</v>
      </c>
    </row>
    <row r="191" spans="1:25" ht="25.5">
      <c r="A191" s="5" t="s">
        <v>3285</v>
      </c>
      <c r="B191" s="5" t="s">
        <v>256</v>
      </c>
      <c r="C191" s="5" t="s">
        <v>257</v>
      </c>
      <c r="D191" s="5" t="s">
        <v>118</v>
      </c>
      <c r="E191" s="5" t="s">
        <v>2790</v>
      </c>
      <c r="F191" s="5" t="s">
        <v>2760</v>
      </c>
      <c r="G191" s="5">
        <v>1</v>
      </c>
      <c r="H191" s="5" t="s">
        <v>2854</v>
      </c>
      <c r="I191" s="5" t="str">
        <f>IF(INDEX(Manual_Review!$T$6:$T$238,U191)="","",INDEX(Manual_Review!$T$6:$T$238,U191))</f>
        <v/>
      </c>
      <c r="J191" s="5" t="str">
        <f t="shared" si="4"/>
        <v>AI provisional</v>
      </c>
      <c r="K191" s="5" t="str">
        <f t="shared" si="5"/>
        <v>Y</v>
      </c>
      <c r="L191" s="5" t="s">
        <v>266</v>
      </c>
      <c r="M191" s="5" t="s">
        <v>3286</v>
      </c>
      <c r="N191" s="5" t="s">
        <v>3269</v>
      </c>
      <c r="O191" s="5" t="s">
        <v>2976</v>
      </c>
      <c r="P191" s="5" t="s">
        <v>2858</v>
      </c>
      <c r="Q191" s="11">
        <v>46306.5</v>
      </c>
      <c r="R191" s="6"/>
      <c r="S191" s="6"/>
      <c r="T191" s="6"/>
      <c r="U191" s="5">
        <f>MATCH(B191,Manual_Review!$A$6:$A$238,0)</f>
        <v>12</v>
      </c>
      <c r="V191" s="5" t="str">
        <f>IF(INDEX(Manual_Review!$G$6:$G$238,U191)="","",INDEX(Manual_Review!$G$6:$G$238,U191))</f>
        <v/>
      </c>
      <c r="W191" s="11" t="str">
        <f>IF(INDEX(Manual_Review!$H$6:$H$238,U191)="","",INDEX(Manual_Review!$H$6:$H$238,U191))</f>
        <v/>
      </c>
      <c r="X191" s="5" t="str">
        <f>IF(INDEX(Manual_Review!$I$6:$I$238,U191)="","",INDEX(Manual_Review!$I$6:$I$238,U191))</f>
        <v/>
      </c>
      <c r="Y191" s="5" t="s">
        <v>2859</v>
      </c>
    </row>
    <row r="192" spans="1:25" ht="25.5">
      <c r="A192" s="5" t="s">
        <v>3287</v>
      </c>
      <c r="B192" s="5" t="s">
        <v>256</v>
      </c>
      <c r="C192" s="5" t="s">
        <v>257</v>
      </c>
      <c r="D192" s="5" t="s">
        <v>118</v>
      </c>
      <c r="E192" s="5" t="s">
        <v>2791</v>
      </c>
      <c r="F192" s="5" t="s">
        <v>2760</v>
      </c>
      <c r="G192" s="5">
        <v>1</v>
      </c>
      <c r="H192" s="5" t="s">
        <v>2864</v>
      </c>
      <c r="I192" s="5" t="str">
        <f>IF(INDEX(Manual_Review!$U$6:$U$238,U192)="","",INDEX(Manual_Review!$U$6:$U$238,U192))</f>
        <v/>
      </c>
      <c r="J192" s="5" t="str">
        <f t="shared" si="4"/>
        <v>AI provisional</v>
      </c>
      <c r="K192" s="5" t="str">
        <f t="shared" si="5"/>
        <v>U</v>
      </c>
      <c r="L192" s="5" t="s">
        <v>266</v>
      </c>
      <c r="M192" s="5" t="s">
        <v>3288</v>
      </c>
      <c r="N192" s="5" t="s">
        <v>3269</v>
      </c>
      <c r="O192" s="5" t="s">
        <v>2888</v>
      </c>
      <c r="P192" s="5" t="s">
        <v>2858</v>
      </c>
      <c r="Q192" s="11">
        <v>46306.5</v>
      </c>
      <c r="R192" s="6"/>
      <c r="S192" s="6"/>
      <c r="T192" s="6"/>
      <c r="U192" s="5">
        <f>MATCH(B192,Manual_Review!$A$6:$A$238,0)</f>
        <v>12</v>
      </c>
      <c r="V192" s="5" t="str">
        <f>IF(INDEX(Manual_Review!$G$6:$G$238,U192)="","",INDEX(Manual_Review!$G$6:$G$238,U192))</f>
        <v/>
      </c>
      <c r="W192" s="11" t="str">
        <f>IF(INDEX(Manual_Review!$H$6:$H$238,U192)="","",INDEX(Manual_Review!$H$6:$H$238,U192))</f>
        <v/>
      </c>
      <c r="X192" s="5" t="str">
        <f>IF(INDEX(Manual_Review!$I$6:$I$238,U192)="","",INDEX(Manual_Review!$I$6:$I$238,U192))</f>
        <v/>
      </c>
      <c r="Y192" s="5" t="s">
        <v>2859</v>
      </c>
    </row>
    <row r="193" spans="1:25" ht="25.5">
      <c r="A193" s="5" t="s">
        <v>3289</v>
      </c>
      <c r="B193" s="5" t="s">
        <v>256</v>
      </c>
      <c r="C193" s="5" t="s">
        <v>257</v>
      </c>
      <c r="D193" s="5" t="s">
        <v>118</v>
      </c>
      <c r="E193" s="5" t="s">
        <v>2792</v>
      </c>
      <c r="F193" s="5" t="s">
        <v>2762</v>
      </c>
      <c r="G193" s="5">
        <v>1</v>
      </c>
      <c r="H193" s="5" t="s">
        <v>2864</v>
      </c>
      <c r="I193" s="5" t="str">
        <f>IF(INDEX(Manual_Review!$V$6:$V$238,U193)="","",INDEX(Manual_Review!$V$6:$V$238,U193))</f>
        <v/>
      </c>
      <c r="J193" s="5" t="str">
        <f t="shared" si="4"/>
        <v>AI provisional</v>
      </c>
      <c r="K193" s="5" t="str">
        <f t="shared" si="5"/>
        <v>U</v>
      </c>
      <c r="L193" s="5" t="s">
        <v>266</v>
      </c>
      <c r="M193" s="5" t="s">
        <v>3290</v>
      </c>
      <c r="N193" s="5" t="s">
        <v>3269</v>
      </c>
      <c r="O193" s="5" t="s">
        <v>2891</v>
      </c>
      <c r="P193" s="5" t="s">
        <v>2858</v>
      </c>
      <c r="Q193" s="11">
        <v>46306.5</v>
      </c>
      <c r="R193" s="6"/>
      <c r="S193" s="6"/>
      <c r="T193" s="6"/>
      <c r="U193" s="5">
        <f>MATCH(B193,Manual_Review!$A$6:$A$238,0)</f>
        <v>12</v>
      </c>
      <c r="V193" s="5" t="str">
        <f>IF(INDEX(Manual_Review!$G$6:$G$238,U193)="","",INDEX(Manual_Review!$G$6:$G$238,U193))</f>
        <v/>
      </c>
      <c r="W193" s="11" t="str">
        <f>IF(INDEX(Manual_Review!$H$6:$H$238,U193)="","",INDEX(Manual_Review!$H$6:$H$238,U193))</f>
        <v/>
      </c>
      <c r="X193" s="5" t="str">
        <f>IF(INDEX(Manual_Review!$I$6:$I$238,U193)="","",INDEX(Manual_Review!$I$6:$I$238,U193))</f>
        <v/>
      </c>
      <c r="Y193" s="5" t="s">
        <v>2859</v>
      </c>
    </row>
    <row r="194" spans="1:25" ht="25.5">
      <c r="A194" s="5" t="s">
        <v>3291</v>
      </c>
      <c r="B194" s="5" t="s">
        <v>256</v>
      </c>
      <c r="C194" s="5" t="s">
        <v>257</v>
      </c>
      <c r="D194" s="5" t="s">
        <v>118</v>
      </c>
      <c r="E194" s="5" t="s">
        <v>2793</v>
      </c>
      <c r="F194" s="5" t="s">
        <v>2762</v>
      </c>
      <c r="G194" s="5">
        <v>1</v>
      </c>
      <c r="H194" s="5" t="s">
        <v>2854</v>
      </c>
      <c r="I194" s="5" t="str">
        <f>IF(INDEX(Manual_Review!$W$6:$W$238,U194)="","",INDEX(Manual_Review!$W$6:$W$238,U194))</f>
        <v/>
      </c>
      <c r="J194" s="5" t="str">
        <f t="shared" si="4"/>
        <v>AI provisional</v>
      </c>
      <c r="K194" s="5" t="str">
        <f t="shared" si="5"/>
        <v>Y</v>
      </c>
      <c r="L194" s="5" t="s">
        <v>266</v>
      </c>
      <c r="M194" s="5" t="s">
        <v>3292</v>
      </c>
      <c r="N194" s="5" t="s">
        <v>3269</v>
      </c>
      <c r="O194" s="5" t="s">
        <v>3077</v>
      </c>
      <c r="P194" s="5" t="s">
        <v>2858</v>
      </c>
      <c r="Q194" s="11">
        <v>46306.5</v>
      </c>
      <c r="R194" s="6"/>
      <c r="S194" s="6"/>
      <c r="T194" s="6"/>
      <c r="U194" s="5">
        <f>MATCH(B194,Manual_Review!$A$6:$A$238,0)</f>
        <v>12</v>
      </c>
      <c r="V194" s="5" t="str">
        <f>IF(INDEX(Manual_Review!$G$6:$G$238,U194)="","",INDEX(Manual_Review!$G$6:$G$238,U194))</f>
        <v/>
      </c>
      <c r="W194" s="11" t="str">
        <f>IF(INDEX(Manual_Review!$H$6:$H$238,U194)="","",INDEX(Manual_Review!$H$6:$H$238,U194))</f>
        <v/>
      </c>
      <c r="X194" s="5" t="str">
        <f>IF(INDEX(Manual_Review!$I$6:$I$238,U194)="","",INDEX(Manual_Review!$I$6:$I$238,U194))</f>
        <v/>
      </c>
      <c r="Y194" s="5" t="s">
        <v>2859</v>
      </c>
    </row>
    <row r="195" spans="1:25" ht="25.5">
      <c r="A195" s="5" t="s">
        <v>3293</v>
      </c>
      <c r="B195" s="5" t="s">
        <v>256</v>
      </c>
      <c r="C195" s="5" t="s">
        <v>257</v>
      </c>
      <c r="D195" s="5" t="s">
        <v>118</v>
      </c>
      <c r="E195" s="5" t="s">
        <v>2794</v>
      </c>
      <c r="F195" s="5" t="s">
        <v>2764</v>
      </c>
      <c r="G195" s="5">
        <v>1</v>
      </c>
      <c r="H195" s="5" t="s">
        <v>2854</v>
      </c>
      <c r="I195" s="5" t="str">
        <f>IF(INDEX(Manual_Review!$X$6:$X$238,U195)="","",INDEX(Manual_Review!$X$6:$X$238,U195))</f>
        <v/>
      </c>
      <c r="J195" s="5" t="str">
        <f t="shared" si="4"/>
        <v>AI provisional</v>
      </c>
      <c r="K195" s="5" t="str">
        <f t="shared" si="5"/>
        <v>Y</v>
      </c>
      <c r="L195" s="5" t="s">
        <v>266</v>
      </c>
      <c r="M195" s="5" t="s">
        <v>3294</v>
      </c>
      <c r="N195" s="5" t="s">
        <v>3269</v>
      </c>
      <c r="O195" s="5" t="s">
        <v>2984</v>
      </c>
      <c r="P195" s="5" t="s">
        <v>2858</v>
      </c>
      <c r="Q195" s="11">
        <v>46306.5</v>
      </c>
      <c r="R195" s="6"/>
      <c r="S195" s="6"/>
      <c r="T195" s="6"/>
      <c r="U195" s="5">
        <f>MATCH(B195,Manual_Review!$A$6:$A$238,0)</f>
        <v>12</v>
      </c>
      <c r="V195" s="5" t="str">
        <f>IF(INDEX(Manual_Review!$G$6:$G$238,U195)="","",INDEX(Manual_Review!$G$6:$G$238,U195))</f>
        <v/>
      </c>
      <c r="W195" s="11" t="str">
        <f>IF(INDEX(Manual_Review!$H$6:$H$238,U195)="","",INDEX(Manual_Review!$H$6:$H$238,U195))</f>
        <v/>
      </c>
      <c r="X195" s="5" t="str">
        <f>IF(INDEX(Manual_Review!$I$6:$I$238,U195)="","",INDEX(Manual_Review!$I$6:$I$238,U195))</f>
        <v/>
      </c>
      <c r="Y195" s="5" t="s">
        <v>2859</v>
      </c>
    </row>
    <row r="196" spans="1:25" ht="25.5">
      <c r="A196" s="5" t="s">
        <v>3295</v>
      </c>
      <c r="B196" s="5" t="s">
        <v>256</v>
      </c>
      <c r="C196" s="5" t="s">
        <v>257</v>
      </c>
      <c r="D196" s="5" t="s">
        <v>118</v>
      </c>
      <c r="E196" s="5" t="s">
        <v>2795</v>
      </c>
      <c r="F196" s="5" t="s">
        <v>2764</v>
      </c>
      <c r="G196" s="5">
        <v>1</v>
      </c>
      <c r="H196" s="5" t="s">
        <v>2864</v>
      </c>
      <c r="I196" s="5" t="str">
        <f>IF(INDEX(Manual_Review!$Y$6:$Y$238,U196)="","",INDEX(Manual_Review!$Y$6:$Y$238,U196))</f>
        <v/>
      </c>
      <c r="J196" s="5" t="str">
        <f t="shared" si="4"/>
        <v>AI provisional</v>
      </c>
      <c r="K196" s="5" t="str">
        <f t="shared" si="5"/>
        <v>U</v>
      </c>
      <c r="L196" s="5" t="s">
        <v>266</v>
      </c>
      <c r="M196" s="5" t="s">
        <v>3273</v>
      </c>
      <c r="N196" s="5" t="s">
        <v>3269</v>
      </c>
      <c r="O196" s="5" t="s">
        <v>2897</v>
      </c>
      <c r="P196" s="5" t="s">
        <v>2858</v>
      </c>
      <c r="Q196" s="11">
        <v>46306.5</v>
      </c>
      <c r="R196" s="6"/>
      <c r="S196" s="6"/>
      <c r="T196" s="6"/>
      <c r="U196" s="5">
        <f>MATCH(B196,Manual_Review!$A$6:$A$238,0)</f>
        <v>12</v>
      </c>
      <c r="V196" s="5" t="str">
        <f>IF(INDEX(Manual_Review!$G$6:$G$238,U196)="","",INDEX(Manual_Review!$G$6:$G$238,U196))</f>
        <v/>
      </c>
      <c r="W196" s="11" t="str">
        <f>IF(INDEX(Manual_Review!$H$6:$H$238,U196)="","",INDEX(Manual_Review!$H$6:$H$238,U196))</f>
        <v/>
      </c>
      <c r="X196" s="5" t="str">
        <f>IF(INDEX(Manual_Review!$I$6:$I$238,U196)="","",INDEX(Manual_Review!$I$6:$I$238,U196))</f>
        <v/>
      </c>
      <c r="Y196" s="5" t="s">
        <v>2859</v>
      </c>
    </row>
    <row r="197" spans="1:25" ht="25.5">
      <c r="A197" s="5" t="s">
        <v>3296</v>
      </c>
      <c r="B197" s="5" t="s">
        <v>256</v>
      </c>
      <c r="C197" s="5" t="s">
        <v>257</v>
      </c>
      <c r="D197" s="5" t="s">
        <v>118</v>
      </c>
      <c r="E197" s="5" t="s">
        <v>2796</v>
      </c>
      <c r="F197" s="5" t="s">
        <v>2764</v>
      </c>
      <c r="G197" s="5">
        <v>1</v>
      </c>
      <c r="H197" s="5" t="s">
        <v>2864</v>
      </c>
      <c r="I197" s="5" t="str">
        <f>IF(INDEX(Manual_Review!$Z$6:$Z$238,U197)="","",INDEX(Manual_Review!$Z$6:$Z$238,U197))</f>
        <v/>
      </c>
      <c r="J197" s="5" t="str">
        <f t="shared" si="4"/>
        <v>AI provisional</v>
      </c>
      <c r="K197" s="5" t="str">
        <f t="shared" si="5"/>
        <v>U</v>
      </c>
      <c r="L197" s="5" t="s">
        <v>266</v>
      </c>
      <c r="M197" s="5" t="s">
        <v>3284</v>
      </c>
      <c r="N197" s="5" t="s">
        <v>3269</v>
      </c>
      <c r="O197" s="5" t="s">
        <v>2899</v>
      </c>
      <c r="P197" s="5" t="s">
        <v>2858</v>
      </c>
      <c r="Q197" s="11">
        <v>46306.5</v>
      </c>
      <c r="R197" s="6"/>
      <c r="S197" s="6"/>
      <c r="T197" s="6"/>
      <c r="U197" s="5">
        <f>MATCH(B197,Manual_Review!$A$6:$A$238,0)</f>
        <v>12</v>
      </c>
      <c r="V197" s="5" t="str">
        <f>IF(INDEX(Manual_Review!$G$6:$G$238,U197)="","",INDEX(Manual_Review!$G$6:$G$238,U197))</f>
        <v/>
      </c>
      <c r="W197" s="11" t="str">
        <f>IF(INDEX(Manual_Review!$H$6:$H$238,U197)="","",INDEX(Manual_Review!$H$6:$H$238,U197))</f>
        <v/>
      </c>
      <c r="X197" s="5" t="str">
        <f>IF(INDEX(Manual_Review!$I$6:$I$238,U197)="","",INDEX(Manual_Review!$I$6:$I$238,U197))</f>
        <v/>
      </c>
      <c r="Y197" s="5" t="s">
        <v>2859</v>
      </c>
    </row>
    <row r="198" spans="1:25" ht="25.5">
      <c r="A198" s="5" t="s">
        <v>3297</v>
      </c>
      <c r="B198" s="5" t="s">
        <v>268</v>
      </c>
      <c r="C198" s="5" t="s">
        <v>269</v>
      </c>
      <c r="D198" s="5" t="s">
        <v>118</v>
      </c>
      <c r="E198" s="5" t="s">
        <v>2781</v>
      </c>
      <c r="F198" s="5" t="s">
        <v>2754</v>
      </c>
      <c r="G198" s="5">
        <v>1</v>
      </c>
      <c r="H198" s="5" t="s">
        <v>2854</v>
      </c>
      <c r="I198" s="5" t="str">
        <f>IF(INDEX(Manual_Review!$K$6:$K$238,U198)="","",INDEX(Manual_Review!$K$6:$K$238,U198))</f>
        <v/>
      </c>
      <c r="J198" s="5" t="str">
        <f t="shared" ref="J198:J261" si="6">IF(G198=0,"Not applicable",IF(I198="","AI provisional",IF(AND(OR(I198="Y",I198="N",I198="U",I198="X"),V198&lt;&gt;"",ISNUMBER(W198),W198&gt;0,X198="Confirmed",R198&lt;&gt;"",S198&lt;&gt;"",T198&lt;&gt;""),"Human valid","Evidence needed")))</f>
        <v>AI provisional</v>
      </c>
      <c r="K198" s="5" t="str">
        <f t="shared" ref="K198:K261" si="7">IF(G198=0,"N/A",IF(I198="",H198,IF(J198="Human valid",I198,"U")))</f>
        <v>Y</v>
      </c>
      <c r="L198" s="5" t="s">
        <v>232</v>
      </c>
      <c r="M198" s="5" t="s">
        <v>3298</v>
      </c>
      <c r="N198" s="5" t="s">
        <v>3299</v>
      </c>
      <c r="O198" s="5" t="s">
        <v>2857</v>
      </c>
      <c r="P198" s="5" t="s">
        <v>2858</v>
      </c>
      <c r="Q198" s="11">
        <v>46306.5</v>
      </c>
      <c r="R198" s="6"/>
      <c r="S198" s="6"/>
      <c r="T198" s="6"/>
      <c r="U198" s="5">
        <f>MATCH(B198,Manual_Review!$A$6:$A$238,0)</f>
        <v>13</v>
      </c>
      <c r="V198" s="5" t="str">
        <f>IF(INDEX(Manual_Review!$G$6:$G$238,U198)="","",INDEX(Manual_Review!$G$6:$G$238,U198))</f>
        <v/>
      </c>
      <c r="W198" s="11" t="str">
        <f>IF(INDEX(Manual_Review!$H$6:$H$238,U198)="","",INDEX(Manual_Review!$H$6:$H$238,U198))</f>
        <v/>
      </c>
      <c r="X198" s="5" t="str">
        <f>IF(INDEX(Manual_Review!$I$6:$I$238,U198)="","",INDEX(Manual_Review!$I$6:$I$238,U198))</f>
        <v/>
      </c>
      <c r="Y198" s="5" t="s">
        <v>2859</v>
      </c>
    </row>
    <row r="199" spans="1:25" ht="25.5">
      <c r="A199" s="5" t="s">
        <v>3300</v>
      </c>
      <c r="B199" s="5" t="s">
        <v>268</v>
      </c>
      <c r="C199" s="5" t="s">
        <v>269</v>
      </c>
      <c r="D199" s="5" t="s">
        <v>118</v>
      </c>
      <c r="E199" s="5" t="s">
        <v>2782</v>
      </c>
      <c r="F199" s="5" t="s">
        <v>2754</v>
      </c>
      <c r="G199" s="5">
        <v>1</v>
      </c>
      <c r="H199" s="5" t="s">
        <v>2854</v>
      </c>
      <c r="I199" s="5" t="str">
        <f>IF(INDEX(Manual_Review!$L$6:$L$238,U199)="","",INDEX(Manual_Review!$L$6:$L$238,U199))</f>
        <v/>
      </c>
      <c r="J199" s="5" t="str">
        <f t="shared" si="6"/>
        <v>AI provisional</v>
      </c>
      <c r="K199" s="5" t="str">
        <f t="shared" si="7"/>
        <v>Y</v>
      </c>
      <c r="L199" s="5" t="s">
        <v>232</v>
      </c>
      <c r="M199" s="5" t="s">
        <v>3301</v>
      </c>
      <c r="N199" s="5" t="s">
        <v>3299</v>
      </c>
      <c r="O199" s="5" t="s">
        <v>2862</v>
      </c>
      <c r="P199" s="5" t="s">
        <v>2858</v>
      </c>
      <c r="Q199" s="11">
        <v>46306.5</v>
      </c>
      <c r="R199" s="6"/>
      <c r="S199" s="6"/>
      <c r="T199" s="6"/>
      <c r="U199" s="5">
        <f>MATCH(B199,Manual_Review!$A$6:$A$238,0)</f>
        <v>13</v>
      </c>
      <c r="V199" s="5" t="str">
        <f>IF(INDEX(Manual_Review!$G$6:$G$238,U199)="","",INDEX(Manual_Review!$G$6:$G$238,U199))</f>
        <v/>
      </c>
      <c r="W199" s="11" t="str">
        <f>IF(INDEX(Manual_Review!$H$6:$H$238,U199)="","",INDEX(Manual_Review!$H$6:$H$238,U199))</f>
        <v/>
      </c>
      <c r="X199" s="5" t="str">
        <f>IF(INDEX(Manual_Review!$I$6:$I$238,U199)="","",INDEX(Manual_Review!$I$6:$I$238,U199))</f>
        <v/>
      </c>
      <c r="Y199" s="5" t="s">
        <v>2859</v>
      </c>
    </row>
    <row r="200" spans="1:25" ht="25.5">
      <c r="A200" s="5" t="s">
        <v>3302</v>
      </c>
      <c r="B200" s="5" t="s">
        <v>268</v>
      </c>
      <c r="C200" s="5" t="s">
        <v>269</v>
      </c>
      <c r="D200" s="5" t="s">
        <v>118</v>
      </c>
      <c r="E200" s="5" t="s">
        <v>2783</v>
      </c>
      <c r="F200" s="5" t="s">
        <v>2754</v>
      </c>
      <c r="G200" s="5">
        <v>1</v>
      </c>
      <c r="H200" s="5" t="s">
        <v>2864</v>
      </c>
      <c r="I200" s="5" t="str">
        <f>IF(INDEX(Manual_Review!$M$6:$M$238,U200)="","",INDEX(Manual_Review!$M$6:$M$238,U200))</f>
        <v/>
      </c>
      <c r="J200" s="5" t="str">
        <f t="shared" si="6"/>
        <v>AI provisional</v>
      </c>
      <c r="K200" s="5" t="str">
        <f t="shared" si="7"/>
        <v>U</v>
      </c>
      <c r="L200" s="5" t="s">
        <v>232</v>
      </c>
      <c r="M200" s="5" t="s">
        <v>3303</v>
      </c>
      <c r="N200" s="5" t="s">
        <v>3299</v>
      </c>
      <c r="O200" s="5" t="s">
        <v>2866</v>
      </c>
      <c r="P200" s="5" t="s">
        <v>2858</v>
      </c>
      <c r="Q200" s="11">
        <v>46306.5</v>
      </c>
      <c r="R200" s="6"/>
      <c r="S200" s="6"/>
      <c r="T200" s="6"/>
      <c r="U200" s="5">
        <f>MATCH(B200,Manual_Review!$A$6:$A$238,0)</f>
        <v>13</v>
      </c>
      <c r="V200" s="5" t="str">
        <f>IF(INDEX(Manual_Review!$G$6:$G$238,U200)="","",INDEX(Manual_Review!$G$6:$G$238,U200))</f>
        <v/>
      </c>
      <c r="W200" s="11" t="str">
        <f>IF(INDEX(Manual_Review!$H$6:$H$238,U200)="","",INDEX(Manual_Review!$H$6:$H$238,U200))</f>
        <v/>
      </c>
      <c r="X200" s="5" t="str">
        <f>IF(INDEX(Manual_Review!$I$6:$I$238,U200)="","",INDEX(Manual_Review!$I$6:$I$238,U200))</f>
        <v/>
      </c>
      <c r="Y200" s="5" t="s">
        <v>2859</v>
      </c>
    </row>
    <row r="201" spans="1:25" ht="25.5">
      <c r="A201" s="5" t="s">
        <v>3304</v>
      </c>
      <c r="B201" s="5" t="s">
        <v>268</v>
      </c>
      <c r="C201" s="5" t="s">
        <v>269</v>
      </c>
      <c r="D201" s="5" t="s">
        <v>118</v>
      </c>
      <c r="E201" s="5" t="s">
        <v>2784</v>
      </c>
      <c r="F201" s="5" t="s">
        <v>2756</v>
      </c>
      <c r="G201" s="5">
        <v>1</v>
      </c>
      <c r="H201" s="5" t="s">
        <v>2854</v>
      </c>
      <c r="I201" s="5" t="str">
        <f>IF(INDEX(Manual_Review!$N$6:$N$238,U201)="","",INDEX(Manual_Review!$N$6:$N$238,U201))</f>
        <v/>
      </c>
      <c r="J201" s="5" t="str">
        <f t="shared" si="6"/>
        <v>AI provisional</v>
      </c>
      <c r="K201" s="5" t="str">
        <f t="shared" si="7"/>
        <v>Y</v>
      </c>
      <c r="L201" s="5" t="s">
        <v>232</v>
      </c>
      <c r="M201" s="5" t="s">
        <v>3305</v>
      </c>
      <c r="N201" s="5" t="s">
        <v>3299</v>
      </c>
      <c r="O201" s="5" t="s">
        <v>2963</v>
      </c>
      <c r="P201" s="5" t="s">
        <v>2858</v>
      </c>
      <c r="Q201" s="11">
        <v>46306.5</v>
      </c>
      <c r="R201" s="6"/>
      <c r="S201" s="6"/>
      <c r="T201" s="6"/>
      <c r="U201" s="5">
        <f>MATCH(B201,Manual_Review!$A$6:$A$238,0)</f>
        <v>13</v>
      </c>
      <c r="V201" s="5" t="str">
        <f>IF(INDEX(Manual_Review!$G$6:$G$238,U201)="","",INDEX(Manual_Review!$G$6:$G$238,U201))</f>
        <v/>
      </c>
      <c r="W201" s="11" t="str">
        <f>IF(INDEX(Manual_Review!$H$6:$H$238,U201)="","",INDEX(Manual_Review!$H$6:$H$238,U201))</f>
        <v/>
      </c>
      <c r="X201" s="5" t="str">
        <f>IF(INDEX(Manual_Review!$I$6:$I$238,U201)="","",INDEX(Manual_Review!$I$6:$I$238,U201))</f>
        <v/>
      </c>
      <c r="Y201" s="5" t="s">
        <v>2859</v>
      </c>
    </row>
    <row r="202" spans="1:25" ht="25.5">
      <c r="A202" s="5" t="s">
        <v>3306</v>
      </c>
      <c r="B202" s="5" t="s">
        <v>268</v>
      </c>
      <c r="C202" s="5" t="s">
        <v>269</v>
      </c>
      <c r="D202" s="5" t="s">
        <v>118</v>
      </c>
      <c r="E202" s="5" t="s">
        <v>2785</v>
      </c>
      <c r="F202" s="5" t="s">
        <v>2756</v>
      </c>
      <c r="G202" s="5">
        <v>1</v>
      </c>
      <c r="H202" s="5" t="s">
        <v>2854</v>
      </c>
      <c r="I202" s="5" t="str">
        <f>IF(INDEX(Manual_Review!$O$6:$O$238,U202)="","",INDEX(Manual_Review!$O$6:$O$238,U202))</f>
        <v/>
      </c>
      <c r="J202" s="5" t="str">
        <f t="shared" si="6"/>
        <v>AI provisional</v>
      </c>
      <c r="K202" s="5" t="str">
        <f t="shared" si="7"/>
        <v>Y</v>
      </c>
      <c r="L202" s="5" t="s">
        <v>232</v>
      </c>
      <c r="M202" s="5" t="s">
        <v>3307</v>
      </c>
      <c r="N202" s="5" t="s">
        <v>3299</v>
      </c>
      <c r="O202" s="5" t="s">
        <v>3138</v>
      </c>
      <c r="P202" s="5" t="s">
        <v>2858</v>
      </c>
      <c r="Q202" s="11">
        <v>46306.5</v>
      </c>
      <c r="R202" s="6"/>
      <c r="S202" s="6"/>
      <c r="T202" s="6"/>
      <c r="U202" s="5">
        <f>MATCH(B202,Manual_Review!$A$6:$A$238,0)</f>
        <v>13</v>
      </c>
      <c r="V202" s="5" t="str">
        <f>IF(INDEX(Manual_Review!$G$6:$G$238,U202)="","",INDEX(Manual_Review!$G$6:$G$238,U202))</f>
        <v/>
      </c>
      <c r="W202" s="11" t="str">
        <f>IF(INDEX(Manual_Review!$H$6:$H$238,U202)="","",INDEX(Manual_Review!$H$6:$H$238,U202))</f>
        <v/>
      </c>
      <c r="X202" s="5" t="str">
        <f>IF(INDEX(Manual_Review!$I$6:$I$238,U202)="","",INDEX(Manual_Review!$I$6:$I$238,U202))</f>
        <v/>
      </c>
      <c r="Y202" s="5" t="s">
        <v>2859</v>
      </c>
    </row>
    <row r="203" spans="1:25" ht="25.5">
      <c r="A203" s="5" t="s">
        <v>3308</v>
      </c>
      <c r="B203" s="5" t="s">
        <v>268</v>
      </c>
      <c r="C203" s="5" t="s">
        <v>269</v>
      </c>
      <c r="D203" s="5" t="s">
        <v>118</v>
      </c>
      <c r="E203" s="5" t="s">
        <v>2786</v>
      </c>
      <c r="F203" s="5" t="s">
        <v>2756</v>
      </c>
      <c r="G203" s="5">
        <v>1</v>
      </c>
      <c r="H203" s="5" t="s">
        <v>2864</v>
      </c>
      <c r="I203" s="5" t="str">
        <f>IF(INDEX(Manual_Review!$P$6:$P$238,U203)="","",INDEX(Manual_Review!$P$6:$P$238,U203))</f>
        <v/>
      </c>
      <c r="J203" s="5" t="str">
        <f t="shared" si="6"/>
        <v>AI provisional</v>
      </c>
      <c r="K203" s="5" t="str">
        <f t="shared" si="7"/>
        <v>U</v>
      </c>
      <c r="L203" s="5" t="s">
        <v>232</v>
      </c>
      <c r="M203" s="5" t="s">
        <v>3303</v>
      </c>
      <c r="N203" s="5" t="s">
        <v>3299</v>
      </c>
      <c r="O203" s="5" t="s">
        <v>2874</v>
      </c>
      <c r="P203" s="5" t="s">
        <v>2858</v>
      </c>
      <c r="Q203" s="11">
        <v>46306.5</v>
      </c>
      <c r="R203" s="6"/>
      <c r="S203" s="6"/>
      <c r="T203" s="6"/>
      <c r="U203" s="5">
        <f>MATCH(B203,Manual_Review!$A$6:$A$238,0)</f>
        <v>13</v>
      </c>
      <c r="V203" s="5" t="str">
        <f>IF(INDEX(Manual_Review!$G$6:$G$238,U203)="","",INDEX(Manual_Review!$G$6:$G$238,U203))</f>
        <v/>
      </c>
      <c r="W203" s="11" t="str">
        <f>IF(INDEX(Manual_Review!$H$6:$H$238,U203)="","",INDEX(Manual_Review!$H$6:$H$238,U203))</f>
        <v/>
      </c>
      <c r="X203" s="5" t="str">
        <f>IF(INDEX(Manual_Review!$I$6:$I$238,U203)="","",INDEX(Manual_Review!$I$6:$I$238,U203))</f>
        <v/>
      </c>
      <c r="Y203" s="5" t="s">
        <v>2859</v>
      </c>
    </row>
    <row r="204" spans="1:25" ht="25.5">
      <c r="A204" s="5" t="s">
        <v>3309</v>
      </c>
      <c r="B204" s="5" t="s">
        <v>268</v>
      </c>
      <c r="C204" s="5" t="s">
        <v>269</v>
      </c>
      <c r="D204" s="5" t="s">
        <v>118</v>
      </c>
      <c r="E204" s="5" t="s">
        <v>2787</v>
      </c>
      <c r="F204" s="5" t="s">
        <v>2758</v>
      </c>
      <c r="G204" s="5">
        <v>1</v>
      </c>
      <c r="H204" s="5" t="s">
        <v>2864</v>
      </c>
      <c r="I204" s="5" t="str">
        <f>IF(INDEX(Manual_Review!$Q$6:$Q$238,U204)="","",INDEX(Manual_Review!$Q$6:$Q$238,U204))</f>
        <v/>
      </c>
      <c r="J204" s="5" t="str">
        <f t="shared" si="6"/>
        <v>AI provisional</v>
      </c>
      <c r="K204" s="5" t="str">
        <f t="shared" si="7"/>
        <v>U</v>
      </c>
      <c r="L204" s="5" t="s">
        <v>232</v>
      </c>
      <c r="M204" s="5" t="s">
        <v>3310</v>
      </c>
      <c r="N204" s="5" t="s">
        <v>3299</v>
      </c>
      <c r="O204" s="5" t="s">
        <v>2877</v>
      </c>
      <c r="P204" s="5" t="s">
        <v>2858</v>
      </c>
      <c r="Q204" s="11">
        <v>46306.5</v>
      </c>
      <c r="R204" s="6"/>
      <c r="S204" s="6"/>
      <c r="T204" s="6"/>
      <c r="U204" s="5">
        <f>MATCH(B204,Manual_Review!$A$6:$A$238,0)</f>
        <v>13</v>
      </c>
      <c r="V204" s="5" t="str">
        <f>IF(INDEX(Manual_Review!$G$6:$G$238,U204)="","",INDEX(Manual_Review!$G$6:$G$238,U204))</f>
        <v/>
      </c>
      <c r="W204" s="11" t="str">
        <f>IF(INDEX(Manual_Review!$H$6:$H$238,U204)="","",INDEX(Manual_Review!$H$6:$H$238,U204))</f>
        <v/>
      </c>
      <c r="X204" s="5" t="str">
        <f>IF(INDEX(Manual_Review!$I$6:$I$238,U204)="","",INDEX(Manual_Review!$I$6:$I$238,U204))</f>
        <v/>
      </c>
      <c r="Y204" s="5" t="s">
        <v>2859</v>
      </c>
    </row>
    <row r="205" spans="1:25" ht="25.5">
      <c r="A205" s="5" t="s">
        <v>3311</v>
      </c>
      <c r="B205" s="5" t="s">
        <v>268</v>
      </c>
      <c r="C205" s="5" t="s">
        <v>269</v>
      </c>
      <c r="D205" s="5" t="s">
        <v>118</v>
      </c>
      <c r="E205" s="5" t="s">
        <v>2788</v>
      </c>
      <c r="F205" s="5" t="s">
        <v>2758</v>
      </c>
      <c r="G205" s="5">
        <v>1</v>
      </c>
      <c r="H205" s="5" t="s">
        <v>2854</v>
      </c>
      <c r="I205" s="5" t="str">
        <f>IF(INDEX(Manual_Review!$R$6:$R$238,U205)="","",INDEX(Manual_Review!$R$6:$R$238,U205))</f>
        <v/>
      </c>
      <c r="J205" s="5" t="str">
        <f t="shared" si="6"/>
        <v>AI provisional</v>
      </c>
      <c r="K205" s="5" t="str">
        <f t="shared" si="7"/>
        <v>Y</v>
      </c>
      <c r="L205" s="5" t="s">
        <v>232</v>
      </c>
      <c r="M205" s="5" t="s">
        <v>3312</v>
      </c>
      <c r="N205" s="5" t="s">
        <v>3299</v>
      </c>
      <c r="O205" s="5" t="s">
        <v>3067</v>
      </c>
      <c r="P205" s="5" t="s">
        <v>2858</v>
      </c>
      <c r="Q205" s="11">
        <v>46306.5</v>
      </c>
      <c r="R205" s="6"/>
      <c r="S205" s="6"/>
      <c r="T205" s="6"/>
      <c r="U205" s="5">
        <f>MATCH(B205,Manual_Review!$A$6:$A$238,0)</f>
        <v>13</v>
      </c>
      <c r="V205" s="5" t="str">
        <f>IF(INDEX(Manual_Review!$G$6:$G$238,U205)="","",INDEX(Manual_Review!$G$6:$G$238,U205))</f>
        <v/>
      </c>
      <c r="W205" s="11" t="str">
        <f>IF(INDEX(Manual_Review!$H$6:$H$238,U205)="","",INDEX(Manual_Review!$H$6:$H$238,U205))</f>
        <v/>
      </c>
      <c r="X205" s="5" t="str">
        <f>IF(INDEX(Manual_Review!$I$6:$I$238,U205)="","",INDEX(Manual_Review!$I$6:$I$238,U205))</f>
        <v/>
      </c>
      <c r="Y205" s="5" t="s">
        <v>2859</v>
      </c>
    </row>
    <row r="206" spans="1:25" ht="25.5">
      <c r="A206" s="5" t="s">
        <v>3313</v>
      </c>
      <c r="B206" s="5" t="s">
        <v>268</v>
      </c>
      <c r="C206" s="5" t="s">
        <v>269</v>
      </c>
      <c r="D206" s="5" t="s">
        <v>118</v>
      </c>
      <c r="E206" s="5" t="s">
        <v>2789</v>
      </c>
      <c r="F206" s="5" t="s">
        <v>2758</v>
      </c>
      <c r="G206" s="5">
        <v>1</v>
      </c>
      <c r="H206" s="5" t="s">
        <v>2854</v>
      </c>
      <c r="I206" s="5" t="str">
        <f>IF(INDEX(Manual_Review!$S$6:$S$238,U206)="","",INDEX(Manual_Review!$S$6:$S$238,U206))</f>
        <v/>
      </c>
      <c r="J206" s="5" t="str">
        <f t="shared" si="6"/>
        <v>AI provisional</v>
      </c>
      <c r="K206" s="5" t="str">
        <f t="shared" si="7"/>
        <v>Y</v>
      </c>
      <c r="L206" s="5" t="s">
        <v>232</v>
      </c>
      <c r="M206" s="5" t="s">
        <v>3314</v>
      </c>
      <c r="N206" s="5" t="s">
        <v>3299</v>
      </c>
      <c r="O206" s="5" t="s">
        <v>3178</v>
      </c>
      <c r="P206" s="5" t="s">
        <v>2858</v>
      </c>
      <c r="Q206" s="11">
        <v>46306.5</v>
      </c>
      <c r="R206" s="6"/>
      <c r="S206" s="6"/>
      <c r="T206" s="6"/>
      <c r="U206" s="5">
        <f>MATCH(B206,Manual_Review!$A$6:$A$238,0)</f>
        <v>13</v>
      </c>
      <c r="V206" s="5" t="str">
        <f>IF(INDEX(Manual_Review!$G$6:$G$238,U206)="","",INDEX(Manual_Review!$G$6:$G$238,U206))</f>
        <v/>
      </c>
      <c r="W206" s="11" t="str">
        <f>IF(INDEX(Manual_Review!$H$6:$H$238,U206)="","",INDEX(Manual_Review!$H$6:$H$238,U206))</f>
        <v/>
      </c>
      <c r="X206" s="5" t="str">
        <f>IF(INDEX(Manual_Review!$I$6:$I$238,U206)="","",INDEX(Manual_Review!$I$6:$I$238,U206))</f>
        <v/>
      </c>
      <c r="Y206" s="5" t="s">
        <v>2859</v>
      </c>
    </row>
    <row r="207" spans="1:25" ht="25.5">
      <c r="A207" s="5" t="s">
        <v>3315</v>
      </c>
      <c r="B207" s="5" t="s">
        <v>268</v>
      </c>
      <c r="C207" s="5" t="s">
        <v>269</v>
      </c>
      <c r="D207" s="5" t="s">
        <v>118</v>
      </c>
      <c r="E207" s="5" t="s">
        <v>2790</v>
      </c>
      <c r="F207" s="5" t="s">
        <v>2760</v>
      </c>
      <c r="G207" s="5">
        <v>1</v>
      </c>
      <c r="H207" s="5" t="s">
        <v>2854</v>
      </c>
      <c r="I207" s="5" t="str">
        <f>IF(INDEX(Manual_Review!$T$6:$T$238,U207)="","",INDEX(Manual_Review!$T$6:$T$238,U207))</f>
        <v/>
      </c>
      <c r="J207" s="5" t="str">
        <f t="shared" si="6"/>
        <v>AI provisional</v>
      </c>
      <c r="K207" s="5" t="str">
        <f t="shared" si="7"/>
        <v>Y</v>
      </c>
      <c r="L207" s="5" t="s">
        <v>232</v>
      </c>
      <c r="M207" s="5" t="s">
        <v>3316</v>
      </c>
      <c r="N207" s="5" t="s">
        <v>3299</v>
      </c>
      <c r="O207" s="5" t="s">
        <v>2976</v>
      </c>
      <c r="P207" s="5" t="s">
        <v>2858</v>
      </c>
      <c r="Q207" s="11">
        <v>46306.5</v>
      </c>
      <c r="R207" s="6"/>
      <c r="S207" s="6"/>
      <c r="T207" s="6"/>
      <c r="U207" s="5">
        <f>MATCH(B207,Manual_Review!$A$6:$A$238,0)</f>
        <v>13</v>
      </c>
      <c r="V207" s="5" t="str">
        <f>IF(INDEX(Manual_Review!$G$6:$G$238,U207)="","",INDEX(Manual_Review!$G$6:$G$238,U207))</f>
        <v/>
      </c>
      <c r="W207" s="11" t="str">
        <f>IF(INDEX(Manual_Review!$H$6:$H$238,U207)="","",INDEX(Manual_Review!$H$6:$H$238,U207))</f>
        <v/>
      </c>
      <c r="X207" s="5" t="str">
        <f>IF(INDEX(Manual_Review!$I$6:$I$238,U207)="","",INDEX(Manual_Review!$I$6:$I$238,U207))</f>
        <v/>
      </c>
      <c r="Y207" s="5" t="s">
        <v>2859</v>
      </c>
    </row>
    <row r="208" spans="1:25" ht="25.5">
      <c r="A208" s="5" t="s">
        <v>3317</v>
      </c>
      <c r="B208" s="5" t="s">
        <v>268</v>
      </c>
      <c r="C208" s="5" t="s">
        <v>269</v>
      </c>
      <c r="D208" s="5" t="s">
        <v>118</v>
      </c>
      <c r="E208" s="5" t="s">
        <v>2791</v>
      </c>
      <c r="F208" s="5" t="s">
        <v>2760</v>
      </c>
      <c r="G208" s="5">
        <v>1</v>
      </c>
      <c r="H208" s="5" t="s">
        <v>2864</v>
      </c>
      <c r="I208" s="5" t="str">
        <f>IF(INDEX(Manual_Review!$U$6:$U$238,U208)="","",INDEX(Manual_Review!$U$6:$U$238,U208))</f>
        <v/>
      </c>
      <c r="J208" s="5" t="str">
        <f t="shared" si="6"/>
        <v>AI provisional</v>
      </c>
      <c r="K208" s="5" t="str">
        <f t="shared" si="7"/>
        <v>U</v>
      </c>
      <c r="L208" s="5" t="s">
        <v>232</v>
      </c>
      <c r="M208" s="5" t="s">
        <v>3318</v>
      </c>
      <c r="N208" s="5" t="s">
        <v>3299</v>
      </c>
      <c r="O208" s="5" t="s">
        <v>2888</v>
      </c>
      <c r="P208" s="5" t="s">
        <v>2858</v>
      </c>
      <c r="Q208" s="11">
        <v>46306.5</v>
      </c>
      <c r="R208" s="6"/>
      <c r="S208" s="6"/>
      <c r="T208" s="6"/>
      <c r="U208" s="5">
        <f>MATCH(B208,Manual_Review!$A$6:$A$238,0)</f>
        <v>13</v>
      </c>
      <c r="V208" s="5" t="str">
        <f>IF(INDEX(Manual_Review!$G$6:$G$238,U208)="","",INDEX(Manual_Review!$G$6:$G$238,U208))</f>
        <v/>
      </c>
      <c r="W208" s="11" t="str">
        <f>IF(INDEX(Manual_Review!$H$6:$H$238,U208)="","",INDEX(Manual_Review!$H$6:$H$238,U208))</f>
        <v/>
      </c>
      <c r="X208" s="5" t="str">
        <f>IF(INDEX(Manual_Review!$I$6:$I$238,U208)="","",INDEX(Manual_Review!$I$6:$I$238,U208))</f>
        <v/>
      </c>
      <c r="Y208" s="5" t="s">
        <v>2859</v>
      </c>
    </row>
    <row r="209" spans="1:25" ht="25.5">
      <c r="A209" s="5" t="s">
        <v>3319</v>
      </c>
      <c r="B209" s="5" t="s">
        <v>268</v>
      </c>
      <c r="C209" s="5" t="s">
        <v>269</v>
      </c>
      <c r="D209" s="5" t="s">
        <v>118</v>
      </c>
      <c r="E209" s="5" t="s">
        <v>2792</v>
      </c>
      <c r="F209" s="5" t="s">
        <v>2762</v>
      </c>
      <c r="G209" s="5">
        <v>1</v>
      </c>
      <c r="H209" s="5" t="s">
        <v>2864</v>
      </c>
      <c r="I209" s="5" t="str">
        <f>IF(INDEX(Manual_Review!$V$6:$V$238,U209)="","",INDEX(Manual_Review!$V$6:$V$238,U209))</f>
        <v/>
      </c>
      <c r="J209" s="5" t="str">
        <f t="shared" si="6"/>
        <v>AI provisional</v>
      </c>
      <c r="K209" s="5" t="str">
        <f t="shared" si="7"/>
        <v>U</v>
      </c>
      <c r="L209" s="5" t="s">
        <v>232</v>
      </c>
      <c r="M209" s="5" t="s">
        <v>3320</v>
      </c>
      <c r="N209" s="5" t="s">
        <v>3299</v>
      </c>
      <c r="O209" s="5" t="s">
        <v>2891</v>
      </c>
      <c r="P209" s="5" t="s">
        <v>2858</v>
      </c>
      <c r="Q209" s="11">
        <v>46306.5</v>
      </c>
      <c r="R209" s="6"/>
      <c r="S209" s="6"/>
      <c r="T209" s="6"/>
      <c r="U209" s="5">
        <f>MATCH(B209,Manual_Review!$A$6:$A$238,0)</f>
        <v>13</v>
      </c>
      <c r="V209" s="5" t="str">
        <f>IF(INDEX(Manual_Review!$G$6:$G$238,U209)="","",INDEX(Manual_Review!$G$6:$G$238,U209))</f>
        <v/>
      </c>
      <c r="W209" s="11" t="str">
        <f>IF(INDEX(Manual_Review!$H$6:$H$238,U209)="","",INDEX(Manual_Review!$H$6:$H$238,U209))</f>
        <v/>
      </c>
      <c r="X209" s="5" t="str">
        <f>IF(INDEX(Manual_Review!$I$6:$I$238,U209)="","",INDEX(Manual_Review!$I$6:$I$238,U209))</f>
        <v/>
      </c>
      <c r="Y209" s="5" t="s">
        <v>2859</v>
      </c>
    </row>
    <row r="210" spans="1:25" ht="25.5">
      <c r="A210" s="5" t="s">
        <v>3321</v>
      </c>
      <c r="B210" s="5" t="s">
        <v>268</v>
      </c>
      <c r="C210" s="5" t="s">
        <v>269</v>
      </c>
      <c r="D210" s="5" t="s">
        <v>118</v>
      </c>
      <c r="E210" s="5" t="s">
        <v>2793</v>
      </c>
      <c r="F210" s="5" t="s">
        <v>2762</v>
      </c>
      <c r="G210" s="5">
        <v>1</v>
      </c>
      <c r="H210" s="5" t="s">
        <v>2854</v>
      </c>
      <c r="I210" s="5" t="str">
        <f>IF(INDEX(Manual_Review!$W$6:$W$238,U210)="","",INDEX(Manual_Review!$W$6:$W$238,U210))</f>
        <v/>
      </c>
      <c r="J210" s="5" t="str">
        <f t="shared" si="6"/>
        <v>AI provisional</v>
      </c>
      <c r="K210" s="5" t="str">
        <f t="shared" si="7"/>
        <v>Y</v>
      </c>
      <c r="L210" s="5" t="s">
        <v>232</v>
      </c>
      <c r="M210" s="5" t="s">
        <v>3320</v>
      </c>
      <c r="N210" s="5" t="s">
        <v>3299</v>
      </c>
      <c r="O210" s="5" t="s">
        <v>3077</v>
      </c>
      <c r="P210" s="5" t="s">
        <v>2858</v>
      </c>
      <c r="Q210" s="11">
        <v>46306.5</v>
      </c>
      <c r="R210" s="6"/>
      <c r="S210" s="6"/>
      <c r="T210" s="6"/>
      <c r="U210" s="5">
        <f>MATCH(B210,Manual_Review!$A$6:$A$238,0)</f>
        <v>13</v>
      </c>
      <c r="V210" s="5" t="str">
        <f>IF(INDEX(Manual_Review!$G$6:$G$238,U210)="","",INDEX(Manual_Review!$G$6:$G$238,U210))</f>
        <v/>
      </c>
      <c r="W210" s="11" t="str">
        <f>IF(INDEX(Manual_Review!$H$6:$H$238,U210)="","",INDEX(Manual_Review!$H$6:$H$238,U210))</f>
        <v/>
      </c>
      <c r="X210" s="5" t="str">
        <f>IF(INDEX(Manual_Review!$I$6:$I$238,U210)="","",INDEX(Manual_Review!$I$6:$I$238,U210))</f>
        <v/>
      </c>
      <c r="Y210" s="5" t="s">
        <v>2859</v>
      </c>
    </row>
    <row r="211" spans="1:25" ht="25.5">
      <c r="A211" s="5" t="s">
        <v>3322</v>
      </c>
      <c r="B211" s="5" t="s">
        <v>268</v>
      </c>
      <c r="C211" s="5" t="s">
        <v>269</v>
      </c>
      <c r="D211" s="5" t="s">
        <v>118</v>
      </c>
      <c r="E211" s="5" t="s">
        <v>2794</v>
      </c>
      <c r="F211" s="5" t="s">
        <v>2764</v>
      </c>
      <c r="G211" s="5">
        <v>1</v>
      </c>
      <c r="H211" s="5" t="s">
        <v>2854</v>
      </c>
      <c r="I211" s="5" t="str">
        <f>IF(INDEX(Manual_Review!$X$6:$X$238,U211)="","",INDEX(Manual_Review!$X$6:$X$238,U211))</f>
        <v/>
      </c>
      <c r="J211" s="5" t="str">
        <f t="shared" si="6"/>
        <v>AI provisional</v>
      </c>
      <c r="K211" s="5" t="str">
        <f t="shared" si="7"/>
        <v>Y</v>
      </c>
      <c r="L211" s="5" t="s">
        <v>232</v>
      </c>
      <c r="M211" s="5" t="s">
        <v>3323</v>
      </c>
      <c r="N211" s="5" t="s">
        <v>3299</v>
      </c>
      <c r="O211" s="5" t="s">
        <v>2984</v>
      </c>
      <c r="P211" s="5" t="s">
        <v>2858</v>
      </c>
      <c r="Q211" s="11">
        <v>46306.5</v>
      </c>
      <c r="R211" s="6"/>
      <c r="S211" s="6"/>
      <c r="T211" s="6"/>
      <c r="U211" s="5">
        <f>MATCH(B211,Manual_Review!$A$6:$A$238,0)</f>
        <v>13</v>
      </c>
      <c r="V211" s="5" t="str">
        <f>IF(INDEX(Manual_Review!$G$6:$G$238,U211)="","",INDEX(Manual_Review!$G$6:$G$238,U211))</f>
        <v/>
      </c>
      <c r="W211" s="11" t="str">
        <f>IF(INDEX(Manual_Review!$H$6:$H$238,U211)="","",INDEX(Manual_Review!$H$6:$H$238,U211))</f>
        <v/>
      </c>
      <c r="X211" s="5" t="str">
        <f>IF(INDEX(Manual_Review!$I$6:$I$238,U211)="","",INDEX(Manual_Review!$I$6:$I$238,U211))</f>
        <v/>
      </c>
      <c r="Y211" s="5" t="s">
        <v>2859</v>
      </c>
    </row>
    <row r="212" spans="1:25" ht="25.5">
      <c r="A212" s="5" t="s">
        <v>3324</v>
      </c>
      <c r="B212" s="5" t="s">
        <v>268</v>
      </c>
      <c r="C212" s="5" t="s">
        <v>269</v>
      </c>
      <c r="D212" s="5" t="s">
        <v>118</v>
      </c>
      <c r="E212" s="5" t="s">
        <v>2795</v>
      </c>
      <c r="F212" s="5" t="s">
        <v>2764</v>
      </c>
      <c r="G212" s="5">
        <v>1</v>
      </c>
      <c r="H212" s="5" t="s">
        <v>2864</v>
      </c>
      <c r="I212" s="5" t="str">
        <f>IF(INDEX(Manual_Review!$Y$6:$Y$238,U212)="","",INDEX(Manual_Review!$Y$6:$Y$238,U212))</f>
        <v/>
      </c>
      <c r="J212" s="5" t="str">
        <f t="shared" si="6"/>
        <v>AI provisional</v>
      </c>
      <c r="K212" s="5" t="str">
        <f t="shared" si="7"/>
        <v>U</v>
      </c>
      <c r="L212" s="5" t="s">
        <v>232</v>
      </c>
      <c r="M212" s="5" t="s">
        <v>3303</v>
      </c>
      <c r="N212" s="5" t="s">
        <v>3299</v>
      </c>
      <c r="O212" s="5" t="s">
        <v>2897</v>
      </c>
      <c r="P212" s="5" t="s">
        <v>2858</v>
      </c>
      <c r="Q212" s="11">
        <v>46306.5</v>
      </c>
      <c r="R212" s="6"/>
      <c r="S212" s="6"/>
      <c r="T212" s="6"/>
      <c r="U212" s="5">
        <f>MATCH(B212,Manual_Review!$A$6:$A$238,0)</f>
        <v>13</v>
      </c>
      <c r="V212" s="5" t="str">
        <f>IF(INDEX(Manual_Review!$G$6:$G$238,U212)="","",INDEX(Manual_Review!$G$6:$G$238,U212))</f>
        <v/>
      </c>
      <c r="W212" s="11" t="str">
        <f>IF(INDEX(Manual_Review!$H$6:$H$238,U212)="","",INDEX(Manual_Review!$H$6:$H$238,U212))</f>
        <v/>
      </c>
      <c r="X212" s="5" t="str">
        <f>IF(INDEX(Manual_Review!$I$6:$I$238,U212)="","",INDEX(Manual_Review!$I$6:$I$238,U212))</f>
        <v/>
      </c>
      <c r="Y212" s="5" t="s">
        <v>2859</v>
      </c>
    </row>
    <row r="213" spans="1:25" ht="25.5">
      <c r="A213" s="5" t="s">
        <v>3325</v>
      </c>
      <c r="B213" s="5" t="s">
        <v>268</v>
      </c>
      <c r="C213" s="5" t="s">
        <v>269</v>
      </c>
      <c r="D213" s="5" t="s">
        <v>118</v>
      </c>
      <c r="E213" s="5" t="s">
        <v>2796</v>
      </c>
      <c r="F213" s="5" t="s">
        <v>2764</v>
      </c>
      <c r="G213" s="5">
        <v>1</v>
      </c>
      <c r="H213" s="5" t="s">
        <v>2854</v>
      </c>
      <c r="I213" s="5" t="str">
        <f>IF(INDEX(Manual_Review!$Z$6:$Z$238,U213)="","",INDEX(Manual_Review!$Z$6:$Z$238,U213))</f>
        <v/>
      </c>
      <c r="J213" s="5" t="str">
        <f t="shared" si="6"/>
        <v>AI provisional</v>
      </c>
      <c r="K213" s="5" t="str">
        <f t="shared" si="7"/>
        <v>Y</v>
      </c>
      <c r="L213" s="5" t="s">
        <v>232</v>
      </c>
      <c r="M213" s="5" t="s">
        <v>3326</v>
      </c>
      <c r="N213" s="5" t="s">
        <v>3299</v>
      </c>
      <c r="O213" s="5" t="s">
        <v>3085</v>
      </c>
      <c r="P213" s="5" t="s">
        <v>2858</v>
      </c>
      <c r="Q213" s="11">
        <v>46306.5</v>
      </c>
      <c r="R213" s="6"/>
      <c r="S213" s="6"/>
      <c r="T213" s="6"/>
      <c r="U213" s="5">
        <f>MATCH(B213,Manual_Review!$A$6:$A$238,0)</f>
        <v>13</v>
      </c>
      <c r="V213" s="5" t="str">
        <f>IF(INDEX(Manual_Review!$G$6:$G$238,U213)="","",INDEX(Manual_Review!$G$6:$G$238,U213))</f>
        <v/>
      </c>
      <c r="W213" s="11" t="str">
        <f>IF(INDEX(Manual_Review!$H$6:$H$238,U213)="","",INDEX(Manual_Review!$H$6:$H$238,U213))</f>
        <v/>
      </c>
      <c r="X213" s="5" t="str">
        <f>IF(INDEX(Manual_Review!$I$6:$I$238,U213)="","",INDEX(Manual_Review!$I$6:$I$238,U213))</f>
        <v/>
      </c>
      <c r="Y213" s="5" t="s">
        <v>2859</v>
      </c>
    </row>
    <row r="214" spans="1:25" ht="25.5">
      <c r="A214" s="5" t="s">
        <v>3327</v>
      </c>
      <c r="B214" s="5" t="s">
        <v>274</v>
      </c>
      <c r="C214" s="5" t="s">
        <v>275</v>
      </c>
      <c r="D214" s="5" t="s">
        <v>118</v>
      </c>
      <c r="E214" s="5" t="s">
        <v>2781</v>
      </c>
      <c r="F214" s="5" t="s">
        <v>2754</v>
      </c>
      <c r="G214" s="5">
        <v>1</v>
      </c>
      <c r="H214" s="5" t="s">
        <v>2854</v>
      </c>
      <c r="I214" s="5" t="str">
        <f>IF(INDEX(Manual_Review!$K$6:$K$238,U214)="","",INDEX(Manual_Review!$K$6:$K$238,U214))</f>
        <v/>
      </c>
      <c r="J214" s="5" t="str">
        <f t="shared" si="6"/>
        <v>AI provisional</v>
      </c>
      <c r="K214" s="5" t="str">
        <f t="shared" si="7"/>
        <v>Y</v>
      </c>
      <c r="L214" s="5" t="s">
        <v>232</v>
      </c>
      <c r="M214" s="5" t="s">
        <v>3328</v>
      </c>
      <c r="N214" s="5" t="s">
        <v>3329</v>
      </c>
      <c r="O214" s="5" t="s">
        <v>2857</v>
      </c>
      <c r="P214" s="5" t="s">
        <v>2858</v>
      </c>
      <c r="Q214" s="11">
        <v>46306.5</v>
      </c>
      <c r="R214" s="6"/>
      <c r="S214" s="6"/>
      <c r="T214" s="6"/>
      <c r="U214" s="5">
        <f>MATCH(B214,Manual_Review!$A$6:$A$238,0)</f>
        <v>14</v>
      </c>
      <c r="V214" s="5" t="str">
        <f>IF(INDEX(Manual_Review!$G$6:$G$238,U214)="","",INDEX(Manual_Review!$G$6:$G$238,U214))</f>
        <v/>
      </c>
      <c r="W214" s="11" t="str">
        <f>IF(INDEX(Manual_Review!$H$6:$H$238,U214)="","",INDEX(Manual_Review!$H$6:$H$238,U214))</f>
        <v/>
      </c>
      <c r="X214" s="5" t="str">
        <f>IF(INDEX(Manual_Review!$I$6:$I$238,U214)="","",INDEX(Manual_Review!$I$6:$I$238,U214))</f>
        <v/>
      </c>
      <c r="Y214" s="5" t="s">
        <v>2859</v>
      </c>
    </row>
    <row r="215" spans="1:25" ht="25.5">
      <c r="A215" s="5" t="s">
        <v>3330</v>
      </c>
      <c r="B215" s="5" t="s">
        <v>274</v>
      </c>
      <c r="C215" s="5" t="s">
        <v>275</v>
      </c>
      <c r="D215" s="5" t="s">
        <v>118</v>
      </c>
      <c r="E215" s="5" t="s">
        <v>2782</v>
      </c>
      <c r="F215" s="5" t="s">
        <v>2754</v>
      </c>
      <c r="G215" s="5">
        <v>1</v>
      </c>
      <c r="H215" s="5" t="s">
        <v>2854</v>
      </c>
      <c r="I215" s="5" t="str">
        <f>IF(INDEX(Manual_Review!$L$6:$L$238,U215)="","",INDEX(Manual_Review!$L$6:$L$238,U215))</f>
        <v/>
      </c>
      <c r="J215" s="5" t="str">
        <f t="shared" si="6"/>
        <v>AI provisional</v>
      </c>
      <c r="K215" s="5" t="str">
        <f t="shared" si="7"/>
        <v>Y</v>
      </c>
      <c r="L215" s="5" t="s">
        <v>232</v>
      </c>
      <c r="M215" s="5" t="s">
        <v>3331</v>
      </c>
      <c r="N215" s="5" t="s">
        <v>3329</v>
      </c>
      <c r="O215" s="5" t="s">
        <v>2862</v>
      </c>
      <c r="P215" s="5" t="s">
        <v>2858</v>
      </c>
      <c r="Q215" s="11">
        <v>46306.5</v>
      </c>
      <c r="R215" s="6"/>
      <c r="S215" s="6"/>
      <c r="T215" s="6"/>
      <c r="U215" s="5">
        <f>MATCH(B215,Manual_Review!$A$6:$A$238,0)</f>
        <v>14</v>
      </c>
      <c r="V215" s="5" t="str">
        <f>IF(INDEX(Manual_Review!$G$6:$G$238,U215)="","",INDEX(Manual_Review!$G$6:$G$238,U215))</f>
        <v/>
      </c>
      <c r="W215" s="11" t="str">
        <f>IF(INDEX(Manual_Review!$H$6:$H$238,U215)="","",INDEX(Manual_Review!$H$6:$H$238,U215))</f>
        <v/>
      </c>
      <c r="X215" s="5" t="str">
        <f>IF(INDEX(Manual_Review!$I$6:$I$238,U215)="","",INDEX(Manual_Review!$I$6:$I$238,U215))</f>
        <v/>
      </c>
      <c r="Y215" s="5" t="s">
        <v>2859</v>
      </c>
    </row>
    <row r="216" spans="1:25" ht="25.5">
      <c r="A216" s="5" t="s">
        <v>3332</v>
      </c>
      <c r="B216" s="5" t="s">
        <v>274</v>
      </c>
      <c r="C216" s="5" t="s">
        <v>275</v>
      </c>
      <c r="D216" s="5" t="s">
        <v>118</v>
      </c>
      <c r="E216" s="5" t="s">
        <v>2783</v>
      </c>
      <c r="F216" s="5" t="s">
        <v>2754</v>
      </c>
      <c r="G216" s="5">
        <v>1</v>
      </c>
      <c r="H216" s="5" t="s">
        <v>2864</v>
      </c>
      <c r="I216" s="5" t="str">
        <f>IF(INDEX(Manual_Review!$M$6:$M$238,U216)="","",INDEX(Manual_Review!$M$6:$M$238,U216))</f>
        <v/>
      </c>
      <c r="J216" s="5" t="str">
        <f t="shared" si="6"/>
        <v>AI provisional</v>
      </c>
      <c r="K216" s="5" t="str">
        <f t="shared" si="7"/>
        <v>U</v>
      </c>
      <c r="L216" s="5" t="s">
        <v>232</v>
      </c>
      <c r="M216" s="5" t="s">
        <v>3333</v>
      </c>
      <c r="N216" s="5" t="s">
        <v>3329</v>
      </c>
      <c r="O216" s="5" t="s">
        <v>2866</v>
      </c>
      <c r="P216" s="5" t="s">
        <v>2858</v>
      </c>
      <c r="Q216" s="11">
        <v>46306.5</v>
      </c>
      <c r="R216" s="6"/>
      <c r="S216" s="6"/>
      <c r="T216" s="6"/>
      <c r="U216" s="5">
        <f>MATCH(B216,Manual_Review!$A$6:$A$238,0)</f>
        <v>14</v>
      </c>
      <c r="V216" s="5" t="str">
        <f>IF(INDEX(Manual_Review!$G$6:$G$238,U216)="","",INDEX(Manual_Review!$G$6:$G$238,U216))</f>
        <v/>
      </c>
      <c r="W216" s="11" t="str">
        <f>IF(INDEX(Manual_Review!$H$6:$H$238,U216)="","",INDEX(Manual_Review!$H$6:$H$238,U216))</f>
        <v/>
      </c>
      <c r="X216" s="5" t="str">
        <f>IF(INDEX(Manual_Review!$I$6:$I$238,U216)="","",INDEX(Manual_Review!$I$6:$I$238,U216))</f>
        <v/>
      </c>
      <c r="Y216" s="5" t="s">
        <v>2859</v>
      </c>
    </row>
    <row r="217" spans="1:25" ht="25.5">
      <c r="A217" s="5" t="s">
        <v>3334</v>
      </c>
      <c r="B217" s="5" t="s">
        <v>274</v>
      </c>
      <c r="C217" s="5" t="s">
        <v>275</v>
      </c>
      <c r="D217" s="5" t="s">
        <v>118</v>
      </c>
      <c r="E217" s="5" t="s">
        <v>2784</v>
      </c>
      <c r="F217" s="5" t="s">
        <v>2756</v>
      </c>
      <c r="G217" s="5">
        <v>1</v>
      </c>
      <c r="H217" s="5" t="s">
        <v>2854</v>
      </c>
      <c r="I217" s="5" t="str">
        <f>IF(INDEX(Manual_Review!$N$6:$N$238,U217)="","",INDEX(Manual_Review!$N$6:$N$238,U217))</f>
        <v/>
      </c>
      <c r="J217" s="5" t="str">
        <f t="shared" si="6"/>
        <v>AI provisional</v>
      </c>
      <c r="K217" s="5" t="str">
        <f t="shared" si="7"/>
        <v>Y</v>
      </c>
      <c r="L217" s="5" t="s">
        <v>232</v>
      </c>
      <c r="M217" s="5" t="s">
        <v>3335</v>
      </c>
      <c r="N217" s="5" t="s">
        <v>3329</v>
      </c>
      <c r="O217" s="5" t="s">
        <v>2963</v>
      </c>
      <c r="P217" s="5" t="s">
        <v>2858</v>
      </c>
      <c r="Q217" s="11">
        <v>46306.5</v>
      </c>
      <c r="R217" s="6"/>
      <c r="S217" s="6"/>
      <c r="T217" s="6"/>
      <c r="U217" s="5">
        <f>MATCH(B217,Manual_Review!$A$6:$A$238,0)</f>
        <v>14</v>
      </c>
      <c r="V217" s="5" t="str">
        <f>IF(INDEX(Manual_Review!$G$6:$G$238,U217)="","",INDEX(Manual_Review!$G$6:$G$238,U217))</f>
        <v/>
      </c>
      <c r="W217" s="11" t="str">
        <f>IF(INDEX(Manual_Review!$H$6:$H$238,U217)="","",INDEX(Manual_Review!$H$6:$H$238,U217))</f>
        <v/>
      </c>
      <c r="X217" s="5" t="str">
        <f>IF(INDEX(Manual_Review!$I$6:$I$238,U217)="","",INDEX(Manual_Review!$I$6:$I$238,U217))</f>
        <v/>
      </c>
      <c r="Y217" s="5" t="s">
        <v>2859</v>
      </c>
    </row>
    <row r="218" spans="1:25" ht="25.5">
      <c r="A218" s="5" t="s">
        <v>3336</v>
      </c>
      <c r="B218" s="5" t="s">
        <v>274</v>
      </c>
      <c r="C218" s="5" t="s">
        <v>275</v>
      </c>
      <c r="D218" s="5" t="s">
        <v>118</v>
      </c>
      <c r="E218" s="5" t="s">
        <v>2785</v>
      </c>
      <c r="F218" s="5" t="s">
        <v>2756</v>
      </c>
      <c r="G218" s="5">
        <v>1</v>
      </c>
      <c r="H218" s="5" t="s">
        <v>2854</v>
      </c>
      <c r="I218" s="5" t="str">
        <f>IF(INDEX(Manual_Review!$O$6:$O$238,U218)="","",INDEX(Manual_Review!$O$6:$O$238,U218))</f>
        <v/>
      </c>
      <c r="J218" s="5" t="str">
        <f t="shared" si="6"/>
        <v>AI provisional</v>
      </c>
      <c r="K218" s="5" t="str">
        <f t="shared" si="7"/>
        <v>Y</v>
      </c>
      <c r="L218" s="5" t="s">
        <v>232</v>
      </c>
      <c r="M218" s="5" t="s">
        <v>3337</v>
      </c>
      <c r="N218" s="5" t="s">
        <v>3329</v>
      </c>
      <c r="O218" s="5" t="s">
        <v>3138</v>
      </c>
      <c r="P218" s="5" t="s">
        <v>2858</v>
      </c>
      <c r="Q218" s="11">
        <v>46306.5</v>
      </c>
      <c r="R218" s="6"/>
      <c r="S218" s="6"/>
      <c r="T218" s="6"/>
      <c r="U218" s="5">
        <f>MATCH(B218,Manual_Review!$A$6:$A$238,0)</f>
        <v>14</v>
      </c>
      <c r="V218" s="5" t="str">
        <f>IF(INDEX(Manual_Review!$G$6:$G$238,U218)="","",INDEX(Manual_Review!$G$6:$G$238,U218))</f>
        <v/>
      </c>
      <c r="W218" s="11" t="str">
        <f>IF(INDEX(Manual_Review!$H$6:$H$238,U218)="","",INDEX(Manual_Review!$H$6:$H$238,U218))</f>
        <v/>
      </c>
      <c r="X218" s="5" t="str">
        <f>IF(INDEX(Manual_Review!$I$6:$I$238,U218)="","",INDEX(Manual_Review!$I$6:$I$238,U218))</f>
        <v/>
      </c>
      <c r="Y218" s="5" t="s">
        <v>2859</v>
      </c>
    </row>
    <row r="219" spans="1:25" ht="25.5">
      <c r="A219" s="5" t="s">
        <v>3338</v>
      </c>
      <c r="B219" s="5" t="s">
        <v>274</v>
      </c>
      <c r="C219" s="5" t="s">
        <v>275</v>
      </c>
      <c r="D219" s="5" t="s">
        <v>118</v>
      </c>
      <c r="E219" s="5" t="s">
        <v>2786</v>
      </c>
      <c r="F219" s="5" t="s">
        <v>2756</v>
      </c>
      <c r="G219" s="5">
        <v>1</v>
      </c>
      <c r="H219" s="5" t="s">
        <v>2864</v>
      </c>
      <c r="I219" s="5" t="str">
        <f>IF(INDEX(Manual_Review!$P$6:$P$238,U219)="","",INDEX(Manual_Review!$P$6:$P$238,U219))</f>
        <v/>
      </c>
      <c r="J219" s="5" t="str">
        <f t="shared" si="6"/>
        <v>AI provisional</v>
      </c>
      <c r="K219" s="5" t="str">
        <f t="shared" si="7"/>
        <v>U</v>
      </c>
      <c r="L219" s="5" t="s">
        <v>232</v>
      </c>
      <c r="M219" s="5" t="s">
        <v>3333</v>
      </c>
      <c r="N219" s="5" t="s">
        <v>3329</v>
      </c>
      <c r="O219" s="5" t="s">
        <v>2874</v>
      </c>
      <c r="P219" s="5" t="s">
        <v>2858</v>
      </c>
      <c r="Q219" s="11">
        <v>46306.5</v>
      </c>
      <c r="R219" s="6"/>
      <c r="S219" s="6"/>
      <c r="T219" s="6"/>
      <c r="U219" s="5">
        <f>MATCH(B219,Manual_Review!$A$6:$A$238,0)</f>
        <v>14</v>
      </c>
      <c r="V219" s="5" t="str">
        <f>IF(INDEX(Manual_Review!$G$6:$G$238,U219)="","",INDEX(Manual_Review!$G$6:$G$238,U219))</f>
        <v/>
      </c>
      <c r="W219" s="11" t="str">
        <f>IF(INDEX(Manual_Review!$H$6:$H$238,U219)="","",INDEX(Manual_Review!$H$6:$H$238,U219))</f>
        <v/>
      </c>
      <c r="X219" s="5" t="str">
        <f>IF(INDEX(Manual_Review!$I$6:$I$238,U219)="","",INDEX(Manual_Review!$I$6:$I$238,U219))</f>
        <v/>
      </c>
      <c r="Y219" s="5" t="s">
        <v>2859</v>
      </c>
    </row>
    <row r="220" spans="1:25" ht="25.5">
      <c r="A220" s="5" t="s">
        <v>3339</v>
      </c>
      <c r="B220" s="5" t="s">
        <v>274</v>
      </c>
      <c r="C220" s="5" t="s">
        <v>275</v>
      </c>
      <c r="D220" s="5" t="s">
        <v>118</v>
      </c>
      <c r="E220" s="5" t="s">
        <v>2787</v>
      </c>
      <c r="F220" s="5" t="s">
        <v>2758</v>
      </c>
      <c r="G220" s="5">
        <v>1</v>
      </c>
      <c r="H220" s="5" t="s">
        <v>2864</v>
      </c>
      <c r="I220" s="5" t="str">
        <f>IF(INDEX(Manual_Review!$Q$6:$Q$238,U220)="","",INDEX(Manual_Review!$Q$6:$Q$238,U220))</f>
        <v/>
      </c>
      <c r="J220" s="5" t="str">
        <f t="shared" si="6"/>
        <v>AI provisional</v>
      </c>
      <c r="K220" s="5" t="str">
        <f t="shared" si="7"/>
        <v>U</v>
      </c>
      <c r="L220" s="5" t="s">
        <v>232</v>
      </c>
      <c r="M220" s="5" t="s">
        <v>3340</v>
      </c>
      <c r="N220" s="5" t="s">
        <v>3329</v>
      </c>
      <c r="O220" s="5" t="s">
        <v>2877</v>
      </c>
      <c r="P220" s="5" t="s">
        <v>2858</v>
      </c>
      <c r="Q220" s="11">
        <v>46306.5</v>
      </c>
      <c r="R220" s="6"/>
      <c r="S220" s="6"/>
      <c r="T220" s="6"/>
      <c r="U220" s="5">
        <f>MATCH(B220,Manual_Review!$A$6:$A$238,0)</f>
        <v>14</v>
      </c>
      <c r="V220" s="5" t="str">
        <f>IF(INDEX(Manual_Review!$G$6:$G$238,U220)="","",INDEX(Manual_Review!$G$6:$G$238,U220))</f>
        <v/>
      </c>
      <c r="W220" s="11" t="str">
        <f>IF(INDEX(Manual_Review!$H$6:$H$238,U220)="","",INDEX(Manual_Review!$H$6:$H$238,U220))</f>
        <v/>
      </c>
      <c r="X220" s="5" t="str">
        <f>IF(INDEX(Manual_Review!$I$6:$I$238,U220)="","",INDEX(Manual_Review!$I$6:$I$238,U220))</f>
        <v/>
      </c>
      <c r="Y220" s="5" t="s">
        <v>2859</v>
      </c>
    </row>
    <row r="221" spans="1:25" ht="25.5">
      <c r="A221" s="5" t="s">
        <v>3341</v>
      </c>
      <c r="B221" s="5" t="s">
        <v>274</v>
      </c>
      <c r="C221" s="5" t="s">
        <v>275</v>
      </c>
      <c r="D221" s="5" t="s">
        <v>118</v>
      </c>
      <c r="E221" s="5" t="s">
        <v>2788</v>
      </c>
      <c r="F221" s="5" t="s">
        <v>2758</v>
      </c>
      <c r="G221" s="5">
        <v>1</v>
      </c>
      <c r="H221" s="5" t="s">
        <v>2864</v>
      </c>
      <c r="I221" s="5" t="str">
        <f>IF(INDEX(Manual_Review!$R$6:$R$238,U221)="","",INDEX(Manual_Review!$R$6:$R$238,U221))</f>
        <v/>
      </c>
      <c r="J221" s="5" t="str">
        <f t="shared" si="6"/>
        <v>AI provisional</v>
      </c>
      <c r="K221" s="5" t="str">
        <f t="shared" si="7"/>
        <v>U</v>
      </c>
      <c r="L221" s="5" t="s">
        <v>232</v>
      </c>
      <c r="M221" s="5" t="s">
        <v>3342</v>
      </c>
      <c r="N221" s="5" t="s">
        <v>3329</v>
      </c>
      <c r="O221" s="5" t="s">
        <v>2880</v>
      </c>
      <c r="P221" s="5" t="s">
        <v>2858</v>
      </c>
      <c r="Q221" s="11">
        <v>46306.5</v>
      </c>
      <c r="R221" s="6"/>
      <c r="S221" s="6"/>
      <c r="T221" s="6"/>
      <c r="U221" s="5">
        <f>MATCH(B221,Manual_Review!$A$6:$A$238,0)</f>
        <v>14</v>
      </c>
      <c r="V221" s="5" t="str">
        <f>IF(INDEX(Manual_Review!$G$6:$G$238,U221)="","",INDEX(Manual_Review!$G$6:$G$238,U221))</f>
        <v/>
      </c>
      <c r="W221" s="11" t="str">
        <f>IF(INDEX(Manual_Review!$H$6:$H$238,U221)="","",INDEX(Manual_Review!$H$6:$H$238,U221))</f>
        <v/>
      </c>
      <c r="X221" s="5" t="str">
        <f>IF(INDEX(Manual_Review!$I$6:$I$238,U221)="","",INDEX(Manual_Review!$I$6:$I$238,U221))</f>
        <v/>
      </c>
      <c r="Y221" s="5" t="s">
        <v>2859</v>
      </c>
    </row>
    <row r="222" spans="1:25" ht="25.5">
      <c r="A222" s="5" t="s">
        <v>3343</v>
      </c>
      <c r="B222" s="5" t="s">
        <v>274</v>
      </c>
      <c r="C222" s="5" t="s">
        <v>275</v>
      </c>
      <c r="D222" s="5" t="s">
        <v>118</v>
      </c>
      <c r="E222" s="5" t="s">
        <v>2789</v>
      </c>
      <c r="F222" s="5" t="s">
        <v>2758</v>
      </c>
      <c r="G222" s="5">
        <v>1</v>
      </c>
      <c r="H222" s="5" t="s">
        <v>2854</v>
      </c>
      <c r="I222" s="5" t="str">
        <f>IF(INDEX(Manual_Review!$S$6:$S$238,U222)="","",INDEX(Manual_Review!$S$6:$S$238,U222))</f>
        <v/>
      </c>
      <c r="J222" s="5" t="str">
        <f t="shared" si="6"/>
        <v>AI provisional</v>
      </c>
      <c r="K222" s="5" t="str">
        <f t="shared" si="7"/>
        <v>Y</v>
      </c>
      <c r="L222" s="5" t="s">
        <v>232</v>
      </c>
      <c r="M222" s="5" t="s">
        <v>3344</v>
      </c>
      <c r="N222" s="5" t="s">
        <v>3329</v>
      </c>
      <c r="O222" s="5" t="s">
        <v>3178</v>
      </c>
      <c r="P222" s="5" t="s">
        <v>2858</v>
      </c>
      <c r="Q222" s="11">
        <v>46306.5</v>
      </c>
      <c r="R222" s="6"/>
      <c r="S222" s="6"/>
      <c r="T222" s="6"/>
      <c r="U222" s="5">
        <f>MATCH(B222,Manual_Review!$A$6:$A$238,0)</f>
        <v>14</v>
      </c>
      <c r="V222" s="5" t="str">
        <f>IF(INDEX(Manual_Review!$G$6:$G$238,U222)="","",INDEX(Manual_Review!$G$6:$G$238,U222))</f>
        <v/>
      </c>
      <c r="W222" s="11" t="str">
        <f>IF(INDEX(Manual_Review!$H$6:$H$238,U222)="","",INDEX(Manual_Review!$H$6:$H$238,U222))</f>
        <v/>
      </c>
      <c r="X222" s="5" t="str">
        <f>IF(INDEX(Manual_Review!$I$6:$I$238,U222)="","",INDEX(Manual_Review!$I$6:$I$238,U222))</f>
        <v/>
      </c>
      <c r="Y222" s="5" t="s">
        <v>2859</v>
      </c>
    </row>
    <row r="223" spans="1:25" ht="25.5">
      <c r="A223" s="5" t="s">
        <v>3345</v>
      </c>
      <c r="B223" s="5" t="s">
        <v>274</v>
      </c>
      <c r="C223" s="5" t="s">
        <v>275</v>
      </c>
      <c r="D223" s="5" t="s">
        <v>118</v>
      </c>
      <c r="E223" s="5" t="s">
        <v>2790</v>
      </c>
      <c r="F223" s="5" t="s">
        <v>2760</v>
      </c>
      <c r="G223" s="5">
        <v>1</v>
      </c>
      <c r="H223" s="5" t="s">
        <v>2854</v>
      </c>
      <c r="I223" s="5" t="str">
        <f>IF(INDEX(Manual_Review!$T$6:$T$238,U223)="","",INDEX(Manual_Review!$T$6:$T$238,U223))</f>
        <v/>
      </c>
      <c r="J223" s="5" t="str">
        <f t="shared" si="6"/>
        <v>AI provisional</v>
      </c>
      <c r="K223" s="5" t="str">
        <f t="shared" si="7"/>
        <v>Y</v>
      </c>
      <c r="L223" s="5" t="s">
        <v>232</v>
      </c>
      <c r="M223" s="5" t="s">
        <v>3346</v>
      </c>
      <c r="N223" s="5" t="s">
        <v>3329</v>
      </c>
      <c r="O223" s="5" t="s">
        <v>2976</v>
      </c>
      <c r="P223" s="5" t="s">
        <v>2858</v>
      </c>
      <c r="Q223" s="11">
        <v>46306.5</v>
      </c>
      <c r="R223" s="6"/>
      <c r="S223" s="6"/>
      <c r="T223" s="6"/>
      <c r="U223" s="5">
        <f>MATCH(B223,Manual_Review!$A$6:$A$238,0)</f>
        <v>14</v>
      </c>
      <c r="V223" s="5" t="str">
        <f>IF(INDEX(Manual_Review!$G$6:$G$238,U223)="","",INDEX(Manual_Review!$G$6:$G$238,U223))</f>
        <v/>
      </c>
      <c r="W223" s="11" t="str">
        <f>IF(INDEX(Manual_Review!$H$6:$H$238,U223)="","",INDEX(Manual_Review!$H$6:$H$238,U223))</f>
        <v/>
      </c>
      <c r="X223" s="5" t="str">
        <f>IF(INDEX(Manual_Review!$I$6:$I$238,U223)="","",INDEX(Manual_Review!$I$6:$I$238,U223))</f>
        <v/>
      </c>
      <c r="Y223" s="5" t="s">
        <v>2859</v>
      </c>
    </row>
    <row r="224" spans="1:25" ht="25.5">
      <c r="A224" s="5" t="s">
        <v>3347</v>
      </c>
      <c r="B224" s="5" t="s">
        <v>274</v>
      </c>
      <c r="C224" s="5" t="s">
        <v>275</v>
      </c>
      <c r="D224" s="5" t="s">
        <v>118</v>
      </c>
      <c r="E224" s="5" t="s">
        <v>2791</v>
      </c>
      <c r="F224" s="5" t="s">
        <v>2760</v>
      </c>
      <c r="G224" s="5">
        <v>1</v>
      </c>
      <c r="H224" s="5" t="s">
        <v>2864</v>
      </c>
      <c r="I224" s="5" t="str">
        <f>IF(INDEX(Manual_Review!$U$6:$U$238,U224)="","",INDEX(Manual_Review!$U$6:$U$238,U224))</f>
        <v/>
      </c>
      <c r="J224" s="5" t="str">
        <f t="shared" si="6"/>
        <v>AI provisional</v>
      </c>
      <c r="K224" s="5" t="str">
        <f t="shared" si="7"/>
        <v>U</v>
      </c>
      <c r="L224" s="5" t="s">
        <v>232</v>
      </c>
      <c r="M224" s="5" t="s">
        <v>3348</v>
      </c>
      <c r="N224" s="5" t="s">
        <v>3329</v>
      </c>
      <c r="O224" s="5" t="s">
        <v>2888</v>
      </c>
      <c r="P224" s="5" t="s">
        <v>2858</v>
      </c>
      <c r="Q224" s="11">
        <v>46306.5</v>
      </c>
      <c r="R224" s="6"/>
      <c r="S224" s="6"/>
      <c r="T224" s="6"/>
      <c r="U224" s="5">
        <f>MATCH(B224,Manual_Review!$A$6:$A$238,0)</f>
        <v>14</v>
      </c>
      <c r="V224" s="5" t="str">
        <f>IF(INDEX(Manual_Review!$G$6:$G$238,U224)="","",INDEX(Manual_Review!$G$6:$G$238,U224))</f>
        <v/>
      </c>
      <c r="W224" s="11" t="str">
        <f>IF(INDEX(Manual_Review!$H$6:$H$238,U224)="","",INDEX(Manual_Review!$H$6:$H$238,U224))</f>
        <v/>
      </c>
      <c r="X224" s="5" t="str">
        <f>IF(INDEX(Manual_Review!$I$6:$I$238,U224)="","",INDEX(Manual_Review!$I$6:$I$238,U224))</f>
        <v/>
      </c>
      <c r="Y224" s="5" t="s">
        <v>2859</v>
      </c>
    </row>
    <row r="225" spans="1:25" ht="25.5">
      <c r="A225" s="5" t="s">
        <v>3349</v>
      </c>
      <c r="B225" s="5" t="s">
        <v>274</v>
      </c>
      <c r="C225" s="5" t="s">
        <v>275</v>
      </c>
      <c r="D225" s="5" t="s">
        <v>118</v>
      </c>
      <c r="E225" s="5" t="s">
        <v>2792</v>
      </c>
      <c r="F225" s="5" t="s">
        <v>2762</v>
      </c>
      <c r="G225" s="5">
        <v>1</v>
      </c>
      <c r="H225" s="5" t="s">
        <v>2864</v>
      </c>
      <c r="I225" s="5" t="str">
        <f>IF(INDEX(Manual_Review!$V$6:$V$238,U225)="","",INDEX(Manual_Review!$V$6:$V$238,U225))</f>
        <v/>
      </c>
      <c r="J225" s="5" t="str">
        <f t="shared" si="6"/>
        <v>AI provisional</v>
      </c>
      <c r="K225" s="5" t="str">
        <f t="shared" si="7"/>
        <v>U</v>
      </c>
      <c r="L225" s="5" t="s">
        <v>232</v>
      </c>
      <c r="M225" s="5" t="s">
        <v>3350</v>
      </c>
      <c r="N225" s="5" t="s">
        <v>3329</v>
      </c>
      <c r="O225" s="5" t="s">
        <v>2891</v>
      </c>
      <c r="P225" s="5" t="s">
        <v>2858</v>
      </c>
      <c r="Q225" s="11">
        <v>46306.5</v>
      </c>
      <c r="R225" s="6"/>
      <c r="S225" s="6"/>
      <c r="T225" s="6"/>
      <c r="U225" s="5">
        <f>MATCH(B225,Manual_Review!$A$6:$A$238,0)</f>
        <v>14</v>
      </c>
      <c r="V225" s="5" t="str">
        <f>IF(INDEX(Manual_Review!$G$6:$G$238,U225)="","",INDEX(Manual_Review!$G$6:$G$238,U225))</f>
        <v/>
      </c>
      <c r="W225" s="11" t="str">
        <f>IF(INDEX(Manual_Review!$H$6:$H$238,U225)="","",INDEX(Manual_Review!$H$6:$H$238,U225))</f>
        <v/>
      </c>
      <c r="X225" s="5" t="str">
        <f>IF(INDEX(Manual_Review!$I$6:$I$238,U225)="","",INDEX(Manual_Review!$I$6:$I$238,U225))</f>
        <v/>
      </c>
      <c r="Y225" s="5" t="s">
        <v>2859</v>
      </c>
    </row>
    <row r="226" spans="1:25" ht="25.5">
      <c r="A226" s="5" t="s">
        <v>3351</v>
      </c>
      <c r="B226" s="5" t="s">
        <v>274</v>
      </c>
      <c r="C226" s="5" t="s">
        <v>275</v>
      </c>
      <c r="D226" s="5" t="s">
        <v>118</v>
      </c>
      <c r="E226" s="5" t="s">
        <v>2793</v>
      </c>
      <c r="F226" s="5" t="s">
        <v>2762</v>
      </c>
      <c r="G226" s="5">
        <v>1</v>
      </c>
      <c r="H226" s="5" t="s">
        <v>2854</v>
      </c>
      <c r="I226" s="5" t="str">
        <f>IF(INDEX(Manual_Review!$W$6:$W$238,U226)="","",INDEX(Manual_Review!$W$6:$W$238,U226))</f>
        <v/>
      </c>
      <c r="J226" s="5" t="str">
        <f t="shared" si="6"/>
        <v>AI provisional</v>
      </c>
      <c r="K226" s="5" t="str">
        <f t="shared" si="7"/>
        <v>Y</v>
      </c>
      <c r="L226" s="5" t="s">
        <v>232</v>
      </c>
      <c r="M226" s="5" t="s">
        <v>3350</v>
      </c>
      <c r="N226" s="5" t="s">
        <v>3329</v>
      </c>
      <c r="O226" s="5" t="s">
        <v>3077</v>
      </c>
      <c r="P226" s="5" t="s">
        <v>2858</v>
      </c>
      <c r="Q226" s="11">
        <v>46306.5</v>
      </c>
      <c r="R226" s="6"/>
      <c r="S226" s="6"/>
      <c r="T226" s="6"/>
      <c r="U226" s="5">
        <f>MATCH(B226,Manual_Review!$A$6:$A$238,0)</f>
        <v>14</v>
      </c>
      <c r="V226" s="5" t="str">
        <f>IF(INDEX(Manual_Review!$G$6:$G$238,U226)="","",INDEX(Manual_Review!$G$6:$G$238,U226))</f>
        <v/>
      </c>
      <c r="W226" s="11" t="str">
        <f>IF(INDEX(Manual_Review!$H$6:$H$238,U226)="","",INDEX(Manual_Review!$H$6:$H$238,U226))</f>
        <v/>
      </c>
      <c r="X226" s="5" t="str">
        <f>IF(INDEX(Manual_Review!$I$6:$I$238,U226)="","",INDEX(Manual_Review!$I$6:$I$238,U226))</f>
        <v/>
      </c>
      <c r="Y226" s="5" t="s">
        <v>2859</v>
      </c>
    </row>
    <row r="227" spans="1:25" ht="25.5">
      <c r="A227" s="5" t="s">
        <v>3352</v>
      </c>
      <c r="B227" s="5" t="s">
        <v>274</v>
      </c>
      <c r="C227" s="5" t="s">
        <v>275</v>
      </c>
      <c r="D227" s="5" t="s">
        <v>118</v>
      </c>
      <c r="E227" s="5" t="s">
        <v>2794</v>
      </c>
      <c r="F227" s="5" t="s">
        <v>2764</v>
      </c>
      <c r="G227" s="5">
        <v>1</v>
      </c>
      <c r="H227" s="5" t="s">
        <v>2854</v>
      </c>
      <c r="I227" s="5" t="str">
        <f>IF(INDEX(Manual_Review!$X$6:$X$238,U227)="","",INDEX(Manual_Review!$X$6:$X$238,U227))</f>
        <v/>
      </c>
      <c r="J227" s="5" t="str">
        <f t="shared" si="6"/>
        <v>AI provisional</v>
      </c>
      <c r="K227" s="5" t="str">
        <f t="shared" si="7"/>
        <v>Y</v>
      </c>
      <c r="L227" s="5" t="s">
        <v>232</v>
      </c>
      <c r="M227" s="5" t="s">
        <v>3353</v>
      </c>
      <c r="N227" s="5" t="s">
        <v>3329</v>
      </c>
      <c r="O227" s="5" t="s">
        <v>2984</v>
      </c>
      <c r="P227" s="5" t="s">
        <v>2858</v>
      </c>
      <c r="Q227" s="11">
        <v>46306.5</v>
      </c>
      <c r="R227" s="6"/>
      <c r="S227" s="6"/>
      <c r="T227" s="6"/>
      <c r="U227" s="5">
        <f>MATCH(B227,Manual_Review!$A$6:$A$238,0)</f>
        <v>14</v>
      </c>
      <c r="V227" s="5" t="str">
        <f>IF(INDEX(Manual_Review!$G$6:$G$238,U227)="","",INDEX(Manual_Review!$G$6:$G$238,U227))</f>
        <v/>
      </c>
      <c r="W227" s="11" t="str">
        <f>IF(INDEX(Manual_Review!$H$6:$H$238,U227)="","",INDEX(Manual_Review!$H$6:$H$238,U227))</f>
        <v/>
      </c>
      <c r="X227" s="5" t="str">
        <f>IF(INDEX(Manual_Review!$I$6:$I$238,U227)="","",INDEX(Manual_Review!$I$6:$I$238,U227))</f>
        <v/>
      </c>
      <c r="Y227" s="5" t="s">
        <v>2859</v>
      </c>
    </row>
    <row r="228" spans="1:25" ht="25.5">
      <c r="A228" s="5" t="s">
        <v>3354</v>
      </c>
      <c r="B228" s="5" t="s">
        <v>274</v>
      </c>
      <c r="C228" s="5" t="s">
        <v>275</v>
      </c>
      <c r="D228" s="5" t="s">
        <v>118</v>
      </c>
      <c r="E228" s="5" t="s">
        <v>2795</v>
      </c>
      <c r="F228" s="5" t="s">
        <v>2764</v>
      </c>
      <c r="G228" s="5">
        <v>1</v>
      </c>
      <c r="H228" s="5" t="s">
        <v>2864</v>
      </c>
      <c r="I228" s="5" t="str">
        <f>IF(INDEX(Manual_Review!$Y$6:$Y$238,U228)="","",INDEX(Manual_Review!$Y$6:$Y$238,U228))</f>
        <v/>
      </c>
      <c r="J228" s="5" t="str">
        <f t="shared" si="6"/>
        <v>AI provisional</v>
      </c>
      <c r="K228" s="5" t="str">
        <f t="shared" si="7"/>
        <v>U</v>
      </c>
      <c r="L228" s="5" t="s">
        <v>232</v>
      </c>
      <c r="M228" s="5" t="s">
        <v>3333</v>
      </c>
      <c r="N228" s="5" t="s">
        <v>3329</v>
      </c>
      <c r="O228" s="5" t="s">
        <v>2897</v>
      </c>
      <c r="P228" s="5" t="s">
        <v>2858</v>
      </c>
      <c r="Q228" s="11">
        <v>46306.5</v>
      </c>
      <c r="R228" s="6"/>
      <c r="S228" s="6"/>
      <c r="T228" s="6"/>
      <c r="U228" s="5">
        <f>MATCH(B228,Manual_Review!$A$6:$A$238,0)</f>
        <v>14</v>
      </c>
      <c r="V228" s="5" t="str">
        <f>IF(INDEX(Manual_Review!$G$6:$G$238,U228)="","",INDEX(Manual_Review!$G$6:$G$238,U228))</f>
        <v/>
      </c>
      <c r="W228" s="11" t="str">
        <f>IF(INDEX(Manual_Review!$H$6:$H$238,U228)="","",INDEX(Manual_Review!$H$6:$H$238,U228))</f>
        <v/>
      </c>
      <c r="X228" s="5" t="str">
        <f>IF(INDEX(Manual_Review!$I$6:$I$238,U228)="","",INDEX(Manual_Review!$I$6:$I$238,U228))</f>
        <v/>
      </c>
      <c r="Y228" s="5" t="s">
        <v>2859</v>
      </c>
    </row>
    <row r="229" spans="1:25" ht="25.5">
      <c r="A229" s="5" t="s">
        <v>3355</v>
      </c>
      <c r="B229" s="5" t="s">
        <v>274</v>
      </c>
      <c r="C229" s="5" t="s">
        <v>275</v>
      </c>
      <c r="D229" s="5" t="s">
        <v>118</v>
      </c>
      <c r="E229" s="5" t="s">
        <v>2796</v>
      </c>
      <c r="F229" s="5" t="s">
        <v>2764</v>
      </c>
      <c r="G229" s="5">
        <v>1</v>
      </c>
      <c r="H229" s="5" t="s">
        <v>2864</v>
      </c>
      <c r="I229" s="5" t="str">
        <f>IF(INDEX(Manual_Review!$Z$6:$Z$238,U229)="","",INDEX(Manual_Review!$Z$6:$Z$238,U229))</f>
        <v/>
      </c>
      <c r="J229" s="5" t="str">
        <f t="shared" si="6"/>
        <v>AI provisional</v>
      </c>
      <c r="K229" s="5" t="str">
        <f t="shared" si="7"/>
        <v>U</v>
      </c>
      <c r="L229" s="5" t="s">
        <v>232</v>
      </c>
      <c r="M229" s="5" t="s">
        <v>3356</v>
      </c>
      <c r="N229" s="5" t="s">
        <v>3329</v>
      </c>
      <c r="O229" s="5" t="s">
        <v>2899</v>
      </c>
      <c r="P229" s="5" t="s">
        <v>2858</v>
      </c>
      <c r="Q229" s="11">
        <v>46306.5</v>
      </c>
      <c r="R229" s="6"/>
      <c r="S229" s="6"/>
      <c r="T229" s="6"/>
      <c r="U229" s="5">
        <f>MATCH(B229,Manual_Review!$A$6:$A$238,0)</f>
        <v>14</v>
      </c>
      <c r="V229" s="5" t="str">
        <f>IF(INDEX(Manual_Review!$G$6:$G$238,U229)="","",INDEX(Manual_Review!$G$6:$G$238,U229))</f>
        <v/>
      </c>
      <c r="W229" s="11" t="str">
        <f>IF(INDEX(Manual_Review!$H$6:$H$238,U229)="","",INDEX(Manual_Review!$H$6:$H$238,U229))</f>
        <v/>
      </c>
      <c r="X229" s="5" t="str">
        <f>IF(INDEX(Manual_Review!$I$6:$I$238,U229)="","",INDEX(Manual_Review!$I$6:$I$238,U229))</f>
        <v/>
      </c>
      <c r="Y229" s="5" t="s">
        <v>2859</v>
      </c>
    </row>
    <row r="230" spans="1:25" ht="25.5">
      <c r="A230" s="5" t="s">
        <v>3357</v>
      </c>
      <c r="B230" s="5" t="s">
        <v>280</v>
      </c>
      <c r="C230" s="5" t="s">
        <v>281</v>
      </c>
      <c r="D230" s="5" t="s">
        <v>118</v>
      </c>
      <c r="E230" s="5" t="s">
        <v>2781</v>
      </c>
      <c r="F230" s="5" t="s">
        <v>2754</v>
      </c>
      <c r="G230" s="5">
        <v>1</v>
      </c>
      <c r="H230" s="5" t="s">
        <v>2854</v>
      </c>
      <c r="I230" s="5" t="str">
        <f>IF(INDEX(Manual_Review!$K$6:$K$238,U230)="","",INDEX(Manual_Review!$K$6:$K$238,U230))</f>
        <v/>
      </c>
      <c r="J230" s="5" t="str">
        <f t="shared" si="6"/>
        <v>AI provisional</v>
      </c>
      <c r="K230" s="5" t="str">
        <f t="shared" si="7"/>
        <v>Y</v>
      </c>
      <c r="L230" s="5" t="s">
        <v>291</v>
      </c>
      <c r="M230" s="5" t="s">
        <v>3358</v>
      </c>
      <c r="N230" s="5" t="s">
        <v>3359</v>
      </c>
      <c r="O230" s="5" t="s">
        <v>2857</v>
      </c>
      <c r="P230" s="5" t="s">
        <v>2858</v>
      </c>
      <c r="Q230" s="11">
        <v>46306.5</v>
      </c>
      <c r="R230" s="6"/>
      <c r="S230" s="6"/>
      <c r="T230" s="6"/>
      <c r="U230" s="5">
        <f>MATCH(B230,Manual_Review!$A$6:$A$238,0)</f>
        <v>15</v>
      </c>
      <c r="V230" s="5" t="str">
        <f>IF(INDEX(Manual_Review!$G$6:$G$238,U230)="","",INDEX(Manual_Review!$G$6:$G$238,U230))</f>
        <v/>
      </c>
      <c r="W230" s="11" t="str">
        <f>IF(INDEX(Manual_Review!$H$6:$H$238,U230)="","",INDEX(Manual_Review!$H$6:$H$238,U230))</f>
        <v/>
      </c>
      <c r="X230" s="5" t="str">
        <f>IF(INDEX(Manual_Review!$I$6:$I$238,U230)="","",INDEX(Manual_Review!$I$6:$I$238,U230))</f>
        <v/>
      </c>
      <c r="Y230" s="5" t="s">
        <v>2859</v>
      </c>
    </row>
    <row r="231" spans="1:25" ht="25.5">
      <c r="A231" s="5" t="s">
        <v>3360</v>
      </c>
      <c r="B231" s="5" t="s">
        <v>280</v>
      </c>
      <c r="C231" s="5" t="s">
        <v>281</v>
      </c>
      <c r="D231" s="5" t="s">
        <v>118</v>
      </c>
      <c r="E231" s="5" t="s">
        <v>2782</v>
      </c>
      <c r="F231" s="5" t="s">
        <v>2754</v>
      </c>
      <c r="G231" s="5">
        <v>1</v>
      </c>
      <c r="H231" s="5" t="s">
        <v>2854</v>
      </c>
      <c r="I231" s="5" t="str">
        <f>IF(INDEX(Manual_Review!$L$6:$L$238,U231)="","",INDEX(Manual_Review!$L$6:$L$238,U231))</f>
        <v/>
      </c>
      <c r="J231" s="5" t="str">
        <f t="shared" si="6"/>
        <v>AI provisional</v>
      </c>
      <c r="K231" s="5" t="str">
        <f t="shared" si="7"/>
        <v>Y</v>
      </c>
      <c r="L231" s="5" t="s">
        <v>291</v>
      </c>
      <c r="M231" s="5" t="s">
        <v>3361</v>
      </c>
      <c r="N231" s="5" t="s">
        <v>3359</v>
      </c>
      <c r="O231" s="5" t="s">
        <v>2862</v>
      </c>
      <c r="P231" s="5" t="s">
        <v>2858</v>
      </c>
      <c r="Q231" s="11">
        <v>46306.5</v>
      </c>
      <c r="R231" s="6"/>
      <c r="S231" s="6"/>
      <c r="T231" s="6"/>
      <c r="U231" s="5">
        <f>MATCH(B231,Manual_Review!$A$6:$A$238,0)</f>
        <v>15</v>
      </c>
      <c r="V231" s="5" t="str">
        <f>IF(INDEX(Manual_Review!$G$6:$G$238,U231)="","",INDEX(Manual_Review!$G$6:$G$238,U231))</f>
        <v/>
      </c>
      <c r="W231" s="11" t="str">
        <f>IF(INDEX(Manual_Review!$H$6:$H$238,U231)="","",INDEX(Manual_Review!$H$6:$H$238,U231))</f>
        <v/>
      </c>
      <c r="X231" s="5" t="str">
        <f>IF(INDEX(Manual_Review!$I$6:$I$238,U231)="","",INDEX(Manual_Review!$I$6:$I$238,U231))</f>
        <v/>
      </c>
      <c r="Y231" s="5" t="s">
        <v>2859</v>
      </c>
    </row>
    <row r="232" spans="1:25" ht="25.5">
      <c r="A232" s="5" t="s">
        <v>3362</v>
      </c>
      <c r="B232" s="5" t="s">
        <v>280</v>
      </c>
      <c r="C232" s="5" t="s">
        <v>281</v>
      </c>
      <c r="D232" s="5" t="s">
        <v>118</v>
      </c>
      <c r="E232" s="5" t="s">
        <v>2783</v>
      </c>
      <c r="F232" s="5" t="s">
        <v>2754</v>
      </c>
      <c r="G232" s="5">
        <v>1</v>
      </c>
      <c r="H232" s="5" t="s">
        <v>2864</v>
      </c>
      <c r="I232" s="5" t="str">
        <f>IF(INDEX(Manual_Review!$M$6:$M$238,U232)="","",INDEX(Manual_Review!$M$6:$M$238,U232))</f>
        <v/>
      </c>
      <c r="J232" s="5" t="str">
        <f t="shared" si="6"/>
        <v>AI provisional</v>
      </c>
      <c r="K232" s="5" t="str">
        <f t="shared" si="7"/>
        <v>U</v>
      </c>
      <c r="L232" s="5" t="s">
        <v>291</v>
      </c>
      <c r="M232" s="5" t="s">
        <v>3363</v>
      </c>
      <c r="N232" s="5" t="s">
        <v>3359</v>
      </c>
      <c r="O232" s="5" t="s">
        <v>2866</v>
      </c>
      <c r="P232" s="5" t="s">
        <v>2858</v>
      </c>
      <c r="Q232" s="11">
        <v>46306.5</v>
      </c>
      <c r="R232" s="6"/>
      <c r="S232" s="6"/>
      <c r="T232" s="6"/>
      <c r="U232" s="5">
        <f>MATCH(B232,Manual_Review!$A$6:$A$238,0)</f>
        <v>15</v>
      </c>
      <c r="V232" s="5" t="str">
        <f>IF(INDEX(Manual_Review!$G$6:$G$238,U232)="","",INDEX(Manual_Review!$G$6:$G$238,U232))</f>
        <v/>
      </c>
      <c r="W232" s="11" t="str">
        <f>IF(INDEX(Manual_Review!$H$6:$H$238,U232)="","",INDEX(Manual_Review!$H$6:$H$238,U232))</f>
        <v/>
      </c>
      <c r="X232" s="5" t="str">
        <f>IF(INDEX(Manual_Review!$I$6:$I$238,U232)="","",INDEX(Manual_Review!$I$6:$I$238,U232))</f>
        <v/>
      </c>
      <c r="Y232" s="5" t="s">
        <v>2859</v>
      </c>
    </row>
    <row r="233" spans="1:25" ht="25.5">
      <c r="A233" s="5" t="s">
        <v>3364</v>
      </c>
      <c r="B233" s="5" t="s">
        <v>280</v>
      </c>
      <c r="C233" s="5" t="s">
        <v>281</v>
      </c>
      <c r="D233" s="5" t="s">
        <v>118</v>
      </c>
      <c r="E233" s="5" t="s">
        <v>2784</v>
      </c>
      <c r="F233" s="5" t="s">
        <v>2756</v>
      </c>
      <c r="G233" s="5">
        <v>1</v>
      </c>
      <c r="H233" s="5" t="s">
        <v>2854</v>
      </c>
      <c r="I233" s="5" t="str">
        <f>IF(INDEX(Manual_Review!$N$6:$N$238,U233)="","",INDEX(Manual_Review!$N$6:$N$238,U233))</f>
        <v/>
      </c>
      <c r="J233" s="5" t="str">
        <f t="shared" si="6"/>
        <v>AI provisional</v>
      </c>
      <c r="K233" s="5" t="str">
        <f t="shared" si="7"/>
        <v>Y</v>
      </c>
      <c r="L233" s="5" t="s">
        <v>291</v>
      </c>
      <c r="M233" s="5" t="s">
        <v>3365</v>
      </c>
      <c r="N233" s="5" t="s">
        <v>3359</v>
      </c>
      <c r="O233" s="5" t="s">
        <v>2963</v>
      </c>
      <c r="P233" s="5" t="s">
        <v>2858</v>
      </c>
      <c r="Q233" s="11">
        <v>46306.5</v>
      </c>
      <c r="R233" s="6"/>
      <c r="S233" s="6"/>
      <c r="T233" s="6"/>
      <c r="U233" s="5">
        <f>MATCH(B233,Manual_Review!$A$6:$A$238,0)</f>
        <v>15</v>
      </c>
      <c r="V233" s="5" t="str">
        <f>IF(INDEX(Manual_Review!$G$6:$G$238,U233)="","",INDEX(Manual_Review!$G$6:$G$238,U233))</f>
        <v/>
      </c>
      <c r="W233" s="11" t="str">
        <f>IF(INDEX(Manual_Review!$H$6:$H$238,U233)="","",INDEX(Manual_Review!$H$6:$H$238,U233))</f>
        <v/>
      </c>
      <c r="X233" s="5" t="str">
        <f>IF(INDEX(Manual_Review!$I$6:$I$238,U233)="","",INDEX(Manual_Review!$I$6:$I$238,U233))</f>
        <v/>
      </c>
      <c r="Y233" s="5" t="s">
        <v>2859</v>
      </c>
    </row>
    <row r="234" spans="1:25" ht="25.5">
      <c r="A234" s="5" t="s">
        <v>3366</v>
      </c>
      <c r="B234" s="5" t="s">
        <v>280</v>
      </c>
      <c r="C234" s="5" t="s">
        <v>281</v>
      </c>
      <c r="D234" s="5" t="s">
        <v>118</v>
      </c>
      <c r="E234" s="5" t="s">
        <v>2785</v>
      </c>
      <c r="F234" s="5" t="s">
        <v>2756</v>
      </c>
      <c r="G234" s="5">
        <v>1</v>
      </c>
      <c r="H234" s="5" t="s">
        <v>2854</v>
      </c>
      <c r="I234" s="5" t="str">
        <f>IF(INDEX(Manual_Review!$O$6:$O$238,U234)="","",INDEX(Manual_Review!$O$6:$O$238,U234))</f>
        <v/>
      </c>
      <c r="J234" s="5" t="str">
        <f t="shared" si="6"/>
        <v>AI provisional</v>
      </c>
      <c r="K234" s="5" t="str">
        <f t="shared" si="7"/>
        <v>Y</v>
      </c>
      <c r="L234" s="5" t="s">
        <v>291</v>
      </c>
      <c r="M234" s="5" t="s">
        <v>3367</v>
      </c>
      <c r="N234" s="5" t="s">
        <v>3359</v>
      </c>
      <c r="O234" s="5" t="s">
        <v>3138</v>
      </c>
      <c r="P234" s="5" t="s">
        <v>2858</v>
      </c>
      <c r="Q234" s="11">
        <v>46306.5</v>
      </c>
      <c r="R234" s="6"/>
      <c r="S234" s="6"/>
      <c r="T234" s="6"/>
      <c r="U234" s="5">
        <f>MATCH(B234,Manual_Review!$A$6:$A$238,0)</f>
        <v>15</v>
      </c>
      <c r="V234" s="5" t="str">
        <f>IF(INDEX(Manual_Review!$G$6:$G$238,U234)="","",INDEX(Manual_Review!$G$6:$G$238,U234))</f>
        <v/>
      </c>
      <c r="W234" s="11" t="str">
        <f>IF(INDEX(Manual_Review!$H$6:$H$238,U234)="","",INDEX(Manual_Review!$H$6:$H$238,U234))</f>
        <v/>
      </c>
      <c r="X234" s="5" t="str">
        <f>IF(INDEX(Manual_Review!$I$6:$I$238,U234)="","",INDEX(Manual_Review!$I$6:$I$238,U234))</f>
        <v/>
      </c>
      <c r="Y234" s="5" t="s">
        <v>2859</v>
      </c>
    </row>
    <row r="235" spans="1:25" ht="25.5">
      <c r="A235" s="5" t="s">
        <v>3368</v>
      </c>
      <c r="B235" s="5" t="s">
        <v>280</v>
      </c>
      <c r="C235" s="5" t="s">
        <v>281</v>
      </c>
      <c r="D235" s="5" t="s">
        <v>118</v>
      </c>
      <c r="E235" s="5" t="s">
        <v>2786</v>
      </c>
      <c r="F235" s="5" t="s">
        <v>2756</v>
      </c>
      <c r="G235" s="5">
        <v>1</v>
      </c>
      <c r="H235" s="5" t="s">
        <v>2864</v>
      </c>
      <c r="I235" s="5" t="str">
        <f>IF(INDEX(Manual_Review!$P$6:$P$238,U235)="","",INDEX(Manual_Review!$P$6:$P$238,U235))</f>
        <v/>
      </c>
      <c r="J235" s="5" t="str">
        <f t="shared" si="6"/>
        <v>AI provisional</v>
      </c>
      <c r="K235" s="5" t="str">
        <f t="shared" si="7"/>
        <v>U</v>
      </c>
      <c r="L235" s="5" t="s">
        <v>291</v>
      </c>
      <c r="M235" s="5" t="s">
        <v>3369</v>
      </c>
      <c r="N235" s="5" t="s">
        <v>3359</v>
      </c>
      <c r="O235" s="5" t="s">
        <v>2874</v>
      </c>
      <c r="P235" s="5" t="s">
        <v>2858</v>
      </c>
      <c r="Q235" s="11">
        <v>46306.5</v>
      </c>
      <c r="R235" s="6"/>
      <c r="S235" s="6"/>
      <c r="T235" s="6"/>
      <c r="U235" s="5">
        <f>MATCH(B235,Manual_Review!$A$6:$A$238,0)</f>
        <v>15</v>
      </c>
      <c r="V235" s="5" t="str">
        <f>IF(INDEX(Manual_Review!$G$6:$G$238,U235)="","",INDEX(Manual_Review!$G$6:$G$238,U235))</f>
        <v/>
      </c>
      <c r="W235" s="11" t="str">
        <f>IF(INDEX(Manual_Review!$H$6:$H$238,U235)="","",INDEX(Manual_Review!$H$6:$H$238,U235))</f>
        <v/>
      </c>
      <c r="X235" s="5" t="str">
        <f>IF(INDEX(Manual_Review!$I$6:$I$238,U235)="","",INDEX(Manual_Review!$I$6:$I$238,U235))</f>
        <v/>
      </c>
      <c r="Y235" s="5" t="s">
        <v>2859</v>
      </c>
    </row>
    <row r="236" spans="1:25" ht="25.5">
      <c r="A236" s="5" t="s">
        <v>3370</v>
      </c>
      <c r="B236" s="5" t="s">
        <v>280</v>
      </c>
      <c r="C236" s="5" t="s">
        <v>281</v>
      </c>
      <c r="D236" s="5" t="s">
        <v>118</v>
      </c>
      <c r="E236" s="5" t="s">
        <v>2787</v>
      </c>
      <c r="F236" s="5" t="s">
        <v>2758</v>
      </c>
      <c r="G236" s="5">
        <v>1</v>
      </c>
      <c r="H236" s="5" t="s">
        <v>2864</v>
      </c>
      <c r="I236" s="5" t="str">
        <f>IF(INDEX(Manual_Review!$Q$6:$Q$238,U236)="","",INDEX(Manual_Review!$Q$6:$Q$238,U236))</f>
        <v/>
      </c>
      <c r="J236" s="5" t="str">
        <f t="shared" si="6"/>
        <v>AI provisional</v>
      </c>
      <c r="K236" s="5" t="str">
        <f t="shared" si="7"/>
        <v>U</v>
      </c>
      <c r="L236" s="5" t="s">
        <v>291</v>
      </c>
      <c r="M236" s="5" t="s">
        <v>3371</v>
      </c>
      <c r="N236" s="5" t="s">
        <v>3359</v>
      </c>
      <c r="O236" s="5" t="s">
        <v>2877</v>
      </c>
      <c r="P236" s="5" t="s">
        <v>2858</v>
      </c>
      <c r="Q236" s="11">
        <v>46306.5</v>
      </c>
      <c r="R236" s="6"/>
      <c r="S236" s="6"/>
      <c r="T236" s="6"/>
      <c r="U236" s="5">
        <f>MATCH(B236,Manual_Review!$A$6:$A$238,0)</f>
        <v>15</v>
      </c>
      <c r="V236" s="5" t="str">
        <f>IF(INDEX(Manual_Review!$G$6:$G$238,U236)="","",INDEX(Manual_Review!$G$6:$G$238,U236))</f>
        <v/>
      </c>
      <c r="W236" s="11" t="str">
        <f>IF(INDEX(Manual_Review!$H$6:$H$238,U236)="","",INDEX(Manual_Review!$H$6:$H$238,U236))</f>
        <v/>
      </c>
      <c r="X236" s="5" t="str">
        <f>IF(INDEX(Manual_Review!$I$6:$I$238,U236)="","",INDEX(Manual_Review!$I$6:$I$238,U236))</f>
        <v/>
      </c>
      <c r="Y236" s="5" t="s">
        <v>2859</v>
      </c>
    </row>
    <row r="237" spans="1:25" ht="25.5">
      <c r="A237" s="5" t="s">
        <v>3372</v>
      </c>
      <c r="B237" s="5" t="s">
        <v>280</v>
      </c>
      <c r="C237" s="5" t="s">
        <v>281</v>
      </c>
      <c r="D237" s="5" t="s">
        <v>118</v>
      </c>
      <c r="E237" s="5" t="s">
        <v>2788</v>
      </c>
      <c r="F237" s="5" t="s">
        <v>2758</v>
      </c>
      <c r="G237" s="5">
        <v>1</v>
      </c>
      <c r="H237" s="5" t="s">
        <v>2854</v>
      </c>
      <c r="I237" s="5" t="str">
        <f>IF(INDEX(Manual_Review!$R$6:$R$238,U237)="","",INDEX(Manual_Review!$R$6:$R$238,U237))</f>
        <v/>
      </c>
      <c r="J237" s="5" t="str">
        <f t="shared" si="6"/>
        <v>AI provisional</v>
      </c>
      <c r="K237" s="5" t="str">
        <f t="shared" si="7"/>
        <v>Y</v>
      </c>
      <c r="L237" s="5" t="s">
        <v>291</v>
      </c>
      <c r="M237" s="5" t="s">
        <v>3373</v>
      </c>
      <c r="N237" s="5" t="s">
        <v>3359</v>
      </c>
      <c r="O237" s="5" t="s">
        <v>3067</v>
      </c>
      <c r="P237" s="5" t="s">
        <v>2858</v>
      </c>
      <c r="Q237" s="11">
        <v>46306.5</v>
      </c>
      <c r="R237" s="6"/>
      <c r="S237" s="6"/>
      <c r="T237" s="6"/>
      <c r="U237" s="5">
        <f>MATCH(B237,Manual_Review!$A$6:$A$238,0)</f>
        <v>15</v>
      </c>
      <c r="V237" s="5" t="str">
        <f>IF(INDEX(Manual_Review!$G$6:$G$238,U237)="","",INDEX(Manual_Review!$G$6:$G$238,U237))</f>
        <v/>
      </c>
      <c r="W237" s="11" t="str">
        <f>IF(INDEX(Manual_Review!$H$6:$H$238,U237)="","",INDEX(Manual_Review!$H$6:$H$238,U237))</f>
        <v/>
      </c>
      <c r="X237" s="5" t="str">
        <f>IF(INDEX(Manual_Review!$I$6:$I$238,U237)="","",INDEX(Manual_Review!$I$6:$I$238,U237))</f>
        <v/>
      </c>
      <c r="Y237" s="5" t="s">
        <v>2859</v>
      </c>
    </row>
    <row r="238" spans="1:25" ht="25.5">
      <c r="A238" s="5" t="s">
        <v>3374</v>
      </c>
      <c r="B238" s="5" t="s">
        <v>280</v>
      </c>
      <c r="C238" s="5" t="s">
        <v>281</v>
      </c>
      <c r="D238" s="5" t="s">
        <v>118</v>
      </c>
      <c r="E238" s="5" t="s">
        <v>2789</v>
      </c>
      <c r="F238" s="5" t="s">
        <v>2758</v>
      </c>
      <c r="G238" s="5">
        <v>1</v>
      </c>
      <c r="H238" s="5" t="s">
        <v>2854</v>
      </c>
      <c r="I238" s="5" t="str">
        <f>IF(INDEX(Manual_Review!$S$6:$S$238,U238)="","",INDEX(Manual_Review!$S$6:$S$238,U238))</f>
        <v/>
      </c>
      <c r="J238" s="5" t="str">
        <f t="shared" si="6"/>
        <v>AI provisional</v>
      </c>
      <c r="K238" s="5" t="str">
        <f t="shared" si="7"/>
        <v>Y</v>
      </c>
      <c r="L238" s="5" t="s">
        <v>291</v>
      </c>
      <c r="M238" s="5" t="s">
        <v>3375</v>
      </c>
      <c r="N238" s="5" t="s">
        <v>3359</v>
      </c>
      <c r="O238" s="5" t="s">
        <v>3178</v>
      </c>
      <c r="P238" s="5" t="s">
        <v>2858</v>
      </c>
      <c r="Q238" s="11">
        <v>46306.5</v>
      </c>
      <c r="R238" s="6"/>
      <c r="S238" s="6"/>
      <c r="T238" s="6"/>
      <c r="U238" s="5">
        <f>MATCH(B238,Manual_Review!$A$6:$A$238,0)</f>
        <v>15</v>
      </c>
      <c r="V238" s="5" t="str">
        <f>IF(INDEX(Manual_Review!$G$6:$G$238,U238)="","",INDEX(Manual_Review!$G$6:$G$238,U238))</f>
        <v/>
      </c>
      <c r="W238" s="11" t="str">
        <f>IF(INDEX(Manual_Review!$H$6:$H$238,U238)="","",INDEX(Manual_Review!$H$6:$H$238,U238))</f>
        <v/>
      </c>
      <c r="X238" s="5" t="str">
        <f>IF(INDEX(Manual_Review!$I$6:$I$238,U238)="","",INDEX(Manual_Review!$I$6:$I$238,U238))</f>
        <v/>
      </c>
      <c r="Y238" s="5" t="s">
        <v>2859</v>
      </c>
    </row>
    <row r="239" spans="1:25" ht="25.5">
      <c r="A239" s="5" t="s">
        <v>3376</v>
      </c>
      <c r="B239" s="5" t="s">
        <v>280</v>
      </c>
      <c r="C239" s="5" t="s">
        <v>281</v>
      </c>
      <c r="D239" s="5" t="s">
        <v>118</v>
      </c>
      <c r="E239" s="5" t="s">
        <v>2790</v>
      </c>
      <c r="F239" s="5" t="s">
        <v>2760</v>
      </c>
      <c r="G239" s="5">
        <v>1</v>
      </c>
      <c r="H239" s="5" t="s">
        <v>2854</v>
      </c>
      <c r="I239" s="5" t="str">
        <f>IF(INDEX(Manual_Review!$T$6:$T$238,U239)="","",INDEX(Manual_Review!$T$6:$T$238,U239))</f>
        <v/>
      </c>
      <c r="J239" s="5" t="str">
        <f t="shared" si="6"/>
        <v>AI provisional</v>
      </c>
      <c r="K239" s="5" t="str">
        <f t="shared" si="7"/>
        <v>Y</v>
      </c>
      <c r="L239" s="5" t="s">
        <v>291</v>
      </c>
      <c r="M239" s="5" t="s">
        <v>3377</v>
      </c>
      <c r="N239" s="5" t="s">
        <v>3359</v>
      </c>
      <c r="O239" s="5" t="s">
        <v>2976</v>
      </c>
      <c r="P239" s="5" t="s">
        <v>2858</v>
      </c>
      <c r="Q239" s="11">
        <v>46306.5</v>
      </c>
      <c r="R239" s="6"/>
      <c r="S239" s="6"/>
      <c r="T239" s="6"/>
      <c r="U239" s="5">
        <f>MATCH(B239,Manual_Review!$A$6:$A$238,0)</f>
        <v>15</v>
      </c>
      <c r="V239" s="5" t="str">
        <f>IF(INDEX(Manual_Review!$G$6:$G$238,U239)="","",INDEX(Manual_Review!$G$6:$G$238,U239))</f>
        <v/>
      </c>
      <c r="W239" s="11" t="str">
        <f>IF(INDEX(Manual_Review!$H$6:$H$238,U239)="","",INDEX(Manual_Review!$H$6:$H$238,U239))</f>
        <v/>
      </c>
      <c r="X239" s="5" t="str">
        <f>IF(INDEX(Manual_Review!$I$6:$I$238,U239)="","",INDEX(Manual_Review!$I$6:$I$238,U239))</f>
        <v/>
      </c>
      <c r="Y239" s="5" t="s">
        <v>2859</v>
      </c>
    </row>
    <row r="240" spans="1:25" ht="25.5">
      <c r="A240" s="5" t="s">
        <v>3378</v>
      </c>
      <c r="B240" s="5" t="s">
        <v>280</v>
      </c>
      <c r="C240" s="5" t="s">
        <v>281</v>
      </c>
      <c r="D240" s="5" t="s">
        <v>118</v>
      </c>
      <c r="E240" s="5" t="s">
        <v>2791</v>
      </c>
      <c r="F240" s="5" t="s">
        <v>2760</v>
      </c>
      <c r="G240" s="5">
        <v>1</v>
      </c>
      <c r="H240" s="5" t="s">
        <v>2854</v>
      </c>
      <c r="I240" s="5" t="str">
        <f>IF(INDEX(Manual_Review!$U$6:$U$238,U240)="","",INDEX(Manual_Review!$U$6:$U$238,U240))</f>
        <v/>
      </c>
      <c r="J240" s="5" t="str">
        <f t="shared" si="6"/>
        <v>AI provisional</v>
      </c>
      <c r="K240" s="5" t="str">
        <f t="shared" si="7"/>
        <v>Y</v>
      </c>
      <c r="L240" s="5" t="s">
        <v>291</v>
      </c>
      <c r="M240" s="5" t="s">
        <v>3379</v>
      </c>
      <c r="N240" s="5" t="s">
        <v>3359</v>
      </c>
      <c r="O240" s="5" t="s">
        <v>3380</v>
      </c>
      <c r="P240" s="5" t="s">
        <v>2858</v>
      </c>
      <c r="Q240" s="11">
        <v>46306.5</v>
      </c>
      <c r="R240" s="6"/>
      <c r="S240" s="6"/>
      <c r="T240" s="6"/>
      <c r="U240" s="5">
        <f>MATCH(B240,Manual_Review!$A$6:$A$238,0)</f>
        <v>15</v>
      </c>
      <c r="V240" s="5" t="str">
        <f>IF(INDEX(Manual_Review!$G$6:$G$238,U240)="","",INDEX(Manual_Review!$G$6:$G$238,U240))</f>
        <v/>
      </c>
      <c r="W240" s="11" t="str">
        <f>IF(INDEX(Manual_Review!$H$6:$H$238,U240)="","",INDEX(Manual_Review!$H$6:$H$238,U240))</f>
        <v/>
      </c>
      <c r="X240" s="5" t="str">
        <f>IF(INDEX(Manual_Review!$I$6:$I$238,U240)="","",INDEX(Manual_Review!$I$6:$I$238,U240))</f>
        <v/>
      </c>
      <c r="Y240" s="5" t="s">
        <v>2859</v>
      </c>
    </row>
    <row r="241" spans="1:25" ht="25.5">
      <c r="A241" s="5" t="s">
        <v>3381</v>
      </c>
      <c r="B241" s="5" t="s">
        <v>280</v>
      </c>
      <c r="C241" s="5" t="s">
        <v>281</v>
      </c>
      <c r="D241" s="5" t="s">
        <v>118</v>
      </c>
      <c r="E241" s="5" t="s">
        <v>2792</v>
      </c>
      <c r="F241" s="5" t="s">
        <v>2762</v>
      </c>
      <c r="G241" s="5">
        <v>1</v>
      </c>
      <c r="H241" s="5" t="s">
        <v>2854</v>
      </c>
      <c r="I241" s="5" t="str">
        <f>IF(INDEX(Manual_Review!$V$6:$V$238,U241)="","",INDEX(Manual_Review!$V$6:$V$238,U241))</f>
        <v/>
      </c>
      <c r="J241" s="5" t="str">
        <f t="shared" si="6"/>
        <v>AI provisional</v>
      </c>
      <c r="K241" s="5" t="str">
        <f t="shared" si="7"/>
        <v>Y</v>
      </c>
      <c r="L241" s="5" t="s">
        <v>291</v>
      </c>
      <c r="M241" s="5" t="s">
        <v>3382</v>
      </c>
      <c r="N241" s="5" t="s">
        <v>3359</v>
      </c>
      <c r="O241" s="5" t="s">
        <v>3152</v>
      </c>
      <c r="P241" s="5" t="s">
        <v>2858</v>
      </c>
      <c r="Q241" s="11">
        <v>46306.5</v>
      </c>
      <c r="R241" s="6"/>
      <c r="S241" s="6"/>
      <c r="T241" s="6"/>
      <c r="U241" s="5">
        <f>MATCH(B241,Manual_Review!$A$6:$A$238,0)</f>
        <v>15</v>
      </c>
      <c r="V241" s="5" t="str">
        <f>IF(INDEX(Manual_Review!$G$6:$G$238,U241)="","",INDEX(Manual_Review!$G$6:$G$238,U241))</f>
        <v/>
      </c>
      <c r="W241" s="11" t="str">
        <f>IF(INDEX(Manual_Review!$H$6:$H$238,U241)="","",INDEX(Manual_Review!$H$6:$H$238,U241))</f>
        <v/>
      </c>
      <c r="X241" s="5" t="str">
        <f>IF(INDEX(Manual_Review!$I$6:$I$238,U241)="","",INDEX(Manual_Review!$I$6:$I$238,U241))</f>
        <v/>
      </c>
      <c r="Y241" s="5" t="s">
        <v>2859</v>
      </c>
    </row>
    <row r="242" spans="1:25" ht="25.5">
      <c r="A242" s="5" t="s">
        <v>3383</v>
      </c>
      <c r="B242" s="5" t="s">
        <v>280</v>
      </c>
      <c r="C242" s="5" t="s">
        <v>281</v>
      </c>
      <c r="D242" s="5" t="s">
        <v>118</v>
      </c>
      <c r="E242" s="5" t="s">
        <v>2793</v>
      </c>
      <c r="F242" s="5" t="s">
        <v>2762</v>
      </c>
      <c r="G242" s="5">
        <v>1</v>
      </c>
      <c r="H242" s="5" t="s">
        <v>2854</v>
      </c>
      <c r="I242" s="5" t="str">
        <f>IF(INDEX(Manual_Review!$W$6:$W$238,U242)="","",INDEX(Manual_Review!$W$6:$W$238,U242))</f>
        <v/>
      </c>
      <c r="J242" s="5" t="str">
        <f t="shared" si="6"/>
        <v>AI provisional</v>
      </c>
      <c r="K242" s="5" t="str">
        <f t="shared" si="7"/>
        <v>Y</v>
      </c>
      <c r="L242" s="5" t="s">
        <v>291</v>
      </c>
      <c r="M242" s="5" t="s">
        <v>3384</v>
      </c>
      <c r="N242" s="5" t="s">
        <v>3359</v>
      </c>
      <c r="O242" s="5" t="s">
        <v>3077</v>
      </c>
      <c r="P242" s="5" t="s">
        <v>2858</v>
      </c>
      <c r="Q242" s="11">
        <v>46306.5</v>
      </c>
      <c r="R242" s="6"/>
      <c r="S242" s="6"/>
      <c r="T242" s="6"/>
      <c r="U242" s="5">
        <f>MATCH(B242,Manual_Review!$A$6:$A$238,0)</f>
        <v>15</v>
      </c>
      <c r="V242" s="5" t="str">
        <f>IF(INDEX(Manual_Review!$G$6:$G$238,U242)="","",INDEX(Manual_Review!$G$6:$G$238,U242))</f>
        <v/>
      </c>
      <c r="W242" s="11" t="str">
        <f>IF(INDEX(Manual_Review!$H$6:$H$238,U242)="","",INDEX(Manual_Review!$H$6:$H$238,U242))</f>
        <v/>
      </c>
      <c r="X242" s="5" t="str">
        <f>IF(INDEX(Manual_Review!$I$6:$I$238,U242)="","",INDEX(Manual_Review!$I$6:$I$238,U242))</f>
        <v/>
      </c>
      <c r="Y242" s="5" t="s">
        <v>2859</v>
      </c>
    </row>
    <row r="243" spans="1:25" ht="25.5">
      <c r="A243" s="5" t="s">
        <v>3385</v>
      </c>
      <c r="B243" s="5" t="s">
        <v>280</v>
      </c>
      <c r="C243" s="5" t="s">
        <v>281</v>
      </c>
      <c r="D243" s="5" t="s">
        <v>118</v>
      </c>
      <c r="E243" s="5" t="s">
        <v>2794</v>
      </c>
      <c r="F243" s="5" t="s">
        <v>2764</v>
      </c>
      <c r="G243" s="5">
        <v>1</v>
      </c>
      <c r="H243" s="5" t="s">
        <v>2854</v>
      </c>
      <c r="I243" s="5" t="str">
        <f>IF(INDEX(Manual_Review!$X$6:$X$238,U243)="","",INDEX(Manual_Review!$X$6:$X$238,U243))</f>
        <v/>
      </c>
      <c r="J243" s="5" t="str">
        <f t="shared" si="6"/>
        <v>AI provisional</v>
      </c>
      <c r="K243" s="5" t="str">
        <f t="shared" si="7"/>
        <v>Y</v>
      </c>
      <c r="L243" s="5" t="s">
        <v>291</v>
      </c>
      <c r="M243" s="5" t="s">
        <v>3386</v>
      </c>
      <c r="N243" s="5" t="s">
        <v>3359</v>
      </c>
      <c r="O243" s="5" t="s">
        <v>2984</v>
      </c>
      <c r="P243" s="5" t="s">
        <v>2858</v>
      </c>
      <c r="Q243" s="11">
        <v>46306.5</v>
      </c>
      <c r="R243" s="6"/>
      <c r="S243" s="6"/>
      <c r="T243" s="6"/>
      <c r="U243" s="5">
        <f>MATCH(B243,Manual_Review!$A$6:$A$238,0)</f>
        <v>15</v>
      </c>
      <c r="V243" s="5" t="str">
        <f>IF(INDEX(Manual_Review!$G$6:$G$238,U243)="","",INDEX(Manual_Review!$G$6:$G$238,U243))</f>
        <v/>
      </c>
      <c r="W243" s="11" t="str">
        <f>IF(INDEX(Manual_Review!$H$6:$H$238,U243)="","",INDEX(Manual_Review!$H$6:$H$238,U243))</f>
        <v/>
      </c>
      <c r="X243" s="5" t="str">
        <f>IF(INDEX(Manual_Review!$I$6:$I$238,U243)="","",INDEX(Manual_Review!$I$6:$I$238,U243))</f>
        <v/>
      </c>
      <c r="Y243" s="5" t="s">
        <v>2859</v>
      </c>
    </row>
    <row r="244" spans="1:25" ht="25.5">
      <c r="A244" s="5" t="s">
        <v>3387</v>
      </c>
      <c r="B244" s="5" t="s">
        <v>280</v>
      </c>
      <c r="C244" s="5" t="s">
        <v>281</v>
      </c>
      <c r="D244" s="5" t="s">
        <v>118</v>
      </c>
      <c r="E244" s="5" t="s">
        <v>2795</v>
      </c>
      <c r="F244" s="5" t="s">
        <v>2764</v>
      </c>
      <c r="G244" s="5">
        <v>1</v>
      </c>
      <c r="H244" s="5" t="s">
        <v>2854</v>
      </c>
      <c r="I244" s="5" t="str">
        <f>IF(INDEX(Manual_Review!$Y$6:$Y$238,U244)="","",INDEX(Manual_Review!$Y$6:$Y$238,U244))</f>
        <v/>
      </c>
      <c r="J244" s="5" t="str">
        <f t="shared" si="6"/>
        <v>AI provisional</v>
      </c>
      <c r="K244" s="5" t="str">
        <f t="shared" si="7"/>
        <v>Y</v>
      </c>
      <c r="L244" s="5" t="s">
        <v>291</v>
      </c>
      <c r="M244" s="5" t="s">
        <v>3388</v>
      </c>
      <c r="N244" s="5" t="s">
        <v>3359</v>
      </c>
      <c r="O244" s="5" t="s">
        <v>3082</v>
      </c>
      <c r="P244" s="5" t="s">
        <v>2858</v>
      </c>
      <c r="Q244" s="11">
        <v>46306.5</v>
      </c>
      <c r="R244" s="6"/>
      <c r="S244" s="6"/>
      <c r="T244" s="6"/>
      <c r="U244" s="5">
        <f>MATCH(B244,Manual_Review!$A$6:$A$238,0)</f>
        <v>15</v>
      </c>
      <c r="V244" s="5" t="str">
        <f>IF(INDEX(Manual_Review!$G$6:$G$238,U244)="","",INDEX(Manual_Review!$G$6:$G$238,U244))</f>
        <v/>
      </c>
      <c r="W244" s="11" t="str">
        <f>IF(INDEX(Manual_Review!$H$6:$H$238,U244)="","",INDEX(Manual_Review!$H$6:$H$238,U244))</f>
        <v/>
      </c>
      <c r="X244" s="5" t="str">
        <f>IF(INDEX(Manual_Review!$I$6:$I$238,U244)="","",INDEX(Manual_Review!$I$6:$I$238,U244))</f>
        <v/>
      </c>
      <c r="Y244" s="5" t="s">
        <v>2859</v>
      </c>
    </row>
    <row r="245" spans="1:25" ht="25.5">
      <c r="A245" s="5" t="s">
        <v>3389</v>
      </c>
      <c r="B245" s="5" t="s">
        <v>280</v>
      </c>
      <c r="C245" s="5" t="s">
        <v>281</v>
      </c>
      <c r="D245" s="5" t="s">
        <v>118</v>
      </c>
      <c r="E245" s="5" t="s">
        <v>2796</v>
      </c>
      <c r="F245" s="5" t="s">
        <v>2764</v>
      </c>
      <c r="G245" s="5">
        <v>1</v>
      </c>
      <c r="H245" s="5" t="s">
        <v>2864</v>
      </c>
      <c r="I245" s="5" t="str">
        <f>IF(INDEX(Manual_Review!$Z$6:$Z$238,U245)="","",INDEX(Manual_Review!$Z$6:$Z$238,U245))</f>
        <v/>
      </c>
      <c r="J245" s="5" t="str">
        <f t="shared" si="6"/>
        <v>AI provisional</v>
      </c>
      <c r="K245" s="5" t="str">
        <f t="shared" si="7"/>
        <v>U</v>
      </c>
      <c r="L245" s="5" t="s">
        <v>291</v>
      </c>
      <c r="M245" s="5" t="s">
        <v>3390</v>
      </c>
      <c r="N245" s="5" t="s">
        <v>3359</v>
      </c>
      <c r="O245" s="5" t="s">
        <v>2899</v>
      </c>
      <c r="P245" s="5" t="s">
        <v>2858</v>
      </c>
      <c r="Q245" s="11">
        <v>46306.5</v>
      </c>
      <c r="R245" s="6"/>
      <c r="S245" s="6"/>
      <c r="T245" s="6"/>
      <c r="U245" s="5">
        <f>MATCH(B245,Manual_Review!$A$6:$A$238,0)</f>
        <v>15</v>
      </c>
      <c r="V245" s="5" t="str">
        <f>IF(INDEX(Manual_Review!$G$6:$G$238,U245)="","",INDEX(Manual_Review!$G$6:$G$238,U245))</f>
        <v/>
      </c>
      <c r="W245" s="11" t="str">
        <f>IF(INDEX(Manual_Review!$H$6:$H$238,U245)="","",INDEX(Manual_Review!$H$6:$H$238,U245))</f>
        <v/>
      </c>
      <c r="X245" s="5" t="str">
        <f>IF(INDEX(Manual_Review!$I$6:$I$238,U245)="","",INDEX(Manual_Review!$I$6:$I$238,U245))</f>
        <v/>
      </c>
      <c r="Y245" s="5" t="s">
        <v>2859</v>
      </c>
    </row>
    <row r="246" spans="1:25" ht="25.5">
      <c r="A246" s="5" t="s">
        <v>3391</v>
      </c>
      <c r="B246" s="5" t="s">
        <v>293</v>
      </c>
      <c r="C246" s="5" t="s">
        <v>294</v>
      </c>
      <c r="D246" s="5" t="s">
        <v>118</v>
      </c>
      <c r="E246" s="5" t="s">
        <v>2781</v>
      </c>
      <c r="F246" s="5" t="s">
        <v>2754</v>
      </c>
      <c r="G246" s="5">
        <v>1</v>
      </c>
      <c r="H246" s="5" t="s">
        <v>2854</v>
      </c>
      <c r="I246" s="5" t="str">
        <f>IF(INDEX(Manual_Review!$K$6:$K$238,U246)="","",INDEX(Manual_Review!$K$6:$K$238,U246))</f>
        <v/>
      </c>
      <c r="J246" s="5" t="str">
        <f t="shared" si="6"/>
        <v>AI provisional</v>
      </c>
      <c r="K246" s="5" t="str">
        <f t="shared" si="7"/>
        <v>Y</v>
      </c>
      <c r="L246" s="5" t="s">
        <v>300</v>
      </c>
      <c r="M246" s="5" t="s">
        <v>3392</v>
      </c>
      <c r="N246" s="5" t="s">
        <v>3393</v>
      </c>
      <c r="O246" s="5" t="s">
        <v>2857</v>
      </c>
      <c r="P246" s="5" t="s">
        <v>2858</v>
      </c>
      <c r="Q246" s="11">
        <v>46306.5</v>
      </c>
      <c r="R246" s="6"/>
      <c r="S246" s="6"/>
      <c r="T246" s="6"/>
      <c r="U246" s="5">
        <f>MATCH(B246,Manual_Review!$A$6:$A$238,0)</f>
        <v>16</v>
      </c>
      <c r="V246" s="5" t="str">
        <f>IF(INDEX(Manual_Review!$G$6:$G$238,U246)="","",INDEX(Manual_Review!$G$6:$G$238,U246))</f>
        <v/>
      </c>
      <c r="W246" s="11" t="str">
        <f>IF(INDEX(Manual_Review!$H$6:$H$238,U246)="","",INDEX(Manual_Review!$H$6:$H$238,U246))</f>
        <v/>
      </c>
      <c r="X246" s="5" t="str">
        <f>IF(INDEX(Manual_Review!$I$6:$I$238,U246)="","",INDEX(Manual_Review!$I$6:$I$238,U246))</f>
        <v/>
      </c>
      <c r="Y246" s="5" t="s">
        <v>2859</v>
      </c>
    </row>
    <row r="247" spans="1:25" ht="25.5">
      <c r="A247" s="5" t="s">
        <v>3394</v>
      </c>
      <c r="B247" s="5" t="s">
        <v>293</v>
      </c>
      <c r="C247" s="5" t="s">
        <v>294</v>
      </c>
      <c r="D247" s="5" t="s">
        <v>118</v>
      </c>
      <c r="E247" s="5" t="s">
        <v>2782</v>
      </c>
      <c r="F247" s="5" t="s">
        <v>2754</v>
      </c>
      <c r="G247" s="5">
        <v>1</v>
      </c>
      <c r="H247" s="5" t="s">
        <v>2854</v>
      </c>
      <c r="I247" s="5" t="str">
        <f>IF(INDEX(Manual_Review!$L$6:$L$238,U247)="","",INDEX(Manual_Review!$L$6:$L$238,U247))</f>
        <v/>
      </c>
      <c r="J247" s="5" t="str">
        <f t="shared" si="6"/>
        <v>AI provisional</v>
      </c>
      <c r="K247" s="5" t="str">
        <f t="shared" si="7"/>
        <v>Y</v>
      </c>
      <c r="L247" s="5" t="s">
        <v>300</v>
      </c>
      <c r="M247" s="5" t="s">
        <v>3395</v>
      </c>
      <c r="N247" s="5" t="s">
        <v>3393</v>
      </c>
      <c r="O247" s="5" t="s">
        <v>2862</v>
      </c>
      <c r="P247" s="5" t="s">
        <v>2858</v>
      </c>
      <c r="Q247" s="11">
        <v>46306.5</v>
      </c>
      <c r="R247" s="6"/>
      <c r="S247" s="6"/>
      <c r="T247" s="6"/>
      <c r="U247" s="5">
        <f>MATCH(B247,Manual_Review!$A$6:$A$238,0)</f>
        <v>16</v>
      </c>
      <c r="V247" s="5" t="str">
        <f>IF(INDEX(Manual_Review!$G$6:$G$238,U247)="","",INDEX(Manual_Review!$G$6:$G$238,U247))</f>
        <v/>
      </c>
      <c r="W247" s="11" t="str">
        <f>IF(INDEX(Manual_Review!$H$6:$H$238,U247)="","",INDEX(Manual_Review!$H$6:$H$238,U247))</f>
        <v/>
      </c>
      <c r="X247" s="5" t="str">
        <f>IF(INDEX(Manual_Review!$I$6:$I$238,U247)="","",INDEX(Manual_Review!$I$6:$I$238,U247))</f>
        <v/>
      </c>
      <c r="Y247" s="5" t="s">
        <v>2859</v>
      </c>
    </row>
    <row r="248" spans="1:25" ht="25.5">
      <c r="A248" s="5" t="s">
        <v>3396</v>
      </c>
      <c r="B248" s="5" t="s">
        <v>293</v>
      </c>
      <c r="C248" s="5" t="s">
        <v>294</v>
      </c>
      <c r="D248" s="5" t="s">
        <v>118</v>
      </c>
      <c r="E248" s="5" t="s">
        <v>2783</v>
      </c>
      <c r="F248" s="5" t="s">
        <v>2754</v>
      </c>
      <c r="G248" s="5">
        <v>1</v>
      </c>
      <c r="H248" s="5" t="s">
        <v>2854</v>
      </c>
      <c r="I248" s="5" t="str">
        <f>IF(INDEX(Manual_Review!$M$6:$M$238,U248)="","",INDEX(Manual_Review!$M$6:$M$238,U248))</f>
        <v/>
      </c>
      <c r="J248" s="5" t="str">
        <f t="shared" si="6"/>
        <v>AI provisional</v>
      </c>
      <c r="K248" s="5" t="str">
        <f t="shared" si="7"/>
        <v>Y</v>
      </c>
      <c r="L248" s="5" t="s">
        <v>300</v>
      </c>
      <c r="M248" s="5" t="s">
        <v>3397</v>
      </c>
      <c r="N248" s="5" t="s">
        <v>3393</v>
      </c>
      <c r="O248" s="5" t="s">
        <v>3133</v>
      </c>
      <c r="P248" s="5" t="s">
        <v>2858</v>
      </c>
      <c r="Q248" s="11">
        <v>46306.5</v>
      </c>
      <c r="R248" s="6"/>
      <c r="S248" s="6"/>
      <c r="T248" s="6"/>
      <c r="U248" s="5">
        <f>MATCH(B248,Manual_Review!$A$6:$A$238,0)</f>
        <v>16</v>
      </c>
      <c r="V248" s="5" t="str">
        <f>IF(INDEX(Manual_Review!$G$6:$G$238,U248)="","",INDEX(Manual_Review!$G$6:$G$238,U248))</f>
        <v/>
      </c>
      <c r="W248" s="11" t="str">
        <f>IF(INDEX(Manual_Review!$H$6:$H$238,U248)="","",INDEX(Manual_Review!$H$6:$H$238,U248))</f>
        <v/>
      </c>
      <c r="X248" s="5" t="str">
        <f>IF(INDEX(Manual_Review!$I$6:$I$238,U248)="","",INDEX(Manual_Review!$I$6:$I$238,U248))</f>
        <v/>
      </c>
      <c r="Y248" s="5" t="s">
        <v>2859</v>
      </c>
    </row>
    <row r="249" spans="1:25" ht="25.5">
      <c r="A249" s="5" t="s">
        <v>3398</v>
      </c>
      <c r="B249" s="5" t="s">
        <v>293</v>
      </c>
      <c r="C249" s="5" t="s">
        <v>294</v>
      </c>
      <c r="D249" s="5" t="s">
        <v>118</v>
      </c>
      <c r="E249" s="5" t="s">
        <v>2784</v>
      </c>
      <c r="F249" s="5" t="s">
        <v>2756</v>
      </c>
      <c r="G249" s="5">
        <v>1</v>
      </c>
      <c r="H249" s="5" t="s">
        <v>2854</v>
      </c>
      <c r="I249" s="5" t="str">
        <f>IF(INDEX(Manual_Review!$N$6:$N$238,U249)="","",INDEX(Manual_Review!$N$6:$N$238,U249))</f>
        <v/>
      </c>
      <c r="J249" s="5" t="str">
        <f t="shared" si="6"/>
        <v>AI provisional</v>
      </c>
      <c r="K249" s="5" t="str">
        <f t="shared" si="7"/>
        <v>Y</v>
      </c>
      <c r="L249" s="5" t="s">
        <v>300</v>
      </c>
      <c r="M249" s="5" t="s">
        <v>3399</v>
      </c>
      <c r="N249" s="5" t="s">
        <v>3393</v>
      </c>
      <c r="O249" s="5" t="s">
        <v>2963</v>
      </c>
      <c r="P249" s="5" t="s">
        <v>2858</v>
      </c>
      <c r="Q249" s="11">
        <v>46306.5</v>
      </c>
      <c r="R249" s="6"/>
      <c r="S249" s="6"/>
      <c r="T249" s="6"/>
      <c r="U249" s="5">
        <f>MATCH(B249,Manual_Review!$A$6:$A$238,0)</f>
        <v>16</v>
      </c>
      <c r="V249" s="5" t="str">
        <f>IF(INDEX(Manual_Review!$G$6:$G$238,U249)="","",INDEX(Manual_Review!$G$6:$G$238,U249))</f>
        <v/>
      </c>
      <c r="W249" s="11" t="str">
        <f>IF(INDEX(Manual_Review!$H$6:$H$238,U249)="","",INDEX(Manual_Review!$H$6:$H$238,U249))</f>
        <v/>
      </c>
      <c r="X249" s="5" t="str">
        <f>IF(INDEX(Manual_Review!$I$6:$I$238,U249)="","",INDEX(Manual_Review!$I$6:$I$238,U249))</f>
        <v/>
      </c>
      <c r="Y249" s="5" t="s">
        <v>2859</v>
      </c>
    </row>
    <row r="250" spans="1:25" ht="25.5">
      <c r="A250" s="5" t="s">
        <v>3400</v>
      </c>
      <c r="B250" s="5" t="s">
        <v>293</v>
      </c>
      <c r="C250" s="5" t="s">
        <v>294</v>
      </c>
      <c r="D250" s="5" t="s">
        <v>118</v>
      </c>
      <c r="E250" s="5" t="s">
        <v>2785</v>
      </c>
      <c r="F250" s="5" t="s">
        <v>2756</v>
      </c>
      <c r="G250" s="5">
        <v>1</v>
      </c>
      <c r="H250" s="5" t="s">
        <v>2854</v>
      </c>
      <c r="I250" s="5" t="str">
        <f>IF(INDEX(Manual_Review!$O$6:$O$238,U250)="","",INDEX(Manual_Review!$O$6:$O$238,U250))</f>
        <v/>
      </c>
      <c r="J250" s="5" t="str">
        <f t="shared" si="6"/>
        <v>AI provisional</v>
      </c>
      <c r="K250" s="5" t="str">
        <f t="shared" si="7"/>
        <v>Y</v>
      </c>
      <c r="L250" s="5" t="s">
        <v>300</v>
      </c>
      <c r="M250" s="5" t="s">
        <v>3401</v>
      </c>
      <c r="N250" s="5" t="s">
        <v>3393</v>
      </c>
      <c r="O250" s="5" t="s">
        <v>3138</v>
      </c>
      <c r="P250" s="5" t="s">
        <v>2858</v>
      </c>
      <c r="Q250" s="11">
        <v>46306.5</v>
      </c>
      <c r="R250" s="6"/>
      <c r="S250" s="6"/>
      <c r="T250" s="6"/>
      <c r="U250" s="5">
        <f>MATCH(B250,Manual_Review!$A$6:$A$238,0)</f>
        <v>16</v>
      </c>
      <c r="V250" s="5" t="str">
        <f>IF(INDEX(Manual_Review!$G$6:$G$238,U250)="","",INDEX(Manual_Review!$G$6:$G$238,U250))</f>
        <v/>
      </c>
      <c r="W250" s="11" t="str">
        <f>IF(INDEX(Manual_Review!$H$6:$H$238,U250)="","",INDEX(Manual_Review!$H$6:$H$238,U250))</f>
        <v/>
      </c>
      <c r="X250" s="5" t="str">
        <f>IF(INDEX(Manual_Review!$I$6:$I$238,U250)="","",INDEX(Manual_Review!$I$6:$I$238,U250))</f>
        <v/>
      </c>
      <c r="Y250" s="5" t="s">
        <v>2859</v>
      </c>
    </row>
    <row r="251" spans="1:25" ht="25.5">
      <c r="A251" s="5" t="s">
        <v>3402</v>
      </c>
      <c r="B251" s="5" t="s">
        <v>293</v>
      </c>
      <c r="C251" s="5" t="s">
        <v>294</v>
      </c>
      <c r="D251" s="5" t="s">
        <v>118</v>
      </c>
      <c r="E251" s="5" t="s">
        <v>2786</v>
      </c>
      <c r="F251" s="5" t="s">
        <v>2756</v>
      </c>
      <c r="G251" s="5">
        <v>1</v>
      </c>
      <c r="H251" s="5" t="s">
        <v>2864</v>
      </c>
      <c r="I251" s="5" t="str">
        <f>IF(INDEX(Manual_Review!$P$6:$P$238,U251)="","",INDEX(Manual_Review!$P$6:$P$238,U251))</f>
        <v/>
      </c>
      <c r="J251" s="5" t="str">
        <f t="shared" si="6"/>
        <v>AI provisional</v>
      </c>
      <c r="K251" s="5" t="str">
        <f t="shared" si="7"/>
        <v>U</v>
      </c>
      <c r="L251" s="5" t="s">
        <v>300</v>
      </c>
      <c r="M251" s="5" t="s">
        <v>3397</v>
      </c>
      <c r="N251" s="5" t="s">
        <v>3393</v>
      </c>
      <c r="O251" s="5" t="s">
        <v>2874</v>
      </c>
      <c r="P251" s="5" t="s">
        <v>2858</v>
      </c>
      <c r="Q251" s="11">
        <v>46306.5</v>
      </c>
      <c r="R251" s="6"/>
      <c r="S251" s="6"/>
      <c r="T251" s="6"/>
      <c r="U251" s="5">
        <f>MATCH(B251,Manual_Review!$A$6:$A$238,0)</f>
        <v>16</v>
      </c>
      <c r="V251" s="5" t="str">
        <f>IF(INDEX(Manual_Review!$G$6:$G$238,U251)="","",INDEX(Manual_Review!$G$6:$G$238,U251))</f>
        <v/>
      </c>
      <c r="W251" s="11" t="str">
        <f>IF(INDEX(Manual_Review!$H$6:$H$238,U251)="","",INDEX(Manual_Review!$H$6:$H$238,U251))</f>
        <v/>
      </c>
      <c r="X251" s="5" t="str">
        <f>IF(INDEX(Manual_Review!$I$6:$I$238,U251)="","",INDEX(Manual_Review!$I$6:$I$238,U251))</f>
        <v/>
      </c>
      <c r="Y251" s="5" t="s">
        <v>2859</v>
      </c>
    </row>
    <row r="252" spans="1:25" ht="25.5">
      <c r="A252" s="5" t="s">
        <v>3403</v>
      </c>
      <c r="B252" s="5" t="s">
        <v>293</v>
      </c>
      <c r="C252" s="5" t="s">
        <v>294</v>
      </c>
      <c r="D252" s="5" t="s">
        <v>118</v>
      </c>
      <c r="E252" s="5" t="s">
        <v>2787</v>
      </c>
      <c r="F252" s="5" t="s">
        <v>2758</v>
      </c>
      <c r="G252" s="5">
        <v>1</v>
      </c>
      <c r="H252" s="5" t="s">
        <v>2854</v>
      </c>
      <c r="I252" s="5" t="str">
        <f>IF(INDEX(Manual_Review!$Q$6:$Q$238,U252)="","",INDEX(Manual_Review!$Q$6:$Q$238,U252))</f>
        <v/>
      </c>
      <c r="J252" s="5" t="str">
        <f t="shared" si="6"/>
        <v>AI provisional</v>
      </c>
      <c r="K252" s="5" t="str">
        <f t="shared" si="7"/>
        <v>Y</v>
      </c>
      <c r="L252" s="5" t="s">
        <v>300</v>
      </c>
      <c r="M252" s="5" t="s">
        <v>3404</v>
      </c>
      <c r="N252" s="5" t="s">
        <v>3393</v>
      </c>
      <c r="O252" s="5" t="s">
        <v>2969</v>
      </c>
      <c r="P252" s="5" t="s">
        <v>2858</v>
      </c>
      <c r="Q252" s="11">
        <v>46306.5</v>
      </c>
      <c r="R252" s="6"/>
      <c r="S252" s="6"/>
      <c r="T252" s="6"/>
      <c r="U252" s="5">
        <f>MATCH(B252,Manual_Review!$A$6:$A$238,0)</f>
        <v>16</v>
      </c>
      <c r="V252" s="5" t="str">
        <f>IF(INDEX(Manual_Review!$G$6:$G$238,U252)="","",INDEX(Manual_Review!$G$6:$G$238,U252))</f>
        <v/>
      </c>
      <c r="W252" s="11" t="str">
        <f>IF(INDEX(Manual_Review!$H$6:$H$238,U252)="","",INDEX(Manual_Review!$H$6:$H$238,U252))</f>
        <v/>
      </c>
      <c r="X252" s="5" t="str">
        <f>IF(INDEX(Manual_Review!$I$6:$I$238,U252)="","",INDEX(Manual_Review!$I$6:$I$238,U252))</f>
        <v/>
      </c>
      <c r="Y252" s="5" t="s">
        <v>2859</v>
      </c>
    </row>
    <row r="253" spans="1:25" ht="25.5">
      <c r="A253" s="5" t="s">
        <v>3405</v>
      </c>
      <c r="B253" s="5" t="s">
        <v>293</v>
      </c>
      <c r="C253" s="5" t="s">
        <v>294</v>
      </c>
      <c r="D253" s="5" t="s">
        <v>118</v>
      </c>
      <c r="E253" s="5" t="s">
        <v>2788</v>
      </c>
      <c r="F253" s="5" t="s">
        <v>2758</v>
      </c>
      <c r="G253" s="5">
        <v>1</v>
      </c>
      <c r="H253" s="5" t="s">
        <v>2854</v>
      </c>
      <c r="I253" s="5" t="str">
        <f>IF(INDEX(Manual_Review!$R$6:$R$238,U253)="","",INDEX(Manual_Review!$R$6:$R$238,U253))</f>
        <v/>
      </c>
      <c r="J253" s="5" t="str">
        <f t="shared" si="6"/>
        <v>AI provisional</v>
      </c>
      <c r="K253" s="5" t="str">
        <f t="shared" si="7"/>
        <v>Y</v>
      </c>
      <c r="L253" s="5" t="s">
        <v>300</v>
      </c>
      <c r="M253" s="5" t="s">
        <v>3406</v>
      </c>
      <c r="N253" s="5" t="s">
        <v>3393</v>
      </c>
      <c r="O253" s="5" t="s">
        <v>3067</v>
      </c>
      <c r="P253" s="5" t="s">
        <v>2858</v>
      </c>
      <c r="Q253" s="11">
        <v>46306.5</v>
      </c>
      <c r="R253" s="6"/>
      <c r="S253" s="6"/>
      <c r="T253" s="6"/>
      <c r="U253" s="5">
        <f>MATCH(B253,Manual_Review!$A$6:$A$238,0)</f>
        <v>16</v>
      </c>
      <c r="V253" s="5" t="str">
        <f>IF(INDEX(Manual_Review!$G$6:$G$238,U253)="","",INDEX(Manual_Review!$G$6:$G$238,U253))</f>
        <v/>
      </c>
      <c r="W253" s="11" t="str">
        <f>IF(INDEX(Manual_Review!$H$6:$H$238,U253)="","",INDEX(Manual_Review!$H$6:$H$238,U253))</f>
        <v/>
      </c>
      <c r="X253" s="5" t="str">
        <f>IF(INDEX(Manual_Review!$I$6:$I$238,U253)="","",INDEX(Manual_Review!$I$6:$I$238,U253))</f>
        <v/>
      </c>
      <c r="Y253" s="5" t="s">
        <v>2859</v>
      </c>
    </row>
    <row r="254" spans="1:25" ht="25.5">
      <c r="A254" s="5" t="s">
        <v>3407</v>
      </c>
      <c r="B254" s="5" t="s">
        <v>293</v>
      </c>
      <c r="C254" s="5" t="s">
        <v>294</v>
      </c>
      <c r="D254" s="5" t="s">
        <v>118</v>
      </c>
      <c r="E254" s="5" t="s">
        <v>2789</v>
      </c>
      <c r="F254" s="5" t="s">
        <v>2758</v>
      </c>
      <c r="G254" s="5">
        <v>1</v>
      </c>
      <c r="H254" s="5" t="s">
        <v>2854</v>
      </c>
      <c r="I254" s="5" t="str">
        <f>IF(INDEX(Manual_Review!$S$6:$S$238,U254)="","",INDEX(Manual_Review!$S$6:$S$238,U254))</f>
        <v/>
      </c>
      <c r="J254" s="5" t="str">
        <f t="shared" si="6"/>
        <v>AI provisional</v>
      </c>
      <c r="K254" s="5" t="str">
        <f t="shared" si="7"/>
        <v>Y</v>
      </c>
      <c r="L254" s="5" t="s">
        <v>300</v>
      </c>
      <c r="M254" s="5" t="s">
        <v>3408</v>
      </c>
      <c r="N254" s="5" t="s">
        <v>3393</v>
      </c>
      <c r="O254" s="5" t="s">
        <v>3178</v>
      </c>
      <c r="P254" s="5" t="s">
        <v>2858</v>
      </c>
      <c r="Q254" s="11">
        <v>46306.5</v>
      </c>
      <c r="R254" s="6"/>
      <c r="S254" s="6"/>
      <c r="T254" s="6"/>
      <c r="U254" s="5">
        <f>MATCH(B254,Manual_Review!$A$6:$A$238,0)</f>
        <v>16</v>
      </c>
      <c r="V254" s="5" t="str">
        <f>IF(INDEX(Manual_Review!$G$6:$G$238,U254)="","",INDEX(Manual_Review!$G$6:$G$238,U254))</f>
        <v/>
      </c>
      <c r="W254" s="11" t="str">
        <f>IF(INDEX(Manual_Review!$H$6:$H$238,U254)="","",INDEX(Manual_Review!$H$6:$H$238,U254))</f>
        <v/>
      </c>
      <c r="X254" s="5" t="str">
        <f>IF(INDEX(Manual_Review!$I$6:$I$238,U254)="","",INDEX(Manual_Review!$I$6:$I$238,U254))</f>
        <v/>
      </c>
      <c r="Y254" s="5" t="s">
        <v>2859</v>
      </c>
    </row>
    <row r="255" spans="1:25" ht="25.5">
      <c r="A255" s="5" t="s">
        <v>3409</v>
      </c>
      <c r="B255" s="5" t="s">
        <v>293</v>
      </c>
      <c r="C255" s="5" t="s">
        <v>294</v>
      </c>
      <c r="D255" s="5" t="s">
        <v>118</v>
      </c>
      <c r="E255" s="5" t="s">
        <v>2790</v>
      </c>
      <c r="F255" s="5" t="s">
        <v>2760</v>
      </c>
      <c r="G255" s="5">
        <v>1</v>
      </c>
      <c r="H255" s="5" t="s">
        <v>2854</v>
      </c>
      <c r="I255" s="5" t="str">
        <f>IF(INDEX(Manual_Review!$T$6:$T$238,U255)="","",INDEX(Manual_Review!$T$6:$T$238,U255))</f>
        <v/>
      </c>
      <c r="J255" s="5" t="str">
        <f t="shared" si="6"/>
        <v>AI provisional</v>
      </c>
      <c r="K255" s="5" t="str">
        <f t="shared" si="7"/>
        <v>Y</v>
      </c>
      <c r="L255" s="5" t="s">
        <v>300</v>
      </c>
      <c r="M255" s="5" t="s">
        <v>3410</v>
      </c>
      <c r="N255" s="5" t="s">
        <v>3393</v>
      </c>
      <c r="O255" s="5" t="s">
        <v>2976</v>
      </c>
      <c r="P255" s="5" t="s">
        <v>2858</v>
      </c>
      <c r="Q255" s="11">
        <v>46306.5</v>
      </c>
      <c r="R255" s="6"/>
      <c r="S255" s="6"/>
      <c r="T255" s="6"/>
      <c r="U255" s="5">
        <f>MATCH(B255,Manual_Review!$A$6:$A$238,0)</f>
        <v>16</v>
      </c>
      <c r="V255" s="5" t="str">
        <f>IF(INDEX(Manual_Review!$G$6:$G$238,U255)="","",INDEX(Manual_Review!$G$6:$G$238,U255))</f>
        <v/>
      </c>
      <c r="W255" s="11" t="str">
        <f>IF(INDEX(Manual_Review!$H$6:$H$238,U255)="","",INDEX(Manual_Review!$H$6:$H$238,U255))</f>
        <v/>
      </c>
      <c r="X255" s="5" t="str">
        <f>IF(INDEX(Manual_Review!$I$6:$I$238,U255)="","",INDEX(Manual_Review!$I$6:$I$238,U255))</f>
        <v/>
      </c>
      <c r="Y255" s="5" t="s">
        <v>2859</v>
      </c>
    </row>
    <row r="256" spans="1:25" ht="25.5">
      <c r="A256" s="5" t="s">
        <v>3411</v>
      </c>
      <c r="B256" s="5" t="s">
        <v>293</v>
      </c>
      <c r="C256" s="5" t="s">
        <v>294</v>
      </c>
      <c r="D256" s="5" t="s">
        <v>118</v>
      </c>
      <c r="E256" s="5" t="s">
        <v>2791</v>
      </c>
      <c r="F256" s="5" t="s">
        <v>2760</v>
      </c>
      <c r="G256" s="5">
        <v>1</v>
      </c>
      <c r="H256" s="5" t="s">
        <v>2864</v>
      </c>
      <c r="I256" s="5" t="str">
        <f>IF(INDEX(Manual_Review!$U$6:$U$238,U256)="","",INDEX(Manual_Review!$U$6:$U$238,U256))</f>
        <v/>
      </c>
      <c r="J256" s="5" t="str">
        <f t="shared" si="6"/>
        <v>AI provisional</v>
      </c>
      <c r="K256" s="5" t="str">
        <f t="shared" si="7"/>
        <v>U</v>
      </c>
      <c r="L256" s="5" t="s">
        <v>300</v>
      </c>
      <c r="M256" s="5" t="s">
        <v>3412</v>
      </c>
      <c r="N256" s="5" t="s">
        <v>3393</v>
      </c>
      <c r="O256" s="5" t="s">
        <v>2888</v>
      </c>
      <c r="P256" s="5" t="s">
        <v>2858</v>
      </c>
      <c r="Q256" s="11">
        <v>46306.5</v>
      </c>
      <c r="R256" s="6"/>
      <c r="S256" s="6"/>
      <c r="T256" s="6"/>
      <c r="U256" s="5">
        <f>MATCH(B256,Manual_Review!$A$6:$A$238,0)</f>
        <v>16</v>
      </c>
      <c r="V256" s="5" t="str">
        <f>IF(INDEX(Manual_Review!$G$6:$G$238,U256)="","",INDEX(Manual_Review!$G$6:$G$238,U256))</f>
        <v/>
      </c>
      <c r="W256" s="11" t="str">
        <f>IF(INDEX(Manual_Review!$H$6:$H$238,U256)="","",INDEX(Manual_Review!$H$6:$H$238,U256))</f>
        <v/>
      </c>
      <c r="X256" s="5" t="str">
        <f>IF(INDEX(Manual_Review!$I$6:$I$238,U256)="","",INDEX(Manual_Review!$I$6:$I$238,U256))</f>
        <v/>
      </c>
      <c r="Y256" s="5" t="s">
        <v>2859</v>
      </c>
    </row>
    <row r="257" spans="1:25" ht="25.5">
      <c r="A257" s="5" t="s">
        <v>3413</v>
      </c>
      <c r="B257" s="5" t="s">
        <v>293</v>
      </c>
      <c r="C257" s="5" t="s">
        <v>294</v>
      </c>
      <c r="D257" s="5" t="s">
        <v>118</v>
      </c>
      <c r="E257" s="5" t="s">
        <v>2792</v>
      </c>
      <c r="F257" s="5" t="s">
        <v>2762</v>
      </c>
      <c r="G257" s="5">
        <v>1</v>
      </c>
      <c r="H257" s="5" t="s">
        <v>2864</v>
      </c>
      <c r="I257" s="5" t="str">
        <f>IF(INDEX(Manual_Review!$V$6:$V$238,U257)="","",INDEX(Manual_Review!$V$6:$V$238,U257))</f>
        <v/>
      </c>
      <c r="J257" s="5" t="str">
        <f t="shared" si="6"/>
        <v>AI provisional</v>
      </c>
      <c r="K257" s="5" t="str">
        <f t="shared" si="7"/>
        <v>U</v>
      </c>
      <c r="L257" s="5" t="s">
        <v>300</v>
      </c>
      <c r="M257" s="5" t="s">
        <v>3414</v>
      </c>
      <c r="N257" s="5" t="s">
        <v>3393</v>
      </c>
      <c r="O257" s="5" t="s">
        <v>2891</v>
      </c>
      <c r="P257" s="5" t="s">
        <v>2858</v>
      </c>
      <c r="Q257" s="11">
        <v>46306.5</v>
      </c>
      <c r="R257" s="6"/>
      <c r="S257" s="6"/>
      <c r="T257" s="6"/>
      <c r="U257" s="5">
        <f>MATCH(B257,Manual_Review!$A$6:$A$238,0)</f>
        <v>16</v>
      </c>
      <c r="V257" s="5" t="str">
        <f>IF(INDEX(Manual_Review!$G$6:$G$238,U257)="","",INDEX(Manual_Review!$G$6:$G$238,U257))</f>
        <v/>
      </c>
      <c r="W257" s="11" t="str">
        <f>IF(INDEX(Manual_Review!$H$6:$H$238,U257)="","",INDEX(Manual_Review!$H$6:$H$238,U257))</f>
        <v/>
      </c>
      <c r="X257" s="5" t="str">
        <f>IF(INDEX(Manual_Review!$I$6:$I$238,U257)="","",INDEX(Manual_Review!$I$6:$I$238,U257))</f>
        <v/>
      </c>
      <c r="Y257" s="5" t="s">
        <v>2859</v>
      </c>
    </row>
    <row r="258" spans="1:25" ht="25.5">
      <c r="A258" s="5" t="s">
        <v>3415</v>
      </c>
      <c r="B258" s="5" t="s">
        <v>293</v>
      </c>
      <c r="C258" s="5" t="s">
        <v>294</v>
      </c>
      <c r="D258" s="5" t="s">
        <v>118</v>
      </c>
      <c r="E258" s="5" t="s">
        <v>2793</v>
      </c>
      <c r="F258" s="5" t="s">
        <v>2762</v>
      </c>
      <c r="G258" s="5">
        <v>1</v>
      </c>
      <c r="H258" s="5" t="s">
        <v>2854</v>
      </c>
      <c r="I258" s="5" t="str">
        <f>IF(INDEX(Manual_Review!$W$6:$W$238,U258)="","",INDEX(Manual_Review!$W$6:$W$238,U258))</f>
        <v/>
      </c>
      <c r="J258" s="5" t="str">
        <f t="shared" si="6"/>
        <v>AI provisional</v>
      </c>
      <c r="K258" s="5" t="str">
        <f t="shared" si="7"/>
        <v>Y</v>
      </c>
      <c r="L258" s="5" t="s">
        <v>300</v>
      </c>
      <c r="M258" s="5" t="s">
        <v>3414</v>
      </c>
      <c r="N258" s="5" t="s">
        <v>3393</v>
      </c>
      <c r="O258" s="5" t="s">
        <v>3077</v>
      </c>
      <c r="P258" s="5" t="s">
        <v>2858</v>
      </c>
      <c r="Q258" s="11">
        <v>46306.5</v>
      </c>
      <c r="R258" s="6"/>
      <c r="S258" s="6"/>
      <c r="T258" s="6"/>
      <c r="U258" s="5">
        <f>MATCH(B258,Manual_Review!$A$6:$A$238,0)</f>
        <v>16</v>
      </c>
      <c r="V258" s="5" t="str">
        <f>IF(INDEX(Manual_Review!$G$6:$G$238,U258)="","",INDEX(Manual_Review!$G$6:$G$238,U258))</f>
        <v/>
      </c>
      <c r="W258" s="11" t="str">
        <f>IF(INDEX(Manual_Review!$H$6:$H$238,U258)="","",INDEX(Manual_Review!$H$6:$H$238,U258))</f>
        <v/>
      </c>
      <c r="X258" s="5" t="str">
        <f>IF(INDEX(Manual_Review!$I$6:$I$238,U258)="","",INDEX(Manual_Review!$I$6:$I$238,U258))</f>
        <v/>
      </c>
      <c r="Y258" s="5" t="s">
        <v>2859</v>
      </c>
    </row>
    <row r="259" spans="1:25" ht="25.5">
      <c r="A259" s="5" t="s">
        <v>3416</v>
      </c>
      <c r="B259" s="5" t="s">
        <v>293</v>
      </c>
      <c r="C259" s="5" t="s">
        <v>294</v>
      </c>
      <c r="D259" s="5" t="s">
        <v>118</v>
      </c>
      <c r="E259" s="5" t="s">
        <v>2794</v>
      </c>
      <c r="F259" s="5" t="s">
        <v>2764</v>
      </c>
      <c r="G259" s="5">
        <v>1</v>
      </c>
      <c r="H259" s="5" t="s">
        <v>2864</v>
      </c>
      <c r="I259" s="5" t="str">
        <f>IF(INDEX(Manual_Review!$X$6:$X$238,U259)="","",INDEX(Manual_Review!$X$6:$X$238,U259))</f>
        <v/>
      </c>
      <c r="J259" s="5" t="str">
        <f t="shared" si="6"/>
        <v>AI provisional</v>
      </c>
      <c r="K259" s="5" t="str">
        <f t="shared" si="7"/>
        <v>U</v>
      </c>
      <c r="L259" s="5" t="s">
        <v>300</v>
      </c>
      <c r="M259" s="5" t="s">
        <v>3417</v>
      </c>
      <c r="N259" s="5" t="s">
        <v>3393</v>
      </c>
      <c r="O259" s="5" t="s">
        <v>2895</v>
      </c>
      <c r="P259" s="5" t="s">
        <v>2858</v>
      </c>
      <c r="Q259" s="11">
        <v>46306.5</v>
      </c>
      <c r="R259" s="6"/>
      <c r="S259" s="6"/>
      <c r="T259" s="6"/>
      <c r="U259" s="5">
        <f>MATCH(B259,Manual_Review!$A$6:$A$238,0)</f>
        <v>16</v>
      </c>
      <c r="V259" s="5" t="str">
        <f>IF(INDEX(Manual_Review!$G$6:$G$238,U259)="","",INDEX(Manual_Review!$G$6:$G$238,U259))</f>
        <v/>
      </c>
      <c r="W259" s="11" t="str">
        <f>IF(INDEX(Manual_Review!$H$6:$H$238,U259)="","",INDEX(Manual_Review!$H$6:$H$238,U259))</f>
        <v/>
      </c>
      <c r="X259" s="5" t="str">
        <f>IF(INDEX(Manual_Review!$I$6:$I$238,U259)="","",INDEX(Manual_Review!$I$6:$I$238,U259))</f>
        <v/>
      </c>
      <c r="Y259" s="5" t="s">
        <v>2859</v>
      </c>
    </row>
    <row r="260" spans="1:25" ht="25.5">
      <c r="A260" s="5" t="s">
        <v>3418</v>
      </c>
      <c r="B260" s="5" t="s">
        <v>293</v>
      </c>
      <c r="C260" s="5" t="s">
        <v>294</v>
      </c>
      <c r="D260" s="5" t="s">
        <v>118</v>
      </c>
      <c r="E260" s="5" t="s">
        <v>2795</v>
      </c>
      <c r="F260" s="5" t="s">
        <v>2764</v>
      </c>
      <c r="G260" s="5">
        <v>1</v>
      </c>
      <c r="H260" s="5" t="s">
        <v>2864</v>
      </c>
      <c r="I260" s="5" t="str">
        <f>IF(INDEX(Manual_Review!$Y$6:$Y$238,U260)="","",INDEX(Manual_Review!$Y$6:$Y$238,U260))</f>
        <v/>
      </c>
      <c r="J260" s="5" t="str">
        <f t="shared" si="6"/>
        <v>AI provisional</v>
      </c>
      <c r="K260" s="5" t="str">
        <f t="shared" si="7"/>
        <v>U</v>
      </c>
      <c r="L260" s="5" t="s">
        <v>300</v>
      </c>
      <c r="M260" s="5" t="s">
        <v>3397</v>
      </c>
      <c r="N260" s="5" t="s">
        <v>3393</v>
      </c>
      <c r="O260" s="5" t="s">
        <v>2897</v>
      </c>
      <c r="P260" s="5" t="s">
        <v>2858</v>
      </c>
      <c r="Q260" s="11">
        <v>46306.5</v>
      </c>
      <c r="R260" s="6"/>
      <c r="S260" s="6"/>
      <c r="T260" s="6"/>
      <c r="U260" s="5">
        <f>MATCH(B260,Manual_Review!$A$6:$A$238,0)</f>
        <v>16</v>
      </c>
      <c r="V260" s="5" t="str">
        <f>IF(INDEX(Manual_Review!$G$6:$G$238,U260)="","",INDEX(Manual_Review!$G$6:$G$238,U260))</f>
        <v/>
      </c>
      <c r="W260" s="11" t="str">
        <f>IF(INDEX(Manual_Review!$H$6:$H$238,U260)="","",INDEX(Manual_Review!$H$6:$H$238,U260))</f>
        <v/>
      </c>
      <c r="X260" s="5" t="str">
        <f>IF(INDEX(Manual_Review!$I$6:$I$238,U260)="","",INDEX(Manual_Review!$I$6:$I$238,U260))</f>
        <v/>
      </c>
      <c r="Y260" s="5" t="s">
        <v>2859</v>
      </c>
    </row>
    <row r="261" spans="1:25" ht="25.5">
      <c r="A261" s="5" t="s">
        <v>3419</v>
      </c>
      <c r="B261" s="5" t="s">
        <v>293</v>
      </c>
      <c r="C261" s="5" t="s">
        <v>294</v>
      </c>
      <c r="D261" s="5" t="s">
        <v>118</v>
      </c>
      <c r="E261" s="5" t="s">
        <v>2796</v>
      </c>
      <c r="F261" s="5" t="s">
        <v>2764</v>
      </c>
      <c r="G261" s="5">
        <v>1</v>
      </c>
      <c r="H261" s="5" t="s">
        <v>2864</v>
      </c>
      <c r="I261" s="5" t="str">
        <f>IF(INDEX(Manual_Review!$Z$6:$Z$238,U261)="","",INDEX(Manual_Review!$Z$6:$Z$238,U261))</f>
        <v/>
      </c>
      <c r="J261" s="5" t="str">
        <f t="shared" si="6"/>
        <v>AI provisional</v>
      </c>
      <c r="K261" s="5" t="str">
        <f t="shared" si="7"/>
        <v>U</v>
      </c>
      <c r="L261" s="5" t="s">
        <v>300</v>
      </c>
      <c r="M261" s="5" t="s">
        <v>3420</v>
      </c>
      <c r="N261" s="5" t="s">
        <v>3393</v>
      </c>
      <c r="O261" s="5" t="s">
        <v>2899</v>
      </c>
      <c r="P261" s="5" t="s">
        <v>2858</v>
      </c>
      <c r="Q261" s="11">
        <v>46306.5</v>
      </c>
      <c r="R261" s="6"/>
      <c r="S261" s="6"/>
      <c r="T261" s="6"/>
      <c r="U261" s="5">
        <f>MATCH(B261,Manual_Review!$A$6:$A$238,0)</f>
        <v>16</v>
      </c>
      <c r="V261" s="5" t="str">
        <f>IF(INDEX(Manual_Review!$G$6:$G$238,U261)="","",INDEX(Manual_Review!$G$6:$G$238,U261))</f>
        <v/>
      </c>
      <c r="W261" s="11" t="str">
        <f>IF(INDEX(Manual_Review!$H$6:$H$238,U261)="","",INDEX(Manual_Review!$H$6:$H$238,U261))</f>
        <v/>
      </c>
      <c r="X261" s="5" t="str">
        <f>IF(INDEX(Manual_Review!$I$6:$I$238,U261)="","",INDEX(Manual_Review!$I$6:$I$238,U261))</f>
        <v/>
      </c>
      <c r="Y261" s="5" t="s">
        <v>2859</v>
      </c>
    </row>
    <row r="262" spans="1:25" ht="25.5">
      <c r="A262" s="5" t="s">
        <v>3421</v>
      </c>
      <c r="B262" s="5" t="s">
        <v>302</v>
      </c>
      <c r="C262" s="5" t="s">
        <v>303</v>
      </c>
      <c r="D262" s="5" t="s">
        <v>118</v>
      </c>
      <c r="E262" s="5" t="s">
        <v>2781</v>
      </c>
      <c r="F262" s="5" t="s">
        <v>2754</v>
      </c>
      <c r="G262" s="5">
        <v>1</v>
      </c>
      <c r="H262" s="5" t="s">
        <v>2854</v>
      </c>
      <c r="I262" s="5" t="str">
        <f>IF(INDEX(Manual_Review!$K$6:$K$238,U262)="","",INDEX(Manual_Review!$K$6:$K$238,U262))</f>
        <v/>
      </c>
      <c r="J262" s="5" t="str">
        <f t="shared" ref="J262:J325" si="8">IF(G262=0,"Not applicable",IF(I262="","AI provisional",IF(AND(OR(I262="Y",I262="N",I262="U",I262="X"),V262&lt;&gt;"",ISNUMBER(W262),W262&gt;0,X262="Confirmed",R262&lt;&gt;"",S262&lt;&gt;"",T262&lt;&gt;""),"Human valid","Evidence needed")))</f>
        <v>AI provisional</v>
      </c>
      <c r="K262" s="5" t="str">
        <f t="shared" ref="K262:K325" si="9">IF(G262=0,"N/A",IF(I262="",H262,IF(J262="Human valid",I262,"U")))</f>
        <v>Y</v>
      </c>
      <c r="L262" s="5" t="s">
        <v>3422</v>
      </c>
      <c r="M262" s="5" t="s">
        <v>3423</v>
      </c>
      <c r="N262" s="5" t="s">
        <v>3424</v>
      </c>
      <c r="O262" s="5" t="s">
        <v>2991</v>
      </c>
      <c r="P262" s="5" t="s">
        <v>2992</v>
      </c>
      <c r="Q262" s="11">
        <v>46306.5</v>
      </c>
      <c r="R262" s="6"/>
      <c r="S262" s="6"/>
      <c r="T262" s="6"/>
      <c r="U262" s="5">
        <f>MATCH(B262,Manual_Review!$A$6:$A$238,0)</f>
        <v>17</v>
      </c>
      <c r="V262" s="5" t="str">
        <f>IF(INDEX(Manual_Review!$G$6:$G$238,U262)="","",INDEX(Manual_Review!$G$6:$G$238,U262))</f>
        <v/>
      </c>
      <c r="W262" s="11" t="str">
        <f>IF(INDEX(Manual_Review!$H$6:$H$238,U262)="","",INDEX(Manual_Review!$H$6:$H$238,U262))</f>
        <v/>
      </c>
      <c r="X262" s="5" t="str">
        <f>IF(INDEX(Manual_Review!$I$6:$I$238,U262)="","",INDEX(Manual_Review!$I$6:$I$238,U262))</f>
        <v/>
      </c>
      <c r="Y262" s="5" t="s">
        <v>2859</v>
      </c>
    </row>
    <row r="263" spans="1:25" ht="25.5">
      <c r="A263" s="5" t="s">
        <v>3425</v>
      </c>
      <c r="B263" s="5" t="s">
        <v>302</v>
      </c>
      <c r="C263" s="5" t="s">
        <v>303</v>
      </c>
      <c r="D263" s="5" t="s">
        <v>118</v>
      </c>
      <c r="E263" s="5" t="s">
        <v>2782</v>
      </c>
      <c r="F263" s="5" t="s">
        <v>2754</v>
      </c>
      <c r="G263" s="5">
        <v>1</v>
      </c>
      <c r="H263" s="5" t="s">
        <v>2854</v>
      </c>
      <c r="I263" s="5" t="str">
        <f>IF(INDEX(Manual_Review!$L$6:$L$238,U263)="","",INDEX(Manual_Review!$L$6:$L$238,U263))</f>
        <v/>
      </c>
      <c r="J263" s="5" t="str">
        <f t="shared" si="8"/>
        <v>AI provisional</v>
      </c>
      <c r="K263" s="5" t="str">
        <f t="shared" si="9"/>
        <v>Y</v>
      </c>
      <c r="L263" s="5" t="s">
        <v>3422</v>
      </c>
      <c r="M263" s="5" t="s">
        <v>3426</v>
      </c>
      <c r="N263" s="5" t="s">
        <v>3427</v>
      </c>
      <c r="O263" s="5" t="s">
        <v>2996</v>
      </c>
      <c r="P263" s="5" t="s">
        <v>2992</v>
      </c>
      <c r="Q263" s="11">
        <v>46306.5</v>
      </c>
      <c r="R263" s="6"/>
      <c r="S263" s="6"/>
      <c r="T263" s="6"/>
      <c r="U263" s="5">
        <f>MATCH(B263,Manual_Review!$A$6:$A$238,0)</f>
        <v>17</v>
      </c>
      <c r="V263" s="5" t="str">
        <f>IF(INDEX(Manual_Review!$G$6:$G$238,U263)="","",INDEX(Manual_Review!$G$6:$G$238,U263))</f>
        <v/>
      </c>
      <c r="W263" s="11" t="str">
        <f>IF(INDEX(Manual_Review!$H$6:$H$238,U263)="","",INDEX(Manual_Review!$H$6:$H$238,U263))</f>
        <v/>
      </c>
      <c r="X263" s="5" t="str">
        <f>IF(INDEX(Manual_Review!$I$6:$I$238,U263)="","",INDEX(Manual_Review!$I$6:$I$238,U263))</f>
        <v/>
      </c>
      <c r="Y263" s="5" t="s">
        <v>2859</v>
      </c>
    </row>
    <row r="264" spans="1:25" ht="25.5">
      <c r="A264" s="5" t="s">
        <v>3428</v>
      </c>
      <c r="B264" s="5" t="s">
        <v>302</v>
      </c>
      <c r="C264" s="5" t="s">
        <v>303</v>
      </c>
      <c r="D264" s="5" t="s">
        <v>118</v>
      </c>
      <c r="E264" s="5" t="s">
        <v>2783</v>
      </c>
      <c r="F264" s="5" t="s">
        <v>2754</v>
      </c>
      <c r="G264" s="5">
        <v>1</v>
      </c>
      <c r="H264" s="5" t="s">
        <v>2854</v>
      </c>
      <c r="I264" s="5" t="str">
        <f>IF(INDEX(Manual_Review!$M$6:$M$238,U264)="","",INDEX(Manual_Review!$M$6:$M$238,U264))</f>
        <v/>
      </c>
      <c r="J264" s="5" t="str">
        <f t="shared" si="8"/>
        <v>AI provisional</v>
      </c>
      <c r="K264" s="5" t="str">
        <f t="shared" si="9"/>
        <v>Y</v>
      </c>
      <c r="L264" s="5" t="s">
        <v>3422</v>
      </c>
      <c r="M264" s="5" t="s">
        <v>3429</v>
      </c>
      <c r="N264" s="5" t="s">
        <v>3430</v>
      </c>
      <c r="O264" s="5" t="s">
        <v>3000</v>
      </c>
      <c r="P264" s="5" t="s">
        <v>2992</v>
      </c>
      <c r="Q264" s="11">
        <v>46306.5</v>
      </c>
      <c r="R264" s="6"/>
      <c r="S264" s="6"/>
      <c r="T264" s="6"/>
      <c r="U264" s="5">
        <f>MATCH(B264,Manual_Review!$A$6:$A$238,0)</f>
        <v>17</v>
      </c>
      <c r="V264" s="5" t="str">
        <f>IF(INDEX(Manual_Review!$G$6:$G$238,U264)="","",INDEX(Manual_Review!$G$6:$G$238,U264))</f>
        <v/>
      </c>
      <c r="W264" s="11" t="str">
        <f>IF(INDEX(Manual_Review!$H$6:$H$238,U264)="","",INDEX(Manual_Review!$H$6:$H$238,U264))</f>
        <v/>
      </c>
      <c r="X264" s="5" t="str">
        <f>IF(INDEX(Manual_Review!$I$6:$I$238,U264)="","",INDEX(Manual_Review!$I$6:$I$238,U264))</f>
        <v/>
      </c>
      <c r="Y264" s="5" t="s">
        <v>2859</v>
      </c>
    </row>
    <row r="265" spans="1:25" ht="25.5">
      <c r="A265" s="5" t="s">
        <v>3431</v>
      </c>
      <c r="B265" s="5" t="s">
        <v>302</v>
      </c>
      <c r="C265" s="5" t="s">
        <v>303</v>
      </c>
      <c r="D265" s="5" t="s">
        <v>118</v>
      </c>
      <c r="E265" s="5" t="s">
        <v>2784</v>
      </c>
      <c r="F265" s="5" t="s">
        <v>2756</v>
      </c>
      <c r="G265" s="5">
        <v>1</v>
      </c>
      <c r="H265" s="5" t="s">
        <v>2854</v>
      </c>
      <c r="I265" s="5" t="str">
        <f>IF(INDEX(Manual_Review!$N$6:$N$238,U265)="","",INDEX(Manual_Review!$N$6:$N$238,U265))</f>
        <v/>
      </c>
      <c r="J265" s="5" t="str">
        <f t="shared" si="8"/>
        <v>AI provisional</v>
      </c>
      <c r="K265" s="5" t="str">
        <f t="shared" si="9"/>
        <v>Y</v>
      </c>
      <c r="L265" s="5" t="s">
        <v>3422</v>
      </c>
      <c r="M265" s="5" t="s">
        <v>3432</v>
      </c>
      <c r="N265" s="5" t="s">
        <v>3433</v>
      </c>
      <c r="O265" s="5" t="s">
        <v>3004</v>
      </c>
      <c r="P265" s="5" t="s">
        <v>2992</v>
      </c>
      <c r="Q265" s="11">
        <v>46306.5</v>
      </c>
      <c r="R265" s="6"/>
      <c r="S265" s="6"/>
      <c r="T265" s="6"/>
      <c r="U265" s="5">
        <f>MATCH(B265,Manual_Review!$A$6:$A$238,0)</f>
        <v>17</v>
      </c>
      <c r="V265" s="5" t="str">
        <f>IF(INDEX(Manual_Review!$G$6:$G$238,U265)="","",INDEX(Manual_Review!$G$6:$G$238,U265))</f>
        <v/>
      </c>
      <c r="W265" s="11" t="str">
        <f>IF(INDEX(Manual_Review!$H$6:$H$238,U265)="","",INDEX(Manual_Review!$H$6:$H$238,U265))</f>
        <v/>
      </c>
      <c r="X265" s="5" t="str">
        <f>IF(INDEX(Manual_Review!$I$6:$I$238,U265)="","",INDEX(Manual_Review!$I$6:$I$238,U265))</f>
        <v/>
      </c>
      <c r="Y265" s="5" t="s">
        <v>2859</v>
      </c>
    </row>
    <row r="266" spans="1:25" ht="25.5">
      <c r="A266" s="5" t="s">
        <v>3434</v>
      </c>
      <c r="B266" s="5" t="s">
        <v>302</v>
      </c>
      <c r="C266" s="5" t="s">
        <v>303</v>
      </c>
      <c r="D266" s="5" t="s">
        <v>118</v>
      </c>
      <c r="E266" s="5" t="s">
        <v>2785</v>
      </c>
      <c r="F266" s="5" t="s">
        <v>2756</v>
      </c>
      <c r="G266" s="5">
        <v>1</v>
      </c>
      <c r="H266" s="5" t="s">
        <v>2864</v>
      </c>
      <c r="I266" s="5" t="str">
        <f>IF(INDEX(Manual_Review!$O$6:$O$238,U266)="","",INDEX(Manual_Review!$O$6:$O$238,U266))</f>
        <v/>
      </c>
      <c r="J266" s="5" t="str">
        <f t="shared" si="8"/>
        <v>AI provisional</v>
      </c>
      <c r="K266" s="5" t="str">
        <f t="shared" si="9"/>
        <v>U</v>
      </c>
      <c r="L266" s="5" t="s">
        <v>3422</v>
      </c>
      <c r="M266" s="5" t="s">
        <v>3432</v>
      </c>
      <c r="N266" s="5" t="s">
        <v>3433</v>
      </c>
      <c r="O266" s="5" t="s">
        <v>3006</v>
      </c>
      <c r="P266" s="5" t="s">
        <v>2992</v>
      </c>
      <c r="Q266" s="11">
        <v>46306.5</v>
      </c>
      <c r="R266" s="6"/>
      <c r="S266" s="6"/>
      <c r="T266" s="6"/>
      <c r="U266" s="5">
        <f>MATCH(B266,Manual_Review!$A$6:$A$238,0)</f>
        <v>17</v>
      </c>
      <c r="V266" s="5" t="str">
        <f>IF(INDEX(Manual_Review!$G$6:$G$238,U266)="","",INDEX(Manual_Review!$G$6:$G$238,U266))</f>
        <v/>
      </c>
      <c r="W266" s="11" t="str">
        <f>IF(INDEX(Manual_Review!$H$6:$H$238,U266)="","",INDEX(Manual_Review!$H$6:$H$238,U266))</f>
        <v/>
      </c>
      <c r="X266" s="5" t="str">
        <f>IF(INDEX(Manual_Review!$I$6:$I$238,U266)="","",INDEX(Manual_Review!$I$6:$I$238,U266))</f>
        <v/>
      </c>
      <c r="Y266" s="5" t="s">
        <v>2859</v>
      </c>
    </row>
    <row r="267" spans="1:25" ht="25.5">
      <c r="A267" s="5" t="s">
        <v>3435</v>
      </c>
      <c r="B267" s="5" t="s">
        <v>302</v>
      </c>
      <c r="C267" s="5" t="s">
        <v>303</v>
      </c>
      <c r="D267" s="5" t="s">
        <v>118</v>
      </c>
      <c r="E267" s="5" t="s">
        <v>2786</v>
      </c>
      <c r="F267" s="5" t="s">
        <v>2756</v>
      </c>
      <c r="G267" s="5">
        <v>1</v>
      </c>
      <c r="H267" s="5" t="s">
        <v>2864</v>
      </c>
      <c r="I267" s="5" t="str">
        <f>IF(INDEX(Manual_Review!$P$6:$P$238,U267)="","",INDEX(Manual_Review!$P$6:$P$238,U267))</f>
        <v/>
      </c>
      <c r="J267" s="5" t="str">
        <f t="shared" si="8"/>
        <v>AI provisional</v>
      </c>
      <c r="K267" s="5" t="str">
        <f t="shared" si="9"/>
        <v>U</v>
      </c>
      <c r="L267" s="5" t="s">
        <v>3422</v>
      </c>
      <c r="M267" s="5" t="s">
        <v>3436</v>
      </c>
      <c r="N267" s="5" t="s">
        <v>3437</v>
      </c>
      <c r="O267" s="5" t="s">
        <v>3010</v>
      </c>
      <c r="P267" s="5" t="s">
        <v>2992</v>
      </c>
      <c r="Q267" s="11">
        <v>46306.5</v>
      </c>
      <c r="R267" s="6"/>
      <c r="S267" s="6"/>
      <c r="T267" s="6"/>
      <c r="U267" s="5">
        <f>MATCH(B267,Manual_Review!$A$6:$A$238,0)</f>
        <v>17</v>
      </c>
      <c r="V267" s="5" t="str">
        <f>IF(INDEX(Manual_Review!$G$6:$G$238,U267)="","",INDEX(Manual_Review!$G$6:$G$238,U267))</f>
        <v/>
      </c>
      <c r="W267" s="11" t="str">
        <f>IF(INDEX(Manual_Review!$H$6:$H$238,U267)="","",INDEX(Manual_Review!$H$6:$H$238,U267))</f>
        <v/>
      </c>
      <c r="X267" s="5" t="str">
        <f>IF(INDEX(Manual_Review!$I$6:$I$238,U267)="","",INDEX(Manual_Review!$I$6:$I$238,U267))</f>
        <v/>
      </c>
      <c r="Y267" s="5" t="s">
        <v>2859</v>
      </c>
    </row>
    <row r="268" spans="1:25" ht="25.5">
      <c r="A268" s="5" t="s">
        <v>3438</v>
      </c>
      <c r="B268" s="5" t="s">
        <v>302</v>
      </c>
      <c r="C268" s="5" t="s">
        <v>303</v>
      </c>
      <c r="D268" s="5" t="s">
        <v>118</v>
      </c>
      <c r="E268" s="5" t="s">
        <v>2787</v>
      </c>
      <c r="F268" s="5" t="s">
        <v>2758</v>
      </c>
      <c r="G268" s="5">
        <v>1</v>
      </c>
      <c r="H268" s="5" t="s">
        <v>2864</v>
      </c>
      <c r="I268" s="5" t="str">
        <f>IF(INDEX(Manual_Review!$Q$6:$Q$238,U268)="","",INDEX(Manual_Review!$Q$6:$Q$238,U268))</f>
        <v/>
      </c>
      <c r="J268" s="5" t="str">
        <f t="shared" si="8"/>
        <v>AI provisional</v>
      </c>
      <c r="K268" s="5" t="str">
        <f t="shared" si="9"/>
        <v>U</v>
      </c>
      <c r="L268" s="5" t="s">
        <v>3422</v>
      </c>
      <c r="M268" s="5" t="s">
        <v>3439</v>
      </c>
      <c r="N268" s="5" t="s">
        <v>3440</v>
      </c>
      <c r="O268" s="5" t="s">
        <v>3014</v>
      </c>
      <c r="P268" s="5" t="s">
        <v>2992</v>
      </c>
      <c r="Q268" s="11">
        <v>46306.5</v>
      </c>
      <c r="R268" s="6"/>
      <c r="S268" s="6"/>
      <c r="T268" s="6"/>
      <c r="U268" s="5">
        <f>MATCH(B268,Manual_Review!$A$6:$A$238,0)</f>
        <v>17</v>
      </c>
      <c r="V268" s="5" t="str">
        <f>IF(INDEX(Manual_Review!$G$6:$G$238,U268)="","",INDEX(Manual_Review!$G$6:$G$238,U268))</f>
        <v/>
      </c>
      <c r="W268" s="11" t="str">
        <f>IF(INDEX(Manual_Review!$H$6:$H$238,U268)="","",INDEX(Manual_Review!$H$6:$H$238,U268))</f>
        <v/>
      </c>
      <c r="X268" s="5" t="str">
        <f>IF(INDEX(Manual_Review!$I$6:$I$238,U268)="","",INDEX(Manual_Review!$I$6:$I$238,U268))</f>
        <v/>
      </c>
      <c r="Y268" s="5" t="s">
        <v>2859</v>
      </c>
    </row>
    <row r="269" spans="1:25" ht="38.25">
      <c r="A269" s="5" t="s">
        <v>3441</v>
      </c>
      <c r="B269" s="5" t="s">
        <v>302</v>
      </c>
      <c r="C269" s="5" t="s">
        <v>303</v>
      </c>
      <c r="D269" s="5" t="s">
        <v>118</v>
      </c>
      <c r="E269" s="5" t="s">
        <v>2788</v>
      </c>
      <c r="F269" s="5" t="s">
        <v>2758</v>
      </c>
      <c r="G269" s="5">
        <v>1</v>
      </c>
      <c r="H269" s="5" t="s">
        <v>2854</v>
      </c>
      <c r="I269" s="5" t="str">
        <f>IF(INDEX(Manual_Review!$R$6:$R$238,U269)="","",INDEX(Manual_Review!$R$6:$R$238,U269))</f>
        <v/>
      </c>
      <c r="J269" s="5" t="str">
        <f t="shared" si="8"/>
        <v>AI provisional</v>
      </c>
      <c r="K269" s="5" t="str">
        <f t="shared" si="9"/>
        <v>Y</v>
      </c>
      <c r="L269" s="5" t="s">
        <v>3422</v>
      </c>
      <c r="M269" s="5" t="s">
        <v>3442</v>
      </c>
      <c r="N269" s="5" t="s">
        <v>3443</v>
      </c>
      <c r="O269" s="5" t="s">
        <v>3018</v>
      </c>
      <c r="P269" s="5" t="s">
        <v>2992</v>
      </c>
      <c r="Q269" s="11">
        <v>46306.5</v>
      </c>
      <c r="R269" s="6"/>
      <c r="S269" s="6"/>
      <c r="T269" s="6"/>
      <c r="U269" s="5">
        <f>MATCH(B269,Manual_Review!$A$6:$A$238,0)</f>
        <v>17</v>
      </c>
      <c r="V269" s="5" t="str">
        <f>IF(INDEX(Manual_Review!$G$6:$G$238,U269)="","",INDEX(Manual_Review!$G$6:$G$238,U269))</f>
        <v/>
      </c>
      <c r="W269" s="11" t="str">
        <f>IF(INDEX(Manual_Review!$H$6:$H$238,U269)="","",INDEX(Manual_Review!$H$6:$H$238,U269))</f>
        <v/>
      </c>
      <c r="X269" s="5" t="str">
        <f>IF(INDEX(Manual_Review!$I$6:$I$238,U269)="","",INDEX(Manual_Review!$I$6:$I$238,U269))</f>
        <v/>
      </c>
      <c r="Y269" s="5" t="s">
        <v>2859</v>
      </c>
    </row>
    <row r="270" spans="1:25" ht="25.5">
      <c r="A270" s="5" t="s">
        <v>3444</v>
      </c>
      <c r="B270" s="5" t="s">
        <v>302</v>
      </c>
      <c r="C270" s="5" t="s">
        <v>303</v>
      </c>
      <c r="D270" s="5" t="s">
        <v>118</v>
      </c>
      <c r="E270" s="5" t="s">
        <v>2789</v>
      </c>
      <c r="F270" s="5" t="s">
        <v>2758</v>
      </c>
      <c r="G270" s="5">
        <v>1</v>
      </c>
      <c r="H270" s="5" t="s">
        <v>2864</v>
      </c>
      <c r="I270" s="5" t="str">
        <f>IF(INDEX(Manual_Review!$S$6:$S$238,U270)="","",INDEX(Manual_Review!$S$6:$S$238,U270))</f>
        <v/>
      </c>
      <c r="J270" s="5" t="str">
        <f t="shared" si="8"/>
        <v>AI provisional</v>
      </c>
      <c r="K270" s="5" t="str">
        <f t="shared" si="9"/>
        <v>U</v>
      </c>
      <c r="L270" s="5" t="s">
        <v>3422</v>
      </c>
      <c r="M270" s="5" t="s">
        <v>3445</v>
      </c>
      <c r="N270" s="5" t="s">
        <v>3446</v>
      </c>
      <c r="O270" s="5" t="s">
        <v>3447</v>
      </c>
      <c r="P270" s="5" t="s">
        <v>2992</v>
      </c>
      <c r="Q270" s="11">
        <v>46306.5</v>
      </c>
      <c r="R270" s="6"/>
      <c r="S270" s="6"/>
      <c r="T270" s="6"/>
      <c r="U270" s="5">
        <f>MATCH(B270,Manual_Review!$A$6:$A$238,0)</f>
        <v>17</v>
      </c>
      <c r="V270" s="5" t="str">
        <f>IF(INDEX(Manual_Review!$G$6:$G$238,U270)="","",INDEX(Manual_Review!$G$6:$G$238,U270))</f>
        <v/>
      </c>
      <c r="W270" s="11" t="str">
        <f>IF(INDEX(Manual_Review!$H$6:$H$238,U270)="","",INDEX(Manual_Review!$H$6:$H$238,U270))</f>
        <v/>
      </c>
      <c r="X270" s="5" t="str">
        <f>IF(INDEX(Manual_Review!$I$6:$I$238,U270)="","",INDEX(Manual_Review!$I$6:$I$238,U270))</f>
        <v/>
      </c>
      <c r="Y270" s="5" t="s">
        <v>2859</v>
      </c>
    </row>
    <row r="271" spans="1:25" ht="25.5">
      <c r="A271" s="5" t="s">
        <v>3448</v>
      </c>
      <c r="B271" s="5" t="s">
        <v>302</v>
      </c>
      <c r="C271" s="5" t="s">
        <v>303</v>
      </c>
      <c r="D271" s="5" t="s">
        <v>118</v>
      </c>
      <c r="E271" s="5" t="s">
        <v>2790</v>
      </c>
      <c r="F271" s="5" t="s">
        <v>2760</v>
      </c>
      <c r="G271" s="5">
        <v>1</v>
      </c>
      <c r="H271" s="5" t="s">
        <v>2854</v>
      </c>
      <c r="I271" s="5" t="str">
        <f>IF(INDEX(Manual_Review!$T$6:$T$238,U271)="","",INDEX(Manual_Review!$T$6:$T$238,U271))</f>
        <v/>
      </c>
      <c r="J271" s="5" t="str">
        <f t="shared" si="8"/>
        <v>AI provisional</v>
      </c>
      <c r="K271" s="5" t="str">
        <f t="shared" si="9"/>
        <v>Y</v>
      </c>
      <c r="L271" s="5" t="s">
        <v>3422</v>
      </c>
      <c r="M271" s="5" t="s">
        <v>3449</v>
      </c>
      <c r="N271" s="5" t="s">
        <v>3450</v>
      </c>
      <c r="O271" s="5" t="s">
        <v>3451</v>
      </c>
      <c r="P271" s="5" t="s">
        <v>2992</v>
      </c>
      <c r="Q271" s="11">
        <v>46306.5</v>
      </c>
      <c r="R271" s="6"/>
      <c r="S271" s="6"/>
      <c r="T271" s="6"/>
      <c r="U271" s="5">
        <f>MATCH(B271,Manual_Review!$A$6:$A$238,0)</f>
        <v>17</v>
      </c>
      <c r="V271" s="5" t="str">
        <f>IF(INDEX(Manual_Review!$G$6:$G$238,U271)="","",INDEX(Manual_Review!$G$6:$G$238,U271))</f>
        <v/>
      </c>
      <c r="W271" s="11" t="str">
        <f>IF(INDEX(Manual_Review!$H$6:$H$238,U271)="","",INDEX(Manual_Review!$H$6:$H$238,U271))</f>
        <v/>
      </c>
      <c r="X271" s="5" t="str">
        <f>IF(INDEX(Manual_Review!$I$6:$I$238,U271)="","",INDEX(Manual_Review!$I$6:$I$238,U271))</f>
        <v/>
      </c>
      <c r="Y271" s="5" t="s">
        <v>2859</v>
      </c>
    </row>
    <row r="272" spans="1:25" ht="25.5">
      <c r="A272" s="5" t="s">
        <v>3452</v>
      </c>
      <c r="B272" s="5" t="s">
        <v>302</v>
      </c>
      <c r="C272" s="5" t="s">
        <v>303</v>
      </c>
      <c r="D272" s="5" t="s">
        <v>118</v>
      </c>
      <c r="E272" s="5" t="s">
        <v>2791</v>
      </c>
      <c r="F272" s="5" t="s">
        <v>2760</v>
      </c>
      <c r="G272" s="5">
        <v>1</v>
      </c>
      <c r="H272" s="5" t="s">
        <v>2864</v>
      </c>
      <c r="I272" s="5" t="str">
        <f>IF(INDEX(Manual_Review!$U$6:$U$238,U272)="","",INDEX(Manual_Review!$U$6:$U$238,U272))</f>
        <v/>
      </c>
      <c r="J272" s="5" t="str">
        <f t="shared" si="8"/>
        <v>AI provisional</v>
      </c>
      <c r="K272" s="5" t="str">
        <f t="shared" si="9"/>
        <v>U</v>
      </c>
      <c r="L272" s="5" t="s">
        <v>3422</v>
      </c>
      <c r="M272" s="5" t="s">
        <v>3453</v>
      </c>
      <c r="N272" s="5" t="s">
        <v>3454</v>
      </c>
      <c r="O272" s="5" t="s">
        <v>3030</v>
      </c>
      <c r="P272" s="5" t="s">
        <v>2992</v>
      </c>
      <c r="Q272" s="11">
        <v>46306.5</v>
      </c>
      <c r="R272" s="6"/>
      <c r="S272" s="6"/>
      <c r="T272" s="6"/>
      <c r="U272" s="5">
        <f>MATCH(B272,Manual_Review!$A$6:$A$238,0)</f>
        <v>17</v>
      </c>
      <c r="V272" s="5" t="str">
        <f>IF(INDEX(Manual_Review!$G$6:$G$238,U272)="","",INDEX(Manual_Review!$G$6:$G$238,U272))</f>
        <v/>
      </c>
      <c r="W272" s="11" t="str">
        <f>IF(INDEX(Manual_Review!$H$6:$H$238,U272)="","",INDEX(Manual_Review!$H$6:$H$238,U272))</f>
        <v/>
      </c>
      <c r="X272" s="5" t="str">
        <f>IF(INDEX(Manual_Review!$I$6:$I$238,U272)="","",INDEX(Manual_Review!$I$6:$I$238,U272))</f>
        <v/>
      </c>
      <c r="Y272" s="5" t="s">
        <v>2859</v>
      </c>
    </row>
    <row r="273" spans="1:25" ht="25.5">
      <c r="A273" s="5" t="s">
        <v>3455</v>
      </c>
      <c r="B273" s="5" t="s">
        <v>302</v>
      </c>
      <c r="C273" s="5" t="s">
        <v>303</v>
      </c>
      <c r="D273" s="5" t="s">
        <v>118</v>
      </c>
      <c r="E273" s="5" t="s">
        <v>2792</v>
      </c>
      <c r="F273" s="5" t="s">
        <v>2762</v>
      </c>
      <c r="G273" s="5">
        <v>1</v>
      </c>
      <c r="H273" s="5" t="s">
        <v>2854</v>
      </c>
      <c r="I273" s="5" t="str">
        <f>IF(INDEX(Manual_Review!$V$6:$V$238,U273)="","",INDEX(Manual_Review!$V$6:$V$238,U273))</f>
        <v/>
      </c>
      <c r="J273" s="5" t="str">
        <f t="shared" si="8"/>
        <v>AI provisional</v>
      </c>
      <c r="K273" s="5" t="str">
        <f t="shared" si="9"/>
        <v>Y</v>
      </c>
      <c r="L273" s="5" t="s">
        <v>3422</v>
      </c>
      <c r="M273" s="5" t="s">
        <v>3456</v>
      </c>
      <c r="N273" s="5" t="s">
        <v>3457</v>
      </c>
      <c r="O273" s="5" t="s">
        <v>3034</v>
      </c>
      <c r="P273" s="5" t="s">
        <v>2992</v>
      </c>
      <c r="Q273" s="11">
        <v>46306.5</v>
      </c>
      <c r="R273" s="6"/>
      <c r="S273" s="6"/>
      <c r="T273" s="6"/>
      <c r="U273" s="5">
        <f>MATCH(B273,Manual_Review!$A$6:$A$238,0)</f>
        <v>17</v>
      </c>
      <c r="V273" s="5" t="str">
        <f>IF(INDEX(Manual_Review!$G$6:$G$238,U273)="","",INDEX(Manual_Review!$G$6:$G$238,U273))</f>
        <v/>
      </c>
      <c r="W273" s="11" t="str">
        <f>IF(INDEX(Manual_Review!$H$6:$H$238,U273)="","",INDEX(Manual_Review!$H$6:$H$238,U273))</f>
        <v/>
      </c>
      <c r="X273" s="5" t="str">
        <f>IF(INDEX(Manual_Review!$I$6:$I$238,U273)="","",INDEX(Manual_Review!$I$6:$I$238,U273))</f>
        <v/>
      </c>
      <c r="Y273" s="5" t="s">
        <v>2859</v>
      </c>
    </row>
    <row r="274" spans="1:25" ht="38.25">
      <c r="A274" s="5" t="s">
        <v>3458</v>
      </c>
      <c r="B274" s="5" t="s">
        <v>302</v>
      </c>
      <c r="C274" s="5" t="s">
        <v>303</v>
      </c>
      <c r="D274" s="5" t="s">
        <v>118</v>
      </c>
      <c r="E274" s="5" t="s">
        <v>2793</v>
      </c>
      <c r="F274" s="5" t="s">
        <v>2762</v>
      </c>
      <c r="G274" s="5">
        <v>1</v>
      </c>
      <c r="H274" s="5" t="s">
        <v>2864</v>
      </c>
      <c r="I274" s="5" t="str">
        <f>IF(INDEX(Manual_Review!$W$6:$W$238,U274)="","",INDEX(Manual_Review!$W$6:$W$238,U274))</f>
        <v/>
      </c>
      <c r="J274" s="5" t="str">
        <f t="shared" si="8"/>
        <v>AI provisional</v>
      </c>
      <c r="K274" s="5" t="str">
        <f t="shared" si="9"/>
        <v>U</v>
      </c>
      <c r="L274" s="5" t="s">
        <v>3422</v>
      </c>
      <c r="M274" s="5" t="s">
        <v>3459</v>
      </c>
      <c r="N274" s="5" t="s">
        <v>3460</v>
      </c>
      <c r="O274" s="5" t="s">
        <v>3461</v>
      </c>
      <c r="P274" s="5" t="s">
        <v>2992</v>
      </c>
      <c r="Q274" s="11">
        <v>46306.5</v>
      </c>
      <c r="R274" s="6"/>
      <c r="S274" s="6"/>
      <c r="T274" s="6"/>
      <c r="U274" s="5">
        <f>MATCH(B274,Manual_Review!$A$6:$A$238,0)</f>
        <v>17</v>
      </c>
      <c r="V274" s="5" t="str">
        <f>IF(INDEX(Manual_Review!$G$6:$G$238,U274)="","",INDEX(Manual_Review!$G$6:$G$238,U274))</f>
        <v/>
      </c>
      <c r="W274" s="11" t="str">
        <f>IF(INDEX(Manual_Review!$H$6:$H$238,U274)="","",INDEX(Manual_Review!$H$6:$H$238,U274))</f>
        <v/>
      </c>
      <c r="X274" s="5" t="str">
        <f>IF(INDEX(Manual_Review!$I$6:$I$238,U274)="","",INDEX(Manual_Review!$I$6:$I$238,U274))</f>
        <v/>
      </c>
      <c r="Y274" s="5" t="s">
        <v>2859</v>
      </c>
    </row>
    <row r="275" spans="1:25" ht="25.5">
      <c r="A275" s="5" t="s">
        <v>3462</v>
      </c>
      <c r="B275" s="5" t="s">
        <v>302</v>
      </c>
      <c r="C275" s="5" t="s">
        <v>303</v>
      </c>
      <c r="D275" s="5" t="s">
        <v>118</v>
      </c>
      <c r="E275" s="5" t="s">
        <v>2794</v>
      </c>
      <c r="F275" s="5" t="s">
        <v>2764</v>
      </c>
      <c r="G275" s="5">
        <v>1</v>
      </c>
      <c r="H275" s="5" t="s">
        <v>2864</v>
      </c>
      <c r="I275" s="5" t="str">
        <f>IF(INDEX(Manual_Review!$X$6:$X$238,U275)="","",INDEX(Manual_Review!$X$6:$X$238,U275))</f>
        <v/>
      </c>
      <c r="J275" s="5" t="str">
        <f t="shared" si="8"/>
        <v>AI provisional</v>
      </c>
      <c r="K275" s="5" t="str">
        <f t="shared" si="9"/>
        <v>U</v>
      </c>
      <c r="L275" s="5" t="s">
        <v>3422</v>
      </c>
      <c r="M275" s="5" t="s">
        <v>3463</v>
      </c>
      <c r="N275" s="5" t="s">
        <v>3464</v>
      </c>
      <c r="O275" s="5" t="s">
        <v>3465</v>
      </c>
      <c r="P275" s="5" t="s">
        <v>2992</v>
      </c>
      <c r="Q275" s="11">
        <v>46306.5</v>
      </c>
      <c r="R275" s="6"/>
      <c r="S275" s="6"/>
      <c r="T275" s="6"/>
      <c r="U275" s="5">
        <f>MATCH(B275,Manual_Review!$A$6:$A$238,0)</f>
        <v>17</v>
      </c>
      <c r="V275" s="5" t="str">
        <f>IF(INDEX(Manual_Review!$G$6:$G$238,U275)="","",INDEX(Manual_Review!$G$6:$G$238,U275))</f>
        <v/>
      </c>
      <c r="W275" s="11" t="str">
        <f>IF(INDEX(Manual_Review!$H$6:$H$238,U275)="","",INDEX(Manual_Review!$H$6:$H$238,U275))</f>
        <v/>
      </c>
      <c r="X275" s="5" t="str">
        <f>IF(INDEX(Manual_Review!$I$6:$I$238,U275)="","",INDEX(Manual_Review!$I$6:$I$238,U275))</f>
        <v/>
      </c>
      <c r="Y275" s="5" t="s">
        <v>2859</v>
      </c>
    </row>
    <row r="276" spans="1:25" ht="25.5">
      <c r="A276" s="5" t="s">
        <v>3466</v>
      </c>
      <c r="B276" s="5" t="s">
        <v>302</v>
      </c>
      <c r="C276" s="5" t="s">
        <v>303</v>
      </c>
      <c r="D276" s="5" t="s">
        <v>118</v>
      </c>
      <c r="E276" s="5" t="s">
        <v>2795</v>
      </c>
      <c r="F276" s="5" t="s">
        <v>2764</v>
      </c>
      <c r="G276" s="5">
        <v>1</v>
      </c>
      <c r="H276" s="5" t="s">
        <v>2864</v>
      </c>
      <c r="I276" s="5" t="str">
        <f>IF(INDEX(Manual_Review!$Y$6:$Y$238,U276)="","",INDEX(Manual_Review!$Y$6:$Y$238,U276))</f>
        <v/>
      </c>
      <c r="J276" s="5" t="str">
        <f t="shared" si="8"/>
        <v>AI provisional</v>
      </c>
      <c r="K276" s="5" t="str">
        <f t="shared" si="9"/>
        <v>U</v>
      </c>
      <c r="L276" s="5" t="s">
        <v>3422</v>
      </c>
      <c r="M276" s="5" t="s">
        <v>3467</v>
      </c>
      <c r="N276" s="5" t="s">
        <v>3468</v>
      </c>
      <c r="O276" s="5" t="s">
        <v>3469</v>
      </c>
      <c r="P276" s="5" t="s">
        <v>2992</v>
      </c>
      <c r="Q276" s="11">
        <v>46306.5</v>
      </c>
      <c r="R276" s="6"/>
      <c r="S276" s="6"/>
      <c r="T276" s="6"/>
      <c r="U276" s="5">
        <f>MATCH(B276,Manual_Review!$A$6:$A$238,0)</f>
        <v>17</v>
      </c>
      <c r="V276" s="5" t="str">
        <f>IF(INDEX(Manual_Review!$G$6:$G$238,U276)="","",INDEX(Manual_Review!$G$6:$G$238,U276))</f>
        <v/>
      </c>
      <c r="W276" s="11" t="str">
        <f>IF(INDEX(Manual_Review!$H$6:$H$238,U276)="","",INDEX(Manual_Review!$H$6:$H$238,U276))</f>
        <v/>
      </c>
      <c r="X276" s="5" t="str">
        <f>IF(INDEX(Manual_Review!$I$6:$I$238,U276)="","",INDEX(Manual_Review!$I$6:$I$238,U276))</f>
        <v/>
      </c>
      <c r="Y276" s="5" t="s">
        <v>2859</v>
      </c>
    </row>
    <row r="277" spans="1:25" ht="38.25">
      <c r="A277" s="5" t="s">
        <v>3470</v>
      </c>
      <c r="B277" s="5" t="s">
        <v>302</v>
      </c>
      <c r="C277" s="5" t="s">
        <v>303</v>
      </c>
      <c r="D277" s="5" t="s">
        <v>118</v>
      </c>
      <c r="E277" s="5" t="s">
        <v>2796</v>
      </c>
      <c r="F277" s="5" t="s">
        <v>2764</v>
      </c>
      <c r="G277" s="5">
        <v>1</v>
      </c>
      <c r="H277" s="5" t="s">
        <v>2864</v>
      </c>
      <c r="I277" s="5" t="str">
        <f>IF(INDEX(Manual_Review!$Z$6:$Z$238,U277)="","",INDEX(Manual_Review!$Z$6:$Z$238,U277))</f>
        <v/>
      </c>
      <c r="J277" s="5" t="str">
        <f t="shared" si="8"/>
        <v>AI provisional</v>
      </c>
      <c r="K277" s="5" t="str">
        <f t="shared" si="9"/>
        <v>U</v>
      </c>
      <c r="L277" s="5" t="s">
        <v>3422</v>
      </c>
      <c r="M277" s="5" t="s">
        <v>3471</v>
      </c>
      <c r="N277" s="5" t="s">
        <v>3472</v>
      </c>
      <c r="O277" s="5" t="s">
        <v>3050</v>
      </c>
      <c r="P277" s="5" t="s">
        <v>2992</v>
      </c>
      <c r="Q277" s="11">
        <v>46306.5</v>
      </c>
      <c r="R277" s="6"/>
      <c r="S277" s="6"/>
      <c r="T277" s="6"/>
      <c r="U277" s="5">
        <f>MATCH(B277,Manual_Review!$A$6:$A$238,0)</f>
        <v>17</v>
      </c>
      <c r="V277" s="5" t="str">
        <f>IF(INDEX(Manual_Review!$G$6:$G$238,U277)="","",INDEX(Manual_Review!$G$6:$G$238,U277))</f>
        <v/>
      </c>
      <c r="W277" s="11" t="str">
        <f>IF(INDEX(Manual_Review!$H$6:$H$238,U277)="","",INDEX(Manual_Review!$H$6:$H$238,U277))</f>
        <v/>
      </c>
      <c r="X277" s="5" t="str">
        <f>IF(INDEX(Manual_Review!$I$6:$I$238,U277)="","",INDEX(Manual_Review!$I$6:$I$238,U277))</f>
        <v/>
      </c>
      <c r="Y277" s="5" t="s">
        <v>2859</v>
      </c>
    </row>
    <row r="278" spans="1:25" ht="25.5">
      <c r="A278" s="5" t="s">
        <v>3473</v>
      </c>
      <c r="B278" s="5" t="s">
        <v>317</v>
      </c>
      <c r="C278" s="5" t="s">
        <v>318</v>
      </c>
      <c r="D278" s="5" t="s">
        <v>118</v>
      </c>
      <c r="E278" s="5" t="s">
        <v>2781</v>
      </c>
      <c r="F278" s="5" t="s">
        <v>2754</v>
      </c>
      <c r="G278" s="5">
        <v>1</v>
      </c>
      <c r="H278" s="5" t="s">
        <v>2854</v>
      </c>
      <c r="I278" s="5" t="str">
        <f>IF(INDEX(Manual_Review!$K$6:$K$238,U278)="","",INDEX(Manual_Review!$K$6:$K$238,U278))</f>
        <v/>
      </c>
      <c r="J278" s="5" t="str">
        <f t="shared" si="8"/>
        <v>AI provisional</v>
      </c>
      <c r="K278" s="5" t="str">
        <f t="shared" si="9"/>
        <v>Y</v>
      </c>
      <c r="L278" s="5" t="s">
        <v>208</v>
      </c>
      <c r="M278" s="5" t="s">
        <v>3474</v>
      </c>
      <c r="N278" s="5" t="s">
        <v>3475</v>
      </c>
      <c r="O278" s="5" t="s">
        <v>2857</v>
      </c>
      <c r="P278" s="5" t="s">
        <v>2858</v>
      </c>
      <c r="Q278" s="11">
        <v>46306.5</v>
      </c>
      <c r="R278" s="6"/>
      <c r="S278" s="6"/>
      <c r="T278" s="6"/>
      <c r="U278" s="5">
        <f>MATCH(B278,Manual_Review!$A$6:$A$238,0)</f>
        <v>18</v>
      </c>
      <c r="V278" s="5" t="str">
        <f>IF(INDEX(Manual_Review!$G$6:$G$238,U278)="","",INDEX(Manual_Review!$G$6:$G$238,U278))</f>
        <v/>
      </c>
      <c r="W278" s="11" t="str">
        <f>IF(INDEX(Manual_Review!$H$6:$H$238,U278)="","",INDEX(Manual_Review!$H$6:$H$238,U278))</f>
        <v/>
      </c>
      <c r="X278" s="5" t="str">
        <f>IF(INDEX(Manual_Review!$I$6:$I$238,U278)="","",INDEX(Manual_Review!$I$6:$I$238,U278))</f>
        <v/>
      </c>
      <c r="Y278" s="5" t="s">
        <v>2859</v>
      </c>
    </row>
    <row r="279" spans="1:25" ht="25.5">
      <c r="A279" s="5" t="s">
        <v>3476</v>
      </c>
      <c r="B279" s="5" t="s">
        <v>317</v>
      </c>
      <c r="C279" s="5" t="s">
        <v>318</v>
      </c>
      <c r="D279" s="5" t="s">
        <v>118</v>
      </c>
      <c r="E279" s="5" t="s">
        <v>2782</v>
      </c>
      <c r="F279" s="5" t="s">
        <v>2754</v>
      </c>
      <c r="G279" s="5">
        <v>1</v>
      </c>
      <c r="H279" s="5" t="s">
        <v>2854</v>
      </c>
      <c r="I279" s="5" t="str">
        <f>IF(INDEX(Manual_Review!$L$6:$L$238,U279)="","",INDEX(Manual_Review!$L$6:$L$238,U279))</f>
        <v/>
      </c>
      <c r="J279" s="5" t="str">
        <f t="shared" si="8"/>
        <v>AI provisional</v>
      </c>
      <c r="K279" s="5" t="str">
        <f t="shared" si="9"/>
        <v>Y</v>
      </c>
      <c r="L279" s="5" t="s">
        <v>208</v>
      </c>
      <c r="M279" s="5" t="s">
        <v>3477</v>
      </c>
      <c r="N279" s="5" t="s">
        <v>3475</v>
      </c>
      <c r="O279" s="5" t="s">
        <v>2862</v>
      </c>
      <c r="P279" s="5" t="s">
        <v>2858</v>
      </c>
      <c r="Q279" s="11">
        <v>46306.5</v>
      </c>
      <c r="R279" s="6"/>
      <c r="S279" s="6"/>
      <c r="T279" s="6"/>
      <c r="U279" s="5">
        <f>MATCH(B279,Manual_Review!$A$6:$A$238,0)</f>
        <v>18</v>
      </c>
      <c r="V279" s="5" t="str">
        <f>IF(INDEX(Manual_Review!$G$6:$G$238,U279)="","",INDEX(Manual_Review!$G$6:$G$238,U279))</f>
        <v/>
      </c>
      <c r="W279" s="11" t="str">
        <f>IF(INDEX(Manual_Review!$H$6:$H$238,U279)="","",INDEX(Manual_Review!$H$6:$H$238,U279))</f>
        <v/>
      </c>
      <c r="X279" s="5" t="str">
        <f>IF(INDEX(Manual_Review!$I$6:$I$238,U279)="","",INDEX(Manual_Review!$I$6:$I$238,U279))</f>
        <v/>
      </c>
      <c r="Y279" s="5" t="s">
        <v>2859</v>
      </c>
    </row>
    <row r="280" spans="1:25" ht="25.5">
      <c r="A280" s="5" t="s">
        <v>3478</v>
      </c>
      <c r="B280" s="5" t="s">
        <v>317</v>
      </c>
      <c r="C280" s="5" t="s">
        <v>318</v>
      </c>
      <c r="D280" s="5" t="s">
        <v>118</v>
      </c>
      <c r="E280" s="5" t="s">
        <v>2783</v>
      </c>
      <c r="F280" s="5" t="s">
        <v>2754</v>
      </c>
      <c r="G280" s="5">
        <v>1</v>
      </c>
      <c r="H280" s="5" t="s">
        <v>2864</v>
      </c>
      <c r="I280" s="5" t="str">
        <f>IF(INDEX(Manual_Review!$M$6:$M$238,U280)="","",INDEX(Manual_Review!$M$6:$M$238,U280))</f>
        <v/>
      </c>
      <c r="J280" s="5" t="str">
        <f t="shared" si="8"/>
        <v>AI provisional</v>
      </c>
      <c r="K280" s="5" t="str">
        <f t="shared" si="9"/>
        <v>U</v>
      </c>
      <c r="L280" s="5" t="s">
        <v>208</v>
      </c>
      <c r="M280" s="5" t="s">
        <v>3479</v>
      </c>
      <c r="N280" s="5" t="s">
        <v>3475</v>
      </c>
      <c r="O280" s="5" t="s">
        <v>2866</v>
      </c>
      <c r="P280" s="5" t="s">
        <v>2858</v>
      </c>
      <c r="Q280" s="11">
        <v>46306.5</v>
      </c>
      <c r="R280" s="6"/>
      <c r="S280" s="6"/>
      <c r="T280" s="6"/>
      <c r="U280" s="5">
        <f>MATCH(B280,Manual_Review!$A$6:$A$238,0)</f>
        <v>18</v>
      </c>
      <c r="V280" s="5" t="str">
        <f>IF(INDEX(Manual_Review!$G$6:$G$238,U280)="","",INDEX(Manual_Review!$G$6:$G$238,U280))</f>
        <v/>
      </c>
      <c r="W280" s="11" t="str">
        <f>IF(INDEX(Manual_Review!$H$6:$H$238,U280)="","",INDEX(Manual_Review!$H$6:$H$238,U280))</f>
        <v/>
      </c>
      <c r="X280" s="5" t="str">
        <f>IF(INDEX(Manual_Review!$I$6:$I$238,U280)="","",INDEX(Manual_Review!$I$6:$I$238,U280))</f>
        <v/>
      </c>
      <c r="Y280" s="5" t="s">
        <v>2859</v>
      </c>
    </row>
    <row r="281" spans="1:25" ht="25.5">
      <c r="A281" s="5" t="s">
        <v>3480</v>
      </c>
      <c r="B281" s="5" t="s">
        <v>317</v>
      </c>
      <c r="C281" s="5" t="s">
        <v>318</v>
      </c>
      <c r="D281" s="5" t="s">
        <v>118</v>
      </c>
      <c r="E281" s="5" t="s">
        <v>2784</v>
      </c>
      <c r="F281" s="5" t="s">
        <v>2756</v>
      </c>
      <c r="G281" s="5">
        <v>1</v>
      </c>
      <c r="H281" s="5" t="s">
        <v>2854</v>
      </c>
      <c r="I281" s="5" t="str">
        <f>IF(INDEX(Manual_Review!$N$6:$N$238,U281)="","",INDEX(Manual_Review!$N$6:$N$238,U281))</f>
        <v/>
      </c>
      <c r="J281" s="5" t="str">
        <f t="shared" si="8"/>
        <v>AI provisional</v>
      </c>
      <c r="K281" s="5" t="str">
        <f t="shared" si="9"/>
        <v>Y</v>
      </c>
      <c r="L281" s="5" t="s">
        <v>208</v>
      </c>
      <c r="M281" s="5" t="s">
        <v>3481</v>
      </c>
      <c r="N281" s="5" t="s">
        <v>3475</v>
      </c>
      <c r="O281" s="5" t="s">
        <v>2963</v>
      </c>
      <c r="P281" s="5" t="s">
        <v>2858</v>
      </c>
      <c r="Q281" s="11">
        <v>46306.5</v>
      </c>
      <c r="R281" s="6"/>
      <c r="S281" s="6"/>
      <c r="T281" s="6"/>
      <c r="U281" s="5">
        <f>MATCH(B281,Manual_Review!$A$6:$A$238,0)</f>
        <v>18</v>
      </c>
      <c r="V281" s="5" t="str">
        <f>IF(INDEX(Manual_Review!$G$6:$G$238,U281)="","",INDEX(Manual_Review!$G$6:$G$238,U281))</f>
        <v/>
      </c>
      <c r="W281" s="11" t="str">
        <f>IF(INDEX(Manual_Review!$H$6:$H$238,U281)="","",INDEX(Manual_Review!$H$6:$H$238,U281))</f>
        <v/>
      </c>
      <c r="X281" s="5" t="str">
        <f>IF(INDEX(Manual_Review!$I$6:$I$238,U281)="","",INDEX(Manual_Review!$I$6:$I$238,U281))</f>
        <v/>
      </c>
      <c r="Y281" s="5" t="s">
        <v>2859</v>
      </c>
    </row>
    <row r="282" spans="1:25" ht="25.5">
      <c r="A282" s="5" t="s">
        <v>3482</v>
      </c>
      <c r="B282" s="5" t="s">
        <v>317</v>
      </c>
      <c r="C282" s="5" t="s">
        <v>318</v>
      </c>
      <c r="D282" s="5" t="s">
        <v>118</v>
      </c>
      <c r="E282" s="5" t="s">
        <v>2785</v>
      </c>
      <c r="F282" s="5" t="s">
        <v>2756</v>
      </c>
      <c r="G282" s="5">
        <v>1</v>
      </c>
      <c r="H282" s="5" t="s">
        <v>2854</v>
      </c>
      <c r="I282" s="5" t="str">
        <f>IF(INDEX(Manual_Review!$O$6:$O$238,U282)="","",INDEX(Manual_Review!$O$6:$O$238,U282))</f>
        <v/>
      </c>
      <c r="J282" s="5" t="str">
        <f t="shared" si="8"/>
        <v>AI provisional</v>
      </c>
      <c r="K282" s="5" t="str">
        <f t="shared" si="9"/>
        <v>Y</v>
      </c>
      <c r="L282" s="5" t="s">
        <v>208</v>
      </c>
      <c r="M282" s="5" t="s">
        <v>3483</v>
      </c>
      <c r="N282" s="5" t="s">
        <v>3475</v>
      </c>
      <c r="O282" s="5" t="s">
        <v>3138</v>
      </c>
      <c r="P282" s="5" t="s">
        <v>2858</v>
      </c>
      <c r="Q282" s="11">
        <v>46306.5</v>
      </c>
      <c r="R282" s="6"/>
      <c r="S282" s="6"/>
      <c r="T282" s="6"/>
      <c r="U282" s="5">
        <f>MATCH(B282,Manual_Review!$A$6:$A$238,0)</f>
        <v>18</v>
      </c>
      <c r="V282" s="5" t="str">
        <f>IF(INDEX(Manual_Review!$G$6:$G$238,U282)="","",INDEX(Manual_Review!$G$6:$G$238,U282))</f>
        <v/>
      </c>
      <c r="W282" s="11" t="str">
        <f>IF(INDEX(Manual_Review!$H$6:$H$238,U282)="","",INDEX(Manual_Review!$H$6:$H$238,U282))</f>
        <v/>
      </c>
      <c r="X282" s="5" t="str">
        <f>IF(INDEX(Manual_Review!$I$6:$I$238,U282)="","",INDEX(Manual_Review!$I$6:$I$238,U282))</f>
        <v/>
      </c>
      <c r="Y282" s="5" t="s">
        <v>2859</v>
      </c>
    </row>
    <row r="283" spans="1:25" ht="25.5">
      <c r="A283" s="5" t="s">
        <v>3484</v>
      </c>
      <c r="B283" s="5" t="s">
        <v>317</v>
      </c>
      <c r="C283" s="5" t="s">
        <v>318</v>
      </c>
      <c r="D283" s="5" t="s">
        <v>118</v>
      </c>
      <c r="E283" s="5" t="s">
        <v>2786</v>
      </c>
      <c r="F283" s="5" t="s">
        <v>2756</v>
      </c>
      <c r="G283" s="5">
        <v>1</v>
      </c>
      <c r="H283" s="5" t="s">
        <v>2864</v>
      </c>
      <c r="I283" s="5" t="str">
        <f>IF(INDEX(Manual_Review!$P$6:$P$238,U283)="","",INDEX(Manual_Review!$P$6:$P$238,U283))</f>
        <v/>
      </c>
      <c r="J283" s="5" t="str">
        <f t="shared" si="8"/>
        <v>AI provisional</v>
      </c>
      <c r="K283" s="5" t="str">
        <f t="shared" si="9"/>
        <v>U</v>
      </c>
      <c r="L283" s="5" t="s">
        <v>208</v>
      </c>
      <c r="M283" s="5" t="s">
        <v>3485</v>
      </c>
      <c r="N283" s="5" t="s">
        <v>3475</v>
      </c>
      <c r="O283" s="5" t="s">
        <v>2874</v>
      </c>
      <c r="P283" s="5" t="s">
        <v>2858</v>
      </c>
      <c r="Q283" s="11">
        <v>46306.5</v>
      </c>
      <c r="R283" s="6"/>
      <c r="S283" s="6"/>
      <c r="T283" s="6"/>
      <c r="U283" s="5">
        <f>MATCH(B283,Manual_Review!$A$6:$A$238,0)</f>
        <v>18</v>
      </c>
      <c r="V283" s="5" t="str">
        <f>IF(INDEX(Manual_Review!$G$6:$G$238,U283)="","",INDEX(Manual_Review!$G$6:$G$238,U283))</f>
        <v/>
      </c>
      <c r="W283" s="11" t="str">
        <f>IF(INDEX(Manual_Review!$H$6:$H$238,U283)="","",INDEX(Manual_Review!$H$6:$H$238,U283))</f>
        <v/>
      </c>
      <c r="X283" s="5" t="str">
        <f>IF(INDEX(Manual_Review!$I$6:$I$238,U283)="","",INDEX(Manual_Review!$I$6:$I$238,U283))</f>
        <v/>
      </c>
      <c r="Y283" s="5" t="s">
        <v>2859</v>
      </c>
    </row>
    <row r="284" spans="1:25" ht="25.5">
      <c r="A284" s="5" t="s">
        <v>3486</v>
      </c>
      <c r="B284" s="5" t="s">
        <v>317</v>
      </c>
      <c r="C284" s="5" t="s">
        <v>318</v>
      </c>
      <c r="D284" s="5" t="s">
        <v>118</v>
      </c>
      <c r="E284" s="5" t="s">
        <v>2787</v>
      </c>
      <c r="F284" s="5" t="s">
        <v>2758</v>
      </c>
      <c r="G284" s="5">
        <v>1</v>
      </c>
      <c r="H284" s="5" t="s">
        <v>2864</v>
      </c>
      <c r="I284" s="5" t="str">
        <f>IF(INDEX(Manual_Review!$Q$6:$Q$238,U284)="","",INDEX(Manual_Review!$Q$6:$Q$238,U284))</f>
        <v/>
      </c>
      <c r="J284" s="5" t="str">
        <f t="shared" si="8"/>
        <v>AI provisional</v>
      </c>
      <c r="K284" s="5" t="str">
        <f t="shared" si="9"/>
        <v>U</v>
      </c>
      <c r="L284" s="5" t="s">
        <v>208</v>
      </c>
      <c r="M284" s="5" t="s">
        <v>3487</v>
      </c>
      <c r="N284" s="5" t="s">
        <v>3475</v>
      </c>
      <c r="O284" s="5" t="s">
        <v>2877</v>
      </c>
      <c r="P284" s="5" t="s">
        <v>2858</v>
      </c>
      <c r="Q284" s="11">
        <v>46306.5</v>
      </c>
      <c r="R284" s="6"/>
      <c r="S284" s="6"/>
      <c r="T284" s="6"/>
      <c r="U284" s="5">
        <f>MATCH(B284,Manual_Review!$A$6:$A$238,0)</f>
        <v>18</v>
      </c>
      <c r="V284" s="5" t="str">
        <f>IF(INDEX(Manual_Review!$G$6:$G$238,U284)="","",INDEX(Manual_Review!$G$6:$G$238,U284))</f>
        <v/>
      </c>
      <c r="W284" s="11" t="str">
        <f>IF(INDEX(Manual_Review!$H$6:$H$238,U284)="","",INDEX(Manual_Review!$H$6:$H$238,U284))</f>
        <v/>
      </c>
      <c r="X284" s="5" t="str">
        <f>IF(INDEX(Manual_Review!$I$6:$I$238,U284)="","",INDEX(Manual_Review!$I$6:$I$238,U284))</f>
        <v/>
      </c>
      <c r="Y284" s="5" t="s">
        <v>2859</v>
      </c>
    </row>
    <row r="285" spans="1:25" ht="25.5">
      <c r="A285" s="5" t="s">
        <v>3488</v>
      </c>
      <c r="B285" s="5" t="s">
        <v>317</v>
      </c>
      <c r="C285" s="5" t="s">
        <v>318</v>
      </c>
      <c r="D285" s="5" t="s">
        <v>118</v>
      </c>
      <c r="E285" s="5" t="s">
        <v>2788</v>
      </c>
      <c r="F285" s="5" t="s">
        <v>2758</v>
      </c>
      <c r="G285" s="5">
        <v>1</v>
      </c>
      <c r="H285" s="5" t="s">
        <v>2854</v>
      </c>
      <c r="I285" s="5" t="str">
        <f>IF(INDEX(Manual_Review!$R$6:$R$238,U285)="","",INDEX(Manual_Review!$R$6:$R$238,U285))</f>
        <v/>
      </c>
      <c r="J285" s="5" t="str">
        <f t="shared" si="8"/>
        <v>AI provisional</v>
      </c>
      <c r="K285" s="5" t="str">
        <f t="shared" si="9"/>
        <v>Y</v>
      </c>
      <c r="L285" s="5" t="s">
        <v>208</v>
      </c>
      <c r="M285" s="5" t="s">
        <v>3489</v>
      </c>
      <c r="N285" s="5" t="s">
        <v>3475</v>
      </c>
      <c r="O285" s="5" t="s">
        <v>3067</v>
      </c>
      <c r="P285" s="5" t="s">
        <v>2858</v>
      </c>
      <c r="Q285" s="11">
        <v>46306.5</v>
      </c>
      <c r="R285" s="6"/>
      <c r="S285" s="6"/>
      <c r="T285" s="6"/>
      <c r="U285" s="5">
        <f>MATCH(B285,Manual_Review!$A$6:$A$238,0)</f>
        <v>18</v>
      </c>
      <c r="V285" s="5" t="str">
        <f>IF(INDEX(Manual_Review!$G$6:$G$238,U285)="","",INDEX(Manual_Review!$G$6:$G$238,U285))</f>
        <v/>
      </c>
      <c r="W285" s="11" t="str">
        <f>IF(INDEX(Manual_Review!$H$6:$H$238,U285)="","",INDEX(Manual_Review!$H$6:$H$238,U285))</f>
        <v/>
      </c>
      <c r="X285" s="5" t="str">
        <f>IF(INDEX(Manual_Review!$I$6:$I$238,U285)="","",INDEX(Manual_Review!$I$6:$I$238,U285))</f>
        <v/>
      </c>
      <c r="Y285" s="5" t="s">
        <v>2859</v>
      </c>
    </row>
    <row r="286" spans="1:25" ht="25.5">
      <c r="A286" s="5" t="s">
        <v>3490</v>
      </c>
      <c r="B286" s="5" t="s">
        <v>317</v>
      </c>
      <c r="C286" s="5" t="s">
        <v>318</v>
      </c>
      <c r="D286" s="5" t="s">
        <v>118</v>
      </c>
      <c r="E286" s="5" t="s">
        <v>2789</v>
      </c>
      <c r="F286" s="5" t="s">
        <v>2758</v>
      </c>
      <c r="G286" s="5">
        <v>1</v>
      </c>
      <c r="H286" s="5" t="s">
        <v>2854</v>
      </c>
      <c r="I286" s="5" t="str">
        <f>IF(INDEX(Manual_Review!$S$6:$S$238,U286)="","",INDEX(Manual_Review!$S$6:$S$238,U286))</f>
        <v/>
      </c>
      <c r="J286" s="5" t="str">
        <f t="shared" si="8"/>
        <v>AI provisional</v>
      </c>
      <c r="K286" s="5" t="str">
        <f t="shared" si="9"/>
        <v>Y</v>
      </c>
      <c r="L286" s="5" t="s">
        <v>208</v>
      </c>
      <c r="M286" s="5" t="s">
        <v>3491</v>
      </c>
      <c r="N286" s="5" t="s">
        <v>3475</v>
      </c>
      <c r="O286" s="5" t="s">
        <v>3178</v>
      </c>
      <c r="P286" s="5" t="s">
        <v>2858</v>
      </c>
      <c r="Q286" s="11">
        <v>46306.5</v>
      </c>
      <c r="R286" s="6"/>
      <c r="S286" s="6"/>
      <c r="T286" s="6"/>
      <c r="U286" s="5">
        <f>MATCH(B286,Manual_Review!$A$6:$A$238,0)</f>
        <v>18</v>
      </c>
      <c r="V286" s="5" t="str">
        <f>IF(INDEX(Manual_Review!$G$6:$G$238,U286)="","",INDEX(Manual_Review!$G$6:$G$238,U286))</f>
        <v/>
      </c>
      <c r="W286" s="11" t="str">
        <f>IF(INDEX(Manual_Review!$H$6:$H$238,U286)="","",INDEX(Manual_Review!$H$6:$H$238,U286))</f>
        <v/>
      </c>
      <c r="X286" s="5" t="str">
        <f>IF(INDEX(Manual_Review!$I$6:$I$238,U286)="","",INDEX(Manual_Review!$I$6:$I$238,U286))</f>
        <v/>
      </c>
      <c r="Y286" s="5" t="s">
        <v>2859</v>
      </c>
    </row>
    <row r="287" spans="1:25" ht="25.5">
      <c r="A287" s="5" t="s">
        <v>3492</v>
      </c>
      <c r="B287" s="5" t="s">
        <v>317</v>
      </c>
      <c r="C287" s="5" t="s">
        <v>318</v>
      </c>
      <c r="D287" s="5" t="s">
        <v>118</v>
      </c>
      <c r="E287" s="5" t="s">
        <v>2790</v>
      </c>
      <c r="F287" s="5" t="s">
        <v>2760</v>
      </c>
      <c r="G287" s="5">
        <v>1</v>
      </c>
      <c r="H287" s="5" t="s">
        <v>2854</v>
      </c>
      <c r="I287" s="5" t="str">
        <f>IF(INDEX(Manual_Review!$T$6:$T$238,U287)="","",INDEX(Manual_Review!$T$6:$T$238,U287))</f>
        <v/>
      </c>
      <c r="J287" s="5" t="str">
        <f t="shared" si="8"/>
        <v>AI provisional</v>
      </c>
      <c r="K287" s="5" t="str">
        <f t="shared" si="9"/>
        <v>Y</v>
      </c>
      <c r="L287" s="5" t="s">
        <v>208</v>
      </c>
      <c r="M287" s="5" t="s">
        <v>3493</v>
      </c>
      <c r="N287" s="5" t="s">
        <v>3475</v>
      </c>
      <c r="O287" s="5" t="s">
        <v>2976</v>
      </c>
      <c r="P287" s="5" t="s">
        <v>2858</v>
      </c>
      <c r="Q287" s="11">
        <v>46306.5</v>
      </c>
      <c r="R287" s="6"/>
      <c r="S287" s="6"/>
      <c r="T287" s="6"/>
      <c r="U287" s="5">
        <f>MATCH(B287,Manual_Review!$A$6:$A$238,0)</f>
        <v>18</v>
      </c>
      <c r="V287" s="5" t="str">
        <f>IF(INDEX(Manual_Review!$G$6:$G$238,U287)="","",INDEX(Manual_Review!$G$6:$G$238,U287))</f>
        <v/>
      </c>
      <c r="W287" s="11" t="str">
        <f>IF(INDEX(Manual_Review!$H$6:$H$238,U287)="","",INDEX(Manual_Review!$H$6:$H$238,U287))</f>
        <v/>
      </c>
      <c r="X287" s="5" t="str">
        <f>IF(INDEX(Manual_Review!$I$6:$I$238,U287)="","",INDEX(Manual_Review!$I$6:$I$238,U287))</f>
        <v/>
      </c>
      <c r="Y287" s="5" t="s">
        <v>2859</v>
      </c>
    </row>
    <row r="288" spans="1:25" ht="25.5">
      <c r="A288" s="5" t="s">
        <v>3494</v>
      </c>
      <c r="B288" s="5" t="s">
        <v>317</v>
      </c>
      <c r="C288" s="5" t="s">
        <v>318</v>
      </c>
      <c r="D288" s="5" t="s">
        <v>118</v>
      </c>
      <c r="E288" s="5" t="s">
        <v>2791</v>
      </c>
      <c r="F288" s="5" t="s">
        <v>2760</v>
      </c>
      <c r="G288" s="5">
        <v>1</v>
      </c>
      <c r="H288" s="5" t="s">
        <v>2864</v>
      </c>
      <c r="I288" s="5" t="str">
        <f>IF(INDEX(Manual_Review!$U$6:$U$238,U288)="","",INDEX(Manual_Review!$U$6:$U$238,U288))</f>
        <v/>
      </c>
      <c r="J288" s="5" t="str">
        <f t="shared" si="8"/>
        <v>AI provisional</v>
      </c>
      <c r="K288" s="5" t="str">
        <f t="shared" si="9"/>
        <v>U</v>
      </c>
      <c r="L288" s="5" t="s">
        <v>208</v>
      </c>
      <c r="M288" s="5" t="s">
        <v>3495</v>
      </c>
      <c r="N288" s="5" t="s">
        <v>3475</v>
      </c>
      <c r="O288" s="5" t="s">
        <v>2888</v>
      </c>
      <c r="P288" s="5" t="s">
        <v>2858</v>
      </c>
      <c r="Q288" s="11">
        <v>46306.5</v>
      </c>
      <c r="R288" s="6"/>
      <c r="S288" s="6"/>
      <c r="T288" s="6"/>
      <c r="U288" s="5">
        <f>MATCH(B288,Manual_Review!$A$6:$A$238,0)</f>
        <v>18</v>
      </c>
      <c r="V288" s="5" t="str">
        <f>IF(INDEX(Manual_Review!$G$6:$G$238,U288)="","",INDEX(Manual_Review!$G$6:$G$238,U288))</f>
        <v/>
      </c>
      <c r="W288" s="11" t="str">
        <f>IF(INDEX(Manual_Review!$H$6:$H$238,U288)="","",INDEX(Manual_Review!$H$6:$H$238,U288))</f>
        <v/>
      </c>
      <c r="X288" s="5" t="str">
        <f>IF(INDEX(Manual_Review!$I$6:$I$238,U288)="","",INDEX(Manual_Review!$I$6:$I$238,U288))</f>
        <v/>
      </c>
      <c r="Y288" s="5" t="s">
        <v>2859</v>
      </c>
    </row>
    <row r="289" spans="1:25" ht="25.5">
      <c r="A289" s="5" t="s">
        <v>3496</v>
      </c>
      <c r="B289" s="5" t="s">
        <v>317</v>
      </c>
      <c r="C289" s="5" t="s">
        <v>318</v>
      </c>
      <c r="D289" s="5" t="s">
        <v>118</v>
      </c>
      <c r="E289" s="5" t="s">
        <v>2792</v>
      </c>
      <c r="F289" s="5" t="s">
        <v>2762</v>
      </c>
      <c r="G289" s="5">
        <v>1</v>
      </c>
      <c r="H289" s="5" t="s">
        <v>2854</v>
      </c>
      <c r="I289" s="5" t="str">
        <f>IF(INDEX(Manual_Review!$V$6:$V$238,U289)="","",INDEX(Manual_Review!$V$6:$V$238,U289))</f>
        <v/>
      </c>
      <c r="J289" s="5" t="str">
        <f t="shared" si="8"/>
        <v>AI provisional</v>
      </c>
      <c r="K289" s="5" t="str">
        <f t="shared" si="9"/>
        <v>Y</v>
      </c>
      <c r="L289" s="5" t="s">
        <v>208</v>
      </c>
      <c r="M289" s="5" t="s">
        <v>3497</v>
      </c>
      <c r="N289" s="5" t="s">
        <v>3475</v>
      </c>
      <c r="O289" s="5" t="s">
        <v>3152</v>
      </c>
      <c r="P289" s="5" t="s">
        <v>2858</v>
      </c>
      <c r="Q289" s="11">
        <v>46306.5</v>
      </c>
      <c r="R289" s="6"/>
      <c r="S289" s="6"/>
      <c r="T289" s="6"/>
      <c r="U289" s="5">
        <f>MATCH(B289,Manual_Review!$A$6:$A$238,0)</f>
        <v>18</v>
      </c>
      <c r="V289" s="5" t="str">
        <f>IF(INDEX(Manual_Review!$G$6:$G$238,U289)="","",INDEX(Manual_Review!$G$6:$G$238,U289))</f>
        <v/>
      </c>
      <c r="W289" s="11" t="str">
        <f>IF(INDEX(Manual_Review!$H$6:$H$238,U289)="","",INDEX(Manual_Review!$H$6:$H$238,U289))</f>
        <v/>
      </c>
      <c r="X289" s="5" t="str">
        <f>IF(INDEX(Manual_Review!$I$6:$I$238,U289)="","",INDEX(Manual_Review!$I$6:$I$238,U289))</f>
        <v/>
      </c>
      <c r="Y289" s="5" t="s">
        <v>2859</v>
      </c>
    </row>
    <row r="290" spans="1:25" ht="25.5">
      <c r="A290" s="5" t="s">
        <v>3498</v>
      </c>
      <c r="B290" s="5" t="s">
        <v>317</v>
      </c>
      <c r="C290" s="5" t="s">
        <v>318</v>
      </c>
      <c r="D290" s="5" t="s">
        <v>118</v>
      </c>
      <c r="E290" s="5" t="s">
        <v>2793</v>
      </c>
      <c r="F290" s="5" t="s">
        <v>2762</v>
      </c>
      <c r="G290" s="5">
        <v>1</v>
      </c>
      <c r="H290" s="5" t="s">
        <v>2854</v>
      </c>
      <c r="I290" s="5" t="str">
        <f>IF(INDEX(Manual_Review!$W$6:$W$238,U290)="","",INDEX(Manual_Review!$W$6:$W$238,U290))</f>
        <v/>
      </c>
      <c r="J290" s="5" t="str">
        <f t="shared" si="8"/>
        <v>AI provisional</v>
      </c>
      <c r="K290" s="5" t="str">
        <f t="shared" si="9"/>
        <v>Y</v>
      </c>
      <c r="L290" s="5" t="s">
        <v>208</v>
      </c>
      <c r="M290" s="5" t="s">
        <v>3499</v>
      </c>
      <c r="N290" s="5" t="s">
        <v>3475</v>
      </c>
      <c r="O290" s="5" t="s">
        <v>3077</v>
      </c>
      <c r="P290" s="5" t="s">
        <v>2858</v>
      </c>
      <c r="Q290" s="11">
        <v>46306.5</v>
      </c>
      <c r="R290" s="6"/>
      <c r="S290" s="6"/>
      <c r="T290" s="6"/>
      <c r="U290" s="5">
        <f>MATCH(B290,Manual_Review!$A$6:$A$238,0)</f>
        <v>18</v>
      </c>
      <c r="V290" s="5" t="str">
        <f>IF(INDEX(Manual_Review!$G$6:$G$238,U290)="","",INDEX(Manual_Review!$G$6:$G$238,U290))</f>
        <v/>
      </c>
      <c r="W290" s="11" t="str">
        <f>IF(INDEX(Manual_Review!$H$6:$H$238,U290)="","",INDEX(Manual_Review!$H$6:$H$238,U290))</f>
        <v/>
      </c>
      <c r="X290" s="5" t="str">
        <f>IF(INDEX(Manual_Review!$I$6:$I$238,U290)="","",INDEX(Manual_Review!$I$6:$I$238,U290))</f>
        <v/>
      </c>
      <c r="Y290" s="5" t="s">
        <v>2859</v>
      </c>
    </row>
    <row r="291" spans="1:25" ht="25.5">
      <c r="A291" s="5" t="s">
        <v>3500</v>
      </c>
      <c r="B291" s="5" t="s">
        <v>317</v>
      </c>
      <c r="C291" s="5" t="s">
        <v>318</v>
      </c>
      <c r="D291" s="5" t="s">
        <v>118</v>
      </c>
      <c r="E291" s="5" t="s">
        <v>2794</v>
      </c>
      <c r="F291" s="5" t="s">
        <v>2764</v>
      </c>
      <c r="G291" s="5">
        <v>1</v>
      </c>
      <c r="H291" s="5" t="s">
        <v>2854</v>
      </c>
      <c r="I291" s="5" t="str">
        <f>IF(INDEX(Manual_Review!$X$6:$X$238,U291)="","",INDEX(Manual_Review!$X$6:$X$238,U291))</f>
        <v/>
      </c>
      <c r="J291" s="5" t="str">
        <f t="shared" si="8"/>
        <v>AI provisional</v>
      </c>
      <c r="K291" s="5" t="str">
        <f t="shared" si="9"/>
        <v>Y</v>
      </c>
      <c r="L291" s="5" t="s">
        <v>208</v>
      </c>
      <c r="M291" s="5" t="s">
        <v>3501</v>
      </c>
      <c r="N291" s="5" t="s">
        <v>3475</v>
      </c>
      <c r="O291" s="5" t="s">
        <v>2984</v>
      </c>
      <c r="P291" s="5" t="s">
        <v>2858</v>
      </c>
      <c r="Q291" s="11">
        <v>46306.5</v>
      </c>
      <c r="R291" s="6"/>
      <c r="S291" s="6"/>
      <c r="T291" s="6"/>
      <c r="U291" s="5">
        <f>MATCH(B291,Manual_Review!$A$6:$A$238,0)</f>
        <v>18</v>
      </c>
      <c r="V291" s="5" t="str">
        <f>IF(INDEX(Manual_Review!$G$6:$G$238,U291)="","",INDEX(Manual_Review!$G$6:$G$238,U291))</f>
        <v/>
      </c>
      <c r="W291" s="11" t="str">
        <f>IF(INDEX(Manual_Review!$H$6:$H$238,U291)="","",INDEX(Manual_Review!$H$6:$H$238,U291))</f>
        <v/>
      </c>
      <c r="X291" s="5" t="str">
        <f>IF(INDEX(Manual_Review!$I$6:$I$238,U291)="","",INDEX(Manual_Review!$I$6:$I$238,U291))</f>
        <v/>
      </c>
      <c r="Y291" s="5" t="s">
        <v>2859</v>
      </c>
    </row>
    <row r="292" spans="1:25" ht="25.5">
      <c r="A292" s="5" t="s">
        <v>3502</v>
      </c>
      <c r="B292" s="5" t="s">
        <v>317</v>
      </c>
      <c r="C292" s="5" t="s">
        <v>318</v>
      </c>
      <c r="D292" s="5" t="s">
        <v>118</v>
      </c>
      <c r="E292" s="5" t="s">
        <v>2795</v>
      </c>
      <c r="F292" s="5" t="s">
        <v>2764</v>
      </c>
      <c r="G292" s="5">
        <v>1</v>
      </c>
      <c r="H292" s="5" t="s">
        <v>2854</v>
      </c>
      <c r="I292" s="5" t="str">
        <f>IF(INDEX(Manual_Review!$Y$6:$Y$238,U292)="","",INDEX(Manual_Review!$Y$6:$Y$238,U292))</f>
        <v/>
      </c>
      <c r="J292" s="5" t="str">
        <f t="shared" si="8"/>
        <v>AI provisional</v>
      </c>
      <c r="K292" s="5" t="str">
        <f t="shared" si="9"/>
        <v>Y</v>
      </c>
      <c r="L292" s="5" t="s">
        <v>208</v>
      </c>
      <c r="M292" s="5" t="s">
        <v>3503</v>
      </c>
      <c r="N292" s="5" t="s">
        <v>3475</v>
      </c>
      <c r="O292" s="5" t="s">
        <v>3082</v>
      </c>
      <c r="P292" s="5" t="s">
        <v>2858</v>
      </c>
      <c r="Q292" s="11">
        <v>46306.5</v>
      </c>
      <c r="R292" s="6"/>
      <c r="S292" s="6"/>
      <c r="T292" s="6"/>
      <c r="U292" s="5">
        <f>MATCH(B292,Manual_Review!$A$6:$A$238,0)</f>
        <v>18</v>
      </c>
      <c r="V292" s="5" t="str">
        <f>IF(INDEX(Manual_Review!$G$6:$G$238,U292)="","",INDEX(Manual_Review!$G$6:$G$238,U292))</f>
        <v/>
      </c>
      <c r="W292" s="11" t="str">
        <f>IF(INDEX(Manual_Review!$H$6:$H$238,U292)="","",INDEX(Manual_Review!$H$6:$H$238,U292))</f>
        <v/>
      </c>
      <c r="X292" s="5" t="str">
        <f>IF(INDEX(Manual_Review!$I$6:$I$238,U292)="","",INDEX(Manual_Review!$I$6:$I$238,U292))</f>
        <v/>
      </c>
      <c r="Y292" s="5" t="s">
        <v>2859</v>
      </c>
    </row>
    <row r="293" spans="1:25" ht="25.5">
      <c r="A293" s="5" t="s">
        <v>3504</v>
      </c>
      <c r="B293" s="5" t="s">
        <v>317</v>
      </c>
      <c r="C293" s="5" t="s">
        <v>318</v>
      </c>
      <c r="D293" s="5" t="s">
        <v>118</v>
      </c>
      <c r="E293" s="5" t="s">
        <v>2796</v>
      </c>
      <c r="F293" s="5" t="s">
        <v>2764</v>
      </c>
      <c r="G293" s="5">
        <v>1</v>
      </c>
      <c r="H293" s="5" t="s">
        <v>2854</v>
      </c>
      <c r="I293" s="5" t="str">
        <f>IF(INDEX(Manual_Review!$Z$6:$Z$238,U293)="","",INDEX(Manual_Review!$Z$6:$Z$238,U293))</f>
        <v/>
      </c>
      <c r="J293" s="5" t="str">
        <f t="shared" si="8"/>
        <v>AI provisional</v>
      </c>
      <c r="K293" s="5" t="str">
        <f t="shared" si="9"/>
        <v>Y</v>
      </c>
      <c r="L293" s="5" t="s">
        <v>208</v>
      </c>
      <c r="M293" s="5" t="s">
        <v>3505</v>
      </c>
      <c r="N293" s="5" t="s">
        <v>3475</v>
      </c>
      <c r="O293" s="5" t="s">
        <v>3085</v>
      </c>
      <c r="P293" s="5" t="s">
        <v>2858</v>
      </c>
      <c r="Q293" s="11">
        <v>46306.5</v>
      </c>
      <c r="R293" s="6"/>
      <c r="S293" s="6"/>
      <c r="T293" s="6"/>
      <c r="U293" s="5">
        <f>MATCH(B293,Manual_Review!$A$6:$A$238,0)</f>
        <v>18</v>
      </c>
      <c r="V293" s="5" t="str">
        <f>IF(INDEX(Manual_Review!$G$6:$G$238,U293)="","",INDEX(Manual_Review!$G$6:$G$238,U293))</f>
        <v/>
      </c>
      <c r="W293" s="11" t="str">
        <f>IF(INDEX(Manual_Review!$H$6:$H$238,U293)="","",INDEX(Manual_Review!$H$6:$H$238,U293))</f>
        <v/>
      </c>
      <c r="X293" s="5" t="str">
        <f>IF(INDEX(Manual_Review!$I$6:$I$238,U293)="","",INDEX(Manual_Review!$I$6:$I$238,U293))</f>
        <v/>
      </c>
      <c r="Y293" s="5" t="s">
        <v>2859</v>
      </c>
    </row>
    <row r="294" spans="1:25" ht="25.5">
      <c r="A294" s="5" t="s">
        <v>3506</v>
      </c>
      <c r="B294" s="5" t="s">
        <v>329</v>
      </c>
      <c r="C294" s="5" t="s">
        <v>330</v>
      </c>
      <c r="D294" s="5" t="s">
        <v>118</v>
      </c>
      <c r="E294" s="5" t="s">
        <v>2781</v>
      </c>
      <c r="F294" s="5" t="s">
        <v>2754</v>
      </c>
      <c r="G294" s="5">
        <v>1</v>
      </c>
      <c r="H294" s="5" t="s">
        <v>2854</v>
      </c>
      <c r="I294" s="5" t="str">
        <f>IF(INDEX(Manual_Review!$K$6:$K$238,U294)="","",INDEX(Manual_Review!$K$6:$K$238,U294))</f>
        <v/>
      </c>
      <c r="J294" s="5" t="str">
        <f t="shared" si="8"/>
        <v>AI provisional</v>
      </c>
      <c r="K294" s="5" t="str">
        <f t="shared" si="9"/>
        <v>Y</v>
      </c>
      <c r="L294" s="5" t="s">
        <v>338</v>
      </c>
      <c r="M294" s="5" t="s">
        <v>3507</v>
      </c>
      <c r="N294" s="5" t="s">
        <v>3508</v>
      </c>
      <c r="O294" s="5" t="s">
        <v>2857</v>
      </c>
      <c r="P294" s="5" t="s">
        <v>2858</v>
      </c>
      <c r="Q294" s="11">
        <v>46306.5</v>
      </c>
      <c r="R294" s="6"/>
      <c r="S294" s="6"/>
      <c r="T294" s="6"/>
      <c r="U294" s="5">
        <f>MATCH(B294,Manual_Review!$A$6:$A$238,0)</f>
        <v>19</v>
      </c>
      <c r="V294" s="5" t="str">
        <f>IF(INDEX(Manual_Review!$G$6:$G$238,U294)="","",INDEX(Manual_Review!$G$6:$G$238,U294))</f>
        <v/>
      </c>
      <c r="W294" s="11" t="str">
        <f>IF(INDEX(Manual_Review!$H$6:$H$238,U294)="","",INDEX(Manual_Review!$H$6:$H$238,U294))</f>
        <v/>
      </c>
      <c r="X294" s="5" t="str">
        <f>IF(INDEX(Manual_Review!$I$6:$I$238,U294)="","",INDEX(Manual_Review!$I$6:$I$238,U294))</f>
        <v/>
      </c>
      <c r="Y294" s="5" t="s">
        <v>2859</v>
      </c>
    </row>
    <row r="295" spans="1:25" ht="38.25">
      <c r="A295" s="5" t="s">
        <v>3509</v>
      </c>
      <c r="B295" s="5" t="s">
        <v>329</v>
      </c>
      <c r="C295" s="5" t="s">
        <v>330</v>
      </c>
      <c r="D295" s="5" t="s">
        <v>118</v>
      </c>
      <c r="E295" s="5" t="s">
        <v>2782</v>
      </c>
      <c r="F295" s="5" t="s">
        <v>2754</v>
      </c>
      <c r="G295" s="5">
        <v>1</v>
      </c>
      <c r="H295" s="5" t="s">
        <v>3510</v>
      </c>
      <c r="I295" s="5" t="str">
        <f>IF(INDEX(Manual_Review!$L$6:$L$238,U295)="","",INDEX(Manual_Review!$L$6:$L$238,U295))</f>
        <v/>
      </c>
      <c r="J295" s="5" t="str">
        <f t="shared" si="8"/>
        <v>AI provisional</v>
      </c>
      <c r="K295" s="5" t="str">
        <f t="shared" si="9"/>
        <v>N</v>
      </c>
      <c r="L295" s="5" t="s">
        <v>338</v>
      </c>
      <c r="M295" s="5" t="s">
        <v>3511</v>
      </c>
      <c r="N295" s="5" t="s">
        <v>3508</v>
      </c>
      <c r="O295" s="5" t="s">
        <v>3512</v>
      </c>
      <c r="P295" s="5" t="s">
        <v>2858</v>
      </c>
      <c r="Q295" s="11">
        <v>46306.5</v>
      </c>
      <c r="R295" s="6"/>
      <c r="S295" s="6"/>
      <c r="T295" s="6"/>
      <c r="U295" s="5">
        <f>MATCH(B295,Manual_Review!$A$6:$A$238,0)</f>
        <v>19</v>
      </c>
      <c r="V295" s="5" t="str">
        <f>IF(INDEX(Manual_Review!$G$6:$G$238,U295)="","",INDEX(Manual_Review!$G$6:$G$238,U295))</f>
        <v/>
      </c>
      <c r="W295" s="11" t="str">
        <f>IF(INDEX(Manual_Review!$H$6:$H$238,U295)="","",INDEX(Manual_Review!$H$6:$H$238,U295))</f>
        <v/>
      </c>
      <c r="X295" s="5" t="str">
        <f>IF(INDEX(Manual_Review!$I$6:$I$238,U295)="","",INDEX(Manual_Review!$I$6:$I$238,U295))</f>
        <v/>
      </c>
      <c r="Y295" s="5" t="s">
        <v>2859</v>
      </c>
    </row>
    <row r="296" spans="1:25" ht="25.5">
      <c r="A296" s="5" t="s">
        <v>3513</v>
      </c>
      <c r="B296" s="5" t="s">
        <v>329</v>
      </c>
      <c r="C296" s="5" t="s">
        <v>330</v>
      </c>
      <c r="D296" s="5" t="s">
        <v>118</v>
      </c>
      <c r="E296" s="5" t="s">
        <v>2783</v>
      </c>
      <c r="F296" s="5" t="s">
        <v>2754</v>
      </c>
      <c r="G296" s="5">
        <v>1</v>
      </c>
      <c r="H296" s="5" t="s">
        <v>2864</v>
      </c>
      <c r="I296" s="5" t="str">
        <f>IF(INDEX(Manual_Review!$M$6:$M$238,U296)="","",INDEX(Manual_Review!$M$6:$M$238,U296))</f>
        <v/>
      </c>
      <c r="J296" s="5" t="str">
        <f t="shared" si="8"/>
        <v>AI provisional</v>
      </c>
      <c r="K296" s="5" t="str">
        <f t="shared" si="9"/>
        <v>U</v>
      </c>
      <c r="L296" s="5" t="s">
        <v>338</v>
      </c>
      <c r="M296" s="5" t="s">
        <v>3514</v>
      </c>
      <c r="N296" s="5" t="s">
        <v>3508</v>
      </c>
      <c r="O296" s="5" t="s">
        <v>2866</v>
      </c>
      <c r="P296" s="5" t="s">
        <v>2858</v>
      </c>
      <c r="Q296" s="11">
        <v>46306.5</v>
      </c>
      <c r="R296" s="6"/>
      <c r="S296" s="6"/>
      <c r="T296" s="6"/>
      <c r="U296" s="5">
        <f>MATCH(B296,Manual_Review!$A$6:$A$238,0)</f>
        <v>19</v>
      </c>
      <c r="V296" s="5" t="str">
        <f>IF(INDEX(Manual_Review!$G$6:$G$238,U296)="","",INDEX(Manual_Review!$G$6:$G$238,U296))</f>
        <v/>
      </c>
      <c r="W296" s="11" t="str">
        <f>IF(INDEX(Manual_Review!$H$6:$H$238,U296)="","",INDEX(Manual_Review!$H$6:$H$238,U296))</f>
        <v/>
      </c>
      <c r="X296" s="5" t="str">
        <f>IF(INDEX(Manual_Review!$I$6:$I$238,U296)="","",INDEX(Manual_Review!$I$6:$I$238,U296))</f>
        <v/>
      </c>
      <c r="Y296" s="5" t="s">
        <v>2859</v>
      </c>
    </row>
    <row r="297" spans="1:25" ht="25.5">
      <c r="A297" s="5" t="s">
        <v>3515</v>
      </c>
      <c r="B297" s="5" t="s">
        <v>329</v>
      </c>
      <c r="C297" s="5" t="s">
        <v>330</v>
      </c>
      <c r="D297" s="5" t="s">
        <v>118</v>
      </c>
      <c r="E297" s="5" t="s">
        <v>2784</v>
      </c>
      <c r="F297" s="5" t="s">
        <v>2756</v>
      </c>
      <c r="G297" s="5">
        <v>1</v>
      </c>
      <c r="H297" s="5" t="s">
        <v>2864</v>
      </c>
      <c r="I297" s="5" t="str">
        <f>IF(INDEX(Manual_Review!$N$6:$N$238,U297)="","",INDEX(Manual_Review!$N$6:$N$238,U297))</f>
        <v/>
      </c>
      <c r="J297" s="5" t="str">
        <f t="shared" si="8"/>
        <v>AI provisional</v>
      </c>
      <c r="K297" s="5" t="str">
        <f t="shared" si="9"/>
        <v>U</v>
      </c>
      <c r="L297" s="5" t="s">
        <v>338</v>
      </c>
      <c r="M297" s="5" t="s">
        <v>3516</v>
      </c>
      <c r="N297" s="5" t="s">
        <v>3508</v>
      </c>
      <c r="O297" s="5" t="s">
        <v>2869</v>
      </c>
      <c r="P297" s="5" t="s">
        <v>2858</v>
      </c>
      <c r="Q297" s="11">
        <v>46306.5</v>
      </c>
      <c r="R297" s="6"/>
      <c r="S297" s="6"/>
      <c r="T297" s="6"/>
      <c r="U297" s="5">
        <f>MATCH(B297,Manual_Review!$A$6:$A$238,0)</f>
        <v>19</v>
      </c>
      <c r="V297" s="5" t="str">
        <f>IF(INDEX(Manual_Review!$G$6:$G$238,U297)="","",INDEX(Manual_Review!$G$6:$G$238,U297))</f>
        <v/>
      </c>
      <c r="W297" s="11" t="str">
        <f>IF(INDEX(Manual_Review!$H$6:$H$238,U297)="","",INDEX(Manual_Review!$H$6:$H$238,U297))</f>
        <v/>
      </c>
      <c r="X297" s="5" t="str">
        <f>IF(INDEX(Manual_Review!$I$6:$I$238,U297)="","",INDEX(Manual_Review!$I$6:$I$238,U297))</f>
        <v/>
      </c>
      <c r="Y297" s="5" t="s">
        <v>2859</v>
      </c>
    </row>
    <row r="298" spans="1:25" ht="25.5">
      <c r="A298" s="5" t="s">
        <v>3517</v>
      </c>
      <c r="B298" s="5" t="s">
        <v>329</v>
      </c>
      <c r="C298" s="5" t="s">
        <v>330</v>
      </c>
      <c r="D298" s="5" t="s">
        <v>118</v>
      </c>
      <c r="E298" s="5" t="s">
        <v>2785</v>
      </c>
      <c r="F298" s="5" t="s">
        <v>2756</v>
      </c>
      <c r="G298" s="5">
        <v>1</v>
      </c>
      <c r="H298" s="5" t="s">
        <v>2864</v>
      </c>
      <c r="I298" s="5" t="str">
        <f>IF(INDEX(Manual_Review!$O$6:$O$238,U298)="","",INDEX(Manual_Review!$O$6:$O$238,U298))</f>
        <v/>
      </c>
      <c r="J298" s="5" t="str">
        <f t="shared" si="8"/>
        <v>AI provisional</v>
      </c>
      <c r="K298" s="5" t="str">
        <f t="shared" si="9"/>
        <v>U</v>
      </c>
      <c r="L298" s="5" t="s">
        <v>338</v>
      </c>
      <c r="M298" s="5" t="s">
        <v>3518</v>
      </c>
      <c r="N298" s="5" t="s">
        <v>3508</v>
      </c>
      <c r="O298" s="5" t="s">
        <v>2872</v>
      </c>
      <c r="P298" s="5" t="s">
        <v>2858</v>
      </c>
      <c r="Q298" s="11">
        <v>46306.5</v>
      </c>
      <c r="R298" s="6"/>
      <c r="S298" s="6"/>
      <c r="T298" s="6"/>
      <c r="U298" s="5">
        <f>MATCH(B298,Manual_Review!$A$6:$A$238,0)</f>
        <v>19</v>
      </c>
      <c r="V298" s="5" t="str">
        <f>IF(INDEX(Manual_Review!$G$6:$G$238,U298)="","",INDEX(Manual_Review!$G$6:$G$238,U298))</f>
        <v/>
      </c>
      <c r="W298" s="11" t="str">
        <f>IF(INDEX(Manual_Review!$H$6:$H$238,U298)="","",INDEX(Manual_Review!$H$6:$H$238,U298))</f>
        <v/>
      </c>
      <c r="X298" s="5" t="str">
        <f>IF(INDEX(Manual_Review!$I$6:$I$238,U298)="","",INDEX(Manual_Review!$I$6:$I$238,U298))</f>
        <v/>
      </c>
      <c r="Y298" s="5" t="s">
        <v>2859</v>
      </c>
    </row>
    <row r="299" spans="1:25" ht="25.5">
      <c r="A299" s="5" t="s">
        <v>3519</v>
      </c>
      <c r="B299" s="5" t="s">
        <v>329</v>
      </c>
      <c r="C299" s="5" t="s">
        <v>330</v>
      </c>
      <c r="D299" s="5" t="s">
        <v>118</v>
      </c>
      <c r="E299" s="5" t="s">
        <v>2786</v>
      </c>
      <c r="F299" s="5" t="s">
        <v>2756</v>
      </c>
      <c r="G299" s="5">
        <v>1</v>
      </c>
      <c r="H299" s="5" t="s">
        <v>2864</v>
      </c>
      <c r="I299" s="5" t="str">
        <f>IF(INDEX(Manual_Review!$P$6:$P$238,U299)="","",INDEX(Manual_Review!$P$6:$P$238,U299))</f>
        <v/>
      </c>
      <c r="J299" s="5" t="str">
        <f t="shared" si="8"/>
        <v>AI provisional</v>
      </c>
      <c r="K299" s="5" t="str">
        <f t="shared" si="9"/>
        <v>U</v>
      </c>
      <c r="L299" s="5" t="s">
        <v>338</v>
      </c>
      <c r="M299" s="5" t="s">
        <v>3514</v>
      </c>
      <c r="N299" s="5" t="s">
        <v>3508</v>
      </c>
      <c r="O299" s="5" t="s">
        <v>2874</v>
      </c>
      <c r="P299" s="5" t="s">
        <v>2858</v>
      </c>
      <c r="Q299" s="11">
        <v>46306.5</v>
      </c>
      <c r="R299" s="6"/>
      <c r="S299" s="6"/>
      <c r="T299" s="6"/>
      <c r="U299" s="5">
        <f>MATCH(B299,Manual_Review!$A$6:$A$238,0)</f>
        <v>19</v>
      </c>
      <c r="V299" s="5" t="str">
        <f>IF(INDEX(Manual_Review!$G$6:$G$238,U299)="","",INDEX(Manual_Review!$G$6:$G$238,U299))</f>
        <v/>
      </c>
      <c r="W299" s="11" t="str">
        <f>IF(INDEX(Manual_Review!$H$6:$H$238,U299)="","",INDEX(Manual_Review!$H$6:$H$238,U299))</f>
        <v/>
      </c>
      <c r="X299" s="5" t="str">
        <f>IF(INDEX(Manual_Review!$I$6:$I$238,U299)="","",INDEX(Manual_Review!$I$6:$I$238,U299))</f>
        <v/>
      </c>
      <c r="Y299" s="5" t="s">
        <v>2859</v>
      </c>
    </row>
    <row r="300" spans="1:25" ht="25.5">
      <c r="A300" s="5" t="s">
        <v>3520</v>
      </c>
      <c r="B300" s="5" t="s">
        <v>329</v>
      </c>
      <c r="C300" s="5" t="s">
        <v>330</v>
      </c>
      <c r="D300" s="5" t="s">
        <v>118</v>
      </c>
      <c r="E300" s="5" t="s">
        <v>2787</v>
      </c>
      <c r="F300" s="5" t="s">
        <v>2758</v>
      </c>
      <c r="G300" s="5">
        <v>1</v>
      </c>
      <c r="H300" s="5" t="s">
        <v>2864</v>
      </c>
      <c r="I300" s="5" t="str">
        <f>IF(INDEX(Manual_Review!$Q$6:$Q$238,U300)="","",INDEX(Manual_Review!$Q$6:$Q$238,U300))</f>
        <v/>
      </c>
      <c r="J300" s="5" t="str">
        <f t="shared" si="8"/>
        <v>AI provisional</v>
      </c>
      <c r="K300" s="5" t="str">
        <f t="shared" si="9"/>
        <v>U</v>
      </c>
      <c r="L300" s="5" t="s">
        <v>338</v>
      </c>
      <c r="M300" s="5" t="s">
        <v>3518</v>
      </c>
      <c r="N300" s="5" t="s">
        <v>3508</v>
      </c>
      <c r="O300" s="5" t="s">
        <v>2877</v>
      </c>
      <c r="P300" s="5" t="s">
        <v>2858</v>
      </c>
      <c r="Q300" s="11">
        <v>46306.5</v>
      </c>
      <c r="R300" s="6"/>
      <c r="S300" s="6"/>
      <c r="T300" s="6"/>
      <c r="U300" s="5">
        <f>MATCH(B300,Manual_Review!$A$6:$A$238,0)</f>
        <v>19</v>
      </c>
      <c r="V300" s="5" t="str">
        <f>IF(INDEX(Manual_Review!$G$6:$G$238,U300)="","",INDEX(Manual_Review!$G$6:$G$238,U300))</f>
        <v/>
      </c>
      <c r="W300" s="11" t="str">
        <f>IF(INDEX(Manual_Review!$H$6:$H$238,U300)="","",INDEX(Manual_Review!$H$6:$H$238,U300))</f>
        <v/>
      </c>
      <c r="X300" s="5" t="str">
        <f>IF(INDEX(Manual_Review!$I$6:$I$238,U300)="","",INDEX(Manual_Review!$I$6:$I$238,U300))</f>
        <v/>
      </c>
      <c r="Y300" s="5" t="s">
        <v>2859</v>
      </c>
    </row>
    <row r="301" spans="1:25" ht="25.5">
      <c r="A301" s="5" t="s">
        <v>3521</v>
      </c>
      <c r="B301" s="5" t="s">
        <v>329</v>
      </c>
      <c r="C301" s="5" t="s">
        <v>330</v>
      </c>
      <c r="D301" s="5" t="s">
        <v>118</v>
      </c>
      <c r="E301" s="5" t="s">
        <v>2788</v>
      </c>
      <c r="F301" s="5" t="s">
        <v>2758</v>
      </c>
      <c r="G301" s="5">
        <v>1</v>
      </c>
      <c r="H301" s="5" t="s">
        <v>2864</v>
      </c>
      <c r="I301" s="5" t="str">
        <f>IF(INDEX(Manual_Review!$R$6:$R$238,U301)="","",INDEX(Manual_Review!$R$6:$R$238,U301))</f>
        <v/>
      </c>
      <c r="J301" s="5" t="str">
        <f t="shared" si="8"/>
        <v>AI provisional</v>
      </c>
      <c r="K301" s="5" t="str">
        <f t="shared" si="9"/>
        <v>U</v>
      </c>
      <c r="L301" s="5" t="s">
        <v>338</v>
      </c>
      <c r="M301" s="5" t="s">
        <v>3522</v>
      </c>
      <c r="N301" s="5" t="s">
        <v>3508</v>
      </c>
      <c r="O301" s="5" t="s">
        <v>2880</v>
      </c>
      <c r="P301" s="5" t="s">
        <v>2858</v>
      </c>
      <c r="Q301" s="11">
        <v>46306.5</v>
      </c>
      <c r="R301" s="6"/>
      <c r="S301" s="6"/>
      <c r="T301" s="6"/>
      <c r="U301" s="5">
        <f>MATCH(B301,Manual_Review!$A$6:$A$238,0)</f>
        <v>19</v>
      </c>
      <c r="V301" s="5" t="str">
        <f>IF(INDEX(Manual_Review!$G$6:$G$238,U301)="","",INDEX(Manual_Review!$G$6:$G$238,U301))</f>
        <v/>
      </c>
      <c r="W301" s="11" t="str">
        <f>IF(INDEX(Manual_Review!$H$6:$H$238,U301)="","",INDEX(Manual_Review!$H$6:$H$238,U301))</f>
        <v/>
      </c>
      <c r="X301" s="5" t="str">
        <f>IF(INDEX(Manual_Review!$I$6:$I$238,U301)="","",INDEX(Manual_Review!$I$6:$I$238,U301))</f>
        <v/>
      </c>
      <c r="Y301" s="5" t="s">
        <v>2859</v>
      </c>
    </row>
    <row r="302" spans="1:25" ht="25.5">
      <c r="A302" s="5" t="s">
        <v>3523</v>
      </c>
      <c r="B302" s="5" t="s">
        <v>329</v>
      </c>
      <c r="C302" s="5" t="s">
        <v>330</v>
      </c>
      <c r="D302" s="5" t="s">
        <v>118</v>
      </c>
      <c r="E302" s="5" t="s">
        <v>2789</v>
      </c>
      <c r="F302" s="5" t="s">
        <v>2758</v>
      </c>
      <c r="G302" s="5">
        <v>1</v>
      </c>
      <c r="H302" s="5" t="s">
        <v>2854</v>
      </c>
      <c r="I302" s="5" t="str">
        <f>IF(INDEX(Manual_Review!$S$6:$S$238,U302)="","",INDEX(Manual_Review!$S$6:$S$238,U302))</f>
        <v/>
      </c>
      <c r="J302" s="5" t="str">
        <f t="shared" si="8"/>
        <v>AI provisional</v>
      </c>
      <c r="K302" s="5" t="str">
        <f t="shared" si="9"/>
        <v>Y</v>
      </c>
      <c r="L302" s="5" t="s">
        <v>338</v>
      </c>
      <c r="M302" s="5" t="s">
        <v>3524</v>
      </c>
      <c r="N302" s="5" t="s">
        <v>3508</v>
      </c>
      <c r="O302" s="5" t="s">
        <v>3178</v>
      </c>
      <c r="P302" s="5" t="s">
        <v>2858</v>
      </c>
      <c r="Q302" s="11">
        <v>46306.5</v>
      </c>
      <c r="R302" s="6"/>
      <c r="S302" s="6"/>
      <c r="T302" s="6"/>
      <c r="U302" s="5">
        <f>MATCH(B302,Manual_Review!$A$6:$A$238,0)</f>
        <v>19</v>
      </c>
      <c r="V302" s="5" t="str">
        <f>IF(INDEX(Manual_Review!$G$6:$G$238,U302)="","",INDEX(Manual_Review!$G$6:$G$238,U302))</f>
        <v/>
      </c>
      <c r="W302" s="11" t="str">
        <f>IF(INDEX(Manual_Review!$H$6:$H$238,U302)="","",INDEX(Manual_Review!$H$6:$H$238,U302))</f>
        <v/>
      </c>
      <c r="X302" s="5" t="str">
        <f>IF(INDEX(Manual_Review!$I$6:$I$238,U302)="","",INDEX(Manual_Review!$I$6:$I$238,U302))</f>
        <v/>
      </c>
      <c r="Y302" s="5" t="s">
        <v>2859</v>
      </c>
    </row>
    <row r="303" spans="1:25" ht="25.5">
      <c r="A303" s="5" t="s">
        <v>3525</v>
      </c>
      <c r="B303" s="5" t="s">
        <v>329</v>
      </c>
      <c r="C303" s="5" t="s">
        <v>330</v>
      </c>
      <c r="D303" s="5" t="s">
        <v>118</v>
      </c>
      <c r="E303" s="5" t="s">
        <v>2790</v>
      </c>
      <c r="F303" s="5" t="s">
        <v>2760</v>
      </c>
      <c r="G303" s="5">
        <v>1</v>
      </c>
      <c r="H303" s="5" t="s">
        <v>2864</v>
      </c>
      <c r="I303" s="5" t="str">
        <f>IF(INDEX(Manual_Review!$T$6:$T$238,U303)="","",INDEX(Manual_Review!$T$6:$T$238,U303))</f>
        <v/>
      </c>
      <c r="J303" s="5" t="str">
        <f t="shared" si="8"/>
        <v>AI provisional</v>
      </c>
      <c r="K303" s="5" t="str">
        <f t="shared" si="9"/>
        <v>U</v>
      </c>
      <c r="L303" s="5" t="s">
        <v>338</v>
      </c>
      <c r="M303" s="5" t="s">
        <v>3514</v>
      </c>
      <c r="N303" s="5" t="s">
        <v>3508</v>
      </c>
      <c r="O303" s="5" t="s">
        <v>2885</v>
      </c>
      <c r="P303" s="5" t="s">
        <v>2858</v>
      </c>
      <c r="Q303" s="11">
        <v>46306.5</v>
      </c>
      <c r="R303" s="6"/>
      <c r="S303" s="6"/>
      <c r="T303" s="6"/>
      <c r="U303" s="5">
        <f>MATCH(B303,Manual_Review!$A$6:$A$238,0)</f>
        <v>19</v>
      </c>
      <c r="V303" s="5" t="str">
        <f>IF(INDEX(Manual_Review!$G$6:$G$238,U303)="","",INDEX(Manual_Review!$G$6:$G$238,U303))</f>
        <v/>
      </c>
      <c r="W303" s="11" t="str">
        <f>IF(INDEX(Manual_Review!$H$6:$H$238,U303)="","",INDEX(Manual_Review!$H$6:$H$238,U303))</f>
        <v/>
      </c>
      <c r="X303" s="5" t="str">
        <f>IF(INDEX(Manual_Review!$I$6:$I$238,U303)="","",INDEX(Manual_Review!$I$6:$I$238,U303))</f>
        <v/>
      </c>
      <c r="Y303" s="5" t="s">
        <v>2859</v>
      </c>
    </row>
    <row r="304" spans="1:25" ht="25.5">
      <c r="A304" s="5" t="s">
        <v>3526</v>
      </c>
      <c r="B304" s="5" t="s">
        <v>329</v>
      </c>
      <c r="C304" s="5" t="s">
        <v>330</v>
      </c>
      <c r="D304" s="5" t="s">
        <v>118</v>
      </c>
      <c r="E304" s="5" t="s">
        <v>2791</v>
      </c>
      <c r="F304" s="5" t="s">
        <v>2760</v>
      </c>
      <c r="G304" s="5">
        <v>1</v>
      </c>
      <c r="H304" s="5" t="s">
        <v>2864</v>
      </c>
      <c r="I304" s="5" t="str">
        <f>IF(INDEX(Manual_Review!$U$6:$U$238,U304)="","",INDEX(Manual_Review!$U$6:$U$238,U304))</f>
        <v/>
      </c>
      <c r="J304" s="5" t="str">
        <f t="shared" si="8"/>
        <v>AI provisional</v>
      </c>
      <c r="K304" s="5" t="str">
        <f t="shared" si="9"/>
        <v>U</v>
      </c>
      <c r="L304" s="5" t="s">
        <v>338</v>
      </c>
      <c r="M304" s="5" t="s">
        <v>3518</v>
      </c>
      <c r="N304" s="5" t="s">
        <v>3508</v>
      </c>
      <c r="O304" s="5" t="s">
        <v>2888</v>
      </c>
      <c r="P304" s="5" t="s">
        <v>2858</v>
      </c>
      <c r="Q304" s="11">
        <v>46306.5</v>
      </c>
      <c r="R304" s="6"/>
      <c r="S304" s="6"/>
      <c r="T304" s="6"/>
      <c r="U304" s="5">
        <f>MATCH(B304,Manual_Review!$A$6:$A$238,0)</f>
        <v>19</v>
      </c>
      <c r="V304" s="5" t="str">
        <f>IF(INDEX(Manual_Review!$G$6:$G$238,U304)="","",INDEX(Manual_Review!$G$6:$G$238,U304))</f>
        <v/>
      </c>
      <c r="W304" s="11" t="str">
        <f>IF(INDEX(Manual_Review!$H$6:$H$238,U304)="","",INDEX(Manual_Review!$H$6:$H$238,U304))</f>
        <v/>
      </c>
      <c r="X304" s="5" t="str">
        <f>IF(INDEX(Manual_Review!$I$6:$I$238,U304)="","",INDEX(Manual_Review!$I$6:$I$238,U304))</f>
        <v/>
      </c>
      <c r="Y304" s="5" t="s">
        <v>2859</v>
      </c>
    </row>
    <row r="305" spans="1:25" ht="25.5">
      <c r="A305" s="5" t="s">
        <v>3527</v>
      </c>
      <c r="B305" s="5" t="s">
        <v>329</v>
      </c>
      <c r="C305" s="5" t="s">
        <v>330</v>
      </c>
      <c r="D305" s="5" t="s">
        <v>118</v>
      </c>
      <c r="E305" s="5" t="s">
        <v>2792</v>
      </c>
      <c r="F305" s="5" t="s">
        <v>2762</v>
      </c>
      <c r="G305" s="5">
        <v>1</v>
      </c>
      <c r="H305" s="5" t="s">
        <v>2864</v>
      </c>
      <c r="I305" s="5" t="str">
        <f>IF(INDEX(Manual_Review!$V$6:$V$238,U305)="","",INDEX(Manual_Review!$V$6:$V$238,U305))</f>
        <v/>
      </c>
      <c r="J305" s="5" t="str">
        <f t="shared" si="8"/>
        <v>AI provisional</v>
      </c>
      <c r="K305" s="5" t="str">
        <f t="shared" si="9"/>
        <v>U</v>
      </c>
      <c r="L305" s="5" t="s">
        <v>338</v>
      </c>
      <c r="M305" s="5" t="s">
        <v>3528</v>
      </c>
      <c r="N305" s="5" t="s">
        <v>3508</v>
      </c>
      <c r="O305" s="5" t="s">
        <v>2891</v>
      </c>
      <c r="P305" s="5" t="s">
        <v>2858</v>
      </c>
      <c r="Q305" s="11">
        <v>46306.5</v>
      </c>
      <c r="R305" s="6"/>
      <c r="S305" s="6"/>
      <c r="T305" s="6"/>
      <c r="U305" s="5">
        <f>MATCH(B305,Manual_Review!$A$6:$A$238,0)</f>
        <v>19</v>
      </c>
      <c r="V305" s="5" t="str">
        <f>IF(INDEX(Manual_Review!$G$6:$G$238,U305)="","",INDEX(Manual_Review!$G$6:$G$238,U305))</f>
        <v/>
      </c>
      <c r="W305" s="11" t="str">
        <f>IF(INDEX(Manual_Review!$H$6:$H$238,U305)="","",INDEX(Manual_Review!$H$6:$H$238,U305))</f>
        <v/>
      </c>
      <c r="X305" s="5" t="str">
        <f>IF(INDEX(Manual_Review!$I$6:$I$238,U305)="","",INDEX(Manual_Review!$I$6:$I$238,U305))</f>
        <v/>
      </c>
      <c r="Y305" s="5" t="s">
        <v>2859</v>
      </c>
    </row>
    <row r="306" spans="1:25" ht="25.5">
      <c r="A306" s="5" t="s">
        <v>3529</v>
      </c>
      <c r="B306" s="5" t="s">
        <v>329</v>
      </c>
      <c r="C306" s="5" t="s">
        <v>330</v>
      </c>
      <c r="D306" s="5" t="s">
        <v>118</v>
      </c>
      <c r="E306" s="5" t="s">
        <v>2793</v>
      </c>
      <c r="F306" s="5" t="s">
        <v>2762</v>
      </c>
      <c r="G306" s="5">
        <v>1</v>
      </c>
      <c r="H306" s="5" t="s">
        <v>2864</v>
      </c>
      <c r="I306" s="5" t="str">
        <f>IF(INDEX(Manual_Review!$W$6:$W$238,U306)="","",INDEX(Manual_Review!$W$6:$W$238,U306))</f>
        <v/>
      </c>
      <c r="J306" s="5" t="str">
        <f t="shared" si="8"/>
        <v>AI provisional</v>
      </c>
      <c r="K306" s="5" t="str">
        <f t="shared" si="9"/>
        <v>U</v>
      </c>
      <c r="L306" s="5" t="s">
        <v>338</v>
      </c>
      <c r="M306" s="5" t="s">
        <v>3528</v>
      </c>
      <c r="N306" s="5" t="s">
        <v>3508</v>
      </c>
      <c r="O306" s="5" t="s">
        <v>2893</v>
      </c>
      <c r="P306" s="5" t="s">
        <v>2858</v>
      </c>
      <c r="Q306" s="11">
        <v>46306.5</v>
      </c>
      <c r="R306" s="6"/>
      <c r="S306" s="6"/>
      <c r="T306" s="6"/>
      <c r="U306" s="5">
        <f>MATCH(B306,Manual_Review!$A$6:$A$238,0)</f>
        <v>19</v>
      </c>
      <c r="V306" s="5" t="str">
        <f>IF(INDEX(Manual_Review!$G$6:$G$238,U306)="","",INDEX(Manual_Review!$G$6:$G$238,U306))</f>
        <v/>
      </c>
      <c r="W306" s="11" t="str">
        <f>IF(INDEX(Manual_Review!$H$6:$H$238,U306)="","",INDEX(Manual_Review!$H$6:$H$238,U306))</f>
        <v/>
      </c>
      <c r="X306" s="5" t="str">
        <f>IF(INDEX(Manual_Review!$I$6:$I$238,U306)="","",INDEX(Manual_Review!$I$6:$I$238,U306))</f>
        <v/>
      </c>
      <c r="Y306" s="5" t="s">
        <v>2859</v>
      </c>
    </row>
    <row r="307" spans="1:25" ht="25.5">
      <c r="A307" s="5" t="s">
        <v>3530</v>
      </c>
      <c r="B307" s="5" t="s">
        <v>329</v>
      </c>
      <c r="C307" s="5" t="s">
        <v>330</v>
      </c>
      <c r="D307" s="5" t="s">
        <v>118</v>
      </c>
      <c r="E307" s="5" t="s">
        <v>2794</v>
      </c>
      <c r="F307" s="5" t="s">
        <v>2764</v>
      </c>
      <c r="G307" s="5">
        <v>1</v>
      </c>
      <c r="H307" s="5" t="s">
        <v>2854</v>
      </c>
      <c r="I307" s="5" t="str">
        <f>IF(INDEX(Manual_Review!$X$6:$X$238,U307)="","",INDEX(Manual_Review!$X$6:$X$238,U307))</f>
        <v/>
      </c>
      <c r="J307" s="5" t="str">
        <f t="shared" si="8"/>
        <v>AI provisional</v>
      </c>
      <c r="K307" s="5" t="str">
        <f t="shared" si="9"/>
        <v>Y</v>
      </c>
      <c r="L307" s="5" t="s">
        <v>338</v>
      </c>
      <c r="M307" s="5" t="s">
        <v>3531</v>
      </c>
      <c r="N307" s="5" t="s">
        <v>3508</v>
      </c>
      <c r="O307" s="5" t="s">
        <v>2984</v>
      </c>
      <c r="P307" s="5" t="s">
        <v>2858</v>
      </c>
      <c r="Q307" s="11">
        <v>46306.5</v>
      </c>
      <c r="R307" s="6"/>
      <c r="S307" s="6"/>
      <c r="T307" s="6"/>
      <c r="U307" s="5">
        <f>MATCH(B307,Manual_Review!$A$6:$A$238,0)</f>
        <v>19</v>
      </c>
      <c r="V307" s="5" t="str">
        <f>IF(INDEX(Manual_Review!$G$6:$G$238,U307)="","",INDEX(Manual_Review!$G$6:$G$238,U307))</f>
        <v/>
      </c>
      <c r="W307" s="11" t="str">
        <f>IF(INDEX(Manual_Review!$H$6:$H$238,U307)="","",INDEX(Manual_Review!$H$6:$H$238,U307))</f>
        <v/>
      </c>
      <c r="X307" s="5" t="str">
        <f>IF(INDEX(Manual_Review!$I$6:$I$238,U307)="","",INDEX(Manual_Review!$I$6:$I$238,U307))</f>
        <v/>
      </c>
      <c r="Y307" s="5" t="s">
        <v>2859</v>
      </c>
    </row>
    <row r="308" spans="1:25" ht="25.5">
      <c r="A308" s="5" t="s">
        <v>3532</v>
      </c>
      <c r="B308" s="5" t="s">
        <v>329</v>
      </c>
      <c r="C308" s="5" t="s">
        <v>330</v>
      </c>
      <c r="D308" s="5" t="s">
        <v>118</v>
      </c>
      <c r="E308" s="5" t="s">
        <v>2795</v>
      </c>
      <c r="F308" s="5" t="s">
        <v>2764</v>
      </c>
      <c r="G308" s="5">
        <v>1</v>
      </c>
      <c r="H308" s="5" t="s">
        <v>2864</v>
      </c>
      <c r="I308" s="5" t="str">
        <f>IF(INDEX(Manual_Review!$Y$6:$Y$238,U308)="","",INDEX(Manual_Review!$Y$6:$Y$238,U308))</f>
        <v/>
      </c>
      <c r="J308" s="5" t="str">
        <f t="shared" si="8"/>
        <v>AI provisional</v>
      </c>
      <c r="K308" s="5" t="str">
        <f t="shared" si="9"/>
        <v>U</v>
      </c>
      <c r="L308" s="5" t="s">
        <v>338</v>
      </c>
      <c r="M308" s="5" t="s">
        <v>3514</v>
      </c>
      <c r="N308" s="5" t="s">
        <v>3508</v>
      </c>
      <c r="O308" s="5" t="s">
        <v>2897</v>
      </c>
      <c r="P308" s="5" t="s">
        <v>2858</v>
      </c>
      <c r="Q308" s="11">
        <v>46306.5</v>
      </c>
      <c r="R308" s="6"/>
      <c r="S308" s="6"/>
      <c r="T308" s="6"/>
      <c r="U308" s="5">
        <f>MATCH(B308,Manual_Review!$A$6:$A$238,0)</f>
        <v>19</v>
      </c>
      <c r="V308" s="5" t="str">
        <f>IF(INDEX(Manual_Review!$G$6:$G$238,U308)="","",INDEX(Manual_Review!$G$6:$G$238,U308))</f>
        <v/>
      </c>
      <c r="W308" s="11" t="str">
        <f>IF(INDEX(Manual_Review!$H$6:$H$238,U308)="","",INDEX(Manual_Review!$H$6:$H$238,U308))</f>
        <v/>
      </c>
      <c r="X308" s="5" t="str">
        <f>IF(INDEX(Manual_Review!$I$6:$I$238,U308)="","",INDEX(Manual_Review!$I$6:$I$238,U308))</f>
        <v/>
      </c>
      <c r="Y308" s="5" t="s">
        <v>2859</v>
      </c>
    </row>
    <row r="309" spans="1:25" ht="25.5">
      <c r="A309" s="5" t="s">
        <v>3533</v>
      </c>
      <c r="B309" s="5" t="s">
        <v>329</v>
      </c>
      <c r="C309" s="5" t="s">
        <v>330</v>
      </c>
      <c r="D309" s="5" t="s">
        <v>118</v>
      </c>
      <c r="E309" s="5" t="s">
        <v>2796</v>
      </c>
      <c r="F309" s="5" t="s">
        <v>2764</v>
      </c>
      <c r="G309" s="5">
        <v>1</v>
      </c>
      <c r="H309" s="5" t="s">
        <v>2864</v>
      </c>
      <c r="I309" s="5" t="str">
        <f>IF(INDEX(Manual_Review!$Z$6:$Z$238,U309)="","",INDEX(Manual_Review!$Z$6:$Z$238,U309))</f>
        <v/>
      </c>
      <c r="J309" s="5" t="str">
        <f t="shared" si="8"/>
        <v>AI provisional</v>
      </c>
      <c r="K309" s="5" t="str">
        <f t="shared" si="9"/>
        <v>U</v>
      </c>
      <c r="L309" s="5" t="s">
        <v>338</v>
      </c>
      <c r="M309" s="5" t="s">
        <v>3524</v>
      </c>
      <c r="N309" s="5" t="s">
        <v>3508</v>
      </c>
      <c r="O309" s="5" t="s">
        <v>2899</v>
      </c>
      <c r="P309" s="5" t="s">
        <v>2858</v>
      </c>
      <c r="Q309" s="11">
        <v>46306.5</v>
      </c>
      <c r="R309" s="6"/>
      <c r="S309" s="6"/>
      <c r="T309" s="6"/>
      <c r="U309" s="5">
        <f>MATCH(B309,Manual_Review!$A$6:$A$238,0)</f>
        <v>19</v>
      </c>
      <c r="V309" s="5" t="str">
        <f>IF(INDEX(Manual_Review!$G$6:$G$238,U309)="","",INDEX(Manual_Review!$G$6:$G$238,U309))</f>
        <v/>
      </c>
      <c r="W309" s="11" t="str">
        <f>IF(INDEX(Manual_Review!$H$6:$H$238,U309)="","",INDEX(Manual_Review!$H$6:$H$238,U309))</f>
        <v/>
      </c>
      <c r="X309" s="5" t="str">
        <f>IF(INDEX(Manual_Review!$I$6:$I$238,U309)="","",INDEX(Manual_Review!$I$6:$I$238,U309))</f>
        <v/>
      </c>
      <c r="Y309" s="5" t="s">
        <v>2859</v>
      </c>
    </row>
    <row r="310" spans="1:25" ht="38.25">
      <c r="A310" s="5" t="s">
        <v>3534</v>
      </c>
      <c r="B310" s="5" t="s">
        <v>340</v>
      </c>
      <c r="C310" s="5" t="s">
        <v>341</v>
      </c>
      <c r="D310" s="5" t="s">
        <v>118</v>
      </c>
      <c r="E310" s="5" t="s">
        <v>2781</v>
      </c>
      <c r="F310" s="5" t="s">
        <v>2754</v>
      </c>
      <c r="G310" s="5">
        <v>1</v>
      </c>
      <c r="H310" s="5" t="s">
        <v>2854</v>
      </c>
      <c r="I310" s="5" t="str">
        <f>IF(INDEX(Manual_Review!$K$6:$K$238,U310)="","",INDEX(Manual_Review!$K$6:$K$238,U310))</f>
        <v/>
      </c>
      <c r="J310" s="5" t="str">
        <f t="shared" si="8"/>
        <v>AI provisional</v>
      </c>
      <c r="K310" s="5" t="str">
        <f t="shared" si="9"/>
        <v>Y</v>
      </c>
      <c r="L310" s="5" t="s">
        <v>348</v>
      </c>
      <c r="M310" s="5" t="s">
        <v>3535</v>
      </c>
      <c r="N310" s="5" t="s">
        <v>3536</v>
      </c>
      <c r="O310" s="5" t="s">
        <v>2857</v>
      </c>
      <c r="P310" s="5" t="s">
        <v>2858</v>
      </c>
      <c r="Q310" s="11">
        <v>46306.5</v>
      </c>
      <c r="R310" s="6"/>
      <c r="S310" s="6"/>
      <c r="T310" s="6"/>
      <c r="U310" s="5">
        <f>MATCH(B310,Manual_Review!$A$6:$A$238,0)</f>
        <v>20</v>
      </c>
      <c r="V310" s="5" t="str">
        <f>IF(INDEX(Manual_Review!$G$6:$G$238,U310)="","",INDEX(Manual_Review!$G$6:$G$238,U310))</f>
        <v/>
      </c>
      <c r="W310" s="11" t="str">
        <f>IF(INDEX(Manual_Review!$H$6:$H$238,U310)="","",INDEX(Manual_Review!$H$6:$H$238,U310))</f>
        <v/>
      </c>
      <c r="X310" s="5" t="str">
        <f>IF(INDEX(Manual_Review!$I$6:$I$238,U310)="","",INDEX(Manual_Review!$I$6:$I$238,U310))</f>
        <v/>
      </c>
      <c r="Y310" s="5" t="s">
        <v>2859</v>
      </c>
    </row>
    <row r="311" spans="1:25" ht="38.25">
      <c r="A311" s="5" t="s">
        <v>3537</v>
      </c>
      <c r="B311" s="5" t="s">
        <v>340</v>
      </c>
      <c r="C311" s="5" t="s">
        <v>341</v>
      </c>
      <c r="D311" s="5" t="s">
        <v>118</v>
      </c>
      <c r="E311" s="5" t="s">
        <v>2782</v>
      </c>
      <c r="F311" s="5" t="s">
        <v>2754</v>
      </c>
      <c r="G311" s="5">
        <v>1</v>
      </c>
      <c r="H311" s="5" t="s">
        <v>2854</v>
      </c>
      <c r="I311" s="5" t="str">
        <f>IF(INDEX(Manual_Review!$L$6:$L$238,U311)="","",INDEX(Manual_Review!$L$6:$L$238,U311))</f>
        <v/>
      </c>
      <c r="J311" s="5" t="str">
        <f t="shared" si="8"/>
        <v>AI provisional</v>
      </c>
      <c r="K311" s="5" t="str">
        <f t="shared" si="9"/>
        <v>Y</v>
      </c>
      <c r="L311" s="5" t="s">
        <v>348</v>
      </c>
      <c r="M311" s="5" t="s">
        <v>3538</v>
      </c>
      <c r="N311" s="5" t="s">
        <v>3536</v>
      </c>
      <c r="O311" s="5" t="s">
        <v>2862</v>
      </c>
      <c r="P311" s="5" t="s">
        <v>2858</v>
      </c>
      <c r="Q311" s="11">
        <v>46306.5</v>
      </c>
      <c r="R311" s="6"/>
      <c r="S311" s="6"/>
      <c r="T311" s="6"/>
      <c r="U311" s="5">
        <f>MATCH(B311,Manual_Review!$A$6:$A$238,0)</f>
        <v>20</v>
      </c>
      <c r="V311" s="5" t="str">
        <f>IF(INDEX(Manual_Review!$G$6:$G$238,U311)="","",INDEX(Manual_Review!$G$6:$G$238,U311))</f>
        <v/>
      </c>
      <c r="W311" s="11" t="str">
        <f>IF(INDEX(Manual_Review!$H$6:$H$238,U311)="","",INDEX(Manual_Review!$H$6:$H$238,U311))</f>
        <v/>
      </c>
      <c r="X311" s="5" t="str">
        <f>IF(INDEX(Manual_Review!$I$6:$I$238,U311)="","",INDEX(Manual_Review!$I$6:$I$238,U311))</f>
        <v/>
      </c>
      <c r="Y311" s="5" t="s">
        <v>2859</v>
      </c>
    </row>
    <row r="312" spans="1:25" ht="38.25">
      <c r="A312" s="5" t="s">
        <v>3539</v>
      </c>
      <c r="B312" s="5" t="s">
        <v>340</v>
      </c>
      <c r="C312" s="5" t="s">
        <v>341</v>
      </c>
      <c r="D312" s="5" t="s">
        <v>118</v>
      </c>
      <c r="E312" s="5" t="s">
        <v>2783</v>
      </c>
      <c r="F312" s="5" t="s">
        <v>2754</v>
      </c>
      <c r="G312" s="5">
        <v>1</v>
      </c>
      <c r="H312" s="5" t="s">
        <v>2864</v>
      </c>
      <c r="I312" s="5" t="str">
        <f>IF(INDEX(Manual_Review!$M$6:$M$238,U312)="","",INDEX(Manual_Review!$M$6:$M$238,U312))</f>
        <v/>
      </c>
      <c r="J312" s="5" t="str">
        <f t="shared" si="8"/>
        <v>AI provisional</v>
      </c>
      <c r="K312" s="5" t="str">
        <f t="shared" si="9"/>
        <v>U</v>
      </c>
      <c r="L312" s="5" t="s">
        <v>348</v>
      </c>
      <c r="M312" s="5" t="s">
        <v>3540</v>
      </c>
      <c r="N312" s="5" t="s">
        <v>3536</v>
      </c>
      <c r="O312" s="5" t="s">
        <v>2866</v>
      </c>
      <c r="P312" s="5" t="s">
        <v>2858</v>
      </c>
      <c r="Q312" s="11">
        <v>46306.5</v>
      </c>
      <c r="R312" s="6"/>
      <c r="S312" s="6"/>
      <c r="T312" s="6"/>
      <c r="U312" s="5">
        <f>MATCH(B312,Manual_Review!$A$6:$A$238,0)</f>
        <v>20</v>
      </c>
      <c r="V312" s="5" t="str">
        <f>IF(INDEX(Manual_Review!$G$6:$G$238,U312)="","",INDEX(Manual_Review!$G$6:$G$238,U312))</f>
        <v/>
      </c>
      <c r="W312" s="11" t="str">
        <f>IF(INDEX(Manual_Review!$H$6:$H$238,U312)="","",INDEX(Manual_Review!$H$6:$H$238,U312))</f>
        <v/>
      </c>
      <c r="X312" s="5" t="str">
        <f>IF(INDEX(Manual_Review!$I$6:$I$238,U312)="","",INDEX(Manual_Review!$I$6:$I$238,U312))</f>
        <v/>
      </c>
      <c r="Y312" s="5" t="s">
        <v>2859</v>
      </c>
    </row>
    <row r="313" spans="1:25" ht="38.25">
      <c r="A313" s="5" t="s">
        <v>3541</v>
      </c>
      <c r="B313" s="5" t="s">
        <v>340</v>
      </c>
      <c r="C313" s="5" t="s">
        <v>341</v>
      </c>
      <c r="D313" s="5" t="s">
        <v>118</v>
      </c>
      <c r="E313" s="5" t="s">
        <v>2784</v>
      </c>
      <c r="F313" s="5" t="s">
        <v>2756</v>
      </c>
      <c r="G313" s="5">
        <v>1</v>
      </c>
      <c r="H313" s="5" t="s">
        <v>2854</v>
      </c>
      <c r="I313" s="5" t="str">
        <f>IF(INDEX(Manual_Review!$N$6:$N$238,U313)="","",INDEX(Manual_Review!$N$6:$N$238,U313))</f>
        <v/>
      </c>
      <c r="J313" s="5" t="str">
        <f t="shared" si="8"/>
        <v>AI provisional</v>
      </c>
      <c r="K313" s="5" t="str">
        <f t="shared" si="9"/>
        <v>Y</v>
      </c>
      <c r="L313" s="5" t="s">
        <v>348</v>
      </c>
      <c r="M313" s="5" t="s">
        <v>3542</v>
      </c>
      <c r="N313" s="5" t="s">
        <v>3536</v>
      </c>
      <c r="O313" s="5" t="s">
        <v>2963</v>
      </c>
      <c r="P313" s="5" t="s">
        <v>2858</v>
      </c>
      <c r="Q313" s="11">
        <v>46306.5</v>
      </c>
      <c r="R313" s="6"/>
      <c r="S313" s="6"/>
      <c r="T313" s="6"/>
      <c r="U313" s="5">
        <f>MATCH(B313,Manual_Review!$A$6:$A$238,0)</f>
        <v>20</v>
      </c>
      <c r="V313" s="5" t="str">
        <f>IF(INDEX(Manual_Review!$G$6:$G$238,U313)="","",INDEX(Manual_Review!$G$6:$G$238,U313))</f>
        <v/>
      </c>
      <c r="W313" s="11" t="str">
        <f>IF(INDEX(Manual_Review!$H$6:$H$238,U313)="","",INDEX(Manual_Review!$H$6:$H$238,U313))</f>
        <v/>
      </c>
      <c r="X313" s="5" t="str">
        <f>IF(INDEX(Manual_Review!$I$6:$I$238,U313)="","",INDEX(Manual_Review!$I$6:$I$238,U313))</f>
        <v/>
      </c>
      <c r="Y313" s="5" t="s">
        <v>2859</v>
      </c>
    </row>
    <row r="314" spans="1:25" ht="38.25">
      <c r="A314" s="5" t="s">
        <v>3543</v>
      </c>
      <c r="B314" s="5" t="s">
        <v>340</v>
      </c>
      <c r="C314" s="5" t="s">
        <v>341</v>
      </c>
      <c r="D314" s="5" t="s">
        <v>118</v>
      </c>
      <c r="E314" s="5" t="s">
        <v>2785</v>
      </c>
      <c r="F314" s="5" t="s">
        <v>2756</v>
      </c>
      <c r="G314" s="5">
        <v>1</v>
      </c>
      <c r="H314" s="5" t="s">
        <v>2864</v>
      </c>
      <c r="I314" s="5" t="str">
        <f>IF(INDEX(Manual_Review!$O$6:$O$238,U314)="","",INDEX(Manual_Review!$O$6:$O$238,U314))</f>
        <v/>
      </c>
      <c r="J314" s="5" t="str">
        <f t="shared" si="8"/>
        <v>AI provisional</v>
      </c>
      <c r="K314" s="5" t="str">
        <f t="shared" si="9"/>
        <v>U</v>
      </c>
      <c r="L314" s="5" t="s">
        <v>348</v>
      </c>
      <c r="M314" s="5" t="s">
        <v>3544</v>
      </c>
      <c r="N314" s="5" t="s">
        <v>3536</v>
      </c>
      <c r="O314" s="5" t="s">
        <v>2872</v>
      </c>
      <c r="P314" s="5" t="s">
        <v>2858</v>
      </c>
      <c r="Q314" s="11">
        <v>46306.5</v>
      </c>
      <c r="R314" s="6"/>
      <c r="S314" s="6"/>
      <c r="T314" s="6"/>
      <c r="U314" s="5">
        <f>MATCH(B314,Manual_Review!$A$6:$A$238,0)</f>
        <v>20</v>
      </c>
      <c r="V314" s="5" t="str">
        <f>IF(INDEX(Manual_Review!$G$6:$G$238,U314)="","",INDEX(Manual_Review!$G$6:$G$238,U314))</f>
        <v/>
      </c>
      <c r="W314" s="11" t="str">
        <f>IF(INDEX(Manual_Review!$H$6:$H$238,U314)="","",INDEX(Manual_Review!$H$6:$H$238,U314))</f>
        <v/>
      </c>
      <c r="X314" s="5" t="str">
        <f>IF(INDEX(Manual_Review!$I$6:$I$238,U314)="","",INDEX(Manual_Review!$I$6:$I$238,U314))</f>
        <v/>
      </c>
      <c r="Y314" s="5" t="s">
        <v>2859</v>
      </c>
    </row>
    <row r="315" spans="1:25" ht="38.25">
      <c r="A315" s="5" t="s">
        <v>3545</v>
      </c>
      <c r="B315" s="5" t="s">
        <v>340</v>
      </c>
      <c r="C315" s="5" t="s">
        <v>341</v>
      </c>
      <c r="D315" s="5" t="s">
        <v>118</v>
      </c>
      <c r="E315" s="5" t="s">
        <v>2786</v>
      </c>
      <c r="F315" s="5" t="s">
        <v>2756</v>
      </c>
      <c r="G315" s="5">
        <v>1</v>
      </c>
      <c r="H315" s="5" t="s">
        <v>2864</v>
      </c>
      <c r="I315" s="5" t="str">
        <f>IF(INDEX(Manual_Review!$P$6:$P$238,U315)="","",INDEX(Manual_Review!$P$6:$P$238,U315))</f>
        <v/>
      </c>
      <c r="J315" s="5" t="str">
        <f t="shared" si="8"/>
        <v>AI provisional</v>
      </c>
      <c r="K315" s="5" t="str">
        <f t="shared" si="9"/>
        <v>U</v>
      </c>
      <c r="L315" s="5" t="s">
        <v>348</v>
      </c>
      <c r="M315" s="5" t="s">
        <v>3540</v>
      </c>
      <c r="N315" s="5" t="s">
        <v>3536</v>
      </c>
      <c r="O315" s="5" t="s">
        <v>2874</v>
      </c>
      <c r="P315" s="5" t="s">
        <v>2858</v>
      </c>
      <c r="Q315" s="11">
        <v>46306.5</v>
      </c>
      <c r="R315" s="6"/>
      <c r="S315" s="6"/>
      <c r="T315" s="6"/>
      <c r="U315" s="5">
        <f>MATCH(B315,Manual_Review!$A$6:$A$238,0)</f>
        <v>20</v>
      </c>
      <c r="V315" s="5" t="str">
        <f>IF(INDEX(Manual_Review!$G$6:$G$238,U315)="","",INDEX(Manual_Review!$G$6:$G$238,U315))</f>
        <v/>
      </c>
      <c r="W315" s="11" t="str">
        <f>IF(INDEX(Manual_Review!$H$6:$H$238,U315)="","",INDEX(Manual_Review!$H$6:$H$238,U315))</f>
        <v/>
      </c>
      <c r="X315" s="5" t="str">
        <f>IF(INDEX(Manual_Review!$I$6:$I$238,U315)="","",INDEX(Manual_Review!$I$6:$I$238,U315))</f>
        <v/>
      </c>
      <c r="Y315" s="5" t="s">
        <v>2859</v>
      </c>
    </row>
    <row r="316" spans="1:25" ht="38.25">
      <c r="A316" s="5" t="s">
        <v>3546</v>
      </c>
      <c r="B316" s="5" t="s">
        <v>340</v>
      </c>
      <c r="C316" s="5" t="s">
        <v>341</v>
      </c>
      <c r="D316" s="5" t="s">
        <v>118</v>
      </c>
      <c r="E316" s="5" t="s">
        <v>2787</v>
      </c>
      <c r="F316" s="5" t="s">
        <v>2758</v>
      </c>
      <c r="G316" s="5">
        <v>1</v>
      </c>
      <c r="H316" s="5" t="s">
        <v>2864</v>
      </c>
      <c r="I316" s="5" t="str">
        <f>IF(INDEX(Manual_Review!$Q$6:$Q$238,U316)="","",INDEX(Manual_Review!$Q$6:$Q$238,U316))</f>
        <v/>
      </c>
      <c r="J316" s="5" t="str">
        <f t="shared" si="8"/>
        <v>AI provisional</v>
      </c>
      <c r="K316" s="5" t="str">
        <f t="shared" si="9"/>
        <v>U</v>
      </c>
      <c r="L316" s="5" t="s">
        <v>348</v>
      </c>
      <c r="M316" s="5" t="s">
        <v>3547</v>
      </c>
      <c r="N316" s="5" t="s">
        <v>3536</v>
      </c>
      <c r="O316" s="5" t="s">
        <v>2877</v>
      </c>
      <c r="P316" s="5" t="s">
        <v>2858</v>
      </c>
      <c r="Q316" s="11">
        <v>46306.5</v>
      </c>
      <c r="R316" s="6"/>
      <c r="S316" s="6"/>
      <c r="T316" s="6"/>
      <c r="U316" s="5">
        <f>MATCH(B316,Manual_Review!$A$6:$A$238,0)</f>
        <v>20</v>
      </c>
      <c r="V316" s="5" t="str">
        <f>IF(INDEX(Manual_Review!$G$6:$G$238,U316)="","",INDEX(Manual_Review!$G$6:$G$238,U316))</f>
        <v/>
      </c>
      <c r="W316" s="11" t="str">
        <f>IF(INDEX(Manual_Review!$H$6:$H$238,U316)="","",INDEX(Manual_Review!$H$6:$H$238,U316))</f>
        <v/>
      </c>
      <c r="X316" s="5" t="str">
        <f>IF(INDEX(Manual_Review!$I$6:$I$238,U316)="","",INDEX(Manual_Review!$I$6:$I$238,U316))</f>
        <v/>
      </c>
      <c r="Y316" s="5" t="s">
        <v>2859</v>
      </c>
    </row>
    <row r="317" spans="1:25" ht="38.25">
      <c r="A317" s="5" t="s">
        <v>3548</v>
      </c>
      <c r="B317" s="5" t="s">
        <v>340</v>
      </c>
      <c r="C317" s="5" t="s">
        <v>341</v>
      </c>
      <c r="D317" s="5" t="s">
        <v>118</v>
      </c>
      <c r="E317" s="5" t="s">
        <v>2788</v>
      </c>
      <c r="F317" s="5" t="s">
        <v>2758</v>
      </c>
      <c r="G317" s="5">
        <v>1</v>
      </c>
      <c r="H317" s="5" t="s">
        <v>2854</v>
      </c>
      <c r="I317" s="5" t="str">
        <f>IF(INDEX(Manual_Review!$R$6:$R$238,U317)="","",INDEX(Manual_Review!$R$6:$R$238,U317))</f>
        <v/>
      </c>
      <c r="J317" s="5" t="str">
        <f t="shared" si="8"/>
        <v>AI provisional</v>
      </c>
      <c r="K317" s="5" t="str">
        <f t="shared" si="9"/>
        <v>Y</v>
      </c>
      <c r="L317" s="5" t="s">
        <v>348</v>
      </c>
      <c r="M317" s="5" t="s">
        <v>3549</v>
      </c>
      <c r="N317" s="5" t="s">
        <v>3536</v>
      </c>
      <c r="O317" s="5" t="s">
        <v>3067</v>
      </c>
      <c r="P317" s="5" t="s">
        <v>2858</v>
      </c>
      <c r="Q317" s="11">
        <v>46306.5</v>
      </c>
      <c r="R317" s="6"/>
      <c r="S317" s="6"/>
      <c r="T317" s="6"/>
      <c r="U317" s="5">
        <f>MATCH(B317,Manual_Review!$A$6:$A$238,0)</f>
        <v>20</v>
      </c>
      <c r="V317" s="5" t="str">
        <f>IF(INDEX(Manual_Review!$G$6:$G$238,U317)="","",INDEX(Manual_Review!$G$6:$G$238,U317))</f>
        <v/>
      </c>
      <c r="W317" s="11" t="str">
        <f>IF(INDEX(Manual_Review!$H$6:$H$238,U317)="","",INDEX(Manual_Review!$H$6:$H$238,U317))</f>
        <v/>
      </c>
      <c r="X317" s="5" t="str">
        <f>IF(INDEX(Manual_Review!$I$6:$I$238,U317)="","",INDEX(Manual_Review!$I$6:$I$238,U317))</f>
        <v/>
      </c>
      <c r="Y317" s="5" t="s">
        <v>2859</v>
      </c>
    </row>
    <row r="318" spans="1:25" ht="38.25">
      <c r="A318" s="5" t="s">
        <v>3550</v>
      </c>
      <c r="B318" s="5" t="s">
        <v>340</v>
      </c>
      <c r="C318" s="5" t="s">
        <v>341</v>
      </c>
      <c r="D318" s="5" t="s">
        <v>118</v>
      </c>
      <c r="E318" s="5" t="s">
        <v>2789</v>
      </c>
      <c r="F318" s="5" t="s">
        <v>2758</v>
      </c>
      <c r="G318" s="5">
        <v>1</v>
      </c>
      <c r="H318" s="5" t="s">
        <v>2864</v>
      </c>
      <c r="I318" s="5" t="str">
        <f>IF(INDEX(Manual_Review!$S$6:$S$238,U318)="","",INDEX(Manual_Review!$S$6:$S$238,U318))</f>
        <v/>
      </c>
      <c r="J318" s="5" t="str">
        <f t="shared" si="8"/>
        <v>AI provisional</v>
      </c>
      <c r="K318" s="5" t="str">
        <f t="shared" si="9"/>
        <v>U</v>
      </c>
      <c r="L318" s="5" t="s">
        <v>348</v>
      </c>
      <c r="M318" s="5" t="s">
        <v>3551</v>
      </c>
      <c r="N318" s="5" t="s">
        <v>3536</v>
      </c>
      <c r="O318" s="5" t="s">
        <v>2883</v>
      </c>
      <c r="P318" s="5" t="s">
        <v>2858</v>
      </c>
      <c r="Q318" s="11">
        <v>46306.5</v>
      </c>
      <c r="R318" s="6"/>
      <c r="S318" s="6"/>
      <c r="T318" s="6"/>
      <c r="U318" s="5">
        <f>MATCH(B318,Manual_Review!$A$6:$A$238,0)</f>
        <v>20</v>
      </c>
      <c r="V318" s="5" t="str">
        <f>IF(INDEX(Manual_Review!$G$6:$G$238,U318)="","",INDEX(Manual_Review!$G$6:$G$238,U318))</f>
        <v/>
      </c>
      <c r="W318" s="11" t="str">
        <f>IF(INDEX(Manual_Review!$H$6:$H$238,U318)="","",INDEX(Manual_Review!$H$6:$H$238,U318))</f>
        <v/>
      </c>
      <c r="X318" s="5" t="str">
        <f>IF(INDEX(Manual_Review!$I$6:$I$238,U318)="","",INDEX(Manual_Review!$I$6:$I$238,U318))</f>
        <v/>
      </c>
      <c r="Y318" s="5" t="s">
        <v>2859</v>
      </c>
    </row>
    <row r="319" spans="1:25" ht="38.25">
      <c r="A319" s="5" t="s">
        <v>3552</v>
      </c>
      <c r="B319" s="5" t="s">
        <v>340</v>
      </c>
      <c r="C319" s="5" t="s">
        <v>341</v>
      </c>
      <c r="D319" s="5" t="s">
        <v>118</v>
      </c>
      <c r="E319" s="5" t="s">
        <v>2790</v>
      </c>
      <c r="F319" s="5" t="s">
        <v>2760</v>
      </c>
      <c r="G319" s="5">
        <v>1</v>
      </c>
      <c r="H319" s="5" t="s">
        <v>2854</v>
      </c>
      <c r="I319" s="5" t="str">
        <f>IF(INDEX(Manual_Review!$T$6:$T$238,U319)="","",INDEX(Manual_Review!$T$6:$T$238,U319))</f>
        <v/>
      </c>
      <c r="J319" s="5" t="str">
        <f t="shared" si="8"/>
        <v>AI provisional</v>
      </c>
      <c r="K319" s="5" t="str">
        <f t="shared" si="9"/>
        <v>Y</v>
      </c>
      <c r="L319" s="5" t="s">
        <v>348</v>
      </c>
      <c r="M319" s="5" t="s">
        <v>3553</v>
      </c>
      <c r="N319" s="5" t="s">
        <v>3536</v>
      </c>
      <c r="O319" s="5" t="s">
        <v>2976</v>
      </c>
      <c r="P319" s="5" t="s">
        <v>2858</v>
      </c>
      <c r="Q319" s="11">
        <v>46306.5</v>
      </c>
      <c r="R319" s="6"/>
      <c r="S319" s="6"/>
      <c r="T319" s="6"/>
      <c r="U319" s="5">
        <f>MATCH(B319,Manual_Review!$A$6:$A$238,0)</f>
        <v>20</v>
      </c>
      <c r="V319" s="5" t="str">
        <f>IF(INDEX(Manual_Review!$G$6:$G$238,U319)="","",INDEX(Manual_Review!$G$6:$G$238,U319))</f>
        <v/>
      </c>
      <c r="W319" s="11" t="str">
        <f>IF(INDEX(Manual_Review!$H$6:$H$238,U319)="","",INDEX(Manual_Review!$H$6:$H$238,U319))</f>
        <v/>
      </c>
      <c r="X319" s="5" t="str">
        <f>IF(INDEX(Manual_Review!$I$6:$I$238,U319)="","",INDEX(Manual_Review!$I$6:$I$238,U319))</f>
        <v/>
      </c>
      <c r="Y319" s="5" t="s">
        <v>2859</v>
      </c>
    </row>
    <row r="320" spans="1:25" ht="38.25">
      <c r="A320" s="5" t="s">
        <v>3554</v>
      </c>
      <c r="B320" s="5" t="s">
        <v>340</v>
      </c>
      <c r="C320" s="5" t="s">
        <v>341</v>
      </c>
      <c r="D320" s="5" t="s">
        <v>118</v>
      </c>
      <c r="E320" s="5" t="s">
        <v>2791</v>
      </c>
      <c r="F320" s="5" t="s">
        <v>2760</v>
      </c>
      <c r="G320" s="5">
        <v>1</v>
      </c>
      <c r="H320" s="5" t="s">
        <v>2864</v>
      </c>
      <c r="I320" s="5" t="str">
        <f>IF(INDEX(Manual_Review!$U$6:$U$238,U320)="","",INDEX(Manual_Review!$U$6:$U$238,U320))</f>
        <v/>
      </c>
      <c r="J320" s="5" t="str">
        <f t="shared" si="8"/>
        <v>AI provisional</v>
      </c>
      <c r="K320" s="5" t="str">
        <f t="shared" si="9"/>
        <v>U</v>
      </c>
      <c r="L320" s="5" t="s">
        <v>348</v>
      </c>
      <c r="M320" s="5" t="s">
        <v>3555</v>
      </c>
      <c r="N320" s="5" t="s">
        <v>3536</v>
      </c>
      <c r="O320" s="5" t="s">
        <v>2888</v>
      </c>
      <c r="P320" s="5" t="s">
        <v>2858</v>
      </c>
      <c r="Q320" s="11">
        <v>46306.5</v>
      </c>
      <c r="R320" s="6"/>
      <c r="S320" s="6"/>
      <c r="T320" s="6"/>
      <c r="U320" s="5">
        <f>MATCH(B320,Manual_Review!$A$6:$A$238,0)</f>
        <v>20</v>
      </c>
      <c r="V320" s="5" t="str">
        <f>IF(INDEX(Manual_Review!$G$6:$G$238,U320)="","",INDEX(Manual_Review!$G$6:$G$238,U320))</f>
        <v/>
      </c>
      <c r="W320" s="11" t="str">
        <f>IF(INDEX(Manual_Review!$H$6:$H$238,U320)="","",INDEX(Manual_Review!$H$6:$H$238,U320))</f>
        <v/>
      </c>
      <c r="X320" s="5" t="str">
        <f>IF(INDEX(Manual_Review!$I$6:$I$238,U320)="","",INDEX(Manual_Review!$I$6:$I$238,U320))</f>
        <v/>
      </c>
      <c r="Y320" s="5" t="s">
        <v>2859</v>
      </c>
    </row>
    <row r="321" spans="1:25" ht="38.25">
      <c r="A321" s="5" t="s">
        <v>3556</v>
      </c>
      <c r="B321" s="5" t="s">
        <v>340</v>
      </c>
      <c r="C321" s="5" t="s">
        <v>341</v>
      </c>
      <c r="D321" s="5" t="s">
        <v>118</v>
      </c>
      <c r="E321" s="5" t="s">
        <v>2792</v>
      </c>
      <c r="F321" s="5" t="s">
        <v>2762</v>
      </c>
      <c r="G321" s="5">
        <v>1</v>
      </c>
      <c r="H321" s="5" t="s">
        <v>2854</v>
      </c>
      <c r="I321" s="5" t="str">
        <f>IF(INDEX(Manual_Review!$V$6:$V$238,U321)="","",INDEX(Manual_Review!$V$6:$V$238,U321))</f>
        <v/>
      </c>
      <c r="J321" s="5" t="str">
        <f t="shared" si="8"/>
        <v>AI provisional</v>
      </c>
      <c r="K321" s="5" t="str">
        <f t="shared" si="9"/>
        <v>Y</v>
      </c>
      <c r="L321" s="5" t="s">
        <v>348</v>
      </c>
      <c r="M321" s="5" t="s">
        <v>3557</v>
      </c>
      <c r="N321" s="5" t="s">
        <v>3536</v>
      </c>
      <c r="O321" s="5" t="s">
        <v>3152</v>
      </c>
      <c r="P321" s="5" t="s">
        <v>2858</v>
      </c>
      <c r="Q321" s="11">
        <v>46306.5</v>
      </c>
      <c r="R321" s="6"/>
      <c r="S321" s="6"/>
      <c r="T321" s="6"/>
      <c r="U321" s="5">
        <f>MATCH(B321,Manual_Review!$A$6:$A$238,0)</f>
        <v>20</v>
      </c>
      <c r="V321" s="5" t="str">
        <f>IF(INDEX(Manual_Review!$G$6:$G$238,U321)="","",INDEX(Manual_Review!$G$6:$G$238,U321))</f>
        <v/>
      </c>
      <c r="W321" s="11" t="str">
        <f>IF(INDEX(Manual_Review!$H$6:$H$238,U321)="","",INDEX(Manual_Review!$H$6:$H$238,U321))</f>
        <v/>
      </c>
      <c r="X321" s="5" t="str">
        <f>IF(INDEX(Manual_Review!$I$6:$I$238,U321)="","",INDEX(Manual_Review!$I$6:$I$238,U321))</f>
        <v/>
      </c>
      <c r="Y321" s="5" t="s">
        <v>2859</v>
      </c>
    </row>
    <row r="322" spans="1:25" ht="38.25">
      <c r="A322" s="5" t="s">
        <v>3558</v>
      </c>
      <c r="B322" s="5" t="s">
        <v>340</v>
      </c>
      <c r="C322" s="5" t="s">
        <v>341</v>
      </c>
      <c r="D322" s="5" t="s">
        <v>118</v>
      </c>
      <c r="E322" s="5" t="s">
        <v>2793</v>
      </c>
      <c r="F322" s="5" t="s">
        <v>2762</v>
      </c>
      <c r="G322" s="5">
        <v>1</v>
      </c>
      <c r="H322" s="5" t="s">
        <v>2854</v>
      </c>
      <c r="I322" s="5" t="str">
        <f>IF(INDEX(Manual_Review!$W$6:$W$238,U322)="","",INDEX(Manual_Review!$W$6:$W$238,U322))</f>
        <v/>
      </c>
      <c r="J322" s="5" t="str">
        <f t="shared" si="8"/>
        <v>AI provisional</v>
      </c>
      <c r="K322" s="5" t="str">
        <f t="shared" si="9"/>
        <v>Y</v>
      </c>
      <c r="L322" s="5" t="s">
        <v>348</v>
      </c>
      <c r="M322" s="5" t="s">
        <v>3559</v>
      </c>
      <c r="N322" s="5" t="s">
        <v>3536</v>
      </c>
      <c r="O322" s="5" t="s">
        <v>3077</v>
      </c>
      <c r="P322" s="5" t="s">
        <v>2858</v>
      </c>
      <c r="Q322" s="11">
        <v>46306.5</v>
      </c>
      <c r="R322" s="6"/>
      <c r="S322" s="6"/>
      <c r="T322" s="6"/>
      <c r="U322" s="5">
        <f>MATCH(B322,Manual_Review!$A$6:$A$238,0)</f>
        <v>20</v>
      </c>
      <c r="V322" s="5" t="str">
        <f>IF(INDEX(Manual_Review!$G$6:$G$238,U322)="","",INDEX(Manual_Review!$G$6:$G$238,U322))</f>
        <v/>
      </c>
      <c r="W322" s="11" t="str">
        <f>IF(INDEX(Manual_Review!$H$6:$H$238,U322)="","",INDEX(Manual_Review!$H$6:$H$238,U322))</f>
        <v/>
      </c>
      <c r="X322" s="5" t="str">
        <f>IF(INDEX(Manual_Review!$I$6:$I$238,U322)="","",INDEX(Manual_Review!$I$6:$I$238,U322))</f>
        <v/>
      </c>
      <c r="Y322" s="5" t="s">
        <v>2859</v>
      </c>
    </row>
    <row r="323" spans="1:25" ht="38.25">
      <c r="A323" s="5" t="s">
        <v>3560</v>
      </c>
      <c r="B323" s="5" t="s">
        <v>340</v>
      </c>
      <c r="C323" s="5" t="s">
        <v>341</v>
      </c>
      <c r="D323" s="5" t="s">
        <v>118</v>
      </c>
      <c r="E323" s="5" t="s">
        <v>2794</v>
      </c>
      <c r="F323" s="5" t="s">
        <v>2764</v>
      </c>
      <c r="G323" s="5">
        <v>1</v>
      </c>
      <c r="H323" s="5" t="s">
        <v>2854</v>
      </c>
      <c r="I323" s="5" t="str">
        <f>IF(INDEX(Manual_Review!$X$6:$X$238,U323)="","",INDEX(Manual_Review!$X$6:$X$238,U323))</f>
        <v/>
      </c>
      <c r="J323" s="5" t="str">
        <f t="shared" si="8"/>
        <v>AI provisional</v>
      </c>
      <c r="K323" s="5" t="str">
        <f t="shared" si="9"/>
        <v>Y</v>
      </c>
      <c r="L323" s="5" t="s">
        <v>348</v>
      </c>
      <c r="M323" s="5" t="s">
        <v>3561</v>
      </c>
      <c r="N323" s="5" t="s">
        <v>3536</v>
      </c>
      <c r="O323" s="5" t="s">
        <v>2984</v>
      </c>
      <c r="P323" s="5" t="s">
        <v>2858</v>
      </c>
      <c r="Q323" s="11">
        <v>46306.5</v>
      </c>
      <c r="R323" s="6"/>
      <c r="S323" s="6"/>
      <c r="T323" s="6"/>
      <c r="U323" s="5">
        <f>MATCH(B323,Manual_Review!$A$6:$A$238,0)</f>
        <v>20</v>
      </c>
      <c r="V323" s="5" t="str">
        <f>IF(INDEX(Manual_Review!$G$6:$G$238,U323)="","",INDEX(Manual_Review!$G$6:$G$238,U323))</f>
        <v/>
      </c>
      <c r="W323" s="11" t="str">
        <f>IF(INDEX(Manual_Review!$H$6:$H$238,U323)="","",INDEX(Manual_Review!$H$6:$H$238,U323))</f>
        <v/>
      </c>
      <c r="X323" s="5" t="str">
        <f>IF(INDEX(Manual_Review!$I$6:$I$238,U323)="","",INDEX(Manual_Review!$I$6:$I$238,U323))</f>
        <v/>
      </c>
      <c r="Y323" s="5" t="s">
        <v>2859</v>
      </c>
    </row>
    <row r="324" spans="1:25" ht="38.25">
      <c r="A324" s="5" t="s">
        <v>3562</v>
      </c>
      <c r="B324" s="5" t="s">
        <v>340</v>
      </c>
      <c r="C324" s="5" t="s">
        <v>341</v>
      </c>
      <c r="D324" s="5" t="s">
        <v>118</v>
      </c>
      <c r="E324" s="5" t="s">
        <v>2795</v>
      </c>
      <c r="F324" s="5" t="s">
        <v>2764</v>
      </c>
      <c r="G324" s="5">
        <v>1</v>
      </c>
      <c r="H324" s="5" t="s">
        <v>2864</v>
      </c>
      <c r="I324" s="5" t="str">
        <f>IF(INDEX(Manual_Review!$Y$6:$Y$238,U324)="","",INDEX(Manual_Review!$Y$6:$Y$238,U324))</f>
        <v/>
      </c>
      <c r="J324" s="5" t="str">
        <f t="shared" si="8"/>
        <v>AI provisional</v>
      </c>
      <c r="K324" s="5" t="str">
        <f t="shared" si="9"/>
        <v>U</v>
      </c>
      <c r="L324" s="5" t="s">
        <v>348</v>
      </c>
      <c r="M324" s="5" t="s">
        <v>3540</v>
      </c>
      <c r="N324" s="5" t="s">
        <v>3536</v>
      </c>
      <c r="O324" s="5" t="s">
        <v>2897</v>
      </c>
      <c r="P324" s="5" t="s">
        <v>2858</v>
      </c>
      <c r="Q324" s="11">
        <v>46306.5</v>
      </c>
      <c r="R324" s="6"/>
      <c r="S324" s="6"/>
      <c r="T324" s="6"/>
      <c r="U324" s="5">
        <f>MATCH(B324,Manual_Review!$A$6:$A$238,0)</f>
        <v>20</v>
      </c>
      <c r="V324" s="5" t="str">
        <f>IF(INDEX(Manual_Review!$G$6:$G$238,U324)="","",INDEX(Manual_Review!$G$6:$G$238,U324))</f>
        <v/>
      </c>
      <c r="W324" s="11" t="str">
        <f>IF(INDEX(Manual_Review!$H$6:$H$238,U324)="","",INDEX(Manual_Review!$H$6:$H$238,U324))</f>
        <v/>
      </c>
      <c r="X324" s="5" t="str">
        <f>IF(INDEX(Manual_Review!$I$6:$I$238,U324)="","",INDEX(Manual_Review!$I$6:$I$238,U324))</f>
        <v/>
      </c>
      <c r="Y324" s="5" t="s">
        <v>2859</v>
      </c>
    </row>
    <row r="325" spans="1:25" ht="38.25">
      <c r="A325" s="5" t="s">
        <v>3563</v>
      </c>
      <c r="B325" s="5" t="s">
        <v>340</v>
      </c>
      <c r="C325" s="5" t="s">
        <v>341</v>
      </c>
      <c r="D325" s="5" t="s">
        <v>118</v>
      </c>
      <c r="E325" s="5" t="s">
        <v>2796</v>
      </c>
      <c r="F325" s="5" t="s">
        <v>2764</v>
      </c>
      <c r="G325" s="5">
        <v>1</v>
      </c>
      <c r="H325" s="5" t="s">
        <v>2864</v>
      </c>
      <c r="I325" s="5" t="str">
        <f>IF(INDEX(Manual_Review!$Z$6:$Z$238,U325)="","",INDEX(Manual_Review!$Z$6:$Z$238,U325))</f>
        <v/>
      </c>
      <c r="J325" s="5" t="str">
        <f t="shared" si="8"/>
        <v>AI provisional</v>
      </c>
      <c r="K325" s="5" t="str">
        <f t="shared" si="9"/>
        <v>U</v>
      </c>
      <c r="L325" s="5" t="s">
        <v>348</v>
      </c>
      <c r="M325" s="5" t="s">
        <v>3564</v>
      </c>
      <c r="N325" s="5" t="s">
        <v>3536</v>
      </c>
      <c r="O325" s="5" t="s">
        <v>2899</v>
      </c>
      <c r="P325" s="5" t="s">
        <v>2858</v>
      </c>
      <c r="Q325" s="11">
        <v>46306.5</v>
      </c>
      <c r="R325" s="6"/>
      <c r="S325" s="6"/>
      <c r="T325" s="6"/>
      <c r="U325" s="5">
        <f>MATCH(B325,Manual_Review!$A$6:$A$238,0)</f>
        <v>20</v>
      </c>
      <c r="V325" s="5" t="str">
        <f>IF(INDEX(Manual_Review!$G$6:$G$238,U325)="","",INDEX(Manual_Review!$G$6:$G$238,U325))</f>
        <v/>
      </c>
      <c r="W325" s="11" t="str">
        <f>IF(INDEX(Manual_Review!$H$6:$H$238,U325)="","",INDEX(Manual_Review!$H$6:$H$238,U325))</f>
        <v/>
      </c>
      <c r="X325" s="5" t="str">
        <f>IF(INDEX(Manual_Review!$I$6:$I$238,U325)="","",INDEX(Manual_Review!$I$6:$I$238,U325))</f>
        <v/>
      </c>
      <c r="Y325" s="5" t="s">
        <v>2859</v>
      </c>
    </row>
    <row r="326" spans="1:25" ht="25.5">
      <c r="A326" s="5" t="s">
        <v>3565</v>
      </c>
      <c r="B326" s="5" t="s">
        <v>350</v>
      </c>
      <c r="C326" s="5" t="s">
        <v>351</v>
      </c>
      <c r="D326" s="5" t="s">
        <v>118</v>
      </c>
      <c r="E326" s="5" t="s">
        <v>2781</v>
      </c>
      <c r="F326" s="5" t="s">
        <v>2754</v>
      </c>
      <c r="G326" s="5">
        <v>1</v>
      </c>
      <c r="H326" s="5" t="s">
        <v>2854</v>
      </c>
      <c r="I326" s="5" t="str">
        <f>IF(INDEX(Manual_Review!$K$6:$K$238,U326)="","",INDEX(Manual_Review!$K$6:$K$238,U326))</f>
        <v/>
      </c>
      <c r="J326" s="5" t="str">
        <f t="shared" ref="J326:J389" si="10">IF(G326=0,"Not applicable",IF(I326="","AI provisional",IF(AND(OR(I326="Y",I326="N",I326="U",I326="X"),V326&lt;&gt;"",ISNUMBER(W326),W326&gt;0,X326="Confirmed",R326&lt;&gt;"",S326&lt;&gt;"",T326&lt;&gt;""),"Human valid","Evidence needed")))</f>
        <v>AI provisional</v>
      </c>
      <c r="K326" s="5" t="str">
        <f t="shared" ref="K326:K389" si="11">IF(G326=0,"N/A",IF(I326="",H326,IF(J326="Human valid",I326,"U")))</f>
        <v>Y</v>
      </c>
      <c r="L326" s="5" t="s">
        <v>358</v>
      </c>
      <c r="M326" s="5" t="s">
        <v>3566</v>
      </c>
      <c r="N326" s="5" t="s">
        <v>3567</v>
      </c>
      <c r="O326" s="5" t="s">
        <v>2857</v>
      </c>
      <c r="P326" s="5" t="s">
        <v>2858</v>
      </c>
      <c r="Q326" s="11">
        <v>46306.5</v>
      </c>
      <c r="R326" s="6"/>
      <c r="S326" s="6"/>
      <c r="T326" s="6"/>
      <c r="U326" s="5">
        <f>MATCH(B326,Manual_Review!$A$6:$A$238,0)</f>
        <v>21</v>
      </c>
      <c r="V326" s="5" t="str">
        <f>IF(INDEX(Manual_Review!$G$6:$G$238,U326)="","",INDEX(Manual_Review!$G$6:$G$238,U326))</f>
        <v/>
      </c>
      <c r="W326" s="11" t="str">
        <f>IF(INDEX(Manual_Review!$H$6:$H$238,U326)="","",INDEX(Manual_Review!$H$6:$H$238,U326))</f>
        <v/>
      </c>
      <c r="X326" s="5" t="str">
        <f>IF(INDEX(Manual_Review!$I$6:$I$238,U326)="","",INDEX(Manual_Review!$I$6:$I$238,U326))</f>
        <v/>
      </c>
      <c r="Y326" s="5" t="s">
        <v>2859</v>
      </c>
    </row>
    <row r="327" spans="1:25" ht="25.5">
      <c r="A327" s="5" t="s">
        <v>3568</v>
      </c>
      <c r="B327" s="5" t="s">
        <v>350</v>
      </c>
      <c r="C327" s="5" t="s">
        <v>351</v>
      </c>
      <c r="D327" s="5" t="s">
        <v>118</v>
      </c>
      <c r="E327" s="5" t="s">
        <v>2782</v>
      </c>
      <c r="F327" s="5" t="s">
        <v>2754</v>
      </c>
      <c r="G327" s="5">
        <v>1</v>
      </c>
      <c r="H327" s="5" t="s">
        <v>2854</v>
      </c>
      <c r="I327" s="5" t="str">
        <f>IF(INDEX(Manual_Review!$L$6:$L$238,U327)="","",INDEX(Manual_Review!$L$6:$L$238,U327))</f>
        <v/>
      </c>
      <c r="J327" s="5" t="str">
        <f t="shared" si="10"/>
        <v>AI provisional</v>
      </c>
      <c r="K327" s="5" t="str">
        <f t="shared" si="11"/>
        <v>Y</v>
      </c>
      <c r="L327" s="5" t="s">
        <v>358</v>
      </c>
      <c r="M327" s="5" t="s">
        <v>3569</v>
      </c>
      <c r="N327" s="5" t="s">
        <v>3567</v>
      </c>
      <c r="O327" s="5" t="s">
        <v>2862</v>
      </c>
      <c r="P327" s="5" t="s">
        <v>2858</v>
      </c>
      <c r="Q327" s="11">
        <v>46306.5</v>
      </c>
      <c r="R327" s="6"/>
      <c r="S327" s="6"/>
      <c r="T327" s="6"/>
      <c r="U327" s="5">
        <f>MATCH(B327,Manual_Review!$A$6:$A$238,0)</f>
        <v>21</v>
      </c>
      <c r="V327" s="5" t="str">
        <f>IF(INDEX(Manual_Review!$G$6:$G$238,U327)="","",INDEX(Manual_Review!$G$6:$G$238,U327))</f>
        <v/>
      </c>
      <c r="W327" s="11" t="str">
        <f>IF(INDEX(Manual_Review!$H$6:$H$238,U327)="","",INDEX(Manual_Review!$H$6:$H$238,U327))</f>
        <v/>
      </c>
      <c r="X327" s="5" t="str">
        <f>IF(INDEX(Manual_Review!$I$6:$I$238,U327)="","",INDEX(Manual_Review!$I$6:$I$238,U327))</f>
        <v/>
      </c>
      <c r="Y327" s="5" t="s">
        <v>2859</v>
      </c>
    </row>
    <row r="328" spans="1:25" ht="25.5">
      <c r="A328" s="5" t="s">
        <v>3570</v>
      </c>
      <c r="B328" s="5" t="s">
        <v>350</v>
      </c>
      <c r="C328" s="5" t="s">
        <v>351</v>
      </c>
      <c r="D328" s="5" t="s">
        <v>118</v>
      </c>
      <c r="E328" s="5" t="s">
        <v>2783</v>
      </c>
      <c r="F328" s="5" t="s">
        <v>2754</v>
      </c>
      <c r="G328" s="5">
        <v>1</v>
      </c>
      <c r="H328" s="5" t="s">
        <v>2864</v>
      </c>
      <c r="I328" s="5" t="str">
        <f>IF(INDEX(Manual_Review!$M$6:$M$238,U328)="","",INDEX(Manual_Review!$M$6:$M$238,U328))</f>
        <v/>
      </c>
      <c r="J328" s="5" t="str">
        <f t="shared" si="10"/>
        <v>AI provisional</v>
      </c>
      <c r="K328" s="5" t="str">
        <f t="shared" si="11"/>
        <v>U</v>
      </c>
      <c r="L328" s="5" t="s">
        <v>358</v>
      </c>
      <c r="M328" s="5" t="s">
        <v>3571</v>
      </c>
      <c r="N328" s="5" t="s">
        <v>3567</v>
      </c>
      <c r="O328" s="5" t="s">
        <v>2866</v>
      </c>
      <c r="P328" s="5" t="s">
        <v>2858</v>
      </c>
      <c r="Q328" s="11">
        <v>46306.5</v>
      </c>
      <c r="R328" s="6"/>
      <c r="S328" s="6"/>
      <c r="T328" s="6"/>
      <c r="U328" s="5">
        <f>MATCH(B328,Manual_Review!$A$6:$A$238,0)</f>
        <v>21</v>
      </c>
      <c r="V328" s="5" t="str">
        <f>IF(INDEX(Manual_Review!$G$6:$G$238,U328)="","",INDEX(Manual_Review!$G$6:$G$238,U328))</f>
        <v/>
      </c>
      <c r="W328" s="11" t="str">
        <f>IF(INDEX(Manual_Review!$H$6:$H$238,U328)="","",INDEX(Manual_Review!$H$6:$H$238,U328))</f>
        <v/>
      </c>
      <c r="X328" s="5" t="str">
        <f>IF(INDEX(Manual_Review!$I$6:$I$238,U328)="","",INDEX(Manual_Review!$I$6:$I$238,U328))</f>
        <v/>
      </c>
      <c r="Y328" s="5" t="s">
        <v>2859</v>
      </c>
    </row>
    <row r="329" spans="1:25" ht="25.5">
      <c r="A329" s="5" t="s">
        <v>3572</v>
      </c>
      <c r="B329" s="5" t="s">
        <v>350</v>
      </c>
      <c r="C329" s="5" t="s">
        <v>351</v>
      </c>
      <c r="D329" s="5" t="s">
        <v>118</v>
      </c>
      <c r="E329" s="5" t="s">
        <v>2784</v>
      </c>
      <c r="F329" s="5" t="s">
        <v>2756</v>
      </c>
      <c r="G329" s="5">
        <v>1</v>
      </c>
      <c r="H329" s="5" t="s">
        <v>2854</v>
      </c>
      <c r="I329" s="5" t="str">
        <f>IF(INDEX(Manual_Review!$N$6:$N$238,U329)="","",INDEX(Manual_Review!$N$6:$N$238,U329))</f>
        <v/>
      </c>
      <c r="J329" s="5" t="str">
        <f t="shared" si="10"/>
        <v>AI provisional</v>
      </c>
      <c r="K329" s="5" t="str">
        <f t="shared" si="11"/>
        <v>Y</v>
      </c>
      <c r="L329" s="5" t="s">
        <v>358</v>
      </c>
      <c r="M329" s="5" t="s">
        <v>3573</v>
      </c>
      <c r="N329" s="5" t="s">
        <v>3567</v>
      </c>
      <c r="O329" s="5" t="s">
        <v>2963</v>
      </c>
      <c r="P329" s="5" t="s">
        <v>2858</v>
      </c>
      <c r="Q329" s="11">
        <v>46306.5</v>
      </c>
      <c r="R329" s="6"/>
      <c r="S329" s="6"/>
      <c r="T329" s="6"/>
      <c r="U329" s="5">
        <f>MATCH(B329,Manual_Review!$A$6:$A$238,0)</f>
        <v>21</v>
      </c>
      <c r="V329" s="5" t="str">
        <f>IF(INDEX(Manual_Review!$G$6:$G$238,U329)="","",INDEX(Manual_Review!$G$6:$G$238,U329))</f>
        <v/>
      </c>
      <c r="W329" s="11" t="str">
        <f>IF(INDEX(Manual_Review!$H$6:$H$238,U329)="","",INDEX(Manual_Review!$H$6:$H$238,U329))</f>
        <v/>
      </c>
      <c r="X329" s="5" t="str">
        <f>IF(INDEX(Manual_Review!$I$6:$I$238,U329)="","",INDEX(Manual_Review!$I$6:$I$238,U329))</f>
        <v/>
      </c>
      <c r="Y329" s="5" t="s">
        <v>2859</v>
      </c>
    </row>
    <row r="330" spans="1:25" ht="25.5">
      <c r="A330" s="5" t="s">
        <v>3574</v>
      </c>
      <c r="B330" s="5" t="s">
        <v>350</v>
      </c>
      <c r="C330" s="5" t="s">
        <v>351</v>
      </c>
      <c r="D330" s="5" t="s">
        <v>118</v>
      </c>
      <c r="E330" s="5" t="s">
        <v>2785</v>
      </c>
      <c r="F330" s="5" t="s">
        <v>2756</v>
      </c>
      <c r="G330" s="5">
        <v>1</v>
      </c>
      <c r="H330" s="5" t="s">
        <v>2864</v>
      </c>
      <c r="I330" s="5" t="str">
        <f>IF(INDEX(Manual_Review!$O$6:$O$238,U330)="","",INDEX(Manual_Review!$O$6:$O$238,U330))</f>
        <v/>
      </c>
      <c r="J330" s="5" t="str">
        <f t="shared" si="10"/>
        <v>AI provisional</v>
      </c>
      <c r="K330" s="5" t="str">
        <f t="shared" si="11"/>
        <v>U</v>
      </c>
      <c r="L330" s="5" t="s">
        <v>358</v>
      </c>
      <c r="M330" s="5" t="s">
        <v>3575</v>
      </c>
      <c r="N330" s="5" t="s">
        <v>3567</v>
      </c>
      <c r="O330" s="5" t="s">
        <v>2872</v>
      </c>
      <c r="P330" s="5" t="s">
        <v>2858</v>
      </c>
      <c r="Q330" s="11">
        <v>46306.5</v>
      </c>
      <c r="R330" s="6"/>
      <c r="S330" s="6"/>
      <c r="T330" s="6"/>
      <c r="U330" s="5">
        <f>MATCH(B330,Manual_Review!$A$6:$A$238,0)</f>
        <v>21</v>
      </c>
      <c r="V330" s="5" t="str">
        <f>IF(INDEX(Manual_Review!$G$6:$G$238,U330)="","",INDEX(Manual_Review!$G$6:$G$238,U330))</f>
        <v/>
      </c>
      <c r="W330" s="11" t="str">
        <f>IF(INDEX(Manual_Review!$H$6:$H$238,U330)="","",INDEX(Manual_Review!$H$6:$H$238,U330))</f>
        <v/>
      </c>
      <c r="X330" s="5" t="str">
        <f>IF(INDEX(Manual_Review!$I$6:$I$238,U330)="","",INDEX(Manual_Review!$I$6:$I$238,U330))</f>
        <v/>
      </c>
      <c r="Y330" s="5" t="s">
        <v>2859</v>
      </c>
    </row>
    <row r="331" spans="1:25" ht="25.5">
      <c r="A331" s="5" t="s">
        <v>3576</v>
      </c>
      <c r="B331" s="5" t="s">
        <v>350</v>
      </c>
      <c r="C331" s="5" t="s">
        <v>351</v>
      </c>
      <c r="D331" s="5" t="s">
        <v>118</v>
      </c>
      <c r="E331" s="5" t="s">
        <v>2786</v>
      </c>
      <c r="F331" s="5" t="s">
        <v>2756</v>
      </c>
      <c r="G331" s="5">
        <v>1</v>
      </c>
      <c r="H331" s="5" t="s">
        <v>2864</v>
      </c>
      <c r="I331" s="5" t="str">
        <f>IF(INDEX(Manual_Review!$P$6:$P$238,U331)="","",INDEX(Manual_Review!$P$6:$P$238,U331))</f>
        <v/>
      </c>
      <c r="J331" s="5" t="str">
        <f t="shared" si="10"/>
        <v>AI provisional</v>
      </c>
      <c r="K331" s="5" t="str">
        <f t="shared" si="11"/>
        <v>U</v>
      </c>
      <c r="L331" s="5" t="s">
        <v>358</v>
      </c>
      <c r="M331" s="5" t="s">
        <v>3571</v>
      </c>
      <c r="N331" s="5" t="s">
        <v>3567</v>
      </c>
      <c r="O331" s="5" t="s">
        <v>2874</v>
      </c>
      <c r="P331" s="5" t="s">
        <v>2858</v>
      </c>
      <c r="Q331" s="11">
        <v>46306.5</v>
      </c>
      <c r="R331" s="6"/>
      <c r="S331" s="6"/>
      <c r="T331" s="6"/>
      <c r="U331" s="5">
        <f>MATCH(B331,Manual_Review!$A$6:$A$238,0)</f>
        <v>21</v>
      </c>
      <c r="V331" s="5" t="str">
        <f>IF(INDEX(Manual_Review!$G$6:$G$238,U331)="","",INDEX(Manual_Review!$G$6:$G$238,U331))</f>
        <v/>
      </c>
      <c r="W331" s="11" t="str">
        <f>IF(INDEX(Manual_Review!$H$6:$H$238,U331)="","",INDEX(Manual_Review!$H$6:$H$238,U331))</f>
        <v/>
      </c>
      <c r="X331" s="5" t="str">
        <f>IF(INDEX(Manual_Review!$I$6:$I$238,U331)="","",INDEX(Manual_Review!$I$6:$I$238,U331))</f>
        <v/>
      </c>
      <c r="Y331" s="5" t="s">
        <v>2859</v>
      </c>
    </row>
    <row r="332" spans="1:25" ht="25.5">
      <c r="A332" s="5" t="s">
        <v>3577</v>
      </c>
      <c r="B332" s="5" t="s">
        <v>350</v>
      </c>
      <c r="C332" s="5" t="s">
        <v>351</v>
      </c>
      <c r="D332" s="5" t="s">
        <v>118</v>
      </c>
      <c r="E332" s="5" t="s">
        <v>2787</v>
      </c>
      <c r="F332" s="5" t="s">
        <v>2758</v>
      </c>
      <c r="G332" s="5">
        <v>1</v>
      </c>
      <c r="H332" s="5" t="s">
        <v>2854</v>
      </c>
      <c r="I332" s="5" t="str">
        <f>IF(INDEX(Manual_Review!$Q$6:$Q$238,U332)="","",INDEX(Manual_Review!$Q$6:$Q$238,U332))</f>
        <v/>
      </c>
      <c r="J332" s="5" t="str">
        <f t="shared" si="10"/>
        <v>AI provisional</v>
      </c>
      <c r="K332" s="5" t="str">
        <f t="shared" si="11"/>
        <v>Y</v>
      </c>
      <c r="L332" s="5" t="s">
        <v>358</v>
      </c>
      <c r="M332" s="5" t="s">
        <v>3578</v>
      </c>
      <c r="N332" s="5" t="s">
        <v>3567</v>
      </c>
      <c r="O332" s="5" t="s">
        <v>2969</v>
      </c>
      <c r="P332" s="5" t="s">
        <v>2858</v>
      </c>
      <c r="Q332" s="11">
        <v>46306.5</v>
      </c>
      <c r="R332" s="6"/>
      <c r="S332" s="6"/>
      <c r="T332" s="6"/>
      <c r="U332" s="5">
        <f>MATCH(B332,Manual_Review!$A$6:$A$238,0)</f>
        <v>21</v>
      </c>
      <c r="V332" s="5" t="str">
        <f>IF(INDEX(Manual_Review!$G$6:$G$238,U332)="","",INDEX(Manual_Review!$G$6:$G$238,U332))</f>
        <v/>
      </c>
      <c r="W332" s="11" t="str">
        <f>IF(INDEX(Manual_Review!$H$6:$H$238,U332)="","",INDEX(Manual_Review!$H$6:$H$238,U332))</f>
        <v/>
      </c>
      <c r="X332" s="5" t="str">
        <f>IF(INDEX(Manual_Review!$I$6:$I$238,U332)="","",INDEX(Manual_Review!$I$6:$I$238,U332))</f>
        <v/>
      </c>
      <c r="Y332" s="5" t="s">
        <v>2859</v>
      </c>
    </row>
    <row r="333" spans="1:25" ht="25.5">
      <c r="A333" s="5" t="s">
        <v>3579</v>
      </c>
      <c r="B333" s="5" t="s">
        <v>350</v>
      </c>
      <c r="C333" s="5" t="s">
        <v>351</v>
      </c>
      <c r="D333" s="5" t="s">
        <v>118</v>
      </c>
      <c r="E333" s="5" t="s">
        <v>2788</v>
      </c>
      <c r="F333" s="5" t="s">
        <v>2758</v>
      </c>
      <c r="G333" s="5">
        <v>1</v>
      </c>
      <c r="H333" s="5" t="s">
        <v>2864</v>
      </c>
      <c r="I333" s="5" t="str">
        <f>IF(INDEX(Manual_Review!$R$6:$R$238,U333)="","",INDEX(Manual_Review!$R$6:$R$238,U333))</f>
        <v/>
      </c>
      <c r="J333" s="5" t="str">
        <f t="shared" si="10"/>
        <v>AI provisional</v>
      </c>
      <c r="K333" s="5" t="str">
        <f t="shared" si="11"/>
        <v>U</v>
      </c>
      <c r="L333" s="5" t="s">
        <v>358</v>
      </c>
      <c r="M333" s="5" t="s">
        <v>3580</v>
      </c>
      <c r="N333" s="5" t="s">
        <v>3567</v>
      </c>
      <c r="O333" s="5" t="s">
        <v>2880</v>
      </c>
      <c r="P333" s="5" t="s">
        <v>2858</v>
      </c>
      <c r="Q333" s="11">
        <v>46306.5</v>
      </c>
      <c r="R333" s="6"/>
      <c r="S333" s="6"/>
      <c r="T333" s="6"/>
      <c r="U333" s="5">
        <f>MATCH(B333,Manual_Review!$A$6:$A$238,0)</f>
        <v>21</v>
      </c>
      <c r="V333" s="5" t="str">
        <f>IF(INDEX(Manual_Review!$G$6:$G$238,U333)="","",INDEX(Manual_Review!$G$6:$G$238,U333))</f>
        <v/>
      </c>
      <c r="W333" s="11" t="str">
        <f>IF(INDEX(Manual_Review!$H$6:$H$238,U333)="","",INDEX(Manual_Review!$H$6:$H$238,U333))</f>
        <v/>
      </c>
      <c r="X333" s="5" t="str">
        <f>IF(INDEX(Manual_Review!$I$6:$I$238,U333)="","",INDEX(Manual_Review!$I$6:$I$238,U333))</f>
        <v/>
      </c>
      <c r="Y333" s="5" t="s">
        <v>2859</v>
      </c>
    </row>
    <row r="334" spans="1:25" ht="25.5">
      <c r="A334" s="5" t="s">
        <v>3581</v>
      </c>
      <c r="B334" s="5" t="s">
        <v>350</v>
      </c>
      <c r="C334" s="5" t="s">
        <v>351</v>
      </c>
      <c r="D334" s="5" t="s">
        <v>118</v>
      </c>
      <c r="E334" s="5" t="s">
        <v>2789</v>
      </c>
      <c r="F334" s="5" t="s">
        <v>2758</v>
      </c>
      <c r="G334" s="5">
        <v>1</v>
      </c>
      <c r="H334" s="5" t="s">
        <v>2864</v>
      </c>
      <c r="I334" s="5" t="str">
        <f>IF(INDEX(Manual_Review!$S$6:$S$238,U334)="","",INDEX(Manual_Review!$S$6:$S$238,U334))</f>
        <v/>
      </c>
      <c r="J334" s="5" t="str">
        <f t="shared" si="10"/>
        <v>AI provisional</v>
      </c>
      <c r="K334" s="5" t="str">
        <f t="shared" si="11"/>
        <v>U</v>
      </c>
      <c r="L334" s="5" t="s">
        <v>358</v>
      </c>
      <c r="M334" s="5" t="s">
        <v>3582</v>
      </c>
      <c r="N334" s="5" t="s">
        <v>3567</v>
      </c>
      <c r="O334" s="5" t="s">
        <v>2883</v>
      </c>
      <c r="P334" s="5" t="s">
        <v>2858</v>
      </c>
      <c r="Q334" s="11">
        <v>46306.5</v>
      </c>
      <c r="R334" s="6"/>
      <c r="S334" s="6"/>
      <c r="T334" s="6"/>
      <c r="U334" s="5">
        <f>MATCH(B334,Manual_Review!$A$6:$A$238,0)</f>
        <v>21</v>
      </c>
      <c r="V334" s="5" t="str">
        <f>IF(INDEX(Manual_Review!$G$6:$G$238,U334)="","",INDEX(Manual_Review!$G$6:$G$238,U334))</f>
        <v/>
      </c>
      <c r="W334" s="11" t="str">
        <f>IF(INDEX(Manual_Review!$H$6:$H$238,U334)="","",INDEX(Manual_Review!$H$6:$H$238,U334))</f>
        <v/>
      </c>
      <c r="X334" s="5" t="str">
        <f>IF(INDEX(Manual_Review!$I$6:$I$238,U334)="","",INDEX(Manual_Review!$I$6:$I$238,U334))</f>
        <v/>
      </c>
      <c r="Y334" s="5" t="s">
        <v>2859</v>
      </c>
    </row>
    <row r="335" spans="1:25" ht="25.5">
      <c r="A335" s="5" t="s">
        <v>3583</v>
      </c>
      <c r="B335" s="5" t="s">
        <v>350</v>
      </c>
      <c r="C335" s="5" t="s">
        <v>351</v>
      </c>
      <c r="D335" s="5" t="s">
        <v>118</v>
      </c>
      <c r="E335" s="5" t="s">
        <v>2790</v>
      </c>
      <c r="F335" s="5" t="s">
        <v>2760</v>
      </c>
      <c r="G335" s="5">
        <v>1</v>
      </c>
      <c r="H335" s="5" t="s">
        <v>2854</v>
      </c>
      <c r="I335" s="5" t="str">
        <f>IF(INDEX(Manual_Review!$T$6:$T$238,U335)="","",INDEX(Manual_Review!$T$6:$T$238,U335))</f>
        <v/>
      </c>
      <c r="J335" s="5" t="str">
        <f t="shared" si="10"/>
        <v>AI provisional</v>
      </c>
      <c r="K335" s="5" t="str">
        <f t="shared" si="11"/>
        <v>Y</v>
      </c>
      <c r="L335" s="5" t="s">
        <v>358</v>
      </c>
      <c r="M335" s="5" t="s">
        <v>3584</v>
      </c>
      <c r="N335" s="5" t="s">
        <v>3567</v>
      </c>
      <c r="O335" s="5" t="s">
        <v>2976</v>
      </c>
      <c r="P335" s="5" t="s">
        <v>2858</v>
      </c>
      <c r="Q335" s="11">
        <v>46306.5</v>
      </c>
      <c r="R335" s="6"/>
      <c r="S335" s="6"/>
      <c r="T335" s="6"/>
      <c r="U335" s="5">
        <f>MATCH(B335,Manual_Review!$A$6:$A$238,0)</f>
        <v>21</v>
      </c>
      <c r="V335" s="5" t="str">
        <f>IF(INDEX(Manual_Review!$G$6:$G$238,U335)="","",INDEX(Manual_Review!$G$6:$G$238,U335))</f>
        <v/>
      </c>
      <c r="W335" s="11" t="str">
        <f>IF(INDEX(Manual_Review!$H$6:$H$238,U335)="","",INDEX(Manual_Review!$H$6:$H$238,U335))</f>
        <v/>
      </c>
      <c r="X335" s="5" t="str">
        <f>IF(INDEX(Manual_Review!$I$6:$I$238,U335)="","",INDEX(Manual_Review!$I$6:$I$238,U335))</f>
        <v/>
      </c>
      <c r="Y335" s="5" t="s">
        <v>2859</v>
      </c>
    </row>
    <row r="336" spans="1:25" ht="25.5">
      <c r="A336" s="5" t="s">
        <v>3585</v>
      </c>
      <c r="B336" s="5" t="s">
        <v>350</v>
      </c>
      <c r="C336" s="5" t="s">
        <v>351</v>
      </c>
      <c r="D336" s="5" t="s">
        <v>118</v>
      </c>
      <c r="E336" s="5" t="s">
        <v>2791</v>
      </c>
      <c r="F336" s="5" t="s">
        <v>2760</v>
      </c>
      <c r="G336" s="5">
        <v>1</v>
      </c>
      <c r="H336" s="5" t="s">
        <v>2854</v>
      </c>
      <c r="I336" s="5" t="str">
        <f>IF(INDEX(Manual_Review!$U$6:$U$238,U336)="","",INDEX(Manual_Review!$U$6:$U$238,U336))</f>
        <v/>
      </c>
      <c r="J336" s="5" t="str">
        <f t="shared" si="10"/>
        <v>AI provisional</v>
      </c>
      <c r="K336" s="5" t="str">
        <f t="shared" si="11"/>
        <v>Y</v>
      </c>
      <c r="L336" s="5" t="s">
        <v>358</v>
      </c>
      <c r="M336" s="5" t="s">
        <v>3586</v>
      </c>
      <c r="N336" s="5" t="s">
        <v>3567</v>
      </c>
      <c r="O336" s="5" t="s">
        <v>3380</v>
      </c>
      <c r="P336" s="5" t="s">
        <v>2858</v>
      </c>
      <c r="Q336" s="11">
        <v>46306.5</v>
      </c>
      <c r="R336" s="6"/>
      <c r="S336" s="6"/>
      <c r="T336" s="6"/>
      <c r="U336" s="5">
        <f>MATCH(B336,Manual_Review!$A$6:$A$238,0)</f>
        <v>21</v>
      </c>
      <c r="V336" s="5" t="str">
        <f>IF(INDEX(Manual_Review!$G$6:$G$238,U336)="","",INDEX(Manual_Review!$G$6:$G$238,U336))</f>
        <v/>
      </c>
      <c r="W336" s="11" t="str">
        <f>IF(INDEX(Manual_Review!$H$6:$H$238,U336)="","",INDEX(Manual_Review!$H$6:$H$238,U336))</f>
        <v/>
      </c>
      <c r="X336" s="5" t="str">
        <f>IF(INDEX(Manual_Review!$I$6:$I$238,U336)="","",INDEX(Manual_Review!$I$6:$I$238,U336))</f>
        <v/>
      </c>
      <c r="Y336" s="5" t="s">
        <v>2859</v>
      </c>
    </row>
    <row r="337" spans="1:25" ht="25.5">
      <c r="A337" s="5" t="s">
        <v>3587</v>
      </c>
      <c r="B337" s="5" t="s">
        <v>350</v>
      </c>
      <c r="C337" s="5" t="s">
        <v>351</v>
      </c>
      <c r="D337" s="5" t="s">
        <v>118</v>
      </c>
      <c r="E337" s="5" t="s">
        <v>2792</v>
      </c>
      <c r="F337" s="5" t="s">
        <v>2762</v>
      </c>
      <c r="G337" s="5">
        <v>1</v>
      </c>
      <c r="H337" s="5" t="s">
        <v>2854</v>
      </c>
      <c r="I337" s="5" t="str">
        <f>IF(INDEX(Manual_Review!$V$6:$V$238,U337)="","",INDEX(Manual_Review!$V$6:$V$238,U337))</f>
        <v/>
      </c>
      <c r="J337" s="5" t="str">
        <f t="shared" si="10"/>
        <v>AI provisional</v>
      </c>
      <c r="K337" s="5" t="str">
        <f t="shared" si="11"/>
        <v>Y</v>
      </c>
      <c r="L337" s="5" t="s">
        <v>358</v>
      </c>
      <c r="M337" s="5" t="s">
        <v>3588</v>
      </c>
      <c r="N337" s="5" t="s">
        <v>3567</v>
      </c>
      <c r="O337" s="5" t="s">
        <v>3152</v>
      </c>
      <c r="P337" s="5" t="s">
        <v>2858</v>
      </c>
      <c r="Q337" s="11">
        <v>46306.5</v>
      </c>
      <c r="R337" s="6"/>
      <c r="S337" s="6"/>
      <c r="T337" s="6"/>
      <c r="U337" s="5">
        <f>MATCH(B337,Manual_Review!$A$6:$A$238,0)</f>
        <v>21</v>
      </c>
      <c r="V337" s="5" t="str">
        <f>IF(INDEX(Manual_Review!$G$6:$G$238,U337)="","",INDEX(Manual_Review!$G$6:$G$238,U337))</f>
        <v/>
      </c>
      <c r="W337" s="11" t="str">
        <f>IF(INDEX(Manual_Review!$H$6:$H$238,U337)="","",INDEX(Manual_Review!$H$6:$H$238,U337))</f>
        <v/>
      </c>
      <c r="X337" s="5" t="str">
        <f>IF(INDEX(Manual_Review!$I$6:$I$238,U337)="","",INDEX(Manual_Review!$I$6:$I$238,U337))</f>
        <v/>
      </c>
      <c r="Y337" s="5" t="s">
        <v>2859</v>
      </c>
    </row>
    <row r="338" spans="1:25" ht="25.5">
      <c r="A338" s="5" t="s">
        <v>3589</v>
      </c>
      <c r="B338" s="5" t="s">
        <v>350</v>
      </c>
      <c r="C338" s="5" t="s">
        <v>351</v>
      </c>
      <c r="D338" s="5" t="s">
        <v>118</v>
      </c>
      <c r="E338" s="5" t="s">
        <v>2793</v>
      </c>
      <c r="F338" s="5" t="s">
        <v>2762</v>
      </c>
      <c r="G338" s="5">
        <v>1</v>
      </c>
      <c r="H338" s="5" t="s">
        <v>2864</v>
      </c>
      <c r="I338" s="5" t="str">
        <f>IF(INDEX(Manual_Review!$W$6:$W$238,U338)="","",INDEX(Manual_Review!$W$6:$W$238,U338))</f>
        <v/>
      </c>
      <c r="J338" s="5" t="str">
        <f t="shared" si="10"/>
        <v>AI provisional</v>
      </c>
      <c r="K338" s="5" t="str">
        <f t="shared" si="11"/>
        <v>U</v>
      </c>
      <c r="L338" s="5" t="s">
        <v>358</v>
      </c>
      <c r="M338" s="5" t="s">
        <v>3590</v>
      </c>
      <c r="N338" s="5" t="s">
        <v>3567</v>
      </c>
      <c r="O338" s="5" t="s">
        <v>2893</v>
      </c>
      <c r="P338" s="5" t="s">
        <v>2858</v>
      </c>
      <c r="Q338" s="11">
        <v>46306.5</v>
      </c>
      <c r="R338" s="6"/>
      <c r="S338" s="6"/>
      <c r="T338" s="6"/>
      <c r="U338" s="5">
        <f>MATCH(B338,Manual_Review!$A$6:$A$238,0)</f>
        <v>21</v>
      </c>
      <c r="V338" s="5" t="str">
        <f>IF(INDEX(Manual_Review!$G$6:$G$238,U338)="","",INDEX(Manual_Review!$G$6:$G$238,U338))</f>
        <v/>
      </c>
      <c r="W338" s="11" t="str">
        <f>IF(INDEX(Manual_Review!$H$6:$H$238,U338)="","",INDEX(Manual_Review!$H$6:$H$238,U338))</f>
        <v/>
      </c>
      <c r="X338" s="5" t="str">
        <f>IF(INDEX(Manual_Review!$I$6:$I$238,U338)="","",INDEX(Manual_Review!$I$6:$I$238,U338))</f>
        <v/>
      </c>
      <c r="Y338" s="5" t="s">
        <v>2859</v>
      </c>
    </row>
    <row r="339" spans="1:25" ht="25.5">
      <c r="A339" s="5" t="s">
        <v>3591</v>
      </c>
      <c r="B339" s="5" t="s">
        <v>350</v>
      </c>
      <c r="C339" s="5" t="s">
        <v>351</v>
      </c>
      <c r="D339" s="5" t="s">
        <v>118</v>
      </c>
      <c r="E339" s="5" t="s">
        <v>2794</v>
      </c>
      <c r="F339" s="5" t="s">
        <v>2764</v>
      </c>
      <c r="G339" s="5">
        <v>1</v>
      </c>
      <c r="H339" s="5" t="s">
        <v>2864</v>
      </c>
      <c r="I339" s="5" t="str">
        <f>IF(INDEX(Manual_Review!$X$6:$X$238,U339)="","",INDEX(Manual_Review!$X$6:$X$238,U339))</f>
        <v/>
      </c>
      <c r="J339" s="5" t="str">
        <f t="shared" si="10"/>
        <v>AI provisional</v>
      </c>
      <c r="K339" s="5" t="str">
        <f t="shared" si="11"/>
        <v>U</v>
      </c>
      <c r="L339" s="5" t="s">
        <v>358</v>
      </c>
      <c r="M339" s="5" t="s">
        <v>3571</v>
      </c>
      <c r="N339" s="5" t="s">
        <v>3567</v>
      </c>
      <c r="O339" s="5" t="s">
        <v>2895</v>
      </c>
      <c r="P339" s="5" t="s">
        <v>2858</v>
      </c>
      <c r="Q339" s="11">
        <v>46306.5</v>
      </c>
      <c r="R339" s="6"/>
      <c r="S339" s="6"/>
      <c r="T339" s="6"/>
      <c r="U339" s="5">
        <f>MATCH(B339,Manual_Review!$A$6:$A$238,0)</f>
        <v>21</v>
      </c>
      <c r="V339" s="5" t="str">
        <f>IF(INDEX(Manual_Review!$G$6:$G$238,U339)="","",INDEX(Manual_Review!$G$6:$G$238,U339))</f>
        <v/>
      </c>
      <c r="W339" s="11" t="str">
        <f>IF(INDEX(Manual_Review!$H$6:$H$238,U339)="","",INDEX(Manual_Review!$H$6:$H$238,U339))</f>
        <v/>
      </c>
      <c r="X339" s="5" t="str">
        <f>IF(INDEX(Manual_Review!$I$6:$I$238,U339)="","",INDEX(Manual_Review!$I$6:$I$238,U339))</f>
        <v/>
      </c>
      <c r="Y339" s="5" t="s">
        <v>2859</v>
      </c>
    </row>
    <row r="340" spans="1:25" ht="25.5">
      <c r="A340" s="5" t="s">
        <v>3592</v>
      </c>
      <c r="B340" s="5" t="s">
        <v>350</v>
      </c>
      <c r="C340" s="5" t="s">
        <v>351</v>
      </c>
      <c r="D340" s="5" t="s">
        <v>118</v>
      </c>
      <c r="E340" s="5" t="s">
        <v>2795</v>
      </c>
      <c r="F340" s="5" t="s">
        <v>2764</v>
      </c>
      <c r="G340" s="5">
        <v>1</v>
      </c>
      <c r="H340" s="5" t="s">
        <v>2864</v>
      </c>
      <c r="I340" s="5" t="str">
        <f>IF(INDEX(Manual_Review!$Y$6:$Y$238,U340)="","",INDEX(Manual_Review!$Y$6:$Y$238,U340))</f>
        <v/>
      </c>
      <c r="J340" s="5" t="str">
        <f t="shared" si="10"/>
        <v>AI provisional</v>
      </c>
      <c r="K340" s="5" t="str">
        <f t="shared" si="11"/>
        <v>U</v>
      </c>
      <c r="L340" s="5" t="s">
        <v>358</v>
      </c>
      <c r="M340" s="5" t="s">
        <v>3571</v>
      </c>
      <c r="N340" s="5" t="s">
        <v>3567</v>
      </c>
      <c r="O340" s="5" t="s">
        <v>2897</v>
      </c>
      <c r="P340" s="5" t="s">
        <v>2858</v>
      </c>
      <c r="Q340" s="11">
        <v>46306.5</v>
      </c>
      <c r="R340" s="6"/>
      <c r="S340" s="6"/>
      <c r="T340" s="6"/>
      <c r="U340" s="5">
        <f>MATCH(B340,Manual_Review!$A$6:$A$238,0)</f>
        <v>21</v>
      </c>
      <c r="V340" s="5" t="str">
        <f>IF(INDEX(Manual_Review!$G$6:$G$238,U340)="","",INDEX(Manual_Review!$G$6:$G$238,U340))</f>
        <v/>
      </c>
      <c r="W340" s="11" t="str">
        <f>IF(INDEX(Manual_Review!$H$6:$H$238,U340)="","",INDEX(Manual_Review!$H$6:$H$238,U340))</f>
        <v/>
      </c>
      <c r="X340" s="5" t="str">
        <f>IF(INDEX(Manual_Review!$I$6:$I$238,U340)="","",INDEX(Manual_Review!$I$6:$I$238,U340))</f>
        <v/>
      </c>
      <c r="Y340" s="5" t="s">
        <v>2859</v>
      </c>
    </row>
    <row r="341" spans="1:25" ht="25.5">
      <c r="A341" s="5" t="s">
        <v>3593</v>
      </c>
      <c r="B341" s="5" t="s">
        <v>350</v>
      </c>
      <c r="C341" s="5" t="s">
        <v>351</v>
      </c>
      <c r="D341" s="5" t="s">
        <v>118</v>
      </c>
      <c r="E341" s="5" t="s">
        <v>2796</v>
      </c>
      <c r="F341" s="5" t="s">
        <v>2764</v>
      </c>
      <c r="G341" s="5">
        <v>1</v>
      </c>
      <c r="H341" s="5" t="s">
        <v>2864</v>
      </c>
      <c r="I341" s="5" t="str">
        <f>IF(INDEX(Manual_Review!$Z$6:$Z$238,U341)="","",INDEX(Manual_Review!$Z$6:$Z$238,U341))</f>
        <v/>
      </c>
      <c r="J341" s="5" t="str">
        <f t="shared" si="10"/>
        <v>AI provisional</v>
      </c>
      <c r="K341" s="5" t="str">
        <f t="shared" si="11"/>
        <v>U</v>
      </c>
      <c r="L341" s="5" t="s">
        <v>358</v>
      </c>
      <c r="M341" s="5" t="s">
        <v>3582</v>
      </c>
      <c r="N341" s="5" t="s">
        <v>3567</v>
      </c>
      <c r="O341" s="5" t="s">
        <v>2899</v>
      </c>
      <c r="P341" s="5" t="s">
        <v>2858</v>
      </c>
      <c r="Q341" s="11">
        <v>46306.5</v>
      </c>
      <c r="R341" s="6"/>
      <c r="S341" s="6"/>
      <c r="T341" s="6"/>
      <c r="U341" s="5">
        <f>MATCH(B341,Manual_Review!$A$6:$A$238,0)</f>
        <v>21</v>
      </c>
      <c r="V341" s="5" t="str">
        <f>IF(INDEX(Manual_Review!$G$6:$G$238,U341)="","",INDEX(Manual_Review!$G$6:$G$238,U341))</f>
        <v/>
      </c>
      <c r="W341" s="11" t="str">
        <f>IF(INDEX(Manual_Review!$H$6:$H$238,U341)="","",INDEX(Manual_Review!$H$6:$H$238,U341))</f>
        <v/>
      </c>
      <c r="X341" s="5" t="str">
        <f>IF(INDEX(Manual_Review!$I$6:$I$238,U341)="","",INDEX(Manual_Review!$I$6:$I$238,U341))</f>
        <v/>
      </c>
      <c r="Y341" s="5" t="s">
        <v>2859</v>
      </c>
    </row>
    <row r="342" spans="1:25" ht="25.5">
      <c r="A342" s="5" t="s">
        <v>3594</v>
      </c>
      <c r="B342" s="5" t="s">
        <v>360</v>
      </c>
      <c r="C342" s="5" t="s">
        <v>361</v>
      </c>
      <c r="D342" s="5" t="s">
        <v>118</v>
      </c>
      <c r="E342" s="5" t="s">
        <v>2781</v>
      </c>
      <c r="F342" s="5" t="s">
        <v>2754</v>
      </c>
      <c r="G342" s="5">
        <v>1</v>
      </c>
      <c r="H342" s="5" t="s">
        <v>2854</v>
      </c>
      <c r="I342" s="5" t="str">
        <f>IF(INDEX(Manual_Review!$K$6:$K$238,U342)="","",INDEX(Manual_Review!$K$6:$K$238,U342))</f>
        <v/>
      </c>
      <c r="J342" s="5" t="str">
        <f t="shared" si="10"/>
        <v>AI provisional</v>
      </c>
      <c r="K342" s="5" t="str">
        <f t="shared" si="11"/>
        <v>Y</v>
      </c>
      <c r="L342" s="5" t="s">
        <v>374</v>
      </c>
      <c r="M342" s="5" t="s">
        <v>3595</v>
      </c>
      <c r="N342" s="5" t="s">
        <v>3596</v>
      </c>
      <c r="O342" s="5" t="s">
        <v>2857</v>
      </c>
      <c r="P342" s="5" t="s">
        <v>2858</v>
      </c>
      <c r="Q342" s="11">
        <v>46306.5</v>
      </c>
      <c r="R342" s="6"/>
      <c r="S342" s="6"/>
      <c r="T342" s="6"/>
      <c r="U342" s="5">
        <f>MATCH(B342,Manual_Review!$A$6:$A$238,0)</f>
        <v>22</v>
      </c>
      <c r="V342" s="5" t="str">
        <f>IF(INDEX(Manual_Review!$G$6:$G$238,U342)="","",INDEX(Manual_Review!$G$6:$G$238,U342))</f>
        <v/>
      </c>
      <c r="W342" s="11" t="str">
        <f>IF(INDEX(Manual_Review!$H$6:$H$238,U342)="","",INDEX(Manual_Review!$H$6:$H$238,U342))</f>
        <v/>
      </c>
      <c r="X342" s="5" t="str">
        <f>IF(INDEX(Manual_Review!$I$6:$I$238,U342)="","",INDEX(Manual_Review!$I$6:$I$238,U342))</f>
        <v/>
      </c>
      <c r="Y342" s="5" t="s">
        <v>2859</v>
      </c>
    </row>
    <row r="343" spans="1:25" ht="25.5">
      <c r="A343" s="5" t="s">
        <v>3597</v>
      </c>
      <c r="B343" s="5" t="s">
        <v>360</v>
      </c>
      <c r="C343" s="5" t="s">
        <v>361</v>
      </c>
      <c r="D343" s="5" t="s">
        <v>118</v>
      </c>
      <c r="E343" s="5" t="s">
        <v>2782</v>
      </c>
      <c r="F343" s="5" t="s">
        <v>2754</v>
      </c>
      <c r="G343" s="5">
        <v>1</v>
      </c>
      <c r="H343" s="5" t="s">
        <v>2854</v>
      </c>
      <c r="I343" s="5" t="str">
        <f>IF(INDEX(Manual_Review!$L$6:$L$238,U343)="","",INDEX(Manual_Review!$L$6:$L$238,U343))</f>
        <v/>
      </c>
      <c r="J343" s="5" t="str">
        <f t="shared" si="10"/>
        <v>AI provisional</v>
      </c>
      <c r="K343" s="5" t="str">
        <f t="shared" si="11"/>
        <v>Y</v>
      </c>
      <c r="L343" s="5" t="s">
        <v>374</v>
      </c>
      <c r="M343" s="5" t="s">
        <v>3598</v>
      </c>
      <c r="N343" s="5" t="s">
        <v>3596</v>
      </c>
      <c r="O343" s="5" t="s">
        <v>2862</v>
      </c>
      <c r="P343" s="5" t="s">
        <v>2858</v>
      </c>
      <c r="Q343" s="11">
        <v>46306.5</v>
      </c>
      <c r="R343" s="6"/>
      <c r="S343" s="6"/>
      <c r="T343" s="6"/>
      <c r="U343" s="5">
        <f>MATCH(B343,Manual_Review!$A$6:$A$238,0)</f>
        <v>22</v>
      </c>
      <c r="V343" s="5" t="str">
        <f>IF(INDEX(Manual_Review!$G$6:$G$238,U343)="","",INDEX(Manual_Review!$G$6:$G$238,U343))</f>
        <v/>
      </c>
      <c r="W343" s="11" t="str">
        <f>IF(INDEX(Manual_Review!$H$6:$H$238,U343)="","",INDEX(Manual_Review!$H$6:$H$238,U343))</f>
        <v/>
      </c>
      <c r="X343" s="5" t="str">
        <f>IF(INDEX(Manual_Review!$I$6:$I$238,U343)="","",INDEX(Manual_Review!$I$6:$I$238,U343))</f>
        <v/>
      </c>
      <c r="Y343" s="5" t="s">
        <v>2859</v>
      </c>
    </row>
    <row r="344" spans="1:25" ht="25.5">
      <c r="A344" s="5" t="s">
        <v>3599</v>
      </c>
      <c r="B344" s="5" t="s">
        <v>360</v>
      </c>
      <c r="C344" s="5" t="s">
        <v>361</v>
      </c>
      <c r="D344" s="5" t="s">
        <v>118</v>
      </c>
      <c r="E344" s="5" t="s">
        <v>2783</v>
      </c>
      <c r="F344" s="5" t="s">
        <v>2754</v>
      </c>
      <c r="G344" s="5">
        <v>1</v>
      </c>
      <c r="H344" s="5" t="s">
        <v>2864</v>
      </c>
      <c r="I344" s="5" t="str">
        <f>IF(INDEX(Manual_Review!$M$6:$M$238,U344)="","",INDEX(Manual_Review!$M$6:$M$238,U344))</f>
        <v/>
      </c>
      <c r="J344" s="5" t="str">
        <f t="shared" si="10"/>
        <v>AI provisional</v>
      </c>
      <c r="K344" s="5" t="str">
        <f t="shared" si="11"/>
        <v>U</v>
      </c>
      <c r="L344" s="5" t="s">
        <v>374</v>
      </c>
      <c r="M344" s="5" t="s">
        <v>3600</v>
      </c>
      <c r="N344" s="5" t="s">
        <v>3596</v>
      </c>
      <c r="O344" s="5" t="s">
        <v>2866</v>
      </c>
      <c r="P344" s="5" t="s">
        <v>2858</v>
      </c>
      <c r="Q344" s="11">
        <v>46306.5</v>
      </c>
      <c r="R344" s="6"/>
      <c r="S344" s="6"/>
      <c r="T344" s="6"/>
      <c r="U344" s="5">
        <f>MATCH(B344,Manual_Review!$A$6:$A$238,0)</f>
        <v>22</v>
      </c>
      <c r="V344" s="5" t="str">
        <f>IF(INDEX(Manual_Review!$G$6:$G$238,U344)="","",INDEX(Manual_Review!$G$6:$G$238,U344))</f>
        <v/>
      </c>
      <c r="W344" s="11" t="str">
        <f>IF(INDEX(Manual_Review!$H$6:$H$238,U344)="","",INDEX(Manual_Review!$H$6:$H$238,U344))</f>
        <v/>
      </c>
      <c r="X344" s="5" t="str">
        <f>IF(INDEX(Manual_Review!$I$6:$I$238,U344)="","",INDEX(Manual_Review!$I$6:$I$238,U344))</f>
        <v/>
      </c>
      <c r="Y344" s="5" t="s">
        <v>2859</v>
      </c>
    </row>
    <row r="345" spans="1:25" ht="25.5">
      <c r="A345" s="5" t="s">
        <v>3601</v>
      </c>
      <c r="B345" s="5" t="s">
        <v>360</v>
      </c>
      <c r="C345" s="5" t="s">
        <v>361</v>
      </c>
      <c r="D345" s="5" t="s">
        <v>118</v>
      </c>
      <c r="E345" s="5" t="s">
        <v>2784</v>
      </c>
      <c r="F345" s="5" t="s">
        <v>2756</v>
      </c>
      <c r="G345" s="5">
        <v>1</v>
      </c>
      <c r="H345" s="5" t="s">
        <v>2854</v>
      </c>
      <c r="I345" s="5" t="str">
        <f>IF(INDEX(Manual_Review!$N$6:$N$238,U345)="","",INDEX(Manual_Review!$N$6:$N$238,U345))</f>
        <v/>
      </c>
      <c r="J345" s="5" t="str">
        <f t="shared" si="10"/>
        <v>AI provisional</v>
      </c>
      <c r="K345" s="5" t="str">
        <f t="shared" si="11"/>
        <v>Y</v>
      </c>
      <c r="L345" s="5" t="s">
        <v>374</v>
      </c>
      <c r="M345" s="5" t="s">
        <v>3602</v>
      </c>
      <c r="N345" s="5" t="s">
        <v>3596</v>
      </c>
      <c r="O345" s="5" t="s">
        <v>2963</v>
      </c>
      <c r="P345" s="5" t="s">
        <v>2858</v>
      </c>
      <c r="Q345" s="11">
        <v>46306.5</v>
      </c>
      <c r="R345" s="6"/>
      <c r="S345" s="6"/>
      <c r="T345" s="6"/>
      <c r="U345" s="5">
        <f>MATCH(B345,Manual_Review!$A$6:$A$238,0)</f>
        <v>22</v>
      </c>
      <c r="V345" s="5" t="str">
        <f>IF(INDEX(Manual_Review!$G$6:$G$238,U345)="","",INDEX(Manual_Review!$G$6:$G$238,U345))</f>
        <v/>
      </c>
      <c r="W345" s="11" t="str">
        <f>IF(INDEX(Manual_Review!$H$6:$H$238,U345)="","",INDEX(Manual_Review!$H$6:$H$238,U345))</f>
        <v/>
      </c>
      <c r="X345" s="5" t="str">
        <f>IF(INDEX(Manual_Review!$I$6:$I$238,U345)="","",INDEX(Manual_Review!$I$6:$I$238,U345))</f>
        <v/>
      </c>
      <c r="Y345" s="5" t="s">
        <v>2859</v>
      </c>
    </row>
    <row r="346" spans="1:25" ht="25.5">
      <c r="A346" s="5" t="s">
        <v>3603</v>
      </c>
      <c r="B346" s="5" t="s">
        <v>360</v>
      </c>
      <c r="C346" s="5" t="s">
        <v>361</v>
      </c>
      <c r="D346" s="5" t="s">
        <v>118</v>
      </c>
      <c r="E346" s="5" t="s">
        <v>2785</v>
      </c>
      <c r="F346" s="5" t="s">
        <v>2756</v>
      </c>
      <c r="G346" s="5">
        <v>1</v>
      </c>
      <c r="H346" s="5" t="s">
        <v>2854</v>
      </c>
      <c r="I346" s="5" t="str">
        <f>IF(INDEX(Manual_Review!$O$6:$O$238,U346)="","",INDEX(Manual_Review!$O$6:$O$238,U346))</f>
        <v/>
      </c>
      <c r="J346" s="5" t="str">
        <f t="shared" si="10"/>
        <v>AI provisional</v>
      </c>
      <c r="K346" s="5" t="str">
        <f t="shared" si="11"/>
        <v>Y</v>
      </c>
      <c r="L346" s="5" t="s">
        <v>374</v>
      </c>
      <c r="M346" s="5" t="s">
        <v>3604</v>
      </c>
      <c r="N346" s="5" t="s">
        <v>3596</v>
      </c>
      <c r="O346" s="5" t="s">
        <v>3138</v>
      </c>
      <c r="P346" s="5" t="s">
        <v>2858</v>
      </c>
      <c r="Q346" s="11">
        <v>46306.5</v>
      </c>
      <c r="R346" s="6"/>
      <c r="S346" s="6"/>
      <c r="T346" s="6"/>
      <c r="U346" s="5">
        <f>MATCH(B346,Manual_Review!$A$6:$A$238,0)</f>
        <v>22</v>
      </c>
      <c r="V346" s="5" t="str">
        <f>IF(INDEX(Manual_Review!$G$6:$G$238,U346)="","",INDEX(Manual_Review!$G$6:$G$238,U346))</f>
        <v/>
      </c>
      <c r="W346" s="11" t="str">
        <f>IF(INDEX(Manual_Review!$H$6:$H$238,U346)="","",INDEX(Manual_Review!$H$6:$H$238,U346))</f>
        <v/>
      </c>
      <c r="X346" s="5" t="str">
        <f>IF(INDEX(Manual_Review!$I$6:$I$238,U346)="","",INDEX(Manual_Review!$I$6:$I$238,U346))</f>
        <v/>
      </c>
      <c r="Y346" s="5" t="s">
        <v>2859</v>
      </c>
    </row>
    <row r="347" spans="1:25" ht="25.5">
      <c r="A347" s="5" t="s">
        <v>3605</v>
      </c>
      <c r="B347" s="5" t="s">
        <v>360</v>
      </c>
      <c r="C347" s="5" t="s">
        <v>361</v>
      </c>
      <c r="D347" s="5" t="s">
        <v>118</v>
      </c>
      <c r="E347" s="5" t="s">
        <v>2786</v>
      </c>
      <c r="F347" s="5" t="s">
        <v>2756</v>
      </c>
      <c r="G347" s="5">
        <v>1</v>
      </c>
      <c r="H347" s="5" t="s">
        <v>2864</v>
      </c>
      <c r="I347" s="5" t="str">
        <f>IF(INDEX(Manual_Review!$P$6:$P$238,U347)="","",INDEX(Manual_Review!$P$6:$P$238,U347))</f>
        <v/>
      </c>
      <c r="J347" s="5" t="str">
        <f t="shared" si="10"/>
        <v>AI provisional</v>
      </c>
      <c r="K347" s="5" t="str">
        <f t="shared" si="11"/>
        <v>U</v>
      </c>
      <c r="L347" s="5" t="s">
        <v>374</v>
      </c>
      <c r="M347" s="5" t="s">
        <v>3606</v>
      </c>
      <c r="N347" s="5" t="s">
        <v>3596</v>
      </c>
      <c r="O347" s="5" t="s">
        <v>2874</v>
      </c>
      <c r="P347" s="5" t="s">
        <v>2858</v>
      </c>
      <c r="Q347" s="11">
        <v>46306.5</v>
      </c>
      <c r="R347" s="6"/>
      <c r="S347" s="6"/>
      <c r="T347" s="6"/>
      <c r="U347" s="5">
        <f>MATCH(B347,Manual_Review!$A$6:$A$238,0)</f>
        <v>22</v>
      </c>
      <c r="V347" s="5" t="str">
        <f>IF(INDEX(Manual_Review!$G$6:$G$238,U347)="","",INDEX(Manual_Review!$G$6:$G$238,U347))</f>
        <v/>
      </c>
      <c r="W347" s="11" t="str">
        <f>IF(INDEX(Manual_Review!$H$6:$H$238,U347)="","",INDEX(Manual_Review!$H$6:$H$238,U347))</f>
        <v/>
      </c>
      <c r="X347" s="5" t="str">
        <f>IF(INDEX(Manual_Review!$I$6:$I$238,U347)="","",INDEX(Manual_Review!$I$6:$I$238,U347))</f>
        <v/>
      </c>
      <c r="Y347" s="5" t="s">
        <v>2859</v>
      </c>
    </row>
    <row r="348" spans="1:25" ht="25.5">
      <c r="A348" s="5" t="s">
        <v>3607</v>
      </c>
      <c r="B348" s="5" t="s">
        <v>360</v>
      </c>
      <c r="C348" s="5" t="s">
        <v>361</v>
      </c>
      <c r="D348" s="5" t="s">
        <v>118</v>
      </c>
      <c r="E348" s="5" t="s">
        <v>2787</v>
      </c>
      <c r="F348" s="5" t="s">
        <v>2758</v>
      </c>
      <c r="G348" s="5">
        <v>1</v>
      </c>
      <c r="H348" s="5" t="s">
        <v>2864</v>
      </c>
      <c r="I348" s="5" t="str">
        <f>IF(INDEX(Manual_Review!$Q$6:$Q$238,U348)="","",INDEX(Manual_Review!$Q$6:$Q$238,U348))</f>
        <v/>
      </c>
      <c r="J348" s="5" t="str">
        <f t="shared" si="10"/>
        <v>AI provisional</v>
      </c>
      <c r="K348" s="5" t="str">
        <f t="shared" si="11"/>
        <v>U</v>
      </c>
      <c r="L348" s="5" t="s">
        <v>374</v>
      </c>
      <c r="M348" s="5" t="s">
        <v>3608</v>
      </c>
      <c r="N348" s="5" t="s">
        <v>3596</v>
      </c>
      <c r="O348" s="5" t="s">
        <v>2877</v>
      </c>
      <c r="P348" s="5" t="s">
        <v>2858</v>
      </c>
      <c r="Q348" s="11">
        <v>46306.5</v>
      </c>
      <c r="R348" s="6"/>
      <c r="S348" s="6"/>
      <c r="T348" s="6"/>
      <c r="U348" s="5">
        <f>MATCH(B348,Manual_Review!$A$6:$A$238,0)</f>
        <v>22</v>
      </c>
      <c r="V348" s="5" t="str">
        <f>IF(INDEX(Manual_Review!$G$6:$G$238,U348)="","",INDEX(Manual_Review!$G$6:$G$238,U348))</f>
        <v/>
      </c>
      <c r="W348" s="11" t="str">
        <f>IF(INDEX(Manual_Review!$H$6:$H$238,U348)="","",INDEX(Manual_Review!$H$6:$H$238,U348))</f>
        <v/>
      </c>
      <c r="X348" s="5" t="str">
        <f>IF(INDEX(Manual_Review!$I$6:$I$238,U348)="","",INDEX(Manual_Review!$I$6:$I$238,U348))</f>
        <v/>
      </c>
      <c r="Y348" s="5" t="s">
        <v>2859</v>
      </c>
    </row>
    <row r="349" spans="1:25" ht="25.5">
      <c r="A349" s="5" t="s">
        <v>3609</v>
      </c>
      <c r="B349" s="5" t="s">
        <v>360</v>
      </c>
      <c r="C349" s="5" t="s">
        <v>361</v>
      </c>
      <c r="D349" s="5" t="s">
        <v>118</v>
      </c>
      <c r="E349" s="5" t="s">
        <v>2788</v>
      </c>
      <c r="F349" s="5" t="s">
        <v>2758</v>
      </c>
      <c r="G349" s="5">
        <v>1</v>
      </c>
      <c r="H349" s="5" t="s">
        <v>2854</v>
      </c>
      <c r="I349" s="5" t="str">
        <f>IF(INDEX(Manual_Review!$R$6:$R$238,U349)="","",INDEX(Manual_Review!$R$6:$R$238,U349))</f>
        <v/>
      </c>
      <c r="J349" s="5" t="str">
        <f t="shared" si="10"/>
        <v>AI provisional</v>
      </c>
      <c r="K349" s="5" t="str">
        <f t="shared" si="11"/>
        <v>Y</v>
      </c>
      <c r="L349" s="5" t="s">
        <v>374</v>
      </c>
      <c r="M349" s="5" t="s">
        <v>3610</v>
      </c>
      <c r="N349" s="5" t="s">
        <v>3596</v>
      </c>
      <c r="O349" s="5" t="s">
        <v>3067</v>
      </c>
      <c r="P349" s="5" t="s">
        <v>2858</v>
      </c>
      <c r="Q349" s="11">
        <v>46306.5</v>
      </c>
      <c r="R349" s="6"/>
      <c r="S349" s="6"/>
      <c r="T349" s="6"/>
      <c r="U349" s="5">
        <f>MATCH(B349,Manual_Review!$A$6:$A$238,0)</f>
        <v>22</v>
      </c>
      <c r="V349" s="5" t="str">
        <f>IF(INDEX(Manual_Review!$G$6:$G$238,U349)="","",INDEX(Manual_Review!$G$6:$G$238,U349))</f>
        <v/>
      </c>
      <c r="W349" s="11" t="str">
        <f>IF(INDEX(Manual_Review!$H$6:$H$238,U349)="","",INDEX(Manual_Review!$H$6:$H$238,U349))</f>
        <v/>
      </c>
      <c r="X349" s="5" t="str">
        <f>IF(INDEX(Manual_Review!$I$6:$I$238,U349)="","",INDEX(Manual_Review!$I$6:$I$238,U349))</f>
        <v/>
      </c>
      <c r="Y349" s="5" t="s">
        <v>2859</v>
      </c>
    </row>
    <row r="350" spans="1:25" ht="25.5">
      <c r="A350" s="5" t="s">
        <v>3611</v>
      </c>
      <c r="B350" s="5" t="s">
        <v>360</v>
      </c>
      <c r="C350" s="5" t="s">
        <v>361</v>
      </c>
      <c r="D350" s="5" t="s">
        <v>118</v>
      </c>
      <c r="E350" s="5" t="s">
        <v>2789</v>
      </c>
      <c r="F350" s="5" t="s">
        <v>2758</v>
      </c>
      <c r="G350" s="5">
        <v>1</v>
      </c>
      <c r="H350" s="5" t="s">
        <v>2854</v>
      </c>
      <c r="I350" s="5" t="str">
        <f>IF(INDEX(Manual_Review!$S$6:$S$238,U350)="","",INDEX(Manual_Review!$S$6:$S$238,U350))</f>
        <v/>
      </c>
      <c r="J350" s="5" t="str">
        <f t="shared" si="10"/>
        <v>AI provisional</v>
      </c>
      <c r="K350" s="5" t="str">
        <f t="shared" si="11"/>
        <v>Y</v>
      </c>
      <c r="L350" s="5" t="s">
        <v>374</v>
      </c>
      <c r="M350" s="5" t="s">
        <v>3612</v>
      </c>
      <c r="N350" s="5" t="s">
        <v>3596</v>
      </c>
      <c r="O350" s="5" t="s">
        <v>3178</v>
      </c>
      <c r="P350" s="5" t="s">
        <v>2858</v>
      </c>
      <c r="Q350" s="11">
        <v>46306.5</v>
      </c>
      <c r="R350" s="6"/>
      <c r="S350" s="6"/>
      <c r="T350" s="6"/>
      <c r="U350" s="5">
        <f>MATCH(B350,Manual_Review!$A$6:$A$238,0)</f>
        <v>22</v>
      </c>
      <c r="V350" s="5" t="str">
        <f>IF(INDEX(Manual_Review!$G$6:$G$238,U350)="","",INDEX(Manual_Review!$G$6:$G$238,U350))</f>
        <v/>
      </c>
      <c r="W350" s="11" t="str">
        <f>IF(INDEX(Manual_Review!$H$6:$H$238,U350)="","",INDEX(Manual_Review!$H$6:$H$238,U350))</f>
        <v/>
      </c>
      <c r="X350" s="5" t="str">
        <f>IF(INDEX(Manual_Review!$I$6:$I$238,U350)="","",INDEX(Manual_Review!$I$6:$I$238,U350))</f>
        <v/>
      </c>
      <c r="Y350" s="5" t="s">
        <v>2859</v>
      </c>
    </row>
    <row r="351" spans="1:25" ht="25.5">
      <c r="A351" s="5" t="s">
        <v>3613</v>
      </c>
      <c r="B351" s="5" t="s">
        <v>360</v>
      </c>
      <c r="C351" s="5" t="s">
        <v>361</v>
      </c>
      <c r="D351" s="5" t="s">
        <v>118</v>
      </c>
      <c r="E351" s="5" t="s">
        <v>2790</v>
      </c>
      <c r="F351" s="5" t="s">
        <v>2760</v>
      </c>
      <c r="G351" s="5">
        <v>1</v>
      </c>
      <c r="H351" s="5" t="s">
        <v>2908</v>
      </c>
      <c r="I351" s="5" t="str">
        <f>IF(INDEX(Manual_Review!$T$6:$T$238,U351)="","",INDEX(Manual_Review!$T$6:$T$238,U351))</f>
        <v/>
      </c>
      <c r="J351" s="5" t="str">
        <f t="shared" si="10"/>
        <v>AI provisional</v>
      </c>
      <c r="K351" s="5" t="str">
        <f t="shared" si="11"/>
        <v>X</v>
      </c>
      <c r="L351" s="5" t="s">
        <v>374</v>
      </c>
      <c r="M351" s="5" t="s">
        <v>3614</v>
      </c>
      <c r="N351" s="5" t="s">
        <v>3596</v>
      </c>
      <c r="O351" s="5" t="s">
        <v>3615</v>
      </c>
      <c r="P351" s="5" t="s">
        <v>2858</v>
      </c>
      <c r="Q351" s="11">
        <v>46306.5</v>
      </c>
      <c r="R351" s="6"/>
      <c r="S351" s="6"/>
      <c r="T351" s="6"/>
      <c r="U351" s="5">
        <f>MATCH(B351,Manual_Review!$A$6:$A$238,0)</f>
        <v>22</v>
      </c>
      <c r="V351" s="5" t="str">
        <f>IF(INDEX(Manual_Review!$G$6:$G$238,U351)="","",INDEX(Manual_Review!$G$6:$G$238,U351))</f>
        <v/>
      </c>
      <c r="W351" s="11" t="str">
        <f>IF(INDEX(Manual_Review!$H$6:$H$238,U351)="","",INDEX(Manual_Review!$H$6:$H$238,U351))</f>
        <v/>
      </c>
      <c r="X351" s="5" t="str">
        <f>IF(INDEX(Manual_Review!$I$6:$I$238,U351)="","",INDEX(Manual_Review!$I$6:$I$238,U351))</f>
        <v/>
      </c>
      <c r="Y351" s="5" t="s">
        <v>2859</v>
      </c>
    </row>
    <row r="352" spans="1:25" ht="25.5">
      <c r="A352" s="5" t="s">
        <v>3616</v>
      </c>
      <c r="B352" s="5" t="s">
        <v>360</v>
      </c>
      <c r="C352" s="5" t="s">
        <v>361</v>
      </c>
      <c r="D352" s="5" t="s">
        <v>118</v>
      </c>
      <c r="E352" s="5" t="s">
        <v>2791</v>
      </c>
      <c r="F352" s="5" t="s">
        <v>2760</v>
      </c>
      <c r="G352" s="5">
        <v>1</v>
      </c>
      <c r="H352" s="5" t="s">
        <v>2854</v>
      </c>
      <c r="I352" s="5" t="str">
        <f>IF(INDEX(Manual_Review!$U$6:$U$238,U352)="","",INDEX(Manual_Review!$U$6:$U$238,U352))</f>
        <v/>
      </c>
      <c r="J352" s="5" t="str">
        <f t="shared" si="10"/>
        <v>AI provisional</v>
      </c>
      <c r="K352" s="5" t="str">
        <f t="shared" si="11"/>
        <v>Y</v>
      </c>
      <c r="L352" s="5" t="s">
        <v>374</v>
      </c>
      <c r="M352" s="5" t="s">
        <v>3617</v>
      </c>
      <c r="N352" s="5" t="s">
        <v>3596</v>
      </c>
      <c r="O352" s="5" t="s">
        <v>3380</v>
      </c>
      <c r="P352" s="5" t="s">
        <v>2858</v>
      </c>
      <c r="Q352" s="11">
        <v>46306.5</v>
      </c>
      <c r="R352" s="6"/>
      <c r="S352" s="6"/>
      <c r="T352" s="6"/>
      <c r="U352" s="5">
        <f>MATCH(B352,Manual_Review!$A$6:$A$238,0)</f>
        <v>22</v>
      </c>
      <c r="V352" s="5" t="str">
        <f>IF(INDEX(Manual_Review!$G$6:$G$238,U352)="","",INDEX(Manual_Review!$G$6:$G$238,U352))</f>
        <v/>
      </c>
      <c r="W352" s="11" t="str">
        <f>IF(INDEX(Manual_Review!$H$6:$H$238,U352)="","",INDEX(Manual_Review!$H$6:$H$238,U352))</f>
        <v/>
      </c>
      <c r="X352" s="5" t="str">
        <f>IF(INDEX(Manual_Review!$I$6:$I$238,U352)="","",INDEX(Manual_Review!$I$6:$I$238,U352))</f>
        <v/>
      </c>
      <c r="Y352" s="5" t="s">
        <v>2859</v>
      </c>
    </row>
    <row r="353" spans="1:25" ht="25.5">
      <c r="A353" s="5" t="s">
        <v>3618</v>
      </c>
      <c r="B353" s="5" t="s">
        <v>360</v>
      </c>
      <c r="C353" s="5" t="s">
        <v>361</v>
      </c>
      <c r="D353" s="5" t="s">
        <v>118</v>
      </c>
      <c r="E353" s="5" t="s">
        <v>2792</v>
      </c>
      <c r="F353" s="5" t="s">
        <v>2762</v>
      </c>
      <c r="G353" s="5">
        <v>1</v>
      </c>
      <c r="H353" s="5" t="s">
        <v>2854</v>
      </c>
      <c r="I353" s="5" t="str">
        <f>IF(INDEX(Manual_Review!$V$6:$V$238,U353)="","",INDEX(Manual_Review!$V$6:$V$238,U353))</f>
        <v/>
      </c>
      <c r="J353" s="5" t="str">
        <f t="shared" si="10"/>
        <v>AI provisional</v>
      </c>
      <c r="K353" s="5" t="str">
        <f t="shared" si="11"/>
        <v>Y</v>
      </c>
      <c r="L353" s="5" t="s">
        <v>374</v>
      </c>
      <c r="M353" s="5" t="s">
        <v>3619</v>
      </c>
      <c r="N353" s="5" t="s">
        <v>3596</v>
      </c>
      <c r="O353" s="5" t="s">
        <v>3152</v>
      </c>
      <c r="P353" s="5" t="s">
        <v>2858</v>
      </c>
      <c r="Q353" s="11">
        <v>46306.5</v>
      </c>
      <c r="R353" s="6"/>
      <c r="S353" s="6"/>
      <c r="T353" s="6"/>
      <c r="U353" s="5">
        <f>MATCH(B353,Manual_Review!$A$6:$A$238,0)</f>
        <v>22</v>
      </c>
      <c r="V353" s="5" t="str">
        <f>IF(INDEX(Manual_Review!$G$6:$G$238,U353)="","",INDEX(Manual_Review!$G$6:$G$238,U353))</f>
        <v/>
      </c>
      <c r="W353" s="11" t="str">
        <f>IF(INDEX(Manual_Review!$H$6:$H$238,U353)="","",INDEX(Manual_Review!$H$6:$H$238,U353))</f>
        <v/>
      </c>
      <c r="X353" s="5" t="str">
        <f>IF(INDEX(Manual_Review!$I$6:$I$238,U353)="","",INDEX(Manual_Review!$I$6:$I$238,U353))</f>
        <v/>
      </c>
      <c r="Y353" s="5" t="s">
        <v>2859</v>
      </c>
    </row>
    <row r="354" spans="1:25" ht="25.5">
      <c r="A354" s="5" t="s">
        <v>3620</v>
      </c>
      <c r="B354" s="5" t="s">
        <v>360</v>
      </c>
      <c r="C354" s="5" t="s">
        <v>361</v>
      </c>
      <c r="D354" s="5" t="s">
        <v>118</v>
      </c>
      <c r="E354" s="5" t="s">
        <v>2793</v>
      </c>
      <c r="F354" s="5" t="s">
        <v>2762</v>
      </c>
      <c r="G354" s="5">
        <v>1</v>
      </c>
      <c r="H354" s="5" t="s">
        <v>2854</v>
      </c>
      <c r="I354" s="5" t="str">
        <f>IF(INDEX(Manual_Review!$W$6:$W$238,U354)="","",INDEX(Manual_Review!$W$6:$W$238,U354))</f>
        <v/>
      </c>
      <c r="J354" s="5" t="str">
        <f t="shared" si="10"/>
        <v>AI provisional</v>
      </c>
      <c r="K354" s="5" t="str">
        <f t="shared" si="11"/>
        <v>Y</v>
      </c>
      <c r="L354" s="5" t="s">
        <v>374</v>
      </c>
      <c r="M354" s="5" t="s">
        <v>3621</v>
      </c>
      <c r="N354" s="5" t="s">
        <v>3596</v>
      </c>
      <c r="O354" s="5" t="s">
        <v>3077</v>
      </c>
      <c r="P354" s="5" t="s">
        <v>2858</v>
      </c>
      <c r="Q354" s="11">
        <v>46306.5</v>
      </c>
      <c r="R354" s="6"/>
      <c r="S354" s="6"/>
      <c r="T354" s="6"/>
      <c r="U354" s="5">
        <f>MATCH(B354,Manual_Review!$A$6:$A$238,0)</f>
        <v>22</v>
      </c>
      <c r="V354" s="5" t="str">
        <f>IF(INDEX(Manual_Review!$G$6:$G$238,U354)="","",INDEX(Manual_Review!$G$6:$G$238,U354))</f>
        <v/>
      </c>
      <c r="W354" s="11" t="str">
        <f>IF(INDEX(Manual_Review!$H$6:$H$238,U354)="","",INDEX(Manual_Review!$H$6:$H$238,U354))</f>
        <v/>
      </c>
      <c r="X354" s="5" t="str">
        <f>IF(INDEX(Manual_Review!$I$6:$I$238,U354)="","",INDEX(Manual_Review!$I$6:$I$238,U354))</f>
        <v/>
      </c>
      <c r="Y354" s="5" t="s">
        <v>2859</v>
      </c>
    </row>
    <row r="355" spans="1:25" ht="25.5">
      <c r="A355" s="5" t="s">
        <v>3622</v>
      </c>
      <c r="B355" s="5" t="s">
        <v>360</v>
      </c>
      <c r="C355" s="5" t="s">
        <v>361</v>
      </c>
      <c r="D355" s="5" t="s">
        <v>118</v>
      </c>
      <c r="E355" s="5" t="s">
        <v>2794</v>
      </c>
      <c r="F355" s="5" t="s">
        <v>2764</v>
      </c>
      <c r="G355" s="5">
        <v>1</v>
      </c>
      <c r="H355" s="5" t="s">
        <v>2854</v>
      </c>
      <c r="I355" s="5" t="str">
        <f>IF(INDEX(Manual_Review!$X$6:$X$238,U355)="","",INDEX(Manual_Review!$X$6:$X$238,U355))</f>
        <v/>
      </c>
      <c r="J355" s="5" t="str">
        <f t="shared" si="10"/>
        <v>AI provisional</v>
      </c>
      <c r="K355" s="5" t="str">
        <f t="shared" si="11"/>
        <v>Y</v>
      </c>
      <c r="L355" s="5" t="s">
        <v>374</v>
      </c>
      <c r="M355" s="5" t="s">
        <v>3623</v>
      </c>
      <c r="N355" s="5" t="s">
        <v>3596</v>
      </c>
      <c r="O355" s="5" t="s">
        <v>2984</v>
      </c>
      <c r="P355" s="5" t="s">
        <v>2858</v>
      </c>
      <c r="Q355" s="11">
        <v>46306.5</v>
      </c>
      <c r="R355" s="6"/>
      <c r="S355" s="6"/>
      <c r="T355" s="6"/>
      <c r="U355" s="5">
        <f>MATCH(B355,Manual_Review!$A$6:$A$238,0)</f>
        <v>22</v>
      </c>
      <c r="V355" s="5" t="str">
        <f>IF(INDEX(Manual_Review!$G$6:$G$238,U355)="","",INDEX(Manual_Review!$G$6:$G$238,U355))</f>
        <v/>
      </c>
      <c r="W355" s="11" t="str">
        <f>IF(INDEX(Manual_Review!$H$6:$H$238,U355)="","",INDEX(Manual_Review!$H$6:$H$238,U355))</f>
        <v/>
      </c>
      <c r="X355" s="5" t="str">
        <f>IF(INDEX(Manual_Review!$I$6:$I$238,U355)="","",INDEX(Manual_Review!$I$6:$I$238,U355))</f>
        <v/>
      </c>
      <c r="Y355" s="5" t="s">
        <v>2859</v>
      </c>
    </row>
    <row r="356" spans="1:25" ht="25.5">
      <c r="A356" s="5" t="s">
        <v>3624</v>
      </c>
      <c r="B356" s="5" t="s">
        <v>360</v>
      </c>
      <c r="C356" s="5" t="s">
        <v>361</v>
      </c>
      <c r="D356" s="5" t="s">
        <v>118</v>
      </c>
      <c r="E356" s="5" t="s">
        <v>2795</v>
      </c>
      <c r="F356" s="5" t="s">
        <v>2764</v>
      </c>
      <c r="G356" s="5">
        <v>1</v>
      </c>
      <c r="H356" s="5" t="s">
        <v>2854</v>
      </c>
      <c r="I356" s="5" t="str">
        <f>IF(INDEX(Manual_Review!$Y$6:$Y$238,U356)="","",INDEX(Manual_Review!$Y$6:$Y$238,U356))</f>
        <v/>
      </c>
      <c r="J356" s="5" t="str">
        <f t="shared" si="10"/>
        <v>AI provisional</v>
      </c>
      <c r="K356" s="5" t="str">
        <f t="shared" si="11"/>
        <v>Y</v>
      </c>
      <c r="L356" s="5" t="s">
        <v>374</v>
      </c>
      <c r="M356" s="5" t="s">
        <v>3625</v>
      </c>
      <c r="N356" s="5" t="s">
        <v>3596</v>
      </c>
      <c r="O356" s="5" t="s">
        <v>3082</v>
      </c>
      <c r="P356" s="5" t="s">
        <v>2858</v>
      </c>
      <c r="Q356" s="11">
        <v>46306.5</v>
      </c>
      <c r="R356" s="6"/>
      <c r="S356" s="6"/>
      <c r="T356" s="6"/>
      <c r="U356" s="5">
        <f>MATCH(B356,Manual_Review!$A$6:$A$238,0)</f>
        <v>22</v>
      </c>
      <c r="V356" s="5" t="str">
        <f>IF(INDEX(Manual_Review!$G$6:$G$238,U356)="","",INDEX(Manual_Review!$G$6:$G$238,U356))</f>
        <v/>
      </c>
      <c r="W356" s="11" t="str">
        <f>IF(INDEX(Manual_Review!$H$6:$H$238,U356)="","",INDEX(Manual_Review!$H$6:$H$238,U356))</f>
        <v/>
      </c>
      <c r="X356" s="5" t="str">
        <f>IF(INDEX(Manual_Review!$I$6:$I$238,U356)="","",INDEX(Manual_Review!$I$6:$I$238,U356))</f>
        <v/>
      </c>
      <c r="Y356" s="5" t="s">
        <v>2859</v>
      </c>
    </row>
    <row r="357" spans="1:25" ht="25.5">
      <c r="A357" s="5" t="s">
        <v>3626</v>
      </c>
      <c r="B357" s="5" t="s">
        <v>360</v>
      </c>
      <c r="C357" s="5" t="s">
        <v>361</v>
      </c>
      <c r="D357" s="5" t="s">
        <v>118</v>
      </c>
      <c r="E357" s="5" t="s">
        <v>2796</v>
      </c>
      <c r="F357" s="5" t="s">
        <v>2764</v>
      </c>
      <c r="G357" s="5">
        <v>1</v>
      </c>
      <c r="H357" s="5" t="s">
        <v>2854</v>
      </c>
      <c r="I357" s="5" t="str">
        <f>IF(INDEX(Manual_Review!$Z$6:$Z$238,U357)="","",INDEX(Manual_Review!$Z$6:$Z$238,U357))</f>
        <v/>
      </c>
      <c r="J357" s="5" t="str">
        <f t="shared" si="10"/>
        <v>AI provisional</v>
      </c>
      <c r="K357" s="5" t="str">
        <f t="shared" si="11"/>
        <v>Y</v>
      </c>
      <c r="L357" s="5" t="s">
        <v>374</v>
      </c>
      <c r="M357" s="5" t="s">
        <v>3627</v>
      </c>
      <c r="N357" s="5" t="s">
        <v>3596</v>
      </c>
      <c r="O357" s="5" t="s">
        <v>3085</v>
      </c>
      <c r="P357" s="5" t="s">
        <v>2858</v>
      </c>
      <c r="Q357" s="11">
        <v>46306.5</v>
      </c>
      <c r="R357" s="6"/>
      <c r="S357" s="6"/>
      <c r="T357" s="6"/>
      <c r="U357" s="5">
        <f>MATCH(B357,Manual_Review!$A$6:$A$238,0)</f>
        <v>22</v>
      </c>
      <c r="V357" s="5" t="str">
        <f>IF(INDEX(Manual_Review!$G$6:$G$238,U357)="","",INDEX(Manual_Review!$G$6:$G$238,U357))</f>
        <v/>
      </c>
      <c r="W357" s="11" t="str">
        <f>IF(INDEX(Manual_Review!$H$6:$H$238,U357)="","",INDEX(Manual_Review!$H$6:$H$238,U357))</f>
        <v/>
      </c>
      <c r="X357" s="5" t="str">
        <f>IF(INDEX(Manual_Review!$I$6:$I$238,U357)="","",INDEX(Manual_Review!$I$6:$I$238,U357))</f>
        <v/>
      </c>
      <c r="Y357" s="5" t="s">
        <v>2859</v>
      </c>
    </row>
    <row r="358" spans="1:25" ht="25.5">
      <c r="A358" s="5" t="s">
        <v>3628</v>
      </c>
      <c r="B358" s="5" t="s">
        <v>376</v>
      </c>
      <c r="C358" s="5" t="s">
        <v>377</v>
      </c>
      <c r="D358" s="5" t="s">
        <v>118</v>
      </c>
      <c r="E358" s="5" t="s">
        <v>2781</v>
      </c>
      <c r="F358" s="5" t="s">
        <v>2754</v>
      </c>
      <c r="G358" s="5">
        <v>1</v>
      </c>
      <c r="H358" s="5" t="s">
        <v>2854</v>
      </c>
      <c r="I358" s="5" t="str">
        <f>IF(INDEX(Manual_Review!$K$6:$K$238,U358)="","",INDEX(Manual_Review!$K$6:$K$238,U358))</f>
        <v/>
      </c>
      <c r="J358" s="5" t="str">
        <f t="shared" si="10"/>
        <v>AI provisional</v>
      </c>
      <c r="K358" s="5" t="str">
        <f t="shared" si="11"/>
        <v>Y</v>
      </c>
      <c r="L358" s="5" t="s">
        <v>374</v>
      </c>
      <c r="M358" s="5" t="s">
        <v>3629</v>
      </c>
      <c r="N358" s="5" t="s">
        <v>3630</v>
      </c>
      <c r="O358" s="5" t="s">
        <v>2857</v>
      </c>
      <c r="P358" s="5" t="s">
        <v>2858</v>
      </c>
      <c r="Q358" s="11">
        <v>46306.5</v>
      </c>
      <c r="R358" s="6"/>
      <c r="S358" s="6"/>
      <c r="T358" s="6"/>
      <c r="U358" s="5">
        <f>MATCH(B358,Manual_Review!$A$6:$A$238,0)</f>
        <v>23</v>
      </c>
      <c r="V358" s="5" t="str">
        <f>IF(INDEX(Manual_Review!$G$6:$G$238,U358)="","",INDEX(Manual_Review!$G$6:$G$238,U358))</f>
        <v/>
      </c>
      <c r="W358" s="11" t="str">
        <f>IF(INDEX(Manual_Review!$H$6:$H$238,U358)="","",INDEX(Manual_Review!$H$6:$H$238,U358))</f>
        <v/>
      </c>
      <c r="X358" s="5" t="str">
        <f>IF(INDEX(Manual_Review!$I$6:$I$238,U358)="","",INDEX(Manual_Review!$I$6:$I$238,U358))</f>
        <v/>
      </c>
      <c r="Y358" s="5" t="s">
        <v>2859</v>
      </c>
    </row>
    <row r="359" spans="1:25" ht="25.5">
      <c r="A359" s="5" t="s">
        <v>3631</v>
      </c>
      <c r="B359" s="5" t="s">
        <v>376</v>
      </c>
      <c r="C359" s="5" t="s">
        <v>377</v>
      </c>
      <c r="D359" s="5" t="s">
        <v>118</v>
      </c>
      <c r="E359" s="5" t="s">
        <v>2782</v>
      </c>
      <c r="F359" s="5" t="s">
        <v>2754</v>
      </c>
      <c r="G359" s="5">
        <v>1</v>
      </c>
      <c r="H359" s="5" t="s">
        <v>2854</v>
      </c>
      <c r="I359" s="5" t="str">
        <f>IF(INDEX(Manual_Review!$L$6:$L$238,U359)="","",INDEX(Manual_Review!$L$6:$L$238,U359))</f>
        <v/>
      </c>
      <c r="J359" s="5" t="str">
        <f t="shared" si="10"/>
        <v>AI provisional</v>
      </c>
      <c r="K359" s="5" t="str">
        <f t="shared" si="11"/>
        <v>Y</v>
      </c>
      <c r="L359" s="5" t="s">
        <v>374</v>
      </c>
      <c r="M359" s="5" t="s">
        <v>3632</v>
      </c>
      <c r="N359" s="5" t="s">
        <v>3630</v>
      </c>
      <c r="O359" s="5" t="s">
        <v>2862</v>
      </c>
      <c r="P359" s="5" t="s">
        <v>2858</v>
      </c>
      <c r="Q359" s="11">
        <v>46306.5</v>
      </c>
      <c r="R359" s="6"/>
      <c r="S359" s="6"/>
      <c r="T359" s="6"/>
      <c r="U359" s="5">
        <f>MATCH(B359,Manual_Review!$A$6:$A$238,0)</f>
        <v>23</v>
      </c>
      <c r="V359" s="5" t="str">
        <f>IF(INDEX(Manual_Review!$G$6:$G$238,U359)="","",INDEX(Manual_Review!$G$6:$G$238,U359))</f>
        <v/>
      </c>
      <c r="W359" s="11" t="str">
        <f>IF(INDEX(Manual_Review!$H$6:$H$238,U359)="","",INDEX(Manual_Review!$H$6:$H$238,U359))</f>
        <v/>
      </c>
      <c r="X359" s="5" t="str">
        <f>IF(INDEX(Manual_Review!$I$6:$I$238,U359)="","",INDEX(Manual_Review!$I$6:$I$238,U359))</f>
        <v/>
      </c>
      <c r="Y359" s="5" t="s">
        <v>2859</v>
      </c>
    </row>
    <row r="360" spans="1:25" ht="25.5">
      <c r="A360" s="5" t="s">
        <v>3633</v>
      </c>
      <c r="B360" s="5" t="s">
        <v>376</v>
      </c>
      <c r="C360" s="5" t="s">
        <v>377</v>
      </c>
      <c r="D360" s="5" t="s">
        <v>118</v>
      </c>
      <c r="E360" s="5" t="s">
        <v>2783</v>
      </c>
      <c r="F360" s="5" t="s">
        <v>2754</v>
      </c>
      <c r="G360" s="5">
        <v>1</v>
      </c>
      <c r="H360" s="5" t="s">
        <v>2864</v>
      </c>
      <c r="I360" s="5" t="str">
        <f>IF(INDEX(Manual_Review!$M$6:$M$238,U360)="","",INDEX(Manual_Review!$M$6:$M$238,U360))</f>
        <v/>
      </c>
      <c r="J360" s="5" t="str">
        <f t="shared" si="10"/>
        <v>AI provisional</v>
      </c>
      <c r="K360" s="5" t="str">
        <f t="shared" si="11"/>
        <v>U</v>
      </c>
      <c r="L360" s="5" t="s">
        <v>374</v>
      </c>
      <c r="M360" s="5" t="s">
        <v>3634</v>
      </c>
      <c r="N360" s="5" t="s">
        <v>3630</v>
      </c>
      <c r="O360" s="5" t="s">
        <v>2866</v>
      </c>
      <c r="P360" s="5" t="s">
        <v>2858</v>
      </c>
      <c r="Q360" s="11">
        <v>46306.5</v>
      </c>
      <c r="R360" s="6"/>
      <c r="S360" s="6"/>
      <c r="T360" s="6"/>
      <c r="U360" s="5">
        <f>MATCH(B360,Manual_Review!$A$6:$A$238,0)</f>
        <v>23</v>
      </c>
      <c r="V360" s="5" t="str">
        <f>IF(INDEX(Manual_Review!$G$6:$G$238,U360)="","",INDEX(Manual_Review!$G$6:$G$238,U360))</f>
        <v/>
      </c>
      <c r="W360" s="11" t="str">
        <f>IF(INDEX(Manual_Review!$H$6:$H$238,U360)="","",INDEX(Manual_Review!$H$6:$H$238,U360))</f>
        <v/>
      </c>
      <c r="X360" s="5" t="str">
        <f>IF(INDEX(Manual_Review!$I$6:$I$238,U360)="","",INDEX(Manual_Review!$I$6:$I$238,U360))</f>
        <v/>
      </c>
      <c r="Y360" s="5" t="s">
        <v>2859</v>
      </c>
    </row>
    <row r="361" spans="1:25" ht="25.5">
      <c r="A361" s="5" t="s">
        <v>3635</v>
      </c>
      <c r="B361" s="5" t="s">
        <v>376</v>
      </c>
      <c r="C361" s="5" t="s">
        <v>377</v>
      </c>
      <c r="D361" s="5" t="s">
        <v>118</v>
      </c>
      <c r="E361" s="5" t="s">
        <v>2784</v>
      </c>
      <c r="F361" s="5" t="s">
        <v>2756</v>
      </c>
      <c r="G361" s="5">
        <v>1</v>
      </c>
      <c r="H361" s="5" t="s">
        <v>2864</v>
      </c>
      <c r="I361" s="5" t="str">
        <f>IF(INDEX(Manual_Review!$N$6:$N$238,U361)="","",INDEX(Manual_Review!$N$6:$N$238,U361))</f>
        <v/>
      </c>
      <c r="J361" s="5" t="str">
        <f t="shared" si="10"/>
        <v>AI provisional</v>
      </c>
      <c r="K361" s="5" t="str">
        <f t="shared" si="11"/>
        <v>U</v>
      </c>
      <c r="L361" s="5" t="s">
        <v>374</v>
      </c>
      <c r="M361" s="5" t="s">
        <v>3636</v>
      </c>
      <c r="N361" s="5" t="s">
        <v>3630</v>
      </c>
      <c r="O361" s="5" t="s">
        <v>2869</v>
      </c>
      <c r="P361" s="5" t="s">
        <v>2858</v>
      </c>
      <c r="Q361" s="11">
        <v>46306.5</v>
      </c>
      <c r="R361" s="6"/>
      <c r="S361" s="6"/>
      <c r="T361" s="6"/>
      <c r="U361" s="5">
        <f>MATCH(B361,Manual_Review!$A$6:$A$238,0)</f>
        <v>23</v>
      </c>
      <c r="V361" s="5" t="str">
        <f>IF(INDEX(Manual_Review!$G$6:$G$238,U361)="","",INDEX(Manual_Review!$G$6:$G$238,U361))</f>
        <v/>
      </c>
      <c r="W361" s="11" t="str">
        <f>IF(INDEX(Manual_Review!$H$6:$H$238,U361)="","",INDEX(Manual_Review!$H$6:$H$238,U361))</f>
        <v/>
      </c>
      <c r="X361" s="5" t="str">
        <f>IF(INDEX(Manual_Review!$I$6:$I$238,U361)="","",INDEX(Manual_Review!$I$6:$I$238,U361))</f>
        <v/>
      </c>
      <c r="Y361" s="5" t="s">
        <v>2859</v>
      </c>
    </row>
    <row r="362" spans="1:25" ht="25.5">
      <c r="A362" s="5" t="s">
        <v>3637</v>
      </c>
      <c r="B362" s="5" t="s">
        <v>376</v>
      </c>
      <c r="C362" s="5" t="s">
        <v>377</v>
      </c>
      <c r="D362" s="5" t="s">
        <v>118</v>
      </c>
      <c r="E362" s="5" t="s">
        <v>2785</v>
      </c>
      <c r="F362" s="5" t="s">
        <v>2756</v>
      </c>
      <c r="G362" s="5">
        <v>1</v>
      </c>
      <c r="H362" s="5" t="s">
        <v>2864</v>
      </c>
      <c r="I362" s="5" t="str">
        <f>IF(INDEX(Manual_Review!$O$6:$O$238,U362)="","",INDEX(Manual_Review!$O$6:$O$238,U362))</f>
        <v/>
      </c>
      <c r="J362" s="5" t="str">
        <f t="shared" si="10"/>
        <v>AI provisional</v>
      </c>
      <c r="K362" s="5" t="str">
        <f t="shared" si="11"/>
        <v>U</v>
      </c>
      <c r="L362" s="5" t="s">
        <v>374</v>
      </c>
      <c r="M362" s="5" t="s">
        <v>3638</v>
      </c>
      <c r="N362" s="5" t="s">
        <v>3630</v>
      </c>
      <c r="O362" s="5" t="s">
        <v>2872</v>
      </c>
      <c r="P362" s="5" t="s">
        <v>2858</v>
      </c>
      <c r="Q362" s="11">
        <v>46306.5</v>
      </c>
      <c r="R362" s="6"/>
      <c r="S362" s="6"/>
      <c r="T362" s="6"/>
      <c r="U362" s="5">
        <f>MATCH(B362,Manual_Review!$A$6:$A$238,0)</f>
        <v>23</v>
      </c>
      <c r="V362" s="5" t="str">
        <f>IF(INDEX(Manual_Review!$G$6:$G$238,U362)="","",INDEX(Manual_Review!$G$6:$G$238,U362))</f>
        <v/>
      </c>
      <c r="W362" s="11" t="str">
        <f>IF(INDEX(Manual_Review!$H$6:$H$238,U362)="","",INDEX(Manual_Review!$H$6:$H$238,U362))</f>
        <v/>
      </c>
      <c r="X362" s="5" t="str">
        <f>IF(INDEX(Manual_Review!$I$6:$I$238,U362)="","",INDEX(Manual_Review!$I$6:$I$238,U362))</f>
        <v/>
      </c>
      <c r="Y362" s="5" t="s">
        <v>2859</v>
      </c>
    </row>
    <row r="363" spans="1:25" ht="25.5">
      <c r="A363" s="5" t="s">
        <v>3639</v>
      </c>
      <c r="B363" s="5" t="s">
        <v>376</v>
      </c>
      <c r="C363" s="5" t="s">
        <v>377</v>
      </c>
      <c r="D363" s="5" t="s">
        <v>118</v>
      </c>
      <c r="E363" s="5" t="s">
        <v>2786</v>
      </c>
      <c r="F363" s="5" t="s">
        <v>2756</v>
      </c>
      <c r="G363" s="5">
        <v>1</v>
      </c>
      <c r="H363" s="5" t="s">
        <v>2864</v>
      </c>
      <c r="I363" s="5" t="str">
        <f>IF(INDEX(Manual_Review!$P$6:$P$238,U363)="","",INDEX(Manual_Review!$P$6:$P$238,U363))</f>
        <v/>
      </c>
      <c r="J363" s="5" t="str">
        <f t="shared" si="10"/>
        <v>AI provisional</v>
      </c>
      <c r="K363" s="5" t="str">
        <f t="shared" si="11"/>
        <v>U</v>
      </c>
      <c r="L363" s="5" t="s">
        <v>374</v>
      </c>
      <c r="M363" s="5" t="s">
        <v>3640</v>
      </c>
      <c r="N363" s="5" t="s">
        <v>3630</v>
      </c>
      <c r="O363" s="5" t="s">
        <v>2874</v>
      </c>
      <c r="P363" s="5" t="s">
        <v>2858</v>
      </c>
      <c r="Q363" s="11">
        <v>46306.5</v>
      </c>
      <c r="R363" s="6"/>
      <c r="S363" s="6"/>
      <c r="T363" s="6"/>
      <c r="U363" s="5">
        <f>MATCH(B363,Manual_Review!$A$6:$A$238,0)</f>
        <v>23</v>
      </c>
      <c r="V363" s="5" t="str">
        <f>IF(INDEX(Manual_Review!$G$6:$G$238,U363)="","",INDEX(Manual_Review!$G$6:$G$238,U363))</f>
        <v/>
      </c>
      <c r="W363" s="11" t="str">
        <f>IF(INDEX(Manual_Review!$H$6:$H$238,U363)="","",INDEX(Manual_Review!$H$6:$H$238,U363))</f>
        <v/>
      </c>
      <c r="X363" s="5" t="str">
        <f>IF(INDEX(Manual_Review!$I$6:$I$238,U363)="","",INDEX(Manual_Review!$I$6:$I$238,U363))</f>
        <v/>
      </c>
      <c r="Y363" s="5" t="s">
        <v>2859</v>
      </c>
    </row>
    <row r="364" spans="1:25" ht="25.5">
      <c r="A364" s="5" t="s">
        <v>3641</v>
      </c>
      <c r="B364" s="5" t="s">
        <v>376</v>
      </c>
      <c r="C364" s="5" t="s">
        <v>377</v>
      </c>
      <c r="D364" s="5" t="s">
        <v>118</v>
      </c>
      <c r="E364" s="5" t="s">
        <v>2787</v>
      </c>
      <c r="F364" s="5" t="s">
        <v>2758</v>
      </c>
      <c r="G364" s="5">
        <v>1</v>
      </c>
      <c r="H364" s="5" t="s">
        <v>2864</v>
      </c>
      <c r="I364" s="5" t="str">
        <f>IF(INDEX(Manual_Review!$Q$6:$Q$238,U364)="","",INDEX(Manual_Review!$Q$6:$Q$238,U364))</f>
        <v/>
      </c>
      <c r="J364" s="5" t="str">
        <f t="shared" si="10"/>
        <v>AI provisional</v>
      </c>
      <c r="K364" s="5" t="str">
        <f t="shared" si="11"/>
        <v>U</v>
      </c>
      <c r="L364" s="5" t="s">
        <v>374</v>
      </c>
      <c r="M364" s="5" t="s">
        <v>3642</v>
      </c>
      <c r="N364" s="5" t="s">
        <v>3630</v>
      </c>
      <c r="O364" s="5" t="s">
        <v>2877</v>
      </c>
      <c r="P364" s="5" t="s">
        <v>2858</v>
      </c>
      <c r="Q364" s="11">
        <v>46306.5</v>
      </c>
      <c r="R364" s="6"/>
      <c r="S364" s="6"/>
      <c r="T364" s="6"/>
      <c r="U364" s="5">
        <f>MATCH(B364,Manual_Review!$A$6:$A$238,0)</f>
        <v>23</v>
      </c>
      <c r="V364" s="5" t="str">
        <f>IF(INDEX(Manual_Review!$G$6:$G$238,U364)="","",INDEX(Manual_Review!$G$6:$G$238,U364))</f>
        <v/>
      </c>
      <c r="W364" s="11" t="str">
        <f>IF(INDEX(Manual_Review!$H$6:$H$238,U364)="","",INDEX(Manual_Review!$H$6:$H$238,U364))</f>
        <v/>
      </c>
      <c r="X364" s="5" t="str">
        <f>IF(INDEX(Manual_Review!$I$6:$I$238,U364)="","",INDEX(Manual_Review!$I$6:$I$238,U364))</f>
        <v/>
      </c>
      <c r="Y364" s="5" t="s">
        <v>2859</v>
      </c>
    </row>
    <row r="365" spans="1:25" ht="25.5">
      <c r="A365" s="5" t="s">
        <v>3643</v>
      </c>
      <c r="B365" s="5" t="s">
        <v>376</v>
      </c>
      <c r="C365" s="5" t="s">
        <v>377</v>
      </c>
      <c r="D365" s="5" t="s">
        <v>118</v>
      </c>
      <c r="E365" s="5" t="s">
        <v>2788</v>
      </c>
      <c r="F365" s="5" t="s">
        <v>2758</v>
      </c>
      <c r="G365" s="5">
        <v>1</v>
      </c>
      <c r="H365" s="5" t="s">
        <v>2854</v>
      </c>
      <c r="I365" s="5" t="str">
        <f>IF(INDEX(Manual_Review!$R$6:$R$238,U365)="","",INDEX(Manual_Review!$R$6:$R$238,U365))</f>
        <v/>
      </c>
      <c r="J365" s="5" t="str">
        <f t="shared" si="10"/>
        <v>AI provisional</v>
      </c>
      <c r="K365" s="5" t="str">
        <f t="shared" si="11"/>
        <v>Y</v>
      </c>
      <c r="L365" s="5" t="s">
        <v>374</v>
      </c>
      <c r="M365" s="5" t="s">
        <v>3644</v>
      </c>
      <c r="N365" s="5" t="s">
        <v>3630</v>
      </c>
      <c r="O365" s="5" t="s">
        <v>3067</v>
      </c>
      <c r="P365" s="5" t="s">
        <v>2858</v>
      </c>
      <c r="Q365" s="11">
        <v>46306.5</v>
      </c>
      <c r="R365" s="6"/>
      <c r="S365" s="6"/>
      <c r="T365" s="6"/>
      <c r="U365" s="5">
        <f>MATCH(B365,Manual_Review!$A$6:$A$238,0)</f>
        <v>23</v>
      </c>
      <c r="V365" s="5" t="str">
        <f>IF(INDEX(Manual_Review!$G$6:$G$238,U365)="","",INDEX(Manual_Review!$G$6:$G$238,U365))</f>
        <v/>
      </c>
      <c r="W365" s="11" t="str">
        <f>IF(INDEX(Manual_Review!$H$6:$H$238,U365)="","",INDEX(Manual_Review!$H$6:$H$238,U365))</f>
        <v/>
      </c>
      <c r="X365" s="5" t="str">
        <f>IF(INDEX(Manual_Review!$I$6:$I$238,U365)="","",INDEX(Manual_Review!$I$6:$I$238,U365))</f>
        <v/>
      </c>
      <c r="Y365" s="5" t="s">
        <v>2859</v>
      </c>
    </row>
    <row r="366" spans="1:25" ht="25.5">
      <c r="A366" s="5" t="s">
        <v>3645</v>
      </c>
      <c r="B366" s="5" t="s">
        <v>376</v>
      </c>
      <c r="C366" s="5" t="s">
        <v>377</v>
      </c>
      <c r="D366" s="5" t="s">
        <v>118</v>
      </c>
      <c r="E366" s="5" t="s">
        <v>2789</v>
      </c>
      <c r="F366" s="5" t="s">
        <v>2758</v>
      </c>
      <c r="G366" s="5">
        <v>1</v>
      </c>
      <c r="H366" s="5" t="s">
        <v>2864</v>
      </c>
      <c r="I366" s="5" t="str">
        <f>IF(INDEX(Manual_Review!$S$6:$S$238,U366)="","",INDEX(Manual_Review!$S$6:$S$238,U366))</f>
        <v/>
      </c>
      <c r="J366" s="5" t="str">
        <f t="shared" si="10"/>
        <v>AI provisional</v>
      </c>
      <c r="K366" s="5" t="str">
        <f t="shared" si="11"/>
        <v>U</v>
      </c>
      <c r="L366" s="5" t="s">
        <v>374</v>
      </c>
      <c r="M366" s="5" t="s">
        <v>3646</v>
      </c>
      <c r="N366" s="5" t="s">
        <v>3630</v>
      </c>
      <c r="O366" s="5" t="s">
        <v>2883</v>
      </c>
      <c r="P366" s="5" t="s">
        <v>2858</v>
      </c>
      <c r="Q366" s="11">
        <v>46306.5</v>
      </c>
      <c r="R366" s="6"/>
      <c r="S366" s="6"/>
      <c r="T366" s="6"/>
      <c r="U366" s="5">
        <f>MATCH(B366,Manual_Review!$A$6:$A$238,0)</f>
        <v>23</v>
      </c>
      <c r="V366" s="5" t="str">
        <f>IF(INDEX(Manual_Review!$G$6:$G$238,U366)="","",INDEX(Manual_Review!$G$6:$G$238,U366))</f>
        <v/>
      </c>
      <c r="W366" s="11" t="str">
        <f>IF(INDEX(Manual_Review!$H$6:$H$238,U366)="","",INDEX(Manual_Review!$H$6:$H$238,U366))</f>
        <v/>
      </c>
      <c r="X366" s="5" t="str">
        <f>IF(INDEX(Manual_Review!$I$6:$I$238,U366)="","",INDEX(Manual_Review!$I$6:$I$238,U366))</f>
        <v/>
      </c>
      <c r="Y366" s="5" t="s">
        <v>2859</v>
      </c>
    </row>
    <row r="367" spans="1:25" ht="25.5">
      <c r="A367" s="5" t="s">
        <v>3647</v>
      </c>
      <c r="B367" s="5" t="s">
        <v>376</v>
      </c>
      <c r="C367" s="5" t="s">
        <v>377</v>
      </c>
      <c r="D367" s="5" t="s">
        <v>118</v>
      </c>
      <c r="E367" s="5" t="s">
        <v>2790</v>
      </c>
      <c r="F367" s="5" t="s">
        <v>2760</v>
      </c>
      <c r="G367" s="5">
        <v>1</v>
      </c>
      <c r="H367" s="5" t="s">
        <v>2864</v>
      </c>
      <c r="I367" s="5" t="str">
        <f>IF(INDEX(Manual_Review!$T$6:$T$238,U367)="","",INDEX(Manual_Review!$T$6:$T$238,U367))</f>
        <v/>
      </c>
      <c r="J367" s="5" t="str">
        <f t="shared" si="10"/>
        <v>AI provisional</v>
      </c>
      <c r="K367" s="5" t="str">
        <f t="shared" si="11"/>
        <v>U</v>
      </c>
      <c r="L367" s="5" t="s">
        <v>374</v>
      </c>
      <c r="M367" s="5" t="s">
        <v>3634</v>
      </c>
      <c r="N367" s="5" t="s">
        <v>3630</v>
      </c>
      <c r="O367" s="5" t="s">
        <v>2885</v>
      </c>
      <c r="P367" s="5" t="s">
        <v>2858</v>
      </c>
      <c r="Q367" s="11">
        <v>46306.5</v>
      </c>
      <c r="R367" s="6"/>
      <c r="S367" s="6"/>
      <c r="T367" s="6"/>
      <c r="U367" s="5">
        <f>MATCH(B367,Manual_Review!$A$6:$A$238,0)</f>
        <v>23</v>
      </c>
      <c r="V367" s="5" t="str">
        <f>IF(INDEX(Manual_Review!$G$6:$G$238,U367)="","",INDEX(Manual_Review!$G$6:$G$238,U367))</f>
        <v/>
      </c>
      <c r="W367" s="11" t="str">
        <f>IF(INDEX(Manual_Review!$H$6:$H$238,U367)="","",INDEX(Manual_Review!$H$6:$H$238,U367))</f>
        <v/>
      </c>
      <c r="X367" s="5" t="str">
        <f>IF(INDEX(Manual_Review!$I$6:$I$238,U367)="","",INDEX(Manual_Review!$I$6:$I$238,U367))</f>
        <v/>
      </c>
      <c r="Y367" s="5" t="s">
        <v>2859</v>
      </c>
    </row>
    <row r="368" spans="1:25" ht="25.5">
      <c r="A368" s="5" t="s">
        <v>3648</v>
      </c>
      <c r="B368" s="5" t="s">
        <v>376</v>
      </c>
      <c r="C368" s="5" t="s">
        <v>377</v>
      </c>
      <c r="D368" s="5" t="s">
        <v>118</v>
      </c>
      <c r="E368" s="5" t="s">
        <v>2791</v>
      </c>
      <c r="F368" s="5" t="s">
        <v>2760</v>
      </c>
      <c r="G368" s="5">
        <v>1</v>
      </c>
      <c r="H368" s="5" t="s">
        <v>2864</v>
      </c>
      <c r="I368" s="5" t="str">
        <f>IF(INDEX(Manual_Review!$U$6:$U$238,U368)="","",INDEX(Manual_Review!$U$6:$U$238,U368))</f>
        <v/>
      </c>
      <c r="J368" s="5" t="str">
        <f t="shared" si="10"/>
        <v>AI provisional</v>
      </c>
      <c r="K368" s="5" t="str">
        <f t="shared" si="11"/>
        <v>U</v>
      </c>
      <c r="L368" s="5" t="s">
        <v>374</v>
      </c>
      <c r="M368" s="5" t="s">
        <v>3649</v>
      </c>
      <c r="N368" s="5" t="s">
        <v>3630</v>
      </c>
      <c r="O368" s="5" t="s">
        <v>2888</v>
      </c>
      <c r="P368" s="5" t="s">
        <v>2858</v>
      </c>
      <c r="Q368" s="11">
        <v>46306.5</v>
      </c>
      <c r="R368" s="6"/>
      <c r="S368" s="6"/>
      <c r="T368" s="6"/>
      <c r="U368" s="5">
        <f>MATCH(B368,Manual_Review!$A$6:$A$238,0)</f>
        <v>23</v>
      </c>
      <c r="V368" s="5" t="str">
        <f>IF(INDEX(Manual_Review!$G$6:$G$238,U368)="","",INDEX(Manual_Review!$G$6:$G$238,U368))</f>
        <v/>
      </c>
      <c r="W368" s="11" t="str">
        <f>IF(INDEX(Manual_Review!$H$6:$H$238,U368)="","",INDEX(Manual_Review!$H$6:$H$238,U368))</f>
        <v/>
      </c>
      <c r="X368" s="5" t="str">
        <f>IF(INDEX(Manual_Review!$I$6:$I$238,U368)="","",INDEX(Manual_Review!$I$6:$I$238,U368))</f>
        <v/>
      </c>
      <c r="Y368" s="5" t="s">
        <v>2859</v>
      </c>
    </row>
    <row r="369" spans="1:25" ht="25.5">
      <c r="A369" s="5" t="s">
        <v>3650</v>
      </c>
      <c r="B369" s="5" t="s">
        <v>376</v>
      </c>
      <c r="C369" s="5" t="s">
        <v>377</v>
      </c>
      <c r="D369" s="5" t="s">
        <v>118</v>
      </c>
      <c r="E369" s="5" t="s">
        <v>2792</v>
      </c>
      <c r="F369" s="5" t="s">
        <v>2762</v>
      </c>
      <c r="G369" s="5">
        <v>1</v>
      </c>
      <c r="H369" s="5" t="s">
        <v>2854</v>
      </c>
      <c r="I369" s="5" t="str">
        <f>IF(INDEX(Manual_Review!$V$6:$V$238,U369)="","",INDEX(Manual_Review!$V$6:$V$238,U369))</f>
        <v/>
      </c>
      <c r="J369" s="5" t="str">
        <f t="shared" si="10"/>
        <v>AI provisional</v>
      </c>
      <c r="K369" s="5" t="str">
        <f t="shared" si="11"/>
        <v>Y</v>
      </c>
      <c r="L369" s="5" t="s">
        <v>374</v>
      </c>
      <c r="M369" s="5" t="s">
        <v>3651</v>
      </c>
      <c r="N369" s="5" t="s">
        <v>3630</v>
      </c>
      <c r="O369" s="5" t="s">
        <v>3152</v>
      </c>
      <c r="P369" s="5" t="s">
        <v>2858</v>
      </c>
      <c r="Q369" s="11">
        <v>46306.5</v>
      </c>
      <c r="R369" s="6"/>
      <c r="S369" s="6"/>
      <c r="T369" s="6"/>
      <c r="U369" s="5">
        <f>MATCH(B369,Manual_Review!$A$6:$A$238,0)</f>
        <v>23</v>
      </c>
      <c r="V369" s="5" t="str">
        <f>IF(INDEX(Manual_Review!$G$6:$G$238,U369)="","",INDEX(Manual_Review!$G$6:$G$238,U369))</f>
        <v/>
      </c>
      <c r="W369" s="11" t="str">
        <f>IF(INDEX(Manual_Review!$H$6:$H$238,U369)="","",INDEX(Manual_Review!$H$6:$H$238,U369))</f>
        <v/>
      </c>
      <c r="X369" s="5" t="str">
        <f>IF(INDEX(Manual_Review!$I$6:$I$238,U369)="","",INDEX(Manual_Review!$I$6:$I$238,U369))</f>
        <v/>
      </c>
      <c r="Y369" s="5" t="s">
        <v>2859</v>
      </c>
    </row>
    <row r="370" spans="1:25" ht="25.5">
      <c r="A370" s="5" t="s">
        <v>3652</v>
      </c>
      <c r="B370" s="5" t="s">
        <v>376</v>
      </c>
      <c r="C370" s="5" t="s">
        <v>377</v>
      </c>
      <c r="D370" s="5" t="s">
        <v>118</v>
      </c>
      <c r="E370" s="5" t="s">
        <v>2793</v>
      </c>
      <c r="F370" s="5" t="s">
        <v>2762</v>
      </c>
      <c r="G370" s="5">
        <v>1</v>
      </c>
      <c r="H370" s="5" t="s">
        <v>2864</v>
      </c>
      <c r="I370" s="5" t="str">
        <f>IF(INDEX(Manual_Review!$W$6:$W$238,U370)="","",INDEX(Manual_Review!$W$6:$W$238,U370))</f>
        <v/>
      </c>
      <c r="J370" s="5" t="str">
        <f t="shared" si="10"/>
        <v>AI provisional</v>
      </c>
      <c r="K370" s="5" t="str">
        <f t="shared" si="11"/>
        <v>U</v>
      </c>
      <c r="L370" s="5" t="s">
        <v>374</v>
      </c>
      <c r="M370" s="5" t="s">
        <v>3653</v>
      </c>
      <c r="N370" s="5" t="s">
        <v>3630</v>
      </c>
      <c r="O370" s="5" t="s">
        <v>2893</v>
      </c>
      <c r="P370" s="5" t="s">
        <v>2858</v>
      </c>
      <c r="Q370" s="11">
        <v>46306.5</v>
      </c>
      <c r="R370" s="6"/>
      <c r="S370" s="6"/>
      <c r="T370" s="6"/>
      <c r="U370" s="5">
        <f>MATCH(B370,Manual_Review!$A$6:$A$238,0)</f>
        <v>23</v>
      </c>
      <c r="V370" s="5" t="str">
        <f>IF(INDEX(Manual_Review!$G$6:$G$238,U370)="","",INDEX(Manual_Review!$G$6:$G$238,U370))</f>
        <v/>
      </c>
      <c r="W370" s="11" t="str">
        <f>IF(INDEX(Manual_Review!$H$6:$H$238,U370)="","",INDEX(Manual_Review!$H$6:$H$238,U370))</f>
        <v/>
      </c>
      <c r="X370" s="5" t="str">
        <f>IF(INDEX(Manual_Review!$I$6:$I$238,U370)="","",INDEX(Manual_Review!$I$6:$I$238,U370))</f>
        <v/>
      </c>
      <c r="Y370" s="5" t="s">
        <v>2859</v>
      </c>
    </row>
    <row r="371" spans="1:25" ht="25.5">
      <c r="A371" s="5" t="s">
        <v>3654</v>
      </c>
      <c r="B371" s="5" t="s">
        <v>376</v>
      </c>
      <c r="C371" s="5" t="s">
        <v>377</v>
      </c>
      <c r="D371" s="5" t="s">
        <v>118</v>
      </c>
      <c r="E371" s="5" t="s">
        <v>2794</v>
      </c>
      <c r="F371" s="5" t="s">
        <v>2764</v>
      </c>
      <c r="G371" s="5">
        <v>1</v>
      </c>
      <c r="H371" s="5" t="s">
        <v>2854</v>
      </c>
      <c r="I371" s="5" t="str">
        <f>IF(INDEX(Manual_Review!$X$6:$X$238,U371)="","",INDEX(Manual_Review!$X$6:$X$238,U371))</f>
        <v/>
      </c>
      <c r="J371" s="5" t="str">
        <f t="shared" si="10"/>
        <v>AI provisional</v>
      </c>
      <c r="K371" s="5" t="str">
        <f t="shared" si="11"/>
        <v>Y</v>
      </c>
      <c r="L371" s="5" t="s">
        <v>374</v>
      </c>
      <c r="M371" s="5" t="s">
        <v>3655</v>
      </c>
      <c r="N371" s="5" t="s">
        <v>3630</v>
      </c>
      <c r="O371" s="5" t="s">
        <v>2984</v>
      </c>
      <c r="P371" s="5" t="s">
        <v>2858</v>
      </c>
      <c r="Q371" s="11">
        <v>46306.5</v>
      </c>
      <c r="R371" s="6"/>
      <c r="S371" s="6"/>
      <c r="T371" s="6"/>
      <c r="U371" s="5">
        <f>MATCH(B371,Manual_Review!$A$6:$A$238,0)</f>
        <v>23</v>
      </c>
      <c r="V371" s="5" t="str">
        <f>IF(INDEX(Manual_Review!$G$6:$G$238,U371)="","",INDEX(Manual_Review!$G$6:$G$238,U371))</f>
        <v/>
      </c>
      <c r="W371" s="11" t="str">
        <f>IF(INDEX(Manual_Review!$H$6:$H$238,U371)="","",INDEX(Manual_Review!$H$6:$H$238,U371))</f>
        <v/>
      </c>
      <c r="X371" s="5" t="str">
        <f>IF(INDEX(Manual_Review!$I$6:$I$238,U371)="","",INDEX(Manual_Review!$I$6:$I$238,U371))</f>
        <v/>
      </c>
      <c r="Y371" s="5" t="s">
        <v>2859</v>
      </c>
    </row>
    <row r="372" spans="1:25" ht="25.5">
      <c r="A372" s="5" t="s">
        <v>3656</v>
      </c>
      <c r="B372" s="5" t="s">
        <v>376</v>
      </c>
      <c r="C372" s="5" t="s">
        <v>377</v>
      </c>
      <c r="D372" s="5" t="s">
        <v>118</v>
      </c>
      <c r="E372" s="5" t="s">
        <v>2795</v>
      </c>
      <c r="F372" s="5" t="s">
        <v>2764</v>
      </c>
      <c r="G372" s="5">
        <v>1</v>
      </c>
      <c r="H372" s="5" t="s">
        <v>2864</v>
      </c>
      <c r="I372" s="5" t="str">
        <f>IF(INDEX(Manual_Review!$Y$6:$Y$238,U372)="","",INDEX(Manual_Review!$Y$6:$Y$238,U372))</f>
        <v/>
      </c>
      <c r="J372" s="5" t="str">
        <f t="shared" si="10"/>
        <v>AI provisional</v>
      </c>
      <c r="K372" s="5" t="str">
        <f t="shared" si="11"/>
        <v>U</v>
      </c>
      <c r="L372" s="5" t="s">
        <v>374</v>
      </c>
      <c r="M372" s="5" t="s">
        <v>3657</v>
      </c>
      <c r="N372" s="5" t="s">
        <v>3630</v>
      </c>
      <c r="O372" s="5" t="s">
        <v>2897</v>
      </c>
      <c r="P372" s="5" t="s">
        <v>2858</v>
      </c>
      <c r="Q372" s="11">
        <v>46306.5</v>
      </c>
      <c r="R372" s="6"/>
      <c r="S372" s="6"/>
      <c r="T372" s="6"/>
      <c r="U372" s="5">
        <f>MATCH(B372,Manual_Review!$A$6:$A$238,0)</f>
        <v>23</v>
      </c>
      <c r="V372" s="5" t="str">
        <f>IF(INDEX(Manual_Review!$G$6:$G$238,U372)="","",INDEX(Manual_Review!$G$6:$G$238,U372))</f>
        <v/>
      </c>
      <c r="W372" s="11" t="str">
        <f>IF(INDEX(Manual_Review!$H$6:$H$238,U372)="","",INDEX(Manual_Review!$H$6:$H$238,U372))</f>
        <v/>
      </c>
      <c r="X372" s="5" t="str">
        <f>IF(INDEX(Manual_Review!$I$6:$I$238,U372)="","",INDEX(Manual_Review!$I$6:$I$238,U372))</f>
        <v/>
      </c>
      <c r="Y372" s="5" t="s">
        <v>2859</v>
      </c>
    </row>
    <row r="373" spans="1:25" ht="25.5">
      <c r="A373" s="5" t="s">
        <v>3658</v>
      </c>
      <c r="B373" s="5" t="s">
        <v>376</v>
      </c>
      <c r="C373" s="5" t="s">
        <v>377</v>
      </c>
      <c r="D373" s="5" t="s">
        <v>118</v>
      </c>
      <c r="E373" s="5" t="s">
        <v>2796</v>
      </c>
      <c r="F373" s="5" t="s">
        <v>2764</v>
      </c>
      <c r="G373" s="5">
        <v>1</v>
      </c>
      <c r="H373" s="5" t="s">
        <v>2854</v>
      </c>
      <c r="I373" s="5" t="str">
        <f>IF(INDEX(Manual_Review!$Z$6:$Z$238,U373)="","",INDEX(Manual_Review!$Z$6:$Z$238,U373))</f>
        <v/>
      </c>
      <c r="J373" s="5" t="str">
        <f t="shared" si="10"/>
        <v>AI provisional</v>
      </c>
      <c r="K373" s="5" t="str">
        <f t="shared" si="11"/>
        <v>Y</v>
      </c>
      <c r="L373" s="5" t="s">
        <v>374</v>
      </c>
      <c r="M373" s="5" t="s">
        <v>3659</v>
      </c>
      <c r="N373" s="5" t="s">
        <v>3630</v>
      </c>
      <c r="O373" s="5" t="s">
        <v>3085</v>
      </c>
      <c r="P373" s="5" t="s">
        <v>2858</v>
      </c>
      <c r="Q373" s="11">
        <v>46306.5</v>
      </c>
      <c r="R373" s="6"/>
      <c r="S373" s="6"/>
      <c r="T373" s="6"/>
      <c r="U373" s="5">
        <f>MATCH(B373,Manual_Review!$A$6:$A$238,0)</f>
        <v>23</v>
      </c>
      <c r="V373" s="5" t="str">
        <f>IF(INDEX(Manual_Review!$G$6:$G$238,U373)="","",INDEX(Manual_Review!$G$6:$G$238,U373))</f>
        <v/>
      </c>
      <c r="W373" s="11" t="str">
        <f>IF(INDEX(Manual_Review!$H$6:$H$238,U373)="","",INDEX(Manual_Review!$H$6:$H$238,U373))</f>
        <v/>
      </c>
      <c r="X373" s="5" t="str">
        <f>IF(INDEX(Manual_Review!$I$6:$I$238,U373)="","",INDEX(Manual_Review!$I$6:$I$238,U373))</f>
        <v/>
      </c>
      <c r="Y373" s="5" t="s">
        <v>2859</v>
      </c>
    </row>
    <row r="374" spans="1:25" ht="25.5">
      <c r="A374" s="5" t="s">
        <v>3660</v>
      </c>
      <c r="B374" s="5" t="s">
        <v>387</v>
      </c>
      <c r="C374" s="5" t="s">
        <v>388</v>
      </c>
      <c r="D374" s="5" t="s">
        <v>118</v>
      </c>
      <c r="E374" s="5" t="s">
        <v>2781</v>
      </c>
      <c r="F374" s="5" t="s">
        <v>2754</v>
      </c>
      <c r="G374" s="5">
        <v>1</v>
      </c>
      <c r="H374" s="5" t="s">
        <v>2854</v>
      </c>
      <c r="I374" s="5" t="str">
        <f>IF(INDEX(Manual_Review!$K$6:$K$238,U374)="","",INDEX(Manual_Review!$K$6:$K$238,U374))</f>
        <v/>
      </c>
      <c r="J374" s="5" t="str">
        <f t="shared" si="10"/>
        <v>AI provisional</v>
      </c>
      <c r="K374" s="5" t="str">
        <f t="shared" si="11"/>
        <v>Y</v>
      </c>
      <c r="L374" s="5" t="s">
        <v>395</v>
      </c>
      <c r="M374" s="5" t="s">
        <v>3661</v>
      </c>
      <c r="N374" s="5" t="s">
        <v>3662</v>
      </c>
      <c r="O374" s="5" t="s">
        <v>2857</v>
      </c>
      <c r="P374" s="5" t="s">
        <v>2858</v>
      </c>
      <c r="Q374" s="11">
        <v>46306.5</v>
      </c>
      <c r="R374" s="6"/>
      <c r="S374" s="6"/>
      <c r="T374" s="6"/>
      <c r="U374" s="5">
        <f>MATCH(B374,Manual_Review!$A$6:$A$238,0)</f>
        <v>24</v>
      </c>
      <c r="V374" s="5" t="str">
        <f>IF(INDEX(Manual_Review!$G$6:$G$238,U374)="","",INDEX(Manual_Review!$G$6:$G$238,U374))</f>
        <v/>
      </c>
      <c r="W374" s="11" t="str">
        <f>IF(INDEX(Manual_Review!$H$6:$H$238,U374)="","",INDEX(Manual_Review!$H$6:$H$238,U374))</f>
        <v/>
      </c>
      <c r="X374" s="5" t="str">
        <f>IF(INDEX(Manual_Review!$I$6:$I$238,U374)="","",INDEX(Manual_Review!$I$6:$I$238,U374))</f>
        <v/>
      </c>
      <c r="Y374" s="5" t="s">
        <v>2859</v>
      </c>
    </row>
    <row r="375" spans="1:25" ht="25.5">
      <c r="A375" s="5" t="s">
        <v>3663</v>
      </c>
      <c r="B375" s="5" t="s">
        <v>387</v>
      </c>
      <c r="C375" s="5" t="s">
        <v>388</v>
      </c>
      <c r="D375" s="5" t="s">
        <v>118</v>
      </c>
      <c r="E375" s="5" t="s">
        <v>2782</v>
      </c>
      <c r="F375" s="5" t="s">
        <v>2754</v>
      </c>
      <c r="G375" s="5">
        <v>1</v>
      </c>
      <c r="H375" s="5" t="s">
        <v>2854</v>
      </c>
      <c r="I375" s="5" t="str">
        <f>IF(INDEX(Manual_Review!$L$6:$L$238,U375)="","",INDEX(Manual_Review!$L$6:$L$238,U375))</f>
        <v/>
      </c>
      <c r="J375" s="5" t="str">
        <f t="shared" si="10"/>
        <v>AI provisional</v>
      </c>
      <c r="K375" s="5" t="str">
        <f t="shared" si="11"/>
        <v>Y</v>
      </c>
      <c r="L375" s="5" t="s">
        <v>395</v>
      </c>
      <c r="M375" s="5" t="s">
        <v>3664</v>
      </c>
      <c r="N375" s="5" t="s">
        <v>3662</v>
      </c>
      <c r="O375" s="5" t="s">
        <v>2862</v>
      </c>
      <c r="P375" s="5" t="s">
        <v>2858</v>
      </c>
      <c r="Q375" s="11">
        <v>46306.5</v>
      </c>
      <c r="R375" s="6"/>
      <c r="S375" s="6"/>
      <c r="T375" s="6"/>
      <c r="U375" s="5">
        <f>MATCH(B375,Manual_Review!$A$6:$A$238,0)</f>
        <v>24</v>
      </c>
      <c r="V375" s="5" t="str">
        <f>IF(INDEX(Manual_Review!$G$6:$G$238,U375)="","",INDEX(Manual_Review!$G$6:$G$238,U375))</f>
        <v/>
      </c>
      <c r="W375" s="11" t="str">
        <f>IF(INDEX(Manual_Review!$H$6:$H$238,U375)="","",INDEX(Manual_Review!$H$6:$H$238,U375))</f>
        <v/>
      </c>
      <c r="X375" s="5" t="str">
        <f>IF(INDEX(Manual_Review!$I$6:$I$238,U375)="","",INDEX(Manual_Review!$I$6:$I$238,U375))</f>
        <v/>
      </c>
      <c r="Y375" s="5" t="s">
        <v>2859</v>
      </c>
    </row>
    <row r="376" spans="1:25" ht="25.5">
      <c r="A376" s="5" t="s">
        <v>3665</v>
      </c>
      <c r="B376" s="5" t="s">
        <v>387</v>
      </c>
      <c r="C376" s="5" t="s">
        <v>388</v>
      </c>
      <c r="D376" s="5" t="s">
        <v>118</v>
      </c>
      <c r="E376" s="5" t="s">
        <v>2783</v>
      </c>
      <c r="F376" s="5" t="s">
        <v>2754</v>
      </c>
      <c r="G376" s="5">
        <v>1</v>
      </c>
      <c r="H376" s="5" t="s">
        <v>2864</v>
      </c>
      <c r="I376" s="5" t="str">
        <f>IF(INDEX(Manual_Review!$M$6:$M$238,U376)="","",INDEX(Manual_Review!$M$6:$M$238,U376))</f>
        <v/>
      </c>
      <c r="J376" s="5" t="str">
        <f t="shared" si="10"/>
        <v>AI provisional</v>
      </c>
      <c r="K376" s="5" t="str">
        <f t="shared" si="11"/>
        <v>U</v>
      </c>
      <c r="L376" s="5" t="s">
        <v>395</v>
      </c>
      <c r="M376" s="5" t="s">
        <v>3666</v>
      </c>
      <c r="N376" s="5" t="s">
        <v>3662</v>
      </c>
      <c r="O376" s="5" t="s">
        <v>2866</v>
      </c>
      <c r="P376" s="5" t="s">
        <v>2858</v>
      </c>
      <c r="Q376" s="11">
        <v>46306.5</v>
      </c>
      <c r="R376" s="6"/>
      <c r="S376" s="6"/>
      <c r="T376" s="6"/>
      <c r="U376" s="5">
        <f>MATCH(B376,Manual_Review!$A$6:$A$238,0)</f>
        <v>24</v>
      </c>
      <c r="V376" s="5" t="str">
        <f>IF(INDEX(Manual_Review!$G$6:$G$238,U376)="","",INDEX(Manual_Review!$G$6:$G$238,U376))</f>
        <v/>
      </c>
      <c r="W376" s="11" t="str">
        <f>IF(INDEX(Manual_Review!$H$6:$H$238,U376)="","",INDEX(Manual_Review!$H$6:$H$238,U376))</f>
        <v/>
      </c>
      <c r="X376" s="5" t="str">
        <f>IF(INDEX(Manual_Review!$I$6:$I$238,U376)="","",INDEX(Manual_Review!$I$6:$I$238,U376))</f>
        <v/>
      </c>
      <c r="Y376" s="5" t="s">
        <v>2859</v>
      </c>
    </row>
    <row r="377" spans="1:25" ht="25.5">
      <c r="A377" s="5" t="s">
        <v>3667</v>
      </c>
      <c r="B377" s="5" t="s">
        <v>387</v>
      </c>
      <c r="C377" s="5" t="s">
        <v>388</v>
      </c>
      <c r="D377" s="5" t="s">
        <v>118</v>
      </c>
      <c r="E377" s="5" t="s">
        <v>2784</v>
      </c>
      <c r="F377" s="5" t="s">
        <v>2756</v>
      </c>
      <c r="G377" s="5">
        <v>1</v>
      </c>
      <c r="H377" s="5" t="s">
        <v>2864</v>
      </c>
      <c r="I377" s="5" t="str">
        <f>IF(INDEX(Manual_Review!$N$6:$N$238,U377)="","",INDEX(Manual_Review!$N$6:$N$238,U377))</f>
        <v/>
      </c>
      <c r="J377" s="5" t="str">
        <f t="shared" si="10"/>
        <v>AI provisional</v>
      </c>
      <c r="K377" s="5" t="str">
        <f t="shared" si="11"/>
        <v>U</v>
      </c>
      <c r="L377" s="5" t="s">
        <v>395</v>
      </c>
      <c r="M377" s="5" t="s">
        <v>3668</v>
      </c>
      <c r="N377" s="5" t="s">
        <v>3662</v>
      </c>
      <c r="O377" s="5" t="s">
        <v>2869</v>
      </c>
      <c r="P377" s="5" t="s">
        <v>2858</v>
      </c>
      <c r="Q377" s="11">
        <v>46306.5</v>
      </c>
      <c r="R377" s="6"/>
      <c r="S377" s="6"/>
      <c r="T377" s="6"/>
      <c r="U377" s="5">
        <f>MATCH(B377,Manual_Review!$A$6:$A$238,0)</f>
        <v>24</v>
      </c>
      <c r="V377" s="5" t="str">
        <f>IF(INDEX(Manual_Review!$G$6:$G$238,U377)="","",INDEX(Manual_Review!$G$6:$G$238,U377))</f>
        <v/>
      </c>
      <c r="W377" s="11" t="str">
        <f>IF(INDEX(Manual_Review!$H$6:$H$238,U377)="","",INDEX(Manual_Review!$H$6:$H$238,U377))</f>
        <v/>
      </c>
      <c r="X377" s="5" t="str">
        <f>IF(INDEX(Manual_Review!$I$6:$I$238,U377)="","",INDEX(Manual_Review!$I$6:$I$238,U377))</f>
        <v/>
      </c>
      <c r="Y377" s="5" t="s">
        <v>2859</v>
      </c>
    </row>
    <row r="378" spans="1:25" ht="25.5">
      <c r="A378" s="5" t="s">
        <v>3669</v>
      </c>
      <c r="B378" s="5" t="s">
        <v>387</v>
      </c>
      <c r="C378" s="5" t="s">
        <v>388</v>
      </c>
      <c r="D378" s="5" t="s">
        <v>118</v>
      </c>
      <c r="E378" s="5" t="s">
        <v>2785</v>
      </c>
      <c r="F378" s="5" t="s">
        <v>2756</v>
      </c>
      <c r="G378" s="5">
        <v>1</v>
      </c>
      <c r="H378" s="5" t="s">
        <v>2864</v>
      </c>
      <c r="I378" s="5" t="str">
        <f>IF(INDEX(Manual_Review!$O$6:$O$238,U378)="","",INDEX(Manual_Review!$O$6:$O$238,U378))</f>
        <v/>
      </c>
      <c r="J378" s="5" t="str">
        <f t="shared" si="10"/>
        <v>AI provisional</v>
      </c>
      <c r="K378" s="5" t="str">
        <f t="shared" si="11"/>
        <v>U</v>
      </c>
      <c r="L378" s="5" t="s">
        <v>395</v>
      </c>
      <c r="M378" s="5" t="s">
        <v>3670</v>
      </c>
      <c r="N378" s="5" t="s">
        <v>3662</v>
      </c>
      <c r="O378" s="5" t="s">
        <v>2872</v>
      </c>
      <c r="P378" s="5" t="s">
        <v>2858</v>
      </c>
      <c r="Q378" s="11">
        <v>46306.5</v>
      </c>
      <c r="R378" s="6"/>
      <c r="S378" s="6"/>
      <c r="T378" s="6"/>
      <c r="U378" s="5">
        <f>MATCH(B378,Manual_Review!$A$6:$A$238,0)</f>
        <v>24</v>
      </c>
      <c r="V378" s="5" t="str">
        <f>IF(INDEX(Manual_Review!$G$6:$G$238,U378)="","",INDEX(Manual_Review!$G$6:$G$238,U378))</f>
        <v/>
      </c>
      <c r="W378" s="11" t="str">
        <f>IF(INDEX(Manual_Review!$H$6:$H$238,U378)="","",INDEX(Manual_Review!$H$6:$H$238,U378))</f>
        <v/>
      </c>
      <c r="X378" s="5" t="str">
        <f>IF(INDEX(Manual_Review!$I$6:$I$238,U378)="","",INDEX(Manual_Review!$I$6:$I$238,U378))</f>
        <v/>
      </c>
      <c r="Y378" s="5" t="s">
        <v>2859</v>
      </c>
    </row>
    <row r="379" spans="1:25" ht="25.5">
      <c r="A379" s="5" t="s">
        <v>3671</v>
      </c>
      <c r="B379" s="5" t="s">
        <v>387</v>
      </c>
      <c r="C379" s="5" t="s">
        <v>388</v>
      </c>
      <c r="D379" s="5" t="s">
        <v>118</v>
      </c>
      <c r="E379" s="5" t="s">
        <v>2786</v>
      </c>
      <c r="F379" s="5" t="s">
        <v>2756</v>
      </c>
      <c r="G379" s="5">
        <v>1</v>
      </c>
      <c r="H379" s="5" t="s">
        <v>2864</v>
      </c>
      <c r="I379" s="5" t="str">
        <f>IF(INDEX(Manual_Review!$P$6:$P$238,U379)="","",INDEX(Manual_Review!$P$6:$P$238,U379))</f>
        <v/>
      </c>
      <c r="J379" s="5" t="str">
        <f t="shared" si="10"/>
        <v>AI provisional</v>
      </c>
      <c r="K379" s="5" t="str">
        <f t="shared" si="11"/>
        <v>U</v>
      </c>
      <c r="L379" s="5" t="s">
        <v>395</v>
      </c>
      <c r="M379" s="5" t="s">
        <v>3666</v>
      </c>
      <c r="N379" s="5" t="s">
        <v>3662</v>
      </c>
      <c r="O379" s="5" t="s">
        <v>2874</v>
      </c>
      <c r="P379" s="5" t="s">
        <v>2858</v>
      </c>
      <c r="Q379" s="11">
        <v>46306.5</v>
      </c>
      <c r="R379" s="6"/>
      <c r="S379" s="6"/>
      <c r="T379" s="6"/>
      <c r="U379" s="5">
        <f>MATCH(B379,Manual_Review!$A$6:$A$238,0)</f>
        <v>24</v>
      </c>
      <c r="V379" s="5" t="str">
        <f>IF(INDEX(Manual_Review!$G$6:$G$238,U379)="","",INDEX(Manual_Review!$G$6:$G$238,U379))</f>
        <v/>
      </c>
      <c r="W379" s="11" t="str">
        <f>IF(INDEX(Manual_Review!$H$6:$H$238,U379)="","",INDEX(Manual_Review!$H$6:$H$238,U379))</f>
        <v/>
      </c>
      <c r="X379" s="5" t="str">
        <f>IF(INDEX(Manual_Review!$I$6:$I$238,U379)="","",INDEX(Manual_Review!$I$6:$I$238,U379))</f>
        <v/>
      </c>
      <c r="Y379" s="5" t="s">
        <v>2859</v>
      </c>
    </row>
    <row r="380" spans="1:25" ht="25.5">
      <c r="A380" s="5" t="s">
        <v>3672</v>
      </c>
      <c r="B380" s="5" t="s">
        <v>387</v>
      </c>
      <c r="C380" s="5" t="s">
        <v>388</v>
      </c>
      <c r="D380" s="5" t="s">
        <v>118</v>
      </c>
      <c r="E380" s="5" t="s">
        <v>2787</v>
      </c>
      <c r="F380" s="5" t="s">
        <v>2758</v>
      </c>
      <c r="G380" s="5">
        <v>1</v>
      </c>
      <c r="H380" s="5" t="s">
        <v>2864</v>
      </c>
      <c r="I380" s="5" t="str">
        <f>IF(INDEX(Manual_Review!$Q$6:$Q$238,U380)="","",INDEX(Manual_Review!$Q$6:$Q$238,U380))</f>
        <v/>
      </c>
      <c r="J380" s="5" t="str">
        <f t="shared" si="10"/>
        <v>AI provisional</v>
      </c>
      <c r="K380" s="5" t="str">
        <f t="shared" si="11"/>
        <v>U</v>
      </c>
      <c r="L380" s="5" t="s">
        <v>395</v>
      </c>
      <c r="M380" s="5" t="s">
        <v>3673</v>
      </c>
      <c r="N380" s="5" t="s">
        <v>3662</v>
      </c>
      <c r="O380" s="5" t="s">
        <v>2877</v>
      </c>
      <c r="P380" s="5" t="s">
        <v>2858</v>
      </c>
      <c r="Q380" s="11">
        <v>46306.5</v>
      </c>
      <c r="R380" s="6"/>
      <c r="S380" s="6"/>
      <c r="T380" s="6"/>
      <c r="U380" s="5">
        <f>MATCH(B380,Manual_Review!$A$6:$A$238,0)</f>
        <v>24</v>
      </c>
      <c r="V380" s="5" t="str">
        <f>IF(INDEX(Manual_Review!$G$6:$G$238,U380)="","",INDEX(Manual_Review!$G$6:$G$238,U380))</f>
        <v/>
      </c>
      <c r="W380" s="11" t="str">
        <f>IF(INDEX(Manual_Review!$H$6:$H$238,U380)="","",INDEX(Manual_Review!$H$6:$H$238,U380))</f>
        <v/>
      </c>
      <c r="X380" s="5" t="str">
        <f>IF(INDEX(Manual_Review!$I$6:$I$238,U380)="","",INDEX(Manual_Review!$I$6:$I$238,U380))</f>
        <v/>
      </c>
      <c r="Y380" s="5" t="s">
        <v>2859</v>
      </c>
    </row>
    <row r="381" spans="1:25" ht="25.5">
      <c r="A381" s="5" t="s">
        <v>3674</v>
      </c>
      <c r="B381" s="5" t="s">
        <v>387</v>
      </c>
      <c r="C381" s="5" t="s">
        <v>388</v>
      </c>
      <c r="D381" s="5" t="s">
        <v>118</v>
      </c>
      <c r="E381" s="5" t="s">
        <v>2788</v>
      </c>
      <c r="F381" s="5" t="s">
        <v>2758</v>
      </c>
      <c r="G381" s="5">
        <v>1</v>
      </c>
      <c r="H381" s="5" t="s">
        <v>2854</v>
      </c>
      <c r="I381" s="5" t="str">
        <f>IF(INDEX(Manual_Review!$R$6:$R$238,U381)="","",INDEX(Manual_Review!$R$6:$R$238,U381))</f>
        <v/>
      </c>
      <c r="J381" s="5" t="str">
        <f t="shared" si="10"/>
        <v>AI provisional</v>
      </c>
      <c r="K381" s="5" t="str">
        <f t="shared" si="11"/>
        <v>Y</v>
      </c>
      <c r="L381" s="5" t="s">
        <v>395</v>
      </c>
      <c r="M381" s="5" t="s">
        <v>3675</v>
      </c>
      <c r="N381" s="5" t="s">
        <v>3662</v>
      </c>
      <c r="O381" s="5" t="s">
        <v>3067</v>
      </c>
      <c r="P381" s="5" t="s">
        <v>2858</v>
      </c>
      <c r="Q381" s="11">
        <v>46306.5</v>
      </c>
      <c r="R381" s="6"/>
      <c r="S381" s="6"/>
      <c r="T381" s="6"/>
      <c r="U381" s="5">
        <f>MATCH(B381,Manual_Review!$A$6:$A$238,0)</f>
        <v>24</v>
      </c>
      <c r="V381" s="5" t="str">
        <f>IF(INDEX(Manual_Review!$G$6:$G$238,U381)="","",INDEX(Manual_Review!$G$6:$G$238,U381))</f>
        <v/>
      </c>
      <c r="W381" s="11" t="str">
        <f>IF(INDEX(Manual_Review!$H$6:$H$238,U381)="","",INDEX(Manual_Review!$H$6:$H$238,U381))</f>
        <v/>
      </c>
      <c r="X381" s="5" t="str">
        <f>IF(INDEX(Manual_Review!$I$6:$I$238,U381)="","",INDEX(Manual_Review!$I$6:$I$238,U381))</f>
        <v/>
      </c>
      <c r="Y381" s="5" t="s">
        <v>2859</v>
      </c>
    </row>
    <row r="382" spans="1:25" ht="25.5">
      <c r="A382" s="5" t="s">
        <v>3676</v>
      </c>
      <c r="B382" s="5" t="s">
        <v>387</v>
      </c>
      <c r="C382" s="5" t="s">
        <v>388</v>
      </c>
      <c r="D382" s="5" t="s">
        <v>118</v>
      </c>
      <c r="E382" s="5" t="s">
        <v>2789</v>
      </c>
      <c r="F382" s="5" t="s">
        <v>2758</v>
      </c>
      <c r="G382" s="5">
        <v>1</v>
      </c>
      <c r="H382" s="5" t="s">
        <v>2864</v>
      </c>
      <c r="I382" s="5" t="str">
        <f>IF(INDEX(Manual_Review!$S$6:$S$238,U382)="","",INDEX(Manual_Review!$S$6:$S$238,U382))</f>
        <v/>
      </c>
      <c r="J382" s="5" t="str">
        <f t="shared" si="10"/>
        <v>AI provisional</v>
      </c>
      <c r="K382" s="5" t="str">
        <f t="shared" si="11"/>
        <v>U</v>
      </c>
      <c r="L382" s="5" t="s">
        <v>395</v>
      </c>
      <c r="M382" s="5" t="s">
        <v>3677</v>
      </c>
      <c r="N382" s="5" t="s">
        <v>3662</v>
      </c>
      <c r="O382" s="5" t="s">
        <v>2883</v>
      </c>
      <c r="P382" s="5" t="s">
        <v>2858</v>
      </c>
      <c r="Q382" s="11">
        <v>46306.5</v>
      </c>
      <c r="R382" s="6"/>
      <c r="S382" s="6"/>
      <c r="T382" s="6"/>
      <c r="U382" s="5">
        <f>MATCH(B382,Manual_Review!$A$6:$A$238,0)</f>
        <v>24</v>
      </c>
      <c r="V382" s="5" t="str">
        <f>IF(INDEX(Manual_Review!$G$6:$G$238,U382)="","",INDEX(Manual_Review!$G$6:$G$238,U382))</f>
        <v/>
      </c>
      <c r="W382" s="11" t="str">
        <f>IF(INDEX(Manual_Review!$H$6:$H$238,U382)="","",INDEX(Manual_Review!$H$6:$H$238,U382))</f>
        <v/>
      </c>
      <c r="X382" s="5" t="str">
        <f>IF(INDEX(Manual_Review!$I$6:$I$238,U382)="","",INDEX(Manual_Review!$I$6:$I$238,U382))</f>
        <v/>
      </c>
      <c r="Y382" s="5" t="s">
        <v>2859</v>
      </c>
    </row>
    <row r="383" spans="1:25" ht="25.5">
      <c r="A383" s="5" t="s">
        <v>3678</v>
      </c>
      <c r="B383" s="5" t="s">
        <v>387</v>
      </c>
      <c r="C383" s="5" t="s">
        <v>388</v>
      </c>
      <c r="D383" s="5" t="s">
        <v>118</v>
      </c>
      <c r="E383" s="5" t="s">
        <v>2790</v>
      </c>
      <c r="F383" s="5" t="s">
        <v>2760</v>
      </c>
      <c r="G383" s="5">
        <v>1</v>
      </c>
      <c r="H383" s="5" t="s">
        <v>2864</v>
      </c>
      <c r="I383" s="5" t="str">
        <f>IF(INDEX(Manual_Review!$T$6:$T$238,U383)="","",INDEX(Manual_Review!$T$6:$T$238,U383))</f>
        <v/>
      </c>
      <c r="J383" s="5" t="str">
        <f t="shared" si="10"/>
        <v>AI provisional</v>
      </c>
      <c r="K383" s="5" t="str">
        <f t="shared" si="11"/>
        <v>U</v>
      </c>
      <c r="L383" s="5" t="s">
        <v>395</v>
      </c>
      <c r="M383" s="5" t="s">
        <v>3666</v>
      </c>
      <c r="N383" s="5" t="s">
        <v>3662</v>
      </c>
      <c r="O383" s="5" t="s">
        <v>2885</v>
      </c>
      <c r="P383" s="5" t="s">
        <v>2858</v>
      </c>
      <c r="Q383" s="11">
        <v>46306.5</v>
      </c>
      <c r="R383" s="6"/>
      <c r="S383" s="6"/>
      <c r="T383" s="6"/>
      <c r="U383" s="5">
        <f>MATCH(B383,Manual_Review!$A$6:$A$238,0)</f>
        <v>24</v>
      </c>
      <c r="V383" s="5" t="str">
        <f>IF(INDEX(Manual_Review!$G$6:$G$238,U383)="","",INDEX(Manual_Review!$G$6:$G$238,U383))</f>
        <v/>
      </c>
      <c r="W383" s="11" t="str">
        <f>IF(INDEX(Manual_Review!$H$6:$H$238,U383)="","",INDEX(Manual_Review!$H$6:$H$238,U383))</f>
        <v/>
      </c>
      <c r="X383" s="5" t="str">
        <f>IF(INDEX(Manual_Review!$I$6:$I$238,U383)="","",INDEX(Manual_Review!$I$6:$I$238,U383))</f>
        <v/>
      </c>
      <c r="Y383" s="5" t="s">
        <v>2859</v>
      </c>
    </row>
    <row r="384" spans="1:25" ht="25.5">
      <c r="A384" s="5" t="s">
        <v>3679</v>
      </c>
      <c r="B384" s="5" t="s">
        <v>387</v>
      </c>
      <c r="C384" s="5" t="s">
        <v>388</v>
      </c>
      <c r="D384" s="5" t="s">
        <v>118</v>
      </c>
      <c r="E384" s="5" t="s">
        <v>2791</v>
      </c>
      <c r="F384" s="5" t="s">
        <v>2760</v>
      </c>
      <c r="G384" s="5">
        <v>1</v>
      </c>
      <c r="H384" s="5" t="s">
        <v>2864</v>
      </c>
      <c r="I384" s="5" t="str">
        <f>IF(INDEX(Manual_Review!$U$6:$U$238,U384)="","",INDEX(Manual_Review!$U$6:$U$238,U384))</f>
        <v/>
      </c>
      <c r="J384" s="5" t="str">
        <f t="shared" si="10"/>
        <v>AI provisional</v>
      </c>
      <c r="K384" s="5" t="str">
        <f t="shared" si="11"/>
        <v>U</v>
      </c>
      <c r="L384" s="5" t="s">
        <v>395</v>
      </c>
      <c r="M384" s="5" t="s">
        <v>3680</v>
      </c>
      <c r="N384" s="5" t="s">
        <v>3662</v>
      </c>
      <c r="O384" s="5" t="s">
        <v>2888</v>
      </c>
      <c r="P384" s="5" t="s">
        <v>2858</v>
      </c>
      <c r="Q384" s="11">
        <v>46306.5</v>
      </c>
      <c r="R384" s="6"/>
      <c r="S384" s="6"/>
      <c r="T384" s="6"/>
      <c r="U384" s="5">
        <f>MATCH(B384,Manual_Review!$A$6:$A$238,0)</f>
        <v>24</v>
      </c>
      <c r="V384" s="5" t="str">
        <f>IF(INDEX(Manual_Review!$G$6:$G$238,U384)="","",INDEX(Manual_Review!$G$6:$G$238,U384))</f>
        <v/>
      </c>
      <c r="W384" s="11" t="str">
        <f>IF(INDEX(Manual_Review!$H$6:$H$238,U384)="","",INDEX(Manual_Review!$H$6:$H$238,U384))</f>
        <v/>
      </c>
      <c r="X384" s="5" t="str">
        <f>IF(INDEX(Manual_Review!$I$6:$I$238,U384)="","",INDEX(Manual_Review!$I$6:$I$238,U384))</f>
        <v/>
      </c>
      <c r="Y384" s="5" t="s">
        <v>2859</v>
      </c>
    </row>
    <row r="385" spans="1:25" ht="25.5">
      <c r="A385" s="5" t="s">
        <v>3681</v>
      </c>
      <c r="B385" s="5" t="s">
        <v>387</v>
      </c>
      <c r="C385" s="5" t="s">
        <v>388</v>
      </c>
      <c r="D385" s="5" t="s">
        <v>118</v>
      </c>
      <c r="E385" s="5" t="s">
        <v>2792</v>
      </c>
      <c r="F385" s="5" t="s">
        <v>2762</v>
      </c>
      <c r="G385" s="5">
        <v>1</v>
      </c>
      <c r="H385" s="5" t="s">
        <v>2854</v>
      </c>
      <c r="I385" s="5" t="str">
        <f>IF(INDEX(Manual_Review!$V$6:$V$238,U385)="","",INDEX(Manual_Review!$V$6:$V$238,U385))</f>
        <v/>
      </c>
      <c r="J385" s="5" t="str">
        <f t="shared" si="10"/>
        <v>AI provisional</v>
      </c>
      <c r="K385" s="5" t="str">
        <f t="shared" si="11"/>
        <v>Y</v>
      </c>
      <c r="L385" s="5" t="s">
        <v>395</v>
      </c>
      <c r="M385" s="5" t="s">
        <v>3682</v>
      </c>
      <c r="N385" s="5" t="s">
        <v>3662</v>
      </c>
      <c r="O385" s="5" t="s">
        <v>3152</v>
      </c>
      <c r="P385" s="5" t="s">
        <v>2858</v>
      </c>
      <c r="Q385" s="11">
        <v>46306.5</v>
      </c>
      <c r="R385" s="6"/>
      <c r="S385" s="6"/>
      <c r="T385" s="6"/>
      <c r="U385" s="5">
        <f>MATCH(B385,Manual_Review!$A$6:$A$238,0)</f>
        <v>24</v>
      </c>
      <c r="V385" s="5" t="str">
        <f>IF(INDEX(Manual_Review!$G$6:$G$238,U385)="","",INDEX(Manual_Review!$G$6:$G$238,U385))</f>
        <v/>
      </c>
      <c r="W385" s="11" t="str">
        <f>IF(INDEX(Manual_Review!$H$6:$H$238,U385)="","",INDEX(Manual_Review!$H$6:$H$238,U385))</f>
        <v/>
      </c>
      <c r="X385" s="5" t="str">
        <f>IF(INDEX(Manual_Review!$I$6:$I$238,U385)="","",INDEX(Manual_Review!$I$6:$I$238,U385))</f>
        <v/>
      </c>
      <c r="Y385" s="5" t="s">
        <v>2859</v>
      </c>
    </row>
    <row r="386" spans="1:25" ht="25.5">
      <c r="A386" s="5" t="s">
        <v>3683</v>
      </c>
      <c r="B386" s="5" t="s">
        <v>387</v>
      </c>
      <c r="C386" s="5" t="s">
        <v>388</v>
      </c>
      <c r="D386" s="5" t="s">
        <v>118</v>
      </c>
      <c r="E386" s="5" t="s">
        <v>2793</v>
      </c>
      <c r="F386" s="5" t="s">
        <v>2762</v>
      </c>
      <c r="G386" s="5">
        <v>1</v>
      </c>
      <c r="H386" s="5" t="s">
        <v>2854</v>
      </c>
      <c r="I386" s="5" t="str">
        <f>IF(INDEX(Manual_Review!$W$6:$W$238,U386)="","",INDEX(Manual_Review!$W$6:$W$238,U386))</f>
        <v/>
      </c>
      <c r="J386" s="5" t="str">
        <f t="shared" si="10"/>
        <v>AI provisional</v>
      </c>
      <c r="K386" s="5" t="str">
        <f t="shared" si="11"/>
        <v>Y</v>
      </c>
      <c r="L386" s="5" t="s">
        <v>395</v>
      </c>
      <c r="M386" s="5" t="s">
        <v>3684</v>
      </c>
      <c r="N386" s="5" t="s">
        <v>3662</v>
      </c>
      <c r="O386" s="5" t="s">
        <v>3077</v>
      </c>
      <c r="P386" s="5" t="s">
        <v>2858</v>
      </c>
      <c r="Q386" s="11">
        <v>46306.5</v>
      </c>
      <c r="R386" s="6"/>
      <c r="S386" s="6"/>
      <c r="T386" s="6"/>
      <c r="U386" s="5">
        <f>MATCH(B386,Manual_Review!$A$6:$A$238,0)</f>
        <v>24</v>
      </c>
      <c r="V386" s="5" t="str">
        <f>IF(INDEX(Manual_Review!$G$6:$G$238,U386)="","",INDEX(Manual_Review!$G$6:$G$238,U386))</f>
        <v/>
      </c>
      <c r="W386" s="11" t="str">
        <f>IF(INDEX(Manual_Review!$H$6:$H$238,U386)="","",INDEX(Manual_Review!$H$6:$H$238,U386))</f>
        <v/>
      </c>
      <c r="X386" s="5" t="str">
        <f>IF(INDEX(Manual_Review!$I$6:$I$238,U386)="","",INDEX(Manual_Review!$I$6:$I$238,U386))</f>
        <v/>
      </c>
      <c r="Y386" s="5" t="s">
        <v>2859</v>
      </c>
    </row>
    <row r="387" spans="1:25" ht="25.5">
      <c r="A387" s="5" t="s">
        <v>3685</v>
      </c>
      <c r="B387" s="5" t="s">
        <v>387</v>
      </c>
      <c r="C387" s="5" t="s">
        <v>388</v>
      </c>
      <c r="D387" s="5" t="s">
        <v>118</v>
      </c>
      <c r="E387" s="5" t="s">
        <v>2794</v>
      </c>
      <c r="F387" s="5" t="s">
        <v>2764</v>
      </c>
      <c r="G387" s="5">
        <v>1</v>
      </c>
      <c r="H387" s="5" t="s">
        <v>2854</v>
      </c>
      <c r="I387" s="5" t="str">
        <f>IF(INDEX(Manual_Review!$X$6:$X$238,U387)="","",INDEX(Manual_Review!$X$6:$X$238,U387))</f>
        <v/>
      </c>
      <c r="J387" s="5" t="str">
        <f t="shared" si="10"/>
        <v>AI provisional</v>
      </c>
      <c r="K387" s="5" t="str">
        <f t="shared" si="11"/>
        <v>Y</v>
      </c>
      <c r="L387" s="5" t="s">
        <v>395</v>
      </c>
      <c r="M387" s="5" t="s">
        <v>3686</v>
      </c>
      <c r="N387" s="5" t="s">
        <v>3662</v>
      </c>
      <c r="O387" s="5" t="s">
        <v>2984</v>
      </c>
      <c r="P387" s="5" t="s">
        <v>2858</v>
      </c>
      <c r="Q387" s="11">
        <v>46306.5</v>
      </c>
      <c r="R387" s="6"/>
      <c r="S387" s="6"/>
      <c r="T387" s="6"/>
      <c r="U387" s="5">
        <f>MATCH(B387,Manual_Review!$A$6:$A$238,0)</f>
        <v>24</v>
      </c>
      <c r="V387" s="5" t="str">
        <f>IF(INDEX(Manual_Review!$G$6:$G$238,U387)="","",INDEX(Manual_Review!$G$6:$G$238,U387))</f>
        <v/>
      </c>
      <c r="W387" s="11" t="str">
        <f>IF(INDEX(Manual_Review!$H$6:$H$238,U387)="","",INDEX(Manual_Review!$H$6:$H$238,U387))</f>
        <v/>
      </c>
      <c r="X387" s="5" t="str">
        <f>IF(INDEX(Manual_Review!$I$6:$I$238,U387)="","",INDEX(Manual_Review!$I$6:$I$238,U387))</f>
        <v/>
      </c>
      <c r="Y387" s="5" t="s">
        <v>2859</v>
      </c>
    </row>
    <row r="388" spans="1:25" ht="25.5">
      <c r="A388" s="5" t="s">
        <v>3687</v>
      </c>
      <c r="B388" s="5" t="s">
        <v>387</v>
      </c>
      <c r="C388" s="5" t="s">
        <v>388</v>
      </c>
      <c r="D388" s="5" t="s">
        <v>118</v>
      </c>
      <c r="E388" s="5" t="s">
        <v>2795</v>
      </c>
      <c r="F388" s="5" t="s">
        <v>2764</v>
      </c>
      <c r="G388" s="5">
        <v>1</v>
      </c>
      <c r="H388" s="5" t="s">
        <v>2864</v>
      </c>
      <c r="I388" s="5" t="str">
        <f>IF(INDEX(Manual_Review!$Y$6:$Y$238,U388)="","",INDEX(Manual_Review!$Y$6:$Y$238,U388))</f>
        <v/>
      </c>
      <c r="J388" s="5" t="str">
        <f t="shared" si="10"/>
        <v>AI provisional</v>
      </c>
      <c r="K388" s="5" t="str">
        <f t="shared" si="11"/>
        <v>U</v>
      </c>
      <c r="L388" s="5" t="s">
        <v>395</v>
      </c>
      <c r="M388" s="5" t="s">
        <v>3688</v>
      </c>
      <c r="N388" s="5" t="s">
        <v>3662</v>
      </c>
      <c r="O388" s="5" t="s">
        <v>2897</v>
      </c>
      <c r="P388" s="5" t="s">
        <v>2858</v>
      </c>
      <c r="Q388" s="11">
        <v>46306.5</v>
      </c>
      <c r="R388" s="6"/>
      <c r="S388" s="6"/>
      <c r="T388" s="6"/>
      <c r="U388" s="5">
        <f>MATCH(B388,Manual_Review!$A$6:$A$238,0)</f>
        <v>24</v>
      </c>
      <c r="V388" s="5" t="str">
        <f>IF(INDEX(Manual_Review!$G$6:$G$238,U388)="","",INDEX(Manual_Review!$G$6:$G$238,U388))</f>
        <v/>
      </c>
      <c r="W388" s="11" t="str">
        <f>IF(INDEX(Manual_Review!$H$6:$H$238,U388)="","",INDEX(Manual_Review!$H$6:$H$238,U388))</f>
        <v/>
      </c>
      <c r="X388" s="5" t="str">
        <f>IF(INDEX(Manual_Review!$I$6:$I$238,U388)="","",INDEX(Manual_Review!$I$6:$I$238,U388))</f>
        <v/>
      </c>
      <c r="Y388" s="5" t="s">
        <v>2859</v>
      </c>
    </row>
    <row r="389" spans="1:25" ht="25.5">
      <c r="A389" s="5" t="s">
        <v>3689</v>
      </c>
      <c r="B389" s="5" t="s">
        <v>387</v>
      </c>
      <c r="C389" s="5" t="s">
        <v>388</v>
      </c>
      <c r="D389" s="5" t="s">
        <v>118</v>
      </c>
      <c r="E389" s="5" t="s">
        <v>2796</v>
      </c>
      <c r="F389" s="5" t="s">
        <v>2764</v>
      </c>
      <c r="G389" s="5">
        <v>1</v>
      </c>
      <c r="H389" s="5" t="s">
        <v>2864</v>
      </c>
      <c r="I389" s="5" t="str">
        <f>IF(INDEX(Manual_Review!$Z$6:$Z$238,U389)="","",INDEX(Manual_Review!$Z$6:$Z$238,U389))</f>
        <v/>
      </c>
      <c r="J389" s="5" t="str">
        <f t="shared" si="10"/>
        <v>AI provisional</v>
      </c>
      <c r="K389" s="5" t="str">
        <f t="shared" si="11"/>
        <v>U</v>
      </c>
      <c r="L389" s="5" t="s">
        <v>395</v>
      </c>
      <c r="M389" s="5" t="s">
        <v>3690</v>
      </c>
      <c r="N389" s="5" t="s">
        <v>3662</v>
      </c>
      <c r="O389" s="5" t="s">
        <v>2899</v>
      </c>
      <c r="P389" s="5" t="s">
        <v>2858</v>
      </c>
      <c r="Q389" s="11">
        <v>46306.5</v>
      </c>
      <c r="R389" s="6"/>
      <c r="S389" s="6"/>
      <c r="T389" s="6"/>
      <c r="U389" s="5">
        <f>MATCH(B389,Manual_Review!$A$6:$A$238,0)</f>
        <v>24</v>
      </c>
      <c r="V389" s="5" t="str">
        <f>IF(INDEX(Manual_Review!$G$6:$G$238,U389)="","",INDEX(Manual_Review!$G$6:$G$238,U389))</f>
        <v/>
      </c>
      <c r="W389" s="11" t="str">
        <f>IF(INDEX(Manual_Review!$H$6:$H$238,U389)="","",INDEX(Manual_Review!$H$6:$H$238,U389))</f>
        <v/>
      </c>
      <c r="X389" s="5" t="str">
        <f>IF(INDEX(Manual_Review!$I$6:$I$238,U389)="","",INDEX(Manual_Review!$I$6:$I$238,U389))</f>
        <v/>
      </c>
      <c r="Y389" s="5" t="s">
        <v>2859</v>
      </c>
    </row>
    <row r="390" spans="1:25" ht="25.5">
      <c r="A390" s="5" t="s">
        <v>3691</v>
      </c>
      <c r="B390" s="5" t="s">
        <v>397</v>
      </c>
      <c r="C390" s="5" t="s">
        <v>398</v>
      </c>
      <c r="D390" s="5" t="s">
        <v>118</v>
      </c>
      <c r="E390" s="5" t="s">
        <v>2781</v>
      </c>
      <c r="F390" s="5" t="s">
        <v>2754</v>
      </c>
      <c r="G390" s="5">
        <v>1</v>
      </c>
      <c r="H390" s="5" t="s">
        <v>2854</v>
      </c>
      <c r="I390" s="5" t="str">
        <f>IF(INDEX(Manual_Review!$K$6:$K$238,U390)="","",INDEX(Manual_Review!$K$6:$K$238,U390))</f>
        <v/>
      </c>
      <c r="J390" s="5" t="str">
        <f t="shared" ref="J390:J453" si="12">IF(G390=0,"Not applicable",IF(I390="","AI provisional",IF(AND(OR(I390="Y",I390="N",I390="U",I390="X"),V390&lt;&gt;"",ISNUMBER(W390),W390&gt;0,X390="Confirmed",R390&lt;&gt;"",S390&lt;&gt;"",T390&lt;&gt;""),"Human valid","Evidence needed")))</f>
        <v>AI provisional</v>
      </c>
      <c r="K390" s="5" t="str">
        <f t="shared" ref="K390:K453" si="13">IF(G390=0,"N/A",IF(I390="",H390,IF(J390="Human valid",I390,"U")))</f>
        <v>Y</v>
      </c>
      <c r="L390" s="5" t="s">
        <v>150</v>
      </c>
      <c r="M390" s="5" t="s">
        <v>3692</v>
      </c>
      <c r="N390" s="5" t="s">
        <v>3693</v>
      </c>
      <c r="O390" s="5" t="s">
        <v>2857</v>
      </c>
      <c r="P390" s="5" t="s">
        <v>2858</v>
      </c>
      <c r="Q390" s="11">
        <v>46306.5</v>
      </c>
      <c r="R390" s="6"/>
      <c r="S390" s="6"/>
      <c r="T390" s="6"/>
      <c r="U390" s="5">
        <f>MATCH(B390,Manual_Review!$A$6:$A$238,0)</f>
        <v>25</v>
      </c>
      <c r="V390" s="5" t="str">
        <f>IF(INDEX(Manual_Review!$G$6:$G$238,U390)="","",INDEX(Manual_Review!$G$6:$G$238,U390))</f>
        <v/>
      </c>
      <c r="W390" s="11" t="str">
        <f>IF(INDEX(Manual_Review!$H$6:$H$238,U390)="","",INDEX(Manual_Review!$H$6:$H$238,U390))</f>
        <v/>
      </c>
      <c r="X390" s="5" t="str">
        <f>IF(INDEX(Manual_Review!$I$6:$I$238,U390)="","",INDEX(Manual_Review!$I$6:$I$238,U390))</f>
        <v/>
      </c>
      <c r="Y390" s="5" t="s">
        <v>2859</v>
      </c>
    </row>
    <row r="391" spans="1:25" ht="25.5">
      <c r="A391" s="5" t="s">
        <v>3694</v>
      </c>
      <c r="B391" s="5" t="s">
        <v>397</v>
      </c>
      <c r="C391" s="5" t="s">
        <v>398</v>
      </c>
      <c r="D391" s="5" t="s">
        <v>118</v>
      </c>
      <c r="E391" s="5" t="s">
        <v>2782</v>
      </c>
      <c r="F391" s="5" t="s">
        <v>2754</v>
      </c>
      <c r="G391" s="5">
        <v>1</v>
      </c>
      <c r="H391" s="5" t="s">
        <v>2854</v>
      </c>
      <c r="I391" s="5" t="str">
        <f>IF(INDEX(Manual_Review!$L$6:$L$238,U391)="","",INDEX(Manual_Review!$L$6:$L$238,U391))</f>
        <v/>
      </c>
      <c r="J391" s="5" t="str">
        <f t="shared" si="12"/>
        <v>AI provisional</v>
      </c>
      <c r="K391" s="5" t="str">
        <f t="shared" si="13"/>
        <v>Y</v>
      </c>
      <c r="L391" s="5" t="s">
        <v>150</v>
      </c>
      <c r="M391" s="5" t="s">
        <v>3695</v>
      </c>
      <c r="N391" s="5" t="s">
        <v>3693</v>
      </c>
      <c r="O391" s="5" t="s">
        <v>2862</v>
      </c>
      <c r="P391" s="5" t="s">
        <v>2858</v>
      </c>
      <c r="Q391" s="11">
        <v>46306.5</v>
      </c>
      <c r="R391" s="6"/>
      <c r="S391" s="6"/>
      <c r="T391" s="6"/>
      <c r="U391" s="5">
        <f>MATCH(B391,Manual_Review!$A$6:$A$238,0)</f>
        <v>25</v>
      </c>
      <c r="V391" s="5" t="str">
        <f>IF(INDEX(Manual_Review!$G$6:$G$238,U391)="","",INDEX(Manual_Review!$G$6:$G$238,U391))</f>
        <v/>
      </c>
      <c r="W391" s="11" t="str">
        <f>IF(INDEX(Manual_Review!$H$6:$H$238,U391)="","",INDEX(Manual_Review!$H$6:$H$238,U391))</f>
        <v/>
      </c>
      <c r="X391" s="5" t="str">
        <f>IF(INDEX(Manual_Review!$I$6:$I$238,U391)="","",INDEX(Manual_Review!$I$6:$I$238,U391))</f>
        <v/>
      </c>
      <c r="Y391" s="5" t="s">
        <v>2859</v>
      </c>
    </row>
    <row r="392" spans="1:25" ht="25.5">
      <c r="A392" s="5" t="s">
        <v>3696</v>
      </c>
      <c r="B392" s="5" t="s">
        <v>397</v>
      </c>
      <c r="C392" s="5" t="s">
        <v>398</v>
      </c>
      <c r="D392" s="5" t="s">
        <v>118</v>
      </c>
      <c r="E392" s="5" t="s">
        <v>2783</v>
      </c>
      <c r="F392" s="5" t="s">
        <v>2754</v>
      </c>
      <c r="G392" s="5">
        <v>1</v>
      </c>
      <c r="H392" s="5" t="s">
        <v>2864</v>
      </c>
      <c r="I392" s="5" t="str">
        <f>IF(INDEX(Manual_Review!$M$6:$M$238,U392)="","",INDEX(Manual_Review!$M$6:$M$238,U392))</f>
        <v/>
      </c>
      <c r="J392" s="5" t="str">
        <f t="shared" si="12"/>
        <v>AI provisional</v>
      </c>
      <c r="K392" s="5" t="str">
        <f t="shared" si="13"/>
        <v>U</v>
      </c>
      <c r="L392" s="5" t="s">
        <v>150</v>
      </c>
      <c r="M392" s="5" t="s">
        <v>3697</v>
      </c>
      <c r="N392" s="5" t="s">
        <v>3693</v>
      </c>
      <c r="O392" s="5" t="s">
        <v>2866</v>
      </c>
      <c r="P392" s="5" t="s">
        <v>2858</v>
      </c>
      <c r="Q392" s="11">
        <v>46306.5</v>
      </c>
      <c r="R392" s="6"/>
      <c r="S392" s="6"/>
      <c r="T392" s="6"/>
      <c r="U392" s="5">
        <f>MATCH(B392,Manual_Review!$A$6:$A$238,0)</f>
        <v>25</v>
      </c>
      <c r="V392" s="5" t="str">
        <f>IF(INDEX(Manual_Review!$G$6:$G$238,U392)="","",INDEX(Manual_Review!$G$6:$G$238,U392))</f>
        <v/>
      </c>
      <c r="W392" s="11" t="str">
        <f>IF(INDEX(Manual_Review!$H$6:$H$238,U392)="","",INDEX(Manual_Review!$H$6:$H$238,U392))</f>
        <v/>
      </c>
      <c r="X392" s="5" t="str">
        <f>IF(INDEX(Manual_Review!$I$6:$I$238,U392)="","",INDEX(Manual_Review!$I$6:$I$238,U392))</f>
        <v/>
      </c>
      <c r="Y392" s="5" t="s">
        <v>2859</v>
      </c>
    </row>
    <row r="393" spans="1:25" ht="25.5">
      <c r="A393" s="5" t="s">
        <v>3698</v>
      </c>
      <c r="B393" s="5" t="s">
        <v>397</v>
      </c>
      <c r="C393" s="5" t="s">
        <v>398</v>
      </c>
      <c r="D393" s="5" t="s">
        <v>118</v>
      </c>
      <c r="E393" s="5" t="s">
        <v>2784</v>
      </c>
      <c r="F393" s="5" t="s">
        <v>2756</v>
      </c>
      <c r="G393" s="5">
        <v>1</v>
      </c>
      <c r="H393" s="5" t="s">
        <v>2864</v>
      </c>
      <c r="I393" s="5" t="str">
        <f>IF(INDEX(Manual_Review!$N$6:$N$238,U393)="","",INDEX(Manual_Review!$N$6:$N$238,U393))</f>
        <v/>
      </c>
      <c r="J393" s="5" t="str">
        <f t="shared" si="12"/>
        <v>AI provisional</v>
      </c>
      <c r="K393" s="5" t="str">
        <f t="shared" si="13"/>
        <v>U</v>
      </c>
      <c r="L393" s="5" t="s">
        <v>150</v>
      </c>
      <c r="M393" s="5" t="s">
        <v>3699</v>
      </c>
      <c r="N393" s="5" t="s">
        <v>3693</v>
      </c>
      <c r="O393" s="5" t="s">
        <v>2869</v>
      </c>
      <c r="P393" s="5" t="s">
        <v>2858</v>
      </c>
      <c r="Q393" s="11">
        <v>46306.5</v>
      </c>
      <c r="R393" s="6"/>
      <c r="S393" s="6"/>
      <c r="T393" s="6"/>
      <c r="U393" s="5">
        <f>MATCH(B393,Manual_Review!$A$6:$A$238,0)</f>
        <v>25</v>
      </c>
      <c r="V393" s="5" t="str">
        <f>IF(INDEX(Manual_Review!$G$6:$G$238,U393)="","",INDEX(Manual_Review!$G$6:$G$238,U393))</f>
        <v/>
      </c>
      <c r="W393" s="11" t="str">
        <f>IF(INDEX(Manual_Review!$H$6:$H$238,U393)="","",INDEX(Manual_Review!$H$6:$H$238,U393))</f>
        <v/>
      </c>
      <c r="X393" s="5" t="str">
        <f>IF(INDEX(Manual_Review!$I$6:$I$238,U393)="","",INDEX(Manual_Review!$I$6:$I$238,U393))</f>
        <v/>
      </c>
      <c r="Y393" s="5" t="s">
        <v>2859</v>
      </c>
    </row>
    <row r="394" spans="1:25" ht="25.5">
      <c r="A394" s="5" t="s">
        <v>3700</v>
      </c>
      <c r="B394" s="5" t="s">
        <v>397</v>
      </c>
      <c r="C394" s="5" t="s">
        <v>398</v>
      </c>
      <c r="D394" s="5" t="s">
        <v>118</v>
      </c>
      <c r="E394" s="5" t="s">
        <v>2785</v>
      </c>
      <c r="F394" s="5" t="s">
        <v>2756</v>
      </c>
      <c r="G394" s="5">
        <v>1</v>
      </c>
      <c r="H394" s="5" t="s">
        <v>2864</v>
      </c>
      <c r="I394" s="5" t="str">
        <f>IF(INDEX(Manual_Review!$O$6:$O$238,U394)="","",INDEX(Manual_Review!$O$6:$O$238,U394))</f>
        <v/>
      </c>
      <c r="J394" s="5" t="str">
        <f t="shared" si="12"/>
        <v>AI provisional</v>
      </c>
      <c r="K394" s="5" t="str">
        <f t="shared" si="13"/>
        <v>U</v>
      </c>
      <c r="L394" s="5" t="s">
        <v>150</v>
      </c>
      <c r="M394" s="5" t="s">
        <v>3697</v>
      </c>
      <c r="N394" s="5" t="s">
        <v>3693</v>
      </c>
      <c r="O394" s="5" t="s">
        <v>2872</v>
      </c>
      <c r="P394" s="5" t="s">
        <v>2858</v>
      </c>
      <c r="Q394" s="11">
        <v>46306.5</v>
      </c>
      <c r="R394" s="6"/>
      <c r="S394" s="6"/>
      <c r="T394" s="6"/>
      <c r="U394" s="5">
        <f>MATCH(B394,Manual_Review!$A$6:$A$238,0)</f>
        <v>25</v>
      </c>
      <c r="V394" s="5" t="str">
        <f>IF(INDEX(Manual_Review!$G$6:$G$238,U394)="","",INDEX(Manual_Review!$G$6:$G$238,U394))</f>
        <v/>
      </c>
      <c r="W394" s="11" t="str">
        <f>IF(INDEX(Manual_Review!$H$6:$H$238,U394)="","",INDEX(Manual_Review!$H$6:$H$238,U394))</f>
        <v/>
      </c>
      <c r="X394" s="5" t="str">
        <f>IF(INDEX(Manual_Review!$I$6:$I$238,U394)="","",INDEX(Manual_Review!$I$6:$I$238,U394))</f>
        <v/>
      </c>
      <c r="Y394" s="5" t="s">
        <v>2859</v>
      </c>
    </row>
    <row r="395" spans="1:25" ht="25.5">
      <c r="A395" s="5" t="s">
        <v>3701</v>
      </c>
      <c r="B395" s="5" t="s">
        <v>397</v>
      </c>
      <c r="C395" s="5" t="s">
        <v>398</v>
      </c>
      <c r="D395" s="5" t="s">
        <v>118</v>
      </c>
      <c r="E395" s="5" t="s">
        <v>2786</v>
      </c>
      <c r="F395" s="5" t="s">
        <v>2756</v>
      </c>
      <c r="G395" s="5">
        <v>1</v>
      </c>
      <c r="H395" s="5" t="s">
        <v>2864</v>
      </c>
      <c r="I395" s="5" t="str">
        <f>IF(INDEX(Manual_Review!$P$6:$P$238,U395)="","",INDEX(Manual_Review!$P$6:$P$238,U395))</f>
        <v/>
      </c>
      <c r="J395" s="5" t="str">
        <f t="shared" si="12"/>
        <v>AI provisional</v>
      </c>
      <c r="K395" s="5" t="str">
        <f t="shared" si="13"/>
        <v>U</v>
      </c>
      <c r="L395" s="5" t="s">
        <v>150</v>
      </c>
      <c r="M395" s="5" t="s">
        <v>3697</v>
      </c>
      <c r="N395" s="5" t="s">
        <v>3693</v>
      </c>
      <c r="O395" s="5" t="s">
        <v>2874</v>
      </c>
      <c r="P395" s="5" t="s">
        <v>2858</v>
      </c>
      <c r="Q395" s="11">
        <v>46306.5</v>
      </c>
      <c r="R395" s="6"/>
      <c r="S395" s="6"/>
      <c r="T395" s="6"/>
      <c r="U395" s="5">
        <f>MATCH(B395,Manual_Review!$A$6:$A$238,0)</f>
        <v>25</v>
      </c>
      <c r="V395" s="5" t="str">
        <f>IF(INDEX(Manual_Review!$G$6:$G$238,U395)="","",INDEX(Manual_Review!$G$6:$G$238,U395))</f>
        <v/>
      </c>
      <c r="W395" s="11" t="str">
        <f>IF(INDEX(Manual_Review!$H$6:$H$238,U395)="","",INDEX(Manual_Review!$H$6:$H$238,U395))</f>
        <v/>
      </c>
      <c r="X395" s="5" t="str">
        <f>IF(INDEX(Manual_Review!$I$6:$I$238,U395)="","",INDEX(Manual_Review!$I$6:$I$238,U395))</f>
        <v/>
      </c>
      <c r="Y395" s="5" t="s">
        <v>2859</v>
      </c>
    </row>
    <row r="396" spans="1:25" ht="25.5">
      <c r="A396" s="5" t="s">
        <v>3702</v>
      </c>
      <c r="B396" s="5" t="s">
        <v>397</v>
      </c>
      <c r="C396" s="5" t="s">
        <v>398</v>
      </c>
      <c r="D396" s="5" t="s">
        <v>118</v>
      </c>
      <c r="E396" s="5" t="s">
        <v>2787</v>
      </c>
      <c r="F396" s="5" t="s">
        <v>2758</v>
      </c>
      <c r="G396" s="5">
        <v>1</v>
      </c>
      <c r="H396" s="5" t="s">
        <v>2864</v>
      </c>
      <c r="I396" s="5" t="str">
        <f>IF(INDEX(Manual_Review!$Q$6:$Q$238,U396)="","",INDEX(Manual_Review!$Q$6:$Q$238,U396))</f>
        <v/>
      </c>
      <c r="J396" s="5" t="str">
        <f t="shared" si="12"/>
        <v>AI provisional</v>
      </c>
      <c r="K396" s="5" t="str">
        <f t="shared" si="13"/>
        <v>U</v>
      </c>
      <c r="L396" s="5" t="s">
        <v>150</v>
      </c>
      <c r="M396" s="5" t="s">
        <v>3697</v>
      </c>
      <c r="N396" s="5" t="s">
        <v>3693</v>
      </c>
      <c r="O396" s="5" t="s">
        <v>2877</v>
      </c>
      <c r="P396" s="5" t="s">
        <v>2858</v>
      </c>
      <c r="Q396" s="11">
        <v>46306.5</v>
      </c>
      <c r="R396" s="6"/>
      <c r="S396" s="6"/>
      <c r="T396" s="6"/>
      <c r="U396" s="5">
        <f>MATCH(B396,Manual_Review!$A$6:$A$238,0)</f>
        <v>25</v>
      </c>
      <c r="V396" s="5" t="str">
        <f>IF(INDEX(Manual_Review!$G$6:$G$238,U396)="","",INDEX(Manual_Review!$G$6:$G$238,U396))</f>
        <v/>
      </c>
      <c r="W396" s="11" t="str">
        <f>IF(INDEX(Manual_Review!$H$6:$H$238,U396)="","",INDEX(Manual_Review!$H$6:$H$238,U396))</f>
        <v/>
      </c>
      <c r="X396" s="5" t="str">
        <f>IF(INDEX(Manual_Review!$I$6:$I$238,U396)="","",INDEX(Manual_Review!$I$6:$I$238,U396))</f>
        <v/>
      </c>
      <c r="Y396" s="5" t="s">
        <v>2859</v>
      </c>
    </row>
    <row r="397" spans="1:25" ht="25.5">
      <c r="A397" s="5" t="s">
        <v>3703</v>
      </c>
      <c r="B397" s="5" t="s">
        <v>397</v>
      </c>
      <c r="C397" s="5" t="s">
        <v>398</v>
      </c>
      <c r="D397" s="5" t="s">
        <v>118</v>
      </c>
      <c r="E397" s="5" t="s">
        <v>2788</v>
      </c>
      <c r="F397" s="5" t="s">
        <v>2758</v>
      </c>
      <c r="G397" s="5">
        <v>1</v>
      </c>
      <c r="H397" s="5" t="s">
        <v>2864</v>
      </c>
      <c r="I397" s="5" t="str">
        <f>IF(INDEX(Manual_Review!$R$6:$R$238,U397)="","",INDEX(Manual_Review!$R$6:$R$238,U397))</f>
        <v/>
      </c>
      <c r="J397" s="5" t="str">
        <f t="shared" si="12"/>
        <v>AI provisional</v>
      </c>
      <c r="K397" s="5" t="str">
        <f t="shared" si="13"/>
        <v>U</v>
      </c>
      <c r="L397" s="5" t="s">
        <v>150</v>
      </c>
      <c r="M397" s="5" t="s">
        <v>3704</v>
      </c>
      <c r="N397" s="5" t="s">
        <v>3693</v>
      </c>
      <c r="O397" s="5" t="s">
        <v>2880</v>
      </c>
      <c r="P397" s="5" t="s">
        <v>2858</v>
      </c>
      <c r="Q397" s="11">
        <v>46306.5</v>
      </c>
      <c r="R397" s="6"/>
      <c r="S397" s="6"/>
      <c r="T397" s="6"/>
      <c r="U397" s="5">
        <f>MATCH(B397,Manual_Review!$A$6:$A$238,0)</f>
        <v>25</v>
      </c>
      <c r="V397" s="5" t="str">
        <f>IF(INDEX(Manual_Review!$G$6:$G$238,U397)="","",INDEX(Manual_Review!$G$6:$G$238,U397))</f>
        <v/>
      </c>
      <c r="W397" s="11" t="str">
        <f>IF(INDEX(Manual_Review!$H$6:$H$238,U397)="","",INDEX(Manual_Review!$H$6:$H$238,U397))</f>
        <v/>
      </c>
      <c r="X397" s="5" t="str">
        <f>IF(INDEX(Manual_Review!$I$6:$I$238,U397)="","",INDEX(Manual_Review!$I$6:$I$238,U397))</f>
        <v/>
      </c>
      <c r="Y397" s="5" t="s">
        <v>2859</v>
      </c>
    </row>
    <row r="398" spans="1:25" ht="25.5">
      <c r="A398" s="5" t="s">
        <v>3705</v>
      </c>
      <c r="B398" s="5" t="s">
        <v>397</v>
      </c>
      <c r="C398" s="5" t="s">
        <v>398</v>
      </c>
      <c r="D398" s="5" t="s">
        <v>118</v>
      </c>
      <c r="E398" s="5" t="s">
        <v>2789</v>
      </c>
      <c r="F398" s="5" t="s">
        <v>2758</v>
      </c>
      <c r="G398" s="5">
        <v>1</v>
      </c>
      <c r="H398" s="5" t="s">
        <v>2864</v>
      </c>
      <c r="I398" s="5" t="str">
        <f>IF(INDEX(Manual_Review!$S$6:$S$238,U398)="","",INDEX(Manual_Review!$S$6:$S$238,U398))</f>
        <v/>
      </c>
      <c r="J398" s="5" t="str">
        <f t="shared" si="12"/>
        <v>AI provisional</v>
      </c>
      <c r="K398" s="5" t="str">
        <f t="shared" si="13"/>
        <v>U</v>
      </c>
      <c r="L398" s="5" t="s">
        <v>150</v>
      </c>
      <c r="M398" s="5" t="s">
        <v>3706</v>
      </c>
      <c r="N398" s="5" t="s">
        <v>3693</v>
      </c>
      <c r="O398" s="5" t="s">
        <v>2883</v>
      </c>
      <c r="P398" s="5" t="s">
        <v>2858</v>
      </c>
      <c r="Q398" s="11">
        <v>46306.5</v>
      </c>
      <c r="R398" s="6"/>
      <c r="S398" s="6"/>
      <c r="T398" s="6"/>
      <c r="U398" s="5">
        <f>MATCH(B398,Manual_Review!$A$6:$A$238,0)</f>
        <v>25</v>
      </c>
      <c r="V398" s="5" t="str">
        <f>IF(INDEX(Manual_Review!$G$6:$G$238,U398)="","",INDEX(Manual_Review!$G$6:$G$238,U398))</f>
        <v/>
      </c>
      <c r="W398" s="11" t="str">
        <f>IF(INDEX(Manual_Review!$H$6:$H$238,U398)="","",INDEX(Manual_Review!$H$6:$H$238,U398))</f>
        <v/>
      </c>
      <c r="X398" s="5" t="str">
        <f>IF(INDEX(Manual_Review!$I$6:$I$238,U398)="","",INDEX(Manual_Review!$I$6:$I$238,U398))</f>
        <v/>
      </c>
      <c r="Y398" s="5" t="s">
        <v>2859</v>
      </c>
    </row>
    <row r="399" spans="1:25" ht="25.5">
      <c r="A399" s="5" t="s">
        <v>3707</v>
      </c>
      <c r="B399" s="5" t="s">
        <v>397</v>
      </c>
      <c r="C399" s="5" t="s">
        <v>398</v>
      </c>
      <c r="D399" s="5" t="s">
        <v>118</v>
      </c>
      <c r="E399" s="5" t="s">
        <v>2790</v>
      </c>
      <c r="F399" s="5" t="s">
        <v>2760</v>
      </c>
      <c r="G399" s="5">
        <v>1</v>
      </c>
      <c r="H399" s="5" t="s">
        <v>2864</v>
      </c>
      <c r="I399" s="5" t="str">
        <f>IF(INDEX(Manual_Review!$T$6:$T$238,U399)="","",INDEX(Manual_Review!$T$6:$T$238,U399))</f>
        <v/>
      </c>
      <c r="J399" s="5" t="str">
        <f t="shared" si="12"/>
        <v>AI provisional</v>
      </c>
      <c r="K399" s="5" t="str">
        <f t="shared" si="13"/>
        <v>U</v>
      </c>
      <c r="L399" s="5" t="s">
        <v>150</v>
      </c>
      <c r="M399" s="5" t="s">
        <v>3697</v>
      </c>
      <c r="N399" s="5" t="s">
        <v>3693</v>
      </c>
      <c r="O399" s="5" t="s">
        <v>2885</v>
      </c>
      <c r="P399" s="5" t="s">
        <v>2858</v>
      </c>
      <c r="Q399" s="11">
        <v>46306.5</v>
      </c>
      <c r="R399" s="6"/>
      <c r="S399" s="6"/>
      <c r="T399" s="6"/>
      <c r="U399" s="5">
        <f>MATCH(B399,Manual_Review!$A$6:$A$238,0)</f>
        <v>25</v>
      </c>
      <c r="V399" s="5" t="str">
        <f>IF(INDEX(Manual_Review!$G$6:$G$238,U399)="","",INDEX(Manual_Review!$G$6:$G$238,U399))</f>
        <v/>
      </c>
      <c r="W399" s="11" t="str">
        <f>IF(INDEX(Manual_Review!$H$6:$H$238,U399)="","",INDEX(Manual_Review!$H$6:$H$238,U399))</f>
        <v/>
      </c>
      <c r="X399" s="5" t="str">
        <f>IF(INDEX(Manual_Review!$I$6:$I$238,U399)="","",INDEX(Manual_Review!$I$6:$I$238,U399))</f>
        <v/>
      </c>
      <c r="Y399" s="5" t="s">
        <v>2859</v>
      </c>
    </row>
    <row r="400" spans="1:25" ht="25.5">
      <c r="A400" s="5" t="s">
        <v>3708</v>
      </c>
      <c r="B400" s="5" t="s">
        <v>397</v>
      </c>
      <c r="C400" s="5" t="s">
        <v>398</v>
      </c>
      <c r="D400" s="5" t="s">
        <v>118</v>
      </c>
      <c r="E400" s="5" t="s">
        <v>2791</v>
      </c>
      <c r="F400" s="5" t="s">
        <v>2760</v>
      </c>
      <c r="G400" s="5">
        <v>1</v>
      </c>
      <c r="H400" s="5" t="s">
        <v>2864</v>
      </c>
      <c r="I400" s="5" t="str">
        <f>IF(INDEX(Manual_Review!$U$6:$U$238,U400)="","",INDEX(Manual_Review!$U$6:$U$238,U400))</f>
        <v/>
      </c>
      <c r="J400" s="5" t="str">
        <f t="shared" si="12"/>
        <v>AI provisional</v>
      </c>
      <c r="K400" s="5" t="str">
        <f t="shared" si="13"/>
        <v>U</v>
      </c>
      <c r="L400" s="5" t="s">
        <v>150</v>
      </c>
      <c r="M400" s="5" t="s">
        <v>3697</v>
      </c>
      <c r="N400" s="5" t="s">
        <v>3693</v>
      </c>
      <c r="O400" s="5" t="s">
        <v>2888</v>
      </c>
      <c r="P400" s="5" t="s">
        <v>2858</v>
      </c>
      <c r="Q400" s="11">
        <v>46306.5</v>
      </c>
      <c r="R400" s="6"/>
      <c r="S400" s="6"/>
      <c r="T400" s="6"/>
      <c r="U400" s="5">
        <f>MATCH(B400,Manual_Review!$A$6:$A$238,0)</f>
        <v>25</v>
      </c>
      <c r="V400" s="5" t="str">
        <f>IF(INDEX(Manual_Review!$G$6:$G$238,U400)="","",INDEX(Manual_Review!$G$6:$G$238,U400))</f>
        <v/>
      </c>
      <c r="W400" s="11" t="str">
        <f>IF(INDEX(Manual_Review!$H$6:$H$238,U400)="","",INDEX(Manual_Review!$H$6:$H$238,U400))</f>
        <v/>
      </c>
      <c r="X400" s="5" t="str">
        <f>IF(INDEX(Manual_Review!$I$6:$I$238,U400)="","",INDEX(Manual_Review!$I$6:$I$238,U400))</f>
        <v/>
      </c>
      <c r="Y400" s="5" t="s">
        <v>2859</v>
      </c>
    </row>
    <row r="401" spans="1:25" ht="25.5">
      <c r="A401" s="5" t="s">
        <v>3709</v>
      </c>
      <c r="B401" s="5" t="s">
        <v>397</v>
      </c>
      <c r="C401" s="5" t="s">
        <v>398</v>
      </c>
      <c r="D401" s="5" t="s">
        <v>118</v>
      </c>
      <c r="E401" s="5" t="s">
        <v>2792</v>
      </c>
      <c r="F401" s="5" t="s">
        <v>2762</v>
      </c>
      <c r="G401" s="5">
        <v>1</v>
      </c>
      <c r="H401" s="5" t="s">
        <v>2864</v>
      </c>
      <c r="I401" s="5" t="str">
        <f>IF(INDEX(Manual_Review!$V$6:$V$238,U401)="","",INDEX(Manual_Review!$V$6:$V$238,U401))</f>
        <v/>
      </c>
      <c r="J401" s="5" t="str">
        <f t="shared" si="12"/>
        <v>AI provisional</v>
      </c>
      <c r="K401" s="5" t="str">
        <f t="shared" si="13"/>
        <v>U</v>
      </c>
      <c r="L401" s="5" t="s">
        <v>150</v>
      </c>
      <c r="M401" s="5" t="s">
        <v>3710</v>
      </c>
      <c r="N401" s="5" t="s">
        <v>3693</v>
      </c>
      <c r="O401" s="5" t="s">
        <v>2891</v>
      </c>
      <c r="P401" s="5" t="s">
        <v>2858</v>
      </c>
      <c r="Q401" s="11">
        <v>46306.5</v>
      </c>
      <c r="R401" s="6"/>
      <c r="S401" s="6"/>
      <c r="T401" s="6"/>
      <c r="U401" s="5">
        <f>MATCH(B401,Manual_Review!$A$6:$A$238,0)</f>
        <v>25</v>
      </c>
      <c r="V401" s="5" t="str">
        <f>IF(INDEX(Manual_Review!$G$6:$G$238,U401)="","",INDEX(Manual_Review!$G$6:$G$238,U401))</f>
        <v/>
      </c>
      <c r="W401" s="11" t="str">
        <f>IF(INDEX(Manual_Review!$H$6:$H$238,U401)="","",INDEX(Manual_Review!$H$6:$H$238,U401))</f>
        <v/>
      </c>
      <c r="X401" s="5" t="str">
        <f>IF(INDEX(Manual_Review!$I$6:$I$238,U401)="","",INDEX(Manual_Review!$I$6:$I$238,U401))</f>
        <v/>
      </c>
      <c r="Y401" s="5" t="s">
        <v>2859</v>
      </c>
    </row>
    <row r="402" spans="1:25" ht="25.5">
      <c r="A402" s="5" t="s">
        <v>3711</v>
      </c>
      <c r="B402" s="5" t="s">
        <v>397</v>
      </c>
      <c r="C402" s="5" t="s">
        <v>398</v>
      </c>
      <c r="D402" s="5" t="s">
        <v>118</v>
      </c>
      <c r="E402" s="5" t="s">
        <v>2793</v>
      </c>
      <c r="F402" s="5" t="s">
        <v>2762</v>
      </c>
      <c r="G402" s="5">
        <v>1</v>
      </c>
      <c r="H402" s="5" t="s">
        <v>2864</v>
      </c>
      <c r="I402" s="5" t="str">
        <f>IF(INDEX(Manual_Review!$W$6:$W$238,U402)="","",INDEX(Manual_Review!$W$6:$W$238,U402))</f>
        <v/>
      </c>
      <c r="J402" s="5" t="str">
        <f t="shared" si="12"/>
        <v>AI provisional</v>
      </c>
      <c r="K402" s="5" t="str">
        <f t="shared" si="13"/>
        <v>U</v>
      </c>
      <c r="L402" s="5" t="s">
        <v>150</v>
      </c>
      <c r="M402" s="5" t="s">
        <v>3710</v>
      </c>
      <c r="N402" s="5" t="s">
        <v>3693</v>
      </c>
      <c r="O402" s="5" t="s">
        <v>2893</v>
      </c>
      <c r="P402" s="5" t="s">
        <v>2858</v>
      </c>
      <c r="Q402" s="11">
        <v>46306.5</v>
      </c>
      <c r="R402" s="6"/>
      <c r="S402" s="6"/>
      <c r="T402" s="6"/>
      <c r="U402" s="5">
        <f>MATCH(B402,Manual_Review!$A$6:$A$238,0)</f>
        <v>25</v>
      </c>
      <c r="V402" s="5" t="str">
        <f>IF(INDEX(Manual_Review!$G$6:$G$238,U402)="","",INDEX(Manual_Review!$G$6:$G$238,U402))</f>
        <v/>
      </c>
      <c r="W402" s="11" t="str">
        <f>IF(INDEX(Manual_Review!$H$6:$H$238,U402)="","",INDEX(Manual_Review!$H$6:$H$238,U402))</f>
        <v/>
      </c>
      <c r="X402" s="5" t="str">
        <f>IF(INDEX(Manual_Review!$I$6:$I$238,U402)="","",INDEX(Manual_Review!$I$6:$I$238,U402))</f>
        <v/>
      </c>
      <c r="Y402" s="5" t="s">
        <v>2859</v>
      </c>
    </row>
    <row r="403" spans="1:25" ht="25.5">
      <c r="A403" s="5" t="s">
        <v>3712</v>
      </c>
      <c r="B403" s="5" t="s">
        <v>397</v>
      </c>
      <c r="C403" s="5" t="s">
        <v>398</v>
      </c>
      <c r="D403" s="5" t="s">
        <v>118</v>
      </c>
      <c r="E403" s="5" t="s">
        <v>2794</v>
      </c>
      <c r="F403" s="5" t="s">
        <v>2764</v>
      </c>
      <c r="G403" s="5">
        <v>1</v>
      </c>
      <c r="H403" s="5" t="s">
        <v>2864</v>
      </c>
      <c r="I403" s="5" t="str">
        <f>IF(INDEX(Manual_Review!$X$6:$X$238,U403)="","",INDEX(Manual_Review!$X$6:$X$238,U403))</f>
        <v/>
      </c>
      <c r="J403" s="5" t="str">
        <f t="shared" si="12"/>
        <v>AI provisional</v>
      </c>
      <c r="K403" s="5" t="str">
        <f t="shared" si="13"/>
        <v>U</v>
      </c>
      <c r="L403" s="5" t="s">
        <v>150</v>
      </c>
      <c r="M403" s="5" t="s">
        <v>3697</v>
      </c>
      <c r="N403" s="5" t="s">
        <v>3693</v>
      </c>
      <c r="O403" s="5" t="s">
        <v>2895</v>
      </c>
      <c r="P403" s="5" t="s">
        <v>2858</v>
      </c>
      <c r="Q403" s="11">
        <v>46306.5</v>
      </c>
      <c r="R403" s="6"/>
      <c r="S403" s="6"/>
      <c r="T403" s="6"/>
      <c r="U403" s="5">
        <f>MATCH(B403,Manual_Review!$A$6:$A$238,0)</f>
        <v>25</v>
      </c>
      <c r="V403" s="5" t="str">
        <f>IF(INDEX(Manual_Review!$G$6:$G$238,U403)="","",INDEX(Manual_Review!$G$6:$G$238,U403))</f>
        <v/>
      </c>
      <c r="W403" s="11" t="str">
        <f>IF(INDEX(Manual_Review!$H$6:$H$238,U403)="","",INDEX(Manual_Review!$H$6:$H$238,U403))</f>
        <v/>
      </c>
      <c r="X403" s="5" t="str">
        <f>IF(INDEX(Manual_Review!$I$6:$I$238,U403)="","",INDEX(Manual_Review!$I$6:$I$238,U403))</f>
        <v/>
      </c>
      <c r="Y403" s="5" t="s">
        <v>2859</v>
      </c>
    </row>
    <row r="404" spans="1:25" ht="25.5">
      <c r="A404" s="5" t="s">
        <v>3713</v>
      </c>
      <c r="B404" s="5" t="s">
        <v>397</v>
      </c>
      <c r="C404" s="5" t="s">
        <v>398</v>
      </c>
      <c r="D404" s="5" t="s">
        <v>118</v>
      </c>
      <c r="E404" s="5" t="s">
        <v>2795</v>
      </c>
      <c r="F404" s="5" t="s">
        <v>2764</v>
      </c>
      <c r="G404" s="5">
        <v>1</v>
      </c>
      <c r="H404" s="5" t="s">
        <v>2864</v>
      </c>
      <c r="I404" s="5" t="str">
        <f>IF(INDEX(Manual_Review!$Y$6:$Y$238,U404)="","",INDEX(Manual_Review!$Y$6:$Y$238,U404))</f>
        <v/>
      </c>
      <c r="J404" s="5" t="str">
        <f t="shared" si="12"/>
        <v>AI provisional</v>
      </c>
      <c r="K404" s="5" t="str">
        <f t="shared" si="13"/>
        <v>U</v>
      </c>
      <c r="L404" s="5" t="s">
        <v>150</v>
      </c>
      <c r="M404" s="5" t="s">
        <v>3697</v>
      </c>
      <c r="N404" s="5" t="s">
        <v>3693</v>
      </c>
      <c r="O404" s="5" t="s">
        <v>2897</v>
      </c>
      <c r="P404" s="5" t="s">
        <v>2858</v>
      </c>
      <c r="Q404" s="11">
        <v>46306.5</v>
      </c>
      <c r="R404" s="6"/>
      <c r="S404" s="6"/>
      <c r="T404" s="6"/>
      <c r="U404" s="5">
        <f>MATCH(B404,Manual_Review!$A$6:$A$238,0)</f>
        <v>25</v>
      </c>
      <c r="V404" s="5" t="str">
        <f>IF(INDEX(Manual_Review!$G$6:$G$238,U404)="","",INDEX(Manual_Review!$G$6:$G$238,U404))</f>
        <v/>
      </c>
      <c r="W404" s="11" t="str">
        <f>IF(INDEX(Manual_Review!$H$6:$H$238,U404)="","",INDEX(Manual_Review!$H$6:$H$238,U404))</f>
        <v/>
      </c>
      <c r="X404" s="5" t="str">
        <f>IF(INDEX(Manual_Review!$I$6:$I$238,U404)="","",INDEX(Manual_Review!$I$6:$I$238,U404))</f>
        <v/>
      </c>
      <c r="Y404" s="5" t="s">
        <v>2859</v>
      </c>
    </row>
    <row r="405" spans="1:25" ht="25.5">
      <c r="A405" s="5" t="s">
        <v>3714</v>
      </c>
      <c r="B405" s="5" t="s">
        <v>397</v>
      </c>
      <c r="C405" s="5" t="s">
        <v>398</v>
      </c>
      <c r="D405" s="5" t="s">
        <v>118</v>
      </c>
      <c r="E405" s="5" t="s">
        <v>2796</v>
      </c>
      <c r="F405" s="5" t="s">
        <v>2764</v>
      </c>
      <c r="G405" s="5">
        <v>1</v>
      </c>
      <c r="H405" s="5" t="s">
        <v>2864</v>
      </c>
      <c r="I405" s="5" t="str">
        <f>IF(INDEX(Manual_Review!$Z$6:$Z$238,U405)="","",INDEX(Manual_Review!$Z$6:$Z$238,U405))</f>
        <v/>
      </c>
      <c r="J405" s="5" t="str">
        <f t="shared" si="12"/>
        <v>AI provisional</v>
      </c>
      <c r="K405" s="5" t="str">
        <f t="shared" si="13"/>
        <v>U</v>
      </c>
      <c r="L405" s="5" t="s">
        <v>150</v>
      </c>
      <c r="M405" s="5" t="s">
        <v>3706</v>
      </c>
      <c r="N405" s="5" t="s">
        <v>3693</v>
      </c>
      <c r="O405" s="5" t="s">
        <v>2899</v>
      </c>
      <c r="P405" s="5" t="s">
        <v>2858</v>
      </c>
      <c r="Q405" s="11">
        <v>46306.5</v>
      </c>
      <c r="R405" s="6"/>
      <c r="S405" s="6"/>
      <c r="T405" s="6"/>
      <c r="U405" s="5">
        <f>MATCH(B405,Manual_Review!$A$6:$A$238,0)</f>
        <v>25</v>
      </c>
      <c r="V405" s="5" t="str">
        <f>IF(INDEX(Manual_Review!$G$6:$G$238,U405)="","",INDEX(Manual_Review!$G$6:$G$238,U405))</f>
        <v/>
      </c>
      <c r="W405" s="11" t="str">
        <f>IF(INDEX(Manual_Review!$H$6:$H$238,U405)="","",INDEX(Manual_Review!$H$6:$H$238,U405))</f>
        <v/>
      </c>
      <c r="X405" s="5" t="str">
        <f>IF(INDEX(Manual_Review!$I$6:$I$238,U405)="","",INDEX(Manual_Review!$I$6:$I$238,U405))</f>
        <v/>
      </c>
      <c r="Y405" s="5" t="s">
        <v>2859</v>
      </c>
    </row>
    <row r="406" spans="1:25" ht="25.5">
      <c r="A406" s="5" t="s">
        <v>3715</v>
      </c>
      <c r="B406" s="5" t="s">
        <v>402</v>
      </c>
      <c r="C406" s="5" t="s">
        <v>403</v>
      </c>
      <c r="D406" s="5" t="s">
        <v>118</v>
      </c>
      <c r="E406" s="5" t="s">
        <v>2781</v>
      </c>
      <c r="F406" s="5" t="s">
        <v>2754</v>
      </c>
      <c r="G406" s="5">
        <v>1</v>
      </c>
      <c r="H406" s="5" t="s">
        <v>2854</v>
      </c>
      <c r="I406" s="5" t="str">
        <f>IF(INDEX(Manual_Review!$K$6:$K$238,U406)="","",INDEX(Manual_Review!$K$6:$K$238,U406))</f>
        <v/>
      </c>
      <c r="J406" s="5" t="str">
        <f t="shared" si="12"/>
        <v>AI provisional</v>
      </c>
      <c r="K406" s="5" t="str">
        <f t="shared" si="13"/>
        <v>Y</v>
      </c>
      <c r="L406" s="5" t="s">
        <v>411</v>
      </c>
      <c r="M406" s="5" t="s">
        <v>3716</v>
      </c>
      <c r="N406" s="5" t="s">
        <v>3717</v>
      </c>
      <c r="O406" s="5" t="s">
        <v>2857</v>
      </c>
      <c r="P406" s="5" t="s">
        <v>2858</v>
      </c>
      <c r="Q406" s="11">
        <v>46306.5</v>
      </c>
      <c r="R406" s="6"/>
      <c r="S406" s="6"/>
      <c r="T406" s="6"/>
      <c r="U406" s="5">
        <f>MATCH(B406,Manual_Review!$A$6:$A$238,0)</f>
        <v>26</v>
      </c>
      <c r="V406" s="5" t="str">
        <f>IF(INDEX(Manual_Review!$G$6:$G$238,U406)="","",INDEX(Manual_Review!$G$6:$G$238,U406))</f>
        <v/>
      </c>
      <c r="W406" s="11" t="str">
        <f>IF(INDEX(Manual_Review!$H$6:$H$238,U406)="","",INDEX(Manual_Review!$H$6:$H$238,U406))</f>
        <v/>
      </c>
      <c r="X406" s="5" t="str">
        <f>IF(INDEX(Manual_Review!$I$6:$I$238,U406)="","",INDEX(Manual_Review!$I$6:$I$238,U406))</f>
        <v/>
      </c>
      <c r="Y406" s="5" t="s">
        <v>2859</v>
      </c>
    </row>
    <row r="407" spans="1:25" ht="38.25">
      <c r="A407" s="5" t="s">
        <v>3718</v>
      </c>
      <c r="B407" s="5" t="s">
        <v>402</v>
      </c>
      <c r="C407" s="5" t="s">
        <v>403</v>
      </c>
      <c r="D407" s="5" t="s">
        <v>118</v>
      </c>
      <c r="E407" s="5" t="s">
        <v>2782</v>
      </c>
      <c r="F407" s="5" t="s">
        <v>2754</v>
      </c>
      <c r="G407" s="5">
        <v>1</v>
      </c>
      <c r="H407" s="5" t="s">
        <v>3510</v>
      </c>
      <c r="I407" s="5" t="str">
        <f>IF(INDEX(Manual_Review!$L$6:$L$238,U407)="","",INDEX(Manual_Review!$L$6:$L$238,U407))</f>
        <v/>
      </c>
      <c r="J407" s="5" t="str">
        <f t="shared" si="12"/>
        <v>AI provisional</v>
      </c>
      <c r="K407" s="5" t="str">
        <f t="shared" si="13"/>
        <v>N</v>
      </c>
      <c r="L407" s="5" t="s">
        <v>411</v>
      </c>
      <c r="M407" s="5" t="s">
        <v>3719</v>
      </c>
      <c r="N407" s="5" t="s">
        <v>3717</v>
      </c>
      <c r="O407" s="5" t="s">
        <v>3512</v>
      </c>
      <c r="P407" s="5" t="s">
        <v>2858</v>
      </c>
      <c r="Q407" s="11">
        <v>46306.5</v>
      </c>
      <c r="R407" s="6"/>
      <c r="S407" s="6"/>
      <c r="T407" s="6"/>
      <c r="U407" s="5">
        <f>MATCH(B407,Manual_Review!$A$6:$A$238,0)</f>
        <v>26</v>
      </c>
      <c r="V407" s="5" t="str">
        <f>IF(INDEX(Manual_Review!$G$6:$G$238,U407)="","",INDEX(Manual_Review!$G$6:$G$238,U407))</f>
        <v/>
      </c>
      <c r="W407" s="11" t="str">
        <f>IF(INDEX(Manual_Review!$H$6:$H$238,U407)="","",INDEX(Manual_Review!$H$6:$H$238,U407))</f>
        <v/>
      </c>
      <c r="X407" s="5" t="str">
        <f>IF(INDEX(Manual_Review!$I$6:$I$238,U407)="","",INDEX(Manual_Review!$I$6:$I$238,U407))</f>
        <v/>
      </c>
      <c r="Y407" s="5" t="s">
        <v>2859</v>
      </c>
    </row>
    <row r="408" spans="1:25" ht="25.5">
      <c r="A408" s="5" t="s">
        <v>3720</v>
      </c>
      <c r="B408" s="5" t="s">
        <v>402</v>
      </c>
      <c r="C408" s="5" t="s">
        <v>403</v>
      </c>
      <c r="D408" s="5" t="s">
        <v>118</v>
      </c>
      <c r="E408" s="5" t="s">
        <v>2783</v>
      </c>
      <c r="F408" s="5" t="s">
        <v>2754</v>
      </c>
      <c r="G408" s="5">
        <v>1</v>
      </c>
      <c r="H408" s="5" t="s">
        <v>2864</v>
      </c>
      <c r="I408" s="5" t="str">
        <f>IF(INDEX(Manual_Review!$M$6:$M$238,U408)="","",INDEX(Manual_Review!$M$6:$M$238,U408))</f>
        <v/>
      </c>
      <c r="J408" s="5" t="str">
        <f t="shared" si="12"/>
        <v>AI provisional</v>
      </c>
      <c r="K408" s="5" t="str">
        <f t="shared" si="13"/>
        <v>U</v>
      </c>
      <c r="L408" s="5" t="s">
        <v>411</v>
      </c>
      <c r="M408" s="5" t="s">
        <v>3721</v>
      </c>
      <c r="N408" s="5" t="s">
        <v>3717</v>
      </c>
      <c r="O408" s="5" t="s">
        <v>2866</v>
      </c>
      <c r="P408" s="5" t="s">
        <v>2858</v>
      </c>
      <c r="Q408" s="11">
        <v>46306.5</v>
      </c>
      <c r="R408" s="6"/>
      <c r="S408" s="6"/>
      <c r="T408" s="6"/>
      <c r="U408" s="5">
        <f>MATCH(B408,Manual_Review!$A$6:$A$238,0)</f>
        <v>26</v>
      </c>
      <c r="V408" s="5" t="str">
        <f>IF(INDEX(Manual_Review!$G$6:$G$238,U408)="","",INDEX(Manual_Review!$G$6:$G$238,U408))</f>
        <v/>
      </c>
      <c r="W408" s="11" t="str">
        <f>IF(INDEX(Manual_Review!$H$6:$H$238,U408)="","",INDEX(Manual_Review!$H$6:$H$238,U408))</f>
        <v/>
      </c>
      <c r="X408" s="5" t="str">
        <f>IF(INDEX(Manual_Review!$I$6:$I$238,U408)="","",INDEX(Manual_Review!$I$6:$I$238,U408))</f>
        <v/>
      </c>
      <c r="Y408" s="5" t="s">
        <v>2859</v>
      </c>
    </row>
    <row r="409" spans="1:25" ht="25.5">
      <c r="A409" s="5" t="s">
        <v>3722</v>
      </c>
      <c r="B409" s="5" t="s">
        <v>402</v>
      </c>
      <c r="C409" s="5" t="s">
        <v>403</v>
      </c>
      <c r="D409" s="5" t="s">
        <v>118</v>
      </c>
      <c r="E409" s="5" t="s">
        <v>2784</v>
      </c>
      <c r="F409" s="5" t="s">
        <v>2756</v>
      </c>
      <c r="G409" s="5">
        <v>1</v>
      </c>
      <c r="H409" s="5" t="s">
        <v>2854</v>
      </c>
      <c r="I409" s="5" t="str">
        <f>IF(INDEX(Manual_Review!$N$6:$N$238,U409)="","",INDEX(Manual_Review!$N$6:$N$238,U409))</f>
        <v/>
      </c>
      <c r="J409" s="5" t="str">
        <f t="shared" si="12"/>
        <v>AI provisional</v>
      </c>
      <c r="K409" s="5" t="str">
        <f t="shared" si="13"/>
        <v>Y</v>
      </c>
      <c r="L409" s="5" t="s">
        <v>411</v>
      </c>
      <c r="M409" s="5" t="s">
        <v>3723</v>
      </c>
      <c r="N409" s="5" t="s">
        <v>3717</v>
      </c>
      <c r="O409" s="5" t="s">
        <v>2963</v>
      </c>
      <c r="P409" s="5" t="s">
        <v>2858</v>
      </c>
      <c r="Q409" s="11">
        <v>46306.5</v>
      </c>
      <c r="R409" s="6"/>
      <c r="S409" s="6"/>
      <c r="T409" s="6"/>
      <c r="U409" s="5">
        <f>MATCH(B409,Manual_Review!$A$6:$A$238,0)</f>
        <v>26</v>
      </c>
      <c r="V409" s="5" t="str">
        <f>IF(INDEX(Manual_Review!$G$6:$G$238,U409)="","",INDEX(Manual_Review!$G$6:$G$238,U409))</f>
        <v/>
      </c>
      <c r="W409" s="11" t="str">
        <f>IF(INDEX(Manual_Review!$H$6:$H$238,U409)="","",INDEX(Manual_Review!$H$6:$H$238,U409))</f>
        <v/>
      </c>
      <c r="X409" s="5" t="str">
        <f>IF(INDEX(Manual_Review!$I$6:$I$238,U409)="","",INDEX(Manual_Review!$I$6:$I$238,U409))</f>
        <v/>
      </c>
      <c r="Y409" s="5" t="s">
        <v>2859</v>
      </c>
    </row>
    <row r="410" spans="1:25" ht="25.5">
      <c r="A410" s="5" t="s">
        <v>3724</v>
      </c>
      <c r="B410" s="5" t="s">
        <v>402</v>
      </c>
      <c r="C410" s="5" t="s">
        <v>403</v>
      </c>
      <c r="D410" s="5" t="s">
        <v>118</v>
      </c>
      <c r="E410" s="5" t="s">
        <v>2785</v>
      </c>
      <c r="F410" s="5" t="s">
        <v>2756</v>
      </c>
      <c r="G410" s="5">
        <v>1</v>
      </c>
      <c r="H410" s="5" t="s">
        <v>2864</v>
      </c>
      <c r="I410" s="5" t="str">
        <f>IF(INDEX(Manual_Review!$O$6:$O$238,U410)="","",INDEX(Manual_Review!$O$6:$O$238,U410))</f>
        <v/>
      </c>
      <c r="J410" s="5" t="str">
        <f t="shared" si="12"/>
        <v>AI provisional</v>
      </c>
      <c r="K410" s="5" t="str">
        <f t="shared" si="13"/>
        <v>U</v>
      </c>
      <c r="L410" s="5" t="s">
        <v>411</v>
      </c>
      <c r="M410" s="5" t="s">
        <v>3725</v>
      </c>
      <c r="N410" s="5" t="s">
        <v>3717</v>
      </c>
      <c r="O410" s="5" t="s">
        <v>2872</v>
      </c>
      <c r="P410" s="5" t="s">
        <v>2858</v>
      </c>
      <c r="Q410" s="11">
        <v>46306.5</v>
      </c>
      <c r="R410" s="6"/>
      <c r="S410" s="6"/>
      <c r="T410" s="6"/>
      <c r="U410" s="5">
        <f>MATCH(B410,Manual_Review!$A$6:$A$238,0)</f>
        <v>26</v>
      </c>
      <c r="V410" s="5" t="str">
        <f>IF(INDEX(Manual_Review!$G$6:$G$238,U410)="","",INDEX(Manual_Review!$G$6:$G$238,U410))</f>
        <v/>
      </c>
      <c r="W410" s="11" t="str">
        <f>IF(INDEX(Manual_Review!$H$6:$H$238,U410)="","",INDEX(Manual_Review!$H$6:$H$238,U410))</f>
        <v/>
      </c>
      <c r="X410" s="5" t="str">
        <f>IF(INDEX(Manual_Review!$I$6:$I$238,U410)="","",INDEX(Manual_Review!$I$6:$I$238,U410))</f>
        <v/>
      </c>
      <c r="Y410" s="5" t="s">
        <v>2859</v>
      </c>
    </row>
    <row r="411" spans="1:25" ht="25.5">
      <c r="A411" s="5" t="s">
        <v>3726</v>
      </c>
      <c r="B411" s="5" t="s">
        <v>402</v>
      </c>
      <c r="C411" s="5" t="s">
        <v>403</v>
      </c>
      <c r="D411" s="5" t="s">
        <v>118</v>
      </c>
      <c r="E411" s="5" t="s">
        <v>2786</v>
      </c>
      <c r="F411" s="5" t="s">
        <v>2756</v>
      </c>
      <c r="G411" s="5">
        <v>1</v>
      </c>
      <c r="H411" s="5" t="s">
        <v>2864</v>
      </c>
      <c r="I411" s="5" t="str">
        <f>IF(INDEX(Manual_Review!$P$6:$P$238,U411)="","",INDEX(Manual_Review!$P$6:$P$238,U411))</f>
        <v/>
      </c>
      <c r="J411" s="5" t="str">
        <f t="shared" si="12"/>
        <v>AI provisional</v>
      </c>
      <c r="K411" s="5" t="str">
        <f t="shared" si="13"/>
        <v>U</v>
      </c>
      <c r="L411" s="5" t="s">
        <v>411</v>
      </c>
      <c r="M411" s="5" t="s">
        <v>3721</v>
      </c>
      <c r="N411" s="5" t="s">
        <v>3717</v>
      </c>
      <c r="O411" s="5" t="s">
        <v>2874</v>
      </c>
      <c r="P411" s="5" t="s">
        <v>2858</v>
      </c>
      <c r="Q411" s="11">
        <v>46306.5</v>
      </c>
      <c r="R411" s="6"/>
      <c r="S411" s="6"/>
      <c r="T411" s="6"/>
      <c r="U411" s="5">
        <f>MATCH(B411,Manual_Review!$A$6:$A$238,0)</f>
        <v>26</v>
      </c>
      <c r="V411" s="5" t="str">
        <f>IF(INDEX(Manual_Review!$G$6:$G$238,U411)="","",INDEX(Manual_Review!$G$6:$G$238,U411))</f>
        <v/>
      </c>
      <c r="W411" s="11" t="str">
        <f>IF(INDEX(Manual_Review!$H$6:$H$238,U411)="","",INDEX(Manual_Review!$H$6:$H$238,U411))</f>
        <v/>
      </c>
      <c r="X411" s="5" t="str">
        <f>IF(INDEX(Manual_Review!$I$6:$I$238,U411)="","",INDEX(Manual_Review!$I$6:$I$238,U411))</f>
        <v/>
      </c>
      <c r="Y411" s="5" t="s">
        <v>2859</v>
      </c>
    </row>
    <row r="412" spans="1:25" ht="25.5">
      <c r="A412" s="5" t="s">
        <v>3727</v>
      </c>
      <c r="B412" s="5" t="s">
        <v>402</v>
      </c>
      <c r="C412" s="5" t="s">
        <v>403</v>
      </c>
      <c r="D412" s="5" t="s">
        <v>118</v>
      </c>
      <c r="E412" s="5" t="s">
        <v>2787</v>
      </c>
      <c r="F412" s="5" t="s">
        <v>2758</v>
      </c>
      <c r="G412" s="5">
        <v>1</v>
      </c>
      <c r="H412" s="5" t="s">
        <v>2864</v>
      </c>
      <c r="I412" s="5" t="str">
        <f>IF(INDEX(Manual_Review!$Q$6:$Q$238,U412)="","",INDEX(Manual_Review!$Q$6:$Q$238,U412))</f>
        <v/>
      </c>
      <c r="J412" s="5" t="str">
        <f t="shared" si="12"/>
        <v>AI provisional</v>
      </c>
      <c r="K412" s="5" t="str">
        <f t="shared" si="13"/>
        <v>U</v>
      </c>
      <c r="L412" s="5" t="s">
        <v>411</v>
      </c>
      <c r="M412" s="5" t="s">
        <v>3725</v>
      </c>
      <c r="N412" s="5" t="s">
        <v>3717</v>
      </c>
      <c r="O412" s="5" t="s">
        <v>2877</v>
      </c>
      <c r="P412" s="5" t="s">
        <v>2858</v>
      </c>
      <c r="Q412" s="11">
        <v>46306.5</v>
      </c>
      <c r="R412" s="6"/>
      <c r="S412" s="6"/>
      <c r="T412" s="6"/>
      <c r="U412" s="5">
        <f>MATCH(B412,Manual_Review!$A$6:$A$238,0)</f>
        <v>26</v>
      </c>
      <c r="V412" s="5" t="str">
        <f>IF(INDEX(Manual_Review!$G$6:$G$238,U412)="","",INDEX(Manual_Review!$G$6:$G$238,U412))</f>
        <v/>
      </c>
      <c r="W412" s="11" t="str">
        <f>IF(INDEX(Manual_Review!$H$6:$H$238,U412)="","",INDEX(Manual_Review!$H$6:$H$238,U412))</f>
        <v/>
      </c>
      <c r="X412" s="5" t="str">
        <f>IF(INDEX(Manual_Review!$I$6:$I$238,U412)="","",INDEX(Manual_Review!$I$6:$I$238,U412))</f>
        <v/>
      </c>
      <c r="Y412" s="5" t="s">
        <v>2859</v>
      </c>
    </row>
    <row r="413" spans="1:25" ht="25.5">
      <c r="A413" s="5" t="s">
        <v>3728</v>
      </c>
      <c r="B413" s="5" t="s">
        <v>402</v>
      </c>
      <c r="C413" s="5" t="s">
        <v>403</v>
      </c>
      <c r="D413" s="5" t="s">
        <v>118</v>
      </c>
      <c r="E413" s="5" t="s">
        <v>2788</v>
      </c>
      <c r="F413" s="5" t="s">
        <v>2758</v>
      </c>
      <c r="G413" s="5">
        <v>1</v>
      </c>
      <c r="H413" s="5" t="s">
        <v>2864</v>
      </c>
      <c r="I413" s="5" t="str">
        <f>IF(INDEX(Manual_Review!$R$6:$R$238,U413)="","",INDEX(Manual_Review!$R$6:$R$238,U413))</f>
        <v/>
      </c>
      <c r="J413" s="5" t="str">
        <f t="shared" si="12"/>
        <v>AI provisional</v>
      </c>
      <c r="K413" s="5" t="str">
        <f t="shared" si="13"/>
        <v>U</v>
      </c>
      <c r="L413" s="5" t="s">
        <v>411</v>
      </c>
      <c r="M413" s="5" t="s">
        <v>3729</v>
      </c>
      <c r="N413" s="5" t="s">
        <v>3717</v>
      </c>
      <c r="O413" s="5" t="s">
        <v>2880</v>
      </c>
      <c r="P413" s="5" t="s">
        <v>2858</v>
      </c>
      <c r="Q413" s="11">
        <v>46306.5</v>
      </c>
      <c r="R413" s="6"/>
      <c r="S413" s="6"/>
      <c r="T413" s="6"/>
      <c r="U413" s="5">
        <f>MATCH(B413,Manual_Review!$A$6:$A$238,0)</f>
        <v>26</v>
      </c>
      <c r="V413" s="5" t="str">
        <f>IF(INDEX(Manual_Review!$G$6:$G$238,U413)="","",INDEX(Manual_Review!$G$6:$G$238,U413))</f>
        <v/>
      </c>
      <c r="W413" s="11" t="str">
        <f>IF(INDEX(Manual_Review!$H$6:$H$238,U413)="","",INDEX(Manual_Review!$H$6:$H$238,U413))</f>
        <v/>
      </c>
      <c r="X413" s="5" t="str">
        <f>IF(INDEX(Manual_Review!$I$6:$I$238,U413)="","",INDEX(Manual_Review!$I$6:$I$238,U413))</f>
        <v/>
      </c>
      <c r="Y413" s="5" t="s">
        <v>2859</v>
      </c>
    </row>
    <row r="414" spans="1:25" ht="25.5">
      <c r="A414" s="5" t="s">
        <v>3730</v>
      </c>
      <c r="B414" s="5" t="s">
        <v>402</v>
      </c>
      <c r="C414" s="5" t="s">
        <v>403</v>
      </c>
      <c r="D414" s="5" t="s">
        <v>118</v>
      </c>
      <c r="E414" s="5" t="s">
        <v>2789</v>
      </c>
      <c r="F414" s="5" t="s">
        <v>2758</v>
      </c>
      <c r="G414" s="5">
        <v>1</v>
      </c>
      <c r="H414" s="5" t="s">
        <v>2864</v>
      </c>
      <c r="I414" s="5" t="str">
        <f>IF(INDEX(Manual_Review!$S$6:$S$238,U414)="","",INDEX(Manual_Review!$S$6:$S$238,U414))</f>
        <v/>
      </c>
      <c r="J414" s="5" t="str">
        <f t="shared" si="12"/>
        <v>AI provisional</v>
      </c>
      <c r="K414" s="5" t="str">
        <f t="shared" si="13"/>
        <v>U</v>
      </c>
      <c r="L414" s="5" t="s">
        <v>411</v>
      </c>
      <c r="M414" s="5" t="s">
        <v>3731</v>
      </c>
      <c r="N414" s="5" t="s">
        <v>3717</v>
      </c>
      <c r="O414" s="5" t="s">
        <v>2883</v>
      </c>
      <c r="P414" s="5" t="s">
        <v>2858</v>
      </c>
      <c r="Q414" s="11">
        <v>46306.5</v>
      </c>
      <c r="R414" s="6"/>
      <c r="S414" s="6"/>
      <c r="T414" s="6"/>
      <c r="U414" s="5">
        <f>MATCH(B414,Manual_Review!$A$6:$A$238,0)</f>
        <v>26</v>
      </c>
      <c r="V414" s="5" t="str">
        <f>IF(INDEX(Manual_Review!$G$6:$G$238,U414)="","",INDEX(Manual_Review!$G$6:$G$238,U414))</f>
        <v/>
      </c>
      <c r="W414" s="11" t="str">
        <f>IF(INDEX(Manual_Review!$H$6:$H$238,U414)="","",INDEX(Manual_Review!$H$6:$H$238,U414))</f>
        <v/>
      </c>
      <c r="X414" s="5" t="str">
        <f>IF(INDEX(Manual_Review!$I$6:$I$238,U414)="","",INDEX(Manual_Review!$I$6:$I$238,U414))</f>
        <v/>
      </c>
      <c r="Y414" s="5" t="s">
        <v>2859</v>
      </c>
    </row>
    <row r="415" spans="1:25" ht="25.5">
      <c r="A415" s="5" t="s">
        <v>3732</v>
      </c>
      <c r="B415" s="5" t="s">
        <v>402</v>
      </c>
      <c r="C415" s="5" t="s">
        <v>403</v>
      </c>
      <c r="D415" s="5" t="s">
        <v>118</v>
      </c>
      <c r="E415" s="5" t="s">
        <v>2790</v>
      </c>
      <c r="F415" s="5" t="s">
        <v>2760</v>
      </c>
      <c r="G415" s="5">
        <v>1</v>
      </c>
      <c r="H415" s="5" t="s">
        <v>2864</v>
      </c>
      <c r="I415" s="5" t="str">
        <f>IF(INDEX(Manual_Review!$T$6:$T$238,U415)="","",INDEX(Manual_Review!$T$6:$T$238,U415))</f>
        <v/>
      </c>
      <c r="J415" s="5" t="str">
        <f t="shared" si="12"/>
        <v>AI provisional</v>
      </c>
      <c r="K415" s="5" t="str">
        <f t="shared" si="13"/>
        <v>U</v>
      </c>
      <c r="L415" s="5" t="s">
        <v>411</v>
      </c>
      <c r="M415" s="5" t="s">
        <v>3733</v>
      </c>
      <c r="N415" s="5" t="s">
        <v>3717</v>
      </c>
      <c r="O415" s="5" t="s">
        <v>2885</v>
      </c>
      <c r="P415" s="5" t="s">
        <v>2858</v>
      </c>
      <c r="Q415" s="11">
        <v>46306.5</v>
      </c>
      <c r="R415" s="6"/>
      <c r="S415" s="6"/>
      <c r="T415" s="6"/>
      <c r="U415" s="5">
        <f>MATCH(B415,Manual_Review!$A$6:$A$238,0)</f>
        <v>26</v>
      </c>
      <c r="V415" s="5" t="str">
        <f>IF(INDEX(Manual_Review!$G$6:$G$238,U415)="","",INDEX(Manual_Review!$G$6:$G$238,U415))</f>
        <v/>
      </c>
      <c r="W415" s="11" t="str">
        <f>IF(INDEX(Manual_Review!$H$6:$H$238,U415)="","",INDEX(Manual_Review!$H$6:$H$238,U415))</f>
        <v/>
      </c>
      <c r="X415" s="5" t="str">
        <f>IF(INDEX(Manual_Review!$I$6:$I$238,U415)="","",INDEX(Manual_Review!$I$6:$I$238,U415))</f>
        <v/>
      </c>
      <c r="Y415" s="5" t="s">
        <v>2859</v>
      </c>
    </row>
    <row r="416" spans="1:25" ht="25.5">
      <c r="A416" s="5" t="s">
        <v>3734</v>
      </c>
      <c r="B416" s="5" t="s">
        <v>402</v>
      </c>
      <c r="C416" s="5" t="s">
        <v>403</v>
      </c>
      <c r="D416" s="5" t="s">
        <v>118</v>
      </c>
      <c r="E416" s="5" t="s">
        <v>2791</v>
      </c>
      <c r="F416" s="5" t="s">
        <v>2760</v>
      </c>
      <c r="G416" s="5">
        <v>1</v>
      </c>
      <c r="H416" s="5" t="s">
        <v>2864</v>
      </c>
      <c r="I416" s="5" t="str">
        <f>IF(INDEX(Manual_Review!$U$6:$U$238,U416)="","",INDEX(Manual_Review!$U$6:$U$238,U416))</f>
        <v/>
      </c>
      <c r="J416" s="5" t="str">
        <f t="shared" si="12"/>
        <v>AI provisional</v>
      </c>
      <c r="K416" s="5" t="str">
        <f t="shared" si="13"/>
        <v>U</v>
      </c>
      <c r="L416" s="5" t="s">
        <v>411</v>
      </c>
      <c r="M416" s="5" t="s">
        <v>3735</v>
      </c>
      <c r="N416" s="5" t="s">
        <v>3717</v>
      </c>
      <c r="O416" s="5" t="s">
        <v>2888</v>
      </c>
      <c r="P416" s="5" t="s">
        <v>2858</v>
      </c>
      <c r="Q416" s="11">
        <v>46306.5</v>
      </c>
      <c r="R416" s="6"/>
      <c r="S416" s="6"/>
      <c r="T416" s="6"/>
      <c r="U416" s="5">
        <f>MATCH(B416,Manual_Review!$A$6:$A$238,0)</f>
        <v>26</v>
      </c>
      <c r="V416" s="5" t="str">
        <f>IF(INDEX(Manual_Review!$G$6:$G$238,U416)="","",INDEX(Manual_Review!$G$6:$G$238,U416))</f>
        <v/>
      </c>
      <c r="W416" s="11" t="str">
        <f>IF(INDEX(Manual_Review!$H$6:$H$238,U416)="","",INDEX(Manual_Review!$H$6:$H$238,U416))</f>
        <v/>
      </c>
      <c r="X416" s="5" t="str">
        <f>IF(INDEX(Manual_Review!$I$6:$I$238,U416)="","",INDEX(Manual_Review!$I$6:$I$238,U416))</f>
        <v/>
      </c>
      <c r="Y416" s="5" t="s">
        <v>2859</v>
      </c>
    </row>
    <row r="417" spans="1:25" ht="25.5">
      <c r="A417" s="5" t="s">
        <v>3736</v>
      </c>
      <c r="B417" s="5" t="s">
        <v>402</v>
      </c>
      <c r="C417" s="5" t="s">
        <v>403</v>
      </c>
      <c r="D417" s="5" t="s">
        <v>118</v>
      </c>
      <c r="E417" s="5" t="s">
        <v>2792</v>
      </c>
      <c r="F417" s="5" t="s">
        <v>2762</v>
      </c>
      <c r="G417" s="5">
        <v>1</v>
      </c>
      <c r="H417" s="5" t="s">
        <v>2864</v>
      </c>
      <c r="I417" s="5" t="str">
        <f>IF(INDEX(Manual_Review!$V$6:$V$238,U417)="","",INDEX(Manual_Review!$V$6:$V$238,U417))</f>
        <v/>
      </c>
      <c r="J417" s="5" t="str">
        <f t="shared" si="12"/>
        <v>AI provisional</v>
      </c>
      <c r="K417" s="5" t="str">
        <f t="shared" si="13"/>
        <v>U</v>
      </c>
      <c r="L417" s="5" t="s">
        <v>411</v>
      </c>
      <c r="M417" s="5" t="s">
        <v>3737</v>
      </c>
      <c r="N417" s="5" t="s">
        <v>3717</v>
      </c>
      <c r="O417" s="5" t="s">
        <v>2891</v>
      </c>
      <c r="P417" s="5" t="s">
        <v>2858</v>
      </c>
      <c r="Q417" s="11">
        <v>46306.5</v>
      </c>
      <c r="R417" s="6"/>
      <c r="S417" s="6"/>
      <c r="T417" s="6"/>
      <c r="U417" s="5">
        <f>MATCH(B417,Manual_Review!$A$6:$A$238,0)</f>
        <v>26</v>
      </c>
      <c r="V417" s="5" t="str">
        <f>IF(INDEX(Manual_Review!$G$6:$G$238,U417)="","",INDEX(Manual_Review!$G$6:$G$238,U417))</f>
        <v/>
      </c>
      <c r="W417" s="11" t="str">
        <f>IF(INDEX(Manual_Review!$H$6:$H$238,U417)="","",INDEX(Manual_Review!$H$6:$H$238,U417))</f>
        <v/>
      </c>
      <c r="X417" s="5" t="str">
        <f>IF(INDEX(Manual_Review!$I$6:$I$238,U417)="","",INDEX(Manual_Review!$I$6:$I$238,U417))</f>
        <v/>
      </c>
      <c r="Y417" s="5" t="s">
        <v>2859</v>
      </c>
    </row>
    <row r="418" spans="1:25" ht="25.5">
      <c r="A418" s="5" t="s">
        <v>3738</v>
      </c>
      <c r="B418" s="5" t="s">
        <v>402</v>
      </c>
      <c r="C418" s="5" t="s">
        <v>403</v>
      </c>
      <c r="D418" s="5" t="s">
        <v>118</v>
      </c>
      <c r="E418" s="5" t="s">
        <v>2793</v>
      </c>
      <c r="F418" s="5" t="s">
        <v>2762</v>
      </c>
      <c r="G418" s="5">
        <v>1</v>
      </c>
      <c r="H418" s="5" t="s">
        <v>2854</v>
      </c>
      <c r="I418" s="5" t="str">
        <f>IF(INDEX(Manual_Review!$W$6:$W$238,U418)="","",INDEX(Manual_Review!$W$6:$W$238,U418))</f>
        <v/>
      </c>
      <c r="J418" s="5" t="str">
        <f t="shared" si="12"/>
        <v>AI provisional</v>
      </c>
      <c r="K418" s="5" t="str">
        <f t="shared" si="13"/>
        <v>Y</v>
      </c>
      <c r="L418" s="5" t="s">
        <v>411</v>
      </c>
      <c r="M418" s="5" t="s">
        <v>3737</v>
      </c>
      <c r="N418" s="5" t="s">
        <v>3717</v>
      </c>
      <c r="O418" s="5" t="s">
        <v>3077</v>
      </c>
      <c r="P418" s="5" t="s">
        <v>2858</v>
      </c>
      <c r="Q418" s="11">
        <v>46306.5</v>
      </c>
      <c r="R418" s="6"/>
      <c r="S418" s="6"/>
      <c r="T418" s="6"/>
      <c r="U418" s="5">
        <f>MATCH(B418,Manual_Review!$A$6:$A$238,0)</f>
        <v>26</v>
      </c>
      <c r="V418" s="5" t="str">
        <f>IF(INDEX(Manual_Review!$G$6:$G$238,U418)="","",INDEX(Manual_Review!$G$6:$G$238,U418))</f>
        <v/>
      </c>
      <c r="W418" s="11" t="str">
        <f>IF(INDEX(Manual_Review!$H$6:$H$238,U418)="","",INDEX(Manual_Review!$H$6:$H$238,U418))</f>
        <v/>
      </c>
      <c r="X418" s="5" t="str">
        <f>IF(INDEX(Manual_Review!$I$6:$I$238,U418)="","",INDEX(Manual_Review!$I$6:$I$238,U418))</f>
        <v/>
      </c>
      <c r="Y418" s="5" t="s">
        <v>2859</v>
      </c>
    </row>
    <row r="419" spans="1:25" ht="25.5">
      <c r="A419" s="5" t="s">
        <v>3739</v>
      </c>
      <c r="B419" s="5" t="s">
        <v>402</v>
      </c>
      <c r="C419" s="5" t="s">
        <v>403</v>
      </c>
      <c r="D419" s="5" t="s">
        <v>118</v>
      </c>
      <c r="E419" s="5" t="s">
        <v>2794</v>
      </c>
      <c r="F419" s="5" t="s">
        <v>2764</v>
      </c>
      <c r="G419" s="5">
        <v>1</v>
      </c>
      <c r="H419" s="5" t="s">
        <v>2854</v>
      </c>
      <c r="I419" s="5" t="str">
        <f>IF(INDEX(Manual_Review!$X$6:$X$238,U419)="","",INDEX(Manual_Review!$X$6:$X$238,U419))</f>
        <v/>
      </c>
      <c r="J419" s="5" t="str">
        <f t="shared" si="12"/>
        <v>AI provisional</v>
      </c>
      <c r="K419" s="5" t="str">
        <f t="shared" si="13"/>
        <v>Y</v>
      </c>
      <c r="L419" s="5" t="s">
        <v>411</v>
      </c>
      <c r="M419" s="5" t="s">
        <v>3740</v>
      </c>
      <c r="N419" s="5" t="s">
        <v>3717</v>
      </c>
      <c r="O419" s="5" t="s">
        <v>2984</v>
      </c>
      <c r="P419" s="5" t="s">
        <v>2858</v>
      </c>
      <c r="Q419" s="11">
        <v>46306.5</v>
      </c>
      <c r="R419" s="6"/>
      <c r="S419" s="6"/>
      <c r="T419" s="6"/>
      <c r="U419" s="5">
        <f>MATCH(B419,Manual_Review!$A$6:$A$238,0)</f>
        <v>26</v>
      </c>
      <c r="V419" s="5" t="str">
        <f>IF(INDEX(Manual_Review!$G$6:$G$238,U419)="","",INDEX(Manual_Review!$G$6:$G$238,U419))</f>
        <v/>
      </c>
      <c r="W419" s="11" t="str">
        <f>IF(INDEX(Manual_Review!$H$6:$H$238,U419)="","",INDEX(Manual_Review!$H$6:$H$238,U419))</f>
        <v/>
      </c>
      <c r="X419" s="5" t="str">
        <f>IF(INDEX(Manual_Review!$I$6:$I$238,U419)="","",INDEX(Manual_Review!$I$6:$I$238,U419))</f>
        <v/>
      </c>
      <c r="Y419" s="5" t="s">
        <v>2859</v>
      </c>
    </row>
    <row r="420" spans="1:25" ht="25.5">
      <c r="A420" s="5" t="s">
        <v>3741</v>
      </c>
      <c r="B420" s="5" t="s">
        <v>402</v>
      </c>
      <c r="C420" s="5" t="s">
        <v>403</v>
      </c>
      <c r="D420" s="5" t="s">
        <v>118</v>
      </c>
      <c r="E420" s="5" t="s">
        <v>2795</v>
      </c>
      <c r="F420" s="5" t="s">
        <v>2764</v>
      </c>
      <c r="G420" s="5">
        <v>1</v>
      </c>
      <c r="H420" s="5" t="s">
        <v>2864</v>
      </c>
      <c r="I420" s="5" t="str">
        <f>IF(INDEX(Manual_Review!$Y$6:$Y$238,U420)="","",INDEX(Manual_Review!$Y$6:$Y$238,U420))</f>
        <v/>
      </c>
      <c r="J420" s="5" t="str">
        <f t="shared" si="12"/>
        <v>AI provisional</v>
      </c>
      <c r="K420" s="5" t="str">
        <f t="shared" si="13"/>
        <v>U</v>
      </c>
      <c r="L420" s="5" t="s">
        <v>411</v>
      </c>
      <c r="M420" s="5" t="s">
        <v>3721</v>
      </c>
      <c r="N420" s="5" t="s">
        <v>3717</v>
      </c>
      <c r="O420" s="5" t="s">
        <v>2897</v>
      </c>
      <c r="P420" s="5" t="s">
        <v>2858</v>
      </c>
      <c r="Q420" s="11">
        <v>46306.5</v>
      </c>
      <c r="R420" s="6"/>
      <c r="S420" s="6"/>
      <c r="T420" s="6"/>
      <c r="U420" s="5">
        <f>MATCH(B420,Manual_Review!$A$6:$A$238,0)</f>
        <v>26</v>
      </c>
      <c r="V420" s="5" t="str">
        <f>IF(INDEX(Manual_Review!$G$6:$G$238,U420)="","",INDEX(Manual_Review!$G$6:$G$238,U420))</f>
        <v/>
      </c>
      <c r="W420" s="11" t="str">
        <f>IF(INDEX(Manual_Review!$H$6:$H$238,U420)="","",INDEX(Manual_Review!$H$6:$H$238,U420))</f>
        <v/>
      </c>
      <c r="X420" s="5" t="str">
        <f>IF(INDEX(Manual_Review!$I$6:$I$238,U420)="","",INDEX(Manual_Review!$I$6:$I$238,U420))</f>
        <v/>
      </c>
      <c r="Y420" s="5" t="s">
        <v>2859</v>
      </c>
    </row>
    <row r="421" spans="1:25" ht="25.5">
      <c r="A421" s="5" t="s">
        <v>3742</v>
      </c>
      <c r="B421" s="5" t="s">
        <v>402</v>
      </c>
      <c r="C421" s="5" t="s">
        <v>403</v>
      </c>
      <c r="D421" s="5" t="s">
        <v>118</v>
      </c>
      <c r="E421" s="5" t="s">
        <v>2796</v>
      </c>
      <c r="F421" s="5" t="s">
        <v>2764</v>
      </c>
      <c r="G421" s="5">
        <v>1</v>
      </c>
      <c r="H421" s="5" t="s">
        <v>2864</v>
      </c>
      <c r="I421" s="5" t="str">
        <f>IF(INDEX(Manual_Review!$Z$6:$Z$238,U421)="","",INDEX(Manual_Review!$Z$6:$Z$238,U421))</f>
        <v/>
      </c>
      <c r="J421" s="5" t="str">
        <f t="shared" si="12"/>
        <v>AI provisional</v>
      </c>
      <c r="K421" s="5" t="str">
        <f t="shared" si="13"/>
        <v>U</v>
      </c>
      <c r="L421" s="5" t="s">
        <v>411</v>
      </c>
      <c r="M421" s="5" t="s">
        <v>3731</v>
      </c>
      <c r="N421" s="5" t="s">
        <v>3717</v>
      </c>
      <c r="O421" s="5" t="s">
        <v>2899</v>
      </c>
      <c r="P421" s="5" t="s">
        <v>2858</v>
      </c>
      <c r="Q421" s="11">
        <v>46306.5</v>
      </c>
      <c r="R421" s="6"/>
      <c r="S421" s="6"/>
      <c r="T421" s="6"/>
      <c r="U421" s="5">
        <f>MATCH(B421,Manual_Review!$A$6:$A$238,0)</f>
        <v>26</v>
      </c>
      <c r="V421" s="5" t="str">
        <f>IF(INDEX(Manual_Review!$G$6:$G$238,U421)="","",INDEX(Manual_Review!$G$6:$G$238,U421))</f>
        <v/>
      </c>
      <c r="W421" s="11" t="str">
        <f>IF(INDEX(Manual_Review!$H$6:$H$238,U421)="","",INDEX(Manual_Review!$H$6:$H$238,U421))</f>
        <v/>
      </c>
      <c r="X421" s="5" t="str">
        <f>IF(INDEX(Manual_Review!$I$6:$I$238,U421)="","",INDEX(Manual_Review!$I$6:$I$238,U421))</f>
        <v/>
      </c>
      <c r="Y421" s="5" t="s">
        <v>2859</v>
      </c>
    </row>
    <row r="422" spans="1:25" ht="25.5">
      <c r="A422" s="5" t="s">
        <v>3743</v>
      </c>
      <c r="B422" s="5" t="s">
        <v>413</v>
      </c>
      <c r="C422" s="5" t="s">
        <v>414</v>
      </c>
      <c r="D422" s="5" t="s">
        <v>118</v>
      </c>
      <c r="E422" s="5" t="s">
        <v>2781</v>
      </c>
      <c r="F422" s="5" t="s">
        <v>2754</v>
      </c>
      <c r="G422" s="5">
        <v>1</v>
      </c>
      <c r="H422" s="5" t="s">
        <v>2854</v>
      </c>
      <c r="I422" s="5" t="str">
        <f>IF(INDEX(Manual_Review!$K$6:$K$238,U422)="","",INDEX(Manual_Review!$K$6:$K$238,U422))</f>
        <v/>
      </c>
      <c r="J422" s="5" t="str">
        <f t="shared" si="12"/>
        <v>AI provisional</v>
      </c>
      <c r="K422" s="5" t="str">
        <f t="shared" si="13"/>
        <v>Y</v>
      </c>
      <c r="L422" s="5" t="s">
        <v>418</v>
      </c>
      <c r="M422" s="5" t="s">
        <v>3744</v>
      </c>
      <c r="N422" s="5" t="s">
        <v>3745</v>
      </c>
      <c r="O422" s="5" t="s">
        <v>2857</v>
      </c>
      <c r="P422" s="5" t="s">
        <v>2858</v>
      </c>
      <c r="Q422" s="11">
        <v>46306.5</v>
      </c>
      <c r="R422" s="6"/>
      <c r="S422" s="6"/>
      <c r="T422" s="6"/>
      <c r="U422" s="5">
        <f>MATCH(B422,Manual_Review!$A$6:$A$238,0)</f>
        <v>27</v>
      </c>
      <c r="V422" s="5" t="str">
        <f>IF(INDEX(Manual_Review!$G$6:$G$238,U422)="","",INDEX(Manual_Review!$G$6:$G$238,U422))</f>
        <v/>
      </c>
      <c r="W422" s="11" t="str">
        <f>IF(INDEX(Manual_Review!$H$6:$H$238,U422)="","",INDEX(Manual_Review!$H$6:$H$238,U422))</f>
        <v/>
      </c>
      <c r="X422" s="5" t="str">
        <f>IF(INDEX(Manual_Review!$I$6:$I$238,U422)="","",INDEX(Manual_Review!$I$6:$I$238,U422))</f>
        <v/>
      </c>
      <c r="Y422" s="5" t="s">
        <v>2859</v>
      </c>
    </row>
    <row r="423" spans="1:25" ht="25.5">
      <c r="A423" s="5" t="s">
        <v>3746</v>
      </c>
      <c r="B423" s="5" t="s">
        <v>413</v>
      </c>
      <c r="C423" s="5" t="s">
        <v>414</v>
      </c>
      <c r="D423" s="5" t="s">
        <v>118</v>
      </c>
      <c r="E423" s="5" t="s">
        <v>2782</v>
      </c>
      <c r="F423" s="5" t="s">
        <v>2754</v>
      </c>
      <c r="G423" s="5">
        <v>1</v>
      </c>
      <c r="H423" s="5" t="s">
        <v>2854</v>
      </c>
      <c r="I423" s="5" t="str">
        <f>IF(INDEX(Manual_Review!$L$6:$L$238,U423)="","",INDEX(Manual_Review!$L$6:$L$238,U423))</f>
        <v/>
      </c>
      <c r="J423" s="5" t="str">
        <f t="shared" si="12"/>
        <v>AI provisional</v>
      </c>
      <c r="K423" s="5" t="str">
        <f t="shared" si="13"/>
        <v>Y</v>
      </c>
      <c r="L423" s="5" t="s">
        <v>418</v>
      </c>
      <c r="M423" s="5" t="s">
        <v>3747</v>
      </c>
      <c r="N423" s="5" t="s">
        <v>3745</v>
      </c>
      <c r="O423" s="5" t="s">
        <v>2862</v>
      </c>
      <c r="P423" s="5" t="s">
        <v>2858</v>
      </c>
      <c r="Q423" s="11">
        <v>46306.5</v>
      </c>
      <c r="R423" s="6"/>
      <c r="S423" s="6"/>
      <c r="T423" s="6"/>
      <c r="U423" s="5">
        <f>MATCH(B423,Manual_Review!$A$6:$A$238,0)</f>
        <v>27</v>
      </c>
      <c r="V423" s="5" t="str">
        <f>IF(INDEX(Manual_Review!$G$6:$G$238,U423)="","",INDEX(Manual_Review!$G$6:$G$238,U423))</f>
        <v/>
      </c>
      <c r="W423" s="11" t="str">
        <f>IF(INDEX(Manual_Review!$H$6:$H$238,U423)="","",INDEX(Manual_Review!$H$6:$H$238,U423))</f>
        <v/>
      </c>
      <c r="X423" s="5" t="str">
        <f>IF(INDEX(Manual_Review!$I$6:$I$238,U423)="","",INDEX(Manual_Review!$I$6:$I$238,U423))</f>
        <v/>
      </c>
      <c r="Y423" s="5" t="s">
        <v>2859</v>
      </c>
    </row>
    <row r="424" spans="1:25" ht="25.5">
      <c r="A424" s="5" t="s">
        <v>3748</v>
      </c>
      <c r="B424" s="5" t="s">
        <v>413</v>
      </c>
      <c r="C424" s="5" t="s">
        <v>414</v>
      </c>
      <c r="D424" s="5" t="s">
        <v>118</v>
      </c>
      <c r="E424" s="5" t="s">
        <v>2783</v>
      </c>
      <c r="F424" s="5" t="s">
        <v>2754</v>
      </c>
      <c r="G424" s="5">
        <v>1</v>
      </c>
      <c r="H424" s="5" t="s">
        <v>2864</v>
      </c>
      <c r="I424" s="5" t="str">
        <f>IF(INDEX(Manual_Review!$M$6:$M$238,U424)="","",INDEX(Manual_Review!$M$6:$M$238,U424))</f>
        <v/>
      </c>
      <c r="J424" s="5" t="str">
        <f t="shared" si="12"/>
        <v>AI provisional</v>
      </c>
      <c r="K424" s="5" t="str">
        <f t="shared" si="13"/>
        <v>U</v>
      </c>
      <c r="L424" s="5" t="s">
        <v>418</v>
      </c>
      <c r="M424" s="5" t="s">
        <v>3749</v>
      </c>
      <c r="N424" s="5" t="s">
        <v>3745</v>
      </c>
      <c r="O424" s="5" t="s">
        <v>2866</v>
      </c>
      <c r="P424" s="5" t="s">
        <v>2858</v>
      </c>
      <c r="Q424" s="11">
        <v>46306.5</v>
      </c>
      <c r="R424" s="6"/>
      <c r="S424" s="6"/>
      <c r="T424" s="6"/>
      <c r="U424" s="5">
        <f>MATCH(B424,Manual_Review!$A$6:$A$238,0)</f>
        <v>27</v>
      </c>
      <c r="V424" s="5" t="str">
        <f>IF(INDEX(Manual_Review!$G$6:$G$238,U424)="","",INDEX(Manual_Review!$G$6:$G$238,U424))</f>
        <v/>
      </c>
      <c r="W424" s="11" t="str">
        <f>IF(INDEX(Manual_Review!$H$6:$H$238,U424)="","",INDEX(Manual_Review!$H$6:$H$238,U424))</f>
        <v/>
      </c>
      <c r="X424" s="5" t="str">
        <f>IF(INDEX(Manual_Review!$I$6:$I$238,U424)="","",INDEX(Manual_Review!$I$6:$I$238,U424))</f>
        <v/>
      </c>
      <c r="Y424" s="5" t="s">
        <v>2859</v>
      </c>
    </row>
    <row r="425" spans="1:25" ht="25.5">
      <c r="A425" s="5" t="s">
        <v>3750</v>
      </c>
      <c r="B425" s="5" t="s">
        <v>413</v>
      </c>
      <c r="C425" s="5" t="s">
        <v>414</v>
      </c>
      <c r="D425" s="5" t="s">
        <v>118</v>
      </c>
      <c r="E425" s="5" t="s">
        <v>2784</v>
      </c>
      <c r="F425" s="5" t="s">
        <v>2756</v>
      </c>
      <c r="G425" s="5">
        <v>1</v>
      </c>
      <c r="H425" s="5" t="s">
        <v>2864</v>
      </c>
      <c r="I425" s="5" t="str">
        <f>IF(INDEX(Manual_Review!$N$6:$N$238,U425)="","",INDEX(Manual_Review!$N$6:$N$238,U425))</f>
        <v/>
      </c>
      <c r="J425" s="5" t="str">
        <f t="shared" si="12"/>
        <v>AI provisional</v>
      </c>
      <c r="K425" s="5" t="str">
        <f t="shared" si="13"/>
        <v>U</v>
      </c>
      <c r="L425" s="5" t="s">
        <v>418</v>
      </c>
      <c r="M425" s="5" t="s">
        <v>3751</v>
      </c>
      <c r="N425" s="5" t="s">
        <v>3745</v>
      </c>
      <c r="O425" s="5" t="s">
        <v>2869</v>
      </c>
      <c r="P425" s="5" t="s">
        <v>2858</v>
      </c>
      <c r="Q425" s="11">
        <v>46306.5</v>
      </c>
      <c r="R425" s="6"/>
      <c r="S425" s="6"/>
      <c r="T425" s="6"/>
      <c r="U425" s="5">
        <f>MATCH(B425,Manual_Review!$A$6:$A$238,0)</f>
        <v>27</v>
      </c>
      <c r="V425" s="5" t="str">
        <f>IF(INDEX(Manual_Review!$G$6:$G$238,U425)="","",INDEX(Manual_Review!$G$6:$G$238,U425))</f>
        <v/>
      </c>
      <c r="W425" s="11" t="str">
        <f>IF(INDEX(Manual_Review!$H$6:$H$238,U425)="","",INDEX(Manual_Review!$H$6:$H$238,U425))</f>
        <v/>
      </c>
      <c r="X425" s="5" t="str">
        <f>IF(INDEX(Manual_Review!$I$6:$I$238,U425)="","",INDEX(Manual_Review!$I$6:$I$238,U425))</f>
        <v/>
      </c>
      <c r="Y425" s="5" t="s">
        <v>2859</v>
      </c>
    </row>
    <row r="426" spans="1:25" ht="25.5">
      <c r="A426" s="5" t="s">
        <v>3752</v>
      </c>
      <c r="B426" s="5" t="s">
        <v>413</v>
      </c>
      <c r="C426" s="5" t="s">
        <v>414</v>
      </c>
      <c r="D426" s="5" t="s">
        <v>118</v>
      </c>
      <c r="E426" s="5" t="s">
        <v>2785</v>
      </c>
      <c r="F426" s="5" t="s">
        <v>2756</v>
      </c>
      <c r="G426" s="5">
        <v>1</v>
      </c>
      <c r="H426" s="5" t="s">
        <v>2864</v>
      </c>
      <c r="I426" s="5" t="str">
        <f>IF(INDEX(Manual_Review!$O$6:$O$238,U426)="","",INDEX(Manual_Review!$O$6:$O$238,U426))</f>
        <v/>
      </c>
      <c r="J426" s="5" t="str">
        <f t="shared" si="12"/>
        <v>AI provisional</v>
      </c>
      <c r="K426" s="5" t="str">
        <f t="shared" si="13"/>
        <v>U</v>
      </c>
      <c r="L426" s="5" t="s">
        <v>418</v>
      </c>
      <c r="M426" s="5" t="s">
        <v>3749</v>
      </c>
      <c r="N426" s="5" t="s">
        <v>3745</v>
      </c>
      <c r="O426" s="5" t="s">
        <v>2872</v>
      </c>
      <c r="P426" s="5" t="s">
        <v>2858</v>
      </c>
      <c r="Q426" s="11">
        <v>46306.5</v>
      </c>
      <c r="R426" s="6"/>
      <c r="S426" s="6"/>
      <c r="T426" s="6"/>
      <c r="U426" s="5">
        <f>MATCH(B426,Manual_Review!$A$6:$A$238,0)</f>
        <v>27</v>
      </c>
      <c r="V426" s="5" t="str">
        <f>IF(INDEX(Manual_Review!$G$6:$G$238,U426)="","",INDEX(Manual_Review!$G$6:$G$238,U426))</f>
        <v/>
      </c>
      <c r="W426" s="11" t="str">
        <f>IF(INDEX(Manual_Review!$H$6:$H$238,U426)="","",INDEX(Manual_Review!$H$6:$H$238,U426))</f>
        <v/>
      </c>
      <c r="X426" s="5" t="str">
        <f>IF(INDEX(Manual_Review!$I$6:$I$238,U426)="","",INDEX(Manual_Review!$I$6:$I$238,U426))</f>
        <v/>
      </c>
      <c r="Y426" s="5" t="s">
        <v>2859</v>
      </c>
    </row>
    <row r="427" spans="1:25" ht="25.5">
      <c r="A427" s="5" t="s">
        <v>3753</v>
      </c>
      <c r="B427" s="5" t="s">
        <v>413</v>
      </c>
      <c r="C427" s="5" t="s">
        <v>414</v>
      </c>
      <c r="D427" s="5" t="s">
        <v>118</v>
      </c>
      <c r="E427" s="5" t="s">
        <v>2786</v>
      </c>
      <c r="F427" s="5" t="s">
        <v>2756</v>
      </c>
      <c r="G427" s="5">
        <v>1</v>
      </c>
      <c r="H427" s="5" t="s">
        <v>2864</v>
      </c>
      <c r="I427" s="5" t="str">
        <f>IF(INDEX(Manual_Review!$P$6:$P$238,U427)="","",INDEX(Manual_Review!$P$6:$P$238,U427))</f>
        <v/>
      </c>
      <c r="J427" s="5" t="str">
        <f t="shared" si="12"/>
        <v>AI provisional</v>
      </c>
      <c r="K427" s="5" t="str">
        <f t="shared" si="13"/>
        <v>U</v>
      </c>
      <c r="L427" s="5" t="s">
        <v>418</v>
      </c>
      <c r="M427" s="5" t="s">
        <v>3749</v>
      </c>
      <c r="N427" s="5" t="s">
        <v>3745</v>
      </c>
      <c r="O427" s="5" t="s">
        <v>2874</v>
      </c>
      <c r="P427" s="5" t="s">
        <v>2858</v>
      </c>
      <c r="Q427" s="11">
        <v>46306.5</v>
      </c>
      <c r="R427" s="6"/>
      <c r="S427" s="6"/>
      <c r="T427" s="6"/>
      <c r="U427" s="5">
        <f>MATCH(B427,Manual_Review!$A$6:$A$238,0)</f>
        <v>27</v>
      </c>
      <c r="V427" s="5" t="str">
        <f>IF(INDEX(Manual_Review!$G$6:$G$238,U427)="","",INDEX(Manual_Review!$G$6:$G$238,U427))</f>
        <v/>
      </c>
      <c r="W427" s="11" t="str">
        <f>IF(INDEX(Manual_Review!$H$6:$H$238,U427)="","",INDEX(Manual_Review!$H$6:$H$238,U427))</f>
        <v/>
      </c>
      <c r="X427" s="5" t="str">
        <f>IF(INDEX(Manual_Review!$I$6:$I$238,U427)="","",INDEX(Manual_Review!$I$6:$I$238,U427))</f>
        <v/>
      </c>
      <c r="Y427" s="5" t="s">
        <v>2859</v>
      </c>
    </row>
    <row r="428" spans="1:25" ht="25.5">
      <c r="A428" s="5" t="s">
        <v>3754</v>
      </c>
      <c r="B428" s="5" t="s">
        <v>413</v>
      </c>
      <c r="C428" s="5" t="s">
        <v>414</v>
      </c>
      <c r="D428" s="5" t="s">
        <v>118</v>
      </c>
      <c r="E428" s="5" t="s">
        <v>2787</v>
      </c>
      <c r="F428" s="5" t="s">
        <v>2758</v>
      </c>
      <c r="G428" s="5">
        <v>1</v>
      </c>
      <c r="H428" s="5" t="s">
        <v>2864</v>
      </c>
      <c r="I428" s="5" t="str">
        <f>IF(INDEX(Manual_Review!$Q$6:$Q$238,U428)="","",INDEX(Manual_Review!$Q$6:$Q$238,U428))</f>
        <v/>
      </c>
      <c r="J428" s="5" t="str">
        <f t="shared" si="12"/>
        <v>AI provisional</v>
      </c>
      <c r="K428" s="5" t="str">
        <f t="shared" si="13"/>
        <v>U</v>
      </c>
      <c r="L428" s="5" t="s">
        <v>418</v>
      </c>
      <c r="M428" s="5" t="s">
        <v>3749</v>
      </c>
      <c r="N428" s="5" t="s">
        <v>3745</v>
      </c>
      <c r="O428" s="5" t="s">
        <v>2877</v>
      </c>
      <c r="P428" s="5" t="s">
        <v>2858</v>
      </c>
      <c r="Q428" s="11">
        <v>46306.5</v>
      </c>
      <c r="R428" s="6"/>
      <c r="S428" s="6"/>
      <c r="T428" s="6"/>
      <c r="U428" s="5">
        <f>MATCH(B428,Manual_Review!$A$6:$A$238,0)</f>
        <v>27</v>
      </c>
      <c r="V428" s="5" t="str">
        <f>IF(INDEX(Manual_Review!$G$6:$G$238,U428)="","",INDEX(Manual_Review!$G$6:$G$238,U428))</f>
        <v/>
      </c>
      <c r="W428" s="11" t="str">
        <f>IF(INDEX(Manual_Review!$H$6:$H$238,U428)="","",INDEX(Manual_Review!$H$6:$H$238,U428))</f>
        <v/>
      </c>
      <c r="X428" s="5" t="str">
        <f>IF(INDEX(Manual_Review!$I$6:$I$238,U428)="","",INDEX(Manual_Review!$I$6:$I$238,U428))</f>
        <v/>
      </c>
      <c r="Y428" s="5" t="s">
        <v>2859</v>
      </c>
    </row>
    <row r="429" spans="1:25" ht="25.5">
      <c r="A429" s="5" t="s">
        <v>3755</v>
      </c>
      <c r="B429" s="5" t="s">
        <v>413</v>
      </c>
      <c r="C429" s="5" t="s">
        <v>414</v>
      </c>
      <c r="D429" s="5" t="s">
        <v>118</v>
      </c>
      <c r="E429" s="5" t="s">
        <v>2788</v>
      </c>
      <c r="F429" s="5" t="s">
        <v>2758</v>
      </c>
      <c r="G429" s="5">
        <v>1</v>
      </c>
      <c r="H429" s="5" t="s">
        <v>2864</v>
      </c>
      <c r="I429" s="5" t="str">
        <f>IF(INDEX(Manual_Review!$R$6:$R$238,U429)="","",INDEX(Manual_Review!$R$6:$R$238,U429))</f>
        <v/>
      </c>
      <c r="J429" s="5" t="str">
        <f t="shared" si="12"/>
        <v>AI provisional</v>
      </c>
      <c r="K429" s="5" t="str">
        <f t="shared" si="13"/>
        <v>U</v>
      </c>
      <c r="L429" s="5" t="s">
        <v>418</v>
      </c>
      <c r="M429" s="5" t="s">
        <v>3756</v>
      </c>
      <c r="N429" s="5" t="s">
        <v>3745</v>
      </c>
      <c r="O429" s="5" t="s">
        <v>2880</v>
      </c>
      <c r="P429" s="5" t="s">
        <v>2858</v>
      </c>
      <c r="Q429" s="11">
        <v>46306.5</v>
      </c>
      <c r="R429" s="6"/>
      <c r="S429" s="6"/>
      <c r="T429" s="6"/>
      <c r="U429" s="5">
        <f>MATCH(B429,Manual_Review!$A$6:$A$238,0)</f>
        <v>27</v>
      </c>
      <c r="V429" s="5" t="str">
        <f>IF(INDEX(Manual_Review!$G$6:$G$238,U429)="","",INDEX(Manual_Review!$G$6:$G$238,U429))</f>
        <v/>
      </c>
      <c r="W429" s="11" t="str">
        <f>IF(INDEX(Manual_Review!$H$6:$H$238,U429)="","",INDEX(Manual_Review!$H$6:$H$238,U429))</f>
        <v/>
      </c>
      <c r="X429" s="5" t="str">
        <f>IF(INDEX(Manual_Review!$I$6:$I$238,U429)="","",INDEX(Manual_Review!$I$6:$I$238,U429))</f>
        <v/>
      </c>
      <c r="Y429" s="5" t="s">
        <v>2859</v>
      </c>
    </row>
    <row r="430" spans="1:25" ht="25.5">
      <c r="A430" s="5" t="s">
        <v>3757</v>
      </c>
      <c r="B430" s="5" t="s">
        <v>413</v>
      </c>
      <c r="C430" s="5" t="s">
        <v>414</v>
      </c>
      <c r="D430" s="5" t="s">
        <v>118</v>
      </c>
      <c r="E430" s="5" t="s">
        <v>2789</v>
      </c>
      <c r="F430" s="5" t="s">
        <v>2758</v>
      </c>
      <c r="G430" s="5">
        <v>1</v>
      </c>
      <c r="H430" s="5" t="s">
        <v>2864</v>
      </c>
      <c r="I430" s="5" t="str">
        <f>IF(INDEX(Manual_Review!$S$6:$S$238,U430)="","",INDEX(Manual_Review!$S$6:$S$238,U430))</f>
        <v/>
      </c>
      <c r="J430" s="5" t="str">
        <f t="shared" si="12"/>
        <v>AI provisional</v>
      </c>
      <c r="K430" s="5" t="str">
        <f t="shared" si="13"/>
        <v>U</v>
      </c>
      <c r="L430" s="5" t="s">
        <v>418</v>
      </c>
      <c r="M430" s="5" t="s">
        <v>3758</v>
      </c>
      <c r="N430" s="5" t="s">
        <v>3745</v>
      </c>
      <c r="O430" s="5" t="s">
        <v>2883</v>
      </c>
      <c r="P430" s="5" t="s">
        <v>2858</v>
      </c>
      <c r="Q430" s="11">
        <v>46306.5</v>
      </c>
      <c r="R430" s="6"/>
      <c r="S430" s="6"/>
      <c r="T430" s="6"/>
      <c r="U430" s="5">
        <f>MATCH(B430,Manual_Review!$A$6:$A$238,0)</f>
        <v>27</v>
      </c>
      <c r="V430" s="5" t="str">
        <f>IF(INDEX(Manual_Review!$G$6:$G$238,U430)="","",INDEX(Manual_Review!$G$6:$G$238,U430))</f>
        <v/>
      </c>
      <c r="W430" s="11" t="str">
        <f>IF(INDEX(Manual_Review!$H$6:$H$238,U430)="","",INDEX(Manual_Review!$H$6:$H$238,U430))</f>
        <v/>
      </c>
      <c r="X430" s="5" t="str">
        <f>IF(INDEX(Manual_Review!$I$6:$I$238,U430)="","",INDEX(Manual_Review!$I$6:$I$238,U430))</f>
        <v/>
      </c>
      <c r="Y430" s="5" t="s">
        <v>2859</v>
      </c>
    </row>
    <row r="431" spans="1:25" ht="25.5">
      <c r="A431" s="5" t="s">
        <v>3759</v>
      </c>
      <c r="B431" s="5" t="s">
        <v>413</v>
      </c>
      <c r="C431" s="5" t="s">
        <v>414</v>
      </c>
      <c r="D431" s="5" t="s">
        <v>118</v>
      </c>
      <c r="E431" s="5" t="s">
        <v>2790</v>
      </c>
      <c r="F431" s="5" t="s">
        <v>2760</v>
      </c>
      <c r="G431" s="5">
        <v>1</v>
      </c>
      <c r="H431" s="5" t="s">
        <v>2864</v>
      </c>
      <c r="I431" s="5" t="str">
        <f>IF(INDEX(Manual_Review!$T$6:$T$238,U431)="","",INDEX(Manual_Review!$T$6:$T$238,U431))</f>
        <v/>
      </c>
      <c r="J431" s="5" t="str">
        <f t="shared" si="12"/>
        <v>AI provisional</v>
      </c>
      <c r="K431" s="5" t="str">
        <f t="shared" si="13"/>
        <v>U</v>
      </c>
      <c r="L431" s="5" t="s">
        <v>418</v>
      </c>
      <c r="M431" s="5" t="s">
        <v>3749</v>
      </c>
      <c r="N431" s="5" t="s">
        <v>3745</v>
      </c>
      <c r="O431" s="5" t="s">
        <v>2885</v>
      </c>
      <c r="P431" s="5" t="s">
        <v>2858</v>
      </c>
      <c r="Q431" s="11">
        <v>46306.5</v>
      </c>
      <c r="R431" s="6"/>
      <c r="S431" s="6"/>
      <c r="T431" s="6"/>
      <c r="U431" s="5">
        <f>MATCH(B431,Manual_Review!$A$6:$A$238,0)</f>
        <v>27</v>
      </c>
      <c r="V431" s="5" t="str">
        <f>IF(INDEX(Manual_Review!$G$6:$G$238,U431)="","",INDEX(Manual_Review!$G$6:$G$238,U431))</f>
        <v/>
      </c>
      <c r="W431" s="11" t="str">
        <f>IF(INDEX(Manual_Review!$H$6:$H$238,U431)="","",INDEX(Manual_Review!$H$6:$H$238,U431))</f>
        <v/>
      </c>
      <c r="X431" s="5" t="str">
        <f>IF(INDEX(Manual_Review!$I$6:$I$238,U431)="","",INDEX(Manual_Review!$I$6:$I$238,U431))</f>
        <v/>
      </c>
      <c r="Y431" s="5" t="s">
        <v>2859</v>
      </c>
    </row>
    <row r="432" spans="1:25" ht="25.5">
      <c r="A432" s="5" t="s">
        <v>3760</v>
      </c>
      <c r="B432" s="5" t="s">
        <v>413</v>
      </c>
      <c r="C432" s="5" t="s">
        <v>414</v>
      </c>
      <c r="D432" s="5" t="s">
        <v>118</v>
      </c>
      <c r="E432" s="5" t="s">
        <v>2791</v>
      </c>
      <c r="F432" s="5" t="s">
        <v>2760</v>
      </c>
      <c r="G432" s="5">
        <v>1</v>
      </c>
      <c r="H432" s="5" t="s">
        <v>2864</v>
      </c>
      <c r="I432" s="5" t="str">
        <f>IF(INDEX(Manual_Review!$U$6:$U$238,U432)="","",INDEX(Manual_Review!$U$6:$U$238,U432))</f>
        <v/>
      </c>
      <c r="J432" s="5" t="str">
        <f t="shared" si="12"/>
        <v>AI provisional</v>
      </c>
      <c r="K432" s="5" t="str">
        <f t="shared" si="13"/>
        <v>U</v>
      </c>
      <c r="L432" s="5" t="s">
        <v>418</v>
      </c>
      <c r="M432" s="5" t="s">
        <v>3749</v>
      </c>
      <c r="N432" s="5" t="s">
        <v>3745</v>
      </c>
      <c r="O432" s="5" t="s">
        <v>2888</v>
      </c>
      <c r="P432" s="5" t="s">
        <v>2858</v>
      </c>
      <c r="Q432" s="11">
        <v>46306.5</v>
      </c>
      <c r="R432" s="6"/>
      <c r="S432" s="6"/>
      <c r="T432" s="6"/>
      <c r="U432" s="5">
        <f>MATCH(B432,Manual_Review!$A$6:$A$238,0)</f>
        <v>27</v>
      </c>
      <c r="V432" s="5" t="str">
        <f>IF(INDEX(Manual_Review!$G$6:$G$238,U432)="","",INDEX(Manual_Review!$G$6:$G$238,U432))</f>
        <v/>
      </c>
      <c r="W432" s="11" t="str">
        <f>IF(INDEX(Manual_Review!$H$6:$H$238,U432)="","",INDEX(Manual_Review!$H$6:$H$238,U432))</f>
        <v/>
      </c>
      <c r="X432" s="5" t="str">
        <f>IF(INDEX(Manual_Review!$I$6:$I$238,U432)="","",INDEX(Manual_Review!$I$6:$I$238,U432))</f>
        <v/>
      </c>
      <c r="Y432" s="5" t="s">
        <v>2859</v>
      </c>
    </row>
    <row r="433" spans="1:25" ht="25.5">
      <c r="A433" s="5" t="s">
        <v>3761</v>
      </c>
      <c r="B433" s="5" t="s">
        <v>413</v>
      </c>
      <c r="C433" s="5" t="s">
        <v>414</v>
      </c>
      <c r="D433" s="5" t="s">
        <v>118</v>
      </c>
      <c r="E433" s="5" t="s">
        <v>2792</v>
      </c>
      <c r="F433" s="5" t="s">
        <v>2762</v>
      </c>
      <c r="G433" s="5">
        <v>1</v>
      </c>
      <c r="H433" s="5" t="s">
        <v>2864</v>
      </c>
      <c r="I433" s="5" t="str">
        <f>IF(INDEX(Manual_Review!$V$6:$V$238,U433)="","",INDEX(Manual_Review!$V$6:$V$238,U433))</f>
        <v/>
      </c>
      <c r="J433" s="5" t="str">
        <f t="shared" si="12"/>
        <v>AI provisional</v>
      </c>
      <c r="K433" s="5" t="str">
        <f t="shared" si="13"/>
        <v>U</v>
      </c>
      <c r="L433" s="5" t="s">
        <v>418</v>
      </c>
      <c r="M433" s="5" t="s">
        <v>3762</v>
      </c>
      <c r="N433" s="5" t="s">
        <v>3745</v>
      </c>
      <c r="O433" s="5" t="s">
        <v>2891</v>
      </c>
      <c r="P433" s="5" t="s">
        <v>2858</v>
      </c>
      <c r="Q433" s="11">
        <v>46306.5</v>
      </c>
      <c r="R433" s="6"/>
      <c r="S433" s="6"/>
      <c r="T433" s="6"/>
      <c r="U433" s="5">
        <f>MATCH(B433,Manual_Review!$A$6:$A$238,0)</f>
        <v>27</v>
      </c>
      <c r="V433" s="5" t="str">
        <f>IF(INDEX(Manual_Review!$G$6:$G$238,U433)="","",INDEX(Manual_Review!$G$6:$G$238,U433))</f>
        <v/>
      </c>
      <c r="W433" s="11" t="str">
        <f>IF(INDEX(Manual_Review!$H$6:$H$238,U433)="","",INDEX(Manual_Review!$H$6:$H$238,U433))</f>
        <v/>
      </c>
      <c r="X433" s="5" t="str">
        <f>IF(INDEX(Manual_Review!$I$6:$I$238,U433)="","",INDEX(Manual_Review!$I$6:$I$238,U433))</f>
        <v/>
      </c>
      <c r="Y433" s="5" t="s">
        <v>2859</v>
      </c>
    </row>
    <row r="434" spans="1:25" ht="25.5">
      <c r="A434" s="5" t="s">
        <v>3763</v>
      </c>
      <c r="B434" s="5" t="s">
        <v>413</v>
      </c>
      <c r="C434" s="5" t="s">
        <v>414</v>
      </c>
      <c r="D434" s="5" t="s">
        <v>118</v>
      </c>
      <c r="E434" s="5" t="s">
        <v>2793</v>
      </c>
      <c r="F434" s="5" t="s">
        <v>2762</v>
      </c>
      <c r="G434" s="5">
        <v>1</v>
      </c>
      <c r="H434" s="5" t="s">
        <v>2864</v>
      </c>
      <c r="I434" s="5" t="str">
        <f>IF(INDEX(Manual_Review!$W$6:$W$238,U434)="","",INDEX(Manual_Review!$W$6:$W$238,U434))</f>
        <v/>
      </c>
      <c r="J434" s="5" t="str">
        <f t="shared" si="12"/>
        <v>AI provisional</v>
      </c>
      <c r="K434" s="5" t="str">
        <f t="shared" si="13"/>
        <v>U</v>
      </c>
      <c r="L434" s="5" t="s">
        <v>418</v>
      </c>
      <c r="M434" s="5" t="s">
        <v>3764</v>
      </c>
      <c r="N434" s="5" t="s">
        <v>3745</v>
      </c>
      <c r="O434" s="5" t="s">
        <v>2893</v>
      </c>
      <c r="P434" s="5" t="s">
        <v>2858</v>
      </c>
      <c r="Q434" s="11">
        <v>46306.5</v>
      </c>
      <c r="R434" s="6"/>
      <c r="S434" s="6"/>
      <c r="T434" s="6"/>
      <c r="U434" s="5">
        <f>MATCH(B434,Manual_Review!$A$6:$A$238,0)</f>
        <v>27</v>
      </c>
      <c r="V434" s="5" t="str">
        <f>IF(INDEX(Manual_Review!$G$6:$G$238,U434)="","",INDEX(Manual_Review!$G$6:$G$238,U434))</f>
        <v/>
      </c>
      <c r="W434" s="11" t="str">
        <f>IF(INDEX(Manual_Review!$H$6:$H$238,U434)="","",INDEX(Manual_Review!$H$6:$H$238,U434))</f>
        <v/>
      </c>
      <c r="X434" s="5" t="str">
        <f>IF(INDEX(Manual_Review!$I$6:$I$238,U434)="","",INDEX(Manual_Review!$I$6:$I$238,U434))</f>
        <v/>
      </c>
      <c r="Y434" s="5" t="s">
        <v>2859</v>
      </c>
    </row>
    <row r="435" spans="1:25" ht="25.5">
      <c r="A435" s="5" t="s">
        <v>3765</v>
      </c>
      <c r="B435" s="5" t="s">
        <v>413</v>
      </c>
      <c r="C435" s="5" t="s">
        <v>414</v>
      </c>
      <c r="D435" s="5" t="s">
        <v>118</v>
      </c>
      <c r="E435" s="5" t="s">
        <v>2794</v>
      </c>
      <c r="F435" s="5" t="s">
        <v>2764</v>
      </c>
      <c r="G435" s="5">
        <v>1</v>
      </c>
      <c r="H435" s="5" t="s">
        <v>2864</v>
      </c>
      <c r="I435" s="5" t="str">
        <f>IF(INDEX(Manual_Review!$X$6:$X$238,U435)="","",INDEX(Manual_Review!$X$6:$X$238,U435))</f>
        <v/>
      </c>
      <c r="J435" s="5" t="str">
        <f t="shared" si="12"/>
        <v>AI provisional</v>
      </c>
      <c r="K435" s="5" t="str">
        <f t="shared" si="13"/>
        <v>U</v>
      </c>
      <c r="L435" s="5" t="s">
        <v>418</v>
      </c>
      <c r="M435" s="5" t="s">
        <v>3749</v>
      </c>
      <c r="N435" s="5" t="s">
        <v>3745</v>
      </c>
      <c r="O435" s="5" t="s">
        <v>2895</v>
      </c>
      <c r="P435" s="5" t="s">
        <v>2858</v>
      </c>
      <c r="Q435" s="11">
        <v>46306.5</v>
      </c>
      <c r="R435" s="6"/>
      <c r="S435" s="6"/>
      <c r="T435" s="6"/>
      <c r="U435" s="5">
        <f>MATCH(B435,Manual_Review!$A$6:$A$238,0)</f>
        <v>27</v>
      </c>
      <c r="V435" s="5" t="str">
        <f>IF(INDEX(Manual_Review!$G$6:$G$238,U435)="","",INDEX(Manual_Review!$G$6:$G$238,U435))</f>
        <v/>
      </c>
      <c r="W435" s="11" t="str">
        <f>IF(INDEX(Manual_Review!$H$6:$H$238,U435)="","",INDEX(Manual_Review!$H$6:$H$238,U435))</f>
        <v/>
      </c>
      <c r="X435" s="5" t="str">
        <f>IF(INDEX(Manual_Review!$I$6:$I$238,U435)="","",INDEX(Manual_Review!$I$6:$I$238,U435))</f>
        <v/>
      </c>
      <c r="Y435" s="5" t="s">
        <v>2859</v>
      </c>
    </row>
    <row r="436" spans="1:25" ht="25.5">
      <c r="A436" s="5" t="s">
        <v>3766</v>
      </c>
      <c r="B436" s="5" t="s">
        <v>413</v>
      </c>
      <c r="C436" s="5" t="s">
        <v>414</v>
      </c>
      <c r="D436" s="5" t="s">
        <v>118</v>
      </c>
      <c r="E436" s="5" t="s">
        <v>2795</v>
      </c>
      <c r="F436" s="5" t="s">
        <v>2764</v>
      </c>
      <c r="G436" s="5">
        <v>1</v>
      </c>
      <c r="H436" s="5" t="s">
        <v>2864</v>
      </c>
      <c r="I436" s="5" t="str">
        <f>IF(INDEX(Manual_Review!$Y$6:$Y$238,U436)="","",INDEX(Manual_Review!$Y$6:$Y$238,U436))</f>
        <v/>
      </c>
      <c r="J436" s="5" t="str">
        <f t="shared" si="12"/>
        <v>AI provisional</v>
      </c>
      <c r="K436" s="5" t="str">
        <f t="shared" si="13"/>
        <v>U</v>
      </c>
      <c r="L436" s="5" t="s">
        <v>418</v>
      </c>
      <c r="M436" s="5" t="s">
        <v>3749</v>
      </c>
      <c r="N436" s="5" t="s">
        <v>3745</v>
      </c>
      <c r="O436" s="5" t="s">
        <v>2897</v>
      </c>
      <c r="P436" s="5" t="s">
        <v>2858</v>
      </c>
      <c r="Q436" s="11">
        <v>46306.5</v>
      </c>
      <c r="R436" s="6"/>
      <c r="S436" s="6"/>
      <c r="T436" s="6"/>
      <c r="U436" s="5">
        <f>MATCH(B436,Manual_Review!$A$6:$A$238,0)</f>
        <v>27</v>
      </c>
      <c r="V436" s="5" t="str">
        <f>IF(INDEX(Manual_Review!$G$6:$G$238,U436)="","",INDEX(Manual_Review!$G$6:$G$238,U436))</f>
        <v/>
      </c>
      <c r="W436" s="11" t="str">
        <f>IF(INDEX(Manual_Review!$H$6:$H$238,U436)="","",INDEX(Manual_Review!$H$6:$H$238,U436))</f>
        <v/>
      </c>
      <c r="X436" s="5" t="str">
        <f>IF(INDEX(Manual_Review!$I$6:$I$238,U436)="","",INDEX(Manual_Review!$I$6:$I$238,U436))</f>
        <v/>
      </c>
      <c r="Y436" s="5" t="s">
        <v>2859</v>
      </c>
    </row>
    <row r="437" spans="1:25" ht="25.5">
      <c r="A437" s="5" t="s">
        <v>3767</v>
      </c>
      <c r="B437" s="5" t="s">
        <v>413</v>
      </c>
      <c r="C437" s="5" t="s">
        <v>414</v>
      </c>
      <c r="D437" s="5" t="s">
        <v>118</v>
      </c>
      <c r="E437" s="5" t="s">
        <v>2796</v>
      </c>
      <c r="F437" s="5" t="s">
        <v>2764</v>
      </c>
      <c r="G437" s="5">
        <v>1</v>
      </c>
      <c r="H437" s="5" t="s">
        <v>2864</v>
      </c>
      <c r="I437" s="5" t="str">
        <f>IF(INDEX(Manual_Review!$Z$6:$Z$238,U437)="","",INDEX(Manual_Review!$Z$6:$Z$238,U437))</f>
        <v/>
      </c>
      <c r="J437" s="5" t="str">
        <f t="shared" si="12"/>
        <v>AI provisional</v>
      </c>
      <c r="K437" s="5" t="str">
        <f t="shared" si="13"/>
        <v>U</v>
      </c>
      <c r="L437" s="5" t="s">
        <v>418</v>
      </c>
      <c r="M437" s="5" t="s">
        <v>3758</v>
      </c>
      <c r="N437" s="5" t="s">
        <v>3745</v>
      </c>
      <c r="O437" s="5" t="s">
        <v>2899</v>
      </c>
      <c r="P437" s="5" t="s">
        <v>2858</v>
      </c>
      <c r="Q437" s="11">
        <v>46306.5</v>
      </c>
      <c r="R437" s="6"/>
      <c r="S437" s="6"/>
      <c r="T437" s="6"/>
      <c r="U437" s="5">
        <f>MATCH(B437,Manual_Review!$A$6:$A$238,0)</f>
        <v>27</v>
      </c>
      <c r="V437" s="5" t="str">
        <f>IF(INDEX(Manual_Review!$G$6:$G$238,U437)="","",INDEX(Manual_Review!$G$6:$G$238,U437))</f>
        <v/>
      </c>
      <c r="W437" s="11" t="str">
        <f>IF(INDEX(Manual_Review!$H$6:$H$238,U437)="","",INDEX(Manual_Review!$H$6:$H$238,U437))</f>
        <v/>
      </c>
      <c r="X437" s="5" t="str">
        <f>IF(INDEX(Manual_Review!$I$6:$I$238,U437)="","",INDEX(Manual_Review!$I$6:$I$238,U437))</f>
        <v/>
      </c>
      <c r="Y437" s="5" t="s">
        <v>2859</v>
      </c>
    </row>
    <row r="438" spans="1:25" ht="25.5">
      <c r="A438" s="5" t="s">
        <v>3768</v>
      </c>
      <c r="B438" s="5" t="s">
        <v>420</v>
      </c>
      <c r="C438" s="5" t="s">
        <v>421</v>
      </c>
      <c r="D438" s="5" t="s">
        <v>118</v>
      </c>
      <c r="E438" s="5" t="s">
        <v>2781</v>
      </c>
      <c r="F438" s="5" t="s">
        <v>2754</v>
      </c>
      <c r="G438" s="5">
        <v>1</v>
      </c>
      <c r="H438" s="5" t="s">
        <v>2854</v>
      </c>
      <c r="I438" s="5" t="str">
        <f>IF(INDEX(Manual_Review!$K$6:$K$238,U438)="","",INDEX(Manual_Review!$K$6:$K$238,U438))</f>
        <v/>
      </c>
      <c r="J438" s="5" t="str">
        <f t="shared" si="12"/>
        <v>AI provisional</v>
      </c>
      <c r="K438" s="5" t="str">
        <f t="shared" si="13"/>
        <v>Y</v>
      </c>
      <c r="L438" s="5" t="s">
        <v>431</v>
      </c>
      <c r="M438" s="5" t="s">
        <v>3769</v>
      </c>
      <c r="N438" s="5" t="s">
        <v>3770</v>
      </c>
      <c r="O438" s="5" t="s">
        <v>2857</v>
      </c>
      <c r="P438" s="5" t="s">
        <v>2858</v>
      </c>
      <c r="Q438" s="11">
        <v>46306.5</v>
      </c>
      <c r="R438" s="6"/>
      <c r="S438" s="6"/>
      <c r="T438" s="6"/>
      <c r="U438" s="5">
        <f>MATCH(B438,Manual_Review!$A$6:$A$238,0)</f>
        <v>28</v>
      </c>
      <c r="V438" s="5" t="str">
        <f>IF(INDEX(Manual_Review!$G$6:$G$238,U438)="","",INDEX(Manual_Review!$G$6:$G$238,U438))</f>
        <v/>
      </c>
      <c r="W438" s="11" t="str">
        <f>IF(INDEX(Manual_Review!$H$6:$H$238,U438)="","",INDEX(Manual_Review!$H$6:$H$238,U438))</f>
        <v/>
      </c>
      <c r="X438" s="5" t="str">
        <f>IF(INDEX(Manual_Review!$I$6:$I$238,U438)="","",INDEX(Manual_Review!$I$6:$I$238,U438))</f>
        <v/>
      </c>
      <c r="Y438" s="5" t="s">
        <v>2859</v>
      </c>
    </row>
    <row r="439" spans="1:25" ht="25.5">
      <c r="A439" s="5" t="s">
        <v>3771</v>
      </c>
      <c r="B439" s="5" t="s">
        <v>420</v>
      </c>
      <c r="C439" s="5" t="s">
        <v>421</v>
      </c>
      <c r="D439" s="5" t="s">
        <v>118</v>
      </c>
      <c r="E439" s="5" t="s">
        <v>2782</v>
      </c>
      <c r="F439" s="5" t="s">
        <v>2754</v>
      </c>
      <c r="G439" s="5">
        <v>1</v>
      </c>
      <c r="H439" s="5" t="s">
        <v>2854</v>
      </c>
      <c r="I439" s="5" t="str">
        <f>IF(INDEX(Manual_Review!$L$6:$L$238,U439)="","",INDEX(Manual_Review!$L$6:$L$238,U439))</f>
        <v/>
      </c>
      <c r="J439" s="5" t="str">
        <f t="shared" si="12"/>
        <v>AI provisional</v>
      </c>
      <c r="K439" s="5" t="str">
        <f t="shared" si="13"/>
        <v>Y</v>
      </c>
      <c r="L439" s="5" t="s">
        <v>431</v>
      </c>
      <c r="M439" s="5" t="s">
        <v>3772</v>
      </c>
      <c r="N439" s="5" t="s">
        <v>3770</v>
      </c>
      <c r="O439" s="5" t="s">
        <v>2862</v>
      </c>
      <c r="P439" s="5" t="s">
        <v>2858</v>
      </c>
      <c r="Q439" s="11">
        <v>46306.5</v>
      </c>
      <c r="R439" s="6"/>
      <c r="S439" s="6"/>
      <c r="T439" s="6"/>
      <c r="U439" s="5">
        <f>MATCH(B439,Manual_Review!$A$6:$A$238,0)</f>
        <v>28</v>
      </c>
      <c r="V439" s="5" t="str">
        <f>IF(INDEX(Manual_Review!$G$6:$G$238,U439)="","",INDEX(Manual_Review!$G$6:$G$238,U439))</f>
        <v/>
      </c>
      <c r="W439" s="11" t="str">
        <f>IF(INDEX(Manual_Review!$H$6:$H$238,U439)="","",INDEX(Manual_Review!$H$6:$H$238,U439))</f>
        <v/>
      </c>
      <c r="X439" s="5" t="str">
        <f>IF(INDEX(Manual_Review!$I$6:$I$238,U439)="","",INDEX(Manual_Review!$I$6:$I$238,U439))</f>
        <v/>
      </c>
      <c r="Y439" s="5" t="s">
        <v>2859</v>
      </c>
    </row>
    <row r="440" spans="1:25" ht="25.5">
      <c r="A440" s="5" t="s">
        <v>3773</v>
      </c>
      <c r="B440" s="5" t="s">
        <v>420</v>
      </c>
      <c r="C440" s="5" t="s">
        <v>421</v>
      </c>
      <c r="D440" s="5" t="s">
        <v>118</v>
      </c>
      <c r="E440" s="5" t="s">
        <v>2783</v>
      </c>
      <c r="F440" s="5" t="s">
        <v>2754</v>
      </c>
      <c r="G440" s="5">
        <v>1</v>
      </c>
      <c r="H440" s="5" t="s">
        <v>2864</v>
      </c>
      <c r="I440" s="5" t="str">
        <f>IF(INDEX(Manual_Review!$M$6:$M$238,U440)="","",INDEX(Manual_Review!$M$6:$M$238,U440))</f>
        <v/>
      </c>
      <c r="J440" s="5" t="str">
        <f t="shared" si="12"/>
        <v>AI provisional</v>
      </c>
      <c r="K440" s="5" t="str">
        <f t="shared" si="13"/>
        <v>U</v>
      </c>
      <c r="L440" s="5" t="s">
        <v>431</v>
      </c>
      <c r="M440" s="5" t="s">
        <v>3772</v>
      </c>
      <c r="N440" s="5" t="s">
        <v>3770</v>
      </c>
      <c r="O440" s="5" t="s">
        <v>2866</v>
      </c>
      <c r="P440" s="5" t="s">
        <v>2858</v>
      </c>
      <c r="Q440" s="11">
        <v>46306.5</v>
      </c>
      <c r="R440" s="6"/>
      <c r="S440" s="6"/>
      <c r="T440" s="6"/>
      <c r="U440" s="5">
        <f>MATCH(B440,Manual_Review!$A$6:$A$238,0)</f>
        <v>28</v>
      </c>
      <c r="V440" s="5" t="str">
        <f>IF(INDEX(Manual_Review!$G$6:$G$238,U440)="","",INDEX(Manual_Review!$G$6:$G$238,U440))</f>
        <v/>
      </c>
      <c r="W440" s="11" t="str">
        <f>IF(INDEX(Manual_Review!$H$6:$H$238,U440)="","",INDEX(Manual_Review!$H$6:$H$238,U440))</f>
        <v/>
      </c>
      <c r="X440" s="5" t="str">
        <f>IF(INDEX(Manual_Review!$I$6:$I$238,U440)="","",INDEX(Manual_Review!$I$6:$I$238,U440))</f>
        <v/>
      </c>
      <c r="Y440" s="5" t="s">
        <v>2859</v>
      </c>
    </row>
    <row r="441" spans="1:25" ht="25.5">
      <c r="A441" s="5" t="s">
        <v>3774</v>
      </c>
      <c r="B441" s="5" t="s">
        <v>420</v>
      </c>
      <c r="C441" s="5" t="s">
        <v>421</v>
      </c>
      <c r="D441" s="5" t="s">
        <v>118</v>
      </c>
      <c r="E441" s="5" t="s">
        <v>2784</v>
      </c>
      <c r="F441" s="5" t="s">
        <v>2756</v>
      </c>
      <c r="G441" s="5">
        <v>1</v>
      </c>
      <c r="H441" s="5" t="s">
        <v>2864</v>
      </c>
      <c r="I441" s="5" t="str">
        <f>IF(INDEX(Manual_Review!$N$6:$N$238,U441)="","",INDEX(Manual_Review!$N$6:$N$238,U441))</f>
        <v/>
      </c>
      <c r="J441" s="5" t="str">
        <f t="shared" si="12"/>
        <v>AI provisional</v>
      </c>
      <c r="K441" s="5" t="str">
        <f t="shared" si="13"/>
        <v>U</v>
      </c>
      <c r="L441" s="5" t="s">
        <v>431</v>
      </c>
      <c r="M441" s="5" t="s">
        <v>3775</v>
      </c>
      <c r="N441" s="5" t="s">
        <v>3770</v>
      </c>
      <c r="O441" s="5" t="s">
        <v>2869</v>
      </c>
      <c r="P441" s="5" t="s">
        <v>2858</v>
      </c>
      <c r="Q441" s="11">
        <v>46306.5</v>
      </c>
      <c r="R441" s="6"/>
      <c r="S441" s="6"/>
      <c r="T441" s="6"/>
      <c r="U441" s="5">
        <f>MATCH(B441,Manual_Review!$A$6:$A$238,0)</f>
        <v>28</v>
      </c>
      <c r="V441" s="5" t="str">
        <f>IF(INDEX(Manual_Review!$G$6:$G$238,U441)="","",INDEX(Manual_Review!$G$6:$G$238,U441))</f>
        <v/>
      </c>
      <c r="W441" s="11" t="str">
        <f>IF(INDEX(Manual_Review!$H$6:$H$238,U441)="","",INDEX(Manual_Review!$H$6:$H$238,U441))</f>
        <v/>
      </c>
      <c r="X441" s="5" t="str">
        <f>IF(INDEX(Manual_Review!$I$6:$I$238,U441)="","",INDEX(Manual_Review!$I$6:$I$238,U441))</f>
        <v/>
      </c>
      <c r="Y441" s="5" t="s">
        <v>2859</v>
      </c>
    </row>
    <row r="442" spans="1:25" ht="25.5">
      <c r="A442" s="5" t="s">
        <v>3776</v>
      </c>
      <c r="B442" s="5" t="s">
        <v>420</v>
      </c>
      <c r="C442" s="5" t="s">
        <v>421</v>
      </c>
      <c r="D442" s="5" t="s">
        <v>118</v>
      </c>
      <c r="E442" s="5" t="s">
        <v>2785</v>
      </c>
      <c r="F442" s="5" t="s">
        <v>2756</v>
      </c>
      <c r="G442" s="5">
        <v>1</v>
      </c>
      <c r="H442" s="5" t="s">
        <v>2864</v>
      </c>
      <c r="I442" s="5" t="str">
        <f>IF(INDEX(Manual_Review!$O$6:$O$238,U442)="","",INDEX(Manual_Review!$O$6:$O$238,U442))</f>
        <v/>
      </c>
      <c r="J442" s="5" t="str">
        <f t="shared" si="12"/>
        <v>AI provisional</v>
      </c>
      <c r="K442" s="5" t="str">
        <f t="shared" si="13"/>
        <v>U</v>
      </c>
      <c r="L442" s="5" t="s">
        <v>431</v>
      </c>
      <c r="M442" s="5" t="s">
        <v>3777</v>
      </c>
      <c r="N442" s="5" t="s">
        <v>3770</v>
      </c>
      <c r="O442" s="5" t="s">
        <v>2872</v>
      </c>
      <c r="P442" s="5" t="s">
        <v>2858</v>
      </c>
      <c r="Q442" s="11">
        <v>46306.5</v>
      </c>
      <c r="R442" s="6"/>
      <c r="S442" s="6"/>
      <c r="T442" s="6"/>
      <c r="U442" s="5">
        <f>MATCH(B442,Manual_Review!$A$6:$A$238,0)</f>
        <v>28</v>
      </c>
      <c r="V442" s="5" t="str">
        <f>IF(INDEX(Manual_Review!$G$6:$G$238,U442)="","",INDEX(Manual_Review!$G$6:$G$238,U442))</f>
        <v/>
      </c>
      <c r="W442" s="11" t="str">
        <f>IF(INDEX(Manual_Review!$H$6:$H$238,U442)="","",INDEX(Manual_Review!$H$6:$H$238,U442))</f>
        <v/>
      </c>
      <c r="X442" s="5" t="str">
        <f>IF(INDEX(Manual_Review!$I$6:$I$238,U442)="","",INDEX(Manual_Review!$I$6:$I$238,U442))</f>
        <v/>
      </c>
      <c r="Y442" s="5" t="s">
        <v>2859</v>
      </c>
    </row>
    <row r="443" spans="1:25" ht="25.5">
      <c r="A443" s="5" t="s">
        <v>3778</v>
      </c>
      <c r="B443" s="5" t="s">
        <v>420</v>
      </c>
      <c r="C443" s="5" t="s">
        <v>421</v>
      </c>
      <c r="D443" s="5" t="s">
        <v>118</v>
      </c>
      <c r="E443" s="5" t="s">
        <v>2786</v>
      </c>
      <c r="F443" s="5" t="s">
        <v>2756</v>
      </c>
      <c r="G443" s="5">
        <v>1</v>
      </c>
      <c r="H443" s="5" t="s">
        <v>2864</v>
      </c>
      <c r="I443" s="5" t="str">
        <f>IF(INDEX(Manual_Review!$P$6:$P$238,U443)="","",INDEX(Manual_Review!$P$6:$P$238,U443))</f>
        <v/>
      </c>
      <c r="J443" s="5" t="str">
        <f t="shared" si="12"/>
        <v>AI provisional</v>
      </c>
      <c r="K443" s="5" t="str">
        <f t="shared" si="13"/>
        <v>U</v>
      </c>
      <c r="L443" s="5" t="s">
        <v>431</v>
      </c>
      <c r="M443" s="5" t="s">
        <v>3772</v>
      </c>
      <c r="N443" s="5" t="s">
        <v>3770</v>
      </c>
      <c r="O443" s="5" t="s">
        <v>2874</v>
      </c>
      <c r="P443" s="5" t="s">
        <v>2858</v>
      </c>
      <c r="Q443" s="11">
        <v>46306.5</v>
      </c>
      <c r="R443" s="6"/>
      <c r="S443" s="6"/>
      <c r="T443" s="6"/>
      <c r="U443" s="5">
        <f>MATCH(B443,Manual_Review!$A$6:$A$238,0)</f>
        <v>28</v>
      </c>
      <c r="V443" s="5" t="str">
        <f>IF(INDEX(Manual_Review!$G$6:$G$238,U443)="","",INDEX(Manual_Review!$G$6:$G$238,U443))</f>
        <v/>
      </c>
      <c r="W443" s="11" t="str">
        <f>IF(INDEX(Manual_Review!$H$6:$H$238,U443)="","",INDEX(Manual_Review!$H$6:$H$238,U443))</f>
        <v/>
      </c>
      <c r="X443" s="5" t="str">
        <f>IF(INDEX(Manual_Review!$I$6:$I$238,U443)="","",INDEX(Manual_Review!$I$6:$I$238,U443))</f>
        <v/>
      </c>
      <c r="Y443" s="5" t="s">
        <v>2859</v>
      </c>
    </row>
    <row r="444" spans="1:25" ht="25.5">
      <c r="A444" s="5" t="s">
        <v>3779</v>
      </c>
      <c r="B444" s="5" t="s">
        <v>420</v>
      </c>
      <c r="C444" s="5" t="s">
        <v>421</v>
      </c>
      <c r="D444" s="5" t="s">
        <v>118</v>
      </c>
      <c r="E444" s="5" t="s">
        <v>2787</v>
      </c>
      <c r="F444" s="5" t="s">
        <v>2758</v>
      </c>
      <c r="G444" s="5">
        <v>1</v>
      </c>
      <c r="H444" s="5" t="s">
        <v>2864</v>
      </c>
      <c r="I444" s="5" t="str">
        <f>IF(INDEX(Manual_Review!$Q$6:$Q$238,U444)="","",INDEX(Manual_Review!$Q$6:$Q$238,U444))</f>
        <v/>
      </c>
      <c r="J444" s="5" t="str">
        <f t="shared" si="12"/>
        <v>AI provisional</v>
      </c>
      <c r="K444" s="5" t="str">
        <f t="shared" si="13"/>
        <v>U</v>
      </c>
      <c r="L444" s="5" t="s">
        <v>431</v>
      </c>
      <c r="M444" s="5" t="s">
        <v>3780</v>
      </c>
      <c r="N444" s="5" t="s">
        <v>3770</v>
      </c>
      <c r="O444" s="5" t="s">
        <v>2877</v>
      </c>
      <c r="P444" s="5" t="s">
        <v>2858</v>
      </c>
      <c r="Q444" s="11">
        <v>46306.5</v>
      </c>
      <c r="R444" s="6"/>
      <c r="S444" s="6"/>
      <c r="T444" s="6"/>
      <c r="U444" s="5">
        <f>MATCH(B444,Manual_Review!$A$6:$A$238,0)</f>
        <v>28</v>
      </c>
      <c r="V444" s="5" t="str">
        <f>IF(INDEX(Manual_Review!$G$6:$G$238,U444)="","",INDEX(Manual_Review!$G$6:$G$238,U444))</f>
        <v/>
      </c>
      <c r="W444" s="11" t="str">
        <f>IF(INDEX(Manual_Review!$H$6:$H$238,U444)="","",INDEX(Manual_Review!$H$6:$H$238,U444))</f>
        <v/>
      </c>
      <c r="X444" s="5" t="str">
        <f>IF(INDEX(Manual_Review!$I$6:$I$238,U444)="","",INDEX(Manual_Review!$I$6:$I$238,U444))</f>
        <v/>
      </c>
      <c r="Y444" s="5" t="s">
        <v>2859</v>
      </c>
    </row>
    <row r="445" spans="1:25" ht="25.5">
      <c r="A445" s="5" t="s">
        <v>3781</v>
      </c>
      <c r="B445" s="5" t="s">
        <v>420</v>
      </c>
      <c r="C445" s="5" t="s">
        <v>421</v>
      </c>
      <c r="D445" s="5" t="s">
        <v>118</v>
      </c>
      <c r="E445" s="5" t="s">
        <v>2788</v>
      </c>
      <c r="F445" s="5" t="s">
        <v>2758</v>
      </c>
      <c r="G445" s="5">
        <v>1</v>
      </c>
      <c r="H445" s="5" t="s">
        <v>2854</v>
      </c>
      <c r="I445" s="5" t="str">
        <f>IF(INDEX(Manual_Review!$R$6:$R$238,U445)="","",INDEX(Manual_Review!$R$6:$R$238,U445))</f>
        <v/>
      </c>
      <c r="J445" s="5" t="str">
        <f t="shared" si="12"/>
        <v>AI provisional</v>
      </c>
      <c r="K445" s="5" t="str">
        <f t="shared" si="13"/>
        <v>Y</v>
      </c>
      <c r="L445" s="5" t="s">
        <v>431</v>
      </c>
      <c r="M445" s="5" t="s">
        <v>3782</v>
      </c>
      <c r="N445" s="5" t="s">
        <v>3770</v>
      </c>
      <c r="O445" s="5" t="s">
        <v>3067</v>
      </c>
      <c r="P445" s="5" t="s">
        <v>2858</v>
      </c>
      <c r="Q445" s="11">
        <v>46306.5</v>
      </c>
      <c r="R445" s="6"/>
      <c r="S445" s="6"/>
      <c r="T445" s="6"/>
      <c r="U445" s="5">
        <f>MATCH(B445,Manual_Review!$A$6:$A$238,0)</f>
        <v>28</v>
      </c>
      <c r="V445" s="5" t="str">
        <f>IF(INDEX(Manual_Review!$G$6:$G$238,U445)="","",INDEX(Manual_Review!$G$6:$G$238,U445))</f>
        <v/>
      </c>
      <c r="W445" s="11" t="str">
        <f>IF(INDEX(Manual_Review!$H$6:$H$238,U445)="","",INDEX(Manual_Review!$H$6:$H$238,U445))</f>
        <v/>
      </c>
      <c r="X445" s="5" t="str">
        <f>IF(INDEX(Manual_Review!$I$6:$I$238,U445)="","",INDEX(Manual_Review!$I$6:$I$238,U445))</f>
        <v/>
      </c>
      <c r="Y445" s="5" t="s">
        <v>2859</v>
      </c>
    </row>
    <row r="446" spans="1:25" ht="25.5">
      <c r="A446" s="5" t="s">
        <v>3783</v>
      </c>
      <c r="B446" s="5" t="s">
        <v>420</v>
      </c>
      <c r="C446" s="5" t="s">
        <v>421</v>
      </c>
      <c r="D446" s="5" t="s">
        <v>118</v>
      </c>
      <c r="E446" s="5" t="s">
        <v>2789</v>
      </c>
      <c r="F446" s="5" t="s">
        <v>2758</v>
      </c>
      <c r="G446" s="5">
        <v>1</v>
      </c>
      <c r="H446" s="5" t="s">
        <v>2864</v>
      </c>
      <c r="I446" s="5" t="str">
        <f>IF(INDEX(Manual_Review!$S$6:$S$238,U446)="","",INDEX(Manual_Review!$S$6:$S$238,U446))</f>
        <v/>
      </c>
      <c r="J446" s="5" t="str">
        <f t="shared" si="12"/>
        <v>AI provisional</v>
      </c>
      <c r="K446" s="5" t="str">
        <f t="shared" si="13"/>
        <v>U</v>
      </c>
      <c r="L446" s="5" t="s">
        <v>431</v>
      </c>
      <c r="M446" s="5" t="s">
        <v>3784</v>
      </c>
      <c r="N446" s="5" t="s">
        <v>3770</v>
      </c>
      <c r="O446" s="5" t="s">
        <v>2883</v>
      </c>
      <c r="P446" s="5" t="s">
        <v>2858</v>
      </c>
      <c r="Q446" s="11">
        <v>46306.5</v>
      </c>
      <c r="R446" s="6"/>
      <c r="S446" s="6"/>
      <c r="T446" s="6"/>
      <c r="U446" s="5">
        <f>MATCH(B446,Manual_Review!$A$6:$A$238,0)</f>
        <v>28</v>
      </c>
      <c r="V446" s="5" t="str">
        <f>IF(INDEX(Manual_Review!$G$6:$G$238,U446)="","",INDEX(Manual_Review!$G$6:$G$238,U446))</f>
        <v/>
      </c>
      <c r="W446" s="11" t="str">
        <f>IF(INDEX(Manual_Review!$H$6:$H$238,U446)="","",INDEX(Manual_Review!$H$6:$H$238,U446))</f>
        <v/>
      </c>
      <c r="X446" s="5" t="str">
        <f>IF(INDEX(Manual_Review!$I$6:$I$238,U446)="","",INDEX(Manual_Review!$I$6:$I$238,U446))</f>
        <v/>
      </c>
      <c r="Y446" s="5" t="s">
        <v>2859</v>
      </c>
    </row>
    <row r="447" spans="1:25" ht="25.5">
      <c r="A447" s="5" t="s">
        <v>3785</v>
      </c>
      <c r="B447" s="5" t="s">
        <v>420</v>
      </c>
      <c r="C447" s="5" t="s">
        <v>421</v>
      </c>
      <c r="D447" s="5" t="s">
        <v>118</v>
      </c>
      <c r="E447" s="5" t="s">
        <v>2790</v>
      </c>
      <c r="F447" s="5" t="s">
        <v>2760</v>
      </c>
      <c r="G447" s="5">
        <v>1</v>
      </c>
      <c r="H447" s="5" t="s">
        <v>2854</v>
      </c>
      <c r="I447" s="5" t="str">
        <f>IF(INDEX(Manual_Review!$T$6:$T$238,U447)="","",INDEX(Manual_Review!$T$6:$T$238,U447))</f>
        <v/>
      </c>
      <c r="J447" s="5" t="str">
        <f t="shared" si="12"/>
        <v>AI provisional</v>
      </c>
      <c r="K447" s="5" t="str">
        <f t="shared" si="13"/>
        <v>Y</v>
      </c>
      <c r="L447" s="5" t="s">
        <v>431</v>
      </c>
      <c r="M447" s="5" t="s">
        <v>3786</v>
      </c>
      <c r="N447" s="5" t="s">
        <v>3770</v>
      </c>
      <c r="O447" s="5" t="s">
        <v>2976</v>
      </c>
      <c r="P447" s="5" t="s">
        <v>2858</v>
      </c>
      <c r="Q447" s="11">
        <v>46306.5</v>
      </c>
      <c r="R447" s="6"/>
      <c r="S447" s="6"/>
      <c r="T447" s="6"/>
      <c r="U447" s="5">
        <f>MATCH(B447,Manual_Review!$A$6:$A$238,0)</f>
        <v>28</v>
      </c>
      <c r="V447" s="5" t="str">
        <f>IF(INDEX(Manual_Review!$G$6:$G$238,U447)="","",INDEX(Manual_Review!$G$6:$G$238,U447))</f>
        <v/>
      </c>
      <c r="W447" s="11" t="str">
        <f>IF(INDEX(Manual_Review!$H$6:$H$238,U447)="","",INDEX(Manual_Review!$H$6:$H$238,U447))</f>
        <v/>
      </c>
      <c r="X447" s="5" t="str">
        <f>IF(INDEX(Manual_Review!$I$6:$I$238,U447)="","",INDEX(Manual_Review!$I$6:$I$238,U447))</f>
        <v/>
      </c>
      <c r="Y447" s="5" t="s">
        <v>2859</v>
      </c>
    </row>
    <row r="448" spans="1:25" ht="25.5">
      <c r="A448" s="5" t="s">
        <v>3787</v>
      </c>
      <c r="B448" s="5" t="s">
        <v>420</v>
      </c>
      <c r="C448" s="5" t="s">
        <v>421</v>
      </c>
      <c r="D448" s="5" t="s">
        <v>118</v>
      </c>
      <c r="E448" s="5" t="s">
        <v>2791</v>
      </c>
      <c r="F448" s="5" t="s">
        <v>2760</v>
      </c>
      <c r="G448" s="5">
        <v>1</v>
      </c>
      <c r="H448" s="5" t="s">
        <v>2864</v>
      </c>
      <c r="I448" s="5" t="str">
        <f>IF(INDEX(Manual_Review!$U$6:$U$238,U448)="","",INDEX(Manual_Review!$U$6:$U$238,U448))</f>
        <v/>
      </c>
      <c r="J448" s="5" t="str">
        <f t="shared" si="12"/>
        <v>AI provisional</v>
      </c>
      <c r="K448" s="5" t="str">
        <f t="shared" si="13"/>
        <v>U</v>
      </c>
      <c r="L448" s="5" t="s">
        <v>431</v>
      </c>
      <c r="M448" s="5" t="s">
        <v>3788</v>
      </c>
      <c r="N448" s="5" t="s">
        <v>3770</v>
      </c>
      <c r="O448" s="5" t="s">
        <v>2888</v>
      </c>
      <c r="P448" s="5" t="s">
        <v>2858</v>
      </c>
      <c r="Q448" s="11">
        <v>46306.5</v>
      </c>
      <c r="R448" s="6"/>
      <c r="S448" s="6"/>
      <c r="T448" s="6"/>
      <c r="U448" s="5">
        <f>MATCH(B448,Manual_Review!$A$6:$A$238,0)</f>
        <v>28</v>
      </c>
      <c r="V448" s="5" t="str">
        <f>IF(INDEX(Manual_Review!$G$6:$G$238,U448)="","",INDEX(Manual_Review!$G$6:$G$238,U448))</f>
        <v/>
      </c>
      <c r="W448" s="11" t="str">
        <f>IF(INDEX(Manual_Review!$H$6:$H$238,U448)="","",INDEX(Manual_Review!$H$6:$H$238,U448))</f>
        <v/>
      </c>
      <c r="X448" s="5" t="str">
        <f>IF(INDEX(Manual_Review!$I$6:$I$238,U448)="","",INDEX(Manual_Review!$I$6:$I$238,U448))</f>
        <v/>
      </c>
      <c r="Y448" s="5" t="s">
        <v>2859</v>
      </c>
    </row>
    <row r="449" spans="1:25" ht="25.5">
      <c r="A449" s="5" t="s">
        <v>3789</v>
      </c>
      <c r="B449" s="5" t="s">
        <v>420</v>
      </c>
      <c r="C449" s="5" t="s">
        <v>421</v>
      </c>
      <c r="D449" s="5" t="s">
        <v>118</v>
      </c>
      <c r="E449" s="5" t="s">
        <v>2792</v>
      </c>
      <c r="F449" s="5" t="s">
        <v>2762</v>
      </c>
      <c r="G449" s="5">
        <v>1</v>
      </c>
      <c r="H449" s="5" t="s">
        <v>2864</v>
      </c>
      <c r="I449" s="5" t="str">
        <f>IF(INDEX(Manual_Review!$V$6:$V$238,U449)="","",INDEX(Manual_Review!$V$6:$V$238,U449))</f>
        <v/>
      </c>
      <c r="J449" s="5" t="str">
        <f t="shared" si="12"/>
        <v>AI provisional</v>
      </c>
      <c r="K449" s="5" t="str">
        <f t="shared" si="13"/>
        <v>U</v>
      </c>
      <c r="L449" s="5" t="s">
        <v>431</v>
      </c>
      <c r="M449" s="5" t="s">
        <v>3790</v>
      </c>
      <c r="N449" s="5" t="s">
        <v>3770</v>
      </c>
      <c r="O449" s="5" t="s">
        <v>2891</v>
      </c>
      <c r="P449" s="5" t="s">
        <v>2858</v>
      </c>
      <c r="Q449" s="11">
        <v>46306.5</v>
      </c>
      <c r="R449" s="6"/>
      <c r="S449" s="6"/>
      <c r="T449" s="6"/>
      <c r="U449" s="5">
        <f>MATCH(B449,Manual_Review!$A$6:$A$238,0)</f>
        <v>28</v>
      </c>
      <c r="V449" s="5" t="str">
        <f>IF(INDEX(Manual_Review!$G$6:$G$238,U449)="","",INDEX(Manual_Review!$G$6:$G$238,U449))</f>
        <v/>
      </c>
      <c r="W449" s="11" t="str">
        <f>IF(INDEX(Manual_Review!$H$6:$H$238,U449)="","",INDEX(Manual_Review!$H$6:$H$238,U449))</f>
        <v/>
      </c>
      <c r="X449" s="5" t="str">
        <f>IF(INDEX(Manual_Review!$I$6:$I$238,U449)="","",INDEX(Manual_Review!$I$6:$I$238,U449))</f>
        <v/>
      </c>
      <c r="Y449" s="5" t="s">
        <v>2859</v>
      </c>
    </row>
    <row r="450" spans="1:25" ht="25.5">
      <c r="A450" s="5" t="s">
        <v>3791</v>
      </c>
      <c r="B450" s="5" t="s">
        <v>420</v>
      </c>
      <c r="C450" s="5" t="s">
        <v>421</v>
      </c>
      <c r="D450" s="5" t="s">
        <v>118</v>
      </c>
      <c r="E450" s="5" t="s">
        <v>2793</v>
      </c>
      <c r="F450" s="5" t="s">
        <v>2762</v>
      </c>
      <c r="G450" s="5">
        <v>1</v>
      </c>
      <c r="H450" s="5" t="s">
        <v>2864</v>
      </c>
      <c r="I450" s="5" t="str">
        <f>IF(INDEX(Manual_Review!$W$6:$W$238,U450)="","",INDEX(Manual_Review!$W$6:$W$238,U450))</f>
        <v/>
      </c>
      <c r="J450" s="5" t="str">
        <f t="shared" si="12"/>
        <v>AI provisional</v>
      </c>
      <c r="K450" s="5" t="str">
        <f t="shared" si="13"/>
        <v>U</v>
      </c>
      <c r="L450" s="5" t="s">
        <v>431</v>
      </c>
      <c r="M450" s="5" t="s">
        <v>3790</v>
      </c>
      <c r="N450" s="5" t="s">
        <v>3770</v>
      </c>
      <c r="O450" s="5" t="s">
        <v>2893</v>
      </c>
      <c r="P450" s="5" t="s">
        <v>2858</v>
      </c>
      <c r="Q450" s="11">
        <v>46306.5</v>
      </c>
      <c r="R450" s="6"/>
      <c r="S450" s="6"/>
      <c r="T450" s="6"/>
      <c r="U450" s="5">
        <f>MATCH(B450,Manual_Review!$A$6:$A$238,0)</f>
        <v>28</v>
      </c>
      <c r="V450" s="5" t="str">
        <f>IF(INDEX(Manual_Review!$G$6:$G$238,U450)="","",INDEX(Manual_Review!$G$6:$G$238,U450))</f>
        <v/>
      </c>
      <c r="W450" s="11" t="str">
        <f>IF(INDEX(Manual_Review!$H$6:$H$238,U450)="","",INDEX(Manual_Review!$H$6:$H$238,U450))</f>
        <v/>
      </c>
      <c r="X450" s="5" t="str">
        <f>IF(INDEX(Manual_Review!$I$6:$I$238,U450)="","",INDEX(Manual_Review!$I$6:$I$238,U450))</f>
        <v/>
      </c>
      <c r="Y450" s="5" t="s">
        <v>2859</v>
      </c>
    </row>
    <row r="451" spans="1:25" ht="25.5">
      <c r="A451" s="5" t="s">
        <v>3792</v>
      </c>
      <c r="B451" s="5" t="s">
        <v>420</v>
      </c>
      <c r="C451" s="5" t="s">
        <v>421</v>
      </c>
      <c r="D451" s="5" t="s">
        <v>118</v>
      </c>
      <c r="E451" s="5" t="s">
        <v>2794</v>
      </c>
      <c r="F451" s="5" t="s">
        <v>2764</v>
      </c>
      <c r="G451" s="5">
        <v>1</v>
      </c>
      <c r="H451" s="5" t="s">
        <v>2864</v>
      </c>
      <c r="I451" s="5" t="str">
        <f>IF(INDEX(Manual_Review!$X$6:$X$238,U451)="","",INDEX(Manual_Review!$X$6:$X$238,U451))</f>
        <v/>
      </c>
      <c r="J451" s="5" t="str">
        <f t="shared" si="12"/>
        <v>AI provisional</v>
      </c>
      <c r="K451" s="5" t="str">
        <f t="shared" si="13"/>
        <v>U</v>
      </c>
      <c r="L451" s="5" t="s">
        <v>431</v>
      </c>
      <c r="M451" s="5" t="s">
        <v>3793</v>
      </c>
      <c r="N451" s="5" t="s">
        <v>3770</v>
      </c>
      <c r="O451" s="5" t="s">
        <v>2895</v>
      </c>
      <c r="P451" s="5" t="s">
        <v>2858</v>
      </c>
      <c r="Q451" s="11">
        <v>46306.5</v>
      </c>
      <c r="R451" s="6"/>
      <c r="S451" s="6"/>
      <c r="T451" s="6"/>
      <c r="U451" s="5">
        <f>MATCH(B451,Manual_Review!$A$6:$A$238,0)</f>
        <v>28</v>
      </c>
      <c r="V451" s="5" t="str">
        <f>IF(INDEX(Manual_Review!$G$6:$G$238,U451)="","",INDEX(Manual_Review!$G$6:$G$238,U451))</f>
        <v/>
      </c>
      <c r="W451" s="11" t="str">
        <f>IF(INDEX(Manual_Review!$H$6:$H$238,U451)="","",INDEX(Manual_Review!$H$6:$H$238,U451))</f>
        <v/>
      </c>
      <c r="X451" s="5" t="str">
        <f>IF(INDEX(Manual_Review!$I$6:$I$238,U451)="","",INDEX(Manual_Review!$I$6:$I$238,U451))</f>
        <v/>
      </c>
      <c r="Y451" s="5" t="s">
        <v>2859</v>
      </c>
    </row>
    <row r="452" spans="1:25" ht="25.5">
      <c r="A452" s="5" t="s">
        <v>3794</v>
      </c>
      <c r="B452" s="5" t="s">
        <v>420</v>
      </c>
      <c r="C452" s="5" t="s">
        <v>421</v>
      </c>
      <c r="D452" s="5" t="s">
        <v>118</v>
      </c>
      <c r="E452" s="5" t="s">
        <v>2795</v>
      </c>
      <c r="F452" s="5" t="s">
        <v>2764</v>
      </c>
      <c r="G452" s="5">
        <v>1</v>
      </c>
      <c r="H452" s="5" t="s">
        <v>2864</v>
      </c>
      <c r="I452" s="5" t="str">
        <f>IF(INDEX(Manual_Review!$Y$6:$Y$238,U452)="","",INDEX(Manual_Review!$Y$6:$Y$238,U452))</f>
        <v/>
      </c>
      <c r="J452" s="5" t="str">
        <f t="shared" si="12"/>
        <v>AI provisional</v>
      </c>
      <c r="K452" s="5" t="str">
        <f t="shared" si="13"/>
        <v>U</v>
      </c>
      <c r="L452" s="5" t="s">
        <v>431</v>
      </c>
      <c r="M452" s="5" t="s">
        <v>3795</v>
      </c>
      <c r="N452" s="5" t="s">
        <v>3770</v>
      </c>
      <c r="O452" s="5" t="s">
        <v>2897</v>
      </c>
      <c r="P452" s="5" t="s">
        <v>2858</v>
      </c>
      <c r="Q452" s="11">
        <v>46306.5</v>
      </c>
      <c r="R452" s="6"/>
      <c r="S452" s="6"/>
      <c r="T452" s="6"/>
      <c r="U452" s="5">
        <f>MATCH(B452,Manual_Review!$A$6:$A$238,0)</f>
        <v>28</v>
      </c>
      <c r="V452" s="5" t="str">
        <f>IF(INDEX(Manual_Review!$G$6:$G$238,U452)="","",INDEX(Manual_Review!$G$6:$G$238,U452))</f>
        <v/>
      </c>
      <c r="W452" s="11" t="str">
        <f>IF(INDEX(Manual_Review!$H$6:$H$238,U452)="","",INDEX(Manual_Review!$H$6:$H$238,U452))</f>
        <v/>
      </c>
      <c r="X452" s="5" t="str">
        <f>IF(INDEX(Manual_Review!$I$6:$I$238,U452)="","",INDEX(Manual_Review!$I$6:$I$238,U452))</f>
        <v/>
      </c>
      <c r="Y452" s="5" t="s">
        <v>2859</v>
      </c>
    </row>
    <row r="453" spans="1:25" ht="25.5">
      <c r="A453" s="5" t="s">
        <v>3796</v>
      </c>
      <c r="B453" s="5" t="s">
        <v>420</v>
      </c>
      <c r="C453" s="5" t="s">
        <v>421</v>
      </c>
      <c r="D453" s="5" t="s">
        <v>118</v>
      </c>
      <c r="E453" s="5" t="s">
        <v>2796</v>
      </c>
      <c r="F453" s="5" t="s">
        <v>2764</v>
      </c>
      <c r="G453" s="5">
        <v>1</v>
      </c>
      <c r="H453" s="5" t="s">
        <v>2864</v>
      </c>
      <c r="I453" s="5" t="str">
        <f>IF(INDEX(Manual_Review!$Z$6:$Z$238,U453)="","",INDEX(Manual_Review!$Z$6:$Z$238,U453))</f>
        <v/>
      </c>
      <c r="J453" s="5" t="str">
        <f t="shared" si="12"/>
        <v>AI provisional</v>
      </c>
      <c r="K453" s="5" t="str">
        <f t="shared" si="13"/>
        <v>U</v>
      </c>
      <c r="L453" s="5" t="s">
        <v>431</v>
      </c>
      <c r="M453" s="5" t="s">
        <v>3797</v>
      </c>
      <c r="N453" s="5" t="s">
        <v>3770</v>
      </c>
      <c r="O453" s="5" t="s">
        <v>2899</v>
      </c>
      <c r="P453" s="5" t="s">
        <v>2858</v>
      </c>
      <c r="Q453" s="11">
        <v>46306.5</v>
      </c>
      <c r="R453" s="6"/>
      <c r="S453" s="6"/>
      <c r="T453" s="6"/>
      <c r="U453" s="5">
        <f>MATCH(B453,Manual_Review!$A$6:$A$238,0)</f>
        <v>28</v>
      </c>
      <c r="V453" s="5" t="str">
        <f>IF(INDEX(Manual_Review!$G$6:$G$238,U453)="","",INDEX(Manual_Review!$G$6:$G$238,U453))</f>
        <v/>
      </c>
      <c r="W453" s="11" t="str">
        <f>IF(INDEX(Manual_Review!$H$6:$H$238,U453)="","",INDEX(Manual_Review!$H$6:$H$238,U453))</f>
        <v/>
      </c>
      <c r="X453" s="5" t="str">
        <f>IF(INDEX(Manual_Review!$I$6:$I$238,U453)="","",INDEX(Manual_Review!$I$6:$I$238,U453))</f>
        <v/>
      </c>
      <c r="Y453" s="5" t="s">
        <v>2859</v>
      </c>
    </row>
    <row r="454" spans="1:25" ht="25.5">
      <c r="A454" s="5" t="s">
        <v>3798</v>
      </c>
      <c r="B454" s="5" t="s">
        <v>433</v>
      </c>
      <c r="C454" s="5" t="s">
        <v>434</v>
      </c>
      <c r="D454" s="5" t="s">
        <v>118</v>
      </c>
      <c r="E454" s="5" t="s">
        <v>2781</v>
      </c>
      <c r="F454" s="5" t="s">
        <v>2754</v>
      </c>
      <c r="G454" s="5">
        <v>1</v>
      </c>
      <c r="H454" s="5" t="s">
        <v>2854</v>
      </c>
      <c r="I454" s="5" t="str">
        <f>IF(INDEX(Manual_Review!$K$6:$K$238,U454)="","",INDEX(Manual_Review!$K$6:$K$238,U454))</f>
        <v/>
      </c>
      <c r="J454" s="5" t="str">
        <f t="shared" ref="J454:J517" si="14">IF(G454=0,"Not applicable",IF(I454="","AI provisional",IF(AND(OR(I454="Y",I454="N",I454="U",I454="X"),V454&lt;&gt;"",ISNUMBER(W454),W454&gt;0,X454="Confirmed",R454&lt;&gt;"",S454&lt;&gt;"",T454&lt;&gt;""),"Human valid","Evidence needed")))</f>
        <v>AI provisional</v>
      </c>
      <c r="K454" s="5" t="str">
        <f t="shared" ref="K454:K517" si="15">IF(G454=0,"N/A",IF(I454="",H454,IF(J454="Human valid",I454,"U")))</f>
        <v>Y</v>
      </c>
      <c r="L454" s="5" t="s">
        <v>446</v>
      </c>
      <c r="M454" s="5" t="s">
        <v>3799</v>
      </c>
      <c r="N454" s="5" t="s">
        <v>3800</v>
      </c>
      <c r="O454" s="5" t="s">
        <v>2991</v>
      </c>
      <c r="P454" s="5" t="s">
        <v>2992</v>
      </c>
      <c r="Q454" s="11">
        <v>46306.5</v>
      </c>
      <c r="R454" s="6"/>
      <c r="S454" s="6"/>
      <c r="T454" s="6"/>
      <c r="U454" s="5">
        <f>MATCH(B454,Manual_Review!$A$6:$A$238,0)</f>
        <v>29</v>
      </c>
      <c r="V454" s="5" t="str">
        <f>IF(INDEX(Manual_Review!$G$6:$G$238,U454)="","",INDEX(Manual_Review!$G$6:$G$238,U454))</f>
        <v/>
      </c>
      <c r="W454" s="11" t="str">
        <f>IF(INDEX(Manual_Review!$H$6:$H$238,U454)="","",INDEX(Manual_Review!$H$6:$H$238,U454))</f>
        <v/>
      </c>
      <c r="X454" s="5" t="str">
        <f>IF(INDEX(Manual_Review!$I$6:$I$238,U454)="","",INDEX(Manual_Review!$I$6:$I$238,U454))</f>
        <v/>
      </c>
      <c r="Y454" s="5" t="s">
        <v>2859</v>
      </c>
    </row>
    <row r="455" spans="1:25" ht="25.5">
      <c r="A455" s="5" t="s">
        <v>3801</v>
      </c>
      <c r="B455" s="5" t="s">
        <v>433</v>
      </c>
      <c r="C455" s="5" t="s">
        <v>434</v>
      </c>
      <c r="D455" s="5" t="s">
        <v>118</v>
      </c>
      <c r="E455" s="5" t="s">
        <v>2782</v>
      </c>
      <c r="F455" s="5" t="s">
        <v>2754</v>
      </c>
      <c r="G455" s="5">
        <v>1</v>
      </c>
      <c r="H455" s="5" t="s">
        <v>3510</v>
      </c>
      <c r="I455" s="5" t="str">
        <f>IF(INDEX(Manual_Review!$L$6:$L$238,U455)="","",INDEX(Manual_Review!$L$6:$L$238,U455))</f>
        <v/>
      </c>
      <c r="J455" s="5" t="str">
        <f t="shared" si="14"/>
        <v>AI provisional</v>
      </c>
      <c r="K455" s="5" t="str">
        <f t="shared" si="15"/>
        <v>N</v>
      </c>
      <c r="L455" s="5" t="s">
        <v>446</v>
      </c>
      <c r="M455" s="5" t="s">
        <v>3802</v>
      </c>
      <c r="N455" s="5" t="s">
        <v>3803</v>
      </c>
      <c r="O455" s="5" t="s">
        <v>3804</v>
      </c>
      <c r="P455" s="5" t="s">
        <v>2992</v>
      </c>
      <c r="Q455" s="11">
        <v>46306.5</v>
      </c>
      <c r="R455" s="6"/>
      <c r="S455" s="6"/>
      <c r="T455" s="6"/>
      <c r="U455" s="5">
        <f>MATCH(B455,Manual_Review!$A$6:$A$238,0)</f>
        <v>29</v>
      </c>
      <c r="V455" s="5" t="str">
        <f>IF(INDEX(Manual_Review!$G$6:$G$238,U455)="","",INDEX(Manual_Review!$G$6:$G$238,U455))</f>
        <v/>
      </c>
      <c r="W455" s="11" t="str">
        <f>IF(INDEX(Manual_Review!$H$6:$H$238,U455)="","",INDEX(Manual_Review!$H$6:$H$238,U455))</f>
        <v/>
      </c>
      <c r="X455" s="5" t="str">
        <f>IF(INDEX(Manual_Review!$I$6:$I$238,U455)="","",INDEX(Manual_Review!$I$6:$I$238,U455))</f>
        <v/>
      </c>
      <c r="Y455" s="5" t="s">
        <v>2859</v>
      </c>
    </row>
    <row r="456" spans="1:25" ht="25.5">
      <c r="A456" s="5" t="s">
        <v>3805</v>
      </c>
      <c r="B456" s="5" t="s">
        <v>433</v>
      </c>
      <c r="C456" s="5" t="s">
        <v>434</v>
      </c>
      <c r="D456" s="5" t="s">
        <v>118</v>
      </c>
      <c r="E456" s="5" t="s">
        <v>2783</v>
      </c>
      <c r="F456" s="5" t="s">
        <v>2754</v>
      </c>
      <c r="G456" s="5">
        <v>1</v>
      </c>
      <c r="H456" s="5" t="s">
        <v>2864</v>
      </c>
      <c r="I456" s="5" t="str">
        <f>IF(INDEX(Manual_Review!$M$6:$M$238,U456)="","",INDEX(Manual_Review!$M$6:$M$238,U456))</f>
        <v/>
      </c>
      <c r="J456" s="5" t="str">
        <f t="shared" si="14"/>
        <v>AI provisional</v>
      </c>
      <c r="K456" s="5" t="str">
        <f t="shared" si="15"/>
        <v>U</v>
      </c>
      <c r="L456" s="5" t="s">
        <v>446</v>
      </c>
      <c r="M456" s="5" t="s">
        <v>3806</v>
      </c>
      <c r="N456" s="5" t="s">
        <v>3807</v>
      </c>
      <c r="O456" s="5" t="s">
        <v>3808</v>
      </c>
      <c r="P456" s="5" t="s">
        <v>2992</v>
      </c>
      <c r="Q456" s="11">
        <v>46306.5</v>
      </c>
      <c r="R456" s="6"/>
      <c r="S456" s="6"/>
      <c r="T456" s="6"/>
      <c r="U456" s="5">
        <f>MATCH(B456,Manual_Review!$A$6:$A$238,0)</f>
        <v>29</v>
      </c>
      <c r="V456" s="5" t="str">
        <f>IF(INDEX(Manual_Review!$G$6:$G$238,U456)="","",INDEX(Manual_Review!$G$6:$G$238,U456))</f>
        <v/>
      </c>
      <c r="W456" s="11" t="str">
        <f>IF(INDEX(Manual_Review!$H$6:$H$238,U456)="","",INDEX(Manual_Review!$H$6:$H$238,U456))</f>
        <v/>
      </c>
      <c r="X456" s="5" t="str">
        <f>IF(INDEX(Manual_Review!$I$6:$I$238,U456)="","",INDEX(Manual_Review!$I$6:$I$238,U456))</f>
        <v/>
      </c>
      <c r="Y456" s="5" t="s">
        <v>2859</v>
      </c>
    </row>
    <row r="457" spans="1:25" ht="25.5">
      <c r="A457" s="5" t="s">
        <v>3809</v>
      </c>
      <c r="B457" s="5" t="s">
        <v>433</v>
      </c>
      <c r="C457" s="5" t="s">
        <v>434</v>
      </c>
      <c r="D457" s="5" t="s">
        <v>118</v>
      </c>
      <c r="E457" s="5" t="s">
        <v>2784</v>
      </c>
      <c r="F457" s="5" t="s">
        <v>2756</v>
      </c>
      <c r="G457" s="5">
        <v>1</v>
      </c>
      <c r="H457" s="5" t="s">
        <v>2854</v>
      </c>
      <c r="I457" s="5" t="str">
        <f>IF(INDEX(Manual_Review!$N$6:$N$238,U457)="","",INDEX(Manual_Review!$N$6:$N$238,U457))</f>
        <v/>
      </c>
      <c r="J457" s="5" t="str">
        <f t="shared" si="14"/>
        <v>AI provisional</v>
      </c>
      <c r="K457" s="5" t="str">
        <f t="shared" si="15"/>
        <v>Y</v>
      </c>
      <c r="L457" s="5" t="s">
        <v>446</v>
      </c>
      <c r="M457" s="5" t="s">
        <v>3810</v>
      </c>
      <c r="N457" s="5" t="s">
        <v>3811</v>
      </c>
      <c r="O457" s="5" t="s">
        <v>3004</v>
      </c>
      <c r="P457" s="5" t="s">
        <v>2992</v>
      </c>
      <c r="Q457" s="11">
        <v>46306.5</v>
      </c>
      <c r="R457" s="6"/>
      <c r="S457" s="6"/>
      <c r="T457" s="6"/>
      <c r="U457" s="5">
        <f>MATCH(B457,Manual_Review!$A$6:$A$238,0)</f>
        <v>29</v>
      </c>
      <c r="V457" s="5" t="str">
        <f>IF(INDEX(Manual_Review!$G$6:$G$238,U457)="","",INDEX(Manual_Review!$G$6:$G$238,U457))</f>
        <v/>
      </c>
      <c r="W457" s="11" t="str">
        <f>IF(INDEX(Manual_Review!$H$6:$H$238,U457)="","",INDEX(Manual_Review!$H$6:$H$238,U457))</f>
        <v/>
      </c>
      <c r="X457" s="5" t="str">
        <f>IF(INDEX(Manual_Review!$I$6:$I$238,U457)="","",INDEX(Manual_Review!$I$6:$I$238,U457))</f>
        <v/>
      </c>
      <c r="Y457" s="5" t="s">
        <v>2859</v>
      </c>
    </row>
    <row r="458" spans="1:25" ht="25.5">
      <c r="A458" s="5" t="s">
        <v>3812</v>
      </c>
      <c r="B458" s="5" t="s">
        <v>433</v>
      </c>
      <c r="C458" s="5" t="s">
        <v>434</v>
      </c>
      <c r="D458" s="5" t="s">
        <v>118</v>
      </c>
      <c r="E458" s="5" t="s">
        <v>2785</v>
      </c>
      <c r="F458" s="5" t="s">
        <v>2756</v>
      </c>
      <c r="G458" s="5">
        <v>1</v>
      </c>
      <c r="H458" s="5" t="s">
        <v>2864</v>
      </c>
      <c r="I458" s="5" t="str">
        <f>IF(INDEX(Manual_Review!$O$6:$O$238,U458)="","",INDEX(Manual_Review!$O$6:$O$238,U458))</f>
        <v/>
      </c>
      <c r="J458" s="5" t="str">
        <f t="shared" si="14"/>
        <v>AI provisional</v>
      </c>
      <c r="K458" s="5" t="str">
        <f t="shared" si="15"/>
        <v>U</v>
      </c>
      <c r="L458" s="5" t="s">
        <v>446</v>
      </c>
      <c r="M458" s="5" t="s">
        <v>3810</v>
      </c>
      <c r="N458" s="5" t="s">
        <v>3811</v>
      </c>
      <c r="O458" s="5" t="s">
        <v>3006</v>
      </c>
      <c r="P458" s="5" t="s">
        <v>2992</v>
      </c>
      <c r="Q458" s="11">
        <v>46306.5</v>
      </c>
      <c r="R458" s="6"/>
      <c r="S458" s="6"/>
      <c r="T458" s="6"/>
      <c r="U458" s="5">
        <f>MATCH(B458,Manual_Review!$A$6:$A$238,0)</f>
        <v>29</v>
      </c>
      <c r="V458" s="5" t="str">
        <f>IF(INDEX(Manual_Review!$G$6:$G$238,U458)="","",INDEX(Manual_Review!$G$6:$G$238,U458))</f>
        <v/>
      </c>
      <c r="W458" s="11" t="str">
        <f>IF(INDEX(Manual_Review!$H$6:$H$238,U458)="","",INDEX(Manual_Review!$H$6:$H$238,U458))</f>
        <v/>
      </c>
      <c r="X458" s="5" t="str">
        <f>IF(INDEX(Manual_Review!$I$6:$I$238,U458)="","",INDEX(Manual_Review!$I$6:$I$238,U458))</f>
        <v/>
      </c>
      <c r="Y458" s="5" t="s">
        <v>2859</v>
      </c>
    </row>
    <row r="459" spans="1:25" ht="25.5">
      <c r="A459" s="5" t="s">
        <v>3813</v>
      </c>
      <c r="B459" s="5" t="s">
        <v>433</v>
      </c>
      <c r="C459" s="5" t="s">
        <v>434</v>
      </c>
      <c r="D459" s="5" t="s">
        <v>118</v>
      </c>
      <c r="E459" s="5" t="s">
        <v>2786</v>
      </c>
      <c r="F459" s="5" t="s">
        <v>2756</v>
      </c>
      <c r="G459" s="5">
        <v>1</v>
      </c>
      <c r="H459" s="5" t="s">
        <v>2864</v>
      </c>
      <c r="I459" s="5" t="str">
        <f>IF(INDEX(Manual_Review!$P$6:$P$238,U459)="","",INDEX(Manual_Review!$P$6:$P$238,U459))</f>
        <v/>
      </c>
      <c r="J459" s="5" t="str">
        <f t="shared" si="14"/>
        <v>AI provisional</v>
      </c>
      <c r="K459" s="5" t="str">
        <f t="shared" si="15"/>
        <v>U</v>
      </c>
      <c r="L459" s="5" t="s">
        <v>446</v>
      </c>
      <c r="M459" s="5" t="s">
        <v>3814</v>
      </c>
      <c r="N459" s="5" t="s">
        <v>3815</v>
      </c>
      <c r="O459" s="5" t="s">
        <v>3010</v>
      </c>
      <c r="P459" s="5" t="s">
        <v>2992</v>
      </c>
      <c r="Q459" s="11">
        <v>46306.5</v>
      </c>
      <c r="R459" s="6"/>
      <c r="S459" s="6"/>
      <c r="T459" s="6"/>
      <c r="U459" s="5">
        <f>MATCH(B459,Manual_Review!$A$6:$A$238,0)</f>
        <v>29</v>
      </c>
      <c r="V459" s="5" t="str">
        <f>IF(INDEX(Manual_Review!$G$6:$G$238,U459)="","",INDEX(Manual_Review!$G$6:$G$238,U459))</f>
        <v/>
      </c>
      <c r="W459" s="11" t="str">
        <f>IF(INDEX(Manual_Review!$H$6:$H$238,U459)="","",INDEX(Manual_Review!$H$6:$H$238,U459))</f>
        <v/>
      </c>
      <c r="X459" s="5" t="str">
        <f>IF(INDEX(Manual_Review!$I$6:$I$238,U459)="","",INDEX(Manual_Review!$I$6:$I$238,U459))</f>
        <v/>
      </c>
      <c r="Y459" s="5" t="s">
        <v>2859</v>
      </c>
    </row>
    <row r="460" spans="1:25" ht="25.5">
      <c r="A460" s="5" t="s">
        <v>3816</v>
      </c>
      <c r="B460" s="5" t="s">
        <v>433</v>
      </c>
      <c r="C460" s="5" t="s">
        <v>434</v>
      </c>
      <c r="D460" s="5" t="s">
        <v>118</v>
      </c>
      <c r="E460" s="5" t="s">
        <v>2787</v>
      </c>
      <c r="F460" s="5" t="s">
        <v>2758</v>
      </c>
      <c r="G460" s="5">
        <v>1</v>
      </c>
      <c r="H460" s="5" t="s">
        <v>2854</v>
      </c>
      <c r="I460" s="5" t="str">
        <f>IF(INDEX(Manual_Review!$Q$6:$Q$238,U460)="","",INDEX(Manual_Review!$Q$6:$Q$238,U460))</f>
        <v/>
      </c>
      <c r="J460" s="5" t="str">
        <f t="shared" si="14"/>
        <v>AI provisional</v>
      </c>
      <c r="K460" s="5" t="str">
        <f t="shared" si="15"/>
        <v>Y</v>
      </c>
      <c r="L460" s="5" t="s">
        <v>446</v>
      </c>
      <c r="M460" s="5" t="s">
        <v>3817</v>
      </c>
      <c r="N460" s="5" t="s">
        <v>3818</v>
      </c>
      <c r="O460" s="5" t="s">
        <v>3819</v>
      </c>
      <c r="P460" s="5" t="s">
        <v>2992</v>
      </c>
      <c r="Q460" s="11">
        <v>46306.5</v>
      </c>
      <c r="R460" s="6"/>
      <c r="S460" s="6"/>
      <c r="T460" s="6"/>
      <c r="U460" s="5">
        <f>MATCH(B460,Manual_Review!$A$6:$A$238,0)</f>
        <v>29</v>
      </c>
      <c r="V460" s="5" t="str">
        <f>IF(INDEX(Manual_Review!$G$6:$G$238,U460)="","",INDEX(Manual_Review!$G$6:$G$238,U460))</f>
        <v/>
      </c>
      <c r="W460" s="11" t="str">
        <f>IF(INDEX(Manual_Review!$H$6:$H$238,U460)="","",INDEX(Manual_Review!$H$6:$H$238,U460))</f>
        <v/>
      </c>
      <c r="X460" s="5" t="str">
        <f>IF(INDEX(Manual_Review!$I$6:$I$238,U460)="","",INDEX(Manual_Review!$I$6:$I$238,U460))</f>
        <v/>
      </c>
      <c r="Y460" s="5" t="s">
        <v>2859</v>
      </c>
    </row>
    <row r="461" spans="1:25" ht="38.25">
      <c r="A461" s="5" t="s">
        <v>3820</v>
      </c>
      <c r="B461" s="5" t="s">
        <v>433</v>
      </c>
      <c r="C461" s="5" t="s">
        <v>434</v>
      </c>
      <c r="D461" s="5" t="s">
        <v>118</v>
      </c>
      <c r="E461" s="5" t="s">
        <v>2788</v>
      </c>
      <c r="F461" s="5" t="s">
        <v>2758</v>
      </c>
      <c r="G461" s="5">
        <v>1</v>
      </c>
      <c r="H461" s="5" t="s">
        <v>2854</v>
      </c>
      <c r="I461" s="5" t="str">
        <f>IF(INDEX(Manual_Review!$R$6:$R$238,U461)="","",INDEX(Manual_Review!$R$6:$R$238,U461))</f>
        <v/>
      </c>
      <c r="J461" s="5" t="str">
        <f t="shared" si="14"/>
        <v>AI provisional</v>
      </c>
      <c r="K461" s="5" t="str">
        <f t="shared" si="15"/>
        <v>Y</v>
      </c>
      <c r="L461" s="5" t="s">
        <v>446</v>
      </c>
      <c r="M461" s="5" t="s">
        <v>3821</v>
      </c>
      <c r="N461" s="5" t="s">
        <v>3822</v>
      </c>
      <c r="O461" s="5" t="s">
        <v>3018</v>
      </c>
      <c r="P461" s="5" t="s">
        <v>2992</v>
      </c>
      <c r="Q461" s="11">
        <v>46306.5</v>
      </c>
      <c r="R461" s="6"/>
      <c r="S461" s="6"/>
      <c r="T461" s="6"/>
      <c r="U461" s="5">
        <f>MATCH(B461,Manual_Review!$A$6:$A$238,0)</f>
        <v>29</v>
      </c>
      <c r="V461" s="5" t="str">
        <f>IF(INDEX(Manual_Review!$G$6:$G$238,U461)="","",INDEX(Manual_Review!$G$6:$G$238,U461))</f>
        <v/>
      </c>
      <c r="W461" s="11" t="str">
        <f>IF(INDEX(Manual_Review!$H$6:$H$238,U461)="","",INDEX(Manual_Review!$H$6:$H$238,U461))</f>
        <v/>
      </c>
      <c r="X461" s="5" t="str">
        <f>IF(INDEX(Manual_Review!$I$6:$I$238,U461)="","",INDEX(Manual_Review!$I$6:$I$238,U461))</f>
        <v/>
      </c>
      <c r="Y461" s="5" t="s">
        <v>2859</v>
      </c>
    </row>
    <row r="462" spans="1:25" ht="38.25">
      <c r="A462" s="5" t="s">
        <v>3823</v>
      </c>
      <c r="B462" s="5" t="s">
        <v>433</v>
      </c>
      <c r="C462" s="5" t="s">
        <v>434</v>
      </c>
      <c r="D462" s="5" t="s">
        <v>118</v>
      </c>
      <c r="E462" s="5" t="s">
        <v>2789</v>
      </c>
      <c r="F462" s="5" t="s">
        <v>2758</v>
      </c>
      <c r="G462" s="5">
        <v>1</v>
      </c>
      <c r="H462" s="5" t="s">
        <v>2854</v>
      </c>
      <c r="I462" s="5" t="str">
        <f>IF(INDEX(Manual_Review!$S$6:$S$238,U462)="","",INDEX(Manual_Review!$S$6:$S$238,U462))</f>
        <v/>
      </c>
      <c r="J462" s="5" t="str">
        <f t="shared" si="14"/>
        <v>AI provisional</v>
      </c>
      <c r="K462" s="5" t="str">
        <f t="shared" si="15"/>
        <v>Y</v>
      </c>
      <c r="L462" s="5" t="s">
        <v>446</v>
      </c>
      <c r="M462" s="5" t="s">
        <v>3824</v>
      </c>
      <c r="N462" s="5" t="s">
        <v>3825</v>
      </c>
      <c r="O462" s="5" t="s">
        <v>3022</v>
      </c>
      <c r="P462" s="5" t="s">
        <v>2992</v>
      </c>
      <c r="Q462" s="11">
        <v>46306.5</v>
      </c>
      <c r="R462" s="6"/>
      <c r="S462" s="6"/>
      <c r="T462" s="6"/>
      <c r="U462" s="5">
        <f>MATCH(B462,Manual_Review!$A$6:$A$238,0)</f>
        <v>29</v>
      </c>
      <c r="V462" s="5" t="str">
        <f>IF(INDEX(Manual_Review!$G$6:$G$238,U462)="","",INDEX(Manual_Review!$G$6:$G$238,U462))</f>
        <v/>
      </c>
      <c r="W462" s="11" t="str">
        <f>IF(INDEX(Manual_Review!$H$6:$H$238,U462)="","",INDEX(Manual_Review!$H$6:$H$238,U462))</f>
        <v/>
      </c>
      <c r="X462" s="5" t="str">
        <f>IF(INDEX(Manual_Review!$I$6:$I$238,U462)="","",INDEX(Manual_Review!$I$6:$I$238,U462))</f>
        <v/>
      </c>
      <c r="Y462" s="5" t="s">
        <v>2859</v>
      </c>
    </row>
    <row r="463" spans="1:25" ht="25.5">
      <c r="A463" s="5" t="s">
        <v>3826</v>
      </c>
      <c r="B463" s="5" t="s">
        <v>433</v>
      </c>
      <c r="C463" s="5" t="s">
        <v>434</v>
      </c>
      <c r="D463" s="5" t="s">
        <v>118</v>
      </c>
      <c r="E463" s="5" t="s">
        <v>2790</v>
      </c>
      <c r="F463" s="5" t="s">
        <v>2760</v>
      </c>
      <c r="G463" s="5">
        <v>1</v>
      </c>
      <c r="H463" s="5" t="s">
        <v>2854</v>
      </c>
      <c r="I463" s="5" t="str">
        <f>IF(INDEX(Manual_Review!$T$6:$T$238,U463)="","",INDEX(Manual_Review!$T$6:$T$238,U463))</f>
        <v/>
      </c>
      <c r="J463" s="5" t="str">
        <f t="shared" si="14"/>
        <v>AI provisional</v>
      </c>
      <c r="K463" s="5" t="str">
        <f t="shared" si="15"/>
        <v>Y</v>
      </c>
      <c r="L463" s="5" t="s">
        <v>446</v>
      </c>
      <c r="M463" s="5" t="s">
        <v>3827</v>
      </c>
      <c r="N463" s="5" t="s">
        <v>3828</v>
      </c>
      <c r="O463" s="5" t="s">
        <v>3451</v>
      </c>
      <c r="P463" s="5" t="s">
        <v>2992</v>
      </c>
      <c r="Q463" s="11">
        <v>46306.5</v>
      </c>
      <c r="R463" s="6"/>
      <c r="S463" s="6"/>
      <c r="T463" s="6"/>
      <c r="U463" s="5">
        <f>MATCH(B463,Manual_Review!$A$6:$A$238,0)</f>
        <v>29</v>
      </c>
      <c r="V463" s="5" t="str">
        <f>IF(INDEX(Manual_Review!$G$6:$G$238,U463)="","",INDEX(Manual_Review!$G$6:$G$238,U463))</f>
        <v/>
      </c>
      <c r="W463" s="11" t="str">
        <f>IF(INDEX(Manual_Review!$H$6:$H$238,U463)="","",INDEX(Manual_Review!$H$6:$H$238,U463))</f>
        <v/>
      </c>
      <c r="X463" s="5" t="str">
        <f>IF(INDEX(Manual_Review!$I$6:$I$238,U463)="","",INDEX(Manual_Review!$I$6:$I$238,U463))</f>
        <v/>
      </c>
      <c r="Y463" s="5" t="s">
        <v>2859</v>
      </c>
    </row>
    <row r="464" spans="1:25" ht="25.5">
      <c r="A464" s="5" t="s">
        <v>3829</v>
      </c>
      <c r="B464" s="5" t="s">
        <v>433</v>
      </c>
      <c r="C464" s="5" t="s">
        <v>434</v>
      </c>
      <c r="D464" s="5" t="s">
        <v>118</v>
      </c>
      <c r="E464" s="5" t="s">
        <v>2791</v>
      </c>
      <c r="F464" s="5" t="s">
        <v>2760</v>
      </c>
      <c r="G464" s="5">
        <v>1</v>
      </c>
      <c r="H464" s="5" t="s">
        <v>2854</v>
      </c>
      <c r="I464" s="5" t="str">
        <f>IF(INDEX(Manual_Review!$U$6:$U$238,U464)="","",INDEX(Manual_Review!$U$6:$U$238,U464))</f>
        <v/>
      </c>
      <c r="J464" s="5" t="str">
        <f t="shared" si="14"/>
        <v>AI provisional</v>
      </c>
      <c r="K464" s="5" t="str">
        <f t="shared" si="15"/>
        <v>Y</v>
      </c>
      <c r="L464" s="5" t="s">
        <v>446</v>
      </c>
      <c r="M464" s="5" t="s">
        <v>3830</v>
      </c>
      <c r="N464" s="5" t="s">
        <v>3831</v>
      </c>
      <c r="O464" s="5" t="s">
        <v>3832</v>
      </c>
      <c r="P464" s="5" t="s">
        <v>2992</v>
      </c>
      <c r="Q464" s="11">
        <v>46306.5</v>
      </c>
      <c r="R464" s="6"/>
      <c r="S464" s="6"/>
      <c r="T464" s="6"/>
      <c r="U464" s="5">
        <f>MATCH(B464,Manual_Review!$A$6:$A$238,0)</f>
        <v>29</v>
      </c>
      <c r="V464" s="5" t="str">
        <f>IF(INDEX(Manual_Review!$G$6:$G$238,U464)="","",INDEX(Manual_Review!$G$6:$G$238,U464))</f>
        <v/>
      </c>
      <c r="W464" s="11" t="str">
        <f>IF(INDEX(Manual_Review!$H$6:$H$238,U464)="","",INDEX(Manual_Review!$H$6:$H$238,U464))</f>
        <v/>
      </c>
      <c r="X464" s="5" t="str">
        <f>IF(INDEX(Manual_Review!$I$6:$I$238,U464)="","",INDEX(Manual_Review!$I$6:$I$238,U464))</f>
        <v/>
      </c>
      <c r="Y464" s="5" t="s">
        <v>2859</v>
      </c>
    </row>
    <row r="465" spans="1:25" ht="25.5">
      <c r="A465" s="5" t="s">
        <v>3833</v>
      </c>
      <c r="B465" s="5" t="s">
        <v>433</v>
      </c>
      <c r="C465" s="5" t="s">
        <v>434</v>
      </c>
      <c r="D465" s="5" t="s">
        <v>118</v>
      </c>
      <c r="E465" s="5" t="s">
        <v>2792</v>
      </c>
      <c r="F465" s="5" t="s">
        <v>2762</v>
      </c>
      <c r="G465" s="5">
        <v>1</v>
      </c>
      <c r="H465" s="5" t="s">
        <v>2854</v>
      </c>
      <c r="I465" s="5" t="str">
        <f>IF(INDEX(Manual_Review!$V$6:$V$238,U465)="","",INDEX(Manual_Review!$V$6:$V$238,U465))</f>
        <v/>
      </c>
      <c r="J465" s="5" t="str">
        <f t="shared" si="14"/>
        <v>AI provisional</v>
      </c>
      <c r="K465" s="5" t="str">
        <f t="shared" si="15"/>
        <v>Y</v>
      </c>
      <c r="L465" s="5" t="s">
        <v>446</v>
      </c>
      <c r="M465" s="5" t="s">
        <v>3834</v>
      </c>
      <c r="N465" s="5" t="s">
        <v>3835</v>
      </c>
      <c r="O465" s="5" t="s">
        <v>3034</v>
      </c>
      <c r="P465" s="5" t="s">
        <v>2992</v>
      </c>
      <c r="Q465" s="11">
        <v>46306.5</v>
      </c>
      <c r="R465" s="6"/>
      <c r="S465" s="6"/>
      <c r="T465" s="6"/>
      <c r="U465" s="5">
        <f>MATCH(B465,Manual_Review!$A$6:$A$238,0)</f>
        <v>29</v>
      </c>
      <c r="V465" s="5" t="str">
        <f>IF(INDEX(Manual_Review!$G$6:$G$238,U465)="","",INDEX(Manual_Review!$G$6:$G$238,U465))</f>
        <v/>
      </c>
      <c r="W465" s="11" t="str">
        <f>IF(INDEX(Manual_Review!$H$6:$H$238,U465)="","",INDEX(Manual_Review!$H$6:$H$238,U465))</f>
        <v/>
      </c>
      <c r="X465" s="5" t="str">
        <f>IF(INDEX(Manual_Review!$I$6:$I$238,U465)="","",INDEX(Manual_Review!$I$6:$I$238,U465))</f>
        <v/>
      </c>
      <c r="Y465" s="5" t="s">
        <v>2859</v>
      </c>
    </row>
    <row r="466" spans="1:25" ht="38.25">
      <c r="A466" s="5" t="s">
        <v>3836</v>
      </c>
      <c r="B466" s="5" t="s">
        <v>433</v>
      </c>
      <c r="C466" s="5" t="s">
        <v>434</v>
      </c>
      <c r="D466" s="5" t="s">
        <v>118</v>
      </c>
      <c r="E466" s="5" t="s">
        <v>2793</v>
      </c>
      <c r="F466" s="5" t="s">
        <v>2762</v>
      </c>
      <c r="G466" s="5">
        <v>1</v>
      </c>
      <c r="H466" s="5" t="s">
        <v>2854</v>
      </c>
      <c r="I466" s="5" t="str">
        <f>IF(INDEX(Manual_Review!$W$6:$W$238,U466)="","",INDEX(Manual_Review!$W$6:$W$238,U466))</f>
        <v/>
      </c>
      <c r="J466" s="5" t="str">
        <f t="shared" si="14"/>
        <v>AI provisional</v>
      </c>
      <c r="K466" s="5" t="str">
        <f t="shared" si="15"/>
        <v>Y</v>
      </c>
      <c r="L466" s="5" t="s">
        <v>446</v>
      </c>
      <c r="M466" s="5" t="s">
        <v>3837</v>
      </c>
      <c r="N466" s="5" t="s">
        <v>3838</v>
      </c>
      <c r="O466" s="5" t="s">
        <v>3038</v>
      </c>
      <c r="P466" s="5" t="s">
        <v>2992</v>
      </c>
      <c r="Q466" s="11">
        <v>46306.5</v>
      </c>
      <c r="R466" s="6"/>
      <c r="S466" s="6"/>
      <c r="T466" s="6"/>
      <c r="U466" s="5">
        <f>MATCH(B466,Manual_Review!$A$6:$A$238,0)</f>
        <v>29</v>
      </c>
      <c r="V466" s="5" t="str">
        <f>IF(INDEX(Manual_Review!$G$6:$G$238,U466)="","",INDEX(Manual_Review!$G$6:$G$238,U466))</f>
        <v/>
      </c>
      <c r="W466" s="11" t="str">
        <f>IF(INDEX(Manual_Review!$H$6:$H$238,U466)="","",INDEX(Manual_Review!$H$6:$H$238,U466))</f>
        <v/>
      </c>
      <c r="X466" s="5" t="str">
        <f>IF(INDEX(Manual_Review!$I$6:$I$238,U466)="","",INDEX(Manual_Review!$I$6:$I$238,U466))</f>
        <v/>
      </c>
      <c r="Y466" s="5" t="s">
        <v>2859</v>
      </c>
    </row>
    <row r="467" spans="1:25" ht="25.5">
      <c r="A467" s="5" t="s">
        <v>3839</v>
      </c>
      <c r="B467" s="5" t="s">
        <v>433</v>
      </c>
      <c r="C467" s="5" t="s">
        <v>434</v>
      </c>
      <c r="D467" s="5" t="s">
        <v>118</v>
      </c>
      <c r="E467" s="5" t="s">
        <v>2794</v>
      </c>
      <c r="F467" s="5" t="s">
        <v>2764</v>
      </c>
      <c r="G467" s="5">
        <v>1</v>
      </c>
      <c r="H467" s="5" t="s">
        <v>2864</v>
      </c>
      <c r="I467" s="5" t="str">
        <f>IF(INDEX(Manual_Review!$X$6:$X$238,U467)="","",INDEX(Manual_Review!$X$6:$X$238,U467))</f>
        <v/>
      </c>
      <c r="J467" s="5" t="str">
        <f t="shared" si="14"/>
        <v>AI provisional</v>
      </c>
      <c r="K467" s="5" t="str">
        <f t="shared" si="15"/>
        <v>U</v>
      </c>
      <c r="L467" s="5" t="s">
        <v>446</v>
      </c>
      <c r="M467" s="5" t="s">
        <v>3840</v>
      </c>
      <c r="N467" s="5" t="s">
        <v>3841</v>
      </c>
      <c r="O467" s="5" t="s">
        <v>3465</v>
      </c>
      <c r="P467" s="5" t="s">
        <v>2992</v>
      </c>
      <c r="Q467" s="11">
        <v>46306.5</v>
      </c>
      <c r="R467" s="6"/>
      <c r="S467" s="6"/>
      <c r="T467" s="6"/>
      <c r="U467" s="5">
        <f>MATCH(B467,Manual_Review!$A$6:$A$238,0)</f>
        <v>29</v>
      </c>
      <c r="V467" s="5" t="str">
        <f>IF(INDEX(Manual_Review!$G$6:$G$238,U467)="","",INDEX(Manual_Review!$G$6:$G$238,U467))</f>
        <v/>
      </c>
      <c r="W467" s="11" t="str">
        <f>IF(INDEX(Manual_Review!$H$6:$H$238,U467)="","",INDEX(Manual_Review!$H$6:$H$238,U467))</f>
        <v/>
      </c>
      <c r="X467" s="5" t="str">
        <f>IF(INDEX(Manual_Review!$I$6:$I$238,U467)="","",INDEX(Manual_Review!$I$6:$I$238,U467))</f>
        <v/>
      </c>
      <c r="Y467" s="5" t="s">
        <v>2859</v>
      </c>
    </row>
    <row r="468" spans="1:25" ht="25.5">
      <c r="A468" s="5" t="s">
        <v>3842</v>
      </c>
      <c r="B468" s="5" t="s">
        <v>433</v>
      </c>
      <c r="C468" s="5" t="s">
        <v>434</v>
      </c>
      <c r="D468" s="5" t="s">
        <v>118</v>
      </c>
      <c r="E468" s="5" t="s">
        <v>2795</v>
      </c>
      <c r="F468" s="5" t="s">
        <v>2764</v>
      </c>
      <c r="G468" s="5">
        <v>1</v>
      </c>
      <c r="H468" s="5" t="s">
        <v>2864</v>
      </c>
      <c r="I468" s="5" t="str">
        <f>IF(INDEX(Manual_Review!$Y$6:$Y$238,U468)="","",INDEX(Manual_Review!$Y$6:$Y$238,U468))</f>
        <v/>
      </c>
      <c r="J468" s="5" t="str">
        <f t="shared" si="14"/>
        <v>AI provisional</v>
      </c>
      <c r="K468" s="5" t="str">
        <f t="shared" si="15"/>
        <v>U</v>
      </c>
      <c r="L468" s="5" t="s">
        <v>446</v>
      </c>
      <c r="M468" s="5" t="s">
        <v>3843</v>
      </c>
      <c r="N468" s="5" t="s">
        <v>3844</v>
      </c>
      <c r="O468" s="5" t="s">
        <v>3469</v>
      </c>
      <c r="P468" s="5" t="s">
        <v>2992</v>
      </c>
      <c r="Q468" s="11">
        <v>46306.5</v>
      </c>
      <c r="R468" s="6"/>
      <c r="S468" s="6"/>
      <c r="T468" s="6"/>
      <c r="U468" s="5">
        <f>MATCH(B468,Manual_Review!$A$6:$A$238,0)</f>
        <v>29</v>
      </c>
      <c r="V468" s="5" t="str">
        <f>IF(INDEX(Manual_Review!$G$6:$G$238,U468)="","",INDEX(Manual_Review!$G$6:$G$238,U468))</f>
        <v/>
      </c>
      <c r="W468" s="11" t="str">
        <f>IF(INDEX(Manual_Review!$H$6:$H$238,U468)="","",INDEX(Manual_Review!$H$6:$H$238,U468))</f>
        <v/>
      </c>
      <c r="X468" s="5" t="str">
        <f>IF(INDEX(Manual_Review!$I$6:$I$238,U468)="","",INDEX(Manual_Review!$I$6:$I$238,U468))</f>
        <v/>
      </c>
      <c r="Y468" s="5" t="s">
        <v>2859</v>
      </c>
    </row>
    <row r="469" spans="1:25" ht="38.25">
      <c r="A469" s="5" t="s">
        <v>3845</v>
      </c>
      <c r="B469" s="5" t="s">
        <v>433</v>
      </c>
      <c r="C469" s="5" t="s">
        <v>434</v>
      </c>
      <c r="D469" s="5" t="s">
        <v>118</v>
      </c>
      <c r="E469" s="5" t="s">
        <v>2796</v>
      </c>
      <c r="F469" s="5" t="s">
        <v>2764</v>
      </c>
      <c r="G469" s="5">
        <v>1</v>
      </c>
      <c r="H469" s="5" t="s">
        <v>2864</v>
      </c>
      <c r="I469" s="5" t="str">
        <f>IF(INDEX(Manual_Review!$Z$6:$Z$238,U469)="","",INDEX(Manual_Review!$Z$6:$Z$238,U469))</f>
        <v/>
      </c>
      <c r="J469" s="5" t="str">
        <f t="shared" si="14"/>
        <v>AI provisional</v>
      </c>
      <c r="K469" s="5" t="str">
        <f t="shared" si="15"/>
        <v>U</v>
      </c>
      <c r="L469" s="5" t="s">
        <v>446</v>
      </c>
      <c r="M469" s="5" t="s">
        <v>3846</v>
      </c>
      <c r="N469" s="5" t="s">
        <v>3847</v>
      </c>
      <c r="O469" s="5" t="s">
        <v>3050</v>
      </c>
      <c r="P469" s="5" t="s">
        <v>2992</v>
      </c>
      <c r="Q469" s="11">
        <v>46306.5</v>
      </c>
      <c r="R469" s="6"/>
      <c r="S469" s="6"/>
      <c r="T469" s="6"/>
      <c r="U469" s="5">
        <f>MATCH(B469,Manual_Review!$A$6:$A$238,0)</f>
        <v>29</v>
      </c>
      <c r="V469" s="5" t="str">
        <f>IF(INDEX(Manual_Review!$G$6:$G$238,U469)="","",INDEX(Manual_Review!$G$6:$G$238,U469))</f>
        <v/>
      </c>
      <c r="W469" s="11" t="str">
        <f>IF(INDEX(Manual_Review!$H$6:$H$238,U469)="","",INDEX(Manual_Review!$H$6:$H$238,U469))</f>
        <v/>
      </c>
      <c r="X469" s="5" t="str">
        <f>IF(INDEX(Manual_Review!$I$6:$I$238,U469)="","",INDEX(Manual_Review!$I$6:$I$238,U469))</f>
        <v/>
      </c>
      <c r="Y469" s="5" t="s">
        <v>2859</v>
      </c>
    </row>
    <row r="470" spans="1:25" ht="25.5">
      <c r="A470" s="5" t="s">
        <v>3848</v>
      </c>
      <c r="B470" s="5" t="s">
        <v>448</v>
      </c>
      <c r="C470" s="5" t="s">
        <v>449</v>
      </c>
      <c r="D470" s="5" t="s">
        <v>118</v>
      </c>
      <c r="E470" s="5" t="s">
        <v>2781</v>
      </c>
      <c r="F470" s="5" t="s">
        <v>2754</v>
      </c>
      <c r="G470" s="5">
        <v>1</v>
      </c>
      <c r="H470" s="5" t="s">
        <v>2854</v>
      </c>
      <c r="I470" s="5" t="str">
        <f>IF(INDEX(Manual_Review!$K$6:$K$238,U470)="","",INDEX(Manual_Review!$K$6:$K$238,U470))</f>
        <v/>
      </c>
      <c r="J470" s="5" t="str">
        <f t="shared" si="14"/>
        <v>AI provisional</v>
      </c>
      <c r="K470" s="5" t="str">
        <f t="shared" si="15"/>
        <v>Y</v>
      </c>
      <c r="L470" s="5" t="s">
        <v>459</v>
      </c>
      <c r="M470" s="5" t="s">
        <v>3849</v>
      </c>
      <c r="N470" s="5" t="s">
        <v>3850</v>
      </c>
      <c r="O470" s="5" t="s">
        <v>2857</v>
      </c>
      <c r="P470" s="5" t="s">
        <v>2858</v>
      </c>
      <c r="Q470" s="11">
        <v>46306.5</v>
      </c>
      <c r="R470" s="6"/>
      <c r="S470" s="6"/>
      <c r="T470" s="6"/>
      <c r="U470" s="5">
        <f>MATCH(B470,Manual_Review!$A$6:$A$238,0)</f>
        <v>30</v>
      </c>
      <c r="V470" s="5" t="str">
        <f>IF(INDEX(Manual_Review!$G$6:$G$238,U470)="","",INDEX(Manual_Review!$G$6:$G$238,U470))</f>
        <v/>
      </c>
      <c r="W470" s="11" t="str">
        <f>IF(INDEX(Manual_Review!$H$6:$H$238,U470)="","",INDEX(Manual_Review!$H$6:$H$238,U470))</f>
        <v/>
      </c>
      <c r="X470" s="5" t="str">
        <f>IF(INDEX(Manual_Review!$I$6:$I$238,U470)="","",INDEX(Manual_Review!$I$6:$I$238,U470))</f>
        <v/>
      </c>
      <c r="Y470" s="5" t="s">
        <v>2859</v>
      </c>
    </row>
    <row r="471" spans="1:25" ht="25.5">
      <c r="A471" s="5" t="s">
        <v>3851</v>
      </c>
      <c r="B471" s="5" t="s">
        <v>448</v>
      </c>
      <c r="C471" s="5" t="s">
        <v>449</v>
      </c>
      <c r="D471" s="5" t="s">
        <v>118</v>
      </c>
      <c r="E471" s="5" t="s">
        <v>2782</v>
      </c>
      <c r="F471" s="5" t="s">
        <v>2754</v>
      </c>
      <c r="G471" s="5">
        <v>1</v>
      </c>
      <c r="H471" s="5" t="s">
        <v>2854</v>
      </c>
      <c r="I471" s="5" t="str">
        <f>IF(INDEX(Manual_Review!$L$6:$L$238,U471)="","",INDEX(Manual_Review!$L$6:$L$238,U471))</f>
        <v/>
      </c>
      <c r="J471" s="5" t="str">
        <f t="shared" si="14"/>
        <v>AI provisional</v>
      </c>
      <c r="K471" s="5" t="str">
        <f t="shared" si="15"/>
        <v>Y</v>
      </c>
      <c r="L471" s="5" t="s">
        <v>459</v>
      </c>
      <c r="M471" s="5" t="s">
        <v>3852</v>
      </c>
      <c r="N471" s="5" t="s">
        <v>3850</v>
      </c>
      <c r="O471" s="5" t="s">
        <v>2862</v>
      </c>
      <c r="P471" s="5" t="s">
        <v>2858</v>
      </c>
      <c r="Q471" s="11">
        <v>46306.5</v>
      </c>
      <c r="R471" s="6"/>
      <c r="S471" s="6"/>
      <c r="T471" s="6"/>
      <c r="U471" s="5">
        <f>MATCH(B471,Manual_Review!$A$6:$A$238,0)</f>
        <v>30</v>
      </c>
      <c r="V471" s="5" t="str">
        <f>IF(INDEX(Manual_Review!$G$6:$G$238,U471)="","",INDEX(Manual_Review!$G$6:$G$238,U471))</f>
        <v/>
      </c>
      <c r="W471" s="11" t="str">
        <f>IF(INDEX(Manual_Review!$H$6:$H$238,U471)="","",INDEX(Manual_Review!$H$6:$H$238,U471))</f>
        <v/>
      </c>
      <c r="X471" s="5" t="str">
        <f>IF(INDEX(Manual_Review!$I$6:$I$238,U471)="","",INDEX(Manual_Review!$I$6:$I$238,U471))</f>
        <v/>
      </c>
      <c r="Y471" s="5" t="s">
        <v>2859</v>
      </c>
    </row>
    <row r="472" spans="1:25" ht="25.5">
      <c r="A472" s="5" t="s">
        <v>3853</v>
      </c>
      <c r="B472" s="5" t="s">
        <v>448</v>
      </c>
      <c r="C472" s="5" t="s">
        <v>449</v>
      </c>
      <c r="D472" s="5" t="s">
        <v>118</v>
      </c>
      <c r="E472" s="5" t="s">
        <v>2783</v>
      </c>
      <c r="F472" s="5" t="s">
        <v>2754</v>
      </c>
      <c r="G472" s="5">
        <v>1</v>
      </c>
      <c r="H472" s="5" t="s">
        <v>2864</v>
      </c>
      <c r="I472" s="5" t="str">
        <f>IF(INDEX(Manual_Review!$M$6:$M$238,U472)="","",INDEX(Manual_Review!$M$6:$M$238,U472))</f>
        <v/>
      </c>
      <c r="J472" s="5" t="str">
        <f t="shared" si="14"/>
        <v>AI provisional</v>
      </c>
      <c r="K472" s="5" t="str">
        <f t="shared" si="15"/>
        <v>U</v>
      </c>
      <c r="L472" s="5" t="s">
        <v>459</v>
      </c>
      <c r="M472" s="5" t="s">
        <v>3854</v>
      </c>
      <c r="N472" s="5" t="s">
        <v>3850</v>
      </c>
      <c r="O472" s="5" t="s">
        <v>2866</v>
      </c>
      <c r="P472" s="5" t="s">
        <v>2858</v>
      </c>
      <c r="Q472" s="11">
        <v>46306.5</v>
      </c>
      <c r="R472" s="6"/>
      <c r="S472" s="6"/>
      <c r="T472" s="6"/>
      <c r="U472" s="5">
        <f>MATCH(B472,Manual_Review!$A$6:$A$238,0)</f>
        <v>30</v>
      </c>
      <c r="V472" s="5" t="str">
        <f>IF(INDEX(Manual_Review!$G$6:$G$238,U472)="","",INDEX(Manual_Review!$G$6:$G$238,U472))</f>
        <v/>
      </c>
      <c r="W472" s="11" t="str">
        <f>IF(INDEX(Manual_Review!$H$6:$H$238,U472)="","",INDEX(Manual_Review!$H$6:$H$238,U472))</f>
        <v/>
      </c>
      <c r="X472" s="5" t="str">
        <f>IF(INDEX(Manual_Review!$I$6:$I$238,U472)="","",INDEX(Manual_Review!$I$6:$I$238,U472))</f>
        <v/>
      </c>
      <c r="Y472" s="5" t="s">
        <v>2859</v>
      </c>
    </row>
    <row r="473" spans="1:25" ht="25.5">
      <c r="A473" s="5" t="s">
        <v>3855</v>
      </c>
      <c r="B473" s="5" t="s">
        <v>448</v>
      </c>
      <c r="C473" s="5" t="s">
        <v>449</v>
      </c>
      <c r="D473" s="5" t="s">
        <v>118</v>
      </c>
      <c r="E473" s="5" t="s">
        <v>2784</v>
      </c>
      <c r="F473" s="5" t="s">
        <v>2756</v>
      </c>
      <c r="G473" s="5">
        <v>1</v>
      </c>
      <c r="H473" s="5" t="s">
        <v>2864</v>
      </c>
      <c r="I473" s="5" t="str">
        <f>IF(INDEX(Manual_Review!$N$6:$N$238,U473)="","",INDEX(Manual_Review!$N$6:$N$238,U473))</f>
        <v/>
      </c>
      <c r="J473" s="5" t="str">
        <f t="shared" si="14"/>
        <v>AI provisional</v>
      </c>
      <c r="K473" s="5" t="str">
        <f t="shared" si="15"/>
        <v>U</v>
      </c>
      <c r="L473" s="5" t="s">
        <v>459</v>
      </c>
      <c r="M473" s="5" t="s">
        <v>3856</v>
      </c>
      <c r="N473" s="5" t="s">
        <v>3850</v>
      </c>
      <c r="O473" s="5" t="s">
        <v>2869</v>
      </c>
      <c r="P473" s="5" t="s">
        <v>2858</v>
      </c>
      <c r="Q473" s="11">
        <v>46306.5</v>
      </c>
      <c r="R473" s="6"/>
      <c r="S473" s="6"/>
      <c r="T473" s="6"/>
      <c r="U473" s="5">
        <f>MATCH(B473,Manual_Review!$A$6:$A$238,0)</f>
        <v>30</v>
      </c>
      <c r="V473" s="5" t="str">
        <f>IF(INDEX(Manual_Review!$G$6:$G$238,U473)="","",INDEX(Manual_Review!$G$6:$G$238,U473))</f>
        <v/>
      </c>
      <c r="W473" s="11" t="str">
        <f>IF(INDEX(Manual_Review!$H$6:$H$238,U473)="","",INDEX(Manual_Review!$H$6:$H$238,U473))</f>
        <v/>
      </c>
      <c r="X473" s="5" t="str">
        <f>IF(INDEX(Manual_Review!$I$6:$I$238,U473)="","",INDEX(Manual_Review!$I$6:$I$238,U473))</f>
        <v/>
      </c>
      <c r="Y473" s="5" t="s">
        <v>2859</v>
      </c>
    </row>
    <row r="474" spans="1:25" ht="25.5">
      <c r="A474" s="5" t="s">
        <v>3857</v>
      </c>
      <c r="B474" s="5" t="s">
        <v>448</v>
      </c>
      <c r="C474" s="5" t="s">
        <v>449</v>
      </c>
      <c r="D474" s="5" t="s">
        <v>118</v>
      </c>
      <c r="E474" s="5" t="s">
        <v>2785</v>
      </c>
      <c r="F474" s="5" t="s">
        <v>2756</v>
      </c>
      <c r="G474" s="5">
        <v>1</v>
      </c>
      <c r="H474" s="5" t="s">
        <v>2864</v>
      </c>
      <c r="I474" s="5" t="str">
        <f>IF(INDEX(Manual_Review!$O$6:$O$238,U474)="","",INDEX(Manual_Review!$O$6:$O$238,U474))</f>
        <v/>
      </c>
      <c r="J474" s="5" t="str">
        <f t="shared" si="14"/>
        <v>AI provisional</v>
      </c>
      <c r="K474" s="5" t="str">
        <f t="shared" si="15"/>
        <v>U</v>
      </c>
      <c r="L474" s="5" t="s">
        <v>459</v>
      </c>
      <c r="M474" s="5" t="s">
        <v>3858</v>
      </c>
      <c r="N474" s="5" t="s">
        <v>3850</v>
      </c>
      <c r="O474" s="5" t="s">
        <v>2872</v>
      </c>
      <c r="P474" s="5" t="s">
        <v>2858</v>
      </c>
      <c r="Q474" s="11">
        <v>46306.5</v>
      </c>
      <c r="R474" s="6"/>
      <c r="S474" s="6"/>
      <c r="T474" s="6"/>
      <c r="U474" s="5">
        <f>MATCH(B474,Manual_Review!$A$6:$A$238,0)</f>
        <v>30</v>
      </c>
      <c r="V474" s="5" t="str">
        <f>IF(INDEX(Manual_Review!$G$6:$G$238,U474)="","",INDEX(Manual_Review!$G$6:$G$238,U474))</f>
        <v/>
      </c>
      <c r="W474" s="11" t="str">
        <f>IF(INDEX(Manual_Review!$H$6:$H$238,U474)="","",INDEX(Manual_Review!$H$6:$H$238,U474))</f>
        <v/>
      </c>
      <c r="X474" s="5" t="str">
        <f>IF(INDEX(Manual_Review!$I$6:$I$238,U474)="","",INDEX(Manual_Review!$I$6:$I$238,U474))</f>
        <v/>
      </c>
      <c r="Y474" s="5" t="s">
        <v>2859</v>
      </c>
    </row>
    <row r="475" spans="1:25" ht="25.5">
      <c r="A475" s="5" t="s">
        <v>3859</v>
      </c>
      <c r="B475" s="5" t="s">
        <v>448</v>
      </c>
      <c r="C475" s="5" t="s">
        <v>449</v>
      </c>
      <c r="D475" s="5" t="s">
        <v>118</v>
      </c>
      <c r="E475" s="5" t="s">
        <v>2786</v>
      </c>
      <c r="F475" s="5" t="s">
        <v>2756</v>
      </c>
      <c r="G475" s="5">
        <v>1</v>
      </c>
      <c r="H475" s="5" t="s">
        <v>2864</v>
      </c>
      <c r="I475" s="5" t="str">
        <f>IF(INDEX(Manual_Review!$P$6:$P$238,U475)="","",INDEX(Manual_Review!$P$6:$P$238,U475))</f>
        <v/>
      </c>
      <c r="J475" s="5" t="str">
        <f t="shared" si="14"/>
        <v>AI provisional</v>
      </c>
      <c r="K475" s="5" t="str">
        <f t="shared" si="15"/>
        <v>U</v>
      </c>
      <c r="L475" s="5" t="s">
        <v>459</v>
      </c>
      <c r="M475" s="5" t="s">
        <v>3860</v>
      </c>
      <c r="N475" s="5" t="s">
        <v>3850</v>
      </c>
      <c r="O475" s="5" t="s">
        <v>2874</v>
      </c>
      <c r="P475" s="5" t="s">
        <v>2858</v>
      </c>
      <c r="Q475" s="11">
        <v>46306.5</v>
      </c>
      <c r="R475" s="6"/>
      <c r="S475" s="6"/>
      <c r="T475" s="6"/>
      <c r="U475" s="5">
        <f>MATCH(B475,Manual_Review!$A$6:$A$238,0)</f>
        <v>30</v>
      </c>
      <c r="V475" s="5" t="str">
        <f>IF(INDEX(Manual_Review!$G$6:$G$238,U475)="","",INDEX(Manual_Review!$G$6:$G$238,U475))</f>
        <v/>
      </c>
      <c r="W475" s="11" t="str">
        <f>IF(INDEX(Manual_Review!$H$6:$H$238,U475)="","",INDEX(Manual_Review!$H$6:$H$238,U475))</f>
        <v/>
      </c>
      <c r="X475" s="5" t="str">
        <f>IF(INDEX(Manual_Review!$I$6:$I$238,U475)="","",INDEX(Manual_Review!$I$6:$I$238,U475))</f>
        <v/>
      </c>
      <c r="Y475" s="5" t="s">
        <v>2859</v>
      </c>
    </row>
    <row r="476" spans="1:25" ht="25.5">
      <c r="A476" s="5" t="s">
        <v>3861</v>
      </c>
      <c r="B476" s="5" t="s">
        <v>448</v>
      </c>
      <c r="C476" s="5" t="s">
        <v>449</v>
      </c>
      <c r="D476" s="5" t="s">
        <v>118</v>
      </c>
      <c r="E476" s="5" t="s">
        <v>2787</v>
      </c>
      <c r="F476" s="5" t="s">
        <v>2758</v>
      </c>
      <c r="G476" s="5">
        <v>1</v>
      </c>
      <c r="H476" s="5" t="s">
        <v>2864</v>
      </c>
      <c r="I476" s="5" t="str">
        <f>IF(INDEX(Manual_Review!$Q$6:$Q$238,U476)="","",INDEX(Manual_Review!$Q$6:$Q$238,U476))</f>
        <v/>
      </c>
      <c r="J476" s="5" t="str">
        <f t="shared" si="14"/>
        <v>AI provisional</v>
      </c>
      <c r="K476" s="5" t="str">
        <f t="shared" si="15"/>
        <v>U</v>
      </c>
      <c r="L476" s="5" t="s">
        <v>459</v>
      </c>
      <c r="M476" s="5" t="s">
        <v>3862</v>
      </c>
      <c r="N476" s="5" t="s">
        <v>3850</v>
      </c>
      <c r="O476" s="5" t="s">
        <v>2877</v>
      </c>
      <c r="P476" s="5" t="s">
        <v>2858</v>
      </c>
      <c r="Q476" s="11">
        <v>46306.5</v>
      </c>
      <c r="R476" s="6"/>
      <c r="S476" s="6"/>
      <c r="T476" s="6"/>
      <c r="U476" s="5">
        <f>MATCH(B476,Manual_Review!$A$6:$A$238,0)</f>
        <v>30</v>
      </c>
      <c r="V476" s="5" t="str">
        <f>IF(INDEX(Manual_Review!$G$6:$G$238,U476)="","",INDEX(Manual_Review!$G$6:$G$238,U476))</f>
        <v/>
      </c>
      <c r="W476" s="11" t="str">
        <f>IF(INDEX(Manual_Review!$H$6:$H$238,U476)="","",INDEX(Manual_Review!$H$6:$H$238,U476))</f>
        <v/>
      </c>
      <c r="X476" s="5" t="str">
        <f>IF(INDEX(Manual_Review!$I$6:$I$238,U476)="","",INDEX(Manual_Review!$I$6:$I$238,U476))</f>
        <v/>
      </c>
      <c r="Y476" s="5" t="s">
        <v>2859</v>
      </c>
    </row>
    <row r="477" spans="1:25" ht="25.5">
      <c r="A477" s="5" t="s">
        <v>3863</v>
      </c>
      <c r="B477" s="5" t="s">
        <v>448</v>
      </c>
      <c r="C477" s="5" t="s">
        <v>449</v>
      </c>
      <c r="D477" s="5" t="s">
        <v>118</v>
      </c>
      <c r="E477" s="5" t="s">
        <v>2788</v>
      </c>
      <c r="F477" s="5" t="s">
        <v>2758</v>
      </c>
      <c r="G477" s="5">
        <v>1</v>
      </c>
      <c r="H477" s="5" t="s">
        <v>2854</v>
      </c>
      <c r="I477" s="5" t="str">
        <f>IF(INDEX(Manual_Review!$R$6:$R$238,U477)="","",INDEX(Manual_Review!$R$6:$R$238,U477))</f>
        <v/>
      </c>
      <c r="J477" s="5" t="str">
        <f t="shared" si="14"/>
        <v>AI provisional</v>
      </c>
      <c r="K477" s="5" t="str">
        <f t="shared" si="15"/>
        <v>Y</v>
      </c>
      <c r="L477" s="5" t="s">
        <v>459</v>
      </c>
      <c r="M477" s="5" t="s">
        <v>3864</v>
      </c>
      <c r="N477" s="5" t="s">
        <v>3850</v>
      </c>
      <c r="O477" s="5" t="s">
        <v>3067</v>
      </c>
      <c r="P477" s="5" t="s">
        <v>2858</v>
      </c>
      <c r="Q477" s="11">
        <v>46306.5</v>
      </c>
      <c r="R477" s="6"/>
      <c r="S477" s="6"/>
      <c r="T477" s="6"/>
      <c r="U477" s="5">
        <f>MATCH(B477,Manual_Review!$A$6:$A$238,0)</f>
        <v>30</v>
      </c>
      <c r="V477" s="5" t="str">
        <f>IF(INDEX(Manual_Review!$G$6:$G$238,U477)="","",INDEX(Manual_Review!$G$6:$G$238,U477))</f>
        <v/>
      </c>
      <c r="W477" s="11" t="str">
        <f>IF(INDEX(Manual_Review!$H$6:$H$238,U477)="","",INDEX(Manual_Review!$H$6:$H$238,U477))</f>
        <v/>
      </c>
      <c r="X477" s="5" t="str">
        <f>IF(INDEX(Manual_Review!$I$6:$I$238,U477)="","",INDEX(Manual_Review!$I$6:$I$238,U477))</f>
        <v/>
      </c>
      <c r="Y477" s="5" t="s">
        <v>2859</v>
      </c>
    </row>
    <row r="478" spans="1:25" ht="25.5">
      <c r="A478" s="5" t="s">
        <v>3865</v>
      </c>
      <c r="B478" s="5" t="s">
        <v>448</v>
      </c>
      <c r="C478" s="5" t="s">
        <v>449</v>
      </c>
      <c r="D478" s="5" t="s">
        <v>118</v>
      </c>
      <c r="E478" s="5" t="s">
        <v>2789</v>
      </c>
      <c r="F478" s="5" t="s">
        <v>2758</v>
      </c>
      <c r="G478" s="5">
        <v>1</v>
      </c>
      <c r="H478" s="5" t="s">
        <v>2864</v>
      </c>
      <c r="I478" s="5" t="str">
        <f>IF(INDEX(Manual_Review!$S$6:$S$238,U478)="","",INDEX(Manual_Review!$S$6:$S$238,U478))</f>
        <v/>
      </c>
      <c r="J478" s="5" t="str">
        <f t="shared" si="14"/>
        <v>AI provisional</v>
      </c>
      <c r="K478" s="5" t="str">
        <f t="shared" si="15"/>
        <v>U</v>
      </c>
      <c r="L478" s="5" t="s">
        <v>459</v>
      </c>
      <c r="M478" s="5" t="s">
        <v>3866</v>
      </c>
      <c r="N478" s="5" t="s">
        <v>3850</v>
      </c>
      <c r="O478" s="5" t="s">
        <v>2883</v>
      </c>
      <c r="P478" s="5" t="s">
        <v>2858</v>
      </c>
      <c r="Q478" s="11">
        <v>46306.5</v>
      </c>
      <c r="R478" s="6"/>
      <c r="S478" s="6"/>
      <c r="T478" s="6"/>
      <c r="U478" s="5">
        <f>MATCH(B478,Manual_Review!$A$6:$A$238,0)</f>
        <v>30</v>
      </c>
      <c r="V478" s="5" t="str">
        <f>IF(INDEX(Manual_Review!$G$6:$G$238,U478)="","",INDEX(Manual_Review!$G$6:$G$238,U478))</f>
        <v/>
      </c>
      <c r="W478" s="11" t="str">
        <f>IF(INDEX(Manual_Review!$H$6:$H$238,U478)="","",INDEX(Manual_Review!$H$6:$H$238,U478))</f>
        <v/>
      </c>
      <c r="X478" s="5" t="str">
        <f>IF(INDEX(Manual_Review!$I$6:$I$238,U478)="","",INDEX(Manual_Review!$I$6:$I$238,U478))</f>
        <v/>
      </c>
      <c r="Y478" s="5" t="s">
        <v>2859</v>
      </c>
    </row>
    <row r="479" spans="1:25" ht="25.5">
      <c r="A479" s="5" t="s">
        <v>3867</v>
      </c>
      <c r="B479" s="5" t="s">
        <v>448</v>
      </c>
      <c r="C479" s="5" t="s">
        <v>449</v>
      </c>
      <c r="D479" s="5" t="s">
        <v>118</v>
      </c>
      <c r="E479" s="5" t="s">
        <v>2790</v>
      </c>
      <c r="F479" s="5" t="s">
        <v>2760</v>
      </c>
      <c r="G479" s="5">
        <v>1</v>
      </c>
      <c r="H479" s="5" t="s">
        <v>2864</v>
      </c>
      <c r="I479" s="5" t="str">
        <f>IF(INDEX(Manual_Review!$T$6:$T$238,U479)="","",INDEX(Manual_Review!$T$6:$T$238,U479))</f>
        <v/>
      </c>
      <c r="J479" s="5" t="str">
        <f t="shared" si="14"/>
        <v>AI provisional</v>
      </c>
      <c r="K479" s="5" t="str">
        <f t="shared" si="15"/>
        <v>U</v>
      </c>
      <c r="L479" s="5" t="s">
        <v>459</v>
      </c>
      <c r="M479" s="5" t="s">
        <v>3868</v>
      </c>
      <c r="N479" s="5" t="s">
        <v>3850</v>
      </c>
      <c r="O479" s="5" t="s">
        <v>2885</v>
      </c>
      <c r="P479" s="5" t="s">
        <v>2858</v>
      </c>
      <c r="Q479" s="11">
        <v>46306.5</v>
      </c>
      <c r="R479" s="6"/>
      <c r="S479" s="6"/>
      <c r="T479" s="6"/>
      <c r="U479" s="5">
        <f>MATCH(B479,Manual_Review!$A$6:$A$238,0)</f>
        <v>30</v>
      </c>
      <c r="V479" s="5" t="str">
        <f>IF(INDEX(Manual_Review!$G$6:$G$238,U479)="","",INDEX(Manual_Review!$G$6:$G$238,U479))</f>
        <v/>
      </c>
      <c r="W479" s="11" t="str">
        <f>IF(INDEX(Manual_Review!$H$6:$H$238,U479)="","",INDEX(Manual_Review!$H$6:$H$238,U479))</f>
        <v/>
      </c>
      <c r="X479" s="5" t="str">
        <f>IF(INDEX(Manual_Review!$I$6:$I$238,U479)="","",INDEX(Manual_Review!$I$6:$I$238,U479))</f>
        <v/>
      </c>
      <c r="Y479" s="5" t="s">
        <v>2859</v>
      </c>
    </row>
    <row r="480" spans="1:25" ht="25.5">
      <c r="A480" s="5" t="s">
        <v>3869</v>
      </c>
      <c r="B480" s="5" t="s">
        <v>448</v>
      </c>
      <c r="C480" s="5" t="s">
        <v>449</v>
      </c>
      <c r="D480" s="5" t="s">
        <v>118</v>
      </c>
      <c r="E480" s="5" t="s">
        <v>2791</v>
      </c>
      <c r="F480" s="5" t="s">
        <v>2760</v>
      </c>
      <c r="G480" s="5">
        <v>1</v>
      </c>
      <c r="H480" s="5" t="s">
        <v>2864</v>
      </c>
      <c r="I480" s="5" t="str">
        <f>IF(INDEX(Manual_Review!$U$6:$U$238,U480)="","",INDEX(Manual_Review!$U$6:$U$238,U480))</f>
        <v/>
      </c>
      <c r="J480" s="5" t="str">
        <f t="shared" si="14"/>
        <v>AI provisional</v>
      </c>
      <c r="K480" s="5" t="str">
        <f t="shared" si="15"/>
        <v>U</v>
      </c>
      <c r="L480" s="5" t="s">
        <v>459</v>
      </c>
      <c r="M480" s="5" t="s">
        <v>3870</v>
      </c>
      <c r="N480" s="5" t="s">
        <v>3850</v>
      </c>
      <c r="O480" s="5" t="s">
        <v>2888</v>
      </c>
      <c r="P480" s="5" t="s">
        <v>2858</v>
      </c>
      <c r="Q480" s="11">
        <v>46306.5</v>
      </c>
      <c r="R480" s="6"/>
      <c r="S480" s="6"/>
      <c r="T480" s="6"/>
      <c r="U480" s="5">
        <f>MATCH(B480,Manual_Review!$A$6:$A$238,0)</f>
        <v>30</v>
      </c>
      <c r="V480" s="5" t="str">
        <f>IF(INDEX(Manual_Review!$G$6:$G$238,U480)="","",INDEX(Manual_Review!$G$6:$G$238,U480))</f>
        <v/>
      </c>
      <c r="W480" s="11" t="str">
        <f>IF(INDEX(Manual_Review!$H$6:$H$238,U480)="","",INDEX(Manual_Review!$H$6:$H$238,U480))</f>
        <v/>
      </c>
      <c r="X480" s="5" t="str">
        <f>IF(INDEX(Manual_Review!$I$6:$I$238,U480)="","",INDEX(Manual_Review!$I$6:$I$238,U480))</f>
        <v/>
      </c>
      <c r="Y480" s="5" t="s">
        <v>2859</v>
      </c>
    </row>
    <row r="481" spans="1:25" ht="25.5">
      <c r="A481" s="5" t="s">
        <v>3871</v>
      </c>
      <c r="B481" s="5" t="s">
        <v>448</v>
      </c>
      <c r="C481" s="5" t="s">
        <v>449</v>
      </c>
      <c r="D481" s="5" t="s">
        <v>118</v>
      </c>
      <c r="E481" s="5" t="s">
        <v>2792</v>
      </c>
      <c r="F481" s="5" t="s">
        <v>2762</v>
      </c>
      <c r="G481" s="5">
        <v>1</v>
      </c>
      <c r="H481" s="5" t="s">
        <v>2854</v>
      </c>
      <c r="I481" s="5" t="str">
        <f>IF(INDEX(Manual_Review!$V$6:$V$238,U481)="","",INDEX(Manual_Review!$V$6:$V$238,U481))</f>
        <v/>
      </c>
      <c r="J481" s="5" t="str">
        <f t="shared" si="14"/>
        <v>AI provisional</v>
      </c>
      <c r="K481" s="5" t="str">
        <f t="shared" si="15"/>
        <v>Y</v>
      </c>
      <c r="L481" s="5" t="s">
        <v>459</v>
      </c>
      <c r="M481" s="5" t="s">
        <v>3872</v>
      </c>
      <c r="N481" s="5" t="s">
        <v>3850</v>
      </c>
      <c r="O481" s="5" t="s">
        <v>3152</v>
      </c>
      <c r="P481" s="5" t="s">
        <v>2858</v>
      </c>
      <c r="Q481" s="11">
        <v>46306.5</v>
      </c>
      <c r="R481" s="6"/>
      <c r="S481" s="6"/>
      <c r="T481" s="6"/>
      <c r="U481" s="5">
        <f>MATCH(B481,Manual_Review!$A$6:$A$238,0)</f>
        <v>30</v>
      </c>
      <c r="V481" s="5" t="str">
        <f>IF(INDEX(Manual_Review!$G$6:$G$238,U481)="","",INDEX(Manual_Review!$G$6:$G$238,U481))</f>
        <v/>
      </c>
      <c r="W481" s="11" t="str">
        <f>IF(INDEX(Manual_Review!$H$6:$H$238,U481)="","",INDEX(Manual_Review!$H$6:$H$238,U481))</f>
        <v/>
      </c>
      <c r="X481" s="5" t="str">
        <f>IF(INDEX(Manual_Review!$I$6:$I$238,U481)="","",INDEX(Manual_Review!$I$6:$I$238,U481))</f>
        <v/>
      </c>
      <c r="Y481" s="5" t="s">
        <v>2859</v>
      </c>
    </row>
    <row r="482" spans="1:25" ht="25.5">
      <c r="A482" s="5" t="s">
        <v>3873</v>
      </c>
      <c r="B482" s="5" t="s">
        <v>448</v>
      </c>
      <c r="C482" s="5" t="s">
        <v>449</v>
      </c>
      <c r="D482" s="5" t="s">
        <v>118</v>
      </c>
      <c r="E482" s="5" t="s">
        <v>2793</v>
      </c>
      <c r="F482" s="5" t="s">
        <v>2762</v>
      </c>
      <c r="G482" s="5">
        <v>1</v>
      </c>
      <c r="H482" s="5" t="s">
        <v>2854</v>
      </c>
      <c r="I482" s="5" t="str">
        <f>IF(INDEX(Manual_Review!$W$6:$W$238,U482)="","",INDEX(Manual_Review!$W$6:$W$238,U482))</f>
        <v/>
      </c>
      <c r="J482" s="5" t="str">
        <f t="shared" si="14"/>
        <v>AI provisional</v>
      </c>
      <c r="K482" s="5" t="str">
        <f t="shared" si="15"/>
        <v>Y</v>
      </c>
      <c r="L482" s="5" t="s">
        <v>459</v>
      </c>
      <c r="M482" s="5" t="s">
        <v>3874</v>
      </c>
      <c r="N482" s="5" t="s">
        <v>3850</v>
      </c>
      <c r="O482" s="5" t="s">
        <v>3077</v>
      </c>
      <c r="P482" s="5" t="s">
        <v>2858</v>
      </c>
      <c r="Q482" s="11">
        <v>46306.5</v>
      </c>
      <c r="R482" s="6"/>
      <c r="S482" s="6"/>
      <c r="T482" s="6"/>
      <c r="U482" s="5">
        <f>MATCH(B482,Manual_Review!$A$6:$A$238,0)</f>
        <v>30</v>
      </c>
      <c r="V482" s="5" t="str">
        <f>IF(INDEX(Manual_Review!$G$6:$G$238,U482)="","",INDEX(Manual_Review!$G$6:$G$238,U482))</f>
        <v/>
      </c>
      <c r="W482" s="11" t="str">
        <f>IF(INDEX(Manual_Review!$H$6:$H$238,U482)="","",INDEX(Manual_Review!$H$6:$H$238,U482))</f>
        <v/>
      </c>
      <c r="X482" s="5" t="str">
        <f>IF(INDEX(Manual_Review!$I$6:$I$238,U482)="","",INDEX(Manual_Review!$I$6:$I$238,U482))</f>
        <v/>
      </c>
      <c r="Y482" s="5" t="s">
        <v>2859</v>
      </c>
    </row>
    <row r="483" spans="1:25" ht="25.5">
      <c r="A483" s="5" t="s">
        <v>3875</v>
      </c>
      <c r="B483" s="5" t="s">
        <v>448</v>
      </c>
      <c r="C483" s="5" t="s">
        <v>449</v>
      </c>
      <c r="D483" s="5" t="s">
        <v>118</v>
      </c>
      <c r="E483" s="5" t="s">
        <v>2794</v>
      </c>
      <c r="F483" s="5" t="s">
        <v>2764</v>
      </c>
      <c r="G483" s="5">
        <v>1</v>
      </c>
      <c r="H483" s="5" t="s">
        <v>2854</v>
      </c>
      <c r="I483" s="5" t="str">
        <f>IF(INDEX(Manual_Review!$X$6:$X$238,U483)="","",INDEX(Manual_Review!$X$6:$X$238,U483))</f>
        <v/>
      </c>
      <c r="J483" s="5" t="str">
        <f t="shared" si="14"/>
        <v>AI provisional</v>
      </c>
      <c r="K483" s="5" t="str">
        <f t="shared" si="15"/>
        <v>Y</v>
      </c>
      <c r="L483" s="5" t="s">
        <v>459</v>
      </c>
      <c r="M483" s="5" t="s">
        <v>3876</v>
      </c>
      <c r="N483" s="5" t="s">
        <v>3850</v>
      </c>
      <c r="O483" s="5" t="s">
        <v>2984</v>
      </c>
      <c r="P483" s="5" t="s">
        <v>2858</v>
      </c>
      <c r="Q483" s="11">
        <v>46306.5</v>
      </c>
      <c r="R483" s="6"/>
      <c r="S483" s="6"/>
      <c r="T483" s="6"/>
      <c r="U483" s="5">
        <f>MATCH(B483,Manual_Review!$A$6:$A$238,0)</f>
        <v>30</v>
      </c>
      <c r="V483" s="5" t="str">
        <f>IF(INDEX(Manual_Review!$G$6:$G$238,U483)="","",INDEX(Manual_Review!$G$6:$G$238,U483))</f>
        <v/>
      </c>
      <c r="W483" s="11" t="str">
        <f>IF(INDEX(Manual_Review!$H$6:$H$238,U483)="","",INDEX(Manual_Review!$H$6:$H$238,U483))</f>
        <v/>
      </c>
      <c r="X483" s="5" t="str">
        <f>IF(INDEX(Manual_Review!$I$6:$I$238,U483)="","",INDEX(Manual_Review!$I$6:$I$238,U483))</f>
        <v/>
      </c>
      <c r="Y483" s="5" t="s">
        <v>2859</v>
      </c>
    </row>
    <row r="484" spans="1:25" ht="25.5">
      <c r="A484" s="5" t="s">
        <v>3877</v>
      </c>
      <c r="B484" s="5" t="s">
        <v>448</v>
      </c>
      <c r="C484" s="5" t="s">
        <v>449</v>
      </c>
      <c r="D484" s="5" t="s">
        <v>118</v>
      </c>
      <c r="E484" s="5" t="s">
        <v>2795</v>
      </c>
      <c r="F484" s="5" t="s">
        <v>2764</v>
      </c>
      <c r="G484" s="5">
        <v>1</v>
      </c>
      <c r="H484" s="5" t="s">
        <v>2854</v>
      </c>
      <c r="I484" s="5" t="str">
        <f>IF(INDEX(Manual_Review!$Y$6:$Y$238,U484)="","",INDEX(Manual_Review!$Y$6:$Y$238,U484))</f>
        <v/>
      </c>
      <c r="J484" s="5" t="str">
        <f t="shared" si="14"/>
        <v>AI provisional</v>
      </c>
      <c r="K484" s="5" t="str">
        <f t="shared" si="15"/>
        <v>Y</v>
      </c>
      <c r="L484" s="5" t="s">
        <v>459</v>
      </c>
      <c r="M484" s="5" t="s">
        <v>3878</v>
      </c>
      <c r="N484" s="5" t="s">
        <v>3850</v>
      </c>
      <c r="O484" s="5" t="s">
        <v>3082</v>
      </c>
      <c r="P484" s="5" t="s">
        <v>2858</v>
      </c>
      <c r="Q484" s="11">
        <v>46306.5</v>
      </c>
      <c r="R484" s="6"/>
      <c r="S484" s="6"/>
      <c r="T484" s="6"/>
      <c r="U484" s="5">
        <f>MATCH(B484,Manual_Review!$A$6:$A$238,0)</f>
        <v>30</v>
      </c>
      <c r="V484" s="5" t="str">
        <f>IF(INDEX(Manual_Review!$G$6:$G$238,U484)="","",INDEX(Manual_Review!$G$6:$G$238,U484))</f>
        <v/>
      </c>
      <c r="W484" s="11" t="str">
        <f>IF(INDEX(Manual_Review!$H$6:$H$238,U484)="","",INDEX(Manual_Review!$H$6:$H$238,U484))</f>
        <v/>
      </c>
      <c r="X484" s="5" t="str">
        <f>IF(INDEX(Manual_Review!$I$6:$I$238,U484)="","",INDEX(Manual_Review!$I$6:$I$238,U484))</f>
        <v/>
      </c>
      <c r="Y484" s="5" t="s">
        <v>2859</v>
      </c>
    </row>
    <row r="485" spans="1:25" ht="25.5">
      <c r="A485" s="5" t="s">
        <v>3879</v>
      </c>
      <c r="B485" s="5" t="s">
        <v>448</v>
      </c>
      <c r="C485" s="5" t="s">
        <v>449</v>
      </c>
      <c r="D485" s="5" t="s">
        <v>118</v>
      </c>
      <c r="E485" s="5" t="s">
        <v>2796</v>
      </c>
      <c r="F485" s="5" t="s">
        <v>2764</v>
      </c>
      <c r="G485" s="5">
        <v>1</v>
      </c>
      <c r="H485" s="5" t="s">
        <v>2854</v>
      </c>
      <c r="I485" s="5" t="str">
        <f>IF(INDEX(Manual_Review!$Z$6:$Z$238,U485)="","",INDEX(Manual_Review!$Z$6:$Z$238,U485))</f>
        <v/>
      </c>
      <c r="J485" s="5" t="str">
        <f t="shared" si="14"/>
        <v>AI provisional</v>
      </c>
      <c r="K485" s="5" t="str">
        <f t="shared" si="15"/>
        <v>Y</v>
      </c>
      <c r="L485" s="5" t="s">
        <v>459</v>
      </c>
      <c r="M485" s="5" t="s">
        <v>3880</v>
      </c>
      <c r="N485" s="5" t="s">
        <v>3850</v>
      </c>
      <c r="O485" s="5" t="s">
        <v>3085</v>
      </c>
      <c r="P485" s="5" t="s">
        <v>2858</v>
      </c>
      <c r="Q485" s="11">
        <v>46306.5</v>
      </c>
      <c r="R485" s="6"/>
      <c r="S485" s="6"/>
      <c r="T485" s="6"/>
      <c r="U485" s="5">
        <f>MATCH(B485,Manual_Review!$A$6:$A$238,0)</f>
        <v>30</v>
      </c>
      <c r="V485" s="5" t="str">
        <f>IF(INDEX(Manual_Review!$G$6:$G$238,U485)="","",INDEX(Manual_Review!$G$6:$G$238,U485))</f>
        <v/>
      </c>
      <c r="W485" s="11" t="str">
        <f>IF(INDEX(Manual_Review!$H$6:$H$238,U485)="","",INDEX(Manual_Review!$H$6:$H$238,U485))</f>
        <v/>
      </c>
      <c r="X485" s="5" t="str">
        <f>IF(INDEX(Manual_Review!$I$6:$I$238,U485)="","",INDEX(Manual_Review!$I$6:$I$238,U485))</f>
        <v/>
      </c>
      <c r="Y485" s="5" t="s">
        <v>2859</v>
      </c>
    </row>
    <row r="486" spans="1:25" ht="25.5">
      <c r="A486" s="5" t="s">
        <v>3881</v>
      </c>
      <c r="B486" s="5" t="s">
        <v>461</v>
      </c>
      <c r="C486" s="5" t="s">
        <v>462</v>
      </c>
      <c r="D486" s="5" t="s">
        <v>118</v>
      </c>
      <c r="E486" s="5" t="s">
        <v>2781</v>
      </c>
      <c r="F486" s="5" t="s">
        <v>2754</v>
      </c>
      <c r="G486" s="5">
        <v>1</v>
      </c>
      <c r="H486" s="5" t="s">
        <v>2854</v>
      </c>
      <c r="I486" s="5" t="str">
        <f>IF(INDEX(Manual_Review!$K$6:$K$238,U486)="","",INDEX(Manual_Review!$K$6:$K$238,U486))</f>
        <v/>
      </c>
      <c r="J486" s="5" t="str">
        <f t="shared" si="14"/>
        <v>AI provisional</v>
      </c>
      <c r="K486" s="5" t="str">
        <f t="shared" si="15"/>
        <v>Y</v>
      </c>
      <c r="L486" s="5" t="s">
        <v>468</v>
      </c>
      <c r="M486" s="5" t="s">
        <v>3882</v>
      </c>
      <c r="N486" s="5" t="s">
        <v>3883</v>
      </c>
      <c r="O486" s="5" t="s">
        <v>2857</v>
      </c>
      <c r="P486" s="5" t="s">
        <v>2858</v>
      </c>
      <c r="Q486" s="11">
        <v>46306.5</v>
      </c>
      <c r="R486" s="6"/>
      <c r="S486" s="6"/>
      <c r="T486" s="6"/>
      <c r="U486" s="5">
        <f>MATCH(B486,Manual_Review!$A$6:$A$238,0)</f>
        <v>31</v>
      </c>
      <c r="V486" s="5" t="str">
        <f>IF(INDEX(Manual_Review!$G$6:$G$238,U486)="","",INDEX(Manual_Review!$G$6:$G$238,U486))</f>
        <v/>
      </c>
      <c r="W486" s="11" t="str">
        <f>IF(INDEX(Manual_Review!$H$6:$H$238,U486)="","",INDEX(Manual_Review!$H$6:$H$238,U486))</f>
        <v/>
      </c>
      <c r="X486" s="5" t="str">
        <f>IF(INDEX(Manual_Review!$I$6:$I$238,U486)="","",INDEX(Manual_Review!$I$6:$I$238,U486))</f>
        <v/>
      </c>
      <c r="Y486" s="5" t="s">
        <v>2859</v>
      </c>
    </row>
    <row r="487" spans="1:25" ht="25.5">
      <c r="A487" s="5" t="s">
        <v>3884</v>
      </c>
      <c r="B487" s="5" t="s">
        <v>461</v>
      </c>
      <c r="C487" s="5" t="s">
        <v>462</v>
      </c>
      <c r="D487" s="5" t="s">
        <v>118</v>
      </c>
      <c r="E487" s="5" t="s">
        <v>2782</v>
      </c>
      <c r="F487" s="5" t="s">
        <v>2754</v>
      </c>
      <c r="G487" s="5">
        <v>1</v>
      </c>
      <c r="H487" s="5" t="s">
        <v>2854</v>
      </c>
      <c r="I487" s="5" t="str">
        <f>IF(INDEX(Manual_Review!$L$6:$L$238,U487)="","",INDEX(Manual_Review!$L$6:$L$238,U487))</f>
        <v/>
      </c>
      <c r="J487" s="5" t="str">
        <f t="shared" si="14"/>
        <v>AI provisional</v>
      </c>
      <c r="K487" s="5" t="str">
        <f t="shared" si="15"/>
        <v>Y</v>
      </c>
      <c r="L487" s="5" t="s">
        <v>468</v>
      </c>
      <c r="M487" s="5" t="s">
        <v>3885</v>
      </c>
      <c r="N487" s="5" t="s">
        <v>3883</v>
      </c>
      <c r="O487" s="5" t="s">
        <v>2862</v>
      </c>
      <c r="P487" s="5" t="s">
        <v>2858</v>
      </c>
      <c r="Q487" s="11">
        <v>46306.5</v>
      </c>
      <c r="R487" s="6"/>
      <c r="S487" s="6"/>
      <c r="T487" s="6"/>
      <c r="U487" s="5">
        <f>MATCH(B487,Manual_Review!$A$6:$A$238,0)</f>
        <v>31</v>
      </c>
      <c r="V487" s="5" t="str">
        <f>IF(INDEX(Manual_Review!$G$6:$G$238,U487)="","",INDEX(Manual_Review!$G$6:$G$238,U487))</f>
        <v/>
      </c>
      <c r="W487" s="11" t="str">
        <f>IF(INDEX(Manual_Review!$H$6:$H$238,U487)="","",INDEX(Manual_Review!$H$6:$H$238,U487))</f>
        <v/>
      </c>
      <c r="X487" s="5" t="str">
        <f>IF(INDEX(Manual_Review!$I$6:$I$238,U487)="","",INDEX(Manual_Review!$I$6:$I$238,U487))</f>
        <v/>
      </c>
      <c r="Y487" s="5" t="s">
        <v>2859</v>
      </c>
    </row>
    <row r="488" spans="1:25" ht="25.5">
      <c r="A488" s="5" t="s">
        <v>3886</v>
      </c>
      <c r="B488" s="5" t="s">
        <v>461</v>
      </c>
      <c r="C488" s="5" t="s">
        <v>462</v>
      </c>
      <c r="D488" s="5" t="s">
        <v>118</v>
      </c>
      <c r="E488" s="5" t="s">
        <v>2783</v>
      </c>
      <c r="F488" s="5" t="s">
        <v>2754</v>
      </c>
      <c r="G488" s="5">
        <v>1</v>
      </c>
      <c r="H488" s="5" t="s">
        <v>2864</v>
      </c>
      <c r="I488" s="5" t="str">
        <f>IF(INDEX(Manual_Review!$M$6:$M$238,U488)="","",INDEX(Manual_Review!$M$6:$M$238,U488))</f>
        <v/>
      </c>
      <c r="J488" s="5" t="str">
        <f t="shared" si="14"/>
        <v>AI provisional</v>
      </c>
      <c r="K488" s="5" t="str">
        <f t="shared" si="15"/>
        <v>U</v>
      </c>
      <c r="L488" s="5" t="s">
        <v>468</v>
      </c>
      <c r="M488" s="5" t="s">
        <v>3887</v>
      </c>
      <c r="N488" s="5" t="s">
        <v>3883</v>
      </c>
      <c r="O488" s="5" t="s">
        <v>2866</v>
      </c>
      <c r="P488" s="5" t="s">
        <v>2858</v>
      </c>
      <c r="Q488" s="11">
        <v>46306.5</v>
      </c>
      <c r="R488" s="6"/>
      <c r="S488" s="6"/>
      <c r="T488" s="6"/>
      <c r="U488" s="5">
        <f>MATCH(B488,Manual_Review!$A$6:$A$238,0)</f>
        <v>31</v>
      </c>
      <c r="V488" s="5" t="str">
        <f>IF(INDEX(Manual_Review!$G$6:$G$238,U488)="","",INDEX(Manual_Review!$G$6:$G$238,U488))</f>
        <v/>
      </c>
      <c r="W488" s="11" t="str">
        <f>IF(INDEX(Manual_Review!$H$6:$H$238,U488)="","",INDEX(Manual_Review!$H$6:$H$238,U488))</f>
        <v/>
      </c>
      <c r="X488" s="5" t="str">
        <f>IF(INDEX(Manual_Review!$I$6:$I$238,U488)="","",INDEX(Manual_Review!$I$6:$I$238,U488))</f>
        <v/>
      </c>
      <c r="Y488" s="5" t="s">
        <v>2859</v>
      </c>
    </row>
    <row r="489" spans="1:25" ht="25.5">
      <c r="A489" s="5" t="s">
        <v>3888</v>
      </c>
      <c r="B489" s="5" t="s">
        <v>461</v>
      </c>
      <c r="C489" s="5" t="s">
        <v>462</v>
      </c>
      <c r="D489" s="5" t="s">
        <v>118</v>
      </c>
      <c r="E489" s="5" t="s">
        <v>2784</v>
      </c>
      <c r="F489" s="5" t="s">
        <v>2756</v>
      </c>
      <c r="G489" s="5">
        <v>1</v>
      </c>
      <c r="H489" s="5" t="s">
        <v>2854</v>
      </c>
      <c r="I489" s="5" t="str">
        <f>IF(INDEX(Manual_Review!$N$6:$N$238,U489)="","",INDEX(Manual_Review!$N$6:$N$238,U489))</f>
        <v/>
      </c>
      <c r="J489" s="5" t="str">
        <f t="shared" si="14"/>
        <v>AI provisional</v>
      </c>
      <c r="K489" s="5" t="str">
        <f t="shared" si="15"/>
        <v>Y</v>
      </c>
      <c r="L489" s="5" t="s">
        <v>468</v>
      </c>
      <c r="M489" s="5" t="s">
        <v>3889</v>
      </c>
      <c r="N489" s="5" t="s">
        <v>3883</v>
      </c>
      <c r="O489" s="5" t="s">
        <v>2963</v>
      </c>
      <c r="P489" s="5" t="s">
        <v>2858</v>
      </c>
      <c r="Q489" s="11">
        <v>46306.5</v>
      </c>
      <c r="R489" s="6"/>
      <c r="S489" s="6"/>
      <c r="T489" s="6"/>
      <c r="U489" s="5">
        <f>MATCH(B489,Manual_Review!$A$6:$A$238,0)</f>
        <v>31</v>
      </c>
      <c r="V489" s="5" t="str">
        <f>IF(INDEX(Manual_Review!$G$6:$G$238,U489)="","",INDEX(Manual_Review!$G$6:$G$238,U489))</f>
        <v/>
      </c>
      <c r="W489" s="11" t="str">
        <f>IF(INDEX(Manual_Review!$H$6:$H$238,U489)="","",INDEX(Manual_Review!$H$6:$H$238,U489))</f>
        <v/>
      </c>
      <c r="X489" s="5" t="str">
        <f>IF(INDEX(Manual_Review!$I$6:$I$238,U489)="","",INDEX(Manual_Review!$I$6:$I$238,U489))</f>
        <v/>
      </c>
      <c r="Y489" s="5" t="s">
        <v>2859</v>
      </c>
    </row>
    <row r="490" spans="1:25" ht="25.5">
      <c r="A490" s="5" t="s">
        <v>3890</v>
      </c>
      <c r="B490" s="5" t="s">
        <v>461</v>
      </c>
      <c r="C490" s="5" t="s">
        <v>462</v>
      </c>
      <c r="D490" s="5" t="s">
        <v>118</v>
      </c>
      <c r="E490" s="5" t="s">
        <v>2785</v>
      </c>
      <c r="F490" s="5" t="s">
        <v>2756</v>
      </c>
      <c r="G490" s="5">
        <v>1</v>
      </c>
      <c r="H490" s="5" t="s">
        <v>2854</v>
      </c>
      <c r="I490" s="5" t="str">
        <f>IF(INDEX(Manual_Review!$O$6:$O$238,U490)="","",INDEX(Manual_Review!$O$6:$O$238,U490))</f>
        <v/>
      </c>
      <c r="J490" s="5" t="str">
        <f t="shared" si="14"/>
        <v>AI provisional</v>
      </c>
      <c r="K490" s="5" t="str">
        <f t="shared" si="15"/>
        <v>Y</v>
      </c>
      <c r="L490" s="5" t="s">
        <v>468</v>
      </c>
      <c r="M490" s="5" t="s">
        <v>3891</v>
      </c>
      <c r="N490" s="5" t="s">
        <v>3883</v>
      </c>
      <c r="O490" s="5" t="s">
        <v>3138</v>
      </c>
      <c r="P490" s="5" t="s">
        <v>2858</v>
      </c>
      <c r="Q490" s="11">
        <v>46306.5</v>
      </c>
      <c r="R490" s="6"/>
      <c r="S490" s="6"/>
      <c r="T490" s="6"/>
      <c r="U490" s="5">
        <f>MATCH(B490,Manual_Review!$A$6:$A$238,0)</f>
        <v>31</v>
      </c>
      <c r="V490" s="5" t="str">
        <f>IF(INDEX(Manual_Review!$G$6:$G$238,U490)="","",INDEX(Manual_Review!$G$6:$G$238,U490))</f>
        <v/>
      </c>
      <c r="W490" s="11" t="str">
        <f>IF(INDEX(Manual_Review!$H$6:$H$238,U490)="","",INDEX(Manual_Review!$H$6:$H$238,U490))</f>
        <v/>
      </c>
      <c r="X490" s="5" t="str">
        <f>IF(INDEX(Manual_Review!$I$6:$I$238,U490)="","",INDEX(Manual_Review!$I$6:$I$238,U490))</f>
        <v/>
      </c>
      <c r="Y490" s="5" t="s">
        <v>2859</v>
      </c>
    </row>
    <row r="491" spans="1:25" ht="25.5">
      <c r="A491" s="5" t="s">
        <v>3892</v>
      </c>
      <c r="B491" s="5" t="s">
        <v>461</v>
      </c>
      <c r="C491" s="5" t="s">
        <v>462</v>
      </c>
      <c r="D491" s="5" t="s">
        <v>118</v>
      </c>
      <c r="E491" s="5" t="s">
        <v>2786</v>
      </c>
      <c r="F491" s="5" t="s">
        <v>2756</v>
      </c>
      <c r="G491" s="5">
        <v>1</v>
      </c>
      <c r="H491" s="5" t="s">
        <v>2864</v>
      </c>
      <c r="I491" s="5" t="str">
        <f>IF(INDEX(Manual_Review!$P$6:$P$238,U491)="","",INDEX(Manual_Review!$P$6:$P$238,U491))</f>
        <v/>
      </c>
      <c r="J491" s="5" t="str">
        <f t="shared" si="14"/>
        <v>AI provisional</v>
      </c>
      <c r="K491" s="5" t="str">
        <f t="shared" si="15"/>
        <v>U</v>
      </c>
      <c r="L491" s="5" t="s">
        <v>468</v>
      </c>
      <c r="M491" s="5" t="s">
        <v>3887</v>
      </c>
      <c r="N491" s="5" t="s">
        <v>3883</v>
      </c>
      <c r="O491" s="5" t="s">
        <v>2874</v>
      </c>
      <c r="P491" s="5" t="s">
        <v>2858</v>
      </c>
      <c r="Q491" s="11">
        <v>46306.5</v>
      </c>
      <c r="R491" s="6"/>
      <c r="S491" s="6"/>
      <c r="T491" s="6"/>
      <c r="U491" s="5">
        <f>MATCH(B491,Manual_Review!$A$6:$A$238,0)</f>
        <v>31</v>
      </c>
      <c r="V491" s="5" t="str">
        <f>IF(INDEX(Manual_Review!$G$6:$G$238,U491)="","",INDEX(Manual_Review!$G$6:$G$238,U491))</f>
        <v/>
      </c>
      <c r="W491" s="11" t="str">
        <f>IF(INDEX(Manual_Review!$H$6:$H$238,U491)="","",INDEX(Manual_Review!$H$6:$H$238,U491))</f>
        <v/>
      </c>
      <c r="X491" s="5" t="str">
        <f>IF(INDEX(Manual_Review!$I$6:$I$238,U491)="","",INDEX(Manual_Review!$I$6:$I$238,U491))</f>
        <v/>
      </c>
      <c r="Y491" s="5" t="s">
        <v>2859</v>
      </c>
    </row>
    <row r="492" spans="1:25" ht="25.5">
      <c r="A492" s="5" t="s">
        <v>3893</v>
      </c>
      <c r="B492" s="5" t="s">
        <v>461</v>
      </c>
      <c r="C492" s="5" t="s">
        <v>462</v>
      </c>
      <c r="D492" s="5" t="s">
        <v>118</v>
      </c>
      <c r="E492" s="5" t="s">
        <v>2787</v>
      </c>
      <c r="F492" s="5" t="s">
        <v>2758</v>
      </c>
      <c r="G492" s="5">
        <v>1</v>
      </c>
      <c r="H492" s="5" t="s">
        <v>2864</v>
      </c>
      <c r="I492" s="5" t="str">
        <f>IF(INDEX(Manual_Review!$Q$6:$Q$238,U492)="","",INDEX(Manual_Review!$Q$6:$Q$238,U492))</f>
        <v/>
      </c>
      <c r="J492" s="5" t="str">
        <f t="shared" si="14"/>
        <v>AI provisional</v>
      </c>
      <c r="K492" s="5" t="str">
        <f t="shared" si="15"/>
        <v>U</v>
      </c>
      <c r="L492" s="5" t="s">
        <v>468</v>
      </c>
      <c r="M492" s="5" t="s">
        <v>3894</v>
      </c>
      <c r="N492" s="5" t="s">
        <v>3883</v>
      </c>
      <c r="O492" s="5" t="s">
        <v>2877</v>
      </c>
      <c r="P492" s="5" t="s">
        <v>2858</v>
      </c>
      <c r="Q492" s="11">
        <v>46306.5</v>
      </c>
      <c r="R492" s="6"/>
      <c r="S492" s="6"/>
      <c r="T492" s="6"/>
      <c r="U492" s="5">
        <f>MATCH(B492,Manual_Review!$A$6:$A$238,0)</f>
        <v>31</v>
      </c>
      <c r="V492" s="5" t="str">
        <f>IF(INDEX(Manual_Review!$G$6:$G$238,U492)="","",INDEX(Manual_Review!$G$6:$G$238,U492))</f>
        <v/>
      </c>
      <c r="W492" s="11" t="str">
        <f>IF(INDEX(Manual_Review!$H$6:$H$238,U492)="","",INDEX(Manual_Review!$H$6:$H$238,U492))</f>
        <v/>
      </c>
      <c r="X492" s="5" t="str">
        <f>IF(INDEX(Manual_Review!$I$6:$I$238,U492)="","",INDEX(Manual_Review!$I$6:$I$238,U492))</f>
        <v/>
      </c>
      <c r="Y492" s="5" t="s">
        <v>2859</v>
      </c>
    </row>
    <row r="493" spans="1:25" ht="25.5">
      <c r="A493" s="5" t="s">
        <v>3895</v>
      </c>
      <c r="B493" s="5" t="s">
        <v>461</v>
      </c>
      <c r="C493" s="5" t="s">
        <v>462</v>
      </c>
      <c r="D493" s="5" t="s">
        <v>118</v>
      </c>
      <c r="E493" s="5" t="s">
        <v>2788</v>
      </c>
      <c r="F493" s="5" t="s">
        <v>2758</v>
      </c>
      <c r="G493" s="5">
        <v>1</v>
      </c>
      <c r="H493" s="5" t="s">
        <v>2854</v>
      </c>
      <c r="I493" s="5" t="str">
        <f>IF(INDEX(Manual_Review!$R$6:$R$238,U493)="","",INDEX(Manual_Review!$R$6:$R$238,U493))</f>
        <v/>
      </c>
      <c r="J493" s="5" t="str">
        <f t="shared" si="14"/>
        <v>AI provisional</v>
      </c>
      <c r="K493" s="5" t="str">
        <f t="shared" si="15"/>
        <v>Y</v>
      </c>
      <c r="L493" s="5" t="s">
        <v>468</v>
      </c>
      <c r="M493" s="5" t="s">
        <v>3896</v>
      </c>
      <c r="N493" s="5" t="s">
        <v>3883</v>
      </c>
      <c r="O493" s="5" t="s">
        <v>3067</v>
      </c>
      <c r="P493" s="5" t="s">
        <v>2858</v>
      </c>
      <c r="Q493" s="11">
        <v>46306.5</v>
      </c>
      <c r="R493" s="6"/>
      <c r="S493" s="6"/>
      <c r="T493" s="6"/>
      <c r="U493" s="5">
        <f>MATCH(B493,Manual_Review!$A$6:$A$238,0)</f>
        <v>31</v>
      </c>
      <c r="V493" s="5" t="str">
        <f>IF(INDEX(Manual_Review!$G$6:$G$238,U493)="","",INDEX(Manual_Review!$G$6:$G$238,U493))</f>
        <v/>
      </c>
      <c r="W493" s="11" t="str">
        <f>IF(INDEX(Manual_Review!$H$6:$H$238,U493)="","",INDEX(Manual_Review!$H$6:$H$238,U493))</f>
        <v/>
      </c>
      <c r="X493" s="5" t="str">
        <f>IF(INDEX(Manual_Review!$I$6:$I$238,U493)="","",INDEX(Manual_Review!$I$6:$I$238,U493))</f>
        <v/>
      </c>
      <c r="Y493" s="5" t="s">
        <v>2859</v>
      </c>
    </row>
    <row r="494" spans="1:25" ht="25.5">
      <c r="A494" s="5" t="s">
        <v>3897</v>
      </c>
      <c r="B494" s="5" t="s">
        <v>461</v>
      </c>
      <c r="C494" s="5" t="s">
        <v>462</v>
      </c>
      <c r="D494" s="5" t="s">
        <v>118</v>
      </c>
      <c r="E494" s="5" t="s">
        <v>2789</v>
      </c>
      <c r="F494" s="5" t="s">
        <v>2758</v>
      </c>
      <c r="G494" s="5">
        <v>1</v>
      </c>
      <c r="H494" s="5" t="s">
        <v>2864</v>
      </c>
      <c r="I494" s="5" t="str">
        <f>IF(INDEX(Manual_Review!$S$6:$S$238,U494)="","",INDEX(Manual_Review!$S$6:$S$238,U494))</f>
        <v/>
      </c>
      <c r="J494" s="5" t="str">
        <f t="shared" si="14"/>
        <v>AI provisional</v>
      </c>
      <c r="K494" s="5" t="str">
        <f t="shared" si="15"/>
        <v>U</v>
      </c>
      <c r="L494" s="5" t="s">
        <v>468</v>
      </c>
      <c r="M494" s="5" t="s">
        <v>3898</v>
      </c>
      <c r="N494" s="5" t="s">
        <v>3883</v>
      </c>
      <c r="O494" s="5" t="s">
        <v>2883</v>
      </c>
      <c r="P494" s="5" t="s">
        <v>2858</v>
      </c>
      <c r="Q494" s="11">
        <v>46306.5</v>
      </c>
      <c r="R494" s="6"/>
      <c r="S494" s="6"/>
      <c r="T494" s="6"/>
      <c r="U494" s="5">
        <f>MATCH(B494,Manual_Review!$A$6:$A$238,0)</f>
        <v>31</v>
      </c>
      <c r="V494" s="5" t="str">
        <f>IF(INDEX(Manual_Review!$G$6:$G$238,U494)="","",INDEX(Manual_Review!$G$6:$G$238,U494))</f>
        <v/>
      </c>
      <c r="W494" s="11" t="str">
        <f>IF(INDEX(Manual_Review!$H$6:$H$238,U494)="","",INDEX(Manual_Review!$H$6:$H$238,U494))</f>
        <v/>
      </c>
      <c r="X494" s="5" t="str">
        <f>IF(INDEX(Manual_Review!$I$6:$I$238,U494)="","",INDEX(Manual_Review!$I$6:$I$238,U494))</f>
        <v/>
      </c>
      <c r="Y494" s="5" t="s">
        <v>2859</v>
      </c>
    </row>
    <row r="495" spans="1:25" ht="25.5">
      <c r="A495" s="5" t="s">
        <v>3899</v>
      </c>
      <c r="B495" s="5" t="s">
        <v>461</v>
      </c>
      <c r="C495" s="5" t="s">
        <v>462</v>
      </c>
      <c r="D495" s="5" t="s">
        <v>118</v>
      </c>
      <c r="E495" s="5" t="s">
        <v>2790</v>
      </c>
      <c r="F495" s="5" t="s">
        <v>2760</v>
      </c>
      <c r="G495" s="5">
        <v>1</v>
      </c>
      <c r="H495" s="5" t="s">
        <v>2854</v>
      </c>
      <c r="I495" s="5" t="str">
        <f>IF(INDEX(Manual_Review!$T$6:$T$238,U495)="","",INDEX(Manual_Review!$T$6:$T$238,U495))</f>
        <v/>
      </c>
      <c r="J495" s="5" t="str">
        <f t="shared" si="14"/>
        <v>AI provisional</v>
      </c>
      <c r="K495" s="5" t="str">
        <f t="shared" si="15"/>
        <v>Y</v>
      </c>
      <c r="L495" s="5" t="s">
        <v>468</v>
      </c>
      <c r="M495" s="5" t="s">
        <v>3900</v>
      </c>
      <c r="N495" s="5" t="s">
        <v>3883</v>
      </c>
      <c r="O495" s="5" t="s">
        <v>2976</v>
      </c>
      <c r="P495" s="5" t="s">
        <v>2858</v>
      </c>
      <c r="Q495" s="11">
        <v>46306.5</v>
      </c>
      <c r="R495" s="6"/>
      <c r="S495" s="6"/>
      <c r="T495" s="6"/>
      <c r="U495" s="5">
        <f>MATCH(B495,Manual_Review!$A$6:$A$238,0)</f>
        <v>31</v>
      </c>
      <c r="V495" s="5" t="str">
        <f>IF(INDEX(Manual_Review!$G$6:$G$238,U495)="","",INDEX(Manual_Review!$G$6:$G$238,U495))</f>
        <v/>
      </c>
      <c r="W495" s="11" t="str">
        <f>IF(INDEX(Manual_Review!$H$6:$H$238,U495)="","",INDEX(Manual_Review!$H$6:$H$238,U495))</f>
        <v/>
      </c>
      <c r="X495" s="5" t="str">
        <f>IF(INDEX(Manual_Review!$I$6:$I$238,U495)="","",INDEX(Manual_Review!$I$6:$I$238,U495))</f>
        <v/>
      </c>
      <c r="Y495" s="5" t="s">
        <v>2859</v>
      </c>
    </row>
    <row r="496" spans="1:25" ht="25.5">
      <c r="A496" s="5" t="s">
        <v>3901</v>
      </c>
      <c r="B496" s="5" t="s">
        <v>461</v>
      </c>
      <c r="C496" s="5" t="s">
        <v>462</v>
      </c>
      <c r="D496" s="5" t="s">
        <v>118</v>
      </c>
      <c r="E496" s="5" t="s">
        <v>2791</v>
      </c>
      <c r="F496" s="5" t="s">
        <v>2760</v>
      </c>
      <c r="G496" s="5">
        <v>1</v>
      </c>
      <c r="H496" s="5" t="s">
        <v>2864</v>
      </c>
      <c r="I496" s="5" t="str">
        <f>IF(INDEX(Manual_Review!$U$6:$U$238,U496)="","",INDEX(Manual_Review!$U$6:$U$238,U496))</f>
        <v/>
      </c>
      <c r="J496" s="5" t="str">
        <f t="shared" si="14"/>
        <v>AI provisional</v>
      </c>
      <c r="K496" s="5" t="str">
        <f t="shared" si="15"/>
        <v>U</v>
      </c>
      <c r="L496" s="5" t="s">
        <v>468</v>
      </c>
      <c r="M496" s="5" t="s">
        <v>3902</v>
      </c>
      <c r="N496" s="5" t="s">
        <v>3883</v>
      </c>
      <c r="O496" s="5" t="s">
        <v>2888</v>
      </c>
      <c r="P496" s="5" t="s">
        <v>2858</v>
      </c>
      <c r="Q496" s="11">
        <v>46306.5</v>
      </c>
      <c r="R496" s="6"/>
      <c r="S496" s="6"/>
      <c r="T496" s="6"/>
      <c r="U496" s="5">
        <f>MATCH(B496,Manual_Review!$A$6:$A$238,0)</f>
        <v>31</v>
      </c>
      <c r="V496" s="5" t="str">
        <f>IF(INDEX(Manual_Review!$G$6:$G$238,U496)="","",INDEX(Manual_Review!$G$6:$G$238,U496))</f>
        <v/>
      </c>
      <c r="W496" s="11" t="str">
        <f>IF(INDEX(Manual_Review!$H$6:$H$238,U496)="","",INDEX(Manual_Review!$H$6:$H$238,U496))</f>
        <v/>
      </c>
      <c r="X496" s="5" t="str">
        <f>IF(INDEX(Manual_Review!$I$6:$I$238,U496)="","",INDEX(Manual_Review!$I$6:$I$238,U496))</f>
        <v/>
      </c>
      <c r="Y496" s="5" t="s">
        <v>2859</v>
      </c>
    </row>
    <row r="497" spans="1:25" ht="25.5">
      <c r="A497" s="5" t="s">
        <v>3903</v>
      </c>
      <c r="B497" s="5" t="s">
        <v>461</v>
      </c>
      <c r="C497" s="5" t="s">
        <v>462</v>
      </c>
      <c r="D497" s="5" t="s">
        <v>118</v>
      </c>
      <c r="E497" s="5" t="s">
        <v>2792</v>
      </c>
      <c r="F497" s="5" t="s">
        <v>2762</v>
      </c>
      <c r="G497" s="5">
        <v>1</v>
      </c>
      <c r="H497" s="5" t="s">
        <v>2864</v>
      </c>
      <c r="I497" s="5" t="str">
        <f>IF(INDEX(Manual_Review!$V$6:$V$238,U497)="","",INDEX(Manual_Review!$V$6:$V$238,U497))</f>
        <v/>
      </c>
      <c r="J497" s="5" t="str">
        <f t="shared" si="14"/>
        <v>AI provisional</v>
      </c>
      <c r="K497" s="5" t="str">
        <f t="shared" si="15"/>
        <v>U</v>
      </c>
      <c r="L497" s="5" t="s">
        <v>468</v>
      </c>
      <c r="M497" s="5" t="s">
        <v>3904</v>
      </c>
      <c r="N497" s="5" t="s">
        <v>3883</v>
      </c>
      <c r="O497" s="5" t="s">
        <v>2891</v>
      </c>
      <c r="P497" s="5" t="s">
        <v>2858</v>
      </c>
      <c r="Q497" s="11">
        <v>46306.5</v>
      </c>
      <c r="R497" s="6"/>
      <c r="S497" s="6"/>
      <c r="T497" s="6"/>
      <c r="U497" s="5">
        <f>MATCH(B497,Manual_Review!$A$6:$A$238,0)</f>
        <v>31</v>
      </c>
      <c r="V497" s="5" t="str">
        <f>IF(INDEX(Manual_Review!$G$6:$G$238,U497)="","",INDEX(Manual_Review!$G$6:$G$238,U497))</f>
        <v/>
      </c>
      <c r="W497" s="11" t="str">
        <f>IF(INDEX(Manual_Review!$H$6:$H$238,U497)="","",INDEX(Manual_Review!$H$6:$H$238,U497))</f>
        <v/>
      </c>
      <c r="X497" s="5" t="str">
        <f>IF(INDEX(Manual_Review!$I$6:$I$238,U497)="","",INDEX(Manual_Review!$I$6:$I$238,U497))</f>
        <v/>
      </c>
      <c r="Y497" s="5" t="s">
        <v>2859</v>
      </c>
    </row>
    <row r="498" spans="1:25" ht="25.5">
      <c r="A498" s="5" t="s">
        <v>3905</v>
      </c>
      <c r="B498" s="5" t="s">
        <v>461</v>
      </c>
      <c r="C498" s="5" t="s">
        <v>462</v>
      </c>
      <c r="D498" s="5" t="s">
        <v>118</v>
      </c>
      <c r="E498" s="5" t="s">
        <v>2793</v>
      </c>
      <c r="F498" s="5" t="s">
        <v>2762</v>
      </c>
      <c r="G498" s="5">
        <v>1</v>
      </c>
      <c r="H498" s="5" t="s">
        <v>2864</v>
      </c>
      <c r="I498" s="5" t="str">
        <f>IF(INDEX(Manual_Review!$W$6:$W$238,U498)="","",INDEX(Manual_Review!$W$6:$W$238,U498))</f>
        <v/>
      </c>
      <c r="J498" s="5" t="str">
        <f t="shared" si="14"/>
        <v>AI provisional</v>
      </c>
      <c r="K498" s="5" t="str">
        <f t="shared" si="15"/>
        <v>U</v>
      </c>
      <c r="L498" s="5" t="s">
        <v>468</v>
      </c>
      <c r="M498" s="5" t="s">
        <v>3904</v>
      </c>
      <c r="N498" s="5" t="s">
        <v>3883</v>
      </c>
      <c r="O498" s="5" t="s">
        <v>2893</v>
      </c>
      <c r="P498" s="5" t="s">
        <v>2858</v>
      </c>
      <c r="Q498" s="11">
        <v>46306.5</v>
      </c>
      <c r="R498" s="6"/>
      <c r="S498" s="6"/>
      <c r="T498" s="6"/>
      <c r="U498" s="5">
        <f>MATCH(B498,Manual_Review!$A$6:$A$238,0)</f>
        <v>31</v>
      </c>
      <c r="V498" s="5" t="str">
        <f>IF(INDEX(Manual_Review!$G$6:$G$238,U498)="","",INDEX(Manual_Review!$G$6:$G$238,U498))</f>
        <v/>
      </c>
      <c r="W498" s="11" t="str">
        <f>IF(INDEX(Manual_Review!$H$6:$H$238,U498)="","",INDEX(Manual_Review!$H$6:$H$238,U498))</f>
        <v/>
      </c>
      <c r="X498" s="5" t="str">
        <f>IF(INDEX(Manual_Review!$I$6:$I$238,U498)="","",INDEX(Manual_Review!$I$6:$I$238,U498))</f>
        <v/>
      </c>
      <c r="Y498" s="5" t="s">
        <v>2859</v>
      </c>
    </row>
    <row r="499" spans="1:25" ht="25.5">
      <c r="A499" s="5" t="s">
        <v>3906</v>
      </c>
      <c r="B499" s="5" t="s">
        <v>461</v>
      </c>
      <c r="C499" s="5" t="s">
        <v>462</v>
      </c>
      <c r="D499" s="5" t="s">
        <v>118</v>
      </c>
      <c r="E499" s="5" t="s">
        <v>2794</v>
      </c>
      <c r="F499" s="5" t="s">
        <v>2764</v>
      </c>
      <c r="G499" s="5">
        <v>1</v>
      </c>
      <c r="H499" s="5" t="s">
        <v>2854</v>
      </c>
      <c r="I499" s="5" t="str">
        <f>IF(INDEX(Manual_Review!$X$6:$X$238,U499)="","",INDEX(Manual_Review!$X$6:$X$238,U499))</f>
        <v/>
      </c>
      <c r="J499" s="5" t="str">
        <f t="shared" si="14"/>
        <v>AI provisional</v>
      </c>
      <c r="K499" s="5" t="str">
        <f t="shared" si="15"/>
        <v>Y</v>
      </c>
      <c r="L499" s="5" t="s">
        <v>468</v>
      </c>
      <c r="M499" s="5" t="s">
        <v>3907</v>
      </c>
      <c r="N499" s="5" t="s">
        <v>3883</v>
      </c>
      <c r="O499" s="5" t="s">
        <v>2984</v>
      </c>
      <c r="P499" s="5" t="s">
        <v>2858</v>
      </c>
      <c r="Q499" s="11">
        <v>46306.5</v>
      </c>
      <c r="R499" s="6"/>
      <c r="S499" s="6"/>
      <c r="T499" s="6"/>
      <c r="U499" s="5">
        <f>MATCH(B499,Manual_Review!$A$6:$A$238,0)</f>
        <v>31</v>
      </c>
      <c r="V499" s="5" t="str">
        <f>IF(INDEX(Manual_Review!$G$6:$G$238,U499)="","",INDEX(Manual_Review!$G$6:$G$238,U499))</f>
        <v/>
      </c>
      <c r="W499" s="11" t="str">
        <f>IF(INDEX(Manual_Review!$H$6:$H$238,U499)="","",INDEX(Manual_Review!$H$6:$H$238,U499))</f>
        <v/>
      </c>
      <c r="X499" s="5" t="str">
        <f>IF(INDEX(Manual_Review!$I$6:$I$238,U499)="","",INDEX(Manual_Review!$I$6:$I$238,U499))</f>
        <v/>
      </c>
      <c r="Y499" s="5" t="s">
        <v>2859</v>
      </c>
    </row>
    <row r="500" spans="1:25" ht="25.5">
      <c r="A500" s="5" t="s">
        <v>3908</v>
      </c>
      <c r="B500" s="5" t="s">
        <v>461</v>
      </c>
      <c r="C500" s="5" t="s">
        <v>462</v>
      </c>
      <c r="D500" s="5" t="s">
        <v>118</v>
      </c>
      <c r="E500" s="5" t="s">
        <v>2795</v>
      </c>
      <c r="F500" s="5" t="s">
        <v>2764</v>
      </c>
      <c r="G500" s="5">
        <v>1</v>
      </c>
      <c r="H500" s="5" t="s">
        <v>2864</v>
      </c>
      <c r="I500" s="5" t="str">
        <f>IF(INDEX(Manual_Review!$Y$6:$Y$238,U500)="","",INDEX(Manual_Review!$Y$6:$Y$238,U500))</f>
        <v/>
      </c>
      <c r="J500" s="5" t="str">
        <f t="shared" si="14"/>
        <v>AI provisional</v>
      </c>
      <c r="K500" s="5" t="str">
        <f t="shared" si="15"/>
        <v>U</v>
      </c>
      <c r="L500" s="5" t="s">
        <v>468</v>
      </c>
      <c r="M500" s="5" t="s">
        <v>3887</v>
      </c>
      <c r="N500" s="5" t="s">
        <v>3883</v>
      </c>
      <c r="O500" s="5" t="s">
        <v>2897</v>
      </c>
      <c r="P500" s="5" t="s">
        <v>2858</v>
      </c>
      <c r="Q500" s="11">
        <v>46306.5</v>
      </c>
      <c r="R500" s="6"/>
      <c r="S500" s="6"/>
      <c r="T500" s="6"/>
      <c r="U500" s="5">
        <f>MATCH(B500,Manual_Review!$A$6:$A$238,0)</f>
        <v>31</v>
      </c>
      <c r="V500" s="5" t="str">
        <f>IF(INDEX(Manual_Review!$G$6:$G$238,U500)="","",INDEX(Manual_Review!$G$6:$G$238,U500))</f>
        <v/>
      </c>
      <c r="W500" s="11" t="str">
        <f>IF(INDEX(Manual_Review!$H$6:$H$238,U500)="","",INDEX(Manual_Review!$H$6:$H$238,U500))</f>
        <v/>
      </c>
      <c r="X500" s="5" t="str">
        <f>IF(INDEX(Manual_Review!$I$6:$I$238,U500)="","",INDEX(Manual_Review!$I$6:$I$238,U500))</f>
        <v/>
      </c>
      <c r="Y500" s="5" t="s">
        <v>2859</v>
      </c>
    </row>
    <row r="501" spans="1:25" ht="25.5">
      <c r="A501" s="5" t="s">
        <v>3909</v>
      </c>
      <c r="B501" s="5" t="s">
        <v>461</v>
      </c>
      <c r="C501" s="5" t="s">
        <v>462</v>
      </c>
      <c r="D501" s="5" t="s">
        <v>118</v>
      </c>
      <c r="E501" s="5" t="s">
        <v>2796</v>
      </c>
      <c r="F501" s="5" t="s">
        <v>2764</v>
      </c>
      <c r="G501" s="5">
        <v>1</v>
      </c>
      <c r="H501" s="5" t="s">
        <v>2864</v>
      </c>
      <c r="I501" s="5" t="str">
        <f>IF(INDEX(Manual_Review!$Z$6:$Z$238,U501)="","",INDEX(Manual_Review!$Z$6:$Z$238,U501))</f>
        <v/>
      </c>
      <c r="J501" s="5" t="str">
        <f t="shared" si="14"/>
        <v>AI provisional</v>
      </c>
      <c r="K501" s="5" t="str">
        <f t="shared" si="15"/>
        <v>U</v>
      </c>
      <c r="L501" s="5" t="s">
        <v>468</v>
      </c>
      <c r="M501" s="5" t="s">
        <v>3910</v>
      </c>
      <c r="N501" s="5" t="s">
        <v>3883</v>
      </c>
      <c r="O501" s="5" t="s">
        <v>2899</v>
      </c>
      <c r="P501" s="5" t="s">
        <v>2858</v>
      </c>
      <c r="Q501" s="11">
        <v>46306.5</v>
      </c>
      <c r="R501" s="6"/>
      <c r="S501" s="6"/>
      <c r="T501" s="6"/>
      <c r="U501" s="5">
        <f>MATCH(B501,Manual_Review!$A$6:$A$238,0)</f>
        <v>31</v>
      </c>
      <c r="V501" s="5" t="str">
        <f>IF(INDEX(Manual_Review!$G$6:$G$238,U501)="","",INDEX(Manual_Review!$G$6:$G$238,U501))</f>
        <v/>
      </c>
      <c r="W501" s="11" t="str">
        <f>IF(INDEX(Manual_Review!$H$6:$H$238,U501)="","",INDEX(Manual_Review!$H$6:$H$238,U501))</f>
        <v/>
      </c>
      <c r="X501" s="5" t="str">
        <f>IF(INDEX(Manual_Review!$I$6:$I$238,U501)="","",INDEX(Manual_Review!$I$6:$I$238,U501))</f>
        <v/>
      </c>
      <c r="Y501" s="5" t="s">
        <v>2859</v>
      </c>
    </row>
    <row r="502" spans="1:25" ht="25.5">
      <c r="A502" s="5" t="s">
        <v>3911</v>
      </c>
      <c r="B502" s="5" t="s">
        <v>470</v>
      </c>
      <c r="C502" s="5" t="s">
        <v>471</v>
      </c>
      <c r="D502" s="5" t="s">
        <v>118</v>
      </c>
      <c r="E502" s="5" t="s">
        <v>2781</v>
      </c>
      <c r="F502" s="5" t="s">
        <v>2754</v>
      </c>
      <c r="G502" s="5">
        <v>1</v>
      </c>
      <c r="H502" s="5" t="s">
        <v>2854</v>
      </c>
      <c r="I502" s="5" t="str">
        <f>IF(INDEX(Manual_Review!$K$6:$K$238,U502)="","",INDEX(Manual_Review!$K$6:$K$238,U502))</f>
        <v/>
      </c>
      <c r="J502" s="5" t="str">
        <f t="shared" si="14"/>
        <v>AI provisional</v>
      </c>
      <c r="K502" s="5" t="str">
        <f t="shared" si="15"/>
        <v>Y</v>
      </c>
      <c r="L502" s="5" t="s">
        <v>3912</v>
      </c>
      <c r="M502" s="5" t="s">
        <v>3913</v>
      </c>
      <c r="N502" s="5" t="s">
        <v>3914</v>
      </c>
      <c r="O502" s="5" t="s">
        <v>2991</v>
      </c>
      <c r="P502" s="5" t="s">
        <v>2992</v>
      </c>
      <c r="Q502" s="11">
        <v>46306.5</v>
      </c>
      <c r="R502" s="6"/>
      <c r="S502" s="6"/>
      <c r="T502" s="6"/>
      <c r="U502" s="5">
        <f>MATCH(B502,Manual_Review!$A$6:$A$238,0)</f>
        <v>32</v>
      </c>
      <c r="V502" s="5" t="str">
        <f>IF(INDEX(Manual_Review!$G$6:$G$238,U502)="","",INDEX(Manual_Review!$G$6:$G$238,U502))</f>
        <v/>
      </c>
      <c r="W502" s="11" t="str">
        <f>IF(INDEX(Manual_Review!$H$6:$H$238,U502)="","",INDEX(Manual_Review!$H$6:$H$238,U502))</f>
        <v/>
      </c>
      <c r="X502" s="5" t="str">
        <f>IF(INDEX(Manual_Review!$I$6:$I$238,U502)="","",INDEX(Manual_Review!$I$6:$I$238,U502))</f>
        <v/>
      </c>
      <c r="Y502" s="5" t="s">
        <v>2859</v>
      </c>
    </row>
    <row r="503" spans="1:25" ht="25.5">
      <c r="A503" s="5" t="s">
        <v>3915</v>
      </c>
      <c r="B503" s="5" t="s">
        <v>470</v>
      </c>
      <c r="C503" s="5" t="s">
        <v>471</v>
      </c>
      <c r="D503" s="5" t="s">
        <v>118</v>
      </c>
      <c r="E503" s="5" t="s">
        <v>2782</v>
      </c>
      <c r="F503" s="5" t="s">
        <v>2754</v>
      </c>
      <c r="G503" s="5">
        <v>1</v>
      </c>
      <c r="H503" s="5" t="s">
        <v>2864</v>
      </c>
      <c r="I503" s="5" t="str">
        <f>IF(INDEX(Manual_Review!$L$6:$L$238,U503)="","",INDEX(Manual_Review!$L$6:$L$238,U503))</f>
        <v/>
      </c>
      <c r="J503" s="5" t="str">
        <f t="shared" si="14"/>
        <v>AI provisional</v>
      </c>
      <c r="K503" s="5" t="str">
        <f t="shared" si="15"/>
        <v>U</v>
      </c>
      <c r="L503" s="5" t="s">
        <v>3912</v>
      </c>
      <c r="M503" s="5" t="s">
        <v>3916</v>
      </c>
      <c r="N503" s="5" t="s">
        <v>3917</v>
      </c>
      <c r="O503" s="5" t="s">
        <v>3918</v>
      </c>
      <c r="P503" s="5" t="s">
        <v>2992</v>
      </c>
      <c r="Q503" s="11">
        <v>46306.5</v>
      </c>
      <c r="R503" s="6"/>
      <c r="S503" s="6"/>
      <c r="T503" s="6"/>
      <c r="U503" s="5">
        <f>MATCH(B503,Manual_Review!$A$6:$A$238,0)</f>
        <v>32</v>
      </c>
      <c r="V503" s="5" t="str">
        <f>IF(INDEX(Manual_Review!$G$6:$G$238,U503)="","",INDEX(Manual_Review!$G$6:$G$238,U503))</f>
        <v/>
      </c>
      <c r="W503" s="11" t="str">
        <f>IF(INDEX(Manual_Review!$H$6:$H$238,U503)="","",INDEX(Manual_Review!$H$6:$H$238,U503))</f>
        <v/>
      </c>
      <c r="X503" s="5" t="str">
        <f>IF(INDEX(Manual_Review!$I$6:$I$238,U503)="","",INDEX(Manual_Review!$I$6:$I$238,U503))</f>
        <v/>
      </c>
      <c r="Y503" s="5" t="s">
        <v>2859</v>
      </c>
    </row>
    <row r="504" spans="1:25" ht="25.5">
      <c r="A504" s="5" t="s">
        <v>3919</v>
      </c>
      <c r="B504" s="5" t="s">
        <v>470</v>
      </c>
      <c r="C504" s="5" t="s">
        <v>471</v>
      </c>
      <c r="D504" s="5" t="s">
        <v>118</v>
      </c>
      <c r="E504" s="5" t="s">
        <v>2783</v>
      </c>
      <c r="F504" s="5" t="s">
        <v>2754</v>
      </c>
      <c r="G504" s="5">
        <v>1</v>
      </c>
      <c r="H504" s="5" t="s">
        <v>2864</v>
      </c>
      <c r="I504" s="5" t="str">
        <f>IF(INDEX(Manual_Review!$M$6:$M$238,U504)="","",INDEX(Manual_Review!$M$6:$M$238,U504))</f>
        <v/>
      </c>
      <c r="J504" s="5" t="str">
        <f t="shared" si="14"/>
        <v>AI provisional</v>
      </c>
      <c r="K504" s="5" t="str">
        <f t="shared" si="15"/>
        <v>U</v>
      </c>
      <c r="L504" s="5" t="s">
        <v>3912</v>
      </c>
      <c r="M504" s="5" t="s">
        <v>3920</v>
      </c>
      <c r="N504" s="5" t="s">
        <v>3921</v>
      </c>
      <c r="O504" s="5" t="s">
        <v>3808</v>
      </c>
      <c r="P504" s="5" t="s">
        <v>2992</v>
      </c>
      <c r="Q504" s="11">
        <v>46306.5</v>
      </c>
      <c r="R504" s="6"/>
      <c r="S504" s="6"/>
      <c r="T504" s="6"/>
      <c r="U504" s="5">
        <f>MATCH(B504,Manual_Review!$A$6:$A$238,0)</f>
        <v>32</v>
      </c>
      <c r="V504" s="5" t="str">
        <f>IF(INDEX(Manual_Review!$G$6:$G$238,U504)="","",INDEX(Manual_Review!$G$6:$G$238,U504))</f>
        <v/>
      </c>
      <c r="W504" s="11" t="str">
        <f>IF(INDEX(Manual_Review!$H$6:$H$238,U504)="","",INDEX(Manual_Review!$H$6:$H$238,U504))</f>
        <v/>
      </c>
      <c r="X504" s="5" t="str">
        <f>IF(INDEX(Manual_Review!$I$6:$I$238,U504)="","",INDEX(Manual_Review!$I$6:$I$238,U504))</f>
        <v/>
      </c>
      <c r="Y504" s="5" t="s">
        <v>2859</v>
      </c>
    </row>
    <row r="505" spans="1:25" ht="25.5">
      <c r="A505" s="5" t="s">
        <v>3922</v>
      </c>
      <c r="B505" s="5" t="s">
        <v>470</v>
      </c>
      <c r="C505" s="5" t="s">
        <v>471</v>
      </c>
      <c r="D505" s="5" t="s">
        <v>118</v>
      </c>
      <c r="E505" s="5" t="s">
        <v>2784</v>
      </c>
      <c r="F505" s="5" t="s">
        <v>2756</v>
      </c>
      <c r="G505" s="5">
        <v>1</v>
      </c>
      <c r="H505" s="5" t="s">
        <v>2854</v>
      </c>
      <c r="I505" s="5" t="str">
        <f>IF(INDEX(Manual_Review!$N$6:$N$238,U505)="","",INDEX(Manual_Review!$N$6:$N$238,U505))</f>
        <v/>
      </c>
      <c r="J505" s="5" t="str">
        <f t="shared" si="14"/>
        <v>AI provisional</v>
      </c>
      <c r="K505" s="5" t="str">
        <f t="shared" si="15"/>
        <v>Y</v>
      </c>
      <c r="L505" s="5" t="s">
        <v>3912</v>
      </c>
      <c r="M505" s="5" t="s">
        <v>3923</v>
      </c>
      <c r="N505" s="5" t="s">
        <v>3924</v>
      </c>
      <c r="O505" s="5" t="s">
        <v>3004</v>
      </c>
      <c r="P505" s="5" t="s">
        <v>2992</v>
      </c>
      <c r="Q505" s="11">
        <v>46306.5</v>
      </c>
      <c r="R505" s="6"/>
      <c r="S505" s="6"/>
      <c r="T505" s="6"/>
      <c r="U505" s="5">
        <f>MATCH(B505,Manual_Review!$A$6:$A$238,0)</f>
        <v>32</v>
      </c>
      <c r="V505" s="5" t="str">
        <f>IF(INDEX(Manual_Review!$G$6:$G$238,U505)="","",INDEX(Manual_Review!$G$6:$G$238,U505))</f>
        <v/>
      </c>
      <c r="W505" s="11" t="str">
        <f>IF(INDEX(Manual_Review!$H$6:$H$238,U505)="","",INDEX(Manual_Review!$H$6:$H$238,U505))</f>
        <v/>
      </c>
      <c r="X505" s="5" t="str">
        <f>IF(INDEX(Manual_Review!$I$6:$I$238,U505)="","",INDEX(Manual_Review!$I$6:$I$238,U505))</f>
        <v/>
      </c>
      <c r="Y505" s="5" t="s">
        <v>2859</v>
      </c>
    </row>
    <row r="506" spans="1:25" ht="25.5">
      <c r="A506" s="5" t="s">
        <v>3925</v>
      </c>
      <c r="B506" s="5" t="s">
        <v>470</v>
      </c>
      <c r="C506" s="5" t="s">
        <v>471</v>
      </c>
      <c r="D506" s="5" t="s">
        <v>118</v>
      </c>
      <c r="E506" s="5" t="s">
        <v>2785</v>
      </c>
      <c r="F506" s="5" t="s">
        <v>2756</v>
      </c>
      <c r="G506" s="5">
        <v>1</v>
      </c>
      <c r="H506" s="5" t="s">
        <v>2864</v>
      </c>
      <c r="I506" s="5" t="str">
        <f>IF(INDEX(Manual_Review!$O$6:$O$238,U506)="","",INDEX(Manual_Review!$O$6:$O$238,U506))</f>
        <v/>
      </c>
      <c r="J506" s="5" t="str">
        <f t="shared" si="14"/>
        <v>AI provisional</v>
      </c>
      <c r="K506" s="5" t="str">
        <f t="shared" si="15"/>
        <v>U</v>
      </c>
      <c r="L506" s="5" t="s">
        <v>3912</v>
      </c>
      <c r="M506" s="5" t="s">
        <v>3923</v>
      </c>
      <c r="N506" s="5" t="s">
        <v>3924</v>
      </c>
      <c r="O506" s="5" t="s">
        <v>3006</v>
      </c>
      <c r="P506" s="5" t="s">
        <v>2992</v>
      </c>
      <c r="Q506" s="11">
        <v>46306.5</v>
      </c>
      <c r="R506" s="6"/>
      <c r="S506" s="6"/>
      <c r="T506" s="6"/>
      <c r="U506" s="5">
        <f>MATCH(B506,Manual_Review!$A$6:$A$238,0)</f>
        <v>32</v>
      </c>
      <c r="V506" s="5" t="str">
        <f>IF(INDEX(Manual_Review!$G$6:$G$238,U506)="","",INDEX(Manual_Review!$G$6:$G$238,U506))</f>
        <v/>
      </c>
      <c r="W506" s="11" t="str">
        <f>IF(INDEX(Manual_Review!$H$6:$H$238,U506)="","",INDEX(Manual_Review!$H$6:$H$238,U506))</f>
        <v/>
      </c>
      <c r="X506" s="5" t="str">
        <f>IF(INDEX(Manual_Review!$I$6:$I$238,U506)="","",INDEX(Manual_Review!$I$6:$I$238,U506))</f>
        <v/>
      </c>
      <c r="Y506" s="5" t="s">
        <v>2859</v>
      </c>
    </row>
    <row r="507" spans="1:25" ht="25.5">
      <c r="A507" s="5" t="s">
        <v>3926</v>
      </c>
      <c r="B507" s="5" t="s">
        <v>470</v>
      </c>
      <c r="C507" s="5" t="s">
        <v>471</v>
      </c>
      <c r="D507" s="5" t="s">
        <v>118</v>
      </c>
      <c r="E507" s="5" t="s">
        <v>2786</v>
      </c>
      <c r="F507" s="5" t="s">
        <v>2756</v>
      </c>
      <c r="G507" s="5">
        <v>1</v>
      </c>
      <c r="H507" s="5" t="s">
        <v>2864</v>
      </c>
      <c r="I507" s="5" t="str">
        <f>IF(INDEX(Manual_Review!$P$6:$P$238,U507)="","",INDEX(Manual_Review!$P$6:$P$238,U507))</f>
        <v/>
      </c>
      <c r="J507" s="5" t="str">
        <f t="shared" si="14"/>
        <v>AI provisional</v>
      </c>
      <c r="K507" s="5" t="str">
        <f t="shared" si="15"/>
        <v>U</v>
      </c>
      <c r="L507" s="5" t="s">
        <v>3912</v>
      </c>
      <c r="M507" s="5" t="s">
        <v>3927</v>
      </c>
      <c r="N507" s="5" t="s">
        <v>3928</v>
      </c>
      <c r="O507" s="5" t="s">
        <v>3010</v>
      </c>
      <c r="P507" s="5" t="s">
        <v>2992</v>
      </c>
      <c r="Q507" s="11">
        <v>46306.5</v>
      </c>
      <c r="R507" s="6"/>
      <c r="S507" s="6"/>
      <c r="T507" s="6"/>
      <c r="U507" s="5">
        <f>MATCH(B507,Manual_Review!$A$6:$A$238,0)</f>
        <v>32</v>
      </c>
      <c r="V507" s="5" t="str">
        <f>IF(INDEX(Manual_Review!$G$6:$G$238,U507)="","",INDEX(Manual_Review!$G$6:$G$238,U507))</f>
        <v/>
      </c>
      <c r="W507" s="11" t="str">
        <f>IF(INDEX(Manual_Review!$H$6:$H$238,U507)="","",INDEX(Manual_Review!$H$6:$H$238,U507))</f>
        <v/>
      </c>
      <c r="X507" s="5" t="str">
        <f>IF(INDEX(Manual_Review!$I$6:$I$238,U507)="","",INDEX(Manual_Review!$I$6:$I$238,U507))</f>
        <v/>
      </c>
      <c r="Y507" s="5" t="s">
        <v>2859</v>
      </c>
    </row>
    <row r="508" spans="1:25" ht="25.5">
      <c r="A508" s="5" t="s">
        <v>3929</v>
      </c>
      <c r="B508" s="5" t="s">
        <v>470</v>
      </c>
      <c r="C508" s="5" t="s">
        <v>471</v>
      </c>
      <c r="D508" s="5" t="s">
        <v>118</v>
      </c>
      <c r="E508" s="5" t="s">
        <v>2787</v>
      </c>
      <c r="F508" s="5" t="s">
        <v>2758</v>
      </c>
      <c r="G508" s="5">
        <v>1</v>
      </c>
      <c r="H508" s="5" t="s">
        <v>2864</v>
      </c>
      <c r="I508" s="5" t="str">
        <f>IF(INDEX(Manual_Review!$Q$6:$Q$238,U508)="","",INDEX(Manual_Review!$Q$6:$Q$238,U508))</f>
        <v/>
      </c>
      <c r="J508" s="5" t="str">
        <f t="shared" si="14"/>
        <v>AI provisional</v>
      </c>
      <c r="K508" s="5" t="str">
        <f t="shared" si="15"/>
        <v>U</v>
      </c>
      <c r="L508" s="5" t="s">
        <v>3912</v>
      </c>
      <c r="M508" s="5" t="s">
        <v>3930</v>
      </c>
      <c r="N508" s="5" t="s">
        <v>3931</v>
      </c>
      <c r="O508" s="5" t="s">
        <v>3014</v>
      </c>
      <c r="P508" s="5" t="s">
        <v>2992</v>
      </c>
      <c r="Q508" s="11">
        <v>46306.5</v>
      </c>
      <c r="R508" s="6"/>
      <c r="S508" s="6"/>
      <c r="T508" s="6"/>
      <c r="U508" s="5">
        <f>MATCH(B508,Manual_Review!$A$6:$A$238,0)</f>
        <v>32</v>
      </c>
      <c r="V508" s="5" t="str">
        <f>IF(INDEX(Manual_Review!$G$6:$G$238,U508)="","",INDEX(Manual_Review!$G$6:$G$238,U508))</f>
        <v/>
      </c>
      <c r="W508" s="11" t="str">
        <f>IF(INDEX(Manual_Review!$H$6:$H$238,U508)="","",INDEX(Manual_Review!$H$6:$H$238,U508))</f>
        <v/>
      </c>
      <c r="X508" s="5" t="str">
        <f>IF(INDEX(Manual_Review!$I$6:$I$238,U508)="","",INDEX(Manual_Review!$I$6:$I$238,U508))</f>
        <v/>
      </c>
      <c r="Y508" s="5" t="s">
        <v>2859</v>
      </c>
    </row>
    <row r="509" spans="1:25" ht="38.25">
      <c r="A509" s="5" t="s">
        <v>3932</v>
      </c>
      <c r="B509" s="5" t="s">
        <v>470</v>
      </c>
      <c r="C509" s="5" t="s">
        <v>471</v>
      </c>
      <c r="D509" s="5" t="s">
        <v>118</v>
      </c>
      <c r="E509" s="5" t="s">
        <v>2788</v>
      </c>
      <c r="F509" s="5" t="s">
        <v>2758</v>
      </c>
      <c r="G509" s="5">
        <v>1</v>
      </c>
      <c r="H509" s="5" t="s">
        <v>2854</v>
      </c>
      <c r="I509" s="5" t="str">
        <f>IF(INDEX(Manual_Review!$R$6:$R$238,U509)="","",INDEX(Manual_Review!$R$6:$R$238,U509))</f>
        <v/>
      </c>
      <c r="J509" s="5" t="str">
        <f t="shared" si="14"/>
        <v>AI provisional</v>
      </c>
      <c r="K509" s="5" t="str">
        <f t="shared" si="15"/>
        <v>Y</v>
      </c>
      <c r="L509" s="5" t="s">
        <v>3912</v>
      </c>
      <c r="M509" s="5" t="s">
        <v>3933</v>
      </c>
      <c r="N509" s="5" t="s">
        <v>3934</v>
      </c>
      <c r="O509" s="5" t="s">
        <v>3018</v>
      </c>
      <c r="P509" s="5" t="s">
        <v>2992</v>
      </c>
      <c r="Q509" s="11">
        <v>46306.5</v>
      </c>
      <c r="R509" s="6"/>
      <c r="S509" s="6"/>
      <c r="T509" s="6"/>
      <c r="U509" s="5">
        <f>MATCH(B509,Manual_Review!$A$6:$A$238,0)</f>
        <v>32</v>
      </c>
      <c r="V509" s="5" t="str">
        <f>IF(INDEX(Manual_Review!$G$6:$G$238,U509)="","",INDEX(Manual_Review!$G$6:$G$238,U509))</f>
        <v/>
      </c>
      <c r="W509" s="11" t="str">
        <f>IF(INDEX(Manual_Review!$H$6:$H$238,U509)="","",INDEX(Manual_Review!$H$6:$H$238,U509))</f>
        <v/>
      </c>
      <c r="X509" s="5" t="str">
        <f>IF(INDEX(Manual_Review!$I$6:$I$238,U509)="","",INDEX(Manual_Review!$I$6:$I$238,U509))</f>
        <v/>
      </c>
      <c r="Y509" s="5" t="s">
        <v>2859</v>
      </c>
    </row>
    <row r="510" spans="1:25" ht="38.25">
      <c r="A510" s="5" t="s">
        <v>3935</v>
      </c>
      <c r="B510" s="5" t="s">
        <v>470</v>
      </c>
      <c r="C510" s="5" t="s">
        <v>471</v>
      </c>
      <c r="D510" s="5" t="s">
        <v>118</v>
      </c>
      <c r="E510" s="5" t="s">
        <v>2789</v>
      </c>
      <c r="F510" s="5" t="s">
        <v>2758</v>
      </c>
      <c r="G510" s="5">
        <v>1</v>
      </c>
      <c r="H510" s="5" t="s">
        <v>2854</v>
      </c>
      <c r="I510" s="5" t="str">
        <f>IF(INDEX(Manual_Review!$S$6:$S$238,U510)="","",INDEX(Manual_Review!$S$6:$S$238,U510))</f>
        <v/>
      </c>
      <c r="J510" s="5" t="str">
        <f t="shared" si="14"/>
        <v>AI provisional</v>
      </c>
      <c r="K510" s="5" t="str">
        <f t="shared" si="15"/>
        <v>Y</v>
      </c>
      <c r="L510" s="5" t="s">
        <v>3912</v>
      </c>
      <c r="M510" s="5" t="s">
        <v>3936</v>
      </c>
      <c r="N510" s="5" t="s">
        <v>3937</v>
      </c>
      <c r="O510" s="5" t="s">
        <v>3022</v>
      </c>
      <c r="P510" s="5" t="s">
        <v>2992</v>
      </c>
      <c r="Q510" s="11">
        <v>46306.5</v>
      </c>
      <c r="R510" s="6"/>
      <c r="S510" s="6"/>
      <c r="T510" s="6"/>
      <c r="U510" s="5">
        <f>MATCH(B510,Manual_Review!$A$6:$A$238,0)</f>
        <v>32</v>
      </c>
      <c r="V510" s="5" t="str">
        <f>IF(INDEX(Manual_Review!$G$6:$G$238,U510)="","",INDEX(Manual_Review!$G$6:$G$238,U510))</f>
        <v/>
      </c>
      <c r="W510" s="11" t="str">
        <f>IF(INDEX(Manual_Review!$H$6:$H$238,U510)="","",INDEX(Manual_Review!$H$6:$H$238,U510))</f>
        <v/>
      </c>
      <c r="X510" s="5" t="str">
        <f>IF(INDEX(Manual_Review!$I$6:$I$238,U510)="","",INDEX(Manual_Review!$I$6:$I$238,U510))</f>
        <v/>
      </c>
      <c r="Y510" s="5" t="s">
        <v>2859</v>
      </c>
    </row>
    <row r="511" spans="1:25" ht="25.5">
      <c r="A511" s="5" t="s">
        <v>3938</v>
      </c>
      <c r="B511" s="5" t="s">
        <v>470</v>
      </c>
      <c r="C511" s="5" t="s">
        <v>471</v>
      </c>
      <c r="D511" s="5" t="s">
        <v>118</v>
      </c>
      <c r="E511" s="5" t="s">
        <v>2790</v>
      </c>
      <c r="F511" s="5" t="s">
        <v>2760</v>
      </c>
      <c r="G511" s="5">
        <v>1</v>
      </c>
      <c r="H511" s="5" t="s">
        <v>2854</v>
      </c>
      <c r="I511" s="5" t="str">
        <f>IF(INDEX(Manual_Review!$T$6:$T$238,U511)="","",INDEX(Manual_Review!$T$6:$T$238,U511))</f>
        <v/>
      </c>
      <c r="J511" s="5" t="str">
        <f t="shared" si="14"/>
        <v>AI provisional</v>
      </c>
      <c r="K511" s="5" t="str">
        <f t="shared" si="15"/>
        <v>Y</v>
      </c>
      <c r="L511" s="5" t="s">
        <v>3912</v>
      </c>
      <c r="M511" s="5" t="s">
        <v>3939</v>
      </c>
      <c r="N511" s="5" t="s">
        <v>3940</v>
      </c>
      <c r="O511" s="5" t="s">
        <v>3451</v>
      </c>
      <c r="P511" s="5" t="s">
        <v>2992</v>
      </c>
      <c r="Q511" s="11">
        <v>46306.5</v>
      </c>
      <c r="R511" s="6"/>
      <c r="S511" s="6"/>
      <c r="T511" s="6"/>
      <c r="U511" s="5">
        <f>MATCH(B511,Manual_Review!$A$6:$A$238,0)</f>
        <v>32</v>
      </c>
      <c r="V511" s="5" t="str">
        <f>IF(INDEX(Manual_Review!$G$6:$G$238,U511)="","",INDEX(Manual_Review!$G$6:$G$238,U511))</f>
        <v/>
      </c>
      <c r="W511" s="11" t="str">
        <f>IF(INDEX(Manual_Review!$H$6:$H$238,U511)="","",INDEX(Manual_Review!$H$6:$H$238,U511))</f>
        <v/>
      </c>
      <c r="X511" s="5" t="str">
        <f>IF(INDEX(Manual_Review!$I$6:$I$238,U511)="","",INDEX(Manual_Review!$I$6:$I$238,U511))</f>
        <v/>
      </c>
      <c r="Y511" s="5" t="s">
        <v>2859</v>
      </c>
    </row>
    <row r="512" spans="1:25" ht="25.5">
      <c r="A512" s="5" t="s">
        <v>3941</v>
      </c>
      <c r="B512" s="5" t="s">
        <v>470</v>
      </c>
      <c r="C512" s="5" t="s">
        <v>471</v>
      </c>
      <c r="D512" s="5" t="s">
        <v>118</v>
      </c>
      <c r="E512" s="5" t="s">
        <v>2791</v>
      </c>
      <c r="F512" s="5" t="s">
        <v>2760</v>
      </c>
      <c r="G512" s="5">
        <v>1</v>
      </c>
      <c r="H512" s="5" t="s">
        <v>2854</v>
      </c>
      <c r="I512" s="5" t="str">
        <f>IF(INDEX(Manual_Review!$U$6:$U$238,U512)="","",INDEX(Manual_Review!$U$6:$U$238,U512))</f>
        <v/>
      </c>
      <c r="J512" s="5" t="str">
        <f t="shared" si="14"/>
        <v>AI provisional</v>
      </c>
      <c r="K512" s="5" t="str">
        <f t="shared" si="15"/>
        <v>Y</v>
      </c>
      <c r="L512" s="5" t="s">
        <v>3912</v>
      </c>
      <c r="M512" s="5" t="s">
        <v>3942</v>
      </c>
      <c r="N512" s="5" t="s">
        <v>3943</v>
      </c>
      <c r="O512" s="5" t="s">
        <v>3832</v>
      </c>
      <c r="P512" s="5" t="s">
        <v>2992</v>
      </c>
      <c r="Q512" s="11">
        <v>46306.5</v>
      </c>
      <c r="R512" s="6"/>
      <c r="S512" s="6"/>
      <c r="T512" s="6"/>
      <c r="U512" s="5">
        <f>MATCH(B512,Manual_Review!$A$6:$A$238,0)</f>
        <v>32</v>
      </c>
      <c r="V512" s="5" t="str">
        <f>IF(INDEX(Manual_Review!$G$6:$G$238,U512)="","",INDEX(Manual_Review!$G$6:$G$238,U512))</f>
        <v/>
      </c>
      <c r="W512" s="11" t="str">
        <f>IF(INDEX(Manual_Review!$H$6:$H$238,U512)="","",INDEX(Manual_Review!$H$6:$H$238,U512))</f>
        <v/>
      </c>
      <c r="X512" s="5" t="str">
        <f>IF(INDEX(Manual_Review!$I$6:$I$238,U512)="","",INDEX(Manual_Review!$I$6:$I$238,U512))</f>
        <v/>
      </c>
      <c r="Y512" s="5" t="s">
        <v>2859</v>
      </c>
    </row>
    <row r="513" spans="1:25" ht="25.5">
      <c r="A513" s="5" t="s">
        <v>3944</v>
      </c>
      <c r="B513" s="5" t="s">
        <v>470</v>
      </c>
      <c r="C513" s="5" t="s">
        <v>471</v>
      </c>
      <c r="D513" s="5" t="s">
        <v>118</v>
      </c>
      <c r="E513" s="5" t="s">
        <v>2792</v>
      </c>
      <c r="F513" s="5" t="s">
        <v>2762</v>
      </c>
      <c r="G513" s="5">
        <v>1</v>
      </c>
      <c r="H513" s="5" t="s">
        <v>2864</v>
      </c>
      <c r="I513" s="5" t="str">
        <f>IF(INDEX(Manual_Review!$V$6:$V$238,U513)="","",INDEX(Manual_Review!$V$6:$V$238,U513))</f>
        <v/>
      </c>
      <c r="J513" s="5" t="str">
        <f t="shared" si="14"/>
        <v>AI provisional</v>
      </c>
      <c r="K513" s="5" t="str">
        <f t="shared" si="15"/>
        <v>U</v>
      </c>
      <c r="L513" s="5" t="s">
        <v>3912</v>
      </c>
      <c r="M513" s="5" t="s">
        <v>3945</v>
      </c>
      <c r="N513" s="5" t="s">
        <v>3946</v>
      </c>
      <c r="O513" s="5" t="s">
        <v>3947</v>
      </c>
      <c r="P513" s="5" t="s">
        <v>2992</v>
      </c>
      <c r="Q513" s="11">
        <v>46306.5</v>
      </c>
      <c r="R513" s="6"/>
      <c r="S513" s="6"/>
      <c r="T513" s="6"/>
      <c r="U513" s="5">
        <f>MATCH(B513,Manual_Review!$A$6:$A$238,0)</f>
        <v>32</v>
      </c>
      <c r="V513" s="5" t="str">
        <f>IF(INDEX(Manual_Review!$G$6:$G$238,U513)="","",INDEX(Manual_Review!$G$6:$G$238,U513))</f>
        <v/>
      </c>
      <c r="W513" s="11" t="str">
        <f>IF(INDEX(Manual_Review!$H$6:$H$238,U513)="","",INDEX(Manual_Review!$H$6:$H$238,U513))</f>
        <v/>
      </c>
      <c r="X513" s="5" t="str">
        <f>IF(INDEX(Manual_Review!$I$6:$I$238,U513)="","",INDEX(Manual_Review!$I$6:$I$238,U513))</f>
        <v/>
      </c>
      <c r="Y513" s="5" t="s">
        <v>2859</v>
      </c>
    </row>
    <row r="514" spans="1:25" ht="38.25">
      <c r="A514" s="5" t="s">
        <v>3948</v>
      </c>
      <c r="B514" s="5" t="s">
        <v>470</v>
      </c>
      <c r="C514" s="5" t="s">
        <v>471</v>
      </c>
      <c r="D514" s="5" t="s">
        <v>118</v>
      </c>
      <c r="E514" s="5" t="s">
        <v>2793</v>
      </c>
      <c r="F514" s="5" t="s">
        <v>2762</v>
      </c>
      <c r="G514" s="5">
        <v>1</v>
      </c>
      <c r="H514" s="5" t="s">
        <v>2854</v>
      </c>
      <c r="I514" s="5" t="str">
        <f>IF(INDEX(Manual_Review!$W$6:$W$238,U514)="","",INDEX(Manual_Review!$W$6:$W$238,U514))</f>
        <v/>
      </c>
      <c r="J514" s="5" t="str">
        <f t="shared" si="14"/>
        <v>AI provisional</v>
      </c>
      <c r="K514" s="5" t="str">
        <f t="shared" si="15"/>
        <v>Y</v>
      </c>
      <c r="L514" s="5" t="s">
        <v>3912</v>
      </c>
      <c r="M514" s="5" t="s">
        <v>3949</v>
      </c>
      <c r="N514" s="5" t="s">
        <v>3950</v>
      </c>
      <c r="O514" s="5" t="s">
        <v>3038</v>
      </c>
      <c r="P514" s="5" t="s">
        <v>2992</v>
      </c>
      <c r="Q514" s="11">
        <v>46306.5</v>
      </c>
      <c r="R514" s="6"/>
      <c r="S514" s="6"/>
      <c r="T514" s="6"/>
      <c r="U514" s="5">
        <f>MATCH(B514,Manual_Review!$A$6:$A$238,0)</f>
        <v>32</v>
      </c>
      <c r="V514" s="5" t="str">
        <f>IF(INDEX(Manual_Review!$G$6:$G$238,U514)="","",INDEX(Manual_Review!$G$6:$G$238,U514))</f>
        <v/>
      </c>
      <c r="W514" s="11" t="str">
        <f>IF(INDEX(Manual_Review!$H$6:$H$238,U514)="","",INDEX(Manual_Review!$H$6:$H$238,U514))</f>
        <v/>
      </c>
      <c r="X514" s="5" t="str">
        <f>IF(INDEX(Manual_Review!$I$6:$I$238,U514)="","",INDEX(Manual_Review!$I$6:$I$238,U514))</f>
        <v/>
      </c>
      <c r="Y514" s="5" t="s">
        <v>2859</v>
      </c>
    </row>
    <row r="515" spans="1:25" ht="25.5">
      <c r="A515" s="5" t="s">
        <v>3951</v>
      </c>
      <c r="B515" s="5" t="s">
        <v>470</v>
      </c>
      <c r="C515" s="5" t="s">
        <v>471</v>
      </c>
      <c r="D515" s="5" t="s">
        <v>118</v>
      </c>
      <c r="E515" s="5" t="s">
        <v>2794</v>
      </c>
      <c r="F515" s="5" t="s">
        <v>2764</v>
      </c>
      <c r="G515" s="5">
        <v>1</v>
      </c>
      <c r="H515" s="5" t="s">
        <v>2854</v>
      </c>
      <c r="I515" s="5" t="str">
        <f>IF(INDEX(Manual_Review!$X$6:$X$238,U515)="","",INDEX(Manual_Review!$X$6:$X$238,U515))</f>
        <v/>
      </c>
      <c r="J515" s="5" t="str">
        <f t="shared" si="14"/>
        <v>AI provisional</v>
      </c>
      <c r="K515" s="5" t="str">
        <f t="shared" si="15"/>
        <v>Y</v>
      </c>
      <c r="L515" s="5" t="s">
        <v>3912</v>
      </c>
      <c r="M515" s="5" t="s">
        <v>3952</v>
      </c>
      <c r="N515" s="5" t="s">
        <v>3953</v>
      </c>
      <c r="O515" s="5" t="s">
        <v>3042</v>
      </c>
      <c r="P515" s="5" t="s">
        <v>2992</v>
      </c>
      <c r="Q515" s="11">
        <v>46306.5</v>
      </c>
      <c r="R515" s="6"/>
      <c r="S515" s="6"/>
      <c r="T515" s="6"/>
      <c r="U515" s="5">
        <f>MATCH(B515,Manual_Review!$A$6:$A$238,0)</f>
        <v>32</v>
      </c>
      <c r="V515" s="5" t="str">
        <f>IF(INDEX(Manual_Review!$G$6:$G$238,U515)="","",INDEX(Manual_Review!$G$6:$G$238,U515))</f>
        <v/>
      </c>
      <c r="W515" s="11" t="str">
        <f>IF(INDEX(Manual_Review!$H$6:$H$238,U515)="","",INDEX(Manual_Review!$H$6:$H$238,U515))</f>
        <v/>
      </c>
      <c r="X515" s="5" t="str">
        <f>IF(INDEX(Manual_Review!$I$6:$I$238,U515)="","",INDEX(Manual_Review!$I$6:$I$238,U515))</f>
        <v/>
      </c>
      <c r="Y515" s="5" t="s">
        <v>2859</v>
      </c>
    </row>
    <row r="516" spans="1:25" ht="25.5">
      <c r="A516" s="5" t="s">
        <v>3954</v>
      </c>
      <c r="B516" s="5" t="s">
        <v>470</v>
      </c>
      <c r="C516" s="5" t="s">
        <v>471</v>
      </c>
      <c r="D516" s="5" t="s">
        <v>118</v>
      </c>
      <c r="E516" s="5" t="s">
        <v>2795</v>
      </c>
      <c r="F516" s="5" t="s">
        <v>2764</v>
      </c>
      <c r="G516" s="5">
        <v>1</v>
      </c>
      <c r="H516" s="5" t="s">
        <v>2864</v>
      </c>
      <c r="I516" s="5" t="str">
        <f>IF(INDEX(Manual_Review!$Y$6:$Y$238,U516)="","",INDEX(Manual_Review!$Y$6:$Y$238,U516))</f>
        <v/>
      </c>
      <c r="J516" s="5" t="str">
        <f t="shared" si="14"/>
        <v>AI provisional</v>
      </c>
      <c r="K516" s="5" t="str">
        <f t="shared" si="15"/>
        <v>U</v>
      </c>
      <c r="L516" s="5" t="s">
        <v>3912</v>
      </c>
      <c r="M516" s="5" t="s">
        <v>3955</v>
      </c>
      <c r="N516" s="5" t="s">
        <v>3956</v>
      </c>
      <c r="O516" s="5" t="s">
        <v>3469</v>
      </c>
      <c r="P516" s="5" t="s">
        <v>2992</v>
      </c>
      <c r="Q516" s="11">
        <v>46306.5</v>
      </c>
      <c r="R516" s="6"/>
      <c r="S516" s="6"/>
      <c r="T516" s="6"/>
      <c r="U516" s="5">
        <f>MATCH(B516,Manual_Review!$A$6:$A$238,0)</f>
        <v>32</v>
      </c>
      <c r="V516" s="5" t="str">
        <f>IF(INDEX(Manual_Review!$G$6:$G$238,U516)="","",INDEX(Manual_Review!$G$6:$G$238,U516))</f>
        <v/>
      </c>
      <c r="W516" s="11" t="str">
        <f>IF(INDEX(Manual_Review!$H$6:$H$238,U516)="","",INDEX(Manual_Review!$H$6:$H$238,U516))</f>
        <v/>
      </c>
      <c r="X516" s="5" t="str">
        <f>IF(INDEX(Manual_Review!$I$6:$I$238,U516)="","",INDEX(Manual_Review!$I$6:$I$238,U516))</f>
        <v/>
      </c>
      <c r="Y516" s="5" t="s">
        <v>2859</v>
      </c>
    </row>
    <row r="517" spans="1:25" ht="38.25">
      <c r="A517" s="5" t="s">
        <v>3957</v>
      </c>
      <c r="B517" s="5" t="s">
        <v>470</v>
      </c>
      <c r="C517" s="5" t="s">
        <v>471</v>
      </c>
      <c r="D517" s="5" t="s">
        <v>118</v>
      </c>
      <c r="E517" s="5" t="s">
        <v>2796</v>
      </c>
      <c r="F517" s="5" t="s">
        <v>2764</v>
      </c>
      <c r="G517" s="5">
        <v>1</v>
      </c>
      <c r="H517" s="5" t="s">
        <v>2854</v>
      </c>
      <c r="I517" s="5" t="str">
        <f>IF(INDEX(Manual_Review!$Z$6:$Z$238,U517)="","",INDEX(Manual_Review!$Z$6:$Z$238,U517))</f>
        <v/>
      </c>
      <c r="J517" s="5" t="str">
        <f t="shared" si="14"/>
        <v>AI provisional</v>
      </c>
      <c r="K517" s="5" t="str">
        <f t="shared" si="15"/>
        <v>Y</v>
      </c>
      <c r="L517" s="5" t="s">
        <v>3912</v>
      </c>
      <c r="M517" s="5" t="s">
        <v>3958</v>
      </c>
      <c r="N517" s="5" t="s">
        <v>3959</v>
      </c>
      <c r="O517" s="5" t="s">
        <v>3960</v>
      </c>
      <c r="P517" s="5" t="s">
        <v>2992</v>
      </c>
      <c r="Q517" s="11">
        <v>46306.5</v>
      </c>
      <c r="R517" s="6"/>
      <c r="S517" s="6"/>
      <c r="T517" s="6"/>
      <c r="U517" s="5">
        <f>MATCH(B517,Manual_Review!$A$6:$A$238,0)</f>
        <v>32</v>
      </c>
      <c r="V517" s="5" t="str">
        <f>IF(INDEX(Manual_Review!$G$6:$G$238,U517)="","",INDEX(Manual_Review!$G$6:$G$238,U517))</f>
        <v/>
      </c>
      <c r="W517" s="11" t="str">
        <f>IF(INDEX(Manual_Review!$H$6:$H$238,U517)="","",INDEX(Manual_Review!$H$6:$H$238,U517))</f>
        <v/>
      </c>
      <c r="X517" s="5" t="str">
        <f>IF(INDEX(Manual_Review!$I$6:$I$238,U517)="","",INDEX(Manual_Review!$I$6:$I$238,U517))</f>
        <v/>
      </c>
      <c r="Y517" s="5" t="s">
        <v>2859</v>
      </c>
    </row>
    <row r="518" spans="1:25" ht="25.5">
      <c r="A518" s="5" t="s">
        <v>3961</v>
      </c>
      <c r="B518" s="5" t="s">
        <v>484</v>
      </c>
      <c r="C518" s="5" t="s">
        <v>485</v>
      </c>
      <c r="D518" s="5" t="s">
        <v>118</v>
      </c>
      <c r="E518" s="5" t="s">
        <v>2781</v>
      </c>
      <c r="F518" s="5" t="s">
        <v>2754</v>
      </c>
      <c r="G518" s="5">
        <v>1</v>
      </c>
      <c r="H518" s="5" t="s">
        <v>2854</v>
      </c>
      <c r="I518" s="5" t="str">
        <f>IF(INDEX(Manual_Review!$K$6:$K$238,U518)="","",INDEX(Manual_Review!$K$6:$K$238,U518))</f>
        <v/>
      </c>
      <c r="J518" s="5" t="str">
        <f t="shared" ref="J518:J581" si="16">IF(G518=0,"Not applicable",IF(I518="","AI provisional",IF(AND(OR(I518="Y",I518="N",I518="U",I518="X"),V518&lt;&gt;"",ISNUMBER(W518),W518&gt;0,X518="Confirmed",R518&lt;&gt;"",S518&lt;&gt;"",T518&lt;&gt;""),"Human valid","Evidence needed")))</f>
        <v>AI provisional</v>
      </c>
      <c r="K518" s="5" t="str">
        <f t="shared" ref="K518:K581" si="17">IF(G518=0,"N/A",IF(I518="",H518,IF(J518="Human valid",I518,"U")))</f>
        <v>Y</v>
      </c>
      <c r="L518" s="5" t="s">
        <v>492</v>
      </c>
      <c r="M518" s="5" t="s">
        <v>3962</v>
      </c>
      <c r="N518" s="5" t="s">
        <v>3963</v>
      </c>
      <c r="O518" s="5" t="s">
        <v>2857</v>
      </c>
      <c r="P518" s="5" t="s">
        <v>2858</v>
      </c>
      <c r="Q518" s="11">
        <v>46306.5</v>
      </c>
      <c r="R518" s="6"/>
      <c r="S518" s="6"/>
      <c r="T518" s="6"/>
      <c r="U518" s="5">
        <f>MATCH(B518,Manual_Review!$A$6:$A$238,0)</f>
        <v>33</v>
      </c>
      <c r="V518" s="5" t="str">
        <f>IF(INDEX(Manual_Review!$G$6:$G$238,U518)="","",INDEX(Manual_Review!$G$6:$G$238,U518))</f>
        <v/>
      </c>
      <c r="W518" s="11" t="str">
        <f>IF(INDEX(Manual_Review!$H$6:$H$238,U518)="","",INDEX(Manual_Review!$H$6:$H$238,U518))</f>
        <v/>
      </c>
      <c r="X518" s="5" t="str">
        <f>IF(INDEX(Manual_Review!$I$6:$I$238,U518)="","",INDEX(Manual_Review!$I$6:$I$238,U518))</f>
        <v/>
      </c>
      <c r="Y518" s="5" t="s">
        <v>2859</v>
      </c>
    </row>
    <row r="519" spans="1:25" ht="25.5">
      <c r="A519" s="5" t="s">
        <v>3964</v>
      </c>
      <c r="B519" s="5" t="s">
        <v>484</v>
      </c>
      <c r="C519" s="5" t="s">
        <v>485</v>
      </c>
      <c r="D519" s="5" t="s">
        <v>118</v>
      </c>
      <c r="E519" s="5" t="s">
        <v>2782</v>
      </c>
      <c r="F519" s="5" t="s">
        <v>2754</v>
      </c>
      <c r="G519" s="5">
        <v>1</v>
      </c>
      <c r="H519" s="5" t="s">
        <v>2854</v>
      </c>
      <c r="I519" s="5" t="str">
        <f>IF(INDEX(Manual_Review!$L$6:$L$238,U519)="","",INDEX(Manual_Review!$L$6:$L$238,U519))</f>
        <v/>
      </c>
      <c r="J519" s="5" t="str">
        <f t="shared" si="16"/>
        <v>AI provisional</v>
      </c>
      <c r="K519" s="5" t="str">
        <f t="shared" si="17"/>
        <v>Y</v>
      </c>
      <c r="L519" s="5" t="s">
        <v>492</v>
      </c>
      <c r="M519" s="5" t="s">
        <v>3965</v>
      </c>
      <c r="N519" s="5" t="s">
        <v>3963</v>
      </c>
      <c r="O519" s="5" t="s">
        <v>2862</v>
      </c>
      <c r="P519" s="5" t="s">
        <v>2858</v>
      </c>
      <c r="Q519" s="11">
        <v>46306.5</v>
      </c>
      <c r="R519" s="6"/>
      <c r="S519" s="6"/>
      <c r="T519" s="6"/>
      <c r="U519" s="5">
        <f>MATCH(B519,Manual_Review!$A$6:$A$238,0)</f>
        <v>33</v>
      </c>
      <c r="V519" s="5" t="str">
        <f>IF(INDEX(Manual_Review!$G$6:$G$238,U519)="","",INDEX(Manual_Review!$G$6:$G$238,U519))</f>
        <v/>
      </c>
      <c r="W519" s="11" t="str">
        <f>IF(INDEX(Manual_Review!$H$6:$H$238,U519)="","",INDEX(Manual_Review!$H$6:$H$238,U519))</f>
        <v/>
      </c>
      <c r="X519" s="5" t="str">
        <f>IF(INDEX(Manual_Review!$I$6:$I$238,U519)="","",INDEX(Manual_Review!$I$6:$I$238,U519))</f>
        <v/>
      </c>
      <c r="Y519" s="5" t="s">
        <v>2859</v>
      </c>
    </row>
    <row r="520" spans="1:25" ht="25.5">
      <c r="A520" s="5" t="s">
        <v>3966</v>
      </c>
      <c r="B520" s="5" t="s">
        <v>484</v>
      </c>
      <c r="C520" s="5" t="s">
        <v>485</v>
      </c>
      <c r="D520" s="5" t="s">
        <v>118</v>
      </c>
      <c r="E520" s="5" t="s">
        <v>2783</v>
      </c>
      <c r="F520" s="5" t="s">
        <v>2754</v>
      </c>
      <c r="G520" s="5">
        <v>1</v>
      </c>
      <c r="H520" s="5" t="s">
        <v>2864</v>
      </c>
      <c r="I520" s="5" t="str">
        <f>IF(INDEX(Manual_Review!$M$6:$M$238,U520)="","",INDEX(Manual_Review!$M$6:$M$238,U520))</f>
        <v/>
      </c>
      <c r="J520" s="5" t="str">
        <f t="shared" si="16"/>
        <v>AI provisional</v>
      </c>
      <c r="K520" s="5" t="str">
        <f t="shared" si="17"/>
        <v>U</v>
      </c>
      <c r="L520" s="5" t="s">
        <v>492</v>
      </c>
      <c r="M520" s="5" t="s">
        <v>3967</v>
      </c>
      <c r="N520" s="5" t="s">
        <v>3963</v>
      </c>
      <c r="O520" s="5" t="s">
        <v>2866</v>
      </c>
      <c r="P520" s="5" t="s">
        <v>2858</v>
      </c>
      <c r="Q520" s="11">
        <v>46306.5</v>
      </c>
      <c r="R520" s="6"/>
      <c r="S520" s="6"/>
      <c r="T520" s="6"/>
      <c r="U520" s="5">
        <f>MATCH(B520,Manual_Review!$A$6:$A$238,0)</f>
        <v>33</v>
      </c>
      <c r="V520" s="5" t="str">
        <f>IF(INDEX(Manual_Review!$G$6:$G$238,U520)="","",INDEX(Manual_Review!$G$6:$G$238,U520))</f>
        <v/>
      </c>
      <c r="W520" s="11" t="str">
        <f>IF(INDEX(Manual_Review!$H$6:$H$238,U520)="","",INDEX(Manual_Review!$H$6:$H$238,U520))</f>
        <v/>
      </c>
      <c r="X520" s="5" t="str">
        <f>IF(INDEX(Manual_Review!$I$6:$I$238,U520)="","",INDEX(Manual_Review!$I$6:$I$238,U520))</f>
        <v/>
      </c>
      <c r="Y520" s="5" t="s">
        <v>2859</v>
      </c>
    </row>
    <row r="521" spans="1:25" ht="25.5">
      <c r="A521" s="5" t="s">
        <v>3968</v>
      </c>
      <c r="B521" s="5" t="s">
        <v>484</v>
      </c>
      <c r="C521" s="5" t="s">
        <v>485</v>
      </c>
      <c r="D521" s="5" t="s">
        <v>118</v>
      </c>
      <c r="E521" s="5" t="s">
        <v>2784</v>
      </c>
      <c r="F521" s="5" t="s">
        <v>2756</v>
      </c>
      <c r="G521" s="5">
        <v>1</v>
      </c>
      <c r="H521" s="5" t="s">
        <v>2854</v>
      </c>
      <c r="I521" s="5" t="str">
        <f>IF(INDEX(Manual_Review!$N$6:$N$238,U521)="","",INDEX(Manual_Review!$N$6:$N$238,U521))</f>
        <v/>
      </c>
      <c r="J521" s="5" t="str">
        <f t="shared" si="16"/>
        <v>AI provisional</v>
      </c>
      <c r="K521" s="5" t="str">
        <f t="shared" si="17"/>
        <v>Y</v>
      </c>
      <c r="L521" s="5" t="s">
        <v>492</v>
      </c>
      <c r="M521" s="5" t="s">
        <v>3969</v>
      </c>
      <c r="N521" s="5" t="s">
        <v>3963</v>
      </c>
      <c r="O521" s="5" t="s">
        <v>2963</v>
      </c>
      <c r="P521" s="5" t="s">
        <v>2858</v>
      </c>
      <c r="Q521" s="11">
        <v>46306.5</v>
      </c>
      <c r="R521" s="6"/>
      <c r="S521" s="6"/>
      <c r="T521" s="6"/>
      <c r="U521" s="5">
        <f>MATCH(B521,Manual_Review!$A$6:$A$238,0)</f>
        <v>33</v>
      </c>
      <c r="V521" s="5" t="str">
        <f>IF(INDEX(Manual_Review!$G$6:$G$238,U521)="","",INDEX(Manual_Review!$G$6:$G$238,U521))</f>
        <v/>
      </c>
      <c r="W521" s="11" t="str">
        <f>IF(INDEX(Manual_Review!$H$6:$H$238,U521)="","",INDEX(Manual_Review!$H$6:$H$238,U521))</f>
        <v/>
      </c>
      <c r="X521" s="5" t="str">
        <f>IF(INDEX(Manual_Review!$I$6:$I$238,U521)="","",INDEX(Manual_Review!$I$6:$I$238,U521))</f>
        <v/>
      </c>
      <c r="Y521" s="5" t="s">
        <v>2859</v>
      </c>
    </row>
    <row r="522" spans="1:25" ht="25.5">
      <c r="A522" s="5" t="s">
        <v>3970</v>
      </c>
      <c r="B522" s="5" t="s">
        <v>484</v>
      </c>
      <c r="C522" s="5" t="s">
        <v>485</v>
      </c>
      <c r="D522" s="5" t="s">
        <v>118</v>
      </c>
      <c r="E522" s="5" t="s">
        <v>2785</v>
      </c>
      <c r="F522" s="5" t="s">
        <v>2756</v>
      </c>
      <c r="G522" s="5">
        <v>1</v>
      </c>
      <c r="H522" s="5" t="s">
        <v>2854</v>
      </c>
      <c r="I522" s="5" t="str">
        <f>IF(INDEX(Manual_Review!$O$6:$O$238,U522)="","",INDEX(Manual_Review!$O$6:$O$238,U522))</f>
        <v/>
      </c>
      <c r="J522" s="5" t="str">
        <f t="shared" si="16"/>
        <v>AI provisional</v>
      </c>
      <c r="K522" s="5" t="str">
        <f t="shared" si="17"/>
        <v>Y</v>
      </c>
      <c r="L522" s="5" t="s">
        <v>492</v>
      </c>
      <c r="M522" s="5" t="s">
        <v>3971</v>
      </c>
      <c r="N522" s="5" t="s">
        <v>3963</v>
      </c>
      <c r="O522" s="5" t="s">
        <v>3138</v>
      </c>
      <c r="P522" s="5" t="s">
        <v>2858</v>
      </c>
      <c r="Q522" s="11">
        <v>46306.5</v>
      </c>
      <c r="R522" s="6"/>
      <c r="S522" s="6"/>
      <c r="T522" s="6"/>
      <c r="U522" s="5">
        <f>MATCH(B522,Manual_Review!$A$6:$A$238,0)</f>
        <v>33</v>
      </c>
      <c r="V522" s="5" t="str">
        <f>IF(INDEX(Manual_Review!$G$6:$G$238,U522)="","",INDEX(Manual_Review!$G$6:$G$238,U522))</f>
        <v/>
      </c>
      <c r="W522" s="11" t="str">
        <f>IF(INDEX(Manual_Review!$H$6:$H$238,U522)="","",INDEX(Manual_Review!$H$6:$H$238,U522))</f>
        <v/>
      </c>
      <c r="X522" s="5" t="str">
        <f>IF(INDEX(Manual_Review!$I$6:$I$238,U522)="","",INDEX(Manual_Review!$I$6:$I$238,U522))</f>
        <v/>
      </c>
      <c r="Y522" s="5" t="s">
        <v>2859</v>
      </c>
    </row>
    <row r="523" spans="1:25" ht="25.5">
      <c r="A523" s="5" t="s">
        <v>3972</v>
      </c>
      <c r="B523" s="5" t="s">
        <v>484</v>
      </c>
      <c r="C523" s="5" t="s">
        <v>485</v>
      </c>
      <c r="D523" s="5" t="s">
        <v>118</v>
      </c>
      <c r="E523" s="5" t="s">
        <v>2786</v>
      </c>
      <c r="F523" s="5" t="s">
        <v>2756</v>
      </c>
      <c r="G523" s="5">
        <v>1</v>
      </c>
      <c r="H523" s="5" t="s">
        <v>2864</v>
      </c>
      <c r="I523" s="5" t="str">
        <f>IF(INDEX(Manual_Review!$P$6:$P$238,U523)="","",INDEX(Manual_Review!$P$6:$P$238,U523))</f>
        <v/>
      </c>
      <c r="J523" s="5" t="str">
        <f t="shared" si="16"/>
        <v>AI provisional</v>
      </c>
      <c r="K523" s="5" t="str">
        <f t="shared" si="17"/>
        <v>U</v>
      </c>
      <c r="L523" s="5" t="s">
        <v>492</v>
      </c>
      <c r="M523" s="5" t="s">
        <v>3973</v>
      </c>
      <c r="N523" s="5" t="s">
        <v>3963</v>
      </c>
      <c r="O523" s="5" t="s">
        <v>2874</v>
      </c>
      <c r="P523" s="5" t="s">
        <v>2858</v>
      </c>
      <c r="Q523" s="11">
        <v>46306.5</v>
      </c>
      <c r="R523" s="6"/>
      <c r="S523" s="6"/>
      <c r="T523" s="6"/>
      <c r="U523" s="5">
        <f>MATCH(B523,Manual_Review!$A$6:$A$238,0)</f>
        <v>33</v>
      </c>
      <c r="V523" s="5" t="str">
        <f>IF(INDEX(Manual_Review!$G$6:$G$238,U523)="","",INDEX(Manual_Review!$G$6:$G$238,U523))</f>
        <v/>
      </c>
      <c r="W523" s="11" t="str">
        <f>IF(INDEX(Manual_Review!$H$6:$H$238,U523)="","",INDEX(Manual_Review!$H$6:$H$238,U523))</f>
        <v/>
      </c>
      <c r="X523" s="5" t="str">
        <f>IF(INDEX(Manual_Review!$I$6:$I$238,U523)="","",INDEX(Manual_Review!$I$6:$I$238,U523))</f>
        <v/>
      </c>
      <c r="Y523" s="5" t="s">
        <v>2859</v>
      </c>
    </row>
    <row r="524" spans="1:25" ht="25.5">
      <c r="A524" s="5" t="s">
        <v>3974</v>
      </c>
      <c r="B524" s="5" t="s">
        <v>484</v>
      </c>
      <c r="C524" s="5" t="s">
        <v>485</v>
      </c>
      <c r="D524" s="5" t="s">
        <v>118</v>
      </c>
      <c r="E524" s="5" t="s">
        <v>2787</v>
      </c>
      <c r="F524" s="5" t="s">
        <v>2758</v>
      </c>
      <c r="G524" s="5">
        <v>1</v>
      </c>
      <c r="H524" s="5" t="s">
        <v>2854</v>
      </c>
      <c r="I524" s="5" t="str">
        <f>IF(INDEX(Manual_Review!$Q$6:$Q$238,U524)="","",INDEX(Manual_Review!$Q$6:$Q$238,U524))</f>
        <v/>
      </c>
      <c r="J524" s="5" t="str">
        <f t="shared" si="16"/>
        <v>AI provisional</v>
      </c>
      <c r="K524" s="5" t="str">
        <f t="shared" si="17"/>
        <v>Y</v>
      </c>
      <c r="L524" s="5" t="s">
        <v>492</v>
      </c>
      <c r="M524" s="5" t="s">
        <v>3975</v>
      </c>
      <c r="N524" s="5" t="s">
        <v>3963</v>
      </c>
      <c r="O524" s="5" t="s">
        <v>2969</v>
      </c>
      <c r="P524" s="5" t="s">
        <v>2858</v>
      </c>
      <c r="Q524" s="11">
        <v>46306.5</v>
      </c>
      <c r="R524" s="6"/>
      <c r="S524" s="6"/>
      <c r="T524" s="6"/>
      <c r="U524" s="5">
        <f>MATCH(B524,Manual_Review!$A$6:$A$238,0)</f>
        <v>33</v>
      </c>
      <c r="V524" s="5" t="str">
        <f>IF(INDEX(Manual_Review!$G$6:$G$238,U524)="","",INDEX(Manual_Review!$G$6:$G$238,U524))</f>
        <v/>
      </c>
      <c r="W524" s="11" t="str">
        <f>IF(INDEX(Manual_Review!$H$6:$H$238,U524)="","",INDEX(Manual_Review!$H$6:$H$238,U524))</f>
        <v/>
      </c>
      <c r="X524" s="5" t="str">
        <f>IF(INDEX(Manual_Review!$I$6:$I$238,U524)="","",INDEX(Manual_Review!$I$6:$I$238,U524))</f>
        <v/>
      </c>
      <c r="Y524" s="5" t="s">
        <v>2859</v>
      </c>
    </row>
    <row r="525" spans="1:25" ht="25.5">
      <c r="A525" s="5" t="s">
        <v>3976</v>
      </c>
      <c r="B525" s="5" t="s">
        <v>484</v>
      </c>
      <c r="C525" s="5" t="s">
        <v>485</v>
      </c>
      <c r="D525" s="5" t="s">
        <v>118</v>
      </c>
      <c r="E525" s="5" t="s">
        <v>2788</v>
      </c>
      <c r="F525" s="5" t="s">
        <v>2758</v>
      </c>
      <c r="G525" s="5">
        <v>1</v>
      </c>
      <c r="H525" s="5" t="s">
        <v>2854</v>
      </c>
      <c r="I525" s="5" t="str">
        <f>IF(INDEX(Manual_Review!$R$6:$R$238,U525)="","",INDEX(Manual_Review!$R$6:$R$238,U525))</f>
        <v/>
      </c>
      <c r="J525" s="5" t="str">
        <f t="shared" si="16"/>
        <v>AI provisional</v>
      </c>
      <c r="K525" s="5" t="str">
        <f t="shared" si="17"/>
        <v>Y</v>
      </c>
      <c r="L525" s="5" t="s">
        <v>492</v>
      </c>
      <c r="M525" s="5" t="s">
        <v>3977</v>
      </c>
      <c r="N525" s="5" t="s">
        <v>3963</v>
      </c>
      <c r="O525" s="5" t="s">
        <v>3067</v>
      </c>
      <c r="P525" s="5" t="s">
        <v>2858</v>
      </c>
      <c r="Q525" s="11">
        <v>46306.5</v>
      </c>
      <c r="R525" s="6"/>
      <c r="S525" s="6"/>
      <c r="T525" s="6"/>
      <c r="U525" s="5">
        <f>MATCH(B525,Manual_Review!$A$6:$A$238,0)</f>
        <v>33</v>
      </c>
      <c r="V525" s="5" t="str">
        <f>IF(INDEX(Manual_Review!$G$6:$G$238,U525)="","",INDEX(Manual_Review!$G$6:$G$238,U525))</f>
        <v/>
      </c>
      <c r="W525" s="11" t="str">
        <f>IF(INDEX(Manual_Review!$H$6:$H$238,U525)="","",INDEX(Manual_Review!$H$6:$H$238,U525))</f>
        <v/>
      </c>
      <c r="X525" s="5" t="str">
        <f>IF(INDEX(Manual_Review!$I$6:$I$238,U525)="","",INDEX(Manual_Review!$I$6:$I$238,U525))</f>
        <v/>
      </c>
      <c r="Y525" s="5" t="s">
        <v>2859</v>
      </c>
    </row>
    <row r="526" spans="1:25" ht="25.5">
      <c r="A526" s="5" t="s">
        <v>3978</v>
      </c>
      <c r="B526" s="5" t="s">
        <v>484</v>
      </c>
      <c r="C526" s="5" t="s">
        <v>485</v>
      </c>
      <c r="D526" s="5" t="s">
        <v>118</v>
      </c>
      <c r="E526" s="5" t="s">
        <v>2789</v>
      </c>
      <c r="F526" s="5" t="s">
        <v>2758</v>
      </c>
      <c r="G526" s="5">
        <v>1</v>
      </c>
      <c r="H526" s="5" t="s">
        <v>2864</v>
      </c>
      <c r="I526" s="5" t="str">
        <f>IF(INDEX(Manual_Review!$S$6:$S$238,U526)="","",INDEX(Manual_Review!$S$6:$S$238,U526))</f>
        <v/>
      </c>
      <c r="J526" s="5" t="str">
        <f t="shared" si="16"/>
        <v>AI provisional</v>
      </c>
      <c r="K526" s="5" t="str">
        <f t="shared" si="17"/>
        <v>U</v>
      </c>
      <c r="L526" s="5" t="s">
        <v>492</v>
      </c>
      <c r="M526" s="5" t="s">
        <v>3979</v>
      </c>
      <c r="N526" s="5" t="s">
        <v>3963</v>
      </c>
      <c r="O526" s="5" t="s">
        <v>2883</v>
      </c>
      <c r="P526" s="5" t="s">
        <v>2858</v>
      </c>
      <c r="Q526" s="11">
        <v>46306.5</v>
      </c>
      <c r="R526" s="6"/>
      <c r="S526" s="6"/>
      <c r="T526" s="6"/>
      <c r="U526" s="5">
        <f>MATCH(B526,Manual_Review!$A$6:$A$238,0)</f>
        <v>33</v>
      </c>
      <c r="V526" s="5" t="str">
        <f>IF(INDEX(Manual_Review!$G$6:$G$238,U526)="","",INDEX(Manual_Review!$G$6:$G$238,U526))</f>
        <v/>
      </c>
      <c r="W526" s="11" t="str">
        <f>IF(INDEX(Manual_Review!$H$6:$H$238,U526)="","",INDEX(Manual_Review!$H$6:$H$238,U526))</f>
        <v/>
      </c>
      <c r="X526" s="5" t="str">
        <f>IF(INDEX(Manual_Review!$I$6:$I$238,U526)="","",INDEX(Manual_Review!$I$6:$I$238,U526))</f>
        <v/>
      </c>
      <c r="Y526" s="5" t="s">
        <v>2859</v>
      </c>
    </row>
    <row r="527" spans="1:25" ht="25.5">
      <c r="A527" s="5" t="s">
        <v>3980</v>
      </c>
      <c r="B527" s="5" t="s">
        <v>484</v>
      </c>
      <c r="C527" s="5" t="s">
        <v>485</v>
      </c>
      <c r="D527" s="5" t="s">
        <v>118</v>
      </c>
      <c r="E527" s="5" t="s">
        <v>2790</v>
      </c>
      <c r="F527" s="5" t="s">
        <v>2760</v>
      </c>
      <c r="G527" s="5">
        <v>1</v>
      </c>
      <c r="H527" s="5" t="s">
        <v>2864</v>
      </c>
      <c r="I527" s="5" t="str">
        <f>IF(INDEX(Manual_Review!$T$6:$T$238,U527)="","",INDEX(Manual_Review!$T$6:$T$238,U527))</f>
        <v/>
      </c>
      <c r="J527" s="5" t="str">
        <f t="shared" si="16"/>
        <v>AI provisional</v>
      </c>
      <c r="K527" s="5" t="str">
        <f t="shared" si="17"/>
        <v>U</v>
      </c>
      <c r="L527" s="5" t="s">
        <v>492</v>
      </c>
      <c r="M527" s="5" t="s">
        <v>3967</v>
      </c>
      <c r="N527" s="5" t="s">
        <v>3963</v>
      </c>
      <c r="O527" s="5" t="s">
        <v>2885</v>
      </c>
      <c r="P527" s="5" t="s">
        <v>2858</v>
      </c>
      <c r="Q527" s="11">
        <v>46306.5</v>
      </c>
      <c r="R527" s="6"/>
      <c r="S527" s="6"/>
      <c r="T527" s="6"/>
      <c r="U527" s="5">
        <f>MATCH(B527,Manual_Review!$A$6:$A$238,0)</f>
        <v>33</v>
      </c>
      <c r="V527" s="5" t="str">
        <f>IF(INDEX(Manual_Review!$G$6:$G$238,U527)="","",INDEX(Manual_Review!$G$6:$G$238,U527))</f>
        <v/>
      </c>
      <c r="W527" s="11" t="str">
        <f>IF(INDEX(Manual_Review!$H$6:$H$238,U527)="","",INDEX(Manual_Review!$H$6:$H$238,U527))</f>
        <v/>
      </c>
      <c r="X527" s="5" t="str">
        <f>IF(INDEX(Manual_Review!$I$6:$I$238,U527)="","",INDEX(Manual_Review!$I$6:$I$238,U527))</f>
        <v/>
      </c>
      <c r="Y527" s="5" t="s">
        <v>2859</v>
      </c>
    </row>
    <row r="528" spans="1:25" ht="25.5">
      <c r="A528" s="5" t="s">
        <v>3981</v>
      </c>
      <c r="B528" s="5" t="s">
        <v>484</v>
      </c>
      <c r="C528" s="5" t="s">
        <v>485</v>
      </c>
      <c r="D528" s="5" t="s">
        <v>118</v>
      </c>
      <c r="E528" s="5" t="s">
        <v>2791</v>
      </c>
      <c r="F528" s="5" t="s">
        <v>2760</v>
      </c>
      <c r="G528" s="5">
        <v>1</v>
      </c>
      <c r="H528" s="5" t="s">
        <v>2864</v>
      </c>
      <c r="I528" s="5" t="str">
        <f>IF(INDEX(Manual_Review!$U$6:$U$238,U528)="","",INDEX(Manual_Review!$U$6:$U$238,U528))</f>
        <v/>
      </c>
      <c r="J528" s="5" t="str">
        <f t="shared" si="16"/>
        <v>AI provisional</v>
      </c>
      <c r="K528" s="5" t="str">
        <f t="shared" si="17"/>
        <v>U</v>
      </c>
      <c r="L528" s="5" t="s">
        <v>492</v>
      </c>
      <c r="M528" s="5" t="s">
        <v>3982</v>
      </c>
      <c r="N528" s="5" t="s">
        <v>3963</v>
      </c>
      <c r="O528" s="5" t="s">
        <v>2888</v>
      </c>
      <c r="P528" s="5" t="s">
        <v>2858</v>
      </c>
      <c r="Q528" s="11">
        <v>46306.5</v>
      </c>
      <c r="R528" s="6"/>
      <c r="S528" s="6"/>
      <c r="T528" s="6"/>
      <c r="U528" s="5">
        <f>MATCH(B528,Manual_Review!$A$6:$A$238,0)</f>
        <v>33</v>
      </c>
      <c r="V528" s="5" t="str">
        <f>IF(INDEX(Manual_Review!$G$6:$G$238,U528)="","",INDEX(Manual_Review!$G$6:$G$238,U528))</f>
        <v/>
      </c>
      <c r="W528" s="11" t="str">
        <f>IF(INDEX(Manual_Review!$H$6:$H$238,U528)="","",INDEX(Manual_Review!$H$6:$H$238,U528))</f>
        <v/>
      </c>
      <c r="X528" s="5" t="str">
        <f>IF(INDEX(Manual_Review!$I$6:$I$238,U528)="","",INDEX(Manual_Review!$I$6:$I$238,U528))</f>
        <v/>
      </c>
      <c r="Y528" s="5" t="s">
        <v>2859</v>
      </c>
    </row>
    <row r="529" spans="1:25" ht="25.5">
      <c r="A529" s="5" t="s">
        <v>3983</v>
      </c>
      <c r="B529" s="5" t="s">
        <v>484</v>
      </c>
      <c r="C529" s="5" t="s">
        <v>485</v>
      </c>
      <c r="D529" s="5" t="s">
        <v>118</v>
      </c>
      <c r="E529" s="5" t="s">
        <v>2792</v>
      </c>
      <c r="F529" s="5" t="s">
        <v>2762</v>
      </c>
      <c r="G529" s="5">
        <v>1</v>
      </c>
      <c r="H529" s="5" t="s">
        <v>2854</v>
      </c>
      <c r="I529" s="5" t="str">
        <f>IF(INDEX(Manual_Review!$V$6:$V$238,U529)="","",INDEX(Manual_Review!$V$6:$V$238,U529))</f>
        <v/>
      </c>
      <c r="J529" s="5" t="str">
        <f t="shared" si="16"/>
        <v>AI provisional</v>
      </c>
      <c r="K529" s="5" t="str">
        <f t="shared" si="17"/>
        <v>Y</v>
      </c>
      <c r="L529" s="5" t="s">
        <v>492</v>
      </c>
      <c r="M529" s="5" t="s">
        <v>3984</v>
      </c>
      <c r="N529" s="5" t="s">
        <v>3963</v>
      </c>
      <c r="O529" s="5" t="s">
        <v>3152</v>
      </c>
      <c r="P529" s="5" t="s">
        <v>2858</v>
      </c>
      <c r="Q529" s="11">
        <v>46306.5</v>
      </c>
      <c r="R529" s="6"/>
      <c r="S529" s="6"/>
      <c r="T529" s="6"/>
      <c r="U529" s="5">
        <f>MATCH(B529,Manual_Review!$A$6:$A$238,0)</f>
        <v>33</v>
      </c>
      <c r="V529" s="5" t="str">
        <f>IF(INDEX(Manual_Review!$G$6:$G$238,U529)="","",INDEX(Manual_Review!$G$6:$G$238,U529))</f>
        <v/>
      </c>
      <c r="W529" s="11" t="str">
        <f>IF(INDEX(Manual_Review!$H$6:$H$238,U529)="","",INDEX(Manual_Review!$H$6:$H$238,U529))</f>
        <v/>
      </c>
      <c r="X529" s="5" t="str">
        <f>IF(INDEX(Manual_Review!$I$6:$I$238,U529)="","",INDEX(Manual_Review!$I$6:$I$238,U529))</f>
        <v/>
      </c>
      <c r="Y529" s="5" t="s">
        <v>2859</v>
      </c>
    </row>
    <row r="530" spans="1:25" ht="25.5">
      <c r="A530" s="5" t="s">
        <v>3985</v>
      </c>
      <c r="B530" s="5" t="s">
        <v>484</v>
      </c>
      <c r="C530" s="5" t="s">
        <v>485</v>
      </c>
      <c r="D530" s="5" t="s">
        <v>118</v>
      </c>
      <c r="E530" s="5" t="s">
        <v>2793</v>
      </c>
      <c r="F530" s="5" t="s">
        <v>2762</v>
      </c>
      <c r="G530" s="5">
        <v>1</v>
      </c>
      <c r="H530" s="5" t="s">
        <v>2854</v>
      </c>
      <c r="I530" s="5" t="str">
        <f>IF(INDEX(Manual_Review!$W$6:$W$238,U530)="","",INDEX(Manual_Review!$W$6:$W$238,U530))</f>
        <v/>
      </c>
      <c r="J530" s="5" t="str">
        <f t="shared" si="16"/>
        <v>AI provisional</v>
      </c>
      <c r="K530" s="5" t="str">
        <f t="shared" si="17"/>
        <v>Y</v>
      </c>
      <c r="L530" s="5" t="s">
        <v>492</v>
      </c>
      <c r="M530" s="5" t="s">
        <v>3986</v>
      </c>
      <c r="N530" s="5" t="s">
        <v>3963</v>
      </c>
      <c r="O530" s="5" t="s">
        <v>3077</v>
      </c>
      <c r="P530" s="5" t="s">
        <v>2858</v>
      </c>
      <c r="Q530" s="11">
        <v>46306.5</v>
      </c>
      <c r="R530" s="6"/>
      <c r="S530" s="6"/>
      <c r="T530" s="6"/>
      <c r="U530" s="5">
        <f>MATCH(B530,Manual_Review!$A$6:$A$238,0)</f>
        <v>33</v>
      </c>
      <c r="V530" s="5" t="str">
        <f>IF(INDEX(Manual_Review!$G$6:$G$238,U530)="","",INDEX(Manual_Review!$G$6:$G$238,U530))</f>
        <v/>
      </c>
      <c r="W530" s="11" t="str">
        <f>IF(INDEX(Manual_Review!$H$6:$H$238,U530)="","",INDEX(Manual_Review!$H$6:$H$238,U530))</f>
        <v/>
      </c>
      <c r="X530" s="5" t="str">
        <f>IF(INDEX(Manual_Review!$I$6:$I$238,U530)="","",INDEX(Manual_Review!$I$6:$I$238,U530))</f>
        <v/>
      </c>
      <c r="Y530" s="5" t="s">
        <v>2859</v>
      </c>
    </row>
    <row r="531" spans="1:25" ht="25.5">
      <c r="A531" s="5" t="s">
        <v>3987</v>
      </c>
      <c r="B531" s="5" t="s">
        <v>484</v>
      </c>
      <c r="C531" s="5" t="s">
        <v>485</v>
      </c>
      <c r="D531" s="5" t="s">
        <v>118</v>
      </c>
      <c r="E531" s="5" t="s">
        <v>2794</v>
      </c>
      <c r="F531" s="5" t="s">
        <v>2764</v>
      </c>
      <c r="G531" s="5">
        <v>1</v>
      </c>
      <c r="H531" s="5" t="s">
        <v>2854</v>
      </c>
      <c r="I531" s="5" t="str">
        <f>IF(INDEX(Manual_Review!$X$6:$X$238,U531)="","",INDEX(Manual_Review!$X$6:$X$238,U531))</f>
        <v/>
      </c>
      <c r="J531" s="5" t="str">
        <f t="shared" si="16"/>
        <v>AI provisional</v>
      </c>
      <c r="K531" s="5" t="str">
        <f t="shared" si="17"/>
        <v>Y</v>
      </c>
      <c r="L531" s="5" t="s">
        <v>492</v>
      </c>
      <c r="M531" s="5" t="s">
        <v>3988</v>
      </c>
      <c r="N531" s="5" t="s">
        <v>3963</v>
      </c>
      <c r="O531" s="5" t="s">
        <v>2984</v>
      </c>
      <c r="P531" s="5" t="s">
        <v>2858</v>
      </c>
      <c r="Q531" s="11">
        <v>46306.5</v>
      </c>
      <c r="R531" s="6"/>
      <c r="S531" s="6"/>
      <c r="T531" s="6"/>
      <c r="U531" s="5">
        <f>MATCH(B531,Manual_Review!$A$6:$A$238,0)</f>
        <v>33</v>
      </c>
      <c r="V531" s="5" t="str">
        <f>IF(INDEX(Manual_Review!$G$6:$G$238,U531)="","",INDEX(Manual_Review!$G$6:$G$238,U531))</f>
        <v/>
      </c>
      <c r="W531" s="11" t="str">
        <f>IF(INDEX(Manual_Review!$H$6:$H$238,U531)="","",INDEX(Manual_Review!$H$6:$H$238,U531))</f>
        <v/>
      </c>
      <c r="X531" s="5" t="str">
        <f>IF(INDEX(Manual_Review!$I$6:$I$238,U531)="","",INDEX(Manual_Review!$I$6:$I$238,U531))</f>
        <v/>
      </c>
      <c r="Y531" s="5" t="s">
        <v>2859</v>
      </c>
    </row>
    <row r="532" spans="1:25" ht="25.5">
      <c r="A532" s="5" t="s">
        <v>3989</v>
      </c>
      <c r="B532" s="5" t="s">
        <v>484</v>
      </c>
      <c r="C532" s="5" t="s">
        <v>485</v>
      </c>
      <c r="D532" s="5" t="s">
        <v>118</v>
      </c>
      <c r="E532" s="5" t="s">
        <v>2795</v>
      </c>
      <c r="F532" s="5" t="s">
        <v>2764</v>
      </c>
      <c r="G532" s="5">
        <v>1</v>
      </c>
      <c r="H532" s="5" t="s">
        <v>2864</v>
      </c>
      <c r="I532" s="5" t="str">
        <f>IF(INDEX(Manual_Review!$Y$6:$Y$238,U532)="","",INDEX(Manual_Review!$Y$6:$Y$238,U532))</f>
        <v/>
      </c>
      <c r="J532" s="5" t="str">
        <f t="shared" si="16"/>
        <v>AI provisional</v>
      </c>
      <c r="K532" s="5" t="str">
        <f t="shared" si="17"/>
        <v>U</v>
      </c>
      <c r="L532" s="5" t="s">
        <v>492</v>
      </c>
      <c r="M532" s="5" t="s">
        <v>3967</v>
      </c>
      <c r="N532" s="5" t="s">
        <v>3963</v>
      </c>
      <c r="O532" s="5" t="s">
        <v>2897</v>
      </c>
      <c r="P532" s="5" t="s">
        <v>2858</v>
      </c>
      <c r="Q532" s="11">
        <v>46306.5</v>
      </c>
      <c r="R532" s="6"/>
      <c r="S532" s="6"/>
      <c r="T532" s="6"/>
      <c r="U532" s="5">
        <f>MATCH(B532,Manual_Review!$A$6:$A$238,0)</f>
        <v>33</v>
      </c>
      <c r="V532" s="5" t="str">
        <f>IF(INDEX(Manual_Review!$G$6:$G$238,U532)="","",INDEX(Manual_Review!$G$6:$G$238,U532))</f>
        <v/>
      </c>
      <c r="W532" s="11" t="str">
        <f>IF(INDEX(Manual_Review!$H$6:$H$238,U532)="","",INDEX(Manual_Review!$H$6:$H$238,U532))</f>
        <v/>
      </c>
      <c r="X532" s="5" t="str">
        <f>IF(INDEX(Manual_Review!$I$6:$I$238,U532)="","",INDEX(Manual_Review!$I$6:$I$238,U532))</f>
        <v/>
      </c>
      <c r="Y532" s="5" t="s">
        <v>2859</v>
      </c>
    </row>
    <row r="533" spans="1:25" ht="25.5">
      <c r="A533" s="5" t="s">
        <v>3990</v>
      </c>
      <c r="B533" s="5" t="s">
        <v>484</v>
      </c>
      <c r="C533" s="5" t="s">
        <v>485</v>
      </c>
      <c r="D533" s="5" t="s">
        <v>118</v>
      </c>
      <c r="E533" s="5" t="s">
        <v>2796</v>
      </c>
      <c r="F533" s="5" t="s">
        <v>2764</v>
      </c>
      <c r="G533" s="5">
        <v>1</v>
      </c>
      <c r="H533" s="5" t="s">
        <v>2864</v>
      </c>
      <c r="I533" s="5" t="str">
        <f>IF(INDEX(Manual_Review!$Z$6:$Z$238,U533)="","",INDEX(Manual_Review!$Z$6:$Z$238,U533))</f>
        <v/>
      </c>
      <c r="J533" s="5" t="str">
        <f t="shared" si="16"/>
        <v>AI provisional</v>
      </c>
      <c r="K533" s="5" t="str">
        <f t="shared" si="17"/>
        <v>U</v>
      </c>
      <c r="L533" s="5" t="s">
        <v>492</v>
      </c>
      <c r="M533" s="5" t="s">
        <v>3991</v>
      </c>
      <c r="N533" s="5" t="s">
        <v>3963</v>
      </c>
      <c r="O533" s="5" t="s">
        <v>2899</v>
      </c>
      <c r="P533" s="5" t="s">
        <v>2858</v>
      </c>
      <c r="Q533" s="11">
        <v>46306.5</v>
      </c>
      <c r="R533" s="6"/>
      <c r="S533" s="6"/>
      <c r="T533" s="6"/>
      <c r="U533" s="5">
        <f>MATCH(B533,Manual_Review!$A$6:$A$238,0)</f>
        <v>33</v>
      </c>
      <c r="V533" s="5" t="str">
        <f>IF(INDEX(Manual_Review!$G$6:$G$238,U533)="","",INDEX(Manual_Review!$G$6:$G$238,U533))</f>
        <v/>
      </c>
      <c r="W533" s="11" t="str">
        <f>IF(INDEX(Manual_Review!$H$6:$H$238,U533)="","",INDEX(Manual_Review!$H$6:$H$238,U533))</f>
        <v/>
      </c>
      <c r="X533" s="5" t="str">
        <f>IF(INDEX(Manual_Review!$I$6:$I$238,U533)="","",INDEX(Manual_Review!$I$6:$I$238,U533))</f>
        <v/>
      </c>
      <c r="Y533" s="5" t="s">
        <v>2859</v>
      </c>
    </row>
    <row r="534" spans="1:25" ht="25.5">
      <c r="A534" s="5" t="s">
        <v>3992</v>
      </c>
      <c r="B534" s="5" t="s">
        <v>494</v>
      </c>
      <c r="C534" s="5" t="s">
        <v>495</v>
      </c>
      <c r="D534" s="5" t="s">
        <v>118</v>
      </c>
      <c r="E534" s="5" t="s">
        <v>2781</v>
      </c>
      <c r="F534" s="5" t="s">
        <v>2754</v>
      </c>
      <c r="G534" s="5">
        <v>1</v>
      </c>
      <c r="H534" s="5" t="s">
        <v>2854</v>
      </c>
      <c r="I534" s="5" t="str">
        <f>IF(INDEX(Manual_Review!$K$6:$K$238,U534)="","",INDEX(Manual_Review!$K$6:$K$238,U534))</f>
        <v/>
      </c>
      <c r="J534" s="5" t="str">
        <f t="shared" si="16"/>
        <v>AI provisional</v>
      </c>
      <c r="K534" s="5" t="str">
        <f t="shared" si="17"/>
        <v>Y</v>
      </c>
      <c r="L534" s="5" t="s">
        <v>506</v>
      </c>
      <c r="M534" s="5" t="s">
        <v>3993</v>
      </c>
      <c r="N534" s="5" t="s">
        <v>3994</v>
      </c>
      <c r="O534" s="5" t="s">
        <v>2857</v>
      </c>
      <c r="P534" s="5" t="s">
        <v>2858</v>
      </c>
      <c r="Q534" s="11">
        <v>46306.5</v>
      </c>
      <c r="R534" s="6"/>
      <c r="S534" s="6"/>
      <c r="T534" s="6"/>
      <c r="U534" s="5">
        <f>MATCH(B534,Manual_Review!$A$6:$A$238,0)</f>
        <v>34</v>
      </c>
      <c r="V534" s="5" t="str">
        <f>IF(INDEX(Manual_Review!$G$6:$G$238,U534)="","",INDEX(Manual_Review!$G$6:$G$238,U534))</f>
        <v/>
      </c>
      <c r="W534" s="11" t="str">
        <f>IF(INDEX(Manual_Review!$H$6:$H$238,U534)="","",INDEX(Manual_Review!$H$6:$H$238,U534))</f>
        <v/>
      </c>
      <c r="X534" s="5" t="str">
        <f>IF(INDEX(Manual_Review!$I$6:$I$238,U534)="","",INDEX(Manual_Review!$I$6:$I$238,U534))</f>
        <v/>
      </c>
      <c r="Y534" s="5" t="s">
        <v>2859</v>
      </c>
    </row>
    <row r="535" spans="1:25" ht="25.5">
      <c r="A535" s="5" t="s">
        <v>3995</v>
      </c>
      <c r="B535" s="5" t="s">
        <v>494</v>
      </c>
      <c r="C535" s="5" t="s">
        <v>495</v>
      </c>
      <c r="D535" s="5" t="s">
        <v>118</v>
      </c>
      <c r="E535" s="5" t="s">
        <v>2782</v>
      </c>
      <c r="F535" s="5" t="s">
        <v>2754</v>
      </c>
      <c r="G535" s="5">
        <v>1</v>
      </c>
      <c r="H535" s="5" t="s">
        <v>2854</v>
      </c>
      <c r="I535" s="5" t="str">
        <f>IF(INDEX(Manual_Review!$L$6:$L$238,U535)="","",INDEX(Manual_Review!$L$6:$L$238,U535))</f>
        <v/>
      </c>
      <c r="J535" s="5" t="str">
        <f t="shared" si="16"/>
        <v>AI provisional</v>
      </c>
      <c r="K535" s="5" t="str">
        <f t="shared" si="17"/>
        <v>Y</v>
      </c>
      <c r="L535" s="5" t="s">
        <v>506</v>
      </c>
      <c r="M535" s="5" t="s">
        <v>3996</v>
      </c>
      <c r="N535" s="5" t="s">
        <v>3994</v>
      </c>
      <c r="O535" s="5" t="s">
        <v>2862</v>
      </c>
      <c r="P535" s="5" t="s">
        <v>2858</v>
      </c>
      <c r="Q535" s="11">
        <v>46306.5</v>
      </c>
      <c r="R535" s="6"/>
      <c r="S535" s="6"/>
      <c r="T535" s="6"/>
      <c r="U535" s="5">
        <f>MATCH(B535,Manual_Review!$A$6:$A$238,0)</f>
        <v>34</v>
      </c>
      <c r="V535" s="5" t="str">
        <f>IF(INDEX(Manual_Review!$G$6:$G$238,U535)="","",INDEX(Manual_Review!$G$6:$G$238,U535))</f>
        <v/>
      </c>
      <c r="W535" s="11" t="str">
        <f>IF(INDEX(Manual_Review!$H$6:$H$238,U535)="","",INDEX(Manual_Review!$H$6:$H$238,U535))</f>
        <v/>
      </c>
      <c r="X535" s="5" t="str">
        <f>IF(INDEX(Manual_Review!$I$6:$I$238,U535)="","",INDEX(Manual_Review!$I$6:$I$238,U535))</f>
        <v/>
      </c>
      <c r="Y535" s="5" t="s">
        <v>2859</v>
      </c>
    </row>
    <row r="536" spans="1:25" ht="25.5">
      <c r="A536" s="5" t="s">
        <v>3997</v>
      </c>
      <c r="B536" s="5" t="s">
        <v>494</v>
      </c>
      <c r="C536" s="5" t="s">
        <v>495</v>
      </c>
      <c r="D536" s="5" t="s">
        <v>118</v>
      </c>
      <c r="E536" s="5" t="s">
        <v>2783</v>
      </c>
      <c r="F536" s="5" t="s">
        <v>2754</v>
      </c>
      <c r="G536" s="5">
        <v>1</v>
      </c>
      <c r="H536" s="5" t="s">
        <v>2854</v>
      </c>
      <c r="I536" s="5" t="str">
        <f>IF(INDEX(Manual_Review!$M$6:$M$238,U536)="","",INDEX(Manual_Review!$M$6:$M$238,U536))</f>
        <v/>
      </c>
      <c r="J536" s="5" t="str">
        <f t="shared" si="16"/>
        <v>AI provisional</v>
      </c>
      <c r="K536" s="5" t="str">
        <f t="shared" si="17"/>
        <v>Y</v>
      </c>
      <c r="L536" s="5" t="s">
        <v>506</v>
      </c>
      <c r="M536" s="5" t="s">
        <v>3998</v>
      </c>
      <c r="N536" s="5" t="s">
        <v>3994</v>
      </c>
      <c r="O536" s="5" t="s">
        <v>3133</v>
      </c>
      <c r="P536" s="5" t="s">
        <v>2858</v>
      </c>
      <c r="Q536" s="11">
        <v>46306.5</v>
      </c>
      <c r="R536" s="6"/>
      <c r="S536" s="6"/>
      <c r="T536" s="6"/>
      <c r="U536" s="5">
        <f>MATCH(B536,Manual_Review!$A$6:$A$238,0)</f>
        <v>34</v>
      </c>
      <c r="V536" s="5" t="str">
        <f>IF(INDEX(Manual_Review!$G$6:$G$238,U536)="","",INDEX(Manual_Review!$G$6:$G$238,U536))</f>
        <v/>
      </c>
      <c r="W536" s="11" t="str">
        <f>IF(INDEX(Manual_Review!$H$6:$H$238,U536)="","",INDEX(Manual_Review!$H$6:$H$238,U536))</f>
        <v/>
      </c>
      <c r="X536" s="5" t="str">
        <f>IF(INDEX(Manual_Review!$I$6:$I$238,U536)="","",INDEX(Manual_Review!$I$6:$I$238,U536))</f>
        <v/>
      </c>
      <c r="Y536" s="5" t="s">
        <v>2859</v>
      </c>
    </row>
    <row r="537" spans="1:25" ht="25.5">
      <c r="A537" s="5" t="s">
        <v>3999</v>
      </c>
      <c r="B537" s="5" t="s">
        <v>494</v>
      </c>
      <c r="C537" s="5" t="s">
        <v>495</v>
      </c>
      <c r="D537" s="5" t="s">
        <v>118</v>
      </c>
      <c r="E537" s="5" t="s">
        <v>2784</v>
      </c>
      <c r="F537" s="5" t="s">
        <v>2756</v>
      </c>
      <c r="G537" s="5">
        <v>1</v>
      </c>
      <c r="H537" s="5" t="s">
        <v>2854</v>
      </c>
      <c r="I537" s="5" t="str">
        <f>IF(INDEX(Manual_Review!$N$6:$N$238,U537)="","",INDEX(Manual_Review!$N$6:$N$238,U537))</f>
        <v/>
      </c>
      <c r="J537" s="5" t="str">
        <f t="shared" si="16"/>
        <v>AI provisional</v>
      </c>
      <c r="K537" s="5" t="str">
        <f t="shared" si="17"/>
        <v>Y</v>
      </c>
      <c r="L537" s="5" t="s">
        <v>506</v>
      </c>
      <c r="M537" s="5" t="s">
        <v>4000</v>
      </c>
      <c r="N537" s="5" t="s">
        <v>3994</v>
      </c>
      <c r="O537" s="5" t="s">
        <v>2963</v>
      </c>
      <c r="P537" s="5" t="s">
        <v>2858</v>
      </c>
      <c r="Q537" s="11">
        <v>46306.5</v>
      </c>
      <c r="R537" s="6"/>
      <c r="S537" s="6"/>
      <c r="T537" s="6"/>
      <c r="U537" s="5">
        <f>MATCH(B537,Manual_Review!$A$6:$A$238,0)</f>
        <v>34</v>
      </c>
      <c r="V537" s="5" t="str">
        <f>IF(INDEX(Manual_Review!$G$6:$G$238,U537)="","",INDEX(Manual_Review!$G$6:$G$238,U537))</f>
        <v/>
      </c>
      <c r="W537" s="11" t="str">
        <f>IF(INDEX(Manual_Review!$H$6:$H$238,U537)="","",INDEX(Manual_Review!$H$6:$H$238,U537))</f>
        <v/>
      </c>
      <c r="X537" s="5" t="str">
        <f>IF(INDEX(Manual_Review!$I$6:$I$238,U537)="","",INDEX(Manual_Review!$I$6:$I$238,U537))</f>
        <v/>
      </c>
      <c r="Y537" s="5" t="s">
        <v>2859</v>
      </c>
    </row>
    <row r="538" spans="1:25" ht="25.5">
      <c r="A538" s="5" t="s">
        <v>4001</v>
      </c>
      <c r="B538" s="5" t="s">
        <v>494</v>
      </c>
      <c r="C538" s="5" t="s">
        <v>495</v>
      </c>
      <c r="D538" s="5" t="s">
        <v>118</v>
      </c>
      <c r="E538" s="5" t="s">
        <v>2785</v>
      </c>
      <c r="F538" s="5" t="s">
        <v>2756</v>
      </c>
      <c r="G538" s="5">
        <v>1</v>
      </c>
      <c r="H538" s="5" t="s">
        <v>2854</v>
      </c>
      <c r="I538" s="5" t="str">
        <f>IF(INDEX(Manual_Review!$O$6:$O$238,U538)="","",INDEX(Manual_Review!$O$6:$O$238,U538))</f>
        <v/>
      </c>
      <c r="J538" s="5" t="str">
        <f t="shared" si="16"/>
        <v>AI provisional</v>
      </c>
      <c r="K538" s="5" t="str">
        <f t="shared" si="17"/>
        <v>Y</v>
      </c>
      <c r="L538" s="5" t="s">
        <v>506</v>
      </c>
      <c r="M538" s="5" t="s">
        <v>4002</v>
      </c>
      <c r="N538" s="5" t="s">
        <v>3994</v>
      </c>
      <c r="O538" s="5" t="s">
        <v>3138</v>
      </c>
      <c r="P538" s="5" t="s">
        <v>2858</v>
      </c>
      <c r="Q538" s="11">
        <v>46306.5</v>
      </c>
      <c r="R538" s="6"/>
      <c r="S538" s="6"/>
      <c r="T538" s="6"/>
      <c r="U538" s="5">
        <f>MATCH(B538,Manual_Review!$A$6:$A$238,0)</f>
        <v>34</v>
      </c>
      <c r="V538" s="5" t="str">
        <f>IF(INDEX(Manual_Review!$G$6:$G$238,U538)="","",INDEX(Manual_Review!$G$6:$G$238,U538))</f>
        <v/>
      </c>
      <c r="W538" s="11" t="str">
        <f>IF(INDEX(Manual_Review!$H$6:$H$238,U538)="","",INDEX(Manual_Review!$H$6:$H$238,U538))</f>
        <v/>
      </c>
      <c r="X538" s="5" t="str">
        <f>IF(INDEX(Manual_Review!$I$6:$I$238,U538)="","",INDEX(Manual_Review!$I$6:$I$238,U538))</f>
        <v/>
      </c>
      <c r="Y538" s="5" t="s">
        <v>2859</v>
      </c>
    </row>
    <row r="539" spans="1:25" ht="25.5">
      <c r="A539" s="5" t="s">
        <v>4003</v>
      </c>
      <c r="B539" s="5" t="s">
        <v>494</v>
      </c>
      <c r="C539" s="5" t="s">
        <v>495</v>
      </c>
      <c r="D539" s="5" t="s">
        <v>118</v>
      </c>
      <c r="E539" s="5" t="s">
        <v>2786</v>
      </c>
      <c r="F539" s="5" t="s">
        <v>2756</v>
      </c>
      <c r="G539" s="5">
        <v>1</v>
      </c>
      <c r="H539" s="5" t="s">
        <v>2864</v>
      </c>
      <c r="I539" s="5" t="str">
        <f>IF(INDEX(Manual_Review!$P$6:$P$238,U539)="","",INDEX(Manual_Review!$P$6:$P$238,U539))</f>
        <v/>
      </c>
      <c r="J539" s="5" t="str">
        <f t="shared" si="16"/>
        <v>AI provisional</v>
      </c>
      <c r="K539" s="5" t="str">
        <f t="shared" si="17"/>
        <v>U</v>
      </c>
      <c r="L539" s="5" t="s">
        <v>506</v>
      </c>
      <c r="M539" s="5" t="s">
        <v>4004</v>
      </c>
      <c r="N539" s="5" t="s">
        <v>3994</v>
      </c>
      <c r="O539" s="5" t="s">
        <v>2874</v>
      </c>
      <c r="P539" s="5" t="s">
        <v>2858</v>
      </c>
      <c r="Q539" s="11">
        <v>46306.5</v>
      </c>
      <c r="R539" s="6"/>
      <c r="S539" s="6"/>
      <c r="T539" s="6"/>
      <c r="U539" s="5">
        <f>MATCH(B539,Manual_Review!$A$6:$A$238,0)</f>
        <v>34</v>
      </c>
      <c r="V539" s="5" t="str">
        <f>IF(INDEX(Manual_Review!$G$6:$G$238,U539)="","",INDEX(Manual_Review!$G$6:$G$238,U539))</f>
        <v/>
      </c>
      <c r="W539" s="11" t="str">
        <f>IF(INDEX(Manual_Review!$H$6:$H$238,U539)="","",INDEX(Manual_Review!$H$6:$H$238,U539))</f>
        <v/>
      </c>
      <c r="X539" s="5" t="str">
        <f>IF(INDEX(Manual_Review!$I$6:$I$238,U539)="","",INDEX(Manual_Review!$I$6:$I$238,U539))</f>
        <v/>
      </c>
      <c r="Y539" s="5" t="s">
        <v>2859</v>
      </c>
    </row>
    <row r="540" spans="1:25" ht="25.5">
      <c r="A540" s="5" t="s">
        <v>4005</v>
      </c>
      <c r="B540" s="5" t="s">
        <v>494</v>
      </c>
      <c r="C540" s="5" t="s">
        <v>495</v>
      </c>
      <c r="D540" s="5" t="s">
        <v>118</v>
      </c>
      <c r="E540" s="5" t="s">
        <v>2787</v>
      </c>
      <c r="F540" s="5" t="s">
        <v>2758</v>
      </c>
      <c r="G540" s="5">
        <v>1</v>
      </c>
      <c r="H540" s="5" t="s">
        <v>2864</v>
      </c>
      <c r="I540" s="5" t="str">
        <f>IF(INDEX(Manual_Review!$Q$6:$Q$238,U540)="","",INDEX(Manual_Review!$Q$6:$Q$238,U540))</f>
        <v/>
      </c>
      <c r="J540" s="5" t="str">
        <f t="shared" si="16"/>
        <v>AI provisional</v>
      </c>
      <c r="K540" s="5" t="str">
        <f t="shared" si="17"/>
        <v>U</v>
      </c>
      <c r="L540" s="5" t="s">
        <v>506</v>
      </c>
      <c r="M540" s="5" t="s">
        <v>4006</v>
      </c>
      <c r="N540" s="5" t="s">
        <v>3994</v>
      </c>
      <c r="O540" s="5" t="s">
        <v>2877</v>
      </c>
      <c r="P540" s="5" t="s">
        <v>2858</v>
      </c>
      <c r="Q540" s="11">
        <v>46306.5</v>
      </c>
      <c r="R540" s="6"/>
      <c r="S540" s="6"/>
      <c r="T540" s="6"/>
      <c r="U540" s="5">
        <f>MATCH(B540,Manual_Review!$A$6:$A$238,0)</f>
        <v>34</v>
      </c>
      <c r="V540" s="5" t="str">
        <f>IF(INDEX(Manual_Review!$G$6:$G$238,U540)="","",INDEX(Manual_Review!$G$6:$G$238,U540))</f>
        <v/>
      </c>
      <c r="W540" s="11" t="str">
        <f>IF(INDEX(Manual_Review!$H$6:$H$238,U540)="","",INDEX(Manual_Review!$H$6:$H$238,U540))</f>
        <v/>
      </c>
      <c r="X540" s="5" t="str">
        <f>IF(INDEX(Manual_Review!$I$6:$I$238,U540)="","",INDEX(Manual_Review!$I$6:$I$238,U540))</f>
        <v/>
      </c>
      <c r="Y540" s="5" t="s">
        <v>2859</v>
      </c>
    </row>
    <row r="541" spans="1:25" ht="25.5">
      <c r="A541" s="5" t="s">
        <v>4007</v>
      </c>
      <c r="B541" s="5" t="s">
        <v>494</v>
      </c>
      <c r="C541" s="5" t="s">
        <v>495</v>
      </c>
      <c r="D541" s="5" t="s">
        <v>118</v>
      </c>
      <c r="E541" s="5" t="s">
        <v>2788</v>
      </c>
      <c r="F541" s="5" t="s">
        <v>2758</v>
      </c>
      <c r="G541" s="5">
        <v>1</v>
      </c>
      <c r="H541" s="5" t="s">
        <v>2854</v>
      </c>
      <c r="I541" s="5" t="str">
        <f>IF(INDEX(Manual_Review!$R$6:$R$238,U541)="","",INDEX(Manual_Review!$R$6:$R$238,U541))</f>
        <v/>
      </c>
      <c r="J541" s="5" t="str">
        <f t="shared" si="16"/>
        <v>AI provisional</v>
      </c>
      <c r="K541" s="5" t="str">
        <f t="shared" si="17"/>
        <v>Y</v>
      </c>
      <c r="L541" s="5" t="s">
        <v>506</v>
      </c>
      <c r="M541" s="5" t="s">
        <v>4008</v>
      </c>
      <c r="N541" s="5" t="s">
        <v>3994</v>
      </c>
      <c r="O541" s="5" t="s">
        <v>3067</v>
      </c>
      <c r="P541" s="5" t="s">
        <v>2858</v>
      </c>
      <c r="Q541" s="11">
        <v>46306.5</v>
      </c>
      <c r="R541" s="6"/>
      <c r="S541" s="6"/>
      <c r="T541" s="6"/>
      <c r="U541" s="5">
        <f>MATCH(B541,Manual_Review!$A$6:$A$238,0)</f>
        <v>34</v>
      </c>
      <c r="V541" s="5" t="str">
        <f>IF(INDEX(Manual_Review!$G$6:$G$238,U541)="","",INDEX(Manual_Review!$G$6:$G$238,U541))</f>
        <v/>
      </c>
      <c r="W541" s="11" t="str">
        <f>IF(INDEX(Manual_Review!$H$6:$H$238,U541)="","",INDEX(Manual_Review!$H$6:$H$238,U541))</f>
        <v/>
      </c>
      <c r="X541" s="5" t="str">
        <f>IF(INDEX(Manual_Review!$I$6:$I$238,U541)="","",INDEX(Manual_Review!$I$6:$I$238,U541))</f>
        <v/>
      </c>
      <c r="Y541" s="5" t="s">
        <v>2859</v>
      </c>
    </row>
    <row r="542" spans="1:25" ht="25.5">
      <c r="A542" s="5" t="s">
        <v>4009</v>
      </c>
      <c r="B542" s="5" t="s">
        <v>494</v>
      </c>
      <c r="C542" s="5" t="s">
        <v>495</v>
      </c>
      <c r="D542" s="5" t="s">
        <v>118</v>
      </c>
      <c r="E542" s="5" t="s">
        <v>2789</v>
      </c>
      <c r="F542" s="5" t="s">
        <v>2758</v>
      </c>
      <c r="G542" s="5">
        <v>1</v>
      </c>
      <c r="H542" s="5" t="s">
        <v>2864</v>
      </c>
      <c r="I542" s="5" t="str">
        <f>IF(INDEX(Manual_Review!$S$6:$S$238,U542)="","",INDEX(Manual_Review!$S$6:$S$238,U542))</f>
        <v/>
      </c>
      <c r="J542" s="5" t="str">
        <f t="shared" si="16"/>
        <v>AI provisional</v>
      </c>
      <c r="K542" s="5" t="str">
        <f t="shared" si="17"/>
        <v>U</v>
      </c>
      <c r="L542" s="5" t="s">
        <v>506</v>
      </c>
      <c r="M542" s="5" t="s">
        <v>4010</v>
      </c>
      <c r="N542" s="5" t="s">
        <v>3994</v>
      </c>
      <c r="O542" s="5" t="s">
        <v>2883</v>
      </c>
      <c r="P542" s="5" t="s">
        <v>2858</v>
      </c>
      <c r="Q542" s="11">
        <v>46306.5</v>
      </c>
      <c r="R542" s="6"/>
      <c r="S542" s="6"/>
      <c r="T542" s="6"/>
      <c r="U542" s="5">
        <f>MATCH(B542,Manual_Review!$A$6:$A$238,0)</f>
        <v>34</v>
      </c>
      <c r="V542" s="5" t="str">
        <f>IF(INDEX(Manual_Review!$G$6:$G$238,U542)="","",INDEX(Manual_Review!$G$6:$G$238,U542))</f>
        <v/>
      </c>
      <c r="W542" s="11" t="str">
        <f>IF(INDEX(Manual_Review!$H$6:$H$238,U542)="","",INDEX(Manual_Review!$H$6:$H$238,U542))</f>
        <v/>
      </c>
      <c r="X542" s="5" t="str">
        <f>IF(INDEX(Manual_Review!$I$6:$I$238,U542)="","",INDEX(Manual_Review!$I$6:$I$238,U542))</f>
        <v/>
      </c>
      <c r="Y542" s="5" t="s">
        <v>2859</v>
      </c>
    </row>
    <row r="543" spans="1:25" ht="25.5">
      <c r="A543" s="5" t="s">
        <v>4011</v>
      </c>
      <c r="B543" s="5" t="s">
        <v>494</v>
      </c>
      <c r="C543" s="5" t="s">
        <v>495</v>
      </c>
      <c r="D543" s="5" t="s">
        <v>118</v>
      </c>
      <c r="E543" s="5" t="s">
        <v>2790</v>
      </c>
      <c r="F543" s="5" t="s">
        <v>2760</v>
      </c>
      <c r="G543" s="5">
        <v>1</v>
      </c>
      <c r="H543" s="5" t="s">
        <v>2854</v>
      </c>
      <c r="I543" s="5" t="str">
        <f>IF(INDEX(Manual_Review!$T$6:$T$238,U543)="","",INDEX(Manual_Review!$T$6:$T$238,U543))</f>
        <v/>
      </c>
      <c r="J543" s="5" t="str">
        <f t="shared" si="16"/>
        <v>AI provisional</v>
      </c>
      <c r="K543" s="5" t="str">
        <f t="shared" si="17"/>
        <v>Y</v>
      </c>
      <c r="L543" s="5" t="s">
        <v>506</v>
      </c>
      <c r="M543" s="5" t="s">
        <v>4012</v>
      </c>
      <c r="N543" s="5" t="s">
        <v>3994</v>
      </c>
      <c r="O543" s="5" t="s">
        <v>2976</v>
      </c>
      <c r="P543" s="5" t="s">
        <v>2858</v>
      </c>
      <c r="Q543" s="11">
        <v>46306.5</v>
      </c>
      <c r="R543" s="6"/>
      <c r="S543" s="6"/>
      <c r="T543" s="6"/>
      <c r="U543" s="5">
        <f>MATCH(B543,Manual_Review!$A$6:$A$238,0)</f>
        <v>34</v>
      </c>
      <c r="V543" s="5" t="str">
        <f>IF(INDEX(Manual_Review!$G$6:$G$238,U543)="","",INDEX(Manual_Review!$G$6:$G$238,U543))</f>
        <v/>
      </c>
      <c r="W543" s="11" t="str">
        <f>IF(INDEX(Manual_Review!$H$6:$H$238,U543)="","",INDEX(Manual_Review!$H$6:$H$238,U543))</f>
        <v/>
      </c>
      <c r="X543" s="5" t="str">
        <f>IF(INDEX(Manual_Review!$I$6:$I$238,U543)="","",INDEX(Manual_Review!$I$6:$I$238,U543))</f>
        <v/>
      </c>
      <c r="Y543" s="5" t="s">
        <v>2859</v>
      </c>
    </row>
    <row r="544" spans="1:25" ht="25.5">
      <c r="A544" s="5" t="s">
        <v>4013</v>
      </c>
      <c r="B544" s="5" t="s">
        <v>494</v>
      </c>
      <c r="C544" s="5" t="s">
        <v>495</v>
      </c>
      <c r="D544" s="5" t="s">
        <v>118</v>
      </c>
      <c r="E544" s="5" t="s">
        <v>2791</v>
      </c>
      <c r="F544" s="5" t="s">
        <v>2760</v>
      </c>
      <c r="G544" s="5">
        <v>1</v>
      </c>
      <c r="H544" s="5" t="s">
        <v>2864</v>
      </c>
      <c r="I544" s="5" t="str">
        <f>IF(INDEX(Manual_Review!$U$6:$U$238,U544)="","",INDEX(Manual_Review!$U$6:$U$238,U544))</f>
        <v/>
      </c>
      <c r="J544" s="5" t="str">
        <f t="shared" si="16"/>
        <v>AI provisional</v>
      </c>
      <c r="K544" s="5" t="str">
        <f t="shared" si="17"/>
        <v>U</v>
      </c>
      <c r="L544" s="5" t="s">
        <v>506</v>
      </c>
      <c r="M544" s="5" t="s">
        <v>4014</v>
      </c>
      <c r="N544" s="5" t="s">
        <v>3994</v>
      </c>
      <c r="O544" s="5" t="s">
        <v>2888</v>
      </c>
      <c r="P544" s="5" t="s">
        <v>2858</v>
      </c>
      <c r="Q544" s="11">
        <v>46306.5</v>
      </c>
      <c r="R544" s="6"/>
      <c r="S544" s="6"/>
      <c r="T544" s="6"/>
      <c r="U544" s="5">
        <f>MATCH(B544,Manual_Review!$A$6:$A$238,0)</f>
        <v>34</v>
      </c>
      <c r="V544" s="5" t="str">
        <f>IF(INDEX(Manual_Review!$G$6:$G$238,U544)="","",INDEX(Manual_Review!$G$6:$G$238,U544))</f>
        <v/>
      </c>
      <c r="W544" s="11" t="str">
        <f>IF(INDEX(Manual_Review!$H$6:$H$238,U544)="","",INDEX(Manual_Review!$H$6:$H$238,U544))</f>
        <v/>
      </c>
      <c r="X544" s="5" t="str">
        <f>IF(INDEX(Manual_Review!$I$6:$I$238,U544)="","",INDEX(Manual_Review!$I$6:$I$238,U544))</f>
        <v/>
      </c>
      <c r="Y544" s="5" t="s">
        <v>2859</v>
      </c>
    </row>
    <row r="545" spans="1:25" ht="25.5">
      <c r="A545" s="5" t="s">
        <v>4015</v>
      </c>
      <c r="B545" s="5" t="s">
        <v>494</v>
      </c>
      <c r="C545" s="5" t="s">
        <v>495</v>
      </c>
      <c r="D545" s="5" t="s">
        <v>118</v>
      </c>
      <c r="E545" s="5" t="s">
        <v>2792</v>
      </c>
      <c r="F545" s="5" t="s">
        <v>2762</v>
      </c>
      <c r="G545" s="5">
        <v>1</v>
      </c>
      <c r="H545" s="5" t="s">
        <v>2854</v>
      </c>
      <c r="I545" s="5" t="str">
        <f>IF(INDEX(Manual_Review!$V$6:$V$238,U545)="","",INDEX(Manual_Review!$V$6:$V$238,U545))</f>
        <v/>
      </c>
      <c r="J545" s="5" t="str">
        <f t="shared" si="16"/>
        <v>AI provisional</v>
      </c>
      <c r="K545" s="5" t="str">
        <f t="shared" si="17"/>
        <v>Y</v>
      </c>
      <c r="L545" s="5" t="s">
        <v>506</v>
      </c>
      <c r="M545" s="5" t="s">
        <v>4016</v>
      </c>
      <c r="N545" s="5" t="s">
        <v>3994</v>
      </c>
      <c r="O545" s="5" t="s">
        <v>3152</v>
      </c>
      <c r="P545" s="5" t="s">
        <v>2858</v>
      </c>
      <c r="Q545" s="11">
        <v>46306.5</v>
      </c>
      <c r="R545" s="6"/>
      <c r="S545" s="6"/>
      <c r="T545" s="6"/>
      <c r="U545" s="5">
        <f>MATCH(B545,Manual_Review!$A$6:$A$238,0)</f>
        <v>34</v>
      </c>
      <c r="V545" s="5" t="str">
        <f>IF(INDEX(Manual_Review!$G$6:$G$238,U545)="","",INDEX(Manual_Review!$G$6:$G$238,U545))</f>
        <v/>
      </c>
      <c r="W545" s="11" t="str">
        <f>IF(INDEX(Manual_Review!$H$6:$H$238,U545)="","",INDEX(Manual_Review!$H$6:$H$238,U545))</f>
        <v/>
      </c>
      <c r="X545" s="5" t="str">
        <f>IF(INDEX(Manual_Review!$I$6:$I$238,U545)="","",INDEX(Manual_Review!$I$6:$I$238,U545))</f>
        <v/>
      </c>
      <c r="Y545" s="5" t="s">
        <v>2859</v>
      </c>
    </row>
    <row r="546" spans="1:25" ht="25.5">
      <c r="A546" s="5" t="s">
        <v>4017</v>
      </c>
      <c r="B546" s="5" t="s">
        <v>494</v>
      </c>
      <c r="C546" s="5" t="s">
        <v>495</v>
      </c>
      <c r="D546" s="5" t="s">
        <v>118</v>
      </c>
      <c r="E546" s="5" t="s">
        <v>2793</v>
      </c>
      <c r="F546" s="5" t="s">
        <v>2762</v>
      </c>
      <c r="G546" s="5">
        <v>1</v>
      </c>
      <c r="H546" s="5" t="s">
        <v>2854</v>
      </c>
      <c r="I546" s="5" t="str">
        <f>IF(INDEX(Manual_Review!$W$6:$W$238,U546)="","",INDEX(Manual_Review!$W$6:$W$238,U546))</f>
        <v/>
      </c>
      <c r="J546" s="5" t="str">
        <f t="shared" si="16"/>
        <v>AI provisional</v>
      </c>
      <c r="K546" s="5" t="str">
        <f t="shared" si="17"/>
        <v>Y</v>
      </c>
      <c r="L546" s="5" t="s">
        <v>506</v>
      </c>
      <c r="M546" s="5" t="s">
        <v>4018</v>
      </c>
      <c r="N546" s="5" t="s">
        <v>3994</v>
      </c>
      <c r="O546" s="5" t="s">
        <v>3077</v>
      </c>
      <c r="P546" s="5" t="s">
        <v>2858</v>
      </c>
      <c r="Q546" s="11">
        <v>46306.5</v>
      </c>
      <c r="R546" s="6"/>
      <c r="S546" s="6"/>
      <c r="T546" s="6"/>
      <c r="U546" s="5">
        <f>MATCH(B546,Manual_Review!$A$6:$A$238,0)</f>
        <v>34</v>
      </c>
      <c r="V546" s="5" t="str">
        <f>IF(INDEX(Manual_Review!$G$6:$G$238,U546)="","",INDEX(Manual_Review!$G$6:$G$238,U546))</f>
        <v/>
      </c>
      <c r="W546" s="11" t="str">
        <f>IF(INDEX(Manual_Review!$H$6:$H$238,U546)="","",INDEX(Manual_Review!$H$6:$H$238,U546))</f>
        <v/>
      </c>
      <c r="X546" s="5" t="str">
        <f>IF(INDEX(Manual_Review!$I$6:$I$238,U546)="","",INDEX(Manual_Review!$I$6:$I$238,U546))</f>
        <v/>
      </c>
      <c r="Y546" s="5" t="s">
        <v>2859</v>
      </c>
    </row>
    <row r="547" spans="1:25" ht="25.5">
      <c r="A547" s="5" t="s">
        <v>4019</v>
      </c>
      <c r="B547" s="5" t="s">
        <v>494</v>
      </c>
      <c r="C547" s="5" t="s">
        <v>495</v>
      </c>
      <c r="D547" s="5" t="s">
        <v>118</v>
      </c>
      <c r="E547" s="5" t="s">
        <v>2794</v>
      </c>
      <c r="F547" s="5" t="s">
        <v>2764</v>
      </c>
      <c r="G547" s="5">
        <v>1</v>
      </c>
      <c r="H547" s="5" t="s">
        <v>2854</v>
      </c>
      <c r="I547" s="5" t="str">
        <f>IF(INDEX(Manual_Review!$X$6:$X$238,U547)="","",INDEX(Manual_Review!$X$6:$X$238,U547))</f>
        <v/>
      </c>
      <c r="J547" s="5" t="str">
        <f t="shared" si="16"/>
        <v>AI provisional</v>
      </c>
      <c r="K547" s="5" t="str">
        <f t="shared" si="17"/>
        <v>Y</v>
      </c>
      <c r="L547" s="5" t="s">
        <v>506</v>
      </c>
      <c r="M547" s="5" t="s">
        <v>4020</v>
      </c>
      <c r="N547" s="5" t="s">
        <v>3994</v>
      </c>
      <c r="O547" s="5" t="s">
        <v>2984</v>
      </c>
      <c r="P547" s="5" t="s">
        <v>2858</v>
      </c>
      <c r="Q547" s="11">
        <v>46306.5</v>
      </c>
      <c r="R547" s="6"/>
      <c r="S547" s="6"/>
      <c r="T547" s="6"/>
      <c r="U547" s="5">
        <f>MATCH(B547,Manual_Review!$A$6:$A$238,0)</f>
        <v>34</v>
      </c>
      <c r="V547" s="5" t="str">
        <f>IF(INDEX(Manual_Review!$G$6:$G$238,U547)="","",INDEX(Manual_Review!$G$6:$G$238,U547))</f>
        <v/>
      </c>
      <c r="W547" s="11" t="str">
        <f>IF(INDEX(Manual_Review!$H$6:$H$238,U547)="","",INDEX(Manual_Review!$H$6:$H$238,U547))</f>
        <v/>
      </c>
      <c r="X547" s="5" t="str">
        <f>IF(INDEX(Manual_Review!$I$6:$I$238,U547)="","",INDEX(Manual_Review!$I$6:$I$238,U547))</f>
        <v/>
      </c>
      <c r="Y547" s="5" t="s">
        <v>2859</v>
      </c>
    </row>
    <row r="548" spans="1:25" ht="25.5">
      <c r="A548" s="5" t="s">
        <v>4021</v>
      </c>
      <c r="B548" s="5" t="s">
        <v>494</v>
      </c>
      <c r="C548" s="5" t="s">
        <v>495</v>
      </c>
      <c r="D548" s="5" t="s">
        <v>118</v>
      </c>
      <c r="E548" s="5" t="s">
        <v>2795</v>
      </c>
      <c r="F548" s="5" t="s">
        <v>2764</v>
      </c>
      <c r="G548" s="5">
        <v>1</v>
      </c>
      <c r="H548" s="5" t="s">
        <v>2864</v>
      </c>
      <c r="I548" s="5" t="str">
        <f>IF(INDEX(Manual_Review!$Y$6:$Y$238,U548)="","",INDEX(Manual_Review!$Y$6:$Y$238,U548))</f>
        <v/>
      </c>
      <c r="J548" s="5" t="str">
        <f t="shared" si="16"/>
        <v>AI provisional</v>
      </c>
      <c r="K548" s="5" t="str">
        <f t="shared" si="17"/>
        <v>U</v>
      </c>
      <c r="L548" s="5" t="s">
        <v>506</v>
      </c>
      <c r="M548" s="5" t="s">
        <v>4022</v>
      </c>
      <c r="N548" s="5" t="s">
        <v>3994</v>
      </c>
      <c r="O548" s="5" t="s">
        <v>2897</v>
      </c>
      <c r="P548" s="5" t="s">
        <v>2858</v>
      </c>
      <c r="Q548" s="11">
        <v>46306.5</v>
      </c>
      <c r="R548" s="6"/>
      <c r="S548" s="6"/>
      <c r="T548" s="6"/>
      <c r="U548" s="5">
        <f>MATCH(B548,Manual_Review!$A$6:$A$238,0)</f>
        <v>34</v>
      </c>
      <c r="V548" s="5" t="str">
        <f>IF(INDEX(Manual_Review!$G$6:$G$238,U548)="","",INDEX(Manual_Review!$G$6:$G$238,U548))</f>
        <v/>
      </c>
      <c r="W548" s="11" t="str">
        <f>IF(INDEX(Manual_Review!$H$6:$H$238,U548)="","",INDEX(Manual_Review!$H$6:$H$238,U548))</f>
        <v/>
      </c>
      <c r="X548" s="5" t="str">
        <f>IF(INDEX(Manual_Review!$I$6:$I$238,U548)="","",INDEX(Manual_Review!$I$6:$I$238,U548))</f>
        <v/>
      </c>
      <c r="Y548" s="5" t="s">
        <v>2859</v>
      </c>
    </row>
    <row r="549" spans="1:25" ht="25.5">
      <c r="A549" s="5" t="s">
        <v>4023</v>
      </c>
      <c r="B549" s="5" t="s">
        <v>494</v>
      </c>
      <c r="C549" s="5" t="s">
        <v>495</v>
      </c>
      <c r="D549" s="5" t="s">
        <v>118</v>
      </c>
      <c r="E549" s="5" t="s">
        <v>2796</v>
      </c>
      <c r="F549" s="5" t="s">
        <v>2764</v>
      </c>
      <c r="G549" s="5">
        <v>1</v>
      </c>
      <c r="H549" s="5" t="s">
        <v>2854</v>
      </c>
      <c r="I549" s="5" t="str">
        <f>IF(INDEX(Manual_Review!$Z$6:$Z$238,U549)="","",INDEX(Manual_Review!$Z$6:$Z$238,U549))</f>
        <v/>
      </c>
      <c r="J549" s="5" t="str">
        <f t="shared" si="16"/>
        <v>AI provisional</v>
      </c>
      <c r="K549" s="5" t="str">
        <f t="shared" si="17"/>
        <v>Y</v>
      </c>
      <c r="L549" s="5" t="s">
        <v>506</v>
      </c>
      <c r="M549" s="5" t="s">
        <v>4024</v>
      </c>
      <c r="N549" s="5" t="s">
        <v>3994</v>
      </c>
      <c r="O549" s="5" t="s">
        <v>3085</v>
      </c>
      <c r="P549" s="5" t="s">
        <v>2858</v>
      </c>
      <c r="Q549" s="11">
        <v>46306.5</v>
      </c>
      <c r="R549" s="6"/>
      <c r="S549" s="6"/>
      <c r="T549" s="6"/>
      <c r="U549" s="5">
        <f>MATCH(B549,Manual_Review!$A$6:$A$238,0)</f>
        <v>34</v>
      </c>
      <c r="V549" s="5" t="str">
        <f>IF(INDEX(Manual_Review!$G$6:$G$238,U549)="","",INDEX(Manual_Review!$G$6:$G$238,U549))</f>
        <v/>
      </c>
      <c r="W549" s="11" t="str">
        <f>IF(INDEX(Manual_Review!$H$6:$H$238,U549)="","",INDEX(Manual_Review!$H$6:$H$238,U549))</f>
        <v/>
      </c>
      <c r="X549" s="5" t="str">
        <f>IF(INDEX(Manual_Review!$I$6:$I$238,U549)="","",INDEX(Manual_Review!$I$6:$I$238,U549))</f>
        <v/>
      </c>
      <c r="Y549" s="5" t="s">
        <v>2859</v>
      </c>
    </row>
    <row r="550" spans="1:25" ht="25.5">
      <c r="A550" s="5" t="s">
        <v>4025</v>
      </c>
      <c r="B550" s="5" t="s">
        <v>32</v>
      </c>
      <c r="C550" s="5" t="s">
        <v>508</v>
      </c>
      <c r="D550" s="5" t="s">
        <v>118</v>
      </c>
      <c r="E550" s="5" t="s">
        <v>2781</v>
      </c>
      <c r="F550" s="5" t="s">
        <v>2754</v>
      </c>
      <c r="G550" s="5">
        <v>1</v>
      </c>
      <c r="H550" s="5" t="s">
        <v>2854</v>
      </c>
      <c r="I550" s="5" t="str">
        <f>IF(INDEX(Manual_Review!$K$6:$K$238,U550)="","",INDEX(Manual_Review!$K$6:$K$238,U550))</f>
        <v/>
      </c>
      <c r="J550" s="5" t="str">
        <f t="shared" si="16"/>
        <v>AI provisional</v>
      </c>
      <c r="K550" s="5" t="str">
        <f t="shared" si="17"/>
        <v>Y</v>
      </c>
      <c r="L550" s="5" t="s">
        <v>4026</v>
      </c>
      <c r="M550" s="5" t="s">
        <v>4027</v>
      </c>
      <c r="N550" s="5" t="s">
        <v>4028</v>
      </c>
      <c r="O550" s="5" t="s">
        <v>3089</v>
      </c>
      <c r="P550" s="5" t="s">
        <v>3090</v>
      </c>
      <c r="Q550" s="11">
        <v>46306.5</v>
      </c>
      <c r="R550" s="6"/>
      <c r="S550" s="6"/>
      <c r="T550" s="6"/>
      <c r="U550" s="5">
        <f>MATCH(B550,Manual_Review!$A$6:$A$238,0)</f>
        <v>35</v>
      </c>
      <c r="V550" s="5" t="str">
        <f>IF(INDEX(Manual_Review!$G$6:$G$238,U550)="","",INDEX(Manual_Review!$G$6:$G$238,U550))</f>
        <v/>
      </c>
      <c r="W550" s="11" t="str">
        <f>IF(INDEX(Manual_Review!$H$6:$H$238,U550)="","",INDEX(Manual_Review!$H$6:$H$238,U550))</f>
        <v/>
      </c>
      <c r="X550" s="5" t="str">
        <f>IF(INDEX(Manual_Review!$I$6:$I$238,U550)="","",INDEX(Manual_Review!$I$6:$I$238,U550))</f>
        <v/>
      </c>
      <c r="Y550" s="5" t="s">
        <v>2859</v>
      </c>
    </row>
    <row r="551" spans="1:25" ht="25.5">
      <c r="A551" s="5" t="s">
        <v>4029</v>
      </c>
      <c r="B551" s="5" t="s">
        <v>32</v>
      </c>
      <c r="C551" s="5" t="s">
        <v>508</v>
      </c>
      <c r="D551" s="5" t="s">
        <v>118</v>
      </c>
      <c r="E551" s="5" t="s">
        <v>2782</v>
      </c>
      <c r="F551" s="5" t="s">
        <v>2754</v>
      </c>
      <c r="G551" s="5">
        <v>1</v>
      </c>
      <c r="H551" s="5" t="s">
        <v>2854</v>
      </c>
      <c r="I551" s="5" t="str">
        <f>IF(INDEX(Manual_Review!$L$6:$L$238,U551)="","",INDEX(Manual_Review!$L$6:$L$238,U551))</f>
        <v/>
      </c>
      <c r="J551" s="5" t="str">
        <f t="shared" si="16"/>
        <v>AI provisional</v>
      </c>
      <c r="K551" s="5" t="str">
        <f t="shared" si="17"/>
        <v>Y</v>
      </c>
      <c r="L551" s="5" t="s">
        <v>4026</v>
      </c>
      <c r="M551" s="5" t="s">
        <v>4030</v>
      </c>
      <c r="N551" s="5" t="s">
        <v>4031</v>
      </c>
      <c r="O551" s="5" t="s">
        <v>3089</v>
      </c>
      <c r="P551" s="5" t="s">
        <v>3090</v>
      </c>
      <c r="Q551" s="11">
        <v>46306.5</v>
      </c>
      <c r="R551" s="6"/>
      <c r="S551" s="6"/>
      <c r="T551" s="6"/>
      <c r="U551" s="5">
        <f>MATCH(B551,Manual_Review!$A$6:$A$238,0)</f>
        <v>35</v>
      </c>
      <c r="V551" s="5" t="str">
        <f>IF(INDEX(Manual_Review!$G$6:$G$238,U551)="","",INDEX(Manual_Review!$G$6:$G$238,U551))</f>
        <v/>
      </c>
      <c r="W551" s="11" t="str">
        <f>IF(INDEX(Manual_Review!$H$6:$H$238,U551)="","",INDEX(Manual_Review!$H$6:$H$238,U551))</f>
        <v/>
      </c>
      <c r="X551" s="5" t="str">
        <f>IF(INDEX(Manual_Review!$I$6:$I$238,U551)="","",INDEX(Manual_Review!$I$6:$I$238,U551))</f>
        <v/>
      </c>
      <c r="Y551" s="5" t="s">
        <v>2859</v>
      </c>
    </row>
    <row r="552" spans="1:25" ht="25.5">
      <c r="A552" s="5" t="s">
        <v>4032</v>
      </c>
      <c r="B552" s="5" t="s">
        <v>32</v>
      </c>
      <c r="C552" s="5" t="s">
        <v>508</v>
      </c>
      <c r="D552" s="5" t="s">
        <v>118</v>
      </c>
      <c r="E552" s="5" t="s">
        <v>2783</v>
      </c>
      <c r="F552" s="5" t="s">
        <v>2754</v>
      </c>
      <c r="G552" s="5">
        <v>1</v>
      </c>
      <c r="H552" s="5" t="s">
        <v>2854</v>
      </c>
      <c r="I552" s="5" t="str">
        <f>IF(INDEX(Manual_Review!$M$6:$M$238,U552)="","",INDEX(Manual_Review!$M$6:$M$238,U552))</f>
        <v/>
      </c>
      <c r="J552" s="5" t="str">
        <f t="shared" si="16"/>
        <v>AI provisional</v>
      </c>
      <c r="K552" s="5" t="str">
        <f t="shared" si="17"/>
        <v>Y</v>
      </c>
      <c r="L552" s="5" t="s">
        <v>4026</v>
      </c>
      <c r="M552" s="5" t="s">
        <v>4033</v>
      </c>
      <c r="N552" s="5" t="s">
        <v>4034</v>
      </c>
      <c r="O552" s="5" t="s">
        <v>3089</v>
      </c>
      <c r="P552" s="5" t="s">
        <v>3090</v>
      </c>
      <c r="Q552" s="11">
        <v>46306.5</v>
      </c>
      <c r="R552" s="6"/>
      <c r="S552" s="6"/>
      <c r="T552" s="6"/>
      <c r="U552" s="5">
        <f>MATCH(B552,Manual_Review!$A$6:$A$238,0)</f>
        <v>35</v>
      </c>
      <c r="V552" s="5" t="str">
        <f>IF(INDEX(Manual_Review!$G$6:$G$238,U552)="","",INDEX(Manual_Review!$G$6:$G$238,U552))</f>
        <v/>
      </c>
      <c r="W552" s="11" t="str">
        <f>IF(INDEX(Manual_Review!$H$6:$H$238,U552)="","",INDEX(Manual_Review!$H$6:$H$238,U552))</f>
        <v/>
      </c>
      <c r="X552" s="5" t="str">
        <f>IF(INDEX(Manual_Review!$I$6:$I$238,U552)="","",INDEX(Manual_Review!$I$6:$I$238,U552))</f>
        <v/>
      </c>
      <c r="Y552" s="5" t="s">
        <v>2859</v>
      </c>
    </row>
    <row r="553" spans="1:25" ht="25.5">
      <c r="A553" s="5" t="s">
        <v>4035</v>
      </c>
      <c r="B553" s="5" t="s">
        <v>32</v>
      </c>
      <c r="C553" s="5" t="s">
        <v>508</v>
      </c>
      <c r="D553" s="5" t="s">
        <v>118</v>
      </c>
      <c r="E553" s="5" t="s">
        <v>2784</v>
      </c>
      <c r="F553" s="5" t="s">
        <v>2756</v>
      </c>
      <c r="G553" s="5">
        <v>1</v>
      </c>
      <c r="H553" s="5" t="s">
        <v>2854</v>
      </c>
      <c r="I553" s="5" t="str">
        <f>IF(INDEX(Manual_Review!$N$6:$N$238,U553)="","",INDEX(Manual_Review!$N$6:$N$238,U553))</f>
        <v/>
      </c>
      <c r="J553" s="5" t="str">
        <f t="shared" si="16"/>
        <v>AI provisional</v>
      </c>
      <c r="K553" s="5" t="str">
        <f t="shared" si="17"/>
        <v>Y</v>
      </c>
      <c r="L553" s="5" t="s">
        <v>4036</v>
      </c>
      <c r="M553" s="5" t="s">
        <v>4037</v>
      </c>
      <c r="N553" s="5" t="s">
        <v>4038</v>
      </c>
      <c r="O553" s="5" t="s">
        <v>3089</v>
      </c>
      <c r="P553" s="5" t="s">
        <v>3090</v>
      </c>
      <c r="Q553" s="11">
        <v>46306.5</v>
      </c>
      <c r="R553" s="6"/>
      <c r="S553" s="6"/>
      <c r="T553" s="6"/>
      <c r="U553" s="5">
        <f>MATCH(B553,Manual_Review!$A$6:$A$238,0)</f>
        <v>35</v>
      </c>
      <c r="V553" s="5" t="str">
        <f>IF(INDEX(Manual_Review!$G$6:$G$238,U553)="","",INDEX(Manual_Review!$G$6:$G$238,U553))</f>
        <v/>
      </c>
      <c r="W553" s="11" t="str">
        <f>IF(INDEX(Manual_Review!$H$6:$H$238,U553)="","",INDEX(Manual_Review!$H$6:$H$238,U553))</f>
        <v/>
      </c>
      <c r="X553" s="5" t="str">
        <f>IF(INDEX(Manual_Review!$I$6:$I$238,U553)="","",INDEX(Manual_Review!$I$6:$I$238,U553))</f>
        <v/>
      </c>
      <c r="Y553" s="5" t="s">
        <v>2859</v>
      </c>
    </row>
    <row r="554" spans="1:25" ht="25.5">
      <c r="A554" s="5" t="s">
        <v>4039</v>
      </c>
      <c r="B554" s="5" t="s">
        <v>32</v>
      </c>
      <c r="C554" s="5" t="s">
        <v>508</v>
      </c>
      <c r="D554" s="5" t="s">
        <v>118</v>
      </c>
      <c r="E554" s="5" t="s">
        <v>2785</v>
      </c>
      <c r="F554" s="5" t="s">
        <v>2756</v>
      </c>
      <c r="G554" s="5">
        <v>1</v>
      </c>
      <c r="H554" s="5" t="s">
        <v>2854</v>
      </c>
      <c r="I554" s="5" t="str">
        <f>IF(INDEX(Manual_Review!$O$6:$O$238,U554)="","",INDEX(Manual_Review!$O$6:$O$238,U554))</f>
        <v/>
      </c>
      <c r="J554" s="5" t="str">
        <f t="shared" si="16"/>
        <v>AI provisional</v>
      </c>
      <c r="K554" s="5" t="str">
        <f t="shared" si="17"/>
        <v>Y</v>
      </c>
      <c r="L554" s="5" t="s">
        <v>4036</v>
      </c>
      <c r="M554" s="5" t="s">
        <v>4040</v>
      </c>
      <c r="N554" s="5" t="s">
        <v>4041</v>
      </c>
      <c r="O554" s="5" t="s">
        <v>3089</v>
      </c>
      <c r="P554" s="5" t="s">
        <v>3090</v>
      </c>
      <c r="Q554" s="11">
        <v>46306.5</v>
      </c>
      <c r="R554" s="6"/>
      <c r="S554" s="6"/>
      <c r="T554" s="6"/>
      <c r="U554" s="5">
        <f>MATCH(B554,Manual_Review!$A$6:$A$238,0)</f>
        <v>35</v>
      </c>
      <c r="V554" s="5" t="str">
        <f>IF(INDEX(Manual_Review!$G$6:$G$238,U554)="","",INDEX(Manual_Review!$G$6:$G$238,U554))</f>
        <v/>
      </c>
      <c r="W554" s="11" t="str">
        <f>IF(INDEX(Manual_Review!$H$6:$H$238,U554)="","",INDEX(Manual_Review!$H$6:$H$238,U554))</f>
        <v/>
      </c>
      <c r="X554" s="5" t="str">
        <f>IF(INDEX(Manual_Review!$I$6:$I$238,U554)="","",INDEX(Manual_Review!$I$6:$I$238,U554))</f>
        <v/>
      </c>
      <c r="Y554" s="5" t="s">
        <v>2859</v>
      </c>
    </row>
    <row r="555" spans="1:25" ht="25.5">
      <c r="A555" s="5" t="s">
        <v>4042</v>
      </c>
      <c r="B555" s="5" t="s">
        <v>32</v>
      </c>
      <c r="C555" s="5" t="s">
        <v>508</v>
      </c>
      <c r="D555" s="5" t="s">
        <v>118</v>
      </c>
      <c r="E555" s="5" t="s">
        <v>2786</v>
      </c>
      <c r="F555" s="5" t="s">
        <v>2756</v>
      </c>
      <c r="G555" s="5">
        <v>1</v>
      </c>
      <c r="H555" s="5" t="s">
        <v>2864</v>
      </c>
      <c r="I555" s="5" t="str">
        <f>IF(INDEX(Manual_Review!$P$6:$P$238,U555)="","",INDEX(Manual_Review!$P$6:$P$238,U555))</f>
        <v/>
      </c>
      <c r="J555" s="5" t="str">
        <f t="shared" si="16"/>
        <v>AI provisional</v>
      </c>
      <c r="K555" s="5" t="str">
        <f t="shared" si="17"/>
        <v>U</v>
      </c>
      <c r="L555" s="5" t="s">
        <v>4036</v>
      </c>
      <c r="M555" s="5" t="s">
        <v>4043</v>
      </c>
      <c r="N555" s="5" t="s">
        <v>4044</v>
      </c>
      <c r="O555" s="5" t="s">
        <v>3089</v>
      </c>
      <c r="P555" s="5" t="s">
        <v>3090</v>
      </c>
      <c r="Q555" s="11">
        <v>46306.5</v>
      </c>
      <c r="R555" s="6"/>
      <c r="S555" s="6"/>
      <c r="T555" s="6"/>
      <c r="U555" s="5">
        <f>MATCH(B555,Manual_Review!$A$6:$A$238,0)</f>
        <v>35</v>
      </c>
      <c r="V555" s="5" t="str">
        <f>IF(INDEX(Manual_Review!$G$6:$G$238,U555)="","",INDEX(Manual_Review!$G$6:$G$238,U555))</f>
        <v/>
      </c>
      <c r="W555" s="11" t="str">
        <f>IF(INDEX(Manual_Review!$H$6:$H$238,U555)="","",INDEX(Manual_Review!$H$6:$H$238,U555))</f>
        <v/>
      </c>
      <c r="X555" s="5" t="str">
        <f>IF(INDEX(Manual_Review!$I$6:$I$238,U555)="","",INDEX(Manual_Review!$I$6:$I$238,U555))</f>
        <v/>
      </c>
      <c r="Y555" s="5" t="s">
        <v>2859</v>
      </c>
    </row>
    <row r="556" spans="1:25" ht="25.5">
      <c r="A556" s="5" t="s">
        <v>4045</v>
      </c>
      <c r="B556" s="5" t="s">
        <v>32</v>
      </c>
      <c r="C556" s="5" t="s">
        <v>508</v>
      </c>
      <c r="D556" s="5" t="s">
        <v>118</v>
      </c>
      <c r="E556" s="5" t="s">
        <v>2787</v>
      </c>
      <c r="F556" s="5" t="s">
        <v>2758</v>
      </c>
      <c r="G556" s="5">
        <v>1</v>
      </c>
      <c r="H556" s="5" t="s">
        <v>2854</v>
      </c>
      <c r="I556" s="5" t="str">
        <f>IF(INDEX(Manual_Review!$Q$6:$Q$238,U556)="","",INDEX(Manual_Review!$Q$6:$Q$238,U556))</f>
        <v/>
      </c>
      <c r="J556" s="5" t="str">
        <f t="shared" si="16"/>
        <v>AI provisional</v>
      </c>
      <c r="K556" s="5" t="str">
        <f t="shared" si="17"/>
        <v>Y</v>
      </c>
      <c r="L556" s="5" t="s">
        <v>4036</v>
      </c>
      <c r="M556" s="5" t="s">
        <v>4046</v>
      </c>
      <c r="N556" s="5" t="s">
        <v>4047</v>
      </c>
      <c r="O556" s="5" t="s">
        <v>3089</v>
      </c>
      <c r="P556" s="5" t="s">
        <v>3090</v>
      </c>
      <c r="Q556" s="11">
        <v>46306.5</v>
      </c>
      <c r="R556" s="6"/>
      <c r="S556" s="6"/>
      <c r="T556" s="6"/>
      <c r="U556" s="5">
        <f>MATCH(B556,Manual_Review!$A$6:$A$238,0)</f>
        <v>35</v>
      </c>
      <c r="V556" s="5" t="str">
        <f>IF(INDEX(Manual_Review!$G$6:$G$238,U556)="","",INDEX(Manual_Review!$G$6:$G$238,U556))</f>
        <v/>
      </c>
      <c r="W556" s="11" t="str">
        <f>IF(INDEX(Manual_Review!$H$6:$H$238,U556)="","",INDEX(Manual_Review!$H$6:$H$238,U556))</f>
        <v/>
      </c>
      <c r="X556" s="5" t="str">
        <f>IF(INDEX(Manual_Review!$I$6:$I$238,U556)="","",INDEX(Manual_Review!$I$6:$I$238,U556))</f>
        <v/>
      </c>
      <c r="Y556" s="5" t="s">
        <v>2859</v>
      </c>
    </row>
    <row r="557" spans="1:25" ht="25.5">
      <c r="A557" s="5" t="s">
        <v>4048</v>
      </c>
      <c r="B557" s="5" t="s">
        <v>32</v>
      </c>
      <c r="C557" s="5" t="s">
        <v>508</v>
      </c>
      <c r="D557" s="5" t="s">
        <v>118</v>
      </c>
      <c r="E557" s="5" t="s">
        <v>2788</v>
      </c>
      <c r="F557" s="5" t="s">
        <v>2758</v>
      </c>
      <c r="G557" s="5">
        <v>1</v>
      </c>
      <c r="H557" s="5" t="s">
        <v>2854</v>
      </c>
      <c r="I557" s="5" t="str">
        <f>IF(INDEX(Manual_Review!$R$6:$R$238,U557)="","",INDEX(Manual_Review!$R$6:$R$238,U557))</f>
        <v/>
      </c>
      <c r="J557" s="5" t="str">
        <f t="shared" si="16"/>
        <v>AI provisional</v>
      </c>
      <c r="K557" s="5" t="str">
        <f t="shared" si="17"/>
        <v>Y</v>
      </c>
      <c r="L557" s="5" t="s">
        <v>4036</v>
      </c>
      <c r="M557" s="5" t="s">
        <v>4049</v>
      </c>
      <c r="N557" s="5" t="s">
        <v>4050</v>
      </c>
      <c r="O557" s="5" t="s">
        <v>3089</v>
      </c>
      <c r="P557" s="5" t="s">
        <v>3090</v>
      </c>
      <c r="Q557" s="11">
        <v>46306.5</v>
      </c>
      <c r="R557" s="6"/>
      <c r="S557" s="6"/>
      <c r="T557" s="6"/>
      <c r="U557" s="5">
        <f>MATCH(B557,Manual_Review!$A$6:$A$238,0)</f>
        <v>35</v>
      </c>
      <c r="V557" s="5" t="str">
        <f>IF(INDEX(Manual_Review!$G$6:$G$238,U557)="","",INDEX(Manual_Review!$G$6:$G$238,U557))</f>
        <v/>
      </c>
      <c r="W557" s="11" t="str">
        <f>IF(INDEX(Manual_Review!$H$6:$H$238,U557)="","",INDEX(Manual_Review!$H$6:$H$238,U557))</f>
        <v/>
      </c>
      <c r="X557" s="5" t="str">
        <f>IF(INDEX(Manual_Review!$I$6:$I$238,U557)="","",INDEX(Manual_Review!$I$6:$I$238,U557))</f>
        <v/>
      </c>
      <c r="Y557" s="5" t="s">
        <v>2859</v>
      </c>
    </row>
    <row r="558" spans="1:25" ht="25.5">
      <c r="A558" s="5" t="s">
        <v>4051</v>
      </c>
      <c r="B558" s="5" t="s">
        <v>32</v>
      </c>
      <c r="C558" s="5" t="s">
        <v>508</v>
      </c>
      <c r="D558" s="5" t="s">
        <v>118</v>
      </c>
      <c r="E558" s="5" t="s">
        <v>2789</v>
      </c>
      <c r="F558" s="5" t="s">
        <v>2758</v>
      </c>
      <c r="G558" s="5">
        <v>1</v>
      </c>
      <c r="H558" s="5" t="s">
        <v>2854</v>
      </c>
      <c r="I558" s="5" t="str">
        <f>IF(INDEX(Manual_Review!$S$6:$S$238,U558)="","",INDEX(Manual_Review!$S$6:$S$238,U558))</f>
        <v/>
      </c>
      <c r="J558" s="5" t="str">
        <f t="shared" si="16"/>
        <v>AI provisional</v>
      </c>
      <c r="K558" s="5" t="str">
        <f t="shared" si="17"/>
        <v>Y</v>
      </c>
      <c r="L558" s="5" t="s">
        <v>4036</v>
      </c>
      <c r="M558" s="5" t="s">
        <v>4052</v>
      </c>
      <c r="N558" s="5" t="s">
        <v>4053</v>
      </c>
      <c r="O558" s="5" t="s">
        <v>3089</v>
      </c>
      <c r="P558" s="5" t="s">
        <v>3090</v>
      </c>
      <c r="Q558" s="11">
        <v>46306.5</v>
      </c>
      <c r="R558" s="6"/>
      <c r="S558" s="6"/>
      <c r="T558" s="6"/>
      <c r="U558" s="5">
        <f>MATCH(B558,Manual_Review!$A$6:$A$238,0)</f>
        <v>35</v>
      </c>
      <c r="V558" s="5" t="str">
        <f>IF(INDEX(Manual_Review!$G$6:$G$238,U558)="","",INDEX(Manual_Review!$G$6:$G$238,U558))</f>
        <v/>
      </c>
      <c r="W558" s="11" t="str">
        <f>IF(INDEX(Manual_Review!$H$6:$H$238,U558)="","",INDEX(Manual_Review!$H$6:$H$238,U558))</f>
        <v/>
      </c>
      <c r="X558" s="5" t="str">
        <f>IF(INDEX(Manual_Review!$I$6:$I$238,U558)="","",INDEX(Manual_Review!$I$6:$I$238,U558))</f>
        <v/>
      </c>
      <c r="Y558" s="5" t="s">
        <v>2859</v>
      </c>
    </row>
    <row r="559" spans="1:25" ht="25.5">
      <c r="A559" s="5" t="s">
        <v>4054</v>
      </c>
      <c r="B559" s="5" t="s">
        <v>32</v>
      </c>
      <c r="C559" s="5" t="s">
        <v>508</v>
      </c>
      <c r="D559" s="5" t="s">
        <v>118</v>
      </c>
      <c r="E559" s="5" t="s">
        <v>2790</v>
      </c>
      <c r="F559" s="5" t="s">
        <v>2760</v>
      </c>
      <c r="G559" s="5">
        <v>1</v>
      </c>
      <c r="H559" s="5" t="s">
        <v>2854</v>
      </c>
      <c r="I559" s="5" t="str">
        <f>IF(INDEX(Manual_Review!$T$6:$T$238,U559)="","",INDEX(Manual_Review!$T$6:$T$238,U559))</f>
        <v/>
      </c>
      <c r="J559" s="5" t="str">
        <f t="shared" si="16"/>
        <v>AI provisional</v>
      </c>
      <c r="K559" s="5" t="str">
        <f t="shared" si="17"/>
        <v>Y</v>
      </c>
      <c r="L559" s="5" t="s">
        <v>4026</v>
      </c>
      <c r="M559" s="5" t="s">
        <v>4055</v>
      </c>
      <c r="N559" s="5" t="s">
        <v>4056</v>
      </c>
      <c r="O559" s="5" t="s">
        <v>3089</v>
      </c>
      <c r="P559" s="5" t="s">
        <v>3090</v>
      </c>
      <c r="Q559" s="11">
        <v>46306.5</v>
      </c>
      <c r="R559" s="6"/>
      <c r="S559" s="6"/>
      <c r="T559" s="6"/>
      <c r="U559" s="5">
        <f>MATCH(B559,Manual_Review!$A$6:$A$238,0)</f>
        <v>35</v>
      </c>
      <c r="V559" s="5" t="str">
        <f>IF(INDEX(Manual_Review!$G$6:$G$238,U559)="","",INDEX(Manual_Review!$G$6:$G$238,U559))</f>
        <v/>
      </c>
      <c r="W559" s="11" t="str">
        <f>IF(INDEX(Manual_Review!$H$6:$H$238,U559)="","",INDEX(Manual_Review!$H$6:$H$238,U559))</f>
        <v/>
      </c>
      <c r="X559" s="5" t="str">
        <f>IF(INDEX(Manual_Review!$I$6:$I$238,U559)="","",INDEX(Manual_Review!$I$6:$I$238,U559))</f>
        <v/>
      </c>
      <c r="Y559" s="5" t="s">
        <v>2859</v>
      </c>
    </row>
    <row r="560" spans="1:25" ht="25.5">
      <c r="A560" s="5" t="s">
        <v>4057</v>
      </c>
      <c r="B560" s="5" t="s">
        <v>32</v>
      </c>
      <c r="C560" s="5" t="s">
        <v>508</v>
      </c>
      <c r="D560" s="5" t="s">
        <v>118</v>
      </c>
      <c r="E560" s="5" t="s">
        <v>2791</v>
      </c>
      <c r="F560" s="5" t="s">
        <v>2760</v>
      </c>
      <c r="G560" s="5">
        <v>1</v>
      </c>
      <c r="H560" s="5" t="s">
        <v>2854</v>
      </c>
      <c r="I560" s="5" t="str">
        <f>IF(INDEX(Manual_Review!$U$6:$U$238,U560)="","",INDEX(Manual_Review!$U$6:$U$238,U560))</f>
        <v/>
      </c>
      <c r="J560" s="5" t="str">
        <f t="shared" si="16"/>
        <v>AI provisional</v>
      </c>
      <c r="K560" s="5" t="str">
        <f t="shared" si="17"/>
        <v>Y</v>
      </c>
      <c r="L560" s="5" t="s">
        <v>4036</v>
      </c>
      <c r="M560" s="5" t="s">
        <v>4058</v>
      </c>
      <c r="N560" s="5" t="s">
        <v>4059</v>
      </c>
      <c r="O560" s="5" t="s">
        <v>3089</v>
      </c>
      <c r="P560" s="5" t="s">
        <v>3090</v>
      </c>
      <c r="Q560" s="11">
        <v>46306.5</v>
      </c>
      <c r="R560" s="6"/>
      <c r="S560" s="6"/>
      <c r="T560" s="6"/>
      <c r="U560" s="5">
        <f>MATCH(B560,Manual_Review!$A$6:$A$238,0)</f>
        <v>35</v>
      </c>
      <c r="V560" s="5" t="str">
        <f>IF(INDEX(Manual_Review!$G$6:$G$238,U560)="","",INDEX(Manual_Review!$G$6:$G$238,U560))</f>
        <v/>
      </c>
      <c r="W560" s="11" t="str">
        <f>IF(INDEX(Manual_Review!$H$6:$H$238,U560)="","",INDEX(Manual_Review!$H$6:$H$238,U560))</f>
        <v/>
      </c>
      <c r="X560" s="5" t="str">
        <f>IF(INDEX(Manual_Review!$I$6:$I$238,U560)="","",INDEX(Manual_Review!$I$6:$I$238,U560))</f>
        <v/>
      </c>
      <c r="Y560" s="5" t="s">
        <v>2859</v>
      </c>
    </row>
    <row r="561" spans="1:25" ht="25.5">
      <c r="A561" s="5" t="s">
        <v>4060</v>
      </c>
      <c r="B561" s="5" t="s">
        <v>32</v>
      </c>
      <c r="C561" s="5" t="s">
        <v>508</v>
      </c>
      <c r="D561" s="5" t="s">
        <v>118</v>
      </c>
      <c r="E561" s="5" t="s">
        <v>2792</v>
      </c>
      <c r="F561" s="5" t="s">
        <v>2762</v>
      </c>
      <c r="G561" s="5">
        <v>1</v>
      </c>
      <c r="H561" s="5" t="s">
        <v>2854</v>
      </c>
      <c r="I561" s="5" t="str">
        <f>IF(INDEX(Manual_Review!$V$6:$V$238,U561)="","",INDEX(Manual_Review!$V$6:$V$238,U561))</f>
        <v/>
      </c>
      <c r="J561" s="5" t="str">
        <f t="shared" si="16"/>
        <v>AI provisional</v>
      </c>
      <c r="K561" s="5" t="str">
        <f t="shared" si="17"/>
        <v>Y</v>
      </c>
      <c r="L561" s="5" t="s">
        <v>4036</v>
      </c>
      <c r="M561" s="5" t="s">
        <v>4061</v>
      </c>
      <c r="N561" s="5" t="s">
        <v>4062</v>
      </c>
      <c r="O561" s="5" t="s">
        <v>3089</v>
      </c>
      <c r="P561" s="5" t="s">
        <v>3090</v>
      </c>
      <c r="Q561" s="11">
        <v>46306.5</v>
      </c>
      <c r="R561" s="6"/>
      <c r="S561" s="6"/>
      <c r="T561" s="6"/>
      <c r="U561" s="5">
        <f>MATCH(B561,Manual_Review!$A$6:$A$238,0)</f>
        <v>35</v>
      </c>
      <c r="V561" s="5" t="str">
        <f>IF(INDEX(Manual_Review!$G$6:$G$238,U561)="","",INDEX(Manual_Review!$G$6:$G$238,U561))</f>
        <v/>
      </c>
      <c r="W561" s="11" t="str">
        <f>IF(INDEX(Manual_Review!$H$6:$H$238,U561)="","",INDEX(Manual_Review!$H$6:$H$238,U561))</f>
        <v/>
      </c>
      <c r="X561" s="5" t="str">
        <f>IF(INDEX(Manual_Review!$I$6:$I$238,U561)="","",INDEX(Manual_Review!$I$6:$I$238,U561))</f>
        <v/>
      </c>
      <c r="Y561" s="5" t="s">
        <v>2859</v>
      </c>
    </row>
    <row r="562" spans="1:25" ht="25.5">
      <c r="A562" s="5" t="s">
        <v>4063</v>
      </c>
      <c r="B562" s="5" t="s">
        <v>32</v>
      </c>
      <c r="C562" s="5" t="s">
        <v>508</v>
      </c>
      <c r="D562" s="5" t="s">
        <v>118</v>
      </c>
      <c r="E562" s="5" t="s">
        <v>2793</v>
      </c>
      <c r="F562" s="5" t="s">
        <v>2762</v>
      </c>
      <c r="G562" s="5">
        <v>1</v>
      </c>
      <c r="H562" s="5" t="s">
        <v>2854</v>
      </c>
      <c r="I562" s="5" t="str">
        <f>IF(INDEX(Manual_Review!$W$6:$W$238,U562)="","",INDEX(Manual_Review!$W$6:$W$238,U562))</f>
        <v/>
      </c>
      <c r="J562" s="5" t="str">
        <f t="shared" si="16"/>
        <v>AI provisional</v>
      </c>
      <c r="K562" s="5" t="str">
        <f t="shared" si="17"/>
        <v>Y</v>
      </c>
      <c r="L562" s="5" t="s">
        <v>4036</v>
      </c>
      <c r="M562" s="5" t="s">
        <v>4061</v>
      </c>
      <c r="N562" s="5" t="s">
        <v>4064</v>
      </c>
      <c r="O562" s="5" t="s">
        <v>3089</v>
      </c>
      <c r="P562" s="5" t="s">
        <v>3090</v>
      </c>
      <c r="Q562" s="11">
        <v>46306.5</v>
      </c>
      <c r="R562" s="6"/>
      <c r="S562" s="6"/>
      <c r="T562" s="6"/>
      <c r="U562" s="5">
        <f>MATCH(B562,Manual_Review!$A$6:$A$238,0)</f>
        <v>35</v>
      </c>
      <c r="V562" s="5" t="str">
        <f>IF(INDEX(Manual_Review!$G$6:$G$238,U562)="","",INDEX(Manual_Review!$G$6:$G$238,U562))</f>
        <v/>
      </c>
      <c r="W562" s="11" t="str">
        <f>IF(INDEX(Manual_Review!$H$6:$H$238,U562)="","",INDEX(Manual_Review!$H$6:$H$238,U562))</f>
        <v/>
      </c>
      <c r="X562" s="5" t="str">
        <f>IF(INDEX(Manual_Review!$I$6:$I$238,U562)="","",INDEX(Manual_Review!$I$6:$I$238,U562))</f>
        <v/>
      </c>
      <c r="Y562" s="5" t="s">
        <v>2859</v>
      </c>
    </row>
    <row r="563" spans="1:25" ht="25.5">
      <c r="A563" s="5" t="s">
        <v>4065</v>
      </c>
      <c r="B563" s="5" t="s">
        <v>32</v>
      </c>
      <c r="C563" s="5" t="s">
        <v>508</v>
      </c>
      <c r="D563" s="5" t="s">
        <v>118</v>
      </c>
      <c r="E563" s="5" t="s">
        <v>2794</v>
      </c>
      <c r="F563" s="5" t="s">
        <v>2764</v>
      </c>
      <c r="G563" s="5">
        <v>1</v>
      </c>
      <c r="H563" s="5" t="s">
        <v>2854</v>
      </c>
      <c r="I563" s="5" t="str">
        <f>IF(INDEX(Manual_Review!$X$6:$X$238,U563)="","",INDEX(Manual_Review!$X$6:$X$238,U563))</f>
        <v/>
      </c>
      <c r="J563" s="5" t="str">
        <f t="shared" si="16"/>
        <v>AI provisional</v>
      </c>
      <c r="K563" s="5" t="str">
        <f t="shared" si="17"/>
        <v>Y</v>
      </c>
      <c r="L563" s="5" t="s">
        <v>4036</v>
      </c>
      <c r="M563" s="5" t="s">
        <v>4066</v>
      </c>
      <c r="N563" s="5" t="s">
        <v>4067</v>
      </c>
      <c r="O563" s="5" t="s">
        <v>3089</v>
      </c>
      <c r="P563" s="5" t="s">
        <v>3090</v>
      </c>
      <c r="Q563" s="11">
        <v>46306.5</v>
      </c>
      <c r="R563" s="6"/>
      <c r="S563" s="6"/>
      <c r="T563" s="6"/>
      <c r="U563" s="5">
        <f>MATCH(B563,Manual_Review!$A$6:$A$238,0)</f>
        <v>35</v>
      </c>
      <c r="V563" s="5" t="str">
        <f>IF(INDEX(Manual_Review!$G$6:$G$238,U563)="","",INDEX(Manual_Review!$G$6:$G$238,U563))</f>
        <v/>
      </c>
      <c r="W563" s="11" t="str">
        <f>IF(INDEX(Manual_Review!$H$6:$H$238,U563)="","",INDEX(Manual_Review!$H$6:$H$238,U563))</f>
        <v/>
      </c>
      <c r="X563" s="5" t="str">
        <f>IF(INDEX(Manual_Review!$I$6:$I$238,U563)="","",INDEX(Manual_Review!$I$6:$I$238,U563))</f>
        <v/>
      </c>
      <c r="Y563" s="5" t="s">
        <v>2859</v>
      </c>
    </row>
    <row r="564" spans="1:25" ht="25.5">
      <c r="A564" s="5" t="s">
        <v>4068</v>
      </c>
      <c r="B564" s="5" t="s">
        <v>32</v>
      </c>
      <c r="C564" s="5" t="s">
        <v>508</v>
      </c>
      <c r="D564" s="5" t="s">
        <v>118</v>
      </c>
      <c r="E564" s="5" t="s">
        <v>2795</v>
      </c>
      <c r="F564" s="5" t="s">
        <v>2764</v>
      </c>
      <c r="G564" s="5">
        <v>1</v>
      </c>
      <c r="H564" s="5" t="s">
        <v>2854</v>
      </c>
      <c r="I564" s="5" t="str">
        <f>IF(INDEX(Manual_Review!$Y$6:$Y$238,U564)="","",INDEX(Manual_Review!$Y$6:$Y$238,U564))</f>
        <v/>
      </c>
      <c r="J564" s="5" t="str">
        <f t="shared" si="16"/>
        <v>AI provisional</v>
      </c>
      <c r="K564" s="5" t="str">
        <f t="shared" si="17"/>
        <v>Y</v>
      </c>
      <c r="L564" s="5" t="s">
        <v>4036</v>
      </c>
      <c r="M564" s="5" t="s">
        <v>4069</v>
      </c>
      <c r="N564" s="5" t="s">
        <v>4070</v>
      </c>
      <c r="O564" s="5" t="s">
        <v>3089</v>
      </c>
      <c r="P564" s="5" t="s">
        <v>3090</v>
      </c>
      <c r="Q564" s="11">
        <v>46306.5</v>
      </c>
      <c r="R564" s="6"/>
      <c r="S564" s="6"/>
      <c r="T564" s="6"/>
      <c r="U564" s="5">
        <f>MATCH(B564,Manual_Review!$A$6:$A$238,0)</f>
        <v>35</v>
      </c>
      <c r="V564" s="5" t="str">
        <f>IF(INDEX(Manual_Review!$G$6:$G$238,U564)="","",INDEX(Manual_Review!$G$6:$G$238,U564))</f>
        <v/>
      </c>
      <c r="W564" s="11" t="str">
        <f>IF(INDEX(Manual_Review!$H$6:$H$238,U564)="","",INDEX(Manual_Review!$H$6:$H$238,U564))</f>
        <v/>
      </c>
      <c r="X564" s="5" t="str">
        <f>IF(INDEX(Manual_Review!$I$6:$I$238,U564)="","",INDEX(Manual_Review!$I$6:$I$238,U564))</f>
        <v/>
      </c>
      <c r="Y564" s="5" t="s">
        <v>2859</v>
      </c>
    </row>
    <row r="565" spans="1:25" ht="25.5">
      <c r="A565" s="5" t="s">
        <v>4071</v>
      </c>
      <c r="B565" s="5" t="s">
        <v>32</v>
      </c>
      <c r="C565" s="5" t="s">
        <v>508</v>
      </c>
      <c r="D565" s="5" t="s">
        <v>118</v>
      </c>
      <c r="E565" s="5" t="s">
        <v>2796</v>
      </c>
      <c r="F565" s="5" t="s">
        <v>2764</v>
      </c>
      <c r="G565" s="5">
        <v>1</v>
      </c>
      <c r="H565" s="5" t="s">
        <v>2854</v>
      </c>
      <c r="I565" s="5" t="str">
        <f>IF(INDEX(Manual_Review!$Z$6:$Z$238,U565)="","",INDEX(Manual_Review!$Z$6:$Z$238,U565))</f>
        <v/>
      </c>
      <c r="J565" s="5" t="str">
        <f t="shared" si="16"/>
        <v>AI provisional</v>
      </c>
      <c r="K565" s="5" t="str">
        <f t="shared" si="17"/>
        <v>Y</v>
      </c>
      <c r="L565" s="5" t="s">
        <v>4036</v>
      </c>
      <c r="M565" s="5" t="s">
        <v>4066</v>
      </c>
      <c r="N565" s="5" t="s">
        <v>4072</v>
      </c>
      <c r="O565" s="5" t="s">
        <v>3089</v>
      </c>
      <c r="P565" s="5" t="s">
        <v>3090</v>
      </c>
      <c r="Q565" s="11">
        <v>46306.5</v>
      </c>
      <c r="R565" s="6"/>
      <c r="S565" s="6"/>
      <c r="T565" s="6"/>
      <c r="U565" s="5">
        <f>MATCH(B565,Manual_Review!$A$6:$A$238,0)</f>
        <v>35</v>
      </c>
      <c r="V565" s="5" t="str">
        <f>IF(INDEX(Manual_Review!$G$6:$G$238,U565)="","",INDEX(Manual_Review!$G$6:$G$238,U565))</f>
        <v/>
      </c>
      <c r="W565" s="11" t="str">
        <f>IF(INDEX(Manual_Review!$H$6:$H$238,U565)="","",INDEX(Manual_Review!$H$6:$H$238,U565))</f>
        <v/>
      </c>
      <c r="X565" s="5" t="str">
        <f>IF(INDEX(Manual_Review!$I$6:$I$238,U565)="","",INDEX(Manual_Review!$I$6:$I$238,U565))</f>
        <v/>
      </c>
      <c r="Y565" s="5" t="s">
        <v>2859</v>
      </c>
    </row>
    <row r="566" spans="1:25" ht="25.5">
      <c r="A566" s="5" t="s">
        <v>4073</v>
      </c>
      <c r="B566" s="5" t="s">
        <v>522</v>
      </c>
      <c r="C566" s="5" t="s">
        <v>523</v>
      </c>
      <c r="D566" s="5" t="s">
        <v>118</v>
      </c>
      <c r="E566" s="5" t="s">
        <v>2781</v>
      </c>
      <c r="F566" s="5" t="s">
        <v>2754</v>
      </c>
      <c r="G566" s="5">
        <v>1</v>
      </c>
      <c r="H566" s="5" t="s">
        <v>2854</v>
      </c>
      <c r="I566" s="5" t="str">
        <f>IF(INDEX(Manual_Review!$K$6:$K$238,U566)="","",INDEX(Manual_Review!$K$6:$K$238,U566))</f>
        <v/>
      </c>
      <c r="J566" s="5" t="str">
        <f t="shared" si="16"/>
        <v>AI provisional</v>
      </c>
      <c r="K566" s="5" t="str">
        <f t="shared" si="17"/>
        <v>Y</v>
      </c>
      <c r="L566" s="5" t="s">
        <v>530</v>
      </c>
      <c r="M566" s="5" t="s">
        <v>4074</v>
      </c>
      <c r="N566" s="5" t="s">
        <v>4075</v>
      </c>
      <c r="O566" s="5" t="s">
        <v>2857</v>
      </c>
      <c r="P566" s="5" t="s">
        <v>2858</v>
      </c>
      <c r="Q566" s="11">
        <v>46306.5</v>
      </c>
      <c r="R566" s="6"/>
      <c r="S566" s="6"/>
      <c r="T566" s="6"/>
      <c r="U566" s="5">
        <f>MATCH(B566,Manual_Review!$A$6:$A$238,0)</f>
        <v>36</v>
      </c>
      <c r="V566" s="5" t="str">
        <f>IF(INDEX(Manual_Review!$G$6:$G$238,U566)="","",INDEX(Manual_Review!$G$6:$G$238,U566))</f>
        <v/>
      </c>
      <c r="W566" s="11" t="str">
        <f>IF(INDEX(Manual_Review!$H$6:$H$238,U566)="","",INDEX(Manual_Review!$H$6:$H$238,U566))</f>
        <v/>
      </c>
      <c r="X566" s="5" t="str">
        <f>IF(INDEX(Manual_Review!$I$6:$I$238,U566)="","",INDEX(Manual_Review!$I$6:$I$238,U566))</f>
        <v/>
      </c>
      <c r="Y566" s="5" t="s">
        <v>2859</v>
      </c>
    </row>
    <row r="567" spans="1:25" ht="25.5">
      <c r="A567" s="5" t="s">
        <v>4076</v>
      </c>
      <c r="B567" s="5" t="s">
        <v>522</v>
      </c>
      <c r="C567" s="5" t="s">
        <v>523</v>
      </c>
      <c r="D567" s="5" t="s">
        <v>118</v>
      </c>
      <c r="E567" s="5" t="s">
        <v>2782</v>
      </c>
      <c r="F567" s="5" t="s">
        <v>2754</v>
      </c>
      <c r="G567" s="5">
        <v>1</v>
      </c>
      <c r="H567" s="5" t="s">
        <v>2854</v>
      </c>
      <c r="I567" s="5" t="str">
        <f>IF(INDEX(Manual_Review!$L$6:$L$238,U567)="","",INDEX(Manual_Review!$L$6:$L$238,U567))</f>
        <v/>
      </c>
      <c r="J567" s="5" t="str">
        <f t="shared" si="16"/>
        <v>AI provisional</v>
      </c>
      <c r="K567" s="5" t="str">
        <f t="shared" si="17"/>
        <v>Y</v>
      </c>
      <c r="L567" s="5" t="s">
        <v>530</v>
      </c>
      <c r="M567" s="5" t="s">
        <v>4077</v>
      </c>
      <c r="N567" s="5" t="s">
        <v>4075</v>
      </c>
      <c r="O567" s="5" t="s">
        <v>2862</v>
      </c>
      <c r="P567" s="5" t="s">
        <v>2858</v>
      </c>
      <c r="Q567" s="11">
        <v>46306.5</v>
      </c>
      <c r="R567" s="6"/>
      <c r="S567" s="6"/>
      <c r="T567" s="6"/>
      <c r="U567" s="5">
        <f>MATCH(B567,Manual_Review!$A$6:$A$238,0)</f>
        <v>36</v>
      </c>
      <c r="V567" s="5" t="str">
        <f>IF(INDEX(Manual_Review!$G$6:$G$238,U567)="","",INDEX(Manual_Review!$G$6:$G$238,U567))</f>
        <v/>
      </c>
      <c r="W567" s="11" t="str">
        <f>IF(INDEX(Manual_Review!$H$6:$H$238,U567)="","",INDEX(Manual_Review!$H$6:$H$238,U567))</f>
        <v/>
      </c>
      <c r="X567" s="5" t="str">
        <f>IF(INDEX(Manual_Review!$I$6:$I$238,U567)="","",INDEX(Manual_Review!$I$6:$I$238,U567))</f>
        <v/>
      </c>
      <c r="Y567" s="5" t="s">
        <v>2859</v>
      </c>
    </row>
    <row r="568" spans="1:25" ht="25.5">
      <c r="A568" s="5" t="s">
        <v>4078</v>
      </c>
      <c r="B568" s="5" t="s">
        <v>522</v>
      </c>
      <c r="C568" s="5" t="s">
        <v>523</v>
      </c>
      <c r="D568" s="5" t="s">
        <v>118</v>
      </c>
      <c r="E568" s="5" t="s">
        <v>2783</v>
      </c>
      <c r="F568" s="5" t="s">
        <v>2754</v>
      </c>
      <c r="G568" s="5">
        <v>1</v>
      </c>
      <c r="H568" s="5" t="s">
        <v>2864</v>
      </c>
      <c r="I568" s="5" t="str">
        <f>IF(INDEX(Manual_Review!$M$6:$M$238,U568)="","",INDEX(Manual_Review!$M$6:$M$238,U568))</f>
        <v/>
      </c>
      <c r="J568" s="5" t="str">
        <f t="shared" si="16"/>
        <v>AI provisional</v>
      </c>
      <c r="K568" s="5" t="str">
        <f t="shared" si="17"/>
        <v>U</v>
      </c>
      <c r="L568" s="5" t="s">
        <v>530</v>
      </c>
      <c r="M568" s="5" t="s">
        <v>4079</v>
      </c>
      <c r="N568" s="5" t="s">
        <v>4075</v>
      </c>
      <c r="O568" s="5" t="s">
        <v>2866</v>
      </c>
      <c r="P568" s="5" t="s">
        <v>2858</v>
      </c>
      <c r="Q568" s="11">
        <v>46306.5</v>
      </c>
      <c r="R568" s="6"/>
      <c r="S568" s="6"/>
      <c r="T568" s="6"/>
      <c r="U568" s="5">
        <f>MATCH(B568,Manual_Review!$A$6:$A$238,0)</f>
        <v>36</v>
      </c>
      <c r="V568" s="5" t="str">
        <f>IF(INDEX(Manual_Review!$G$6:$G$238,U568)="","",INDEX(Manual_Review!$G$6:$G$238,U568))</f>
        <v/>
      </c>
      <c r="W568" s="11" t="str">
        <f>IF(INDEX(Manual_Review!$H$6:$H$238,U568)="","",INDEX(Manual_Review!$H$6:$H$238,U568))</f>
        <v/>
      </c>
      <c r="X568" s="5" t="str">
        <f>IF(INDEX(Manual_Review!$I$6:$I$238,U568)="","",INDEX(Manual_Review!$I$6:$I$238,U568))</f>
        <v/>
      </c>
      <c r="Y568" s="5" t="s">
        <v>2859</v>
      </c>
    </row>
    <row r="569" spans="1:25" ht="25.5">
      <c r="A569" s="5" t="s">
        <v>4080</v>
      </c>
      <c r="B569" s="5" t="s">
        <v>522</v>
      </c>
      <c r="C569" s="5" t="s">
        <v>523</v>
      </c>
      <c r="D569" s="5" t="s">
        <v>118</v>
      </c>
      <c r="E569" s="5" t="s">
        <v>2784</v>
      </c>
      <c r="F569" s="5" t="s">
        <v>2756</v>
      </c>
      <c r="G569" s="5">
        <v>1</v>
      </c>
      <c r="H569" s="5" t="s">
        <v>2854</v>
      </c>
      <c r="I569" s="5" t="str">
        <f>IF(INDEX(Manual_Review!$N$6:$N$238,U569)="","",INDEX(Manual_Review!$N$6:$N$238,U569))</f>
        <v/>
      </c>
      <c r="J569" s="5" t="str">
        <f t="shared" si="16"/>
        <v>AI provisional</v>
      </c>
      <c r="K569" s="5" t="str">
        <f t="shared" si="17"/>
        <v>Y</v>
      </c>
      <c r="L569" s="5" t="s">
        <v>530</v>
      </c>
      <c r="M569" s="5" t="s">
        <v>4081</v>
      </c>
      <c r="N569" s="5" t="s">
        <v>4075</v>
      </c>
      <c r="O569" s="5" t="s">
        <v>2963</v>
      </c>
      <c r="P569" s="5" t="s">
        <v>2858</v>
      </c>
      <c r="Q569" s="11">
        <v>46306.5</v>
      </c>
      <c r="R569" s="6"/>
      <c r="S569" s="6"/>
      <c r="T569" s="6"/>
      <c r="U569" s="5">
        <f>MATCH(B569,Manual_Review!$A$6:$A$238,0)</f>
        <v>36</v>
      </c>
      <c r="V569" s="5" t="str">
        <f>IF(INDEX(Manual_Review!$G$6:$G$238,U569)="","",INDEX(Manual_Review!$G$6:$G$238,U569))</f>
        <v/>
      </c>
      <c r="W569" s="11" t="str">
        <f>IF(INDEX(Manual_Review!$H$6:$H$238,U569)="","",INDEX(Manual_Review!$H$6:$H$238,U569))</f>
        <v/>
      </c>
      <c r="X569" s="5" t="str">
        <f>IF(INDEX(Manual_Review!$I$6:$I$238,U569)="","",INDEX(Manual_Review!$I$6:$I$238,U569))</f>
        <v/>
      </c>
      <c r="Y569" s="5" t="s">
        <v>2859</v>
      </c>
    </row>
    <row r="570" spans="1:25" ht="25.5">
      <c r="A570" s="5" t="s">
        <v>4082</v>
      </c>
      <c r="B570" s="5" t="s">
        <v>522</v>
      </c>
      <c r="C570" s="5" t="s">
        <v>523</v>
      </c>
      <c r="D570" s="5" t="s">
        <v>118</v>
      </c>
      <c r="E570" s="5" t="s">
        <v>2785</v>
      </c>
      <c r="F570" s="5" t="s">
        <v>2756</v>
      </c>
      <c r="G570" s="5">
        <v>1</v>
      </c>
      <c r="H570" s="5" t="s">
        <v>2854</v>
      </c>
      <c r="I570" s="5" t="str">
        <f>IF(INDEX(Manual_Review!$O$6:$O$238,U570)="","",INDEX(Manual_Review!$O$6:$O$238,U570))</f>
        <v/>
      </c>
      <c r="J570" s="5" t="str">
        <f t="shared" si="16"/>
        <v>AI provisional</v>
      </c>
      <c r="K570" s="5" t="str">
        <f t="shared" si="17"/>
        <v>Y</v>
      </c>
      <c r="L570" s="5" t="s">
        <v>530</v>
      </c>
      <c r="M570" s="5" t="s">
        <v>4083</v>
      </c>
      <c r="N570" s="5" t="s">
        <v>4075</v>
      </c>
      <c r="O570" s="5" t="s">
        <v>3138</v>
      </c>
      <c r="P570" s="5" t="s">
        <v>2858</v>
      </c>
      <c r="Q570" s="11">
        <v>46306.5</v>
      </c>
      <c r="R570" s="6"/>
      <c r="S570" s="6"/>
      <c r="T570" s="6"/>
      <c r="U570" s="5">
        <f>MATCH(B570,Manual_Review!$A$6:$A$238,0)</f>
        <v>36</v>
      </c>
      <c r="V570" s="5" t="str">
        <f>IF(INDEX(Manual_Review!$G$6:$G$238,U570)="","",INDEX(Manual_Review!$G$6:$G$238,U570))</f>
        <v/>
      </c>
      <c r="W570" s="11" t="str">
        <f>IF(INDEX(Manual_Review!$H$6:$H$238,U570)="","",INDEX(Manual_Review!$H$6:$H$238,U570))</f>
        <v/>
      </c>
      <c r="X570" s="5" t="str">
        <f>IF(INDEX(Manual_Review!$I$6:$I$238,U570)="","",INDEX(Manual_Review!$I$6:$I$238,U570))</f>
        <v/>
      </c>
      <c r="Y570" s="5" t="s">
        <v>2859</v>
      </c>
    </row>
    <row r="571" spans="1:25" ht="25.5">
      <c r="A571" s="5" t="s">
        <v>4084</v>
      </c>
      <c r="B571" s="5" t="s">
        <v>522</v>
      </c>
      <c r="C571" s="5" t="s">
        <v>523</v>
      </c>
      <c r="D571" s="5" t="s">
        <v>118</v>
      </c>
      <c r="E571" s="5" t="s">
        <v>2786</v>
      </c>
      <c r="F571" s="5" t="s">
        <v>2756</v>
      </c>
      <c r="G571" s="5">
        <v>1</v>
      </c>
      <c r="H571" s="5" t="s">
        <v>2864</v>
      </c>
      <c r="I571" s="5" t="str">
        <f>IF(INDEX(Manual_Review!$P$6:$P$238,U571)="","",INDEX(Manual_Review!$P$6:$P$238,U571))</f>
        <v/>
      </c>
      <c r="J571" s="5" t="str">
        <f t="shared" si="16"/>
        <v>AI provisional</v>
      </c>
      <c r="K571" s="5" t="str">
        <f t="shared" si="17"/>
        <v>U</v>
      </c>
      <c r="L571" s="5" t="s">
        <v>530</v>
      </c>
      <c r="M571" s="5" t="s">
        <v>4085</v>
      </c>
      <c r="N571" s="5" t="s">
        <v>4075</v>
      </c>
      <c r="O571" s="5" t="s">
        <v>2874</v>
      </c>
      <c r="P571" s="5" t="s">
        <v>2858</v>
      </c>
      <c r="Q571" s="11">
        <v>46306.5</v>
      </c>
      <c r="R571" s="6"/>
      <c r="S571" s="6"/>
      <c r="T571" s="6"/>
      <c r="U571" s="5">
        <f>MATCH(B571,Manual_Review!$A$6:$A$238,0)</f>
        <v>36</v>
      </c>
      <c r="V571" s="5" t="str">
        <f>IF(INDEX(Manual_Review!$G$6:$G$238,U571)="","",INDEX(Manual_Review!$G$6:$G$238,U571))</f>
        <v/>
      </c>
      <c r="W571" s="11" t="str">
        <f>IF(INDEX(Manual_Review!$H$6:$H$238,U571)="","",INDEX(Manual_Review!$H$6:$H$238,U571))</f>
        <v/>
      </c>
      <c r="X571" s="5" t="str">
        <f>IF(INDEX(Manual_Review!$I$6:$I$238,U571)="","",INDEX(Manual_Review!$I$6:$I$238,U571))</f>
        <v/>
      </c>
      <c r="Y571" s="5" t="s">
        <v>2859</v>
      </c>
    </row>
    <row r="572" spans="1:25" ht="25.5">
      <c r="A572" s="5" t="s">
        <v>4086</v>
      </c>
      <c r="B572" s="5" t="s">
        <v>522</v>
      </c>
      <c r="C572" s="5" t="s">
        <v>523</v>
      </c>
      <c r="D572" s="5" t="s">
        <v>118</v>
      </c>
      <c r="E572" s="5" t="s">
        <v>2787</v>
      </c>
      <c r="F572" s="5" t="s">
        <v>2758</v>
      </c>
      <c r="G572" s="5">
        <v>1</v>
      </c>
      <c r="H572" s="5" t="s">
        <v>2854</v>
      </c>
      <c r="I572" s="5" t="str">
        <f>IF(INDEX(Manual_Review!$Q$6:$Q$238,U572)="","",INDEX(Manual_Review!$Q$6:$Q$238,U572))</f>
        <v/>
      </c>
      <c r="J572" s="5" t="str">
        <f t="shared" si="16"/>
        <v>AI provisional</v>
      </c>
      <c r="K572" s="5" t="str">
        <f t="shared" si="17"/>
        <v>Y</v>
      </c>
      <c r="L572" s="5" t="s">
        <v>530</v>
      </c>
      <c r="M572" s="5" t="s">
        <v>4087</v>
      </c>
      <c r="N572" s="5" t="s">
        <v>4075</v>
      </c>
      <c r="O572" s="5" t="s">
        <v>2969</v>
      </c>
      <c r="P572" s="5" t="s">
        <v>2858</v>
      </c>
      <c r="Q572" s="11">
        <v>46306.5</v>
      </c>
      <c r="R572" s="6"/>
      <c r="S572" s="6"/>
      <c r="T572" s="6"/>
      <c r="U572" s="5">
        <f>MATCH(B572,Manual_Review!$A$6:$A$238,0)</f>
        <v>36</v>
      </c>
      <c r="V572" s="5" t="str">
        <f>IF(INDEX(Manual_Review!$G$6:$G$238,U572)="","",INDEX(Manual_Review!$G$6:$G$238,U572))</f>
        <v/>
      </c>
      <c r="W572" s="11" t="str">
        <f>IF(INDEX(Manual_Review!$H$6:$H$238,U572)="","",INDEX(Manual_Review!$H$6:$H$238,U572))</f>
        <v/>
      </c>
      <c r="X572" s="5" t="str">
        <f>IF(INDEX(Manual_Review!$I$6:$I$238,U572)="","",INDEX(Manual_Review!$I$6:$I$238,U572))</f>
        <v/>
      </c>
      <c r="Y572" s="5" t="s">
        <v>2859</v>
      </c>
    </row>
    <row r="573" spans="1:25" ht="25.5">
      <c r="A573" s="5" t="s">
        <v>4088</v>
      </c>
      <c r="B573" s="5" t="s">
        <v>522</v>
      </c>
      <c r="C573" s="5" t="s">
        <v>523</v>
      </c>
      <c r="D573" s="5" t="s">
        <v>118</v>
      </c>
      <c r="E573" s="5" t="s">
        <v>2788</v>
      </c>
      <c r="F573" s="5" t="s">
        <v>2758</v>
      </c>
      <c r="G573" s="5">
        <v>1</v>
      </c>
      <c r="H573" s="5" t="s">
        <v>2854</v>
      </c>
      <c r="I573" s="5" t="str">
        <f>IF(INDEX(Manual_Review!$R$6:$R$238,U573)="","",INDEX(Manual_Review!$R$6:$R$238,U573))</f>
        <v/>
      </c>
      <c r="J573" s="5" t="str">
        <f t="shared" si="16"/>
        <v>AI provisional</v>
      </c>
      <c r="K573" s="5" t="str">
        <f t="shared" si="17"/>
        <v>Y</v>
      </c>
      <c r="L573" s="5" t="s">
        <v>530</v>
      </c>
      <c r="M573" s="5" t="s">
        <v>4089</v>
      </c>
      <c r="N573" s="5" t="s">
        <v>4075</v>
      </c>
      <c r="O573" s="5" t="s">
        <v>3067</v>
      </c>
      <c r="P573" s="5" t="s">
        <v>2858</v>
      </c>
      <c r="Q573" s="11">
        <v>46306.5</v>
      </c>
      <c r="R573" s="6"/>
      <c r="S573" s="6"/>
      <c r="T573" s="6"/>
      <c r="U573" s="5">
        <f>MATCH(B573,Manual_Review!$A$6:$A$238,0)</f>
        <v>36</v>
      </c>
      <c r="V573" s="5" t="str">
        <f>IF(INDEX(Manual_Review!$G$6:$G$238,U573)="","",INDEX(Manual_Review!$G$6:$G$238,U573))</f>
        <v/>
      </c>
      <c r="W573" s="11" t="str">
        <f>IF(INDEX(Manual_Review!$H$6:$H$238,U573)="","",INDEX(Manual_Review!$H$6:$H$238,U573))</f>
        <v/>
      </c>
      <c r="X573" s="5" t="str">
        <f>IF(INDEX(Manual_Review!$I$6:$I$238,U573)="","",INDEX(Manual_Review!$I$6:$I$238,U573))</f>
        <v/>
      </c>
      <c r="Y573" s="5" t="s">
        <v>2859</v>
      </c>
    </row>
    <row r="574" spans="1:25" ht="25.5">
      <c r="A574" s="5" t="s">
        <v>4090</v>
      </c>
      <c r="B574" s="5" t="s">
        <v>522</v>
      </c>
      <c r="C574" s="5" t="s">
        <v>523</v>
      </c>
      <c r="D574" s="5" t="s">
        <v>118</v>
      </c>
      <c r="E574" s="5" t="s">
        <v>2789</v>
      </c>
      <c r="F574" s="5" t="s">
        <v>2758</v>
      </c>
      <c r="G574" s="5">
        <v>1</v>
      </c>
      <c r="H574" s="5" t="s">
        <v>2864</v>
      </c>
      <c r="I574" s="5" t="str">
        <f>IF(INDEX(Manual_Review!$S$6:$S$238,U574)="","",INDEX(Manual_Review!$S$6:$S$238,U574))</f>
        <v/>
      </c>
      <c r="J574" s="5" t="str">
        <f t="shared" si="16"/>
        <v>AI provisional</v>
      </c>
      <c r="K574" s="5" t="str">
        <f t="shared" si="17"/>
        <v>U</v>
      </c>
      <c r="L574" s="5" t="s">
        <v>530</v>
      </c>
      <c r="M574" s="5" t="s">
        <v>4091</v>
      </c>
      <c r="N574" s="5" t="s">
        <v>4075</v>
      </c>
      <c r="O574" s="5" t="s">
        <v>2883</v>
      </c>
      <c r="P574" s="5" t="s">
        <v>2858</v>
      </c>
      <c r="Q574" s="11">
        <v>46306.5</v>
      </c>
      <c r="R574" s="6"/>
      <c r="S574" s="6"/>
      <c r="T574" s="6"/>
      <c r="U574" s="5">
        <f>MATCH(B574,Manual_Review!$A$6:$A$238,0)</f>
        <v>36</v>
      </c>
      <c r="V574" s="5" t="str">
        <f>IF(INDEX(Manual_Review!$G$6:$G$238,U574)="","",INDEX(Manual_Review!$G$6:$G$238,U574))</f>
        <v/>
      </c>
      <c r="W574" s="11" t="str">
        <f>IF(INDEX(Manual_Review!$H$6:$H$238,U574)="","",INDEX(Manual_Review!$H$6:$H$238,U574))</f>
        <v/>
      </c>
      <c r="X574" s="5" t="str">
        <f>IF(INDEX(Manual_Review!$I$6:$I$238,U574)="","",INDEX(Manual_Review!$I$6:$I$238,U574))</f>
        <v/>
      </c>
      <c r="Y574" s="5" t="s">
        <v>2859</v>
      </c>
    </row>
    <row r="575" spans="1:25" ht="25.5">
      <c r="A575" s="5" t="s">
        <v>4092</v>
      </c>
      <c r="B575" s="5" t="s">
        <v>522</v>
      </c>
      <c r="C575" s="5" t="s">
        <v>523</v>
      </c>
      <c r="D575" s="5" t="s">
        <v>118</v>
      </c>
      <c r="E575" s="5" t="s">
        <v>2790</v>
      </c>
      <c r="F575" s="5" t="s">
        <v>2760</v>
      </c>
      <c r="G575" s="5">
        <v>1</v>
      </c>
      <c r="H575" s="5" t="s">
        <v>2854</v>
      </c>
      <c r="I575" s="5" t="str">
        <f>IF(INDEX(Manual_Review!$T$6:$T$238,U575)="","",INDEX(Manual_Review!$T$6:$T$238,U575))</f>
        <v/>
      </c>
      <c r="J575" s="5" t="str">
        <f t="shared" si="16"/>
        <v>AI provisional</v>
      </c>
      <c r="K575" s="5" t="str">
        <f t="shared" si="17"/>
        <v>Y</v>
      </c>
      <c r="L575" s="5" t="s">
        <v>530</v>
      </c>
      <c r="M575" s="5" t="s">
        <v>4093</v>
      </c>
      <c r="N575" s="5" t="s">
        <v>4075</v>
      </c>
      <c r="O575" s="5" t="s">
        <v>2976</v>
      </c>
      <c r="P575" s="5" t="s">
        <v>2858</v>
      </c>
      <c r="Q575" s="11">
        <v>46306.5</v>
      </c>
      <c r="R575" s="6"/>
      <c r="S575" s="6"/>
      <c r="T575" s="6"/>
      <c r="U575" s="5">
        <f>MATCH(B575,Manual_Review!$A$6:$A$238,0)</f>
        <v>36</v>
      </c>
      <c r="V575" s="5" t="str">
        <f>IF(INDEX(Manual_Review!$G$6:$G$238,U575)="","",INDEX(Manual_Review!$G$6:$G$238,U575))</f>
        <v/>
      </c>
      <c r="W575" s="11" t="str">
        <f>IF(INDEX(Manual_Review!$H$6:$H$238,U575)="","",INDEX(Manual_Review!$H$6:$H$238,U575))</f>
        <v/>
      </c>
      <c r="X575" s="5" t="str">
        <f>IF(INDEX(Manual_Review!$I$6:$I$238,U575)="","",INDEX(Manual_Review!$I$6:$I$238,U575))</f>
        <v/>
      </c>
      <c r="Y575" s="5" t="s">
        <v>2859</v>
      </c>
    </row>
    <row r="576" spans="1:25" ht="25.5">
      <c r="A576" s="5" t="s">
        <v>4094</v>
      </c>
      <c r="B576" s="5" t="s">
        <v>522</v>
      </c>
      <c r="C576" s="5" t="s">
        <v>523</v>
      </c>
      <c r="D576" s="5" t="s">
        <v>118</v>
      </c>
      <c r="E576" s="5" t="s">
        <v>2791</v>
      </c>
      <c r="F576" s="5" t="s">
        <v>2760</v>
      </c>
      <c r="G576" s="5">
        <v>1</v>
      </c>
      <c r="H576" s="5" t="s">
        <v>2864</v>
      </c>
      <c r="I576" s="5" t="str">
        <f>IF(INDEX(Manual_Review!$U$6:$U$238,U576)="","",INDEX(Manual_Review!$U$6:$U$238,U576))</f>
        <v/>
      </c>
      <c r="J576" s="5" t="str">
        <f t="shared" si="16"/>
        <v>AI provisional</v>
      </c>
      <c r="K576" s="5" t="str">
        <f t="shared" si="17"/>
        <v>U</v>
      </c>
      <c r="L576" s="5" t="s">
        <v>530</v>
      </c>
      <c r="M576" s="5" t="s">
        <v>4095</v>
      </c>
      <c r="N576" s="5" t="s">
        <v>4075</v>
      </c>
      <c r="O576" s="5" t="s">
        <v>2888</v>
      </c>
      <c r="P576" s="5" t="s">
        <v>2858</v>
      </c>
      <c r="Q576" s="11">
        <v>46306.5</v>
      </c>
      <c r="R576" s="6"/>
      <c r="S576" s="6"/>
      <c r="T576" s="6"/>
      <c r="U576" s="5">
        <f>MATCH(B576,Manual_Review!$A$6:$A$238,0)</f>
        <v>36</v>
      </c>
      <c r="V576" s="5" t="str">
        <f>IF(INDEX(Manual_Review!$G$6:$G$238,U576)="","",INDEX(Manual_Review!$G$6:$G$238,U576))</f>
        <v/>
      </c>
      <c r="W576" s="11" t="str">
        <f>IF(INDEX(Manual_Review!$H$6:$H$238,U576)="","",INDEX(Manual_Review!$H$6:$H$238,U576))</f>
        <v/>
      </c>
      <c r="X576" s="5" t="str">
        <f>IF(INDEX(Manual_Review!$I$6:$I$238,U576)="","",INDEX(Manual_Review!$I$6:$I$238,U576))</f>
        <v/>
      </c>
      <c r="Y576" s="5" t="s">
        <v>2859</v>
      </c>
    </row>
    <row r="577" spans="1:25" ht="25.5">
      <c r="A577" s="5" t="s">
        <v>4096</v>
      </c>
      <c r="B577" s="5" t="s">
        <v>522</v>
      </c>
      <c r="C577" s="5" t="s">
        <v>523</v>
      </c>
      <c r="D577" s="5" t="s">
        <v>118</v>
      </c>
      <c r="E577" s="5" t="s">
        <v>2792</v>
      </c>
      <c r="F577" s="5" t="s">
        <v>2762</v>
      </c>
      <c r="G577" s="5">
        <v>1</v>
      </c>
      <c r="H577" s="5" t="s">
        <v>2864</v>
      </c>
      <c r="I577" s="5" t="str">
        <f>IF(INDEX(Manual_Review!$V$6:$V$238,U577)="","",INDEX(Manual_Review!$V$6:$V$238,U577))</f>
        <v/>
      </c>
      <c r="J577" s="5" t="str">
        <f t="shared" si="16"/>
        <v>AI provisional</v>
      </c>
      <c r="K577" s="5" t="str">
        <f t="shared" si="17"/>
        <v>U</v>
      </c>
      <c r="L577" s="5" t="s">
        <v>530</v>
      </c>
      <c r="M577" s="5" t="s">
        <v>4097</v>
      </c>
      <c r="N577" s="5" t="s">
        <v>4075</v>
      </c>
      <c r="O577" s="5" t="s">
        <v>2891</v>
      </c>
      <c r="P577" s="5" t="s">
        <v>2858</v>
      </c>
      <c r="Q577" s="11">
        <v>46306.5</v>
      </c>
      <c r="R577" s="6"/>
      <c r="S577" s="6"/>
      <c r="T577" s="6"/>
      <c r="U577" s="5">
        <f>MATCH(B577,Manual_Review!$A$6:$A$238,0)</f>
        <v>36</v>
      </c>
      <c r="V577" s="5" t="str">
        <f>IF(INDEX(Manual_Review!$G$6:$G$238,U577)="","",INDEX(Manual_Review!$G$6:$G$238,U577))</f>
        <v/>
      </c>
      <c r="W577" s="11" t="str">
        <f>IF(INDEX(Manual_Review!$H$6:$H$238,U577)="","",INDEX(Manual_Review!$H$6:$H$238,U577))</f>
        <v/>
      </c>
      <c r="X577" s="5" t="str">
        <f>IF(INDEX(Manual_Review!$I$6:$I$238,U577)="","",INDEX(Manual_Review!$I$6:$I$238,U577))</f>
        <v/>
      </c>
      <c r="Y577" s="5" t="s">
        <v>2859</v>
      </c>
    </row>
    <row r="578" spans="1:25" ht="25.5">
      <c r="A578" s="5" t="s">
        <v>4098</v>
      </c>
      <c r="B578" s="5" t="s">
        <v>522</v>
      </c>
      <c r="C578" s="5" t="s">
        <v>523</v>
      </c>
      <c r="D578" s="5" t="s">
        <v>118</v>
      </c>
      <c r="E578" s="5" t="s">
        <v>2793</v>
      </c>
      <c r="F578" s="5" t="s">
        <v>2762</v>
      </c>
      <c r="G578" s="5">
        <v>1</v>
      </c>
      <c r="H578" s="5" t="s">
        <v>2854</v>
      </c>
      <c r="I578" s="5" t="str">
        <f>IF(INDEX(Manual_Review!$W$6:$W$238,U578)="","",INDEX(Manual_Review!$W$6:$W$238,U578))</f>
        <v/>
      </c>
      <c r="J578" s="5" t="str">
        <f t="shared" si="16"/>
        <v>AI provisional</v>
      </c>
      <c r="K578" s="5" t="str">
        <f t="shared" si="17"/>
        <v>Y</v>
      </c>
      <c r="L578" s="5" t="s">
        <v>530</v>
      </c>
      <c r="M578" s="5" t="s">
        <v>4099</v>
      </c>
      <c r="N578" s="5" t="s">
        <v>4075</v>
      </c>
      <c r="O578" s="5" t="s">
        <v>3077</v>
      </c>
      <c r="P578" s="5" t="s">
        <v>2858</v>
      </c>
      <c r="Q578" s="11">
        <v>46306.5</v>
      </c>
      <c r="R578" s="6"/>
      <c r="S578" s="6"/>
      <c r="T578" s="6"/>
      <c r="U578" s="5">
        <f>MATCH(B578,Manual_Review!$A$6:$A$238,0)</f>
        <v>36</v>
      </c>
      <c r="V578" s="5" t="str">
        <f>IF(INDEX(Manual_Review!$G$6:$G$238,U578)="","",INDEX(Manual_Review!$G$6:$G$238,U578))</f>
        <v/>
      </c>
      <c r="W578" s="11" t="str">
        <f>IF(INDEX(Manual_Review!$H$6:$H$238,U578)="","",INDEX(Manual_Review!$H$6:$H$238,U578))</f>
        <v/>
      </c>
      <c r="X578" s="5" t="str">
        <f>IF(INDEX(Manual_Review!$I$6:$I$238,U578)="","",INDEX(Manual_Review!$I$6:$I$238,U578))</f>
        <v/>
      </c>
      <c r="Y578" s="5" t="s">
        <v>2859</v>
      </c>
    </row>
    <row r="579" spans="1:25" ht="25.5">
      <c r="A579" s="5" t="s">
        <v>4100</v>
      </c>
      <c r="B579" s="5" t="s">
        <v>522</v>
      </c>
      <c r="C579" s="5" t="s">
        <v>523</v>
      </c>
      <c r="D579" s="5" t="s">
        <v>118</v>
      </c>
      <c r="E579" s="5" t="s">
        <v>2794</v>
      </c>
      <c r="F579" s="5" t="s">
        <v>2764</v>
      </c>
      <c r="G579" s="5">
        <v>1</v>
      </c>
      <c r="H579" s="5" t="s">
        <v>2864</v>
      </c>
      <c r="I579" s="5" t="str">
        <f>IF(INDEX(Manual_Review!$X$6:$X$238,U579)="","",INDEX(Manual_Review!$X$6:$X$238,U579))</f>
        <v/>
      </c>
      <c r="J579" s="5" t="str">
        <f t="shared" si="16"/>
        <v>AI provisional</v>
      </c>
      <c r="K579" s="5" t="str">
        <f t="shared" si="17"/>
        <v>U</v>
      </c>
      <c r="L579" s="5" t="s">
        <v>530</v>
      </c>
      <c r="M579" s="5" t="s">
        <v>4079</v>
      </c>
      <c r="N579" s="5" t="s">
        <v>4075</v>
      </c>
      <c r="O579" s="5" t="s">
        <v>2895</v>
      </c>
      <c r="P579" s="5" t="s">
        <v>2858</v>
      </c>
      <c r="Q579" s="11">
        <v>46306.5</v>
      </c>
      <c r="R579" s="6"/>
      <c r="S579" s="6"/>
      <c r="T579" s="6"/>
      <c r="U579" s="5">
        <f>MATCH(B579,Manual_Review!$A$6:$A$238,0)</f>
        <v>36</v>
      </c>
      <c r="V579" s="5" t="str">
        <f>IF(INDEX(Manual_Review!$G$6:$G$238,U579)="","",INDEX(Manual_Review!$G$6:$G$238,U579))</f>
        <v/>
      </c>
      <c r="W579" s="11" t="str">
        <f>IF(INDEX(Manual_Review!$H$6:$H$238,U579)="","",INDEX(Manual_Review!$H$6:$H$238,U579))</f>
        <v/>
      </c>
      <c r="X579" s="5" t="str">
        <f>IF(INDEX(Manual_Review!$I$6:$I$238,U579)="","",INDEX(Manual_Review!$I$6:$I$238,U579))</f>
        <v/>
      </c>
      <c r="Y579" s="5" t="s">
        <v>2859</v>
      </c>
    </row>
    <row r="580" spans="1:25" ht="25.5">
      <c r="A580" s="5" t="s">
        <v>4101</v>
      </c>
      <c r="B580" s="5" t="s">
        <v>522</v>
      </c>
      <c r="C580" s="5" t="s">
        <v>523</v>
      </c>
      <c r="D580" s="5" t="s">
        <v>118</v>
      </c>
      <c r="E580" s="5" t="s">
        <v>2795</v>
      </c>
      <c r="F580" s="5" t="s">
        <v>2764</v>
      </c>
      <c r="G580" s="5">
        <v>1</v>
      </c>
      <c r="H580" s="5" t="s">
        <v>2864</v>
      </c>
      <c r="I580" s="5" t="str">
        <f>IF(INDEX(Manual_Review!$Y$6:$Y$238,U580)="","",INDEX(Manual_Review!$Y$6:$Y$238,U580))</f>
        <v/>
      </c>
      <c r="J580" s="5" t="str">
        <f t="shared" si="16"/>
        <v>AI provisional</v>
      </c>
      <c r="K580" s="5" t="str">
        <f t="shared" si="17"/>
        <v>U</v>
      </c>
      <c r="L580" s="5" t="s">
        <v>530</v>
      </c>
      <c r="M580" s="5" t="s">
        <v>4079</v>
      </c>
      <c r="N580" s="5" t="s">
        <v>4075</v>
      </c>
      <c r="O580" s="5" t="s">
        <v>2897</v>
      </c>
      <c r="P580" s="5" t="s">
        <v>2858</v>
      </c>
      <c r="Q580" s="11">
        <v>46306.5</v>
      </c>
      <c r="R580" s="6"/>
      <c r="S580" s="6"/>
      <c r="T580" s="6"/>
      <c r="U580" s="5">
        <f>MATCH(B580,Manual_Review!$A$6:$A$238,0)</f>
        <v>36</v>
      </c>
      <c r="V580" s="5" t="str">
        <f>IF(INDEX(Manual_Review!$G$6:$G$238,U580)="","",INDEX(Manual_Review!$G$6:$G$238,U580))</f>
        <v/>
      </c>
      <c r="W580" s="11" t="str">
        <f>IF(INDEX(Manual_Review!$H$6:$H$238,U580)="","",INDEX(Manual_Review!$H$6:$H$238,U580))</f>
        <v/>
      </c>
      <c r="X580" s="5" t="str">
        <f>IF(INDEX(Manual_Review!$I$6:$I$238,U580)="","",INDEX(Manual_Review!$I$6:$I$238,U580))</f>
        <v/>
      </c>
      <c r="Y580" s="5" t="s">
        <v>2859</v>
      </c>
    </row>
    <row r="581" spans="1:25" ht="25.5">
      <c r="A581" s="5" t="s">
        <v>4102</v>
      </c>
      <c r="B581" s="5" t="s">
        <v>522</v>
      </c>
      <c r="C581" s="5" t="s">
        <v>523</v>
      </c>
      <c r="D581" s="5" t="s">
        <v>118</v>
      </c>
      <c r="E581" s="5" t="s">
        <v>2796</v>
      </c>
      <c r="F581" s="5" t="s">
        <v>2764</v>
      </c>
      <c r="G581" s="5">
        <v>1</v>
      </c>
      <c r="H581" s="5" t="s">
        <v>2864</v>
      </c>
      <c r="I581" s="5" t="str">
        <f>IF(INDEX(Manual_Review!$Z$6:$Z$238,U581)="","",INDEX(Manual_Review!$Z$6:$Z$238,U581))</f>
        <v/>
      </c>
      <c r="J581" s="5" t="str">
        <f t="shared" si="16"/>
        <v>AI provisional</v>
      </c>
      <c r="K581" s="5" t="str">
        <f t="shared" si="17"/>
        <v>U</v>
      </c>
      <c r="L581" s="5" t="s">
        <v>530</v>
      </c>
      <c r="M581" s="5" t="s">
        <v>4103</v>
      </c>
      <c r="N581" s="5" t="s">
        <v>4075</v>
      </c>
      <c r="O581" s="5" t="s">
        <v>2899</v>
      </c>
      <c r="P581" s="5" t="s">
        <v>2858</v>
      </c>
      <c r="Q581" s="11">
        <v>46306.5</v>
      </c>
      <c r="R581" s="6"/>
      <c r="S581" s="6"/>
      <c r="T581" s="6"/>
      <c r="U581" s="5">
        <f>MATCH(B581,Manual_Review!$A$6:$A$238,0)</f>
        <v>36</v>
      </c>
      <c r="V581" s="5" t="str">
        <f>IF(INDEX(Manual_Review!$G$6:$G$238,U581)="","",INDEX(Manual_Review!$G$6:$G$238,U581))</f>
        <v/>
      </c>
      <c r="W581" s="11" t="str">
        <f>IF(INDEX(Manual_Review!$H$6:$H$238,U581)="","",INDEX(Manual_Review!$H$6:$H$238,U581))</f>
        <v/>
      </c>
      <c r="X581" s="5" t="str">
        <f>IF(INDEX(Manual_Review!$I$6:$I$238,U581)="","",INDEX(Manual_Review!$I$6:$I$238,U581))</f>
        <v/>
      </c>
      <c r="Y581" s="5" t="s">
        <v>2859</v>
      </c>
    </row>
    <row r="582" spans="1:25" ht="38.25">
      <c r="A582" s="5" t="s">
        <v>4104</v>
      </c>
      <c r="B582" s="5" t="s">
        <v>532</v>
      </c>
      <c r="C582" s="5" t="s">
        <v>533</v>
      </c>
      <c r="D582" s="5" t="s">
        <v>118</v>
      </c>
      <c r="E582" s="5" t="s">
        <v>2781</v>
      </c>
      <c r="F582" s="5" t="s">
        <v>2754</v>
      </c>
      <c r="G582" s="5">
        <v>1</v>
      </c>
      <c r="H582" s="5" t="s">
        <v>2854</v>
      </c>
      <c r="I582" s="5" t="str">
        <f>IF(INDEX(Manual_Review!$K$6:$K$238,U582)="","",INDEX(Manual_Review!$K$6:$K$238,U582))</f>
        <v/>
      </c>
      <c r="J582" s="5" t="str">
        <f t="shared" ref="J582:J645" si="18">IF(G582=0,"Not applicable",IF(I582="","AI provisional",IF(AND(OR(I582="Y",I582="N",I582="U",I582="X"),V582&lt;&gt;"",ISNUMBER(W582),W582&gt;0,X582="Confirmed",R582&lt;&gt;"",S582&lt;&gt;"",T582&lt;&gt;""),"Human valid","Evidence needed")))</f>
        <v>AI provisional</v>
      </c>
      <c r="K582" s="5" t="str">
        <f t="shared" ref="K582:K645" si="19">IF(G582=0,"N/A",IF(I582="",H582,IF(J582="Human valid",I582,"U")))</f>
        <v>Y</v>
      </c>
      <c r="L582" s="5" t="s">
        <v>543</v>
      </c>
      <c r="M582" s="5" t="s">
        <v>4105</v>
      </c>
      <c r="N582" s="5" t="s">
        <v>4106</v>
      </c>
      <c r="O582" s="5" t="s">
        <v>2857</v>
      </c>
      <c r="P582" s="5" t="s">
        <v>2858</v>
      </c>
      <c r="Q582" s="11">
        <v>46306.5</v>
      </c>
      <c r="R582" s="6"/>
      <c r="S582" s="6"/>
      <c r="T582" s="6"/>
      <c r="U582" s="5">
        <f>MATCH(B582,Manual_Review!$A$6:$A$238,0)</f>
        <v>37</v>
      </c>
      <c r="V582" s="5" t="str">
        <f>IF(INDEX(Manual_Review!$G$6:$G$238,U582)="","",INDEX(Manual_Review!$G$6:$G$238,U582))</f>
        <v/>
      </c>
      <c r="W582" s="11" t="str">
        <f>IF(INDEX(Manual_Review!$H$6:$H$238,U582)="","",INDEX(Manual_Review!$H$6:$H$238,U582))</f>
        <v/>
      </c>
      <c r="X582" s="5" t="str">
        <f>IF(INDEX(Manual_Review!$I$6:$I$238,U582)="","",INDEX(Manual_Review!$I$6:$I$238,U582))</f>
        <v/>
      </c>
      <c r="Y582" s="5" t="s">
        <v>2859</v>
      </c>
    </row>
    <row r="583" spans="1:25" ht="38.25">
      <c r="A583" s="5" t="s">
        <v>4107</v>
      </c>
      <c r="B583" s="5" t="s">
        <v>532</v>
      </c>
      <c r="C583" s="5" t="s">
        <v>533</v>
      </c>
      <c r="D583" s="5" t="s">
        <v>118</v>
      </c>
      <c r="E583" s="5" t="s">
        <v>2782</v>
      </c>
      <c r="F583" s="5" t="s">
        <v>2754</v>
      </c>
      <c r="G583" s="5">
        <v>1</v>
      </c>
      <c r="H583" s="5" t="s">
        <v>2854</v>
      </c>
      <c r="I583" s="5" t="str">
        <f>IF(INDEX(Manual_Review!$L$6:$L$238,U583)="","",INDEX(Manual_Review!$L$6:$L$238,U583))</f>
        <v/>
      </c>
      <c r="J583" s="5" t="str">
        <f t="shared" si="18"/>
        <v>AI provisional</v>
      </c>
      <c r="K583" s="5" t="str">
        <f t="shared" si="19"/>
        <v>Y</v>
      </c>
      <c r="L583" s="5" t="s">
        <v>543</v>
      </c>
      <c r="M583" s="5" t="s">
        <v>4108</v>
      </c>
      <c r="N583" s="5" t="s">
        <v>4106</v>
      </c>
      <c r="O583" s="5" t="s">
        <v>2862</v>
      </c>
      <c r="P583" s="5" t="s">
        <v>2858</v>
      </c>
      <c r="Q583" s="11">
        <v>46306.5</v>
      </c>
      <c r="R583" s="6"/>
      <c r="S583" s="6"/>
      <c r="T583" s="6"/>
      <c r="U583" s="5">
        <f>MATCH(B583,Manual_Review!$A$6:$A$238,0)</f>
        <v>37</v>
      </c>
      <c r="V583" s="5" t="str">
        <f>IF(INDEX(Manual_Review!$G$6:$G$238,U583)="","",INDEX(Manual_Review!$G$6:$G$238,U583))</f>
        <v/>
      </c>
      <c r="W583" s="11" t="str">
        <f>IF(INDEX(Manual_Review!$H$6:$H$238,U583)="","",INDEX(Manual_Review!$H$6:$H$238,U583))</f>
        <v/>
      </c>
      <c r="X583" s="5" t="str">
        <f>IF(INDEX(Manual_Review!$I$6:$I$238,U583)="","",INDEX(Manual_Review!$I$6:$I$238,U583))</f>
        <v/>
      </c>
      <c r="Y583" s="5" t="s">
        <v>2859</v>
      </c>
    </row>
    <row r="584" spans="1:25" ht="38.25">
      <c r="A584" s="5" t="s">
        <v>4109</v>
      </c>
      <c r="B584" s="5" t="s">
        <v>532</v>
      </c>
      <c r="C584" s="5" t="s">
        <v>533</v>
      </c>
      <c r="D584" s="5" t="s">
        <v>118</v>
      </c>
      <c r="E584" s="5" t="s">
        <v>2783</v>
      </c>
      <c r="F584" s="5" t="s">
        <v>2754</v>
      </c>
      <c r="G584" s="5">
        <v>1</v>
      </c>
      <c r="H584" s="5" t="s">
        <v>2854</v>
      </c>
      <c r="I584" s="5" t="str">
        <f>IF(INDEX(Manual_Review!$M$6:$M$238,U584)="","",INDEX(Manual_Review!$M$6:$M$238,U584))</f>
        <v/>
      </c>
      <c r="J584" s="5" t="str">
        <f t="shared" si="18"/>
        <v>AI provisional</v>
      </c>
      <c r="K584" s="5" t="str">
        <f t="shared" si="19"/>
        <v>Y</v>
      </c>
      <c r="L584" s="5" t="s">
        <v>543</v>
      </c>
      <c r="M584" s="5" t="s">
        <v>4110</v>
      </c>
      <c r="N584" s="5" t="s">
        <v>4106</v>
      </c>
      <c r="O584" s="5" t="s">
        <v>3133</v>
      </c>
      <c r="P584" s="5" t="s">
        <v>2858</v>
      </c>
      <c r="Q584" s="11">
        <v>46306.5</v>
      </c>
      <c r="R584" s="6"/>
      <c r="S584" s="6"/>
      <c r="T584" s="6"/>
      <c r="U584" s="5">
        <f>MATCH(B584,Manual_Review!$A$6:$A$238,0)</f>
        <v>37</v>
      </c>
      <c r="V584" s="5" t="str">
        <f>IF(INDEX(Manual_Review!$G$6:$G$238,U584)="","",INDEX(Manual_Review!$G$6:$G$238,U584))</f>
        <v/>
      </c>
      <c r="W584" s="11" t="str">
        <f>IF(INDEX(Manual_Review!$H$6:$H$238,U584)="","",INDEX(Manual_Review!$H$6:$H$238,U584))</f>
        <v/>
      </c>
      <c r="X584" s="5" t="str">
        <f>IF(INDEX(Manual_Review!$I$6:$I$238,U584)="","",INDEX(Manual_Review!$I$6:$I$238,U584))</f>
        <v/>
      </c>
      <c r="Y584" s="5" t="s">
        <v>2859</v>
      </c>
    </row>
    <row r="585" spans="1:25" ht="38.25">
      <c r="A585" s="5" t="s">
        <v>4111</v>
      </c>
      <c r="B585" s="5" t="s">
        <v>532</v>
      </c>
      <c r="C585" s="5" t="s">
        <v>533</v>
      </c>
      <c r="D585" s="5" t="s">
        <v>118</v>
      </c>
      <c r="E585" s="5" t="s">
        <v>2784</v>
      </c>
      <c r="F585" s="5" t="s">
        <v>2756</v>
      </c>
      <c r="G585" s="5">
        <v>1</v>
      </c>
      <c r="H585" s="5" t="s">
        <v>2854</v>
      </c>
      <c r="I585" s="5" t="str">
        <f>IF(INDEX(Manual_Review!$N$6:$N$238,U585)="","",INDEX(Manual_Review!$N$6:$N$238,U585))</f>
        <v/>
      </c>
      <c r="J585" s="5" t="str">
        <f t="shared" si="18"/>
        <v>AI provisional</v>
      </c>
      <c r="K585" s="5" t="str">
        <f t="shared" si="19"/>
        <v>Y</v>
      </c>
      <c r="L585" s="5" t="s">
        <v>543</v>
      </c>
      <c r="M585" s="5" t="s">
        <v>4112</v>
      </c>
      <c r="N585" s="5" t="s">
        <v>4106</v>
      </c>
      <c r="O585" s="5" t="s">
        <v>2963</v>
      </c>
      <c r="P585" s="5" t="s">
        <v>2858</v>
      </c>
      <c r="Q585" s="11">
        <v>46306.5</v>
      </c>
      <c r="R585" s="6"/>
      <c r="S585" s="6"/>
      <c r="T585" s="6"/>
      <c r="U585" s="5">
        <f>MATCH(B585,Manual_Review!$A$6:$A$238,0)</f>
        <v>37</v>
      </c>
      <c r="V585" s="5" t="str">
        <f>IF(INDEX(Manual_Review!$G$6:$G$238,U585)="","",INDEX(Manual_Review!$G$6:$G$238,U585))</f>
        <v/>
      </c>
      <c r="W585" s="11" t="str">
        <f>IF(INDEX(Manual_Review!$H$6:$H$238,U585)="","",INDEX(Manual_Review!$H$6:$H$238,U585))</f>
        <v/>
      </c>
      <c r="X585" s="5" t="str">
        <f>IF(INDEX(Manual_Review!$I$6:$I$238,U585)="","",INDEX(Manual_Review!$I$6:$I$238,U585))</f>
        <v/>
      </c>
      <c r="Y585" s="5" t="s">
        <v>2859</v>
      </c>
    </row>
    <row r="586" spans="1:25" ht="38.25">
      <c r="A586" s="5" t="s">
        <v>4113</v>
      </c>
      <c r="B586" s="5" t="s">
        <v>532</v>
      </c>
      <c r="C586" s="5" t="s">
        <v>533</v>
      </c>
      <c r="D586" s="5" t="s">
        <v>118</v>
      </c>
      <c r="E586" s="5" t="s">
        <v>2785</v>
      </c>
      <c r="F586" s="5" t="s">
        <v>2756</v>
      </c>
      <c r="G586" s="5">
        <v>1</v>
      </c>
      <c r="H586" s="5" t="s">
        <v>2854</v>
      </c>
      <c r="I586" s="5" t="str">
        <f>IF(INDEX(Manual_Review!$O$6:$O$238,U586)="","",INDEX(Manual_Review!$O$6:$O$238,U586))</f>
        <v/>
      </c>
      <c r="J586" s="5" t="str">
        <f t="shared" si="18"/>
        <v>AI provisional</v>
      </c>
      <c r="K586" s="5" t="str">
        <f t="shared" si="19"/>
        <v>Y</v>
      </c>
      <c r="L586" s="5" t="s">
        <v>543</v>
      </c>
      <c r="M586" s="5" t="s">
        <v>4114</v>
      </c>
      <c r="N586" s="5" t="s">
        <v>4106</v>
      </c>
      <c r="O586" s="5" t="s">
        <v>3138</v>
      </c>
      <c r="P586" s="5" t="s">
        <v>2858</v>
      </c>
      <c r="Q586" s="11">
        <v>46306.5</v>
      </c>
      <c r="R586" s="6"/>
      <c r="S586" s="6"/>
      <c r="T586" s="6"/>
      <c r="U586" s="5">
        <f>MATCH(B586,Manual_Review!$A$6:$A$238,0)</f>
        <v>37</v>
      </c>
      <c r="V586" s="5" t="str">
        <f>IF(INDEX(Manual_Review!$G$6:$G$238,U586)="","",INDEX(Manual_Review!$G$6:$G$238,U586))</f>
        <v/>
      </c>
      <c r="W586" s="11" t="str">
        <f>IF(INDEX(Manual_Review!$H$6:$H$238,U586)="","",INDEX(Manual_Review!$H$6:$H$238,U586))</f>
        <v/>
      </c>
      <c r="X586" s="5" t="str">
        <f>IF(INDEX(Manual_Review!$I$6:$I$238,U586)="","",INDEX(Manual_Review!$I$6:$I$238,U586))</f>
        <v/>
      </c>
      <c r="Y586" s="5" t="s">
        <v>2859</v>
      </c>
    </row>
    <row r="587" spans="1:25" ht="38.25">
      <c r="A587" s="5" t="s">
        <v>4115</v>
      </c>
      <c r="B587" s="5" t="s">
        <v>532</v>
      </c>
      <c r="C587" s="5" t="s">
        <v>533</v>
      </c>
      <c r="D587" s="5" t="s">
        <v>118</v>
      </c>
      <c r="E587" s="5" t="s">
        <v>2786</v>
      </c>
      <c r="F587" s="5" t="s">
        <v>2756</v>
      </c>
      <c r="G587" s="5">
        <v>1</v>
      </c>
      <c r="H587" s="5" t="s">
        <v>2864</v>
      </c>
      <c r="I587" s="5" t="str">
        <f>IF(INDEX(Manual_Review!$P$6:$P$238,U587)="","",INDEX(Manual_Review!$P$6:$P$238,U587))</f>
        <v/>
      </c>
      <c r="J587" s="5" t="str">
        <f t="shared" si="18"/>
        <v>AI provisional</v>
      </c>
      <c r="K587" s="5" t="str">
        <f t="shared" si="19"/>
        <v>U</v>
      </c>
      <c r="L587" s="5" t="s">
        <v>543</v>
      </c>
      <c r="M587" s="5" t="s">
        <v>4116</v>
      </c>
      <c r="N587" s="5" t="s">
        <v>4106</v>
      </c>
      <c r="O587" s="5" t="s">
        <v>2874</v>
      </c>
      <c r="P587" s="5" t="s">
        <v>2858</v>
      </c>
      <c r="Q587" s="11">
        <v>46306.5</v>
      </c>
      <c r="R587" s="6"/>
      <c r="S587" s="6"/>
      <c r="T587" s="6"/>
      <c r="U587" s="5">
        <f>MATCH(B587,Manual_Review!$A$6:$A$238,0)</f>
        <v>37</v>
      </c>
      <c r="V587" s="5" t="str">
        <f>IF(INDEX(Manual_Review!$G$6:$G$238,U587)="","",INDEX(Manual_Review!$G$6:$G$238,U587))</f>
        <v/>
      </c>
      <c r="W587" s="11" t="str">
        <f>IF(INDEX(Manual_Review!$H$6:$H$238,U587)="","",INDEX(Manual_Review!$H$6:$H$238,U587))</f>
        <v/>
      </c>
      <c r="X587" s="5" t="str">
        <f>IF(INDEX(Manual_Review!$I$6:$I$238,U587)="","",INDEX(Manual_Review!$I$6:$I$238,U587))</f>
        <v/>
      </c>
      <c r="Y587" s="5" t="s">
        <v>2859</v>
      </c>
    </row>
    <row r="588" spans="1:25" ht="38.25">
      <c r="A588" s="5" t="s">
        <v>4117</v>
      </c>
      <c r="B588" s="5" t="s">
        <v>532</v>
      </c>
      <c r="C588" s="5" t="s">
        <v>533</v>
      </c>
      <c r="D588" s="5" t="s">
        <v>118</v>
      </c>
      <c r="E588" s="5" t="s">
        <v>2787</v>
      </c>
      <c r="F588" s="5" t="s">
        <v>2758</v>
      </c>
      <c r="G588" s="5">
        <v>1</v>
      </c>
      <c r="H588" s="5" t="s">
        <v>2864</v>
      </c>
      <c r="I588" s="5" t="str">
        <f>IF(INDEX(Manual_Review!$Q$6:$Q$238,U588)="","",INDEX(Manual_Review!$Q$6:$Q$238,U588))</f>
        <v/>
      </c>
      <c r="J588" s="5" t="str">
        <f t="shared" si="18"/>
        <v>AI provisional</v>
      </c>
      <c r="K588" s="5" t="str">
        <f t="shared" si="19"/>
        <v>U</v>
      </c>
      <c r="L588" s="5" t="s">
        <v>543</v>
      </c>
      <c r="M588" s="5" t="s">
        <v>4118</v>
      </c>
      <c r="N588" s="5" t="s">
        <v>4106</v>
      </c>
      <c r="O588" s="5" t="s">
        <v>2877</v>
      </c>
      <c r="P588" s="5" t="s">
        <v>2858</v>
      </c>
      <c r="Q588" s="11">
        <v>46306.5</v>
      </c>
      <c r="R588" s="6"/>
      <c r="S588" s="6"/>
      <c r="T588" s="6"/>
      <c r="U588" s="5">
        <f>MATCH(B588,Manual_Review!$A$6:$A$238,0)</f>
        <v>37</v>
      </c>
      <c r="V588" s="5" t="str">
        <f>IF(INDEX(Manual_Review!$G$6:$G$238,U588)="","",INDEX(Manual_Review!$G$6:$G$238,U588))</f>
        <v/>
      </c>
      <c r="W588" s="11" t="str">
        <f>IF(INDEX(Manual_Review!$H$6:$H$238,U588)="","",INDEX(Manual_Review!$H$6:$H$238,U588))</f>
        <v/>
      </c>
      <c r="X588" s="5" t="str">
        <f>IF(INDEX(Manual_Review!$I$6:$I$238,U588)="","",INDEX(Manual_Review!$I$6:$I$238,U588))</f>
        <v/>
      </c>
      <c r="Y588" s="5" t="s">
        <v>2859</v>
      </c>
    </row>
    <row r="589" spans="1:25" ht="38.25">
      <c r="A589" s="5" t="s">
        <v>4119</v>
      </c>
      <c r="B589" s="5" t="s">
        <v>532</v>
      </c>
      <c r="C589" s="5" t="s">
        <v>533</v>
      </c>
      <c r="D589" s="5" t="s">
        <v>118</v>
      </c>
      <c r="E589" s="5" t="s">
        <v>2788</v>
      </c>
      <c r="F589" s="5" t="s">
        <v>2758</v>
      </c>
      <c r="G589" s="5">
        <v>1</v>
      </c>
      <c r="H589" s="5" t="s">
        <v>2854</v>
      </c>
      <c r="I589" s="5" t="str">
        <f>IF(INDEX(Manual_Review!$R$6:$R$238,U589)="","",INDEX(Manual_Review!$R$6:$R$238,U589))</f>
        <v/>
      </c>
      <c r="J589" s="5" t="str">
        <f t="shared" si="18"/>
        <v>AI provisional</v>
      </c>
      <c r="K589" s="5" t="str">
        <f t="shared" si="19"/>
        <v>Y</v>
      </c>
      <c r="L589" s="5" t="s">
        <v>543</v>
      </c>
      <c r="M589" s="5" t="s">
        <v>4120</v>
      </c>
      <c r="N589" s="5" t="s">
        <v>4106</v>
      </c>
      <c r="O589" s="5" t="s">
        <v>3067</v>
      </c>
      <c r="P589" s="5" t="s">
        <v>2858</v>
      </c>
      <c r="Q589" s="11">
        <v>46306.5</v>
      </c>
      <c r="R589" s="6"/>
      <c r="S589" s="6"/>
      <c r="T589" s="6"/>
      <c r="U589" s="5">
        <f>MATCH(B589,Manual_Review!$A$6:$A$238,0)</f>
        <v>37</v>
      </c>
      <c r="V589" s="5" t="str">
        <f>IF(INDEX(Manual_Review!$G$6:$G$238,U589)="","",INDEX(Manual_Review!$G$6:$G$238,U589))</f>
        <v/>
      </c>
      <c r="W589" s="11" t="str">
        <f>IF(INDEX(Manual_Review!$H$6:$H$238,U589)="","",INDEX(Manual_Review!$H$6:$H$238,U589))</f>
        <v/>
      </c>
      <c r="X589" s="5" t="str">
        <f>IF(INDEX(Manual_Review!$I$6:$I$238,U589)="","",INDEX(Manual_Review!$I$6:$I$238,U589))</f>
        <v/>
      </c>
      <c r="Y589" s="5" t="s">
        <v>2859</v>
      </c>
    </row>
    <row r="590" spans="1:25" ht="38.25">
      <c r="A590" s="5" t="s">
        <v>4121</v>
      </c>
      <c r="B590" s="5" t="s">
        <v>532</v>
      </c>
      <c r="C590" s="5" t="s">
        <v>533</v>
      </c>
      <c r="D590" s="5" t="s">
        <v>118</v>
      </c>
      <c r="E590" s="5" t="s">
        <v>2789</v>
      </c>
      <c r="F590" s="5" t="s">
        <v>2758</v>
      </c>
      <c r="G590" s="5">
        <v>1</v>
      </c>
      <c r="H590" s="5" t="s">
        <v>2864</v>
      </c>
      <c r="I590" s="5" t="str">
        <f>IF(INDEX(Manual_Review!$S$6:$S$238,U590)="","",INDEX(Manual_Review!$S$6:$S$238,U590))</f>
        <v/>
      </c>
      <c r="J590" s="5" t="str">
        <f t="shared" si="18"/>
        <v>AI provisional</v>
      </c>
      <c r="K590" s="5" t="str">
        <f t="shared" si="19"/>
        <v>U</v>
      </c>
      <c r="L590" s="5" t="s">
        <v>543</v>
      </c>
      <c r="M590" s="5" t="s">
        <v>4122</v>
      </c>
      <c r="N590" s="5" t="s">
        <v>4106</v>
      </c>
      <c r="O590" s="5" t="s">
        <v>2883</v>
      </c>
      <c r="P590" s="5" t="s">
        <v>2858</v>
      </c>
      <c r="Q590" s="11">
        <v>46306.5</v>
      </c>
      <c r="R590" s="6"/>
      <c r="S590" s="6"/>
      <c r="T590" s="6"/>
      <c r="U590" s="5">
        <f>MATCH(B590,Manual_Review!$A$6:$A$238,0)</f>
        <v>37</v>
      </c>
      <c r="V590" s="5" t="str">
        <f>IF(INDEX(Manual_Review!$G$6:$G$238,U590)="","",INDEX(Manual_Review!$G$6:$G$238,U590))</f>
        <v/>
      </c>
      <c r="W590" s="11" t="str">
        <f>IF(INDEX(Manual_Review!$H$6:$H$238,U590)="","",INDEX(Manual_Review!$H$6:$H$238,U590))</f>
        <v/>
      </c>
      <c r="X590" s="5" t="str">
        <f>IF(INDEX(Manual_Review!$I$6:$I$238,U590)="","",INDEX(Manual_Review!$I$6:$I$238,U590))</f>
        <v/>
      </c>
      <c r="Y590" s="5" t="s">
        <v>2859</v>
      </c>
    </row>
    <row r="591" spans="1:25" ht="38.25">
      <c r="A591" s="5" t="s">
        <v>4123</v>
      </c>
      <c r="B591" s="5" t="s">
        <v>532</v>
      </c>
      <c r="C591" s="5" t="s">
        <v>533</v>
      </c>
      <c r="D591" s="5" t="s">
        <v>118</v>
      </c>
      <c r="E591" s="5" t="s">
        <v>2790</v>
      </c>
      <c r="F591" s="5" t="s">
        <v>2760</v>
      </c>
      <c r="G591" s="5">
        <v>1</v>
      </c>
      <c r="H591" s="5" t="s">
        <v>2854</v>
      </c>
      <c r="I591" s="5" t="str">
        <f>IF(INDEX(Manual_Review!$T$6:$T$238,U591)="","",INDEX(Manual_Review!$T$6:$T$238,U591))</f>
        <v/>
      </c>
      <c r="J591" s="5" t="str">
        <f t="shared" si="18"/>
        <v>AI provisional</v>
      </c>
      <c r="K591" s="5" t="str">
        <f t="shared" si="19"/>
        <v>Y</v>
      </c>
      <c r="L591" s="5" t="s">
        <v>543</v>
      </c>
      <c r="M591" s="5" t="s">
        <v>4124</v>
      </c>
      <c r="N591" s="5" t="s">
        <v>4106</v>
      </c>
      <c r="O591" s="5" t="s">
        <v>2976</v>
      </c>
      <c r="P591" s="5" t="s">
        <v>2858</v>
      </c>
      <c r="Q591" s="11">
        <v>46306.5</v>
      </c>
      <c r="R591" s="6"/>
      <c r="S591" s="6"/>
      <c r="T591" s="6"/>
      <c r="U591" s="5">
        <f>MATCH(B591,Manual_Review!$A$6:$A$238,0)</f>
        <v>37</v>
      </c>
      <c r="V591" s="5" t="str">
        <f>IF(INDEX(Manual_Review!$G$6:$G$238,U591)="","",INDEX(Manual_Review!$G$6:$G$238,U591))</f>
        <v/>
      </c>
      <c r="W591" s="11" t="str">
        <f>IF(INDEX(Manual_Review!$H$6:$H$238,U591)="","",INDEX(Manual_Review!$H$6:$H$238,U591))</f>
        <v/>
      </c>
      <c r="X591" s="5" t="str">
        <f>IF(INDEX(Manual_Review!$I$6:$I$238,U591)="","",INDEX(Manual_Review!$I$6:$I$238,U591))</f>
        <v/>
      </c>
      <c r="Y591" s="5" t="s">
        <v>2859</v>
      </c>
    </row>
    <row r="592" spans="1:25" ht="38.25">
      <c r="A592" s="5" t="s">
        <v>4125</v>
      </c>
      <c r="B592" s="5" t="s">
        <v>532</v>
      </c>
      <c r="C592" s="5" t="s">
        <v>533</v>
      </c>
      <c r="D592" s="5" t="s">
        <v>118</v>
      </c>
      <c r="E592" s="5" t="s">
        <v>2791</v>
      </c>
      <c r="F592" s="5" t="s">
        <v>2760</v>
      </c>
      <c r="G592" s="5">
        <v>1</v>
      </c>
      <c r="H592" s="5" t="s">
        <v>2864</v>
      </c>
      <c r="I592" s="5" t="str">
        <f>IF(INDEX(Manual_Review!$U$6:$U$238,U592)="","",INDEX(Manual_Review!$U$6:$U$238,U592))</f>
        <v/>
      </c>
      <c r="J592" s="5" t="str">
        <f t="shared" si="18"/>
        <v>AI provisional</v>
      </c>
      <c r="K592" s="5" t="str">
        <f t="shared" si="19"/>
        <v>U</v>
      </c>
      <c r="L592" s="5" t="s">
        <v>543</v>
      </c>
      <c r="M592" s="5" t="s">
        <v>4126</v>
      </c>
      <c r="N592" s="5" t="s">
        <v>4106</v>
      </c>
      <c r="O592" s="5" t="s">
        <v>2888</v>
      </c>
      <c r="P592" s="5" t="s">
        <v>2858</v>
      </c>
      <c r="Q592" s="11">
        <v>46306.5</v>
      </c>
      <c r="R592" s="6"/>
      <c r="S592" s="6"/>
      <c r="T592" s="6"/>
      <c r="U592" s="5">
        <f>MATCH(B592,Manual_Review!$A$6:$A$238,0)</f>
        <v>37</v>
      </c>
      <c r="V592" s="5" t="str">
        <f>IF(INDEX(Manual_Review!$G$6:$G$238,U592)="","",INDEX(Manual_Review!$G$6:$G$238,U592))</f>
        <v/>
      </c>
      <c r="W592" s="11" t="str">
        <f>IF(INDEX(Manual_Review!$H$6:$H$238,U592)="","",INDEX(Manual_Review!$H$6:$H$238,U592))</f>
        <v/>
      </c>
      <c r="X592" s="5" t="str">
        <f>IF(INDEX(Manual_Review!$I$6:$I$238,U592)="","",INDEX(Manual_Review!$I$6:$I$238,U592))</f>
        <v/>
      </c>
      <c r="Y592" s="5" t="s">
        <v>2859</v>
      </c>
    </row>
    <row r="593" spans="1:25" ht="38.25">
      <c r="A593" s="5" t="s">
        <v>4127</v>
      </c>
      <c r="B593" s="5" t="s">
        <v>532</v>
      </c>
      <c r="C593" s="5" t="s">
        <v>533</v>
      </c>
      <c r="D593" s="5" t="s">
        <v>118</v>
      </c>
      <c r="E593" s="5" t="s">
        <v>2792</v>
      </c>
      <c r="F593" s="5" t="s">
        <v>2762</v>
      </c>
      <c r="G593" s="5">
        <v>1</v>
      </c>
      <c r="H593" s="5" t="s">
        <v>2854</v>
      </c>
      <c r="I593" s="5" t="str">
        <f>IF(INDEX(Manual_Review!$V$6:$V$238,U593)="","",INDEX(Manual_Review!$V$6:$V$238,U593))</f>
        <v/>
      </c>
      <c r="J593" s="5" t="str">
        <f t="shared" si="18"/>
        <v>AI provisional</v>
      </c>
      <c r="K593" s="5" t="str">
        <f t="shared" si="19"/>
        <v>Y</v>
      </c>
      <c r="L593" s="5" t="s">
        <v>543</v>
      </c>
      <c r="M593" s="5" t="s">
        <v>4128</v>
      </c>
      <c r="N593" s="5" t="s">
        <v>4106</v>
      </c>
      <c r="O593" s="5" t="s">
        <v>3152</v>
      </c>
      <c r="P593" s="5" t="s">
        <v>2858</v>
      </c>
      <c r="Q593" s="11">
        <v>46306.5</v>
      </c>
      <c r="R593" s="6"/>
      <c r="S593" s="6"/>
      <c r="T593" s="6"/>
      <c r="U593" s="5">
        <f>MATCH(B593,Manual_Review!$A$6:$A$238,0)</f>
        <v>37</v>
      </c>
      <c r="V593" s="5" t="str">
        <f>IF(INDEX(Manual_Review!$G$6:$G$238,U593)="","",INDEX(Manual_Review!$G$6:$G$238,U593))</f>
        <v/>
      </c>
      <c r="W593" s="11" t="str">
        <f>IF(INDEX(Manual_Review!$H$6:$H$238,U593)="","",INDEX(Manual_Review!$H$6:$H$238,U593))</f>
        <v/>
      </c>
      <c r="X593" s="5" t="str">
        <f>IF(INDEX(Manual_Review!$I$6:$I$238,U593)="","",INDEX(Manual_Review!$I$6:$I$238,U593))</f>
        <v/>
      </c>
      <c r="Y593" s="5" t="s">
        <v>2859</v>
      </c>
    </row>
    <row r="594" spans="1:25" ht="38.25">
      <c r="A594" s="5" t="s">
        <v>4129</v>
      </c>
      <c r="B594" s="5" t="s">
        <v>532</v>
      </c>
      <c r="C594" s="5" t="s">
        <v>533</v>
      </c>
      <c r="D594" s="5" t="s">
        <v>118</v>
      </c>
      <c r="E594" s="5" t="s">
        <v>2793</v>
      </c>
      <c r="F594" s="5" t="s">
        <v>2762</v>
      </c>
      <c r="G594" s="5">
        <v>1</v>
      </c>
      <c r="H594" s="5" t="s">
        <v>2854</v>
      </c>
      <c r="I594" s="5" t="str">
        <f>IF(INDEX(Manual_Review!$W$6:$W$238,U594)="","",INDEX(Manual_Review!$W$6:$W$238,U594))</f>
        <v/>
      </c>
      <c r="J594" s="5" t="str">
        <f t="shared" si="18"/>
        <v>AI provisional</v>
      </c>
      <c r="K594" s="5" t="str">
        <f t="shared" si="19"/>
        <v>Y</v>
      </c>
      <c r="L594" s="5" t="s">
        <v>543</v>
      </c>
      <c r="M594" s="5" t="s">
        <v>4130</v>
      </c>
      <c r="N594" s="5" t="s">
        <v>4106</v>
      </c>
      <c r="O594" s="5" t="s">
        <v>3077</v>
      </c>
      <c r="P594" s="5" t="s">
        <v>2858</v>
      </c>
      <c r="Q594" s="11">
        <v>46306.5</v>
      </c>
      <c r="R594" s="6"/>
      <c r="S594" s="6"/>
      <c r="T594" s="6"/>
      <c r="U594" s="5">
        <f>MATCH(B594,Manual_Review!$A$6:$A$238,0)</f>
        <v>37</v>
      </c>
      <c r="V594" s="5" t="str">
        <f>IF(INDEX(Manual_Review!$G$6:$G$238,U594)="","",INDEX(Manual_Review!$G$6:$G$238,U594))</f>
        <v/>
      </c>
      <c r="W594" s="11" t="str">
        <f>IF(INDEX(Manual_Review!$H$6:$H$238,U594)="","",INDEX(Manual_Review!$H$6:$H$238,U594))</f>
        <v/>
      </c>
      <c r="X594" s="5" t="str">
        <f>IF(INDEX(Manual_Review!$I$6:$I$238,U594)="","",INDEX(Manual_Review!$I$6:$I$238,U594))</f>
        <v/>
      </c>
      <c r="Y594" s="5" t="s">
        <v>2859</v>
      </c>
    </row>
    <row r="595" spans="1:25" ht="38.25">
      <c r="A595" s="5" t="s">
        <v>4131</v>
      </c>
      <c r="B595" s="5" t="s">
        <v>532</v>
      </c>
      <c r="C595" s="5" t="s">
        <v>533</v>
      </c>
      <c r="D595" s="5" t="s">
        <v>118</v>
      </c>
      <c r="E595" s="5" t="s">
        <v>2794</v>
      </c>
      <c r="F595" s="5" t="s">
        <v>2764</v>
      </c>
      <c r="G595" s="5">
        <v>1</v>
      </c>
      <c r="H595" s="5" t="s">
        <v>2854</v>
      </c>
      <c r="I595" s="5" t="str">
        <f>IF(INDEX(Manual_Review!$X$6:$X$238,U595)="","",INDEX(Manual_Review!$X$6:$X$238,U595))</f>
        <v/>
      </c>
      <c r="J595" s="5" t="str">
        <f t="shared" si="18"/>
        <v>AI provisional</v>
      </c>
      <c r="K595" s="5" t="str">
        <f t="shared" si="19"/>
        <v>Y</v>
      </c>
      <c r="L595" s="5" t="s">
        <v>543</v>
      </c>
      <c r="M595" s="5" t="s">
        <v>4132</v>
      </c>
      <c r="N595" s="5" t="s">
        <v>4106</v>
      </c>
      <c r="O595" s="5" t="s">
        <v>2984</v>
      </c>
      <c r="P595" s="5" t="s">
        <v>2858</v>
      </c>
      <c r="Q595" s="11">
        <v>46306.5</v>
      </c>
      <c r="R595" s="6"/>
      <c r="S595" s="6"/>
      <c r="T595" s="6"/>
      <c r="U595" s="5">
        <f>MATCH(B595,Manual_Review!$A$6:$A$238,0)</f>
        <v>37</v>
      </c>
      <c r="V595" s="5" t="str">
        <f>IF(INDEX(Manual_Review!$G$6:$G$238,U595)="","",INDEX(Manual_Review!$G$6:$G$238,U595))</f>
        <v/>
      </c>
      <c r="W595" s="11" t="str">
        <f>IF(INDEX(Manual_Review!$H$6:$H$238,U595)="","",INDEX(Manual_Review!$H$6:$H$238,U595))</f>
        <v/>
      </c>
      <c r="X595" s="5" t="str">
        <f>IF(INDEX(Manual_Review!$I$6:$I$238,U595)="","",INDEX(Manual_Review!$I$6:$I$238,U595))</f>
        <v/>
      </c>
      <c r="Y595" s="5" t="s">
        <v>2859</v>
      </c>
    </row>
    <row r="596" spans="1:25" ht="38.25">
      <c r="A596" s="5" t="s">
        <v>4133</v>
      </c>
      <c r="B596" s="5" t="s">
        <v>532</v>
      </c>
      <c r="C596" s="5" t="s">
        <v>533</v>
      </c>
      <c r="D596" s="5" t="s">
        <v>118</v>
      </c>
      <c r="E596" s="5" t="s">
        <v>2795</v>
      </c>
      <c r="F596" s="5" t="s">
        <v>2764</v>
      </c>
      <c r="G596" s="5">
        <v>1</v>
      </c>
      <c r="H596" s="5" t="s">
        <v>2854</v>
      </c>
      <c r="I596" s="5" t="str">
        <f>IF(INDEX(Manual_Review!$Y$6:$Y$238,U596)="","",INDEX(Manual_Review!$Y$6:$Y$238,U596))</f>
        <v/>
      </c>
      <c r="J596" s="5" t="str">
        <f t="shared" si="18"/>
        <v>AI provisional</v>
      </c>
      <c r="K596" s="5" t="str">
        <f t="shared" si="19"/>
        <v>Y</v>
      </c>
      <c r="L596" s="5" t="s">
        <v>543</v>
      </c>
      <c r="M596" s="5" t="s">
        <v>4134</v>
      </c>
      <c r="N596" s="5" t="s">
        <v>4106</v>
      </c>
      <c r="O596" s="5" t="s">
        <v>3082</v>
      </c>
      <c r="P596" s="5" t="s">
        <v>2858</v>
      </c>
      <c r="Q596" s="11">
        <v>46306.5</v>
      </c>
      <c r="R596" s="6"/>
      <c r="S596" s="6"/>
      <c r="T596" s="6"/>
      <c r="U596" s="5">
        <f>MATCH(B596,Manual_Review!$A$6:$A$238,0)</f>
        <v>37</v>
      </c>
      <c r="V596" s="5" t="str">
        <f>IF(INDEX(Manual_Review!$G$6:$G$238,U596)="","",INDEX(Manual_Review!$G$6:$G$238,U596))</f>
        <v/>
      </c>
      <c r="W596" s="11" t="str">
        <f>IF(INDEX(Manual_Review!$H$6:$H$238,U596)="","",INDEX(Manual_Review!$H$6:$H$238,U596))</f>
        <v/>
      </c>
      <c r="X596" s="5" t="str">
        <f>IF(INDEX(Manual_Review!$I$6:$I$238,U596)="","",INDEX(Manual_Review!$I$6:$I$238,U596))</f>
        <v/>
      </c>
      <c r="Y596" s="5" t="s">
        <v>2859</v>
      </c>
    </row>
    <row r="597" spans="1:25" ht="38.25">
      <c r="A597" s="5" t="s">
        <v>4135</v>
      </c>
      <c r="B597" s="5" t="s">
        <v>532</v>
      </c>
      <c r="C597" s="5" t="s">
        <v>533</v>
      </c>
      <c r="D597" s="5" t="s">
        <v>118</v>
      </c>
      <c r="E597" s="5" t="s">
        <v>2796</v>
      </c>
      <c r="F597" s="5" t="s">
        <v>2764</v>
      </c>
      <c r="G597" s="5">
        <v>1</v>
      </c>
      <c r="H597" s="5" t="s">
        <v>2854</v>
      </c>
      <c r="I597" s="5" t="str">
        <f>IF(INDEX(Manual_Review!$Z$6:$Z$238,U597)="","",INDEX(Manual_Review!$Z$6:$Z$238,U597))</f>
        <v/>
      </c>
      <c r="J597" s="5" t="str">
        <f t="shared" si="18"/>
        <v>AI provisional</v>
      </c>
      <c r="K597" s="5" t="str">
        <f t="shared" si="19"/>
        <v>Y</v>
      </c>
      <c r="L597" s="5" t="s">
        <v>543</v>
      </c>
      <c r="M597" s="5" t="s">
        <v>4136</v>
      </c>
      <c r="N597" s="5" t="s">
        <v>4106</v>
      </c>
      <c r="O597" s="5" t="s">
        <v>3085</v>
      </c>
      <c r="P597" s="5" t="s">
        <v>2858</v>
      </c>
      <c r="Q597" s="11">
        <v>46306.5</v>
      </c>
      <c r="R597" s="6"/>
      <c r="S597" s="6"/>
      <c r="T597" s="6"/>
      <c r="U597" s="5">
        <f>MATCH(B597,Manual_Review!$A$6:$A$238,0)</f>
        <v>37</v>
      </c>
      <c r="V597" s="5" t="str">
        <f>IF(INDEX(Manual_Review!$G$6:$G$238,U597)="","",INDEX(Manual_Review!$G$6:$G$238,U597))</f>
        <v/>
      </c>
      <c r="W597" s="11" t="str">
        <f>IF(INDEX(Manual_Review!$H$6:$H$238,U597)="","",INDEX(Manual_Review!$H$6:$H$238,U597))</f>
        <v/>
      </c>
      <c r="X597" s="5" t="str">
        <f>IF(INDEX(Manual_Review!$I$6:$I$238,U597)="","",INDEX(Manual_Review!$I$6:$I$238,U597))</f>
        <v/>
      </c>
      <c r="Y597" s="5" t="s">
        <v>2859</v>
      </c>
    </row>
    <row r="598" spans="1:25" ht="25.5">
      <c r="A598" s="5" t="s">
        <v>4137</v>
      </c>
      <c r="B598" s="5" t="s">
        <v>545</v>
      </c>
      <c r="C598" s="5" t="s">
        <v>546</v>
      </c>
      <c r="D598" s="5" t="s">
        <v>118</v>
      </c>
      <c r="E598" s="5" t="s">
        <v>2781</v>
      </c>
      <c r="F598" s="5" t="s">
        <v>2754</v>
      </c>
      <c r="G598" s="5">
        <v>1</v>
      </c>
      <c r="H598" s="5" t="s">
        <v>2854</v>
      </c>
      <c r="I598" s="5" t="str">
        <f>IF(INDEX(Manual_Review!$K$6:$K$238,U598)="","",INDEX(Manual_Review!$K$6:$K$238,U598))</f>
        <v/>
      </c>
      <c r="J598" s="5" t="str">
        <f t="shared" si="18"/>
        <v>AI provisional</v>
      </c>
      <c r="K598" s="5" t="str">
        <f t="shared" si="19"/>
        <v>Y</v>
      </c>
      <c r="L598" s="5" t="s">
        <v>543</v>
      </c>
      <c r="M598" s="5" t="s">
        <v>4138</v>
      </c>
      <c r="N598" s="5" t="s">
        <v>4139</v>
      </c>
      <c r="O598" s="5" t="s">
        <v>2857</v>
      </c>
      <c r="P598" s="5" t="s">
        <v>2858</v>
      </c>
      <c r="Q598" s="11">
        <v>46306.5</v>
      </c>
      <c r="R598" s="6"/>
      <c r="S598" s="6"/>
      <c r="T598" s="6"/>
      <c r="U598" s="5">
        <f>MATCH(B598,Manual_Review!$A$6:$A$238,0)</f>
        <v>38</v>
      </c>
      <c r="V598" s="5" t="str">
        <f>IF(INDEX(Manual_Review!$G$6:$G$238,U598)="","",INDEX(Manual_Review!$G$6:$G$238,U598))</f>
        <v/>
      </c>
      <c r="W598" s="11" t="str">
        <f>IF(INDEX(Manual_Review!$H$6:$H$238,U598)="","",INDEX(Manual_Review!$H$6:$H$238,U598))</f>
        <v/>
      </c>
      <c r="X598" s="5" t="str">
        <f>IF(INDEX(Manual_Review!$I$6:$I$238,U598)="","",INDEX(Manual_Review!$I$6:$I$238,U598))</f>
        <v/>
      </c>
      <c r="Y598" s="5" t="s">
        <v>2859</v>
      </c>
    </row>
    <row r="599" spans="1:25" ht="25.5">
      <c r="A599" s="5" t="s">
        <v>4140</v>
      </c>
      <c r="B599" s="5" t="s">
        <v>545</v>
      </c>
      <c r="C599" s="5" t="s">
        <v>546</v>
      </c>
      <c r="D599" s="5" t="s">
        <v>118</v>
      </c>
      <c r="E599" s="5" t="s">
        <v>2782</v>
      </c>
      <c r="F599" s="5" t="s">
        <v>2754</v>
      </c>
      <c r="G599" s="5">
        <v>1</v>
      </c>
      <c r="H599" s="5" t="s">
        <v>2854</v>
      </c>
      <c r="I599" s="5" t="str">
        <f>IF(INDEX(Manual_Review!$L$6:$L$238,U599)="","",INDEX(Manual_Review!$L$6:$L$238,U599))</f>
        <v/>
      </c>
      <c r="J599" s="5" t="str">
        <f t="shared" si="18"/>
        <v>AI provisional</v>
      </c>
      <c r="K599" s="5" t="str">
        <f t="shared" si="19"/>
        <v>Y</v>
      </c>
      <c r="L599" s="5" t="s">
        <v>543</v>
      </c>
      <c r="M599" s="5" t="s">
        <v>4141</v>
      </c>
      <c r="N599" s="5" t="s">
        <v>4139</v>
      </c>
      <c r="O599" s="5" t="s">
        <v>2862</v>
      </c>
      <c r="P599" s="5" t="s">
        <v>2858</v>
      </c>
      <c r="Q599" s="11">
        <v>46306.5</v>
      </c>
      <c r="R599" s="6"/>
      <c r="S599" s="6"/>
      <c r="T599" s="6"/>
      <c r="U599" s="5">
        <f>MATCH(B599,Manual_Review!$A$6:$A$238,0)</f>
        <v>38</v>
      </c>
      <c r="V599" s="5" t="str">
        <f>IF(INDEX(Manual_Review!$G$6:$G$238,U599)="","",INDEX(Manual_Review!$G$6:$G$238,U599))</f>
        <v/>
      </c>
      <c r="W599" s="11" t="str">
        <f>IF(INDEX(Manual_Review!$H$6:$H$238,U599)="","",INDEX(Manual_Review!$H$6:$H$238,U599))</f>
        <v/>
      </c>
      <c r="X599" s="5" t="str">
        <f>IF(INDEX(Manual_Review!$I$6:$I$238,U599)="","",INDEX(Manual_Review!$I$6:$I$238,U599))</f>
        <v/>
      </c>
      <c r="Y599" s="5" t="s">
        <v>2859</v>
      </c>
    </row>
    <row r="600" spans="1:25" ht="25.5">
      <c r="A600" s="5" t="s">
        <v>4142</v>
      </c>
      <c r="B600" s="5" t="s">
        <v>545</v>
      </c>
      <c r="C600" s="5" t="s">
        <v>546</v>
      </c>
      <c r="D600" s="5" t="s">
        <v>118</v>
      </c>
      <c r="E600" s="5" t="s">
        <v>2783</v>
      </c>
      <c r="F600" s="5" t="s">
        <v>2754</v>
      </c>
      <c r="G600" s="5">
        <v>1</v>
      </c>
      <c r="H600" s="5" t="s">
        <v>2864</v>
      </c>
      <c r="I600" s="5" t="str">
        <f>IF(INDEX(Manual_Review!$M$6:$M$238,U600)="","",INDEX(Manual_Review!$M$6:$M$238,U600))</f>
        <v/>
      </c>
      <c r="J600" s="5" t="str">
        <f t="shared" si="18"/>
        <v>AI provisional</v>
      </c>
      <c r="K600" s="5" t="str">
        <f t="shared" si="19"/>
        <v>U</v>
      </c>
      <c r="L600" s="5" t="s">
        <v>543</v>
      </c>
      <c r="M600" s="5" t="s">
        <v>4143</v>
      </c>
      <c r="N600" s="5" t="s">
        <v>4139</v>
      </c>
      <c r="O600" s="5" t="s">
        <v>2866</v>
      </c>
      <c r="P600" s="5" t="s">
        <v>2858</v>
      </c>
      <c r="Q600" s="11">
        <v>46306.5</v>
      </c>
      <c r="R600" s="6"/>
      <c r="S600" s="6"/>
      <c r="T600" s="6"/>
      <c r="U600" s="5">
        <f>MATCH(B600,Manual_Review!$A$6:$A$238,0)</f>
        <v>38</v>
      </c>
      <c r="V600" s="5" t="str">
        <f>IF(INDEX(Manual_Review!$G$6:$G$238,U600)="","",INDEX(Manual_Review!$G$6:$G$238,U600))</f>
        <v/>
      </c>
      <c r="W600" s="11" t="str">
        <f>IF(INDEX(Manual_Review!$H$6:$H$238,U600)="","",INDEX(Manual_Review!$H$6:$H$238,U600))</f>
        <v/>
      </c>
      <c r="X600" s="5" t="str">
        <f>IF(INDEX(Manual_Review!$I$6:$I$238,U600)="","",INDEX(Manual_Review!$I$6:$I$238,U600))</f>
        <v/>
      </c>
      <c r="Y600" s="5" t="s">
        <v>2859</v>
      </c>
    </row>
    <row r="601" spans="1:25" ht="25.5">
      <c r="A601" s="5" t="s">
        <v>4144</v>
      </c>
      <c r="B601" s="5" t="s">
        <v>545</v>
      </c>
      <c r="C601" s="5" t="s">
        <v>546</v>
      </c>
      <c r="D601" s="5" t="s">
        <v>118</v>
      </c>
      <c r="E601" s="5" t="s">
        <v>2784</v>
      </c>
      <c r="F601" s="5" t="s">
        <v>2756</v>
      </c>
      <c r="G601" s="5">
        <v>1</v>
      </c>
      <c r="H601" s="5" t="s">
        <v>2864</v>
      </c>
      <c r="I601" s="5" t="str">
        <f>IF(INDEX(Manual_Review!$N$6:$N$238,U601)="","",INDEX(Manual_Review!$N$6:$N$238,U601))</f>
        <v/>
      </c>
      <c r="J601" s="5" t="str">
        <f t="shared" si="18"/>
        <v>AI provisional</v>
      </c>
      <c r="K601" s="5" t="str">
        <f t="shared" si="19"/>
        <v>U</v>
      </c>
      <c r="L601" s="5" t="s">
        <v>543</v>
      </c>
      <c r="M601" s="5" t="s">
        <v>4145</v>
      </c>
      <c r="N601" s="5" t="s">
        <v>4139</v>
      </c>
      <c r="O601" s="5" t="s">
        <v>2869</v>
      </c>
      <c r="P601" s="5" t="s">
        <v>2858</v>
      </c>
      <c r="Q601" s="11">
        <v>46306.5</v>
      </c>
      <c r="R601" s="6"/>
      <c r="S601" s="6"/>
      <c r="T601" s="6"/>
      <c r="U601" s="5">
        <f>MATCH(B601,Manual_Review!$A$6:$A$238,0)</f>
        <v>38</v>
      </c>
      <c r="V601" s="5" t="str">
        <f>IF(INDEX(Manual_Review!$G$6:$G$238,U601)="","",INDEX(Manual_Review!$G$6:$G$238,U601))</f>
        <v/>
      </c>
      <c r="W601" s="11" t="str">
        <f>IF(INDEX(Manual_Review!$H$6:$H$238,U601)="","",INDEX(Manual_Review!$H$6:$H$238,U601))</f>
        <v/>
      </c>
      <c r="X601" s="5" t="str">
        <f>IF(INDEX(Manual_Review!$I$6:$I$238,U601)="","",INDEX(Manual_Review!$I$6:$I$238,U601))</f>
        <v/>
      </c>
      <c r="Y601" s="5" t="s">
        <v>2859</v>
      </c>
    </row>
    <row r="602" spans="1:25" ht="25.5">
      <c r="A602" s="5" t="s">
        <v>4146</v>
      </c>
      <c r="B602" s="5" t="s">
        <v>545</v>
      </c>
      <c r="C602" s="5" t="s">
        <v>546</v>
      </c>
      <c r="D602" s="5" t="s">
        <v>118</v>
      </c>
      <c r="E602" s="5" t="s">
        <v>2785</v>
      </c>
      <c r="F602" s="5" t="s">
        <v>2756</v>
      </c>
      <c r="G602" s="5">
        <v>1</v>
      </c>
      <c r="H602" s="5" t="s">
        <v>2864</v>
      </c>
      <c r="I602" s="5" t="str">
        <f>IF(INDEX(Manual_Review!$O$6:$O$238,U602)="","",INDEX(Manual_Review!$O$6:$O$238,U602))</f>
        <v/>
      </c>
      <c r="J602" s="5" t="str">
        <f t="shared" si="18"/>
        <v>AI provisional</v>
      </c>
      <c r="K602" s="5" t="str">
        <f t="shared" si="19"/>
        <v>U</v>
      </c>
      <c r="L602" s="5" t="s">
        <v>543</v>
      </c>
      <c r="M602" s="5" t="s">
        <v>4147</v>
      </c>
      <c r="N602" s="5" t="s">
        <v>4139</v>
      </c>
      <c r="O602" s="5" t="s">
        <v>2872</v>
      </c>
      <c r="P602" s="5" t="s">
        <v>2858</v>
      </c>
      <c r="Q602" s="11">
        <v>46306.5</v>
      </c>
      <c r="R602" s="6"/>
      <c r="S602" s="6"/>
      <c r="T602" s="6"/>
      <c r="U602" s="5">
        <f>MATCH(B602,Manual_Review!$A$6:$A$238,0)</f>
        <v>38</v>
      </c>
      <c r="V602" s="5" t="str">
        <f>IF(INDEX(Manual_Review!$G$6:$G$238,U602)="","",INDEX(Manual_Review!$G$6:$G$238,U602))</f>
        <v/>
      </c>
      <c r="W602" s="11" t="str">
        <f>IF(INDEX(Manual_Review!$H$6:$H$238,U602)="","",INDEX(Manual_Review!$H$6:$H$238,U602))</f>
        <v/>
      </c>
      <c r="X602" s="5" t="str">
        <f>IF(INDEX(Manual_Review!$I$6:$I$238,U602)="","",INDEX(Manual_Review!$I$6:$I$238,U602))</f>
        <v/>
      </c>
      <c r="Y602" s="5" t="s">
        <v>2859</v>
      </c>
    </row>
    <row r="603" spans="1:25" ht="25.5">
      <c r="A603" s="5" t="s">
        <v>4148</v>
      </c>
      <c r="B603" s="5" t="s">
        <v>545</v>
      </c>
      <c r="C603" s="5" t="s">
        <v>546</v>
      </c>
      <c r="D603" s="5" t="s">
        <v>118</v>
      </c>
      <c r="E603" s="5" t="s">
        <v>2786</v>
      </c>
      <c r="F603" s="5" t="s">
        <v>2756</v>
      </c>
      <c r="G603" s="5">
        <v>1</v>
      </c>
      <c r="H603" s="5" t="s">
        <v>2864</v>
      </c>
      <c r="I603" s="5" t="str">
        <f>IF(INDEX(Manual_Review!$P$6:$P$238,U603)="","",INDEX(Manual_Review!$P$6:$P$238,U603))</f>
        <v/>
      </c>
      <c r="J603" s="5" t="str">
        <f t="shared" si="18"/>
        <v>AI provisional</v>
      </c>
      <c r="K603" s="5" t="str">
        <f t="shared" si="19"/>
        <v>U</v>
      </c>
      <c r="L603" s="5" t="s">
        <v>543</v>
      </c>
      <c r="M603" s="5" t="s">
        <v>4143</v>
      </c>
      <c r="N603" s="5" t="s">
        <v>4139</v>
      </c>
      <c r="O603" s="5" t="s">
        <v>2874</v>
      </c>
      <c r="P603" s="5" t="s">
        <v>2858</v>
      </c>
      <c r="Q603" s="11">
        <v>46306.5</v>
      </c>
      <c r="R603" s="6"/>
      <c r="S603" s="6"/>
      <c r="T603" s="6"/>
      <c r="U603" s="5">
        <f>MATCH(B603,Manual_Review!$A$6:$A$238,0)</f>
        <v>38</v>
      </c>
      <c r="V603" s="5" t="str">
        <f>IF(INDEX(Manual_Review!$G$6:$G$238,U603)="","",INDEX(Manual_Review!$G$6:$G$238,U603))</f>
        <v/>
      </c>
      <c r="W603" s="11" t="str">
        <f>IF(INDEX(Manual_Review!$H$6:$H$238,U603)="","",INDEX(Manual_Review!$H$6:$H$238,U603))</f>
        <v/>
      </c>
      <c r="X603" s="5" t="str">
        <f>IF(INDEX(Manual_Review!$I$6:$I$238,U603)="","",INDEX(Manual_Review!$I$6:$I$238,U603))</f>
        <v/>
      </c>
      <c r="Y603" s="5" t="s">
        <v>2859</v>
      </c>
    </row>
    <row r="604" spans="1:25" ht="25.5">
      <c r="A604" s="5" t="s">
        <v>4149</v>
      </c>
      <c r="B604" s="5" t="s">
        <v>545</v>
      </c>
      <c r="C604" s="5" t="s">
        <v>546</v>
      </c>
      <c r="D604" s="5" t="s">
        <v>118</v>
      </c>
      <c r="E604" s="5" t="s">
        <v>2787</v>
      </c>
      <c r="F604" s="5" t="s">
        <v>2758</v>
      </c>
      <c r="G604" s="5">
        <v>1</v>
      </c>
      <c r="H604" s="5" t="s">
        <v>2864</v>
      </c>
      <c r="I604" s="5" t="str">
        <f>IF(INDEX(Manual_Review!$Q$6:$Q$238,U604)="","",INDEX(Manual_Review!$Q$6:$Q$238,U604))</f>
        <v/>
      </c>
      <c r="J604" s="5" t="str">
        <f t="shared" si="18"/>
        <v>AI provisional</v>
      </c>
      <c r="K604" s="5" t="str">
        <f t="shared" si="19"/>
        <v>U</v>
      </c>
      <c r="L604" s="5" t="s">
        <v>543</v>
      </c>
      <c r="M604" s="5" t="s">
        <v>4150</v>
      </c>
      <c r="N604" s="5" t="s">
        <v>4139</v>
      </c>
      <c r="O604" s="5" t="s">
        <v>2877</v>
      </c>
      <c r="P604" s="5" t="s">
        <v>2858</v>
      </c>
      <c r="Q604" s="11">
        <v>46306.5</v>
      </c>
      <c r="R604" s="6"/>
      <c r="S604" s="6"/>
      <c r="T604" s="6"/>
      <c r="U604" s="5">
        <f>MATCH(B604,Manual_Review!$A$6:$A$238,0)</f>
        <v>38</v>
      </c>
      <c r="V604" s="5" t="str">
        <f>IF(INDEX(Manual_Review!$G$6:$G$238,U604)="","",INDEX(Manual_Review!$G$6:$G$238,U604))</f>
        <v/>
      </c>
      <c r="W604" s="11" t="str">
        <f>IF(INDEX(Manual_Review!$H$6:$H$238,U604)="","",INDEX(Manual_Review!$H$6:$H$238,U604))</f>
        <v/>
      </c>
      <c r="X604" s="5" t="str">
        <f>IF(INDEX(Manual_Review!$I$6:$I$238,U604)="","",INDEX(Manual_Review!$I$6:$I$238,U604))</f>
        <v/>
      </c>
      <c r="Y604" s="5" t="s">
        <v>2859</v>
      </c>
    </row>
    <row r="605" spans="1:25" ht="25.5">
      <c r="A605" s="5" t="s">
        <v>4151</v>
      </c>
      <c r="B605" s="5" t="s">
        <v>545</v>
      </c>
      <c r="C605" s="5" t="s">
        <v>546</v>
      </c>
      <c r="D605" s="5" t="s">
        <v>118</v>
      </c>
      <c r="E605" s="5" t="s">
        <v>2788</v>
      </c>
      <c r="F605" s="5" t="s">
        <v>2758</v>
      </c>
      <c r="G605" s="5">
        <v>1</v>
      </c>
      <c r="H605" s="5" t="s">
        <v>2854</v>
      </c>
      <c r="I605" s="5" t="str">
        <f>IF(INDEX(Manual_Review!$R$6:$R$238,U605)="","",INDEX(Manual_Review!$R$6:$R$238,U605))</f>
        <v/>
      </c>
      <c r="J605" s="5" t="str">
        <f t="shared" si="18"/>
        <v>AI provisional</v>
      </c>
      <c r="K605" s="5" t="str">
        <f t="shared" si="19"/>
        <v>Y</v>
      </c>
      <c r="L605" s="5" t="s">
        <v>543</v>
      </c>
      <c r="M605" s="5" t="s">
        <v>4152</v>
      </c>
      <c r="N605" s="5" t="s">
        <v>4139</v>
      </c>
      <c r="O605" s="5" t="s">
        <v>3067</v>
      </c>
      <c r="P605" s="5" t="s">
        <v>2858</v>
      </c>
      <c r="Q605" s="11">
        <v>46306.5</v>
      </c>
      <c r="R605" s="6"/>
      <c r="S605" s="6"/>
      <c r="T605" s="6"/>
      <c r="U605" s="5">
        <f>MATCH(B605,Manual_Review!$A$6:$A$238,0)</f>
        <v>38</v>
      </c>
      <c r="V605" s="5" t="str">
        <f>IF(INDEX(Manual_Review!$G$6:$G$238,U605)="","",INDEX(Manual_Review!$G$6:$G$238,U605))</f>
        <v/>
      </c>
      <c r="W605" s="11" t="str">
        <f>IF(INDEX(Manual_Review!$H$6:$H$238,U605)="","",INDEX(Manual_Review!$H$6:$H$238,U605))</f>
        <v/>
      </c>
      <c r="X605" s="5" t="str">
        <f>IF(INDEX(Manual_Review!$I$6:$I$238,U605)="","",INDEX(Manual_Review!$I$6:$I$238,U605))</f>
        <v/>
      </c>
      <c r="Y605" s="5" t="s">
        <v>2859</v>
      </c>
    </row>
    <row r="606" spans="1:25" ht="25.5">
      <c r="A606" s="5" t="s">
        <v>4153</v>
      </c>
      <c r="B606" s="5" t="s">
        <v>545</v>
      </c>
      <c r="C606" s="5" t="s">
        <v>546</v>
      </c>
      <c r="D606" s="5" t="s">
        <v>118</v>
      </c>
      <c r="E606" s="5" t="s">
        <v>2789</v>
      </c>
      <c r="F606" s="5" t="s">
        <v>2758</v>
      </c>
      <c r="G606" s="5">
        <v>1</v>
      </c>
      <c r="H606" s="5" t="s">
        <v>2864</v>
      </c>
      <c r="I606" s="5" t="str">
        <f>IF(INDEX(Manual_Review!$S$6:$S$238,U606)="","",INDEX(Manual_Review!$S$6:$S$238,U606))</f>
        <v/>
      </c>
      <c r="J606" s="5" t="str">
        <f t="shared" si="18"/>
        <v>AI provisional</v>
      </c>
      <c r="K606" s="5" t="str">
        <f t="shared" si="19"/>
        <v>U</v>
      </c>
      <c r="L606" s="5" t="s">
        <v>543</v>
      </c>
      <c r="M606" s="5" t="s">
        <v>4154</v>
      </c>
      <c r="N606" s="5" t="s">
        <v>4139</v>
      </c>
      <c r="O606" s="5" t="s">
        <v>2883</v>
      </c>
      <c r="P606" s="5" t="s">
        <v>2858</v>
      </c>
      <c r="Q606" s="11">
        <v>46306.5</v>
      </c>
      <c r="R606" s="6"/>
      <c r="S606" s="6"/>
      <c r="T606" s="6"/>
      <c r="U606" s="5">
        <f>MATCH(B606,Manual_Review!$A$6:$A$238,0)</f>
        <v>38</v>
      </c>
      <c r="V606" s="5" t="str">
        <f>IF(INDEX(Manual_Review!$G$6:$G$238,U606)="","",INDEX(Manual_Review!$G$6:$G$238,U606))</f>
        <v/>
      </c>
      <c r="W606" s="11" t="str">
        <f>IF(INDEX(Manual_Review!$H$6:$H$238,U606)="","",INDEX(Manual_Review!$H$6:$H$238,U606))</f>
        <v/>
      </c>
      <c r="X606" s="5" t="str">
        <f>IF(INDEX(Manual_Review!$I$6:$I$238,U606)="","",INDEX(Manual_Review!$I$6:$I$238,U606))</f>
        <v/>
      </c>
      <c r="Y606" s="5" t="s">
        <v>2859</v>
      </c>
    </row>
    <row r="607" spans="1:25" ht="25.5">
      <c r="A607" s="5" t="s">
        <v>4155</v>
      </c>
      <c r="B607" s="5" t="s">
        <v>545</v>
      </c>
      <c r="C607" s="5" t="s">
        <v>546</v>
      </c>
      <c r="D607" s="5" t="s">
        <v>118</v>
      </c>
      <c r="E607" s="5" t="s">
        <v>2790</v>
      </c>
      <c r="F607" s="5" t="s">
        <v>2760</v>
      </c>
      <c r="G607" s="5">
        <v>1</v>
      </c>
      <c r="H607" s="5" t="s">
        <v>2864</v>
      </c>
      <c r="I607" s="5" t="str">
        <f>IF(INDEX(Manual_Review!$T$6:$T$238,U607)="","",INDEX(Manual_Review!$T$6:$T$238,U607))</f>
        <v/>
      </c>
      <c r="J607" s="5" t="str">
        <f t="shared" si="18"/>
        <v>AI provisional</v>
      </c>
      <c r="K607" s="5" t="str">
        <f t="shared" si="19"/>
        <v>U</v>
      </c>
      <c r="L607" s="5" t="s">
        <v>543</v>
      </c>
      <c r="M607" s="5" t="s">
        <v>4143</v>
      </c>
      <c r="N607" s="5" t="s">
        <v>4139</v>
      </c>
      <c r="O607" s="5" t="s">
        <v>2885</v>
      </c>
      <c r="P607" s="5" t="s">
        <v>2858</v>
      </c>
      <c r="Q607" s="11">
        <v>46306.5</v>
      </c>
      <c r="R607" s="6"/>
      <c r="S607" s="6"/>
      <c r="T607" s="6"/>
      <c r="U607" s="5">
        <f>MATCH(B607,Manual_Review!$A$6:$A$238,0)</f>
        <v>38</v>
      </c>
      <c r="V607" s="5" t="str">
        <f>IF(INDEX(Manual_Review!$G$6:$G$238,U607)="","",INDEX(Manual_Review!$G$6:$G$238,U607))</f>
        <v/>
      </c>
      <c r="W607" s="11" t="str">
        <f>IF(INDEX(Manual_Review!$H$6:$H$238,U607)="","",INDEX(Manual_Review!$H$6:$H$238,U607))</f>
        <v/>
      </c>
      <c r="X607" s="5" t="str">
        <f>IF(INDEX(Manual_Review!$I$6:$I$238,U607)="","",INDEX(Manual_Review!$I$6:$I$238,U607))</f>
        <v/>
      </c>
      <c r="Y607" s="5" t="s">
        <v>2859</v>
      </c>
    </row>
    <row r="608" spans="1:25" ht="25.5">
      <c r="A608" s="5" t="s">
        <v>4156</v>
      </c>
      <c r="B608" s="5" t="s">
        <v>545</v>
      </c>
      <c r="C608" s="5" t="s">
        <v>546</v>
      </c>
      <c r="D608" s="5" t="s">
        <v>118</v>
      </c>
      <c r="E608" s="5" t="s">
        <v>2791</v>
      </c>
      <c r="F608" s="5" t="s">
        <v>2760</v>
      </c>
      <c r="G608" s="5">
        <v>1</v>
      </c>
      <c r="H608" s="5" t="s">
        <v>2864</v>
      </c>
      <c r="I608" s="5" t="str">
        <f>IF(INDEX(Manual_Review!$U$6:$U$238,U608)="","",INDEX(Manual_Review!$U$6:$U$238,U608))</f>
        <v/>
      </c>
      <c r="J608" s="5" t="str">
        <f t="shared" si="18"/>
        <v>AI provisional</v>
      </c>
      <c r="K608" s="5" t="str">
        <f t="shared" si="19"/>
        <v>U</v>
      </c>
      <c r="L608" s="5" t="s">
        <v>543</v>
      </c>
      <c r="M608" s="5" t="s">
        <v>4157</v>
      </c>
      <c r="N608" s="5" t="s">
        <v>4139</v>
      </c>
      <c r="O608" s="5" t="s">
        <v>2888</v>
      </c>
      <c r="P608" s="5" t="s">
        <v>2858</v>
      </c>
      <c r="Q608" s="11">
        <v>46306.5</v>
      </c>
      <c r="R608" s="6"/>
      <c r="S608" s="6"/>
      <c r="T608" s="6"/>
      <c r="U608" s="5">
        <f>MATCH(B608,Manual_Review!$A$6:$A$238,0)</f>
        <v>38</v>
      </c>
      <c r="V608" s="5" t="str">
        <f>IF(INDEX(Manual_Review!$G$6:$G$238,U608)="","",INDEX(Manual_Review!$G$6:$G$238,U608))</f>
        <v/>
      </c>
      <c r="W608" s="11" t="str">
        <f>IF(INDEX(Manual_Review!$H$6:$H$238,U608)="","",INDEX(Manual_Review!$H$6:$H$238,U608))</f>
        <v/>
      </c>
      <c r="X608" s="5" t="str">
        <f>IF(INDEX(Manual_Review!$I$6:$I$238,U608)="","",INDEX(Manual_Review!$I$6:$I$238,U608))</f>
        <v/>
      </c>
      <c r="Y608" s="5" t="s">
        <v>2859</v>
      </c>
    </row>
    <row r="609" spans="1:25" ht="25.5">
      <c r="A609" s="5" t="s">
        <v>4158</v>
      </c>
      <c r="B609" s="5" t="s">
        <v>545</v>
      </c>
      <c r="C609" s="5" t="s">
        <v>546</v>
      </c>
      <c r="D609" s="5" t="s">
        <v>118</v>
      </c>
      <c r="E609" s="5" t="s">
        <v>2792</v>
      </c>
      <c r="F609" s="5" t="s">
        <v>2762</v>
      </c>
      <c r="G609" s="5">
        <v>1</v>
      </c>
      <c r="H609" s="5" t="s">
        <v>2854</v>
      </c>
      <c r="I609" s="5" t="str">
        <f>IF(INDEX(Manual_Review!$V$6:$V$238,U609)="","",INDEX(Manual_Review!$V$6:$V$238,U609))</f>
        <v/>
      </c>
      <c r="J609" s="5" t="str">
        <f t="shared" si="18"/>
        <v>AI provisional</v>
      </c>
      <c r="K609" s="5" t="str">
        <f t="shared" si="19"/>
        <v>Y</v>
      </c>
      <c r="L609" s="5" t="s">
        <v>543</v>
      </c>
      <c r="M609" s="5" t="s">
        <v>4159</v>
      </c>
      <c r="N609" s="5" t="s">
        <v>4139</v>
      </c>
      <c r="O609" s="5" t="s">
        <v>3152</v>
      </c>
      <c r="P609" s="5" t="s">
        <v>2858</v>
      </c>
      <c r="Q609" s="11">
        <v>46306.5</v>
      </c>
      <c r="R609" s="6"/>
      <c r="S609" s="6"/>
      <c r="T609" s="6"/>
      <c r="U609" s="5">
        <f>MATCH(B609,Manual_Review!$A$6:$A$238,0)</f>
        <v>38</v>
      </c>
      <c r="V609" s="5" t="str">
        <f>IF(INDEX(Manual_Review!$G$6:$G$238,U609)="","",INDEX(Manual_Review!$G$6:$G$238,U609))</f>
        <v/>
      </c>
      <c r="W609" s="11" t="str">
        <f>IF(INDEX(Manual_Review!$H$6:$H$238,U609)="","",INDEX(Manual_Review!$H$6:$H$238,U609))</f>
        <v/>
      </c>
      <c r="X609" s="5" t="str">
        <f>IF(INDEX(Manual_Review!$I$6:$I$238,U609)="","",INDEX(Manual_Review!$I$6:$I$238,U609))</f>
        <v/>
      </c>
      <c r="Y609" s="5" t="s">
        <v>2859</v>
      </c>
    </row>
    <row r="610" spans="1:25" ht="25.5">
      <c r="A610" s="5" t="s">
        <v>4160</v>
      </c>
      <c r="B610" s="5" t="s">
        <v>545</v>
      </c>
      <c r="C610" s="5" t="s">
        <v>546</v>
      </c>
      <c r="D610" s="5" t="s">
        <v>118</v>
      </c>
      <c r="E610" s="5" t="s">
        <v>2793</v>
      </c>
      <c r="F610" s="5" t="s">
        <v>2762</v>
      </c>
      <c r="G610" s="5">
        <v>1</v>
      </c>
      <c r="H610" s="5" t="s">
        <v>2854</v>
      </c>
      <c r="I610" s="5" t="str">
        <f>IF(INDEX(Manual_Review!$W$6:$W$238,U610)="","",INDEX(Manual_Review!$W$6:$W$238,U610))</f>
        <v/>
      </c>
      <c r="J610" s="5" t="str">
        <f t="shared" si="18"/>
        <v>AI provisional</v>
      </c>
      <c r="K610" s="5" t="str">
        <f t="shared" si="19"/>
        <v>Y</v>
      </c>
      <c r="L610" s="5" t="s">
        <v>543</v>
      </c>
      <c r="M610" s="5" t="s">
        <v>4161</v>
      </c>
      <c r="N610" s="5" t="s">
        <v>4139</v>
      </c>
      <c r="O610" s="5" t="s">
        <v>3077</v>
      </c>
      <c r="P610" s="5" t="s">
        <v>2858</v>
      </c>
      <c r="Q610" s="11">
        <v>46306.5</v>
      </c>
      <c r="R610" s="6"/>
      <c r="S610" s="6"/>
      <c r="T610" s="6"/>
      <c r="U610" s="5">
        <f>MATCH(B610,Manual_Review!$A$6:$A$238,0)</f>
        <v>38</v>
      </c>
      <c r="V610" s="5" t="str">
        <f>IF(INDEX(Manual_Review!$G$6:$G$238,U610)="","",INDEX(Manual_Review!$G$6:$G$238,U610))</f>
        <v/>
      </c>
      <c r="W610" s="11" t="str">
        <f>IF(INDEX(Manual_Review!$H$6:$H$238,U610)="","",INDEX(Manual_Review!$H$6:$H$238,U610))</f>
        <v/>
      </c>
      <c r="X610" s="5" t="str">
        <f>IF(INDEX(Manual_Review!$I$6:$I$238,U610)="","",INDEX(Manual_Review!$I$6:$I$238,U610))</f>
        <v/>
      </c>
      <c r="Y610" s="5" t="s">
        <v>2859</v>
      </c>
    </row>
    <row r="611" spans="1:25" ht="25.5">
      <c r="A611" s="5" t="s">
        <v>4162</v>
      </c>
      <c r="B611" s="5" t="s">
        <v>545</v>
      </c>
      <c r="C611" s="5" t="s">
        <v>546</v>
      </c>
      <c r="D611" s="5" t="s">
        <v>118</v>
      </c>
      <c r="E611" s="5" t="s">
        <v>2794</v>
      </c>
      <c r="F611" s="5" t="s">
        <v>2764</v>
      </c>
      <c r="G611" s="5">
        <v>1</v>
      </c>
      <c r="H611" s="5" t="s">
        <v>2854</v>
      </c>
      <c r="I611" s="5" t="str">
        <f>IF(INDEX(Manual_Review!$X$6:$X$238,U611)="","",INDEX(Manual_Review!$X$6:$X$238,U611))</f>
        <v/>
      </c>
      <c r="J611" s="5" t="str">
        <f t="shared" si="18"/>
        <v>AI provisional</v>
      </c>
      <c r="K611" s="5" t="str">
        <f t="shared" si="19"/>
        <v>Y</v>
      </c>
      <c r="L611" s="5" t="s">
        <v>543</v>
      </c>
      <c r="M611" s="5" t="s">
        <v>4163</v>
      </c>
      <c r="N611" s="5" t="s">
        <v>4139</v>
      </c>
      <c r="O611" s="5" t="s">
        <v>2984</v>
      </c>
      <c r="P611" s="5" t="s">
        <v>2858</v>
      </c>
      <c r="Q611" s="11">
        <v>46306.5</v>
      </c>
      <c r="R611" s="6"/>
      <c r="S611" s="6"/>
      <c r="T611" s="6"/>
      <c r="U611" s="5">
        <f>MATCH(B611,Manual_Review!$A$6:$A$238,0)</f>
        <v>38</v>
      </c>
      <c r="V611" s="5" t="str">
        <f>IF(INDEX(Manual_Review!$G$6:$G$238,U611)="","",INDEX(Manual_Review!$G$6:$G$238,U611))</f>
        <v/>
      </c>
      <c r="W611" s="11" t="str">
        <f>IF(INDEX(Manual_Review!$H$6:$H$238,U611)="","",INDEX(Manual_Review!$H$6:$H$238,U611))</f>
        <v/>
      </c>
      <c r="X611" s="5" t="str">
        <f>IF(INDEX(Manual_Review!$I$6:$I$238,U611)="","",INDEX(Manual_Review!$I$6:$I$238,U611))</f>
        <v/>
      </c>
      <c r="Y611" s="5" t="s">
        <v>2859</v>
      </c>
    </row>
    <row r="612" spans="1:25" ht="25.5">
      <c r="A612" s="5" t="s">
        <v>4164</v>
      </c>
      <c r="B612" s="5" t="s">
        <v>545</v>
      </c>
      <c r="C612" s="5" t="s">
        <v>546</v>
      </c>
      <c r="D612" s="5" t="s">
        <v>118</v>
      </c>
      <c r="E612" s="5" t="s">
        <v>2795</v>
      </c>
      <c r="F612" s="5" t="s">
        <v>2764</v>
      </c>
      <c r="G612" s="5">
        <v>1</v>
      </c>
      <c r="H612" s="5" t="s">
        <v>2864</v>
      </c>
      <c r="I612" s="5" t="str">
        <f>IF(INDEX(Manual_Review!$Y$6:$Y$238,U612)="","",INDEX(Manual_Review!$Y$6:$Y$238,U612))</f>
        <v/>
      </c>
      <c r="J612" s="5" t="str">
        <f t="shared" si="18"/>
        <v>AI provisional</v>
      </c>
      <c r="K612" s="5" t="str">
        <f t="shared" si="19"/>
        <v>U</v>
      </c>
      <c r="L612" s="5" t="s">
        <v>543</v>
      </c>
      <c r="M612" s="5" t="s">
        <v>4143</v>
      </c>
      <c r="N612" s="5" t="s">
        <v>4139</v>
      </c>
      <c r="O612" s="5" t="s">
        <v>2897</v>
      </c>
      <c r="P612" s="5" t="s">
        <v>2858</v>
      </c>
      <c r="Q612" s="11">
        <v>46306.5</v>
      </c>
      <c r="R612" s="6"/>
      <c r="S612" s="6"/>
      <c r="T612" s="6"/>
      <c r="U612" s="5">
        <f>MATCH(B612,Manual_Review!$A$6:$A$238,0)</f>
        <v>38</v>
      </c>
      <c r="V612" s="5" t="str">
        <f>IF(INDEX(Manual_Review!$G$6:$G$238,U612)="","",INDEX(Manual_Review!$G$6:$G$238,U612))</f>
        <v/>
      </c>
      <c r="W612" s="11" t="str">
        <f>IF(INDEX(Manual_Review!$H$6:$H$238,U612)="","",INDEX(Manual_Review!$H$6:$H$238,U612))</f>
        <v/>
      </c>
      <c r="X612" s="5" t="str">
        <f>IF(INDEX(Manual_Review!$I$6:$I$238,U612)="","",INDEX(Manual_Review!$I$6:$I$238,U612))</f>
        <v/>
      </c>
      <c r="Y612" s="5" t="s">
        <v>2859</v>
      </c>
    </row>
    <row r="613" spans="1:25" ht="25.5">
      <c r="A613" s="5" t="s">
        <v>4165</v>
      </c>
      <c r="B613" s="5" t="s">
        <v>545</v>
      </c>
      <c r="C613" s="5" t="s">
        <v>546</v>
      </c>
      <c r="D613" s="5" t="s">
        <v>118</v>
      </c>
      <c r="E613" s="5" t="s">
        <v>2796</v>
      </c>
      <c r="F613" s="5" t="s">
        <v>2764</v>
      </c>
      <c r="G613" s="5">
        <v>1</v>
      </c>
      <c r="H613" s="5" t="s">
        <v>2854</v>
      </c>
      <c r="I613" s="5" t="str">
        <f>IF(INDEX(Manual_Review!$Z$6:$Z$238,U613)="","",INDEX(Manual_Review!$Z$6:$Z$238,U613))</f>
        <v/>
      </c>
      <c r="J613" s="5" t="str">
        <f t="shared" si="18"/>
        <v>AI provisional</v>
      </c>
      <c r="K613" s="5" t="str">
        <f t="shared" si="19"/>
        <v>Y</v>
      </c>
      <c r="L613" s="5" t="s">
        <v>543</v>
      </c>
      <c r="M613" s="5" t="s">
        <v>4166</v>
      </c>
      <c r="N613" s="5" t="s">
        <v>4139</v>
      </c>
      <c r="O613" s="5" t="s">
        <v>3085</v>
      </c>
      <c r="P613" s="5" t="s">
        <v>2858</v>
      </c>
      <c r="Q613" s="11">
        <v>46306.5</v>
      </c>
      <c r="R613" s="6"/>
      <c r="S613" s="6"/>
      <c r="T613" s="6"/>
      <c r="U613" s="5">
        <f>MATCH(B613,Manual_Review!$A$6:$A$238,0)</f>
        <v>38</v>
      </c>
      <c r="V613" s="5" t="str">
        <f>IF(INDEX(Manual_Review!$G$6:$G$238,U613)="","",INDEX(Manual_Review!$G$6:$G$238,U613))</f>
        <v/>
      </c>
      <c r="W613" s="11" t="str">
        <f>IF(INDEX(Manual_Review!$H$6:$H$238,U613)="","",INDEX(Manual_Review!$H$6:$H$238,U613))</f>
        <v/>
      </c>
      <c r="X613" s="5" t="str">
        <f>IF(INDEX(Manual_Review!$I$6:$I$238,U613)="","",INDEX(Manual_Review!$I$6:$I$238,U613))</f>
        <v/>
      </c>
      <c r="Y613" s="5" t="s">
        <v>2859</v>
      </c>
    </row>
    <row r="614" spans="1:25" ht="25.5">
      <c r="A614" s="5" t="s">
        <v>4167</v>
      </c>
      <c r="B614" s="5" t="s">
        <v>554</v>
      </c>
      <c r="C614" s="5" t="s">
        <v>555</v>
      </c>
      <c r="D614" s="5" t="s">
        <v>118</v>
      </c>
      <c r="E614" s="5" t="s">
        <v>2781</v>
      </c>
      <c r="F614" s="5" t="s">
        <v>2754</v>
      </c>
      <c r="G614" s="5">
        <v>1</v>
      </c>
      <c r="H614" s="5" t="s">
        <v>2854</v>
      </c>
      <c r="I614" s="5" t="str">
        <f>IF(INDEX(Manual_Review!$K$6:$K$238,U614)="","",INDEX(Manual_Review!$K$6:$K$238,U614))</f>
        <v/>
      </c>
      <c r="J614" s="5" t="str">
        <f t="shared" si="18"/>
        <v>AI provisional</v>
      </c>
      <c r="K614" s="5" t="str">
        <f t="shared" si="19"/>
        <v>Y</v>
      </c>
      <c r="L614" s="5" t="s">
        <v>563</v>
      </c>
      <c r="M614" s="5" t="s">
        <v>4168</v>
      </c>
      <c r="N614" s="5" t="s">
        <v>4169</v>
      </c>
      <c r="O614" s="5" t="s">
        <v>2857</v>
      </c>
      <c r="P614" s="5" t="s">
        <v>2858</v>
      </c>
      <c r="Q614" s="11">
        <v>46306.5</v>
      </c>
      <c r="R614" s="6"/>
      <c r="S614" s="6"/>
      <c r="T614" s="6"/>
      <c r="U614" s="5">
        <f>MATCH(B614,Manual_Review!$A$6:$A$238,0)</f>
        <v>39</v>
      </c>
      <c r="V614" s="5" t="str">
        <f>IF(INDEX(Manual_Review!$G$6:$G$238,U614)="","",INDEX(Manual_Review!$G$6:$G$238,U614))</f>
        <v/>
      </c>
      <c r="W614" s="11" t="str">
        <f>IF(INDEX(Manual_Review!$H$6:$H$238,U614)="","",INDEX(Manual_Review!$H$6:$H$238,U614))</f>
        <v/>
      </c>
      <c r="X614" s="5" t="str">
        <f>IF(INDEX(Manual_Review!$I$6:$I$238,U614)="","",INDEX(Manual_Review!$I$6:$I$238,U614))</f>
        <v/>
      </c>
      <c r="Y614" s="5" t="s">
        <v>2859</v>
      </c>
    </row>
    <row r="615" spans="1:25" ht="25.5">
      <c r="A615" s="5" t="s">
        <v>4170</v>
      </c>
      <c r="B615" s="5" t="s">
        <v>554</v>
      </c>
      <c r="C615" s="5" t="s">
        <v>555</v>
      </c>
      <c r="D615" s="5" t="s">
        <v>118</v>
      </c>
      <c r="E615" s="5" t="s">
        <v>2782</v>
      </c>
      <c r="F615" s="5" t="s">
        <v>2754</v>
      </c>
      <c r="G615" s="5">
        <v>1</v>
      </c>
      <c r="H615" s="5" t="s">
        <v>2854</v>
      </c>
      <c r="I615" s="5" t="str">
        <f>IF(INDEX(Manual_Review!$L$6:$L$238,U615)="","",INDEX(Manual_Review!$L$6:$L$238,U615))</f>
        <v/>
      </c>
      <c r="J615" s="5" t="str">
        <f t="shared" si="18"/>
        <v>AI provisional</v>
      </c>
      <c r="K615" s="5" t="str">
        <f t="shared" si="19"/>
        <v>Y</v>
      </c>
      <c r="L615" s="5" t="s">
        <v>563</v>
      </c>
      <c r="M615" s="5" t="s">
        <v>4171</v>
      </c>
      <c r="N615" s="5" t="s">
        <v>4169</v>
      </c>
      <c r="O615" s="5" t="s">
        <v>2862</v>
      </c>
      <c r="P615" s="5" t="s">
        <v>2858</v>
      </c>
      <c r="Q615" s="11">
        <v>46306.5</v>
      </c>
      <c r="R615" s="6"/>
      <c r="S615" s="6"/>
      <c r="T615" s="6"/>
      <c r="U615" s="5">
        <f>MATCH(B615,Manual_Review!$A$6:$A$238,0)</f>
        <v>39</v>
      </c>
      <c r="V615" s="5" t="str">
        <f>IF(INDEX(Manual_Review!$G$6:$G$238,U615)="","",INDEX(Manual_Review!$G$6:$G$238,U615))</f>
        <v/>
      </c>
      <c r="W615" s="11" t="str">
        <f>IF(INDEX(Manual_Review!$H$6:$H$238,U615)="","",INDEX(Manual_Review!$H$6:$H$238,U615))</f>
        <v/>
      </c>
      <c r="X615" s="5" t="str">
        <f>IF(INDEX(Manual_Review!$I$6:$I$238,U615)="","",INDEX(Manual_Review!$I$6:$I$238,U615))</f>
        <v/>
      </c>
      <c r="Y615" s="5" t="s">
        <v>2859</v>
      </c>
    </row>
    <row r="616" spans="1:25" ht="25.5">
      <c r="A616" s="5" t="s">
        <v>4172</v>
      </c>
      <c r="B616" s="5" t="s">
        <v>554</v>
      </c>
      <c r="C616" s="5" t="s">
        <v>555</v>
      </c>
      <c r="D616" s="5" t="s">
        <v>118</v>
      </c>
      <c r="E616" s="5" t="s">
        <v>2783</v>
      </c>
      <c r="F616" s="5" t="s">
        <v>2754</v>
      </c>
      <c r="G616" s="5">
        <v>1</v>
      </c>
      <c r="H616" s="5" t="s">
        <v>2854</v>
      </c>
      <c r="I616" s="5" t="str">
        <f>IF(INDEX(Manual_Review!$M$6:$M$238,U616)="","",INDEX(Manual_Review!$M$6:$M$238,U616))</f>
        <v/>
      </c>
      <c r="J616" s="5" t="str">
        <f t="shared" si="18"/>
        <v>AI provisional</v>
      </c>
      <c r="K616" s="5" t="str">
        <f t="shared" si="19"/>
        <v>Y</v>
      </c>
      <c r="L616" s="5" t="s">
        <v>563</v>
      </c>
      <c r="M616" s="5" t="s">
        <v>4173</v>
      </c>
      <c r="N616" s="5" t="s">
        <v>4169</v>
      </c>
      <c r="O616" s="5" t="s">
        <v>3133</v>
      </c>
      <c r="P616" s="5" t="s">
        <v>2858</v>
      </c>
      <c r="Q616" s="11">
        <v>46306.5</v>
      </c>
      <c r="R616" s="6"/>
      <c r="S616" s="6"/>
      <c r="T616" s="6"/>
      <c r="U616" s="5">
        <f>MATCH(B616,Manual_Review!$A$6:$A$238,0)</f>
        <v>39</v>
      </c>
      <c r="V616" s="5" t="str">
        <f>IF(INDEX(Manual_Review!$G$6:$G$238,U616)="","",INDEX(Manual_Review!$G$6:$G$238,U616))</f>
        <v/>
      </c>
      <c r="W616" s="11" t="str">
        <f>IF(INDEX(Manual_Review!$H$6:$H$238,U616)="","",INDEX(Manual_Review!$H$6:$H$238,U616))</f>
        <v/>
      </c>
      <c r="X616" s="5" t="str">
        <f>IF(INDEX(Manual_Review!$I$6:$I$238,U616)="","",INDEX(Manual_Review!$I$6:$I$238,U616))</f>
        <v/>
      </c>
      <c r="Y616" s="5" t="s">
        <v>2859</v>
      </c>
    </row>
    <row r="617" spans="1:25" ht="25.5">
      <c r="A617" s="5" t="s">
        <v>4174</v>
      </c>
      <c r="B617" s="5" t="s">
        <v>554</v>
      </c>
      <c r="C617" s="5" t="s">
        <v>555</v>
      </c>
      <c r="D617" s="5" t="s">
        <v>118</v>
      </c>
      <c r="E617" s="5" t="s">
        <v>2784</v>
      </c>
      <c r="F617" s="5" t="s">
        <v>2756</v>
      </c>
      <c r="G617" s="5">
        <v>1</v>
      </c>
      <c r="H617" s="5" t="s">
        <v>2854</v>
      </c>
      <c r="I617" s="5" t="str">
        <f>IF(INDEX(Manual_Review!$N$6:$N$238,U617)="","",INDEX(Manual_Review!$N$6:$N$238,U617))</f>
        <v/>
      </c>
      <c r="J617" s="5" t="str">
        <f t="shared" si="18"/>
        <v>AI provisional</v>
      </c>
      <c r="K617" s="5" t="str">
        <f t="shared" si="19"/>
        <v>Y</v>
      </c>
      <c r="L617" s="5" t="s">
        <v>563</v>
      </c>
      <c r="M617" s="5" t="s">
        <v>4175</v>
      </c>
      <c r="N617" s="5" t="s">
        <v>4169</v>
      </c>
      <c r="O617" s="5" t="s">
        <v>2963</v>
      </c>
      <c r="P617" s="5" t="s">
        <v>2858</v>
      </c>
      <c r="Q617" s="11">
        <v>46306.5</v>
      </c>
      <c r="R617" s="6"/>
      <c r="S617" s="6"/>
      <c r="T617" s="6"/>
      <c r="U617" s="5">
        <f>MATCH(B617,Manual_Review!$A$6:$A$238,0)</f>
        <v>39</v>
      </c>
      <c r="V617" s="5" t="str">
        <f>IF(INDEX(Manual_Review!$G$6:$G$238,U617)="","",INDEX(Manual_Review!$G$6:$G$238,U617))</f>
        <v/>
      </c>
      <c r="W617" s="11" t="str">
        <f>IF(INDEX(Manual_Review!$H$6:$H$238,U617)="","",INDEX(Manual_Review!$H$6:$H$238,U617))</f>
        <v/>
      </c>
      <c r="X617" s="5" t="str">
        <f>IF(INDEX(Manual_Review!$I$6:$I$238,U617)="","",INDEX(Manual_Review!$I$6:$I$238,U617))</f>
        <v/>
      </c>
      <c r="Y617" s="5" t="s">
        <v>2859</v>
      </c>
    </row>
    <row r="618" spans="1:25" ht="25.5">
      <c r="A618" s="5" t="s">
        <v>4176</v>
      </c>
      <c r="B618" s="5" t="s">
        <v>554</v>
      </c>
      <c r="C618" s="5" t="s">
        <v>555</v>
      </c>
      <c r="D618" s="5" t="s">
        <v>118</v>
      </c>
      <c r="E618" s="5" t="s">
        <v>2785</v>
      </c>
      <c r="F618" s="5" t="s">
        <v>2756</v>
      </c>
      <c r="G618" s="5">
        <v>1</v>
      </c>
      <c r="H618" s="5" t="s">
        <v>2854</v>
      </c>
      <c r="I618" s="5" t="str">
        <f>IF(INDEX(Manual_Review!$O$6:$O$238,U618)="","",INDEX(Manual_Review!$O$6:$O$238,U618))</f>
        <v/>
      </c>
      <c r="J618" s="5" t="str">
        <f t="shared" si="18"/>
        <v>AI provisional</v>
      </c>
      <c r="K618" s="5" t="str">
        <f t="shared" si="19"/>
        <v>Y</v>
      </c>
      <c r="L618" s="5" t="s">
        <v>563</v>
      </c>
      <c r="M618" s="5" t="s">
        <v>4177</v>
      </c>
      <c r="N618" s="5" t="s">
        <v>4169</v>
      </c>
      <c r="O618" s="5" t="s">
        <v>3138</v>
      </c>
      <c r="P618" s="5" t="s">
        <v>2858</v>
      </c>
      <c r="Q618" s="11">
        <v>46306.5</v>
      </c>
      <c r="R618" s="6"/>
      <c r="S618" s="6"/>
      <c r="T618" s="6"/>
      <c r="U618" s="5">
        <f>MATCH(B618,Manual_Review!$A$6:$A$238,0)</f>
        <v>39</v>
      </c>
      <c r="V618" s="5" t="str">
        <f>IF(INDEX(Manual_Review!$G$6:$G$238,U618)="","",INDEX(Manual_Review!$G$6:$G$238,U618))</f>
        <v/>
      </c>
      <c r="W618" s="11" t="str">
        <f>IF(INDEX(Manual_Review!$H$6:$H$238,U618)="","",INDEX(Manual_Review!$H$6:$H$238,U618))</f>
        <v/>
      </c>
      <c r="X618" s="5" t="str">
        <f>IF(INDEX(Manual_Review!$I$6:$I$238,U618)="","",INDEX(Manual_Review!$I$6:$I$238,U618))</f>
        <v/>
      </c>
      <c r="Y618" s="5" t="s">
        <v>2859</v>
      </c>
    </row>
    <row r="619" spans="1:25" ht="25.5">
      <c r="A619" s="5" t="s">
        <v>4178</v>
      </c>
      <c r="B619" s="5" t="s">
        <v>554</v>
      </c>
      <c r="C619" s="5" t="s">
        <v>555</v>
      </c>
      <c r="D619" s="5" t="s">
        <v>118</v>
      </c>
      <c r="E619" s="5" t="s">
        <v>2786</v>
      </c>
      <c r="F619" s="5" t="s">
        <v>2756</v>
      </c>
      <c r="G619" s="5">
        <v>1</v>
      </c>
      <c r="H619" s="5" t="s">
        <v>2864</v>
      </c>
      <c r="I619" s="5" t="str">
        <f>IF(INDEX(Manual_Review!$P$6:$P$238,U619)="","",INDEX(Manual_Review!$P$6:$P$238,U619))</f>
        <v/>
      </c>
      <c r="J619" s="5" t="str">
        <f t="shared" si="18"/>
        <v>AI provisional</v>
      </c>
      <c r="K619" s="5" t="str">
        <f t="shared" si="19"/>
        <v>U</v>
      </c>
      <c r="L619" s="5" t="s">
        <v>563</v>
      </c>
      <c r="M619" s="5" t="s">
        <v>4179</v>
      </c>
      <c r="N619" s="5" t="s">
        <v>4169</v>
      </c>
      <c r="O619" s="5" t="s">
        <v>2874</v>
      </c>
      <c r="P619" s="5" t="s">
        <v>2858</v>
      </c>
      <c r="Q619" s="11">
        <v>46306.5</v>
      </c>
      <c r="R619" s="6"/>
      <c r="S619" s="6"/>
      <c r="T619" s="6"/>
      <c r="U619" s="5">
        <f>MATCH(B619,Manual_Review!$A$6:$A$238,0)</f>
        <v>39</v>
      </c>
      <c r="V619" s="5" t="str">
        <f>IF(INDEX(Manual_Review!$G$6:$G$238,U619)="","",INDEX(Manual_Review!$G$6:$G$238,U619))</f>
        <v/>
      </c>
      <c r="W619" s="11" t="str">
        <f>IF(INDEX(Manual_Review!$H$6:$H$238,U619)="","",INDEX(Manual_Review!$H$6:$H$238,U619))</f>
        <v/>
      </c>
      <c r="X619" s="5" t="str">
        <f>IF(INDEX(Manual_Review!$I$6:$I$238,U619)="","",INDEX(Manual_Review!$I$6:$I$238,U619))</f>
        <v/>
      </c>
      <c r="Y619" s="5" t="s">
        <v>2859</v>
      </c>
    </row>
    <row r="620" spans="1:25" ht="25.5">
      <c r="A620" s="5" t="s">
        <v>4180</v>
      </c>
      <c r="B620" s="5" t="s">
        <v>554</v>
      </c>
      <c r="C620" s="5" t="s">
        <v>555</v>
      </c>
      <c r="D620" s="5" t="s">
        <v>118</v>
      </c>
      <c r="E620" s="5" t="s">
        <v>2787</v>
      </c>
      <c r="F620" s="5" t="s">
        <v>2758</v>
      </c>
      <c r="G620" s="5">
        <v>1</v>
      </c>
      <c r="H620" s="5" t="s">
        <v>2864</v>
      </c>
      <c r="I620" s="5" t="str">
        <f>IF(INDEX(Manual_Review!$Q$6:$Q$238,U620)="","",INDEX(Manual_Review!$Q$6:$Q$238,U620))</f>
        <v/>
      </c>
      <c r="J620" s="5" t="str">
        <f t="shared" si="18"/>
        <v>AI provisional</v>
      </c>
      <c r="K620" s="5" t="str">
        <f t="shared" si="19"/>
        <v>U</v>
      </c>
      <c r="L620" s="5" t="s">
        <v>563</v>
      </c>
      <c r="M620" s="5" t="s">
        <v>4181</v>
      </c>
      <c r="N620" s="5" t="s">
        <v>4169</v>
      </c>
      <c r="O620" s="5" t="s">
        <v>2877</v>
      </c>
      <c r="P620" s="5" t="s">
        <v>2858</v>
      </c>
      <c r="Q620" s="11">
        <v>46306.5</v>
      </c>
      <c r="R620" s="6"/>
      <c r="S620" s="6"/>
      <c r="T620" s="6"/>
      <c r="U620" s="5">
        <f>MATCH(B620,Manual_Review!$A$6:$A$238,0)</f>
        <v>39</v>
      </c>
      <c r="V620" s="5" t="str">
        <f>IF(INDEX(Manual_Review!$G$6:$G$238,U620)="","",INDEX(Manual_Review!$G$6:$G$238,U620))</f>
        <v/>
      </c>
      <c r="W620" s="11" t="str">
        <f>IF(INDEX(Manual_Review!$H$6:$H$238,U620)="","",INDEX(Manual_Review!$H$6:$H$238,U620))</f>
        <v/>
      </c>
      <c r="X620" s="5" t="str">
        <f>IF(INDEX(Manual_Review!$I$6:$I$238,U620)="","",INDEX(Manual_Review!$I$6:$I$238,U620))</f>
        <v/>
      </c>
      <c r="Y620" s="5" t="s">
        <v>2859</v>
      </c>
    </row>
    <row r="621" spans="1:25" ht="25.5">
      <c r="A621" s="5" t="s">
        <v>4182</v>
      </c>
      <c r="B621" s="5" t="s">
        <v>554</v>
      </c>
      <c r="C621" s="5" t="s">
        <v>555</v>
      </c>
      <c r="D621" s="5" t="s">
        <v>118</v>
      </c>
      <c r="E621" s="5" t="s">
        <v>2788</v>
      </c>
      <c r="F621" s="5" t="s">
        <v>2758</v>
      </c>
      <c r="G621" s="5">
        <v>1</v>
      </c>
      <c r="H621" s="5" t="s">
        <v>2864</v>
      </c>
      <c r="I621" s="5" t="str">
        <f>IF(INDEX(Manual_Review!$R$6:$R$238,U621)="","",INDEX(Manual_Review!$R$6:$R$238,U621))</f>
        <v/>
      </c>
      <c r="J621" s="5" t="str">
        <f t="shared" si="18"/>
        <v>AI provisional</v>
      </c>
      <c r="K621" s="5" t="str">
        <f t="shared" si="19"/>
        <v>U</v>
      </c>
      <c r="L621" s="5" t="s">
        <v>563</v>
      </c>
      <c r="M621" s="5" t="s">
        <v>4183</v>
      </c>
      <c r="N621" s="5" t="s">
        <v>4169</v>
      </c>
      <c r="O621" s="5" t="s">
        <v>2880</v>
      </c>
      <c r="P621" s="5" t="s">
        <v>2858</v>
      </c>
      <c r="Q621" s="11">
        <v>46306.5</v>
      </c>
      <c r="R621" s="6"/>
      <c r="S621" s="6"/>
      <c r="T621" s="6"/>
      <c r="U621" s="5">
        <f>MATCH(B621,Manual_Review!$A$6:$A$238,0)</f>
        <v>39</v>
      </c>
      <c r="V621" s="5" t="str">
        <f>IF(INDEX(Manual_Review!$G$6:$G$238,U621)="","",INDEX(Manual_Review!$G$6:$G$238,U621))</f>
        <v/>
      </c>
      <c r="W621" s="11" t="str">
        <f>IF(INDEX(Manual_Review!$H$6:$H$238,U621)="","",INDEX(Manual_Review!$H$6:$H$238,U621))</f>
        <v/>
      </c>
      <c r="X621" s="5" t="str">
        <f>IF(INDEX(Manual_Review!$I$6:$I$238,U621)="","",INDEX(Manual_Review!$I$6:$I$238,U621))</f>
        <v/>
      </c>
      <c r="Y621" s="5" t="s">
        <v>2859</v>
      </c>
    </row>
    <row r="622" spans="1:25" ht="25.5">
      <c r="A622" s="5" t="s">
        <v>4184</v>
      </c>
      <c r="B622" s="5" t="s">
        <v>554</v>
      </c>
      <c r="C622" s="5" t="s">
        <v>555</v>
      </c>
      <c r="D622" s="5" t="s">
        <v>118</v>
      </c>
      <c r="E622" s="5" t="s">
        <v>2789</v>
      </c>
      <c r="F622" s="5" t="s">
        <v>2758</v>
      </c>
      <c r="G622" s="5">
        <v>1</v>
      </c>
      <c r="H622" s="5" t="s">
        <v>2864</v>
      </c>
      <c r="I622" s="5" t="str">
        <f>IF(INDEX(Manual_Review!$S$6:$S$238,U622)="","",INDEX(Manual_Review!$S$6:$S$238,U622))</f>
        <v/>
      </c>
      <c r="J622" s="5" t="str">
        <f t="shared" si="18"/>
        <v>AI provisional</v>
      </c>
      <c r="K622" s="5" t="str">
        <f t="shared" si="19"/>
        <v>U</v>
      </c>
      <c r="L622" s="5" t="s">
        <v>563</v>
      </c>
      <c r="M622" s="5" t="s">
        <v>4185</v>
      </c>
      <c r="N622" s="5" t="s">
        <v>4169</v>
      </c>
      <c r="O622" s="5" t="s">
        <v>2883</v>
      </c>
      <c r="P622" s="5" t="s">
        <v>2858</v>
      </c>
      <c r="Q622" s="11">
        <v>46306.5</v>
      </c>
      <c r="R622" s="6"/>
      <c r="S622" s="6"/>
      <c r="T622" s="6"/>
      <c r="U622" s="5">
        <f>MATCH(B622,Manual_Review!$A$6:$A$238,0)</f>
        <v>39</v>
      </c>
      <c r="V622" s="5" t="str">
        <f>IF(INDEX(Manual_Review!$G$6:$G$238,U622)="","",INDEX(Manual_Review!$G$6:$G$238,U622))</f>
        <v/>
      </c>
      <c r="W622" s="11" t="str">
        <f>IF(INDEX(Manual_Review!$H$6:$H$238,U622)="","",INDEX(Manual_Review!$H$6:$H$238,U622))</f>
        <v/>
      </c>
      <c r="X622" s="5" t="str">
        <f>IF(INDEX(Manual_Review!$I$6:$I$238,U622)="","",INDEX(Manual_Review!$I$6:$I$238,U622))</f>
        <v/>
      </c>
      <c r="Y622" s="5" t="s">
        <v>2859</v>
      </c>
    </row>
    <row r="623" spans="1:25" ht="25.5">
      <c r="A623" s="5" t="s">
        <v>4186</v>
      </c>
      <c r="B623" s="5" t="s">
        <v>554</v>
      </c>
      <c r="C623" s="5" t="s">
        <v>555</v>
      </c>
      <c r="D623" s="5" t="s">
        <v>118</v>
      </c>
      <c r="E623" s="5" t="s">
        <v>2790</v>
      </c>
      <c r="F623" s="5" t="s">
        <v>2760</v>
      </c>
      <c r="G623" s="5">
        <v>1</v>
      </c>
      <c r="H623" s="5" t="s">
        <v>2854</v>
      </c>
      <c r="I623" s="5" t="str">
        <f>IF(INDEX(Manual_Review!$T$6:$T$238,U623)="","",INDEX(Manual_Review!$T$6:$T$238,U623))</f>
        <v/>
      </c>
      <c r="J623" s="5" t="str">
        <f t="shared" si="18"/>
        <v>AI provisional</v>
      </c>
      <c r="K623" s="5" t="str">
        <f t="shared" si="19"/>
        <v>Y</v>
      </c>
      <c r="L623" s="5" t="s">
        <v>563</v>
      </c>
      <c r="M623" s="5" t="s">
        <v>4187</v>
      </c>
      <c r="N623" s="5" t="s">
        <v>4169</v>
      </c>
      <c r="O623" s="5" t="s">
        <v>2976</v>
      </c>
      <c r="P623" s="5" t="s">
        <v>2858</v>
      </c>
      <c r="Q623" s="11">
        <v>46306.5</v>
      </c>
      <c r="R623" s="6"/>
      <c r="S623" s="6"/>
      <c r="T623" s="6"/>
      <c r="U623" s="5">
        <f>MATCH(B623,Manual_Review!$A$6:$A$238,0)</f>
        <v>39</v>
      </c>
      <c r="V623" s="5" t="str">
        <f>IF(INDEX(Manual_Review!$G$6:$G$238,U623)="","",INDEX(Manual_Review!$G$6:$G$238,U623))</f>
        <v/>
      </c>
      <c r="W623" s="11" t="str">
        <f>IF(INDEX(Manual_Review!$H$6:$H$238,U623)="","",INDEX(Manual_Review!$H$6:$H$238,U623))</f>
        <v/>
      </c>
      <c r="X623" s="5" t="str">
        <f>IF(INDEX(Manual_Review!$I$6:$I$238,U623)="","",INDEX(Manual_Review!$I$6:$I$238,U623))</f>
        <v/>
      </c>
      <c r="Y623" s="5" t="s">
        <v>2859</v>
      </c>
    </row>
    <row r="624" spans="1:25" ht="25.5">
      <c r="A624" s="5" t="s">
        <v>4188</v>
      </c>
      <c r="B624" s="5" t="s">
        <v>554</v>
      </c>
      <c r="C624" s="5" t="s">
        <v>555</v>
      </c>
      <c r="D624" s="5" t="s">
        <v>118</v>
      </c>
      <c r="E624" s="5" t="s">
        <v>2791</v>
      </c>
      <c r="F624" s="5" t="s">
        <v>2760</v>
      </c>
      <c r="G624" s="5">
        <v>1</v>
      </c>
      <c r="H624" s="5" t="s">
        <v>2864</v>
      </c>
      <c r="I624" s="5" t="str">
        <f>IF(INDEX(Manual_Review!$U$6:$U$238,U624)="","",INDEX(Manual_Review!$U$6:$U$238,U624))</f>
        <v/>
      </c>
      <c r="J624" s="5" t="str">
        <f t="shared" si="18"/>
        <v>AI provisional</v>
      </c>
      <c r="K624" s="5" t="str">
        <f t="shared" si="19"/>
        <v>U</v>
      </c>
      <c r="L624" s="5" t="s">
        <v>563</v>
      </c>
      <c r="M624" s="5" t="s">
        <v>4189</v>
      </c>
      <c r="N624" s="5" t="s">
        <v>4169</v>
      </c>
      <c r="O624" s="5" t="s">
        <v>2888</v>
      </c>
      <c r="P624" s="5" t="s">
        <v>2858</v>
      </c>
      <c r="Q624" s="11">
        <v>46306.5</v>
      </c>
      <c r="R624" s="6"/>
      <c r="S624" s="6"/>
      <c r="T624" s="6"/>
      <c r="U624" s="5">
        <f>MATCH(B624,Manual_Review!$A$6:$A$238,0)</f>
        <v>39</v>
      </c>
      <c r="V624" s="5" t="str">
        <f>IF(INDEX(Manual_Review!$G$6:$G$238,U624)="","",INDEX(Manual_Review!$G$6:$G$238,U624))</f>
        <v/>
      </c>
      <c r="W624" s="11" t="str">
        <f>IF(INDEX(Manual_Review!$H$6:$H$238,U624)="","",INDEX(Manual_Review!$H$6:$H$238,U624))</f>
        <v/>
      </c>
      <c r="X624" s="5" t="str">
        <f>IF(INDEX(Manual_Review!$I$6:$I$238,U624)="","",INDEX(Manual_Review!$I$6:$I$238,U624))</f>
        <v/>
      </c>
      <c r="Y624" s="5" t="s">
        <v>2859</v>
      </c>
    </row>
    <row r="625" spans="1:25" ht="25.5">
      <c r="A625" s="5" t="s">
        <v>4190</v>
      </c>
      <c r="B625" s="5" t="s">
        <v>554</v>
      </c>
      <c r="C625" s="5" t="s">
        <v>555</v>
      </c>
      <c r="D625" s="5" t="s">
        <v>118</v>
      </c>
      <c r="E625" s="5" t="s">
        <v>2792</v>
      </c>
      <c r="F625" s="5" t="s">
        <v>2762</v>
      </c>
      <c r="G625" s="5">
        <v>1</v>
      </c>
      <c r="H625" s="5" t="s">
        <v>2864</v>
      </c>
      <c r="I625" s="5" t="str">
        <f>IF(INDEX(Manual_Review!$V$6:$V$238,U625)="","",INDEX(Manual_Review!$V$6:$V$238,U625))</f>
        <v/>
      </c>
      <c r="J625" s="5" t="str">
        <f t="shared" si="18"/>
        <v>AI provisional</v>
      </c>
      <c r="K625" s="5" t="str">
        <f t="shared" si="19"/>
        <v>U</v>
      </c>
      <c r="L625" s="5" t="s">
        <v>563</v>
      </c>
      <c r="M625" s="5" t="s">
        <v>4191</v>
      </c>
      <c r="N625" s="5" t="s">
        <v>4169</v>
      </c>
      <c r="O625" s="5" t="s">
        <v>2891</v>
      </c>
      <c r="P625" s="5" t="s">
        <v>2858</v>
      </c>
      <c r="Q625" s="11">
        <v>46306.5</v>
      </c>
      <c r="R625" s="6"/>
      <c r="S625" s="6"/>
      <c r="T625" s="6"/>
      <c r="U625" s="5">
        <f>MATCH(B625,Manual_Review!$A$6:$A$238,0)</f>
        <v>39</v>
      </c>
      <c r="V625" s="5" t="str">
        <f>IF(INDEX(Manual_Review!$G$6:$G$238,U625)="","",INDEX(Manual_Review!$G$6:$G$238,U625))</f>
        <v/>
      </c>
      <c r="W625" s="11" t="str">
        <f>IF(INDEX(Manual_Review!$H$6:$H$238,U625)="","",INDEX(Manual_Review!$H$6:$H$238,U625))</f>
        <v/>
      </c>
      <c r="X625" s="5" t="str">
        <f>IF(INDEX(Manual_Review!$I$6:$I$238,U625)="","",INDEX(Manual_Review!$I$6:$I$238,U625))</f>
        <v/>
      </c>
      <c r="Y625" s="5" t="s">
        <v>2859</v>
      </c>
    </row>
    <row r="626" spans="1:25" ht="25.5">
      <c r="A626" s="5" t="s">
        <v>4192</v>
      </c>
      <c r="B626" s="5" t="s">
        <v>554</v>
      </c>
      <c r="C626" s="5" t="s">
        <v>555</v>
      </c>
      <c r="D626" s="5" t="s">
        <v>118</v>
      </c>
      <c r="E626" s="5" t="s">
        <v>2793</v>
      </c>
      <c r="F626" s="5" t="s">
        <v>2762</v>
      </c>
      <c r="G626" s="5">
        <v>1</v>
      </c>
      <c r="H626" s="5" t="s">
        <v>2864</v>
      </c>
      <c r="I626" s="5" t="str">
        <f>IF(INDEX(Manual_Review!$W$6:$W$238,U626)="","",INDEX(Manual_Review!$W$6:$W$238,U626))</f>
        <v/>
      </c>
      <c r="J626" s="5" t="str">
        <f t="shared" si="18"/>
        <v>AI provisional</v>
      </c>
      <c r="K626" s="5" t="str">
        <f t="shared" si="19"/>
        <v>U</v>
      </c>
      <c r="L626" s="5" t="s">
        <v>563</v>
      </c>
      <c r="M626" s="5" t="s">
        <v>4191</v>
      </c>
      <c r="N626" s="5" t="s">
        <v>4169</v>
      </c>
      <c r="O626" s="5" t="s">
        <v>2893</v>
      </c>
      <c r="P626" s="5" t="s">
        <v>2858</v>
      </c>
      <c r="Q626" s="11">
        <v>46306.5</v>
      </c>
      <c r="R626" s="6"/>
      <c r="S626" s="6"/>
      <c r="T626" s="6"/>
      <c r="U626" s="5">
        <f>MATCH(B626,Manual_Review!$A$6:$A$238,0)</f>
        <v>39</v>
      </c>
      <c r="V626" s="5" t="str">
        <f>IF(INDEX(Manual_Review!$G$6:$G$238,U626)="","",INDEX(Manual_Review!$G$6:$G$238,U626))</f>
        <v/>
      </c>
      <c r="W626" s="11" t="str">
        <f>IF(INDEX(Manual_Review!$H$6:$H$238,U626)="","",INDEX(Manual_Review!$H$6:$H$238,U626))</f>
        <v/>
      </c>
      <c r="X626" s="5" t="str">
        <f>IF(INDEX(Manual_Review!$I$6:$I$238,U626)="","",INDEX(Manual_Review!$I$6:$I$238,U626))</f>
        <v/>
      </c>
      <c r="Y626" s="5" t="s">
        <v>2859</v>
      </c>
    </row>
    <row r="627" spans="1:25" ht="25.5">
      <c r="A627" s="5" t="s">
        <v>4193</v>
      </c>
      <c r="B627" s="5" t="s">
        <v>554</v>
      </c>
      <c r="C627" s="5" t="s">
        <v>555</v>
      </c>
      <c r="D627" s="5" t="s">
        <v>118</v>
      </c>
      <c r="E627" s="5" t="s">
        <v>2794</v>
      </c>
      <c r="F627" s="5" t="s">
        <v>2764</v>
      </c>
      <c r="G627" s="5">
        <v>1</v>
      </c>
      <c r="H627" s="5" t="s">
        <v>2864</v>
      </c>
      <c r="I627" s="5" t="str">
        <f>IF(INDEX(Manual_Review!$X$6:$X$238,U627)="","",INDEX(Manual_Review!$X$6:$X$238,U627))</f>
        <v/>
      </c>
      <c r="J627" s="5" t="str">
        <f t="shared" si="18"/>
        <v>AI provisional</v>
      </c>
      <c r="K627" s="5" t="str">
        <f t="shared" si="19"/>
        <v>U</v>
      </c>
      <c r="L627" s="5" t="s">
        <v>563</v>
      </c>
      <c r="M627" s="5" t="s">
        <v>4179</v>
      </c>
      <c r="N627" s="5" t="s">
        <v>4169</v>
      </c>
      <c r="O627" s="5" t="s">
        <v>2895</v>
      </c>
      <c r="P627" s="5" t="s">
        <v>2858</v>
      </c>
      <c r="Q627" s="11">
        <v>46306.5</v>
      </c>
      <c r="R627" s="6"/>
      <c r="S627" s="6"/>
      <c r="T627" s="6"/>
      <c r="U627" s="5">
        <f>MATCH(B627,Manual_Review!$A$6:$A$238,0)</f>
        <v>39</v>
      </c>
      <c r="V627" s="5" t="str">
        <f>IF(INDEX(Manual_Review!$G$6:$G$238,U627)="","",INDEX(Manual_Review!$G$6:$G$238,U627))</f>
        <v/>
      </c>
      <c r="W627" s="11" t="str">
        <f>IF(INDEX(Manual_Review!$H$6:$H$238,U627)="","",INDEX(Manual_Review!$H$6:$H$238,U627))</f>
        <v/>
      </c>
      <c r="X627" s="5" t="str">
        <f>IF(INDEX(Manual_Review!$I$6:$I$238,U627)="","",INDEX(Manual_Review!$I$6:$I$238,U627))</f>
        <v/>
      </c>
      <c r="Y627" s="5" t="s">
        <v>2859</v>
      </c>
    </row>
    <row r="628" spans="1:25" ht="25.5">
      <c r="A628" s="5" t="s">
        <v>4194</v>
      </c>
      <c r="B628" s="5" t="s">
        <v>554</v>
      </c>
      <c r="C628" s="5" t="s">
        <v>555</v>
      </c>
      <c r="D628" s="5" t="s">
        <v>118</v>
      </c>
      <c r="E628" s="5" t="s">
        <v>2795</v>
      </c>
      <c r="F628" s="5" t="s">
        <v>2764</v>
      </c>
      <c r="G628" s="5">
        <v>1</v>
      </c>
      <c r="H628" s="5" t="s">
        <v>2864</v>
      </c>
      <c r="I628" s="5" t="str">
        <f>IF(INDEX(Manual_Review!$Y$6:$Y$238,U628)="","",INDEX(Manual_Review!$Y$6:$Y$238,U628))</f>
        <v/>
      </c>
      <c r="J628" s="5" t="str">
        <f t="shared" si="18"/>
        <v>AI provisional</v>
      </c>
      <c r="K628" s="5" t="str">
        <f t="shared" si="19"/>
        <v>U</v>
      </c>
      <c r="L628" s="5" t="s">
        <v>563</v>
      </c>
      <c r="M628" s="5" t="s">
        <v>4179</v>
      </c>
      <c r="N628" s="5" t="s">
        <v>4169</v>
      </c>
      <c r="O628" s="5" t="s">
        <v>2897</v>
      </c>
      <c r="P628" s="5" t="s">
        <v>2858</v>
      </c>
      <c r="Q628" s="11">
        <v>46306.5</v>
      </c>
      <c r="R628" s="6"/>
      <c r="S628" s="6"/>
      <c r="T628" s="6"/>
      <c r="U628" s="5">
        <f>MATCH(B628,Manual_Review!$A$6:$A$238,0)</f>
        <v>39</v>
      </c>
      <c r="V628" s="5" t="str">
        <f>IF(INDEX(Manual_Review!$G$6:$G$238,U628)="","",INDEX(Manual_Review!$G$6:$G$238,U628))</f>
        <v/>
      </c>
      <c r="W628" s="11" t="str">
        <f>IF(INDEX(Manual_Review!$H$6:$H$238,U628)="","",INDEX(Manual_Review!$H$6:$H$238,U628))</f>
        <v/>
      </c>
      <c r="X628" s="5" t="str">
        <f>IF(INDEX(Manual_Review!$I$6:$I$238,U628)="","",INDEX(Manual_Review!$I$6:$I$238,U628))</f>
        <v/>
      </c>
      <c r="Y628" s="5" t="s">
        <v>2859</v>
      </c>
    </row>
    <row r="629" spans="1:25" ht="25.5">
      <c r="A629" s="5" t="s">
        <v>4195</v>
      </c>
      <c r="B629" s="5" t="s">
        <v>554</v>
      </c>
      <c r="C629" s="5" t="s">
        <v>555</v>
      </c>
      <c r="D629" s="5" t="s">
        <v>118</v>
      </c>
      <c r="E629" s="5" t="s">
        <v>2796</v>
      </c>
      <c r="F629" s="5" t="s">
        <v>2764</v>
      </c>
      <c r="G629" s="5">
        <v>1</v>
      </c>
      <c r="H629" s="5" t="s">
        <v>2864</v>
      </c>
      <c r="I629" s="5" t="str">
        <f>IF(INDEX(Manual_Review!$Z$6:$Z$238,U629)="","",INDEX(Manual_Review!$Z$6:$Z$238,U629))</f>
        <v/>
      </c>
      <c r="J629" s="5" t="str">
        <f t="shared" si="18"/>
        <v>AI provisional</v>
      </c>
      <c r="K629" s="5" t="str">
        <f t="shared" si="19"/>
        <v>U</v>
      </c>
      <c r="L629" s="5" t="s">
        <v>563</v>
      </c>
      <c r="M629" s="5" t="s">
        <v>4196</v>
      </c>
      <c r="N629" s="5" t="s">
        <v>4169</v>
      </c>
      <c r="O629" s="5" t="s">
        <v>2899</v>
      </c>
      <c r="P629" s="5" t="s">
        <v>2858</v>
      </c>
      <c r="Q629" s="11">
        <v>46306.5</v>
      </c>
      <c r="R629" s="6"/>
      <c r="S629" s="6"/>
      <c r="T629" s="6"/>
      <c r="U629" s="5">
        <f>MATCH(B629,Manual_Review!$A$6:$A$238,0)</f>
        <v>39</v>
      </c>
      <c r="V629" s="5" t="str">
        <f>IF(INDEX(Manual_Review!$G$6:$G$238,U629)="","",INDEX(Manual_Review!$G$6:$G$238,U629))</f>
        <v/>
      </c>
      <c r="W629" s="11" t="str">
        <f>IF(INDEX(Manual_Review!$H$6:$H$238,U629)="","",INDEX(Manual_Review!$H$6:$H$238,U629))</f>
        <v/>
      </c>
      <c r="X629" s="5" t="str">
        <f>IF(INDEX(Manual_Review!$I$6:$I$238,U629)="","",INDEX(Manual_Review!$I$6:$I$238,U629))</f>
        <v/>
      </c>
      <c r="Y629" s="5" t="s">
        <v>2859</v>
      </c>
    </row>
    <row r="630" spans="1:25" ht="25.5">
      <c r="A630" s="5" t="s">
        <v>4197</v>
      </c>
      <c r="B630" s="5" t="s">
        <v>565</v>
      </c>
      <c r="C630" s="5" t="s">
        <v>566</v>
      </c>
      <c r="D630" s="5" t="s">
        <v>118</v>
      </c>
      <c r="E630" s="5" t="s">
        <v>2781</v>
      </c>
      <c r="F630" s="5" t="s">
        <v>2754</v>
      </c>
      <c r="G630" s="5">
        <v>1</v>
      </c>
      <c r="H630" s="5" t="s">
        <v>2854</v>
      </c>
      <c r="I630" s="5" t="str">
        <f>IF(INDEX(Manual_Review!$K$6:$K$238,U630)="","",INDEX(Manual_Review!$K$6:$K$238,U630))</f>
        <v/>
      </c>
      <c r="J630" s="5" t="str">
        <f t="shared" si="18"/>
        <v>AI provisional</v>
      </c>
      <c r="K630" s="5" t="str">
        <f t="shared" si="19"/>
        <v>Y</v>
      </c>
      <c r="L630" s="5" t="s">
        <v>579</v>
      </c>
      <c r="M630" s="5" t="s">
        <v>4198</v>
      </c>
      <c r="N630" s="5" t="s">
        <v>4199</v>
      </c>
      <c r="O630" s="5" t="s">
        <v>2991</v>
      </c>
      <c r="P630" s="5" t="s">
        <v>2992</v>
      </c>
      <c r="Q630" s="11">
        <v>46306.5</v>
      </c>
      <c r="R630" s="6"/>
      <c r="S630" s="6"/>
      <c r="T630" s="6"/>
      <c r="U630" s="5">
        <f>MATCH(B630,Manual_Review!$A$6:$A$238,0)</f>
        <v>40</v>
      </c>
      <c r="V630" s="5" t="str">
        <f>IF(INDEX(Manual_Review!$G$6:$G$238,U630)="","",INDEX(Manual_Review!$G$6:$G$238,U630))</f>
        <v/>
      </c>
      <c r="W630" s="11" t="str">
        <f>IF(INDEX(Manual_Review!$H$6:$H$238,U630)="","",INDEX(Manual_Review!$H$6:$H$238,U630))</f>
        <v/>
      </c>
      <c r="X630" s="5" t="str">
        <f>IF(INDEX(Manual_Review!$I$6:$I$238,U630)="","",INDEX(Manual_Review!$I$6:$I$238,U630))</f>
        <v/>
      </c>
      <c r="Y630" s="5" t="s">
        <v>2859</v>
      </c>
    </row>
    <row r="631" spans="1:25" ht="25.5">
      <c r="A631" s="5" t="s">
        <v>4200</v>
      </c>
      <c r="B631" s="5" t="s">
        <v>565</v>
      </c>
      <c r="C631" s="5" t="s">
        <v>566</v>
      </c>
      <c r="D631" s="5" t="s">
        <v>118</v>
      </c>
      <c r="E631" s="5" t="s">
        <v>2782</v>
      </c>
      <c r="F631" s="5" t="s">
        <v>2754</v>
      </c>
      <c r="G631" s="5">
        <v>1</v>
      </c>
      <c r="H631" s="5" t="s">
        <v>2854</v>
      </c>
      <c r="I631" s="5" t="str">
        <f>IF(INDEX(Manual_Review!$L$6:$L$238,U631)="","",INDEX(Manual_Review!$L$6:$L$238,U631))</f>
        <v/>
      </c>
      <c r="J631" s="5" t="str">
        <f t="shared" si="18"/>
        <v>AI provisional</v>
      </c>
      <c r="K631" s="5" t="str">
        <f t="shared" si="19"/>
        <v>Y</v>
      </c>
      <c r="L631" s="5" t="s">
        <v>579</v>
      </c>
      <c r="M631" s="5" t="s">
        <v>4201</v>
      </c>
      <c r="N631" s="5" t="s">
        <v>4202</v>
      </c>
      <c r="O631" s="5" t="s">
        <v>2996</v>
      </c>
      <c r="P631" s="5" t="s">
        <v>2992</v>
      </c>
      <c r="Q631" s="11">
        <v>46306.5</v>
      </c>
      <c r="R631" s="6"/>
      <c r="S631" s="6"/>
      <c r="T631" s="6"/>
      <c r="U631" s="5">
        <f>MATCH(B631,Manual_Review!$A$6:$A$238,0)</f>
        <v>40</v>
      </c>
      <c r="V631" s="5" t="str">
        <f>IF(INDEX(Manual_Review!$G$6:$G$238,U631)="","",INDEX(Manual_Review!$G$6:$G$238,U631))</f>
        <v/>
      </c>
      <c r="W631" s="11" t="str">
        <f>IF(INDEX(Manual_Review!$H$6:$H$238,U631)="","",INDEX(Manual_Review!$H$6:$H$238,U631))</f>
        <v/>
      </c>
      <c r="X631" s="5" t="str">
        <f>IF(INDEX(Manual_Review!$I$6:$I$238,U631)="","",INDEX(Manual_Review!$I$6:$I$238,U631))</f>
        <v/>
      </c>
      <c r="Y631" s="5" t="s">
        <v>2859</v>
      </c>
    </row>
    <row r="632" spans="1:25" ht="25.5">
      <c r="A632" s="5" t="s">
        <v>4203</v>
      </c>
      <c r="B632" s="5" t="s">
        <v>565</v>
      </c>
      <c r="C632" s="5" t="s">
        <v>566</v>
      </c>
      <c r="D632" s="5" t="s">
        <v>118</v>
      </c>
      <c r="E632" s="5" t="s">
        <v>2783</v>
      </c>
      <c r="F632" s="5" t="s">
        <v>2754</v>
      </c>
      <c r="G632" s="5">
        <v>1</v>
      </c>
      <c r="H632" s="5" t="s">
        <v>2854</v>
      </c>
      <c r="I632" s="5" t="str">
        <f>IF(INDEX(Manual_Review!$M$6:$M$238,U632)="","",INDEX(Manual_Review!$M$6:$M$238,U632))</f>
        <v/>
      </c>
      <c r="J632" s="5" t="str">
        <f t="shared" si="18"/>
        <v>AI provisional</v>
      </c>
      <c r="K632" s="5" t="str">
        <f t="shared" si="19"/>
        <v>Y</v>
      </c>
      <c r="L632" s="5" t="s">
        <v>579</v>
      </c>
      <c r="M632" s="5" t="s">
        <v>4204</v>
      </c>
      <c r="N632" s="5" t="s">
        <v>4205</v>
      </c>
      <c r="O632" s="5" t="s">
        <v>3000</v>
      </c>
      <c r="P632" s="5" t="s">
        <v>2992</v>
      </c>
      <c r="Q632" s="11">
        <v>46306.5</v>
      </c>
      <c r="R632" s="6"/>
      <c r="S632" s="6"/>
      <c r="T632" s="6"/>
      <c r="U632" s="5">
        <f>MATCH(B632,Manual_Review!$A$6:$A$238,0)</f>
        <v>40</v>
      </c>
      <c r="V632" s="5" t="str">
        <f>IF(INDEX(Manual_Review!$G$6:$G$238,U632)="","",INDEX(Manual_Review!$G$6:$G$238,U632))</f>
        <v/>
      </c>
      <c r="W632" s="11" t="str">
        <f>IF(INDEX(Manual_Review!$H$6:$H$238,U632)="","",INDEX(Manual_Review!$H$6:$H$238,U632))</f>
        <v/>
      </c>
      <c r="X632" s="5" t="str">
        <f>IF(INDEX(Manual_Review!$I$6:$I$238,U632)="","",INDEX(Manual_Review!$I$6:$I$238,U632))</f>
        <v/>
      </c>
      <c r="Y632" s="5" t="s">
        <v>2859</v>
      </c>
    </row>
    <row r="633" spans="1:25" ht="25.5">
      <c r="A633" s="5" t="s">
        <v>4206</v>
      </c>
      <c r="B633" s="5" t="s">
        <v>565</v>
      </c>
      <c r="C633" s="5" t="s">
        <v>566</v>
      </c>
      <c r="D633" s="5" t="s">
        <v>118</v>
      </c>
      <c r="E633" s="5" t="s">
        <v>2784</v>
      </c>
      <c r="F633" s="5" t="s">
        <v>2756</v>
      </c>
      <c r="G633" s="5">
        <v>1</v>
      </c>
      <c r="H633" s="5" t="s">
        <v>2854</v>
      </c>
      <c r="I633" s="5" t="str">
        <f>IF(INDEX(Manual_Review!$N$6:$N$238,U633)="","",INDEX(Manual_Review!$N$6:$N$238,U633))</f>
        <v/>
      </c>
      <c r="J633" s="5" t="str">
        <f t="shared" si="18"/>
        <v>AI provisional</v>
      </c>
      <c r="K633" s="5" t="str">
        <f t="shared" si="19"/>
        <v>Y</v>
      </c>
      <c r="L633" s="5" t="s">
        <v>579</v>
      </c>
      <c r="M633" s="5" t="s">
        <v>4207</v>
      </c>
      <c r="N633" s="5" t="s">
        <v>4208</v>
      </c>
      <c r="O633" s="5" t="s">
        <v>3004</v>
      </c>
      <c r="P633" s="5" t="s">
        <v>2992</v>
      </c>
      <c r="Q633" s="11">
        <v>46306.5</v>
      </c>
      <c r="R633" s="6"/>
      <c r="S633" s="6"/>
      <c r="T633" s="6"/>
      <c r="U633" s="5">
        <f>MATCH(B633,Manual_Review!$A$6:$A$238,0)</f>
        <v>40</v>
      </c>
      <c r="V633" s="5" t="str">
        <f>IF(INDEX(Manual_Review!$G$6:$G$238,U633)="","",INDEX(Manual_Review!$G$6:$G$238,U633))</f>
        <v/>
      </c>
      <c r="W633" s="11" t="str">
        <f>IF(INDEX(Manual_Review!$H$6:$H$238,U633)="","",INDEX(Manual_Review!$H$6:$H$238,U633))</f>
        <v/>
      </c>
      <c r="X633" s="5" t="str">
        <f>IF(INDEX(Manual_Review!$I$6:$I$238,U633)="","",INDEX(Manual_Review!$I$6:$I$238,U633))</f>
        <v/>
      </c>
      <c r="Y633" s="5" t="s">
        <v>2859</v>
      </c>
    </row>
    <row r="634" spans="1:25" ht="25.5">
      <c r="A634" s="5" t="s">
        <v>4209</v>
      </c>
      <c r="B634" s="5" t="s">
        <v>565</v>
      </c>
      <c r="C634" s="5" t="s">
        <v>566</v>
      </c>
      <c r="D634" s="5" t="s">
        <v>118</v>
      </c>
      <c r="E634" s="5" t="s">
        <v>2785</v>
      </c>
      <c r="F634" s="5" t="s">
        <v>2756</v>
      </c>
      <c r="G634" s="5">
        <v>1</v>
      </c>
      <c r="H634" s="5" t="s">
        <v>2864</v>
      </c>
      <c r="I634" s="5" t="str">
        <f>IF(INDEX(Manual_Review!$O$6:$O$238,U634)="","",INDEX(Manual_Review!$O$6:$O$238,U634))</f>
        <v/>
      </c>
      <c r="J634" s="5" t="str">
        <f t="shared" si="18"/>
        <v>AI provisional</v>
      </c>
      <c r="K634" s="5" t="str">
        <f t="shared" si="19"/>
        <v>U</v>
      </c>
      <c r="L634" s="5" t="s">
        <v>579</v>
      </c>
      <c r="M634" s="5" t="s">
        <v>4207</v>
      </c>
      <c r="N634" s="5" t="s">
        <v>4208</v>
      </c>
      <c r="O634" s="5" t="s">
        <v>3006</v>
      </c>
      <c r="P634" s="5" t="s">
        <v>2992</v>
      </c>
      <c r="Q634" s="11">
        <v>46306.5</v>
      </c>
      <c r="R634" s="6"/>
      <c r="S634" s="6"/>
      <c r="T634" s="6"/>
      <c r="U634" s="5">
        <f>MATCH(B634,Manual_Review!$A$6:$A$238,0)</f>
        <v>40</v>
      </c>
      <c r="V634" s="5" t="str">
        <f>IF(INDEX(Manual_Review!$G$6:$G$238,U634)="","",INDEX(Manual_Review!$G$6:$G$238,U634))</f>
        <v/>
      </c>
      <c r="W634" s="11" t="str">
        <f>IF(INDEX(Manual_Review!$H$6:$H$238,U634)="","",INDEX(Manual_Review!$H$6:$H$238,U634))</f>
        <v/>
      </c>
      <c r="X634" s="5" t="str">
        <f>IF(INDEX(Manual_Review!$I$6:$I$238,U634)="","",INDEX(Manual_Review!$I$6:$I$238,U634))</f>
        <v/>
      </c>
      <c r="Y634" s="5" t="s">
        <v>2859</v>
      </c>
    </row>
    <row r="635" spans="1:25" ht="25.5">
      <c r="A635" s="5" t="s">
        <v>4210</v>
      </c>
      <c r="B635" s="5" t="s">
        <v>565</v>
      </c>
      <c r="C635" s="5" t="s">
        <v>566</v>
      </c>
      <c r="D635" s="5" t="s">
        <v>118</v>
      </c>
      <c r="E635" s="5" t="s">
        <v>2786</v>
      </c>
      <c r="F635" s="5" t="s">
        <v>2756</v>
      </c>
      <c r="G635" s="5">
        <v>1</v>
      </c>
      <c r="H635" s="5" t="s">
        <v>2864</v>
      </c>
      <c r="I635" s="5" t="str">
        <f>IF(INDEX(Manual_Review!$P$6:$P$238,U635)="","",INDEX(Manual_Review!$P$6:$P$238,U635))</f>
        <v/>
      </c>
      <c r="J635" s="5" t="str">
        <f t="shared" si="18"/>
        <v>AI provisional</v>
      </c>
      <c r="K635" s="5" t="str">
        <f t="shared" si="19"/>
        <v>U</v>
      </c>
      <c r="L635" s="5" t="s">
        <v>579</v>
      </c>
      <c r="M635" s="5" t="s">
        <v>4211</v>
      </c>
      <c r="N635" s="5" t="s">
        <v>4212</v>
      </c>
      <c r="O635" s="5" t="s">
        <v>3010</v>
      </c>
      <c r="P635" s="5" t="s">
        <v>2992</v>
      </c>
      <c r="Q635" s="11">
        <v>46306.5</v>
      </c>
      <c r="R635" s="6"/>
      <c r="S635" s="6"/>
      <c r="T635" s="6"/>
      <c r="U635" s="5">
        <f>MATCH(B635,Manual_Review!$A$6:$A$238,0)</f>
        <v>40</v>
      </c>
      <c r="V635" s="5" t="str">
        <f>IF(INDEX(Manual_Review!$G$6:$G$238,U635)="","",INDEX(Manual_Review!$G$6:$G$238,U635))</f>
        <v/>
      </c>
      <c r="W635" s="11" t="str">
        <f>IF(INDEX(Manual_Review!$H$6:$H$238,U635)="","",INDEX(Manual_Review!$H$6:$H$238,U635))</f>
        <v/>
      </c>
      <c r="X635" s="5" t="str">
        <f>IF(INDEX(Manual_Review!$I$6:$I$238,U635)="","",INDEX(Manual_Review!$I$6:$I$238,U635))</f>
        <v/>
      </c>
      <c r="Y635" s="5" t="s">
        <v>2859</v>
      </c>
    </row>
    <row r="636" spans="1:25" ht="25.5">
      <c r="A636" s="5" t="s">
        <v>4213</v>
      </c>
      <c r="B636" s="5" t="s">
        <v>565</v>
      </c>
      <c r="C636" s="5" t="s">
        <v>566</v>
      </c>
      <c r="D636" s="5" t="s">
        <v>118</v>
      </c>
      <c r="E636" s="5" t="s">
        <v>2787</v>
      </c>
      <c r="F636" s="5" t="s">
        <v>2758</v>
      </c>
      <c r="G636" s="5">
        <v>1</v>
      </c>
      <c r="H636" s="5" t="s">
        <v>2864</v>
      </c>
      <c r="I636" s="5" t="str">
        <f>IF(INDEX(Manual_Review!$Q$6:$Q$238,U636)="","",INDEX(Manual_Review!$Q$6:$Q$238,U636))</f>
        <v/>
      </c>
      <c r="J636" s="5" t="str">
        <f t="shared" si="18"/>
        <v>AI provisional</v>
      </c>
      <c r="K636" s="5" t="str">
        <f t="shared" si="19"/>
        <v>U</v>
      </c>
      <c r="L636" s="5" t="s">
        <v>579</v>
      </c>
      <c r="M636" s="5" t="s">
        <v>4214</v>
      </c>
      <c r="N636" s="5" t="s">
        <v>4215</v>
      </c>
      <c r="O636" s="5" t="s">
        <v>3014</v>
      </c>
      <c r="P636" s="5" t="s">
        <v>2992</v>
      </c>
      <c r="Q636" s="11">
        <v>46306.5</v>
      </c>
      <c r="R636" s="6"/>
      <c r="S636" s="6"/>
      <c r="T636" s="6"/>
      <c r="U636" s="5">
        <f>MATCH(B636,Manual_Review!$A$6:$A$238,0)</f>
        <v>40</v>
      </c>
      <c r="V636" s="5" t="str">
        <f>IF(INDEX(Manual_Review!$G$6:$G$238,U636)="","",INDEX(Manual_Review!$G$6:$G$238,U636))</f>
        <v/>
      </c>
      <c r="W636" s="11" t="str">
        <f>IF(INDEX(Manual_Review!$H$6:$H$238,U636)="","",INDEX(Manual_Review!$H$6:$H$238,U636))</f>
        <v/>
      </c>
      <c r="X636" s="5" t="str">
        <f>IF(INDEX(Manual_Review!$I$6:$I$238,U636)="","",INDEX(Manual_Review!$I$6:$I$238,U636))</f>
        <v/>
      </c>
      <c r="Y636" s="5" t="s">
        <v>2859</v>
      </c>
    </row>
    <row r="637" spans="1:25" ht="51">
      <c r="A637" s="5" t="s">
        <v>4216</v>
      </c>
      <c r="B637" s="5" t="s">
        <v>565</v>
      </c>
      <c r="C637" s="5" t="s">
        <v>566</v>
      </c>
      <c r="D637" s="5" t="s">
        <v>118</v>
      </c>
      <c r="E637" s="5" t="s">
        <v>2788</v>
      </c>
      <c r="F637" s="5" t="s">
        <v>2758</v>
      </c>
      <c r="G637" s="5">
        <v>1</v>
      </c>
      <c r="H637" s="5" t="s">
        <v>2854</v>
      </c>
      <c r="I637" s="5" t="str">
        <f>IF(INDEX(Manual_Review!$R$6:$R$238,U637)="","",INDEX(Manual_Review!$R$6:$R$238,U637))</f>
        <v/>
      </c>
      <c r="J637" s="5" t="str">
        <f t="shared" si="18"/>
        <v>AI provisional</v>
      </c>
      <c r="K637" s="5" t="str">
        <f t="shared" si="19"/>
        <v>Y</v>
      </c>
      <c r="L637" s="5" t="s">
        <v>579</v>
      </c>
      <c r="M637" s="5" t="s">
        <v>4217</v>
      </c>
      <c r="N637" s="5" t="s">
        <v>4218</v>
      </c>
      <c r="O637" s="5" t="s">
        <v>3018</v>
      </c>
      <c r="P637" s="5" t="s">
        <v>2992</v>
      </c>
      <c r="Q637" s="11">
        <v>46306.5</v>
      </c>
      <c r="R637" s="6"/>
      <c r="S637" s="6"/>
      <c r="T637" s="6"/>
      <c r="U637" s="5">
        <f>MATCH(B637,Manual_Review!$A$6:$A$238,0)</f>
        <v>40</v>
      </c>
      <c r="V637" s="5" t="str">
        <f>IF(INDEX(Manual_Review!$G$6:$G$238,U637)="","",INDEX(Manual_Review!$G$6:$G$238,U637))</f>
        <v/>
      </c>
      <c r="W637" s="11" t="str">
        <f>IF(INDEX(Manual_Review!$H$6:$H$238,U637)="","",INDEX(Manual_Review!$H$6:$H$238,U637))</f>
        <v/>
      </c>
      <c r="X637" s="5" t="str">
        <f>IF(INDEX(Manual_Review!$I$6:$I$238,U637)="","",INDEX(Manual_Review!$I$6:$I$238,U637))</f>
        <v/>
      </c>
      <c r="Y637" s="5" t="s">
        <v>2859</v>
      </c>
    </row>
    <row r="638" spans="1:25" ht="38.25">
      <c r="A638" s="5" t="s">
        <v>4219</v>
      </c>
      <c r="B638" s="5" t="s">
        <v>565</v>
      </c>
      <c r="C638" s="5" t="s">
        <v>566</v>
      </c>
      <c r="D638" s="5" t="s">
        <v>118</v>
      </c>
      <c r="E638" s="5" t="s">
        <v>2789</v>
      </c>
      <c r="F638" s="5" t="s">
        <v>2758</v>
      </c>
      <c r="G638" s="5">
        <v>1</v>
      </c>
      <c r="H638" s="5" t="s">
        <v>2854</v>
      </c>
      <c r="I638" s="5" t="str">
        <f>IF(INDEX(Manual_Review!$S$6:$S$238,U638)="","",INDEX(Manual_Review!$S$6:$S$238,U638))</f>
        <v/>
      </c>
      <c r="J638" s="5" t="str">
        <f t="shared" si="18"/>
        <v>AI provisional</v>
      </c>
      <c r="K638" s="5" t="str">
        <f t="shared" si="19"/>
        <v>Y</v>
      </c>
      <c r="L638" s="5" t="s">
        <v>579</v>
      </c>
      <c r="M638" s="5" t="s">
        <v>4220</v>
      </c>
      <c r="N638" s="5" t="s">
        <v>4221</v>
      </c>
      <c r="O638" s="5" t="s">
        <v>3022</v>
      </c>
      <c r="P638" s="5" t="s">
        <v>2992</v>
      </c>
      <c r="Q638" s="11">
        <v>46306.5</v>
      </c>
      <c r="R638" s="6"/>
      <c r="S638" s="6"/>
      <c r="T638" s="6"/>
      <c r="U638" s="5">
        <f>MATCH(B638,Manual_Review!$A$6:$A$238,0)</f>
        <v>40</v>
      </c>
      <c r="V638" s="5" t="str">
        <f>IF(INDEX(Manual_Review!$G$6:$G$238,U638)="","",INDEX(Manual_Review!$G$6:$G$238,U638))</f>
        <v/>
      </c>
      <c r="W638" s="11" t="str">
        <f>IF(INDEX(Manual_Review!$H$6:$H$238,U638)="","",INDEX(Manual_Review!$H$6:$H$238,U638))</f>
        <v/>
      </c>
      <c r="X638" s="5" t="str">
        <f>IF(INDEX(Manual_Review!$I$6:$I$238,U638)="","",INDEX(Manual_Review!$I$6:$I$238,U638))</f>
        <v/>
      </c>
      <c r="Y638" s="5" t="s">
        <v>2859</v>
      </c>
    </row>
    <row r="639" spans="1:25" ht="25.5">
      <c r="A639" s="5" t="s">
        <v>4222</v>
      </c>
      <c r="B639" s="5" t="s">
        <v>565</v>
      </c>
      <c r="C639" s="5" t="s">
        <v>566</v>
      </c>
      <c r="D639" s="5" t="s">
        <v>118</v>
      </c>
      <c r="E639" s="5" t="s">
        <v>2790</v>
      </c>
      <c r="F639" s="5" t="s">
        <v>2760</v>
      </c>
      <c r="G639" s="5">
        <v>1</v>
      </c>
      <c r="H639" s="5" t="s">
        <v>2854</v>
      </c>
      <c r="I639" s="5" t="str">
        <f>IF(INDEX(Manual_Review!$T$6:$T$238,U639)="","",INDEX(Manual_Review!$T$6:$T$238,U639))</f>
        <v/>
      </c>
      <c r="J639" s="5" t="str">
        <f t="shared" si="18"/>
        <v>AI provisional</v>
      </c>
      <c r="K639" s="5" t="str">
        <f t="shared" si="19"/>
        <v>Y</v>
      </c>
      <c r="L639" s="5" t="s">
        <v>579</v>
      </c>
      <c r="M639" s="5" t="s">
        <v>4223</v>
      </c>
      <c r="N639" s="5" t="s">
        <v>4224</v>
      </c>
      <c r="O639" s="5" t="s">
        <v>3451</v>
      </c>
      <c r="P639" s="5" t="s">
        <v>2992</v>
      </c>
      <c r="Q639" s="11">
        <v>46306.5</v>
      </c>
      <c r="R639" s="6"/>
      <c r="S639" s="6"/>
      <c r="T639" s="6"/>
      <c r="U639" s="5">
        <f>MATCH(B639,Manual_Review!$A$6:$A$238,0)</f>
        <v>40</v>
      </c>
      <c r="V639" s="5" t="str">
        <f>IF(INDEX(Manual_Review!$G$6:$G$238,U639)="","",INDEX(Manual_Review!$G$6:$G$238,U639))</f>
        <v/>
      </c>
      <c r="W639" s="11" t="str">
        <f>IF(INDEX(Manual_Review!$H$6:$H$238,U639)="","",INDEX(Manual_Review!$H$6:$H$238,U639))</f>
        <v/>
      </c>
      <c r="X639" s="5" t="str">
        <f>IF(INDEX(Manual_Review!$I$6:$I$238,U639)="","",INDEX(Manual_Review!$I$6:$I$238,U639))</f>
        <v/>
      </c>
      <c r="Y639" s="5" t="s">
        <v>2859</v>
      </c>
    </row>
    <row r="640" spans="1:25" ht="25.5">
      <c r="A640" s="5" t="s">
        <v>4225</v>
      </c>
      <c r="B640" s="5" t="s">
        <v>565</v>
      </c>
      <c r="C640" s="5" t="s">
        <v>566</v>
      </c>
      <c r="D640" s="5" t="s">
        <v>118</v>
      </c>
      <c r="E640" s="5" t="s">
        <v>2791</v>
      </c>
      <c r="F640" s="5" t="s">
        <v>2760</v>
      </c>
      <c r="G640" s="5">
        <v>1</v>
      </c>
      <c r="H640" s="5" t="s">
        <v>2854</v>
      </c>
      <c r="I640" s="5" t="str">
        <f>IF(INDEX(Manual_Review!$U$6:$U$238,U640)="","",INDEX(Manual_Review!$U$6:$U$238,U640))</f>
        <v/>
      </c>
      <c r="J640" s="5" t="str">
        <f t="shared" si="18"/>
        <v>AI provisional</v>
      </c>
      <c r="K640" s="5" t="str">
        <f t="shared" si="19"/>
        <v>Y</v>
      </c>
      <c r="L640" s="5" t="s">
        <v>579</v>
      </c>
      <c r="M640" s="5" t="s">
        <v>4226</v>
      </c>
      <c r="N640" s="5" t="s">
        <v>4227</v>
      </c>
      <c r="O640" s="5" t="s">
        <v>3832</v>
      </c>
      <c r="P640" s="5" t="s">
        <v>2992</v>
      </c>
      <c r="Q640" s="11">
        <v>46306.5</v>
      </c>
      <c r="R640" s="6"/>
      <c r="S640" s="6"/>
      <c r="T640" s="6"/>
      <c r="U640" s="5">
        <f>MATCH(B640,Manual_Review!$A$6:$A$238,0)</f>
        <v>40</v>
      </c>
      <c r="V640" s="5" t="str">
        <f>IF(INDEX(Manual_Review!$G$6:$G$238,U640)="","",INDEX(Manual_Review!$G$6:$G$238,U640))</f>
        <v/>
      </c>
      <c r="W640" s="11" t="str">
        <f>IF(INDEX(Manual_Review!$H$6:$H$238,U640)="","",INDEX(Manual_Review!$H$6:$H$238,U640))</f>
        <v/>
      </c>
      <c r="X640" s="5" t="str">
        <f>IF(INDEX(Manual_Review!$I$6:$I$238,U640)="","",INDEX(Manual_Review!$I$6:$I$238,U640))</f>
        <v/>
      </c>
      <c r="Y640" s="5" t="s">
        <v>2859</v>
      </c>
    </row>
    <row r="641" spans="1:25" ht="25.5">
      <c r="A641" s="5" t="s">
        <v>4228</v>
      </c>
      <c r="B641" s="5" t="s">
        <v>565</v>
      </c>
      <c r="C641" s="5" t="s">
        <v>566</v>
      </c>
      <c r="D641" s="5" t="s">
        <v>118</v>
      </c>
      <c r="E641" s="5" t="s">
        <v>2792</v>
      </c>
      <c r="F641" s="5" t="s">
        <v>2762</v>
      </c>
      <c r="G641" s="5">
        <v>1</v>
      </c>
      <c r="H641" s="5" t="s">
        <v>2854</v>
      </c>
      <c r="I641" s="5" t="str">
        <f>IF(INDEX(Manual_Review!$V$6:$V$238,U641)="","",INDEX(Manual_Review!$V$6:$V$238,U641))</f>
        <v/>
      </c>
      <c r="J641" s="5" t="str">
        <f t="shared" si="18"/>
        <v>AI provisional</v>
      </c>
      <c r="K641" s="5" t="str">
        <f t="shared" si="19"/>
        <v>Y</v>
      </c>
      <c r="L641" s="5" t="s">
        <v>579</v>
      </c>
      <c r="M641" s="5" t="s">
        <v>4229</v>
      </c>
      <c r="N641" s="5" t="s">
        <v>4230</v>
      </c>
      <c r="O641" s="5" t="s">
        <v>3034</v>
      </c>
      <c r="P641" s="5" t="s">
        <v>2992</v>
      </c>
      <c r="Q641" s="11">
        <v>46306.5</v>
      </c>
      <c r="R641" s="6"/>
      <c r="S641" s="6"/>
      <c r="T641" s="6"/>
      <c r="U641" s="5">
        <f>MATCH(B641,Manual_Review!$A$6:$A$238,0)</f>
        <v>40</v>
      </c>
      <c r="V641" s="5" t="str">
        <f>IF(INDEX(Manual_Review!$G$6:$G$238,U641)="","",INDEX(Manual_Review!$G$6:$G$238,U641))</f>
        <v/>
      </c>
      <c r="W641" s="11" t="str">
        <f>IF(INDEX(Manual_Review!$H$6:$H$238,U641)="","",INDEX(Manual_Review!$H$6:$H$238,U641))</f>
        <v/>
      </c>
      <c r="X641" s="5" t="str">
        <f>IF(INDEX(Manual_Review!$I$6:$I$238,U641)="","",INDEX(Manual_Review!$I$6:$I$238,U641))</f>
        <v/>
      </c>
      <c r="Y641" s="5" t="s">
        <v>2859</v>
      </c>
    </row>
    <row r="642" spans="1:25" ht="38.25">
      <c r="A642" s="5" t="s">
        <v>4231</v>
      </c>
      <c r="B642" s="5" t="s">
        <v>565</v>
      </c>
      <c r="C642" s="5" t="s">
        <v>566</v>
      </c>
      <c r="D642" s="5" t="s">
        <v>118</v>
      </c>
      <c r="E642" s="5" t="s">
        <v>2793</v>
      </c>
      <c r="F642" s="5" t="s">
        <v>2762</v>
      </c>
      <c r="G642" s="5">
        <v>1</v>
      </c>
      <c r="H642" s="5" t="s">
        <v>2854</v>
      </c>
      <c r="I642" s="5" t="str">
        <f>IF(INDEX(Manual_Review!$W$6:$W$238,U642)="","",INDEX(Manual_Review!$W$6:$W$238,U642))</f>
        <v/>
      </c>
      <c r="J642" s="5" t="str">
        <f t="shared" si="18"/>
        <v>AI provisional</v>
      </c>
      <c r="K642" s="5" t="str">
        <f t="shared" si="19"/>
        <v>Y</v>
      </c>
      <c r="L642" s="5" t="s">
        <v>579</v>
      </c>
      <c r="M642" s="5" t="s">
        <v>4232</v>
      </c>
      <c r="N642" s="5" t="s">
        <v>4233</v>
      </c>
      <c r="O642" s="5" t="s">
        <v>3038</v>
      </c>
      <c r="P642" s="5" t="s">
        <v>2992</v>
      </c>
      <c r="Q642" s="11">
        <v>46306.5</v>
      </c>
      <c r="R642" s="6"/>
      <c r="S642" s="6"/>
      <c r="T642" s="6"/>
      <c r="U642" s="5">
        <f>MATCH(B642,Manual_Review!$A$6:$A$238,0)</f>
        <v>40</v>
      </c>
      <c r="V642" s="5" t="str">
        <f>IF(INDEX(Manual_Review!$G$6:$G$238,U642)="","",INDEX(Manual_Review!$G$6:$G$238,U642))</f>
        <v/>
      </c>
      <c r="W642" s="11" t="str">
        <f>IF(INDEX(Manual_Review!$H$6:$H$238,U642)="","",INDEX(Manual_Review!$H$6:$H$238,U642))</f>
        <v/>
      </c>
      <c r="X642" s="5" t="str">
        <f>IF(INDEX(Manual_Review!$I$6:$I$238,U642)="","",INDEX(Manual_Review!$I$6:$I$238,U642))</f>
        <v/>
      </c>
      <c r="Y642" s="5" t="s">
        <v>2859</v>
      </c>
    </row>
    <row r="643" spans="1:25" ht="25.5">
      <c r="A643" s="5" t="s">
        <v>4234</v>
      </c>
      <c r="B643" s="5" t="s">
        <v>565</v>
      </c>
      <c r="C643" s="5" t="s">
        <v>566</v>
      </c>
      <c r="D643" s="5" t="s">
        <v>118</v>
      </c>
      <c r="E643" s="5" t="s">
        <v>2794</v>
      </c>
      <c r="F643" s="5" t="s">
        <v>2764</v>
      </c>
      <c r="G643" s="5">
        <v>1</v>
      </c>
      <c r="H643" s="5" t="s">
        <v>2854</v>
      </c>
      <c r="I643" s="5" t="str">
        <f>IF(INDEX(Manual_Review!$X$6:$X$238,U643)="","",INDEX(Manual_Review!$X$6:$X$238,U643))</f>
        <v/>
      </c>
      <c r="J643" s="5" t="str">
        <f t="shared" si="18"/>
        <v>AI provisional</v>
      </c>
      <c r="K643" s="5" t="str">
        <f t="shared" si="19"/>
        <v>Y</v>
      </c>
      <c r="L643" s="5" t="s">
        <v>579</v>
      </c>
      <c r="M643" s="5" t="s">
        <v>4235</v>
      </c>
      <c r="N643" s="5" t="s">
        <v>4236</v>
      </c>
      <c r="O643" s="5" t="s">
        <v>3042</v>
      </c>
      <c r="P643" s="5" t="s">
        <v>2992</v>
      </c>
      <c r="Q643" s="11">
        <v>46306.5</v>
      </c>
      <c r="R643" s="6"/>
      <c r="S643" s="6"/>
      <c r="T643" s="6"/>
      <c r="U643" s="5">
        <f>MATCH(B643,Manual_Review!$A$6:$A$238,0)</f>
        <v>40</v>
      </c>
      <c r="V643" s="5" t="str">
        <f>IF(INDEX(Manual_Review!$G$6:$G$238,U643)="","",INDEX(Manual_Review!$G$6:$G$238,U643))</f>
        <v/>
      </c>
      <c r="W643" s="11" t="str">
        <f>IF(INDEX(Manual_Review!$H$6:$H$238,U643)="","",INDEX(Manual_Review!$H$6:$H$238,U643))</f>
        <v/>
      </c>
      <c r="X643" s="5" t="str">
        <f>IF(INDEX(Manual_Review!$I$6:$I$238,U643)="","",INDEX(Manual_Review!$I$6:$I$238,U643))</f>
        <v/>
      </c>
      <c r="Y643" s="5" t="s">
        <v>2859</v>
      </c>
    </row>
    <row r="644" spans="1:25" ht="25.5">
      <c r="A644" s="5" t="s">
        <v>4237</v>
      </c>
      <c r="B644" s="5" t="s">
        <v>565</v>
      </c>
      <c r="C644" s="5" t="s">
        <v>566</v>
      </c>
      <c r="D644" s="5" t="s">
        <v>118</v>
      </c>
      <c r="E644" s="5" t="s">
        <v>2795</v>
      </c>
      <c r="F644" s="5" t="s">
        <v>2764</v>
      </c>
      <c r="G644" s="5">
        <v>1</v>
      </c>
      <c r="H644" s="5" t="s">
        <v>2854</v>
      </c>
      <c r="I644" s="5" t="str">
        <f>IF(INDEX(Manual_Review!$Y$6:$Y$238,U644)="","",INDEX(Manual_Review!$Y$6:$Y$238,U644))</f>
        <v/>
      </c>
      <c r="J644" s="5" t="str">
        <f t="shared" si="18"/>
        <v>AI provisional</v>
      </c>
      <c r="K644" s="5" t="str">
        <f t="shared" si="19"/>
        <v>Y</v>
      </c>
      <c r="L644" s="5" t="s">
        <v>579</v>
      </c>
      <c r="M644" s="5" t="s">
        <v>4238</v>
      </c>
      <c r="N644" s="5" t="s">
        <v>4239</v>
      </c>
      <c r="O644" s="5" t="s">
        <v>3046</v>
      </c>
      <c r="P644" s="5" t="s">
        <v>2992</v>
      </c>
      <c r="Q644" s="11">
        <v>46306.5</v>
      </c>
      <c r="R644" s="6"/>
      <c r="S644" s="6"/>
      <c r="T644" s="6"/>
      <c r="U644" s="5">
        <f>MATCH(B644,Manual_Review!$A$6:$A$238,0)</f>
        <v>40</v>
      </c>
      <c r="V644" s="5" t="str">
        <f>IF(INDEX(Manual_Review!$G$6:$G$238,U644)="","",INDEX(Manual_Review!$G$6:$G$238,U644))</f>
        <v/>
      </c>
      <c r="W644" s="11" t="str">
        <f>IF(INDEX(Manual_Review!$H$6:$H$238,U644)="","",INDEX(Manual_Review!$H$6:$H$238,U644))</f>
        <v/>
      </c>
      <c r="X644" s="5" t="str">
        <f>IF(INDEX(Manual_Review!$I$6:$I$238,U644)="","",INDEX(Manual_Review!$I$6:$I$238,U644))</f>
        <v/>
      </c>
      <c r="Y644" s="5" t="s">
        <v>2859</v>
      </c>
    </row>
    <row r="645" spans="1:25" ht="38.25">
      <c r="A645" s="5" t="s">
        <v>4240</v>
      </c>
      <c r="B645" s="5" t="s">
        <v>565</v>
      </c>
      <c r="C645" s="5" t="s">
        <v>566</v>
      </c>
      <c r="D645" s="5" t="s">
        <v>118</v>
      </c>
      <c r="E645" s="5" t="s">
        <v>2796</v>
      </c>
      <c r="F645" s="5" t="s">
        <v>2764</v>
      </c>
      <c r="G645" s="5">
        <v>1</v>
      </c>
      <c r="H645" s="5" t="s">
        <v>2864</v>
      </c>
      <c r="I645" s="5" t="str">
        <f>IF(INDEX(Manual_Review!$Z$6:$Z$238,U645)="","",INDEX(Manual_Review!$Z$6:$Z$238,U645))</f>
        <v/>
      </c>
      <c r="J645" s="5" t="str">
        <f t="shared" si="18"/>
        <v>AI provisional</v>
      </c>
      <c r="K645" s="5" t="str">
        <f t="shared" si="19"/>
        <v>U</v>
      </c>
      <c r="L645" s="5" t="s">
        <v>579</v>
      </c>
      <c r="M645" s="5" t="s">
        <v>4241</v>
      </c>
      <c r="N645" s="5" t="s">
        <v>4242</v>
      </c>
      <c r="O645" s="5" t="s">
        <v>3050</v>
      </c>
      <c r="P645" s="5" t="s">
        <v>2992</v>
      </c>
      <c r="Q645" s="11">
        <v>46306.5</v>
      </c>
      <c r="R645" s="6"/>
      <c r="S645" s="6"/>
      <c r="T645" s="6"/>
      <c r="U645" s="5">
        <f>MATCH(B645,Manual_Review!$A$6:$A$238,0)</f>
        <v>40</v>
      </c>
      <c r="V645" s="5" t="str">
        <f>IF(INDEX(Manual_Review!$G$6:$G$238,U645)="","",INDEX(Manual_Review!$G$6:$G$238,U645))</f>
        <v/>
      </c>
      <c r="W645" s="11" t="str">
        <f>IF(INDEX(Manual_Review!$H$6:$H$238,U645)="","",INDEX(Manual_Review!$H$6:$H$238,U645))</f>
        <v/>
      </c>
      <c r="X645" s="5" t="str">
        <f>IF(INDEX(Manual_Review!$I$6:$I$238,U645)="","",INDEX(Manual_Review!$I$6:$I$238,U645))</f>
        <v/>
      </c>
      <c r="Y645" s="5" t="s">
        <v>2859</v>
      </c>
    </row>
    <row r="646" spans="1:25" ht="25.5">
      <c r="A646" s="5" t="s">
        <v>4243</v>
      </c>
      <c r="B646" s="5" t="s">
        <v>581</v>
      </c>
      <c r="C646" s="5" t="s">
        <v>582</v>
      </c>
      <c r="D646" s="5" t="s">
        <v>118</v>
      </c>
      <c r="E646" s="5" t="s">
        <v>2781</v>
      </c>
      <c r="F646" s="5" t="s">
        <v>2754</v>
      </c>
      <c r="G646" s="5">
        <v>1</v>
      </c>
      <c r="H646" s="5" t="s">
        <v>2854</v>
      </c>
      <c r="I646" s="5" t="str">
        <f>IF(INDEX(Manual_Review!$K$6:$K$238,U646)="","",INDEX(Manual_Review!$K$6:$K$238,U646))</f>
        <v/>
      </c>
      <c r="J646" s="5" t="str">
        <f t="shared" ref="J646:J709" si="20">IF(G646=0,"Not applicable",IF(I646="","AI provisional",IF(AND(OR(I646="Y",I646="N",I646="U",I646="X"),V646&lt;&gt;"",ISNUMBER(W646),W646&gt;0,X646="Confirmed",R646&lt;&gt;"",S646&lt;&gt;"",T646&lt;&gt;""),"Human valid","Evidence needed")))</f>
        <v>AI provisional</v>
      </c>
      <c r="K646" s="5" t="str">
        <f t="shared" ref="K646:K709" si="21">IF(G646=0,"N/A",IF(I646="",H646,IF(J646="Human valid",I646,"U")))</f>
        <v>Y</v>
      </c>
      <c r="L646" s="5" t="s">
        <v>584</v>
      </c>
      <c r="M646" s="5" t="s">
        <v>4244</v>
      </c>
      <c r="N646" s="5" t="s">
        <v>4245</v>
      </c>
      <c r="O646" s="5" t="s">
        <v>2857</v>
      </c>
      <c r="P646" s="5" t="s">
        <v>2858</v>
      </c>
      <c r="Q646" s="11">
        <v>46306.5</v>
      </c>
      <c r="R646" s="6"/>
      <c r="S646" s="6"/>
      <c r="T646" s="6"/>
      <c r="U646" s="5">
        <f>MATCH(B646,Manual_Review!$A$6:$A$238,0)</f>
        <v>41</v>
      </c>
      <c r="V646" s="5" t="str">
        <f>IF(INDEX(Manual_Review!$G$6:$G$238,U646)="","",INDEX(Manual_Review!$G$6:$G$238,U646))</f>
        <v/>
      </c>
      <c r="W646" s="11" t="str">
        <f>IF(INDEX(Manual_Review!$H$6:$H$238,U646)="","",INDEX(Manual_Review!$H$6:$H$238,U646))</f>
        <v/>
      </c>
      <c r="X646" s="5" t="str">
        <f>IF(INDEX(Manual_Review!$I$6:$I$238,U646)="","",INDEX(Manual_Review!$I$6:$I$238,U646))</f>
        <v/>
      </c>
      <c r="Y646" s="5" t="s">
        <v>2859</v>
      </c>
    </row>
    <row r="647" spans="1:25" ht="38.25">
      <c r="A647" s="5" t="s">
        <v>4246</v>
      </c>
      <c r="B647" s="5" t="s">
        <v>581</v>
      </c>
      <c r="C647" s="5" t="s">
        <v>582</v>
      </c>
      <c r="D647" s="5" t="s">
        <v>118</v>
      </c>
      <c r="E647" s="5" t="s">
        <v>2782</v>
      </c>
      <c r="F647" s="5" t="s">
        <v>2754</v>
      </c>
      <c r="G647" s="5">
        <v>1</v>
      </c>
      <c r="H647" s="5" t="s">
        <v>3510</v>
      </c>
      <c r="I647" s="5" t="str">
        <f>IF(INDEX(Manual_Review!$L$6:$L$238,U647)="","",INDEX(Manual_Review!$L$6:$L$238,U647))</f>
        <v/>
      </c>
      <c r="J647" s="5" t="str">
        <f t="shared" si="20"/>
        <v>AI provisional</v>
      </c>
      <c r="K647" s="5" t="str">
        <f t="shared" si="21"/>
        <v>N</v>
      </c>
      <c r="L647" s="5" t="s">
        <v>584</v>
      </c>
      <c r="M647" s="5" t="s">
        <v>4247</v>
      </c>
      <c r="N647" s="5" t="s">
        <v>4245</v>
      </c>
      <c r="O647" s="5" t="s">
        <v>3512</v>
      </c>
      <c r="P647" s="5" t="s">
        <v>2858</v>
      </c>
      <c r="Q647" s="11">
        <v>46306.5</v>
      </c>
      <c r="R647" s="6"/>
      <c r="S647" s="6"/>
      <c r="T647" s="6"/>
      <c r="U647" s="5">
        <f>MATCH(B647,Manual_Review!$A$6:$A$238,0)</f>
        <v>41</v>
      </c>
      <c r="V647" s="5" t="str">
        <f>IF(INDEX(Manual_Review!$G$6:$G$238,U647)="","",INDEX(Manual_Review!$G$6:$G$238,U647))</f>
        <v/>
      </c>
      <c r="W647" s="11" t="str">
        <f>IF(INDEX(Manual_Review!$H$6:$H$238,U647)="","",INDEX(Manual_Review!$H$6:$H$238,U647))</f>
        <v/>
      </c>
      <c r="X647" s="5" t="str">
        <f>IF(INDEX(Manual_Review!$I$6:$I$238,U647)="","",INDEX(Manual_Review!$I$6:$I$238,U647))</f>
        <v/>
      </c>
      <c r="Y647" s="5" t="s">
        <v>2859</v>
      </c>
    </row>
    <row r="648" spans="1:25" ht="25.5">
      <c r="A648" s="5" t="s">
        <v>4248</v>
      </c>
      <c r="B648" s="5" t="s">
        <v>581</v>
      </c>
      <c r="C648" s="5" t="s">
        <v>582</v>
      </c>
      <c r="D648" s="5" t="s">
        <v>118</v>
      </c>
      <c r="E648" s="5" t="s">
        <v>2783</v>
      </c>
      <c r="F648" s="5" t="s">
        <v>2754</v>
      </c>
      <c r="G648" s="5">
        <v>1</v>
      </c>
      <c r="H648" s="5" t="s">
        <v>2864</v>
      </c>
      <c r="I648" s="5" t="str">
        <f>IF(INDEX(Manual_Review!$M$6:$M$238,U648)="","",INDEX(Manual_Review!$M$6:$M$238,U648))</f>
        <v/>
      </c>
      <c r="J648" s="5" t="str">
        <f t="shared" si="20"/>
        <v>AI provisional</v>
      </c>
      <c r="K648" s="5" t="str">
        <f t="shared" si="21"/>
        <v>U</v>
      </c>
      <c r="L648" s="5" t="s">
        <v>584</v>
      </c>
      <c r="M648" s="5" t="s">
        <v>4249</v>
      </c>
      <c r="N648" s="5" t="s">
        <v>4245</v>
      </c>
      <c r="O648" s="5" t="s">
        <v>2866</v>
      </c>
      <c r="P648" s="5" t="s">
        <v>2858</v>
      </c>
      <c r="Q648" s="11">
        <v>46306.5</v>
      </c>
      <c r="R648" s="6"/>
      <c r="S648" s="6"/>
      <c r="T648" s="6"/>
      <c r="U648" s="5">
        <f>MATCH(B648,Manual_Review!$A$6:$A$238,0)</f>
        <v>41</v>
      </c>
      <c r="V648" s="5" t="str">
        <f>IF(INDEX(Manual_Review!$G$6:$G$238,U648)="","",INDEX(Manual_Review!$G$6:$G$238,U648))</f>
        <v/>
      </c>
      <c r="W648" s="11" t="str">
        <f>IF(INDEX(Manual_Review!$H$6:$H$238,U648)="","",INDEX(Manual_Review!$H$6:$H$238,U648))</f>
        <v/>
      </c>
      <c r="X648" s="5" t="str">
        <f>IF(INDEX(Manual_Review!$I$6:$I$238,U648)="","",INDEX(Manual_Review!$I$6:$I$238,U648))</f>
        <v/>
      </c>
      <c r="Y648" s="5" t="s">
        <v>2859</v>
      </c>
    </row>
    <row r="649" spans="1:25" ht="25.5">
      <c r="A649" s="5" t="s">
        <v>4250</v>
      </c>
      <c r="B649" s="5" t="s">
        <v>581</v>
      </c>
      <c r="C649" s="5" t="s">
        <v>582</v>
      </c>
      <c r="D649" s="5" t="s">
        <v>118</v>
      </c>
      <c r="E649" s="5" t="s">
        <v>2784</v>
      </c>
      <c r="F649" s="5" t="s">
        <v>2756</v>
      </c>
      <c r="G649" s="5">
        <v>1</v>
      </c>
      <c r="H649" s="5" t="s">
        <v>2854</v>
      </c>
      <c r="I649" s="5" t="str">
        <f>IF(INDEX(Manual_Review!$N$6:$N$238,U649)="","",INDEX(Manual_Review!$N$6:$N$238,U649))</f>
        <v/>
      </c>
      <c r="J649" s="5" t="str">
        <f t="shared" si="20"/>
        <v>AI provisional</v>
      </c>
      <c r="K649" s="5" t="str">
        <f t="shared" si="21"/>
        <v>Y</v>
      </c>
      <c r="L649" s="5" t="s">
        <v>584</v>
      </c>
      <c r="M649" s="5" t="s">
        <v>4251</v>
      </c>
      <c r="N649" s="5" t="s">
        <v>4245</v>
      </c>
      <c r="O649" s="5" t="s">
        <v>2963</v>
      </c>
      <c r="P649" s="5" t="s">
        <v>2858</v>
      </c>
      <c r="Q649" s="11">
        <v>46306.5</v>
      </c>
      <c r="R649" s="6"/>
      <c r="S649" s="6"/>
      <c r="T649" s="6"/>
      <c r="U649" s="5">
        <f>MATCH(B649,Manual_Review!$A$6:$A$238,0)</f>
        <v>41</v>
      </c>
      <c r="V649" s="5" t="str">
        <f>IF(INDEX(Manual_Review!$G$6:$G$238,U649)="","",INDEX(Manual_Review!$G$6:$G$238,U649))</f>
        <v/>
      </c>
      <c r="W649" s="11" t="str">
        <f>IF(INDEX(Manual_Review!$H$6:$H$238,U649)="","",INDEX(Manual_Review!$H$6:$H$238,U649))</f>
        <v/>
      </c>
      <c r="X649" s="5" t="str">
        <f>IF(INDEX(Manual_Review!$I$6:$I$238,U649)="","",INDEX(Manual_Review!$I$6:$I$238,U649))</f>
        <v/>
      </c>
      <c r="Y649" s="5" t="s">
        <v>2859</v>
      </c>
    </row>
    <row r="650" spans="1:25" ht="25.5">
      <c r="A650" s="5" t="s">
        <v>4252</v>
      </c>
      <c r="B650" s="5" t="s">
        <v>581</v>
      </c>
      <c r="C650" s="5" t="s">
        <v>582</v>
      </c>
      <c r="D650" s="5" t="s">
        <v>118</v>
      </c>
      <c r="E650" s="5" t="s">
        <v>2785</v>
      </c>
      <c r="F650" s="5" t="s">
        <v>2756</v>
      </c>
      <c r="G650" s="5">
        <v>1</v>
      </c>
      <c r="H650" s="5" t="s">
        <v>2864</v>
      </c>
      <c r="I650" s="5" t="str">
        <f>IF(INDEX(Manual_Review!$O$6:$O$238,U650)="","",INDEX(Manual_Review!$O$6:$O$238,U650))</f>
        <v/>
      </c>
      <c r="J650" s="5" t="str">
        <f t="shared" si="20"/>
        <v>AI provisional</v>
      </c>
      <c r="K650" s="5" t="str">
        <f t="shared" si="21"/>
        <v>U</v>
      </c>
      <c r="L650" s="5" t="s">
        <v>584</v>
      </c>
      <c r="M650" s="5" t="s">
        <v>4249</v>
      </c>
      <c r="N650" s="5" t="s">
        <v>4245</v>
      </c>
      <c r="O650" s="5" t="s">
        <v>2872</v>
      </c>
      <c r="P650" s="5" t="s">
        <v>2858</v>
      </c>
      <c r="Q650" s="11">
        <v>46306.5</v>
      </c>
      <c r="R650" s="6"/>
      <c r="S650" s="6"/>
      <c r="T650" s="6"/>
      <c r="U650" s="5">
        <f>MATCH(B650,Manual_Review!$A$6:$A$238,0)</f>
        <v>41</v>
      </c>
      <c r="V650" s="5" t="str">
        <f>IF(INDEX(Manual_Review!$G$6:$G$238,U650)="","",INDEX(Manual_Review!$G$6:$G$238,U650))</f>
        <v/>
      </c>
      <c r="W650" s="11" t="str">
        <f>IF(INDEX(Manual_Review!$H$6:$H$238,U650)="","",INDEX(Manual_Review!$H$6:$H$238,U650))</f>
        <v/>
      </c>
      <c r="X650" s="5" t="str">
        <f>IF(INDEX(Manual_Review!$I$6:$I$238,U650)="","",INDEX(Manual_Review!$I$6:$I$238,U650))</f>
        <v/>
      </c>
      <c r="Y650" s="5" t="s">
        <v>2859</v>
      </c>
    </row>
    <row r="651" spans="1:25" ht="25.5">
      <c r="A651" s="5" t="s">
        <v>4253</v>
      </c>
      <c r="B651" s="5" t="s">
        <v>581</v>
      </c>
      <c r="C651" s="5" t="s">
        <v>582</v>
      </c>
      <c r="D651" s="5" t="s">
        <v>118</v>
      </c>
      <c r="E651" s="5" t="s">
        <v>2786</v>
      </c>
      <c r="F651" s="5" t="s">
        <v>2756</v>
      </c>
      <c r="G651" s="5">
        <v>1</v>
      </c>
      <c r="H651" s="5" t="s">
        <v>2864</v>
      </c>
      <c r="I651" s="5" t="str">
        <f>IF(INDEX(Manual_Review!$P$6:$P$238,U651)="","",INDEX(Manual_Review!$P$6:$P$238,U651))</f>
        <v/>
      </c>
      <c r="J651" s="5" t="str">
        <f t="shared" si="20"/>
        <v>AI provisional</v>
      </c>
      <c r="K651" s="5" t="str">
        <f t="shared" si="21"/>
        <v>U</v>
      </c>
      <c r="L651" s="5" t="s">
        <v>584</v>
      </c>
      <c r="M651" s="5" t="s">
        <v>4249</v>
      </c>
      <c r="N651" s="5" t="s">
        <v>4245</v>
      </c>
      <c r="O651" s="5" t="s">
        <v>2874</v>
      </c>
      <c r="P651" s="5" t="s">
        <v>2858</v>
      </c>
      <c r="Q651" s="11">
        <v>46306.5</v>
      </c>
      <c r="R651" s="6"/>
      <c r="S651" s="6"/>
      <c r="T651" s="6"/>
      <c r="U651" s="5">
        <f>MATCH(B651,Manual_Review!$A$6:$A$238,0)</f>
        <v>41</v>
      </c>
      <c r="V651" s="5" t="str">
        <f>IF(INDEX(Manual_Review!$G$6:$G$238,U651)="","",INDEX(Manual_Review!$G$6:$G$238,U651))</f>
        <v/>
      </c>
      <c r="W651" s="11" t="str">
        <f>IF(INDEX(Manual_Review!$H$6:$H$238,U651)="","",INDEX(Manual_Review!$H$6:$H$238,U651))</f>
        <v/>
      </c>
      <c r="X651" s="5" t="str">
        <f>IF(INDEX(Manual_Review!$I$6:$I$238,U651)="","",INDEX(Manual_Review!$I$6:$I$238,U651))</f>
        <v/>
      </c>
      <c r="Y651" s="5" t="s">
        <v>2859</v>
      </c>
    </row>
    <row r="652" spans="1:25" ht="25.5">
      <c r="A652" s="5" t="s">
        <v>4254</v>
      </c>
      <c r="B652" s="5" t="s">
        <v>581</v>
      </c>
      <c r="C652" s="5" t="s">
        <v>582</v>
      </c>
      <c r="D652" s="5" t="s">
        <v>118</v>
      </c>
      <c r="E652" s="5" t="s">
        <v>2787</v>
      </c>
      <c r="F652" s="5" t="s">
        <v>2758</v>
      </c>
      <c r="G652" s="5">
        <v>1</v>
      </c>
      <c r="H652" s="5" t="s">
        <v>2864</v>
      </c>
      <c r="I652" s="5" t="str">
        <f>IF(INDEX(Manual_Review!$Q$6:$Q$238,U652)="","",INDEX(Manual_Review!$Q$6:$Q$238,U652))</f>
        <v/>
      </c>
      <c r="J652" s="5" t="str">
        <f t="shared" si="20"/>
        <v>AI provisional</v>
      </c>
      <c r="K652" s="5" t="str">
        <f t="shared" si="21"/>
        <v>U</v>
      </c>
      <c r="L652" s="5" t="s">
        <v>584</v>
      </c>
      <c r="M652" s="5" t="s">
        <v>4249</v>
      </c>
      <c r="N652" s="5" t="s">
        <v>4245</v>
      </c>
      <c r="O652" s="5" t="s">
        <v>2877</v>
      </c>
      <c r="P652" s="5" t="s">
        <v>2858</v>
      </c>
      <c r="Q652" s="11">
        <v>46306.5</v>
      </c>
      <c r="R652" s="6"/>
      <c r="S652" s="6"/>
      <c r="T652" s="6"/>
      <c r="U652" s="5">
        <f>MATCH(B652,Manual_Review!$A$6:$A$238,0)</f>
        <v>41</v>
      </c>
      <c r="V652" s="5" t="str">
        <f>IF(INDEX(Manual_Review!$G$6:$G$238,U652)="","",INDEX(Manual_Review!$G$6:$G$238,U652))</f>
        <v/>
      </c>
      <c r="W652" s="11" t="str">
        <f>IF(INDEX(Manual_Review!$H$6:$H$238,U652)="","",INDEX(Manual_Review!$H$6:$H$238,U652))</f>
        <v/>
      </c>
      <c r="X652" s="5" t="str">
        <f>IF(INDEX(Manual_Review!$I$6:$I$238,U652)="","",INDEX(Manual_Review!$I$6:$I$238,U652))</f>
        <v/>
      </c>
      <c r="Y652" s="5" t="s">
        <v>2859</v>
      </c>
    </row>
    <row r="653" spans="1:25" ht="25.5">
      <c r="A653" s="5" t="s">
        <v>4255</v>
      </c>
      <c r="B653" s="5" t="s">
        <v>581</v>
      </c>
      <c r="C653" s="5" t="s">
        <v>582</v>
      </c>
      <c r="D653" s="5" t="s">
        <v>118</v>
      </c>
      <c r="E653" s="5" t="s">
        <v>2788</v>
      </c>
      <c r="F653" s="5" t="s">
        <v>2758</v>
      </c>
      <c r="G653" s="5">
        <v>1</v>
      </c>
      <c r="H653" s="5" t="s">
        <v>2864</v>
      </c>
      <c r="I653" s="5" t="str">
        <f>IF(INDEX(Manual_Review!$R$6:$R$238,U653)="","",INDEX(Manual_Review!$R$6:$R$238,U653))</f>
        <v/>
      </c>
      <c r="J653" s="5" t="str">
        <f t="shared" si="20"/>
        <v>AI provisional</v>
      </c>
      <c r="K653" s="5" t="str">
        <f t="shared" si="21"/>
        <v>U</v>
      </c>
      <c r="L653" s="5" t="s">
        <v>584</v>
      </c>
      <c r="M653" s="5" t="s">
        <v>4256</v>
      </c>
      <c r="N653" s="5" t="s">
        <v>4245</v>
      </c>
      <c r="O653" s="5" t="s">
        <v>2880</v>
      </c>
      <c r="P653" s="5" t="s">
        <v>2858</v>
      </c>
      <c r="Q653" s="11">
        <v>46306.5</v>
      </c>
      <c r="R653" s="6"/>
      <c r="S653" s="6"/>
      <c r="T653" s="6"/>
      <c r="U653" s="5">
        <f>MATCH(B653,Manual_Review!$A$6:$A$238,0)</f>
        <v>41</v>
      </c>
      <c r="V653" s="5" t="str">
        <f>IF(INDEX(Manual_Review!$G$6:$G$238,U653)="","",INDEX(Manual_Review!$G$6:$G$238,U653))</f>
        <v/>
      </c>
      <c r="W653" s="11" t="str">
        <f>IF(INDEX(Manual_Review!$H$6:$H$238,U653)="","",INDEX(Manual_Review!$H$6:$H$238,U653))</f>
        <v/>
      </c>
      <c r="X653" s="5" t="str">
        <f>IF(INDEX(Manual_Review!$I$6:$I$238,U653)="","",INDEX(Manual_Review!$I$6:$I$238,U653))</f>
        <v/>
      </c>
      <c r="Y653" s="5" t="s">
        <v>2859</v>
      </c>
    </row>
    <row r="654" spans="1:25" ht="25.5">
      <c r="A654" s="5" t="s">
        <v>4257</v>
      </c>
      <c r="B654" s="5" t="s">
        <v>581</v>
      </c>
      <c r="C654" s="5" t="s">
        <v>582</v>
      </c>
      <c r="D654" s="5" t="s">
        <v>118</v>
      </c>
      <c r="E654" s="5" t="s">
        <v>2789</v>
      </c>
      <c r="F654" s="5" t="s">
        <v>2758</v>
      </c>
      <c r="G654" s="5">
        <v>1</v>
      </c>
      <c r="H654" s="5" t="s">
        <v>2864</v>
      </c>
      <c r="I654" s="5" t="str">
        <f>IF(INDEX(Manual_Review!$S$6:$S$238,U654)="","",INDEX(Manual_Review!$S$6:$S$238,U654))</f>
        <v/>
      </c>
      <c r="J654" s="5" t="str">
        <f t="shared" si="20"/>
        <v>AI provisional</v>
      </c>
      <c r="K654" s="5" t="str">
        <f t="shared" si="21"/>
        <v>U</v>
      </c>
      <c r="L654" s="5" t="s">
        <v>584</v>
      </c>
      <c r="M654" s="5" t="s">
        <v>4258</v>
      </c>
      <c r="N654" s="5" t="s">
        <v>4245</v>
      </c>
      <c r="O654" s="5" t="s">
        <v>2883</v>
      </c>
      <c r="P654" s="5" t="s">
        <v>2858</v>
      </c>
      <c r="Q654" s="11">
        <v>46306.5</v>
      </c>
      <c r="R654" s="6"/>
      <c r="S654" s="6"/>
      <c r="T654" s="6"/>
      <c r="U654" s="5">
        <f>MATCH(B654,Manual_Review!$A$6:$A$238,0)</f>
        <v>41</v>
      </c>
      <c r="V654" s="5" t="str">
        <f>IF(INDEX(Manual_Review!$G$6:$G$238,U654)="","",INDEX(Manual_Review!$G$6:$G$238,U654))</f>
        <v/>
      </c>
      <c r="W654" s="11" t="str">
        <f>IF(INDEX(Manual_Review!$H$6:$H$238,U654)="","",INDEX(Manual_Review!$H$6:$H$238,U654))</f>
        <v/>
      </c>
      <c r="X654" s="5" t="str">
        <f>IF(INDEX(Manual_Review!$I$6:$I$238,U654)="","",INDEX(Manual_Review!$I$6:$I$238,U654))</f>
        <v/>
      </c>
      <c r="Y654" s="5" t="s">
        <v>2859</v>
      </c>
    </row>
    <row r="655" spans="1:25" ht="25.5">
      <c r="A655" s="5" t="s">
        <v>4259</v>
      </c>
      <c r="B655" s="5" t="s">
        <v>581</v>
      </c>
      <c r="C655" s="5" t="s">
        <v>582</v>
      </c>
      <c r="D655" s="5" t="s">
        <v>118</v>
      </c>
      <c r="E655" s="5" t="s">
        <v>2790</v>
      </c>
      <c r="F655" s="5" t="s">
        <v>2760</v>
      </c>
      <c r="G655" s="5">
        <v>1</v>
      </c>
      <c r="H655" s="5" t="s">
        <v>2864</v>
      </c>
      <c r="I655" s="5" t="str">
        <f>IF(INDEX(Manual_Review!$T$6:$T$238,U655)="","",INDEX(Manual_Review!$T$6:$T$238,U655))</f>
        <v/>
      </c>
      <c r="J655" s="5" t="str">
        <f t="shared" si="20"/>
        <v>AI provisional</v>
      </c>
      <c r="K655" s="5" t="str">
        <f t="shared" si="21"/>
        <v>U</v>
      </c>
      <c r="L655" s="5" t="s">
        <v>584</v>
      </c>
      <c r="M655" s="5" t="s">
        <v>4249</v>
      </c>
      <c r="N655" s="5" t="s">
        <v>4245</v>
      </c>
      <c r="O655" s="5" t="s">
        <v>2885</v>
      </c>
      <c r="P655" s="5" t="s">
        <v>2858</v>
      </c>
      <c r="Q655" s="11">
        <v>46306.5</v>
      </c>
      <c r="R655" s="6"/>
      <c r="S655" s="6"/>
      <c r="T655" s="6"/>
      <c r="U655" s="5">
        <f>MATCH(B655,Manual_Review!$A$6:$A$238,0)</f>
        <v>41</v>
      </c>
      <c r="V655" s="5" t="str">
        <f>IF(INDEX(Manual_Review!$G$6:$G$238,U655)="","",INDEX(Manual_Review!$G$6:$G$238,U655))</f>
        <v/>
      </c>
      <c r="W655" s="11" t="str">
        <f>IF(INDEX(Manual_Review!$H$6:$H$238,U655)="","",INDEX(Manual_Review!$H$6:$H$238,U655))</f>
        <v/>
      </c>
      <c r="X655" s="5" t="str">
        <f>IF(INDEX(Manual_Review!$I$6:$I$238,U655)="","",INDEX(Manual_Review!$I$6:$I$238,U655))</f>
        <v/>
      </c>
      <c r="Y655" s="5" t="s">
        <v>2859</v>
      </c>
    </row>
    <row r="656" spans="1:25" ht="25.5">
      <c r="A656" s="5" t="s">
        <v>4260</v>
      </c>
      <c r="B656" s="5" t="s">
        <v>581</v>
      </c>
      <c r="C656" s="5" t="s">
        <v>582</v>
      </c>
      <c r="D656" s="5" t="s">
        <v>118</v>
      </c>
      <c r="E656" s="5" t="s">
        <v>2791</v>
      </c>
      <c r="F656" s="5" t="s">
        <v>2760</v>
      </c>
      <c r="G656" s="5">
        <v>1</v>
      </c>
      <c r="H656" s="5" t="s">
        <v>2864</v>
      </c>
      <c r="I656" s="5" t="str">
        <f>IF(INDEX(Manual_Review!$U$6:$U$238,U656)="","",INDEX(Manual_Review!$U$6:$U$238,U656))</f>
        <v/>
      </c>
      <c r="J656" s="5" t="str">
        <f t="shared" si="20"/>
        <v>AI provisional</v>
      </c>
      <c r="K656" s="5" t="str">
        <f t="shared" si="21"/>
        <v>U</v>
      </c>
      <c r="L656" s="5" t="s">
        <v>584</v>
      </c>
      <c r="M656" s="5" t="s">
        <v>4249</v>
      </c>
      <c r="N656" s="5" t="s">
        <v>4245</v>
      </c>
      <c r="O656" s="5" t="s">
        <v>2888</v>
      </c>
      <c r="P656" s="5" t="s">
        <v>2858</v>
      </c>
      <c r="Q656" s="11">
        <v>46306.5</v>
      </c>
      <c r="R656" s="6"/>
      <c r="S656" s="6"/>
      <c r="T656" s="6"/>
      <c r="U656" s="5">
        <f>MATCH(B656,Manual_Review!$A$6:$A$238,0)</f>
        <v>41</v>
      </c>
      <c r="V656" s="5" t="str">
        <f>IF(INDEX(Manual_Review!$G$6:$G$238,U656)="","",INDEX(Manual_Review!$G$6:$G$238,U656))</f>
        <v/>
      </c>
      <c r="W656" s="11" t="str">
        <f>IF(INDEX(Manual_Review!$H$6:$H$238,U656)="","",INDEX(Manual_Review!$H$6:$H$238,U656))</f>
        <v/>
      </c>
      <c r="X656" s="5" t="str">
        <f>IF(INDEX(Manual_Review!$I$6:$I$238,U656)="","",INDEX(Manual_Review!$I$6:$I$238,U656))</f>
        <v/>
      </c>
      <c r="Y656" s="5" t="s">
        <v>2859</v>
      </c>
    </row>
    <row r="657" spans="1:25" ht="25.5">
      <c r="A657" s="5" t="s">
        <v>4261</v>
      </c>
      <c r="B657" s="5" t="s">
        <v>581</v>
      </c>
      <c r="C657" s="5" t="s">
        <v>582</v>
      </c>
      <c r="D657" s="5" t="s">
        <v>118</v>
      </c>
      <c r="E657" s="5" t="s">
        <v>2792</v>
      </c>
      <c r="F657" s="5" t="s">
        <v>2762</v>
      </c>
      <c r="G657" s="5">
        <v>1</v>
      </c>
      <c r="H657" s="5" t="s">
        <v>2864</v>
      </c>
      <c r="I657" s="5" t="str">
        <f>IF(INDEX(Manual_Review!$V$6:$V$238,U657)="","",INDEX(Manual_Review!$V$6:$V$238,U657))</f>
        <v/>
      </c>
      <c r="J657" s="5" t="str">
        <f t="shared" si="20"/>
        <v>AI provisional</v>
      </c>
      <c r="K657" s="5" t="str">
        <f t="shared" si="21"/>
        <v>U</v>
      </c>
      <c r="L657" s="5" t="s">
        <v>584</v>
      </c>
      <c r="M657" s="5" t="s">
        <v>4262</v>
      </c>
      <c r="N657" s="5" t="s">
        <v>4245</v>
      </c>
      <c r="O657" s="5" t="s">
        <v>2891</v>
      </c>
      <c r="P657" s="5" t="s">
        <v>2858</v>
      </c>
      <c r="Q657" s="11">
        <v>46306.5</v>
      </c>
      <c r="R657" s="6"/>
      <c r="S657" s="6"/>
      <c r="T657" s="6"/>
      <c r="U657" s="5">
        <f>MATCH(B657,Manual_Review!$A$6:$A$238,0)</f>
        <v>41</v>
      </c>
      <c r="V657" s="5" t="str">
        <f>IF(INDEX(Manual_Review!$G$6:$G$238,U657)="","",INDEX(Manual_Review!$G$6:$G$238,U657))</f>
        <v/>
      </c>
      <c r="W657" s="11" t="str">
        <f>IF(INDEX(Manual_Review!$H$6:$H$238,U657)="","",INDEX(Manual_Review!$H$6:$H$238,U657))</f>
        <v/>
      </c>
      <c r="X657" s="5" t="str">
        <f>IF(INDEX(Manual_Review!$I$6:$I$238,U657)="","",INDEX(Manual_Review!$I$6:$I$238,U657))</f>
        <v/>
      </c>
      <c r="Y657" s="5" t="s">
        <v>2859</v>
      </c>
    </row>
    <row r="658" spans="1:25" ht="25.5">
      <c r="A658" s="5" t="s">
        <v>4263</v>
      </c>
      <c r="B658" s="5" t="s">
        <v>581</v>
      </c>
      <c r="C658" s="5" t="s">
        <v>582</v>
      </c>
      <c r="D658" s="5" t="s">
        <v>118</v>
      </c>
      <c r="E658" s="5" t="s">
        <v>2793</v>
      </c>
      <c r="F658" s="5" t="s">
        <v>2762</v>
      </c>
      <c r="G658" s="5">
        <v>1</v>
      </c>
      <c r="H658" s="5" t="s">
        <v>2864</v>
      </c>
      <c r="I658" s="5" t="str">
        <f>IF(INDEX(Manual_Review!$W$6:$W$238,U658)="","",INDEX(Manual_Review!$W$6:$W$238,U658))</f>
        <v/>
      </c>
      <c r="J658" s="5" t="str">
        <f t="shared" si="20"/>
        <v>AI provisional</v>
      </c>
      <c r="K658" s="5" t="str">
        <f t="shared" si="21"/>
        <v>U</v>
      </c>
      <c r="L658" s="5" t="s">
        <v>584</v>
      </c>
      <c r="M658" s="5" t="s">
        <v>4262</v>
      </c>
      <c r="N658" s="5" t="s">
        <v>4245</v>
      </c>
      <c r="O658" s="5" t="s">
        <v>2893</v>
      </c>
      <c r="P658" s="5" t="s">
        <v>2858</v>
      </c>
      <c r="Q658" s="11">
        <v>46306.5</v>
      </c>
      <c r="R658" s="6"/>
      <c r="S658" s="6"/>
      <c r="T658" s="6"/>
      <c r="U658" s="5">
        <f>MATCH(B658,Manual_Review!$A$6:$A$238,0)</f>
        <v>41</v>
      </c>
      <c r="V658" s="5" t="str">
        <f>IF(INDEX(Manual_Review!$G$6:$G$238,U658)="","",INDEX(Manual_Review!$G$6:$G$238,U658))</f>
        <v/>
      </c>
      <c r="W658" s="11" t="str">
        <f>IF(INDEX(Manual_Review!$H$6:$H$238,U658)="","",INDEX(Manual_Review!$H$6:$H$238,U658))</f>
        <v/>
      </c>
      <c r="X658" s="5" t="str">
        <f>IF(INDEX(Manual_Review!$I$6:$I$238,U658)="","",INDEX(Manual_Review!$I$6:$I$238,U658))</f>
        <v/>
      </c>
      <c r="Y658" s="5" t="s">
        <v>2859</v>
      </c>
    </row>
    <row r="659" spans="1:25" ht="25.5">
      <c r="A659" s="5" t="s">
        <v>4264</v>
      </c>
      <c r="B659" s="5" t="s">
        <v>581</v>
      </c>
      <c r="C659" s="5" t="s">
        <v>582</v>
      </c>
      <c r="D659" s="5" t="s">
        <v>118</v>
      </c>
      <c r="E659" s="5" t="s">
        <v>2794</v>
      </c>
      <c r="F659" s="5" t="s">
        <v>2764</v>
      </c>
      <c r="G659" s="5">
        <v>1</v>
      </c>
      <c r="H659" s="5" t="s">
        <v>2864</v>
      </c>
      <c r="I659" s="5" t="str">
        <f>IF(INDEX(Manual_Review!$X$6:$X$238,U659)="","",INDEX(Manual_Review!$X$6:$X$238,U659))</f>
        <v/>
      </c>
      <c r="J659" s="5" t="str">
        <f t="shared" si="20"/>
        <v>AI provisional</v>
      </c>
      <c r="K659" s="5" t="str">
        <f t="shared" si="21"/>
        <v>U</v>
      </c>
      <c r="L659" s="5" t="s">
        <v>584</v>
      </c>
      <c r="M659" s="5" t="s">
        <v>4249</v>
      </c>
      <c r="N659" s="5" t="s">
        <v>4245</v>
      </c>
      <c r="O659" s="5" t="s">
        <v>2895</v>
      </c>
      <c r="P659" s="5" t="s">
        <v>2858</v>
      </c>
      <c r="Q659" s="11">
        <v>46306.5</v>
      </c>
      <c r="R659" s="6"/>
      <c r="S659" s="6"/>
      <c r="T659" s="6"/>
      <c r="U659" s="5">
        <f>MATCH(B659,Manual_Review!$A$6:$A$238,0)</f>
        <v>41</v>
      </c>
      <c r="V659" s="5" t="str">
        <f>IF(INDEX(Manual_Review!$G$6:$G$238,U659)="","",INDEX(Manual_Review!$G$6:$G$238,U659))</f>
        <v/>
      </c>
      <c r="W659" s="11" t="str">
        <f>IF(INDEX(Manual_Review!$H$6:$H$238,U659)="","",INDEX(Manual_Review!$H$6:$H$238,U659))</f>
        <v/>
      </c>
      <c r="X659" s="5" t="str">
        <f>IF(INDEX(Manual_Review!$I$6:$I$238,U659)="","",INDEX(Manual_Review!$I$6:$I$238,U659))</f>
        <v/>
      </c>
      <c r="Y659" s="5" t="s">
        <v>2859</v>
      </c>
    </row>
    <row r="660" spans="1:25" ht="25.5">
      <c r="A660" s="5" t="s">
        <v>4265</v>
      </c>
      <c r="B660" s="5" t="s">
        <v>581</v>
      </c>
      <c r="C660" s="5" t="s">
        <v>582</v>
      </c>
      <c r="D660" s="5" t="s">
        <v>118</v>
      </c>
      <c r="E660" s="5" t="s">
        <v>2795</v>
      </c>
      <c r="F660" s="5" t="s">
        <v>2764</v>
      </c>
      <c r="G660" s="5">
        <v>1</v>
      </c>
      <c r="H660" s="5" t="s">
        <v>2864</v>
      </c>
      <c r="I660" s="5" t="str">
        <f>IF(INDEX(Manual_Review!$Y$6:$Y$238,U660)="","",INDEX(Manual_Review!$Y$6:$Y$238,U660))</f>
        <v/>
      </c>
      <c r="J660" s="5" t="str">
        <f t="shared" si="20"/>
        <v>AI provisional</v>
      </c>
      <c r="K660" s="5" t="str">
        <f t="shared" si="21"/>
        <v>U</v>
      </c>
      <c r="L660" s="5" t="s">
        <v>584</v>
      </c>
      <c r="M660" s="5" t="s">
        <v>4249</v>
      </c>
      <c r="N660" s="5" t="s">
        <v>4245</v>
      </c>
      <c r="O660" s="5" t="s">
        <v>2897</v>
      </c>
      <c r="P660" s="5" t="s">
        <v>2858</v>
      </c>
      <c r="Q660" s="11">
        <v>46306.5</v>
      </c>
      <c r="R660" s="6"/>
      <c r="S660" s="6"/>
      <c r="T660" s="6"/>
      <c r="U660" s="5">
        <f>MATCH(B660,Manual_Review!$A$6:$A$238,0)</f>
        <v>41</v>
      </c>
      <c r="V660" s="5" t="str">
        <f>IF(INDEX(Manual_Review!$G$6:$G$238,U660)="","",INDEX(Manual_Review!$G$6:$G$238,U660))</f>
        <v/>
      </c>
      <c r="W660" s="11" t="str">
        <f>IF(INDEX(Manual_Review!$H$6:$H$238,U660)="","",INDEX(Manual_Review!$H$6:$H$238,U660))</f>
        <v/>
      </c>
      <c r="X660" s="5" t="str">
        <f>IF(INDEX(Manual_Review!$I$6:$I$238,U660)="","",INDEX(Manual_Review!$I$6:$I$238,U660))</f>
        <v/>
      </c>
      <c r="Y660" s="5" t="s">
        <v>2859</v>
      </c>
    </row>
    <row r="661" spans="1:25" ht="25.5">
      <c r="A661" s="5" t="s">
        <v>4266</v>
      </c>
      <c r="B661" s="5" t="s">
        <v>581</v>
      </c>
      <c r="C661" s="5" t="s">
        <v>582</v>
      </c>
      <c r="D661" s="5" t="s">
        <v>118</v>
      </c>
      <c r="E661" s="5" t="s">
        <v>2796</v>
      </c>
      <c r="F661" s="5" t="s">
        <v>2764</v>
      </c>
      <c r="G661" s="5">
        <v>1</v>
      </c>
      <c r="H661" s="5" t="s">
        <v>2864</v>
      </c>
      <c r="I661" s="5" t="str">
        <f>IF(INDEX(Manual_Review!$Z$6:$Z$238,U661)="","",INDEX(Manual_Review!$Z$6:$Z$238,U661))</f>
        <v/>
      </c>
      <c r="J661" s="5" t="str">
        <f t="shared" si="20"/>
        <v>AI provisional</v>
      </c>
      <c r="K661" s="5" t="str">
        <f t="shared" si="21"/>
        <v>U</v>
      </c>
      <c r="L661" s="5" t="s">
        <v>584</v>
      </c>
      <c r="M661" s="5" t="s">
        <v>4258</v>
      </c>
      <c r="N661" s="5" t="s">
        <v>4245</v>
      </c>
      <c r="O661" s="5" t="s">
        <v>2899</v>
      </c>
      <c r="P661" s="5" t="s">
        <v>2858</v>
      </c>
      <c r="Q661" s="11">
        <v>46306.5</v>
      </c>
      <c r="R661" s="6"/>
      <c r="S661" s="6"/>
      <c r="T661" s="6"/>
      <c r="U661" s="5">
        <f>MATCH(B661,Manual_Review!$A$6:$A$238,0)</f>
        <v>41</v>
      </c>
      <c r="V661" s="5" t="str">
        <f>IF(INDEX(Manual_Review!$G$6:$G$238,U661)="","",INDEX(Manual_Review!$G$6:$G$238,U661))</f>
        <v/>
      </c>
      <c r="W661" s="11" t="str">
        <f>IF(INDEX(Manual_Review!$H$6:$H$238,U661)="","",INDEX(Manual_Review!$H$6:$H$238,U661))</f>
        <v/>
      </c>
      <c r="X661" s="5" t="str">
        <f>IF(INDEX(Manual_Review!$I$6:$I$238,U661)="","",INDEX(Manual_Review!$I$6:$I$238,U661))</f>
        <v/>
      </c>
      <c r="Y661" s="5" t="s">
        <v>2859</v>
      </c>
    </row>
    <row r="662" spans="1:25" ht="25.5">
      <c r="A662" s="5" t="s">
        <v>4267</v>
      </c>
      <c r="B662" s="5" t="s">
        <v>586</v>
      </c>
      <c r="C662" s="5" t="s">
        <v>587</v>
      </c>
      <c r="D662" s="5" t="s">
        <v>118</v>
      </c>
      <c r="E662" s="5" t="s">
        <v>2781</v>
      </c>
      <c r="F662" s="5" t="s">
        <v>2754</v>
      </c>
      <c r="G662" s="5">
        <v>1</v>
      </c>
      <c r="H662" s="5" t="s">
        <v>2854</v>
      </c>
      <c r="I662" s="5" t="str">
        <f>IF(INDEX(Manual_Review!$K$6:$K$238,U662)="","",INDEX(Manual_Review!$K$6:$K$238,U662))</f>
        <v/>
      </c>
      <c r="J662" s="5" t="str">
        <f t="shared" si="20"/>
        <v>AI provisional</v>
      </c>
      <c r="K662" s="5" t="str">
        <f t="shared" si="21"/>
        <v>Y</v>
      </c>
      <c r="L662" s="5" t="s">
        <v>594</v>
      </c>
      <c r="M662" s="5" t="s">
        <v>4268</v>
      </c>
      <c r="N662" s="5" t="s">
        <v>4269</v>
      </c>
      <c r="O662" s="5" t="s">
        <v>2857</v>
      </c>
      <c r="P662" s="5" t="s">
        <v>2858</v>
      </c>
      <c r="Q662" s="11">
        <v>46306.5</v>
      </c>
      <c r="R662" s="6"/>
      <c r="S662" s="6"/>
      <c r="T662" s="6"/>
      <c r="U662" s="5">
        <f>MATCH(B662,Manual_Review!$A$6:$A$238,0)</f>
        <v>42</v>
      </c>
      <c r="V662" s="5" t="str">
        <f>IF(INDEX(Manual_Review!$G$6:$G$238,U662)="","",INDEX(Manual_Review!$G$6:$G$238,U662))</f>
        <v/>
      </c>
      <c r="W662" s="11" t="str">
        <f>IF(INDEX(Manual_Review!$H$6:$H$238,U662)="","",INDEX(Manual_Review!$H$6:$H$238,U662))</f>
        <v/>
      </c>
      <c r="X662" s="5" t="str">
        <f>IF(INDEX(Manual_Review!$I$6:$I$238,U662)="","",INDEX(Manual_Review!$I$6:$I$238,U662))</f>
        <v/>
      </c>
      <c r="Y662" s="5" t="s">
        <v>2859</v>
      </c>
    </row>
    <row r="663" spans="1:25" ht="25.5">
      <c r="A663" s="5" t="s">
        <v>4270</v>
      </c>
      <c r="B663" s="5" t="s">
        <v>586</v>
      </c>
      <c r="C663" s="5" t="s">
        <v>587</v>
      </c>
      <c r="D663" s="5" t="s">
        <v>118</v>
      </c>
      <c r="E663" s="5" t="s">
        <v>2782</v>
      </c>
      <c r="F663" s="5" t="s">
        <v>2754</v>
      </c>
      <c r="G663" s="5">
        <v>1</v>
      </c>
      <c r="H663" s="5" t="s">
        <v>2864</v>
      </c>
      <c r="I663" s="5" t="str">
        <f>IF(INDEX(Manual_Review!$L$6:$L$238,U663)="","",INDEX(Manual_Review!$L$6:$L$238,U663))</f>
        <v/>
      </c>
      <c r="J663" s="5" t="str">
        <f t="shared" si="20"/>
        <v>AI provisional</v>
      </c>
      <c r="K663" s="5" t="str">
        <f t="shared" si="21"/>
        <v>U</v>
      </c>
      <c r="L663" s="5" t="s">
        <v>594</v>
      </c>
      <c r="M663" s="5" t="s">
        <v>4271</v>
      </c>
      <c r="N663" s="5" t="s">
        <v>4269</v>
      </c>
      <c r="O663" s="5" t="s">
        <v>4272</v>
      </c>
      <c r="P663" s="5" t="s">
        <v>2858</v>
      </c>
      <c r="Q663" s="11">
        <v>46306.5</v>
      </c>
      <c r="R663" s="6"/>
      <c r="S663" s="6"/>
      <c r="T663" s="6"/>
      <c r="U663" s="5">
        <f>MATCH(B663,Manual_Review!$A$6:$A$238,0)</f>
        <v>42</v>
      </c>
      <c r="V663" s="5" t="str">
        <f>IF(INDEX(Manual_Review!$G$6:$G$238,U663)="","",INDEX(Manual_Review!$G$6:$G$238,U663))</f>
        <v/>
      </c>
      <c r="W663" s="11" t="str">
        <f>IF(INDEX(Manual_Review!$H$6:$H$238,U663)="","",INDEX(Manual_Review!$H$6:$H$238,U663))</f>
        <v/>
      </c>
      <c r="X663" s="5" t="str">
        <f>IF(INDEX(Manual_Review!$I$6:$I$238,U663)="","",INDEX(Manual_Review!$I$6:$I$238,U663))</f>
        <v/>
      </c>
      <c r="Y663" s="5" t="s">
        <v>2859</v>
      </c>
    </row>
    <row r="664" spans="1:25" ht="25.5">
      <c r="A664" s="5" t="s">
        <v>4273</v>
      </c>
      <c r="B664" s="5" t="s">
        <v>586</v>
      </c>
      <c r="C664" s="5" t="s">
        <v>587</v>
      </c>
      <c r="D664" s="5" t="s">
        <v>118</v>
      </c>
      <c r="E664" s="5" t="s">
        <v>2783</v>
      </c>
      <c r="F664" s="5" t="s">
        <v>2754</v>
      </c>
      <c r="G664" s="5">
        <v>1</v>
      </c>
      <c r="H664" s="5" t="s">
        <v>2864</v>
      </c>
      <c r="I664" s="5" t="str">
        <f>IF(INDEX(Manual_Review!$M$6:$M$238,U664)="","",INDEX(Manual_Review!$M$6:$M$238,U664))</f>
        <v/>
      </c>
      <c r="J664" s="5" t="str">
        <f t="shared" si="20"/>
        <v>AI provisional</v>
      </c>
      <c r="K664" s="5" t="str">
        <f t="shared" si="21"/>
        <v>U</v>
      </c>
      <c r="L664" s="5" t="s">
        <v>594</v>
      </c>
      <c r="M664" s="5" t="s">
        <v>4274</v>
      </c>
      <c r="N664" s="5" t="s">
        <v>4269</v>
      </c>
      <c r="O664" s="5" t="s">
        <v>2866</v>
      </c>
      <c r="P664" s="5" t="s">
        <v>2858</v>
      </c>
      <c r="Q664" s="11">
        <v>46306.5</v>
      </c>
      <c r="R664" s="6"/>
      <c r="S664" s="6"/>
      <c r="T664" s="6"/>
      <c r="U664" s="5">
        <f>MATCH(B664,Manual_Review!$A$6:$A$238,0)</f>
        <v>42</v>
      </c>
      <c r="V664" s="5" t="str">
        <f>IF(INDEX(Manual_Review!$G$6:$G$238,U664)="","",INDEX(Manual_Review!$G$6:$G$238,U664))</f>
        <v/>
      </c>
      <c r="W664" s="11" t="str">
        <f>IF(INDEX(Manual_Review!$H$6:$H$238,U664)="","",INDEX(Manual_Review!$H$6:$H$238,U664))</f>
        <v/>
      </c>
      <c r="X664" s="5" t="str">
        <f>IF(INDEX(Manual_Review!$I$6:$I$238,U664)="","",INDEX(Manual_Review!$I$6:$I$238,U664))</f>
        <v/>
      </c>
      <c r="Y664" s="5" t="s">
        <v>2859</v>
      </c>
    </row>
    <row r="665" spans="1:25" ht="25.5">
      <c r="A665" s="5" t="s">
        <v>4275</v>
      </c>
      <c r="B665" s="5" t="s">
        <v>586</v>
      </c>
      <c r="C665" s="5" t="s">
        <v>587</v>
      </c>
      <c r="D665" s="5" t="s">
        <v>118</v>
      </c>
      <c r="E665" s="5" t="s">
        <v>2784</v>
      </c>
      <c r="F665" s="5" t="s">
        <v>2756</v>
      </c>
      <c r="G665" s="5">
        <v>1</v>
      </c>
      <c r="H665" s="5" t="s">
        <v>2854</v>
      </c>
      <c r="I665" s="5" t="str">
        <f>IF(INDEX(Manual_Review!$N$6:$N$238,U665)="","",INDEX(Manual_Review!$N$6:$N$238,U665))</f>
        <v/>
      </c>
      <c r="J665" s="5" t="str">
        <f t="shared" si="20"/>
        <v>AI provisional</v>
      </c>
      <c r="K665" s="5" t="str">
        <f t="shared" si="21"/>
        <v>Y</v>
      </c>
      <c r="L665" s="5" t="s">
        <v>594</v>
      </c>
      <c r="M665" s="5" t="s">
        <v>4276</v>
      </c>
      <c r="N665" s="5" t="s">
        <v>4269</v>
      </c>
      <c r="O665" s="5" t="s">
        <v>2963</v>
      </c>
      <c r="P665" s="5" t="s">
        <v>2858</v>
      </c>
      <c r="Q665" s="11">
        <v>46306.5</v>
      </c>
      <c r="R665" s="6"/>
      <c r="S665" s="6"/>
      <c r="T665" s="6"/>
      <c r="U665" s="5">
        <f>MATCH(B665,Manual_Review!$A$6:$A$238,0)</f>
        <v>42</v>
      </c>
      <c r="V665" s="5" t="str">
        <f>IF(INDEX(Manual_Review!$G$6:$G$238,U665)="","",INDEX(Manual_Review!$G$6:$G$238,U665))</f>
        <v/>
      </c>
      <c r="W665" s="11" t="str">
        <f>IF(INDEX(Manual_Review!$H$6:$H$238,U665)="","",INDEX(Manual_Review!$H$6:$H$238,U665))</f>
        <v/>
      </c>
      <c r="X665" s="5" t="str">
        <f>IF(INDEX(Manual_Review!$I$6:$I$238,U665)="","",INDEX(Manual_Review!$I$6:$I$238,U665))</f>
        <v/>
      </c>
      <c r="Y665" s="5" t="s">
        <v>2859</v>
      </c>
    </row>
    <row r="666" spans="1:25" ht="25.5">
      <c r="A666" s="5" t="s">
        <v>4277</v>
      </c>
      <c r="B666" s="5" t="s">
        <v>586</v>
      </c>
      <c r="C666" s="5" t="s">
        <v>587</v>
      </c>
      <c r="D666" s="5" t="s">
        <v>118</v>
      </c>
      <c r="E666" s="5" t="s">
        <v>2785</v>
      </c>
      <c r="F666" s="5" t="s">
        <v>2756</v>
      </c>
      <c r="G666" s="5">
        <v>1</v>
      </c>
      <c r="H666" s="5" t="s">
        <v>2854</v>
      </c>
      <c r="I666" s="5" t="str">
        <f>IF(INDEX(Manual_Review!$O$6:$O$238,U666)="","",INDEX(Manual_Review!$O$6:$O$238,U666))</f>
        <v/>
      </c>
      <c r="J666" s="5" t="str">
        <f t="shared" si="20"/>
        <v>AI provisional</v>
      </c>
      <c r="K666" s="5" t="str">
        <f t="shared" si="21"/>
        <v>Y</v>
      </c>
      <c r="L666" s="5" t="s">
        <v>594</v>
      </c>
      <c r="M666" s="5" t="s">
        <v>4278</v>
      </c>
      <c r="N666" s="5" t="s">
        <v>4269</v>
      </c>
      <c r="O666" s="5" t="s">
        <v>3138</v>
      </c>
      <c r="P666" s="5" t="s">
        <v>2858</v>
      </c>
      <c r="Q666" s="11">
        <v>46306.5</v>
      </c>
      <c r="R666" s="6"/>
      <c r="S666" s="6"/>
      <c r="T666" s="6"/>
      <c r="U666" s="5">
        <f>MATCH(B666,Manual_Review!$A$6:$A$238,0)</f>
        <v>42</v>
      </c>
      <c r="V666" s="5" t="str">
        <f>IF(INDEX(Manual_Review!$G$6:$G$238,U666)="","",INDEX(Manual_Review!$G$6:$G$238,U666))</f>
        <v/>
      </c>
      <c r="W666" s="11" t="str">
        <f>IF(INDEX(Manual_Review!$H$6:$H$238,U666)="","",INDEX(Manual_Review!$H$6:$H$238,U666))</f>
        <v/>
      </c>
      <c r="X666" s="5" t="str">
        <f>IF(INDEX(Manual_Review!$I$6:$I$238,U666)="","",INDEX(Manual_Review!$I$6:$I$238,U666))</f>
        <v/>
      </c>
      <c r="Y666" s="5" t="s">
        <v>2859</v>
      </c>
    </row>
    <row r="667" spans="1:25" ht="25.5">
      <c r="A667" s="5" t="s">
        <v>4279</v>
      </c>
      <c r="B667" s="5" t="s">
        <v>586</v>
      </c>
      <c r="C667" s="5" t="s">
        <v>587</v>
      </c>
      <c r="D667" s="5" t="s">
        <v>118</v>
      </c>
      <c r="E667" s="5" t="s">
        <v>2786</v>
      </c>
      <c r="F667" s="5" t="s">
        <v>2756</v>
      </c>
      <c r="G667" s="5">
        <v>1</v>
      </c>
      <c r="H667" s="5" t="s">
        <v>2864</v>
      </c>
      <c r="I667" s="5" t="str">
        <f>IF(INDEX(Manual_Review!$P$6:$P$238,U667)="","",INDEX(Manual_Review!$P$6:$P$238,U667))</f>
        <v/>
      </c>
      <c r="J667" s="5" t="str">
        <f t="shared" si="20"/>
        <v>AI provisional</v>
      </c>
      <c r="K667" s="5" t="str">
        <f t="shared" si="21"/>
        <v>U</v>
      </c>
      <c r="L667" s="5" t="s">
        <v>594</v>
      </c>
      <c r="M667" s="5" t="s">
        <v>4274</v>
      </c>
      <c r="N667" s="5" t="s">
        <v>4269</v>
      </c>
      <c r="O667" s="5" t="s">
        <v>2874</v>
      </c>
      <c r="P667" s="5" t="s">
        <v>2858</v>
      </c>
      <c r="Q667" s="11">
        <v>46306.5</v>
      </c>
      <c r="R667" s="6"/>
      <c r="S667" s="6"/>
      <c r="T667" s="6"/>
      <c r="U667" s="5">
        <f>MATCH(B667,Manual_Review!$A$6:$A$238,0)</f>
        <v>42</v>
      </c>
      <c r="V667" s="5" t="str">
        <f>IF(INDEX(Manual_Review!$G$6:$G$238,U667)="","",INDEX(Manual_Review!$G$6:$G$238,U667))</f>
        <v/>
      </c>
      <c r="W667" s="11" t="str">
        <f>IF(INDEX(Manual_Review!$H$6:$H$238,U667)="","",INDEX(Manual_Review!$H$6:$H$238,U667))</f>
        <v/>
      </c>
      <c r="X667" s="5" t="str">
        <f>IF(INDEX(Manual_Review!$I$6:$I$238,U667)="","",INDEX(Manual_Review!$I$6:$I$238,U667))</f>
        <v/>
      </c>
      <c r="Y667" s="5" t="s">
        <v>2859</v>
      </c>
    </row>
    <row r="668" spans="1:25" ht="25.5">
      <c r="A668" s="5" t="s">
        <v>4280</v>
      </c>
      <c r="B668" s="5" t="s">
        <v>586</v>
      </c>
      <c r="C668" s="5" t="s">
        <v>587</v>
      </c>
      <c r="D668" s="5" t="s">
        <v>118</v>
      </c>
      <c r="E668" s="5" t="s">
        <v>2787</v>
      </c>
      <c r="F668" s="5" t="s">
        <v>2758</v>
      </c>
      <c r="G668" s="5">
        <v>1</v>
      </c>
      <c r="H668" s="5" t="s">
        <v>2864</v>
      </c>
      <c r="I668" s="5" t="str">
        <f>IF(INDEX(Manual_Review!$Q$6:$Q$238,U668)="","",INDEX(Manual_Review!$Q$6:$Q$238,U668))</f>
        <v/>
      </c>
      <c r="J668" s="5" t="str">
        <f t="shared" si="20"/>
        <v>AI provisional</v>
      </c>
      <c r="K668" s="5" t="str">
        <f t="shared" si="21"/>
        <v>U</v>
      </c>
      <c r="L668" s="5" t="s">
        <v>594</v>
      </c>
      <c r="M668" s="5" t="s">
        <v>4281</v>
      </c>
      <c r="N668" s="5" t="s">
        <v>4269</v>
      </c>
      <c r="O668" s="5" t="s">
        <v>2877</v>
      </c>
      <c r="P668" s="5" t="s">
        <v>2858</v>
      </c>
      <c r="Q668" s="11">
        <v>46306.5</v>
      </c>
      <c r="R668" s="6"/>
      <c r="S668" s="6"/>
      <c r="T668" s="6"/>
      <c r="U668" s="5">
        <f>MATCH(B668,Manual_Review!$A$6:$A$238,0)</f>
        <v>42</v>
      </c>
      <c r="V668" s="5" t="str">
        <f>IF(INDEX(Manual_Review!$G$6:$G$238,U668)="","",INDEX(Manual_Review!$G$6:$G$238,U668))</f>
        <v/>
      </c>
      <c r="W668" s="11" t="str">
        <f>IF(INDEX(Manual_Review!$H$6:$H$238,U668)="","",INDEX(Manual_Review!$H$6:$H$238,U668))</f>
        <v/>
      </c>
      <c r="X668" s="5" t="str">
        <f>IF(INDEX(Manual_Review!$I$6:$I$238,U668)="","",INDEX(Manual_Review!$I$6:$I$238,U668))</f>
        <v/>
      </c>
      <c r="Y668" s="5" t="s">
        <v>2859</v>
      </c>
    </row>
    <row r="669" spans="1:25" ht="25.5">
      <c r="A669" s="5" t="s">
        <v>4282</v>
      </c>
      <c r="B669" s="5" t="s">
        <v>586</v>
      </c>
      <c r="C669" s="5" t="s">
        <v>587</v>
      </c>
      <c r="D669" s="5" t="s">
        <v>118</v>
      </c>
      <c r="E669" s="5" t="s">
        <v>2788</v>
      </c>
      <c r="F669" s="5" t="s">
        <v>2758</v>
      </c>
      <c r="G669" s="5">
        <v>1</v>
      </c>
      <c r="H669" s="5" t="s">
        <v>2854</v>
      </c>
      <c r="I669" s="5" t="str">
        <f>IF(INDEX(Manual_Review!$R$6:$R$238,U669)="","",INDEX(Manual_Review!$R$6:$R$238,U669))</f>
        <v/>
      </c>
      <c r="J669" s="5" t="str">
        <f t="shared" si="20"/>
        <v>AI provisional</v>
      </c>
      <c r="K669" s="5" t="str">
        <f t="shared" si="21"/>
        <v>Y</v>
      </c>
      <c r="L669" s="5" t="s">
        <v>594</v>
      </c>
      <c r="M669" s="5" t="s">
        <v>4283</v>
      </c>
      <c r="N669" s="5" t="s">
        <v>4269</v>
      </c>
      <c r="O669" s="5" t="s">
        <v>3067</v>
      </c>
      <c r="P669" s="5" t="s">
        <v>2858</v>
      </c>
      <c r="Q669" s="11">
        <v>46306.5</v>
      </c>
      <c r="R669" s="6"/>
      <c r="S669" s="6"/>
      <c r="T669" s="6"/>
      <c r="U669" s="5">
        <f>MATCH(B669,Manual_Review!$A$6:$A$238,0)</f>
        <v>42</v>
      </c>
      <c r="V669" s="5" t="str">
        <f>IF(INDEX(Manual_Review!$G$6:$G$238,U669)="","",INDEX(Manual_Review!$G$6:$G$238,U669))</f>
        <v/>
      </c>
      <c r="W669" s="11" t="str">
        <f>IF(INDEX(Manual_Review!$H$6:$H$238,U669)="","",INDEX(Manual_Review!$H$6:$H$238,U669))</f>
        <v/>
      </c>
      <c r="X669" s="5" t="str">
        <f>IF(INDEX(Manual_Review!$I$6:$I$238,U669)="","",INDEX(Manual_Review!$I$6:$I$238,U669))</f>
        <v/>
      </c>
      <c r="Y669" s="5" t="s">
        <v>2859</v>
      </c>
    </row>
    <row r="670" spans="1:25" ht="25.5">
      <c r="A670" s="5" t="s">
        <v>4284</v>
      </c>
      <c r="B670" s="5" t="s">
        <v>586</v>
      </c>
      <c r="C670" s="5" t="s">
        <v>587</v>
      </c>
      <c r="D670" s="5" t="s">
        <v>118</v>
      </c>
      <c r="E670" s="5" t="s">
        <v>2789</v>
      </c>
      <c r="F670" s="5" t="s">
        <v>2758</v>
      </c>
      <c r="G670" s="5">
        <v>1</v>
      </c>
      <c r="H670" s="5" t="s">
        <v>2864</v>
      </c>
      <c r="I670" s="5" t="str">
        <f>IF(INDEX(Manual_Review!$S$6:$S$238,U670)="","",INDEX(Manual_Review!$S$6:$S$238,U670))</f>
        <v/>
      </c>
      <c r="J670" s="5" t="str">
        <f t="shared" si="20"/>
        <v>AI provisional</v>
      </c>
      <c r="K670" s="5" t="str">
        <f t="shared" si="21"/>
        <v>U</v>
      </c>
      <c r="L670" s="5" t="s">
        <v>594</v>
      </c>
      <c r="M670" s="5" t="s">
        <v>4285</v>
      </c>
      <c r="N670" s="5" t="s">
        <v>4269</v>
      </c>
      <c r="O670" s="5" t="s">
        <v>2883</v>
      </c>
      <c r="P670" s="5" t="s">
        <v>2858</v>
      </c>
      <c r="Q670" s="11">
        <v>46306.5</v>
      </c>
      <c r="R670" s="6"/>
      <c r="S670" s="6"/>
      <c r="T670" s="6"/>
      <c r="U670" s="5">
        <f>MATCH(B670,Manual_Review!$A$6:$A$238,0)</f>
        <v>42</v>
      </c>
      <c r="V670" s="5" t="str">
        <f>IF(INDEX(Manual_Review!$G$6:$G$238,U670)="","",INDEX(Manual_Review!$G$6:$G$238,U670))</f>
        <v/>
      </c>
      <c r="W670" s="11" t="str">
        <f>IF(INDEX(Manual_Review!$H$6:$H$238,U670)="","",INDEX(Manual_Review!$H$6:$H$238,U670))</f>
        <v/>
      </c>
      <c r="X670" s="5" t="str">
        <f>IF(INDEX(Manual_Review!$I$6:$I$238,U670)="","",INDEX(Manual_Review!$I$6:$I$238,U670))</f>
        <v/>
      </c>
      <c r="Y670" s="5" t="s">
        <v>2859</v>
      </c>
    </row>
    <row r="671" spans="1:25" ht="25.5">
      <c r="A671" s="5" t="s">
        <v>4286</v>
      </c>
      <c r="B671" s="5" t="s">
        <v>586</v>
      </c>
      <c r="C671" s="5" t="s">
        <v>587</v>
      </c>
      <c r="D671" s="5" t="s">
        <v>118</v>
      </c>
      <c r="E671" s="5" t="s">
        <v>2790</v>
      </c>
      <c r="F671" s="5" t="s">
        <v>2760</v>
      </c>
      <c r="G671" s="5">
        <v>1</v>
      </c>
      <c r="H671" s="5" t="s">
        <v>2854</v>
      </c>
      <c r="I671" s="5" t="str">
        <f>IF(INDEX(Manual_Review!$T$6:$T$238,U671)="","",INDEX(Manual_Review!$T$6:$T$238,U671))</f>
        <v/>
      </c>
      <c r="J671" s="5" t="str">
        <f t="shared" si="20"/>
        <v>AI provisional</v>
      </c>
      <c r="K671" s="5" t="str">
        <f t="shared" si="21"/>
        <v>Y</v>
      </c>
      <c r="L671" s="5" t="s">
        <v>594</v>
      </c>
      <c r="M671" s="5" t="s">
        <v>4287</v>
      </c>
      <c r="N671" s="5" t="s">
        <v>4269</v>
      </c>
      <c r="O671" s="5" t="s">
        <v>2976</v>
      </c>
      <c r="P671" s="5" t="s">
        <v>2858</v>
      </c>
      <c r="Q671" s="11">
        <v>46306.5</v>
      </c>
      <c r="R671" s="6"/>
      <c r="S671" s="6"/>
      <c r="T671" s="6"/>
      <c r="U671" s="5">
        <f>MATCH(B671,Manual_Review!$A$6:$A$238,0)</f>
        <v>42</v>
      </c>
      <c r="V671" s="5" t="str">
        <f>IF(INDEX(Manual_Review!$G$6:$G$238,U671)="","",INDEX(Manual_Review!$G$6:$G$238,U671))</f>
        <v/>
      </c>
      <c r="W671" s="11" t="str">
        <f>IF(INDEX(Manual_Review!$H$6:$H$238,U671)="","",INDEX(Manual_Review!$H$6:$H$238,U671))</f>
        <v/>
      </c>
      <c r="X671" s="5" t="str">
        <f>IF(INDEX(Manual_Review!$I$6:$I$238,U671)="","",INDEX(Manual_Review!$I$6:$I$238,U671))</f>
        <v/>
      </c>
      <c r="Y671" s="5" t="s">
        <v>2859</v>
      </c>
    </row>
    <row r="672" spans="1:25" ht="25.5">
      <c r="A672" s="5" t="s">
        <v>4288</v>
      </c>
      <c r="B672" s="5" t="s">
        <v>586</v>
      </c>
      <c r="C672" s="5" t="s">
        <v>587</v>
      </c>
      <c r="D672" s="5" t="s">
        <v>118</v>
      </c>
      <c r="E672" s="5" t="s">
        <v>2791</v>
      </c>
      <c r="F672" s="5" t="s">
        <v>2760</v>
      </c>
      <c r="G672" s="5">
        <v>1</v>
      </c>
      <c r="H672" s="5" t="s">
        <v>2854</v>
      </c>
      <c r="I672" s="5" t="str">
        <f>IF(INDEX(Manual_Review!$U$6:$U$238,U672)="","",INDEX(Manual_Review!$U$6:$U$238,U672))</f>
        <v/>
      </c>
      <c r="J672" s="5" t="str">
        <f t="shared" si="20"/>
        <v>AI provisional</v>
      </c>
      <c r="K672" s="5" t="str">
        <f t="shared" si="21"/>
        <v>Y</v>
      </c>
      <c r="L672" s="5" t="s">
        <v>594</v>
      </c>
      <c r="M672" s="5" t="s">
        <v>4289</v>
      </c>
      <c r="N672" s="5" t="s">
        <v>4269</v>
      </c>
      <c r="O672" s="5" t="s">
        <v>3380</v>
      </c>
      <c r="P672" s="5" t="s">
        <v>2858</v>
      </c>
      <c r="Q672" s="11">
        <v>46306.5</v>
      </c>
      <c r="R672" s="6"/>
      <c r="S672" s="6"/>
      <c r="T672" s="6"/>
      <c r="U672" s="5">
        <f>MATCH(B672,Manual_Review!$A$6:$A$238,0)</f>
        <v>42</v>
      </c>
      <c r="V672" s="5" t="str">
        <f>IF(INDEX(Manual_Review!$G$6:$G$238,U672)="","",INDEX(Manual_Review!$G$6:$G$238,U672))</f>
        <v/>
      </c>
      <c r="W672" s="11" t="str">
        <f>IF(INDEX(Manual_Review!$H$6:$H$238,U672)="","",INDEX(Manual_Review!$H$6:$H$238,U672))</f>
        <v/>
      </c>
      <c r="X672" s="5" t="str">
        <f>IF(INDEX(Manual_Review!$I$6:$I$238,U672)="","",INDEX(Manual_Review!$I$6:$I$238,U672))</f>
        <v/>
      </c>
      <c r="Y672" s="5" t="s">
        <v>2859</v>
      </c>
    </row>
    <row r="673" spans="1:25" ht="25.5">
      <c r="A673" s="5" t="s">
        <v>4290</v>
      </c>
      <c r="B673" s="5" t="s">
        <v>586</v>
      </c>
      <c r="C673" s="5" t="s">
        <v>587</v>
      </c>
      <c r="D673" s="5" t="s">
        <v>118</v>
      </c>
      <c r="E673" s="5" t="s">
        <v>2792</v>
      </c>
      <c r="F673" s="5" t="s">
        <v>2762</v>
      </c>
      <c r="G673" s="5">
        <v>1</v>
      </c>
      <c r="H673" s="5" t="s">
        <v>2864</v>
      </c>
      <c r="I673" s="5" t="str">
        <f>IF(INDEX(Manual_Review!$V$6:$V$238,U673)="","",INDEX(Manual_Review!$V$6:$V$238,U673))</f>
        <v/>
      </c>
      <c r="J673" s="5" t="str">
        <f t="shared" si="20"/>
        <v>AI provisional</v>
      </c>
      <c r="K673" s="5" t="str">
        <f t="shared" si="21"/>
        <v>U</v>
      </c>
      <c r="L673" s="5" t="s">
        <v>594</v>
      </c>
      <c r="M673" s="5" t="s">
        <v>4291</v>
      </c>
      <c r="N673" s="5" t="s">
        <v>4269</v>
      </c>
      <c r="O673" s="5" t="s">
        <v>2891</v>
      </c>
      <c r="P673" s="5" t="s">
        <v>2858</v>
      </c>
      <c r="Q673" s="11">
        <v>46306.5</v>
      </c>
      <c r="R673" s="6"/>
      <c r="S673" s="6"/>
      <c r="T673" s="6"/>
      <c r="U673" s="5">
        <f>MATCH(B673,Manual_Review!$A$6:$A$238,0)</f>
        <v>42</v>
      </c>
      <c r="V673" s="5" t="str">
        <f>IF(INDEX(Manual_Review!$G$6:$G$238,U673)="","",INDEX(Manual_Review!$G$6:$G$238,U673))</f>
        <v/>
      </c>
      <c r="W673" s="11" t="str">
        <f>IF(INDEX(Manual_Review!$H$6:$H$238,U673)="","",INDEX(Manual_Review!$H$6:$H$238,U673))</f>
        <v/>
      </c>
      <c r="X673" s="5" t="str">
        <f>IF(INDEX(Manual_Review!$I$6:$I$238,U673)="","",INDEX(Manual_Review!$I$6:$I$238,U673))</f>
        <v/>
      </c>
      <c r="Y673" s="5" t="s">
        <v>2859</v>
      </c>
    </row>
    <row r="674" spans="1:25" ht="25.5">
      <c r="A674" s="5" t="s">
        <v>4292</v>
      </c>
      <c r="B674" s="5" t="s">
        <v>586</v>
      </c>
      <c r="C674" s="5" t="s">
        <v>587</v>
      </c>
      <c r="D674" s="5" t="s">
        <v>118</v>
      </c>
      <c r="E674" s="5" t="s">
        <v>2793</v>
      </c>
      <c r="F674" s="5" t="s">
        <v>2762</v>
      </c>
      <c r="G674" s="5">
        <v>1</v>
      </c>
      <c r="H674" s="5" t="s">
        <v>2854</v>
      </c>
      <c r="I674" s="5" t="str">
        <f>IF(INDEX(Manual_Review!$W$6:$W$238,U674)="","",INDEX(Manual_Review!$W$6:$W$238,U674))</f>
        <v/>
      </c>
      <c r="J674" s="5" t="str">
        <f t="shared" si="20"/>
        <v>AI provisional</v>
      </c>
      <c r="K674" s="5" t="str">
        <f t="shared" si="21"/>
        <v>Y</v>
      </c>
      <c r="L674" s="5" t="s">
        <v>594</v>
      </c>
      <c r="M674" s="5" t="s">
        <v>4291</v>
      </c>
      <c r="N674" s="5" t="s">
        <v>4269</v>
      </c>
      <c r="O674" s="5" t="s">
        <v>3077</v>
      </c>
      <c r="P674" s="5" t="s">
        <v>2858</v>
      </c>
      <c r="Q674" s="11">
        <v>46306.5</v>
      </c>
      <c r="R674" s="6"/>
      <c r="S674" s="6"/>
      <c r="T674" s="6"/>
      <c r="U674" s="5">
        <f>MATCH(B674,Manual_Review!$A$6:$A$238,0)</f>
        <v>42</v>
      </c>
      <c r="V674" s="5" t="str">
        <f>IF(INDEX(Manual_Review!$G$6:$G$238,U674)="","",INDEX(Manual_Review!$G$6:$G$238,U674))</f>
        <v/>
      </c>
      <c r="W674" s="11" t="str">
        <f>IF(INDEX(Manual_Review!$H$6:$H$238,U674)="","",INDEX(Manual_Review!$H$6:$H$238,U674))</f>
        <v/>
      </c>
      <c r="X674" s="5" t="str">
        <f>IF(INDEX(Manual_Review!$I$6:$I$238,U674)="","",INDEX(Manual_Review!$I$6:$I$238,U674))</f>
        <v/>
      </c>
      <c r="Y674" s="5" t="s">
        <v>2859</v>
      </c>
    </row>
    <row r="675" spans="1:25" ht="25.5">
      <c r="A675" s="5" t="s">
        <v>4293</v>
      </c>
      <c r="B675" s="5" t="s">
        <v>586</v>
      </c>
      <c r="C675" s="5" t="s">
        <v>587</v>
      </c>
      <c r="D675" s="5" t="s">
        <v>118</v>
      </c>
      <c r="E675" s="5" t="s">
        <v>2794</v>
      </c>
      <c r="F675" s="5" t="s">
        <v>2764</v>
      </c>
      <c r="G675" s="5">
        <v>1</v>
      </c>
      <c r="H675" s="5" t="s">
        <v>2854</v>
      </c>
      <c r="I675" s="5" t="str">
        <f>IF(INDEX(Manual_Review!$X$6:$X$238,U675)="","",INDEX(Manual_Review!$X$6:$X$238,U675))</f>
        <v/>
      </c>
      <c r="J675" s="5" t="str">
        <f t="shared" si="20"/>
        <v>AI provisional</v>
      </c>
      <c r="K675" s="5" t="str">
        <f t="shared" si="21"/>
        <v>Y</v>
      </c>
      <c r="L675" s="5" t="s">
        <v>594</v>
      </c>
      <c r="M675" s="5" t="s">
        <v>4294</v>
      </c>
      <c r="N675" s="5" t="s">
        <v>4269</v>
      </c>
      <c r="O675" s="5" t="s">
        <v>2984</v>
      </c>
      <c r="P675" s="5" t="s">
        <v>2858</v>
      </c>
      <c r="Q675" s="11">
        <v>46306.5</v>
      </c>
      <c r="R675" s="6"/>
      <c r="S675" s="6"/>
      <c r="T675" s="6"/>
      <c r="U675" s="5">
        <f>MATCH(B675,Manual_Review!$A$6:$A$238,0)</f>
        <v>42</v>
      </c>
      <c r="V675" s="5" t="str">
        <f>IF(INDEX(Manual_Review!$G$6:$G$238,U675)="","",INDEX(Manual_Review!$G$6:$G$238,U675))</f>
        <v/>
      </c>
      <c r="W675" s="11" t="str">
        <f>IF(INDEX(Manual_Review!$H$6:$H$238,U675)="","",INDEX(Manual_Review!$H$6:$H$238,U675))</f>
        <v/>
      </c>
      <c r="X675" s="5" t="str">
        <f>IF(INDEX(Manual_Review!$I$6:$I$238,U675)="","",INDEX(Manual_Review!$I$6:$I$238,U675))</f>
        <v/>
      </c>
      <c r="Y675" s="5" t="s">
        <v>2859</v>
      </c>
    </row>
    <row r="676" spans="1:25" ht="25.5">
      <c r="A676" s="5" t="s">
        <v>4295</v>
      </c>
      <c r="B676" s="5" t="s">
        <v>586</v>
      </c>
      <c r="C676" s="5" t="s">
        <v>587</v>
      </c>
      <c r="D676" s="5" t="s">
        <v>118</v>
      </c>
      <c r="E676" s="5" t="s">
        <v>2795</v>
      </c>
      <c r="F676" s="5" t="s">
        <v>2764</v>
      </c>
      <c r="G676" s="5">
        <v>1</v>
      </c>
      <c r="H676" s="5" t="s">
        <v>2864</v>
      </c>
      <c r="I676" s="5" t="str">
        <f>IF(INDEX(Manual_Review!$Y$6:$Y$238,U676)="","",INDEX(Manual_Review!$Y$6:$Y$238,U676))</f>
        <v/>
      </c>
      <c r="J676" s="5" t="str">
        <f t="shared" si="20"/>
        <v>AI provisional</v>
      </c>
      <c r="K676" s="5" t="str">
        <f t="shared" si="21"/>
        <v>U</v>
      </c>
      <c r="L676" s="5" t="s">
        <v>594</v>
      </c>
      <c r="M676" s="5" t="s">
        <v>4296</v>
      </c>
      <c r="N676" s="5" t="s">
        <v>4269</v>
      </c>
      <c r="O676" s="5" t="s">
        <v>2897</v>
      </c>
      <c r="P676" s="5" t="s">
        <v>2858</v>
      </c>
      <c r="Q676" s="11">
        <v>46306.5</v>
      </c>
      <c r="R676" s="6"/>
      <c r="S676" s="6"/>
      <c r="T676" s="6"/>
      <c r="U676" s="5">
        <f>MATCH(B676,Manual_Review!$A$6:$A$238,0)</f>
        <v>42</v>
      </c>
      <c r="V676" s="5" t="str">
        <f>IF(INDEX(Manual_Review!$G$6:$G$238,U676)="","",INDEX(Manual_Review!$G$6:$G$238,U676))</f>
        <v/>
      </c>
      <c r="W676" s="11" t="str">
        <f>IF(INDEX(Manual_Review!$H$6:$H$238,U676)="","",INDEX(Manual_Review!$H$6:$H$238,U676))</f>
        <v/>
      </c>
      <c r="X676" s="5" t="str">
        <f>IF(INDEX(Manual_Review!$I$6:$I$238,U676)="","",INDEX(Manual_Review!$I$6:$I$238,U676))</f>
        <v/>
      </c>
      <c r="Y676" s="5" t="s">
        <v>2859</v>
      </c>
    </row>
    <row r="677" spans="1:25" ht="25.5">
      <c r="A677" s="5" t="s">
        <v>4297</v>
      </c>
      <c r="B677" s="5" t="s">
        <v>586</v>
      </c>
      <c r="C677" s="5" t="s">
        <v>587</v>
      </c>
      <c r="D677" s="5" t="s">
        <v>118</v>
      </c>
      <c r="E677" s="5" t="s">
        <v>2796</v>
      </c>
      <c r="F677" s="5" t="s">
        <v>2764</v>
      </c>
      <c r="G677" s="5">
        <v>1</v>
      </c>
      <c r="H677" s="5" t="s">
        <v>2854</v>
      </c>
      <c r="I677" s="5" t="str">
        <f>IF(INDEX(Manual_Review!$Z$6:$Z$238,U677)="","",INDEX(Manual_Review!$Z$6:$Z$238,U677))</f>
        <v/>
      </c>
      <c r="J677" s="5" t="str">
        <f t="shared" si="20"/>
        <v>AI provisional</v>
      </c>
      <c r="K677" s="5" t="str">
        <f t="shared" si="21"/>
        <v>Y</v>
      </c>
      <c r="L677" s="5" t="s">
        <v>594</v>
      </c>
      <c r="M677" s="5" t="s">
        <v>4298</v>
      </c>
      <c r="N677" s="5" t="s">
        <v>4269</v>
      </c>
      <c r="O677" s="5" t="s">
        <v>3085</v>
      </c>
      <c r="P677" s="5" t="s">
        <v>2858</v>
      </c>
      <c r="Q677" s="11">
        <v>46306.5</v>
      </c>
      <c r="R677" s="6"/>
      <c r="S677" s="6"/>
      <c r="T677" s="6"/>
      <c r="U677" s="5">
        <f>MATCH(B677,Manual_Review!$A$6:$A$238,0)</f>
        <v>42</v>
      </c>
      <c r="V677" s="5" t="str">
        <f>IF(INDEX(Manual_Review!$G$6:$G$238,U677)="","",INDEX(Manual_Review!$G$6:$G$238,U677))</f>
        <v/>
      </c>
      <c r="W677" s="11" t="str">
        <f>IF(INDEX(Manual_Review!$H$6:$H$238,U677)="","",INDEX(Manual_Review!$H$6:$H$238,U677))</f>
        <v/>
      </c>
      <c r="X677" s="5" t="str">
        <f>IF(INDEX(Manual_Review!$I$6:$I$238,U677)="","",INDEX(Manual_Review!$I$6:$I$238,U677))</f>
        <v/>
      </c>
      <c r="Y677" s="5" t="s">
        <v>2859</v>
      </c>
    </row>
    <row r="678" spans="1:25" ht="25.5">
      <c r="A678" s="5" t="s">
        <v>4299</v>
      </c>
      <c r="B678" s="5" t="s">
        <v>596</v>
      </c>
      <c r="C678" s="5" t="s">
        <v>597</v>
      </c>
      <c r="D678" s="5" t="s">
        <v>118</v>
      </c>
      <c r="E678" s="5" t="s">
        <v>2781</v>
      </c>
      <c r="F678" s="5" t="s">
        <v>2754</v>
      </c>
      <c r="G678" s="5">
        <v>1</v>
      </c>
      <c r="H678" s="5" t="s">
        <v>2854</v>
      </c>
      <c r="I678" s="5" t="str">
        <f>IF(INDEX(Manual_Review!$K$6:$K$238,U678)="","",INDEX(Manual_Review!$K$6:$K$238,U678))</f>
        <v/>
      </c>
      <c r="J678" s="5" t="str">
        <f t="shared" si="20"/>
        <v>AI provisional</v>
      </c>
      <c r="K678" s="5" t="str">
        <f t="shared" si="21"/>
        <v>Y</v>
      </c>
      <c r="L678" s="5" t="s">
        <v>604</v>
      </c>
      <c r="M678" s="5" t="s">
        <v>4300</v>
      </c>
      <c r="N678" s="5" t="s">
        <v>4301</v>
      </c>
      <c r="O678" s="5" t="s">
        <v>2857</v>
      </c>
      <c r="P678" s="5" t="s">
        <v>2858</v>
      </c>
      <c r="Q678" s="11">
        <v>46306.5</v>
      </c>
      <c r="R678" s="6"/>
      <c r="S678" s="6"/>
      <c r="T678" s="6"/>
      <c r="U678" s="5">
        <f>MATCH(B678,Manual_Review!$A$6:$A$238,0)</f>
        <v>43</v>
      </c>
      <c r="V678" s="5" t="str">
        <f>IF(INDEX(Manual_Review!$G$6:$G$238,U678)="","",INDEX(Manual_Review!$G$6:$G$238,U678))</f>
        <v/>
      </c>
      <c r="W678" s="11" t="str">
        <f>IF(INDEX(Manual_Review!$H$6:$H$238,U678)="","",INDEX(Manual_Review!$H$6:$H$238,U678))</f>
        <v/>
      </c>
      <c r="X678" s="5" t="str">
        <f>IF(INDEX(Manual_Review!$I$6:$I$238,U678)="","",INDEX(Manual_Review!$I$6:$I$238,U678))</f>
        <v/>
      </c>
      <c r="Y678" s="5" t="s">
        <v>2859</v>
      </c>
    </row>
    <row r="679" spans="1:25" ht="25.5">
      <c r="A679" s="5" t="s">
        <v>4302</v>
      </c>
      <c r="B679" s="5" t="s">
        <v>596</v>
      </c>
      <c r="C679" s="5" t="s">
        <v>597</v>
      </c>
      <c r="D679" s="5" t="s">
        <v>118</v>
      </c>
      <c r="E679" s="5" t="s">
        <v>2782</v>
      </c>
      <c r="F679" s="5" t="s">
        <v>2754</v>
      </c>
      <c r="G679" s="5">
        <v>1</v>
      </c>
      <c r="H679" s="5" t="s">
        <v>2854</v>
      </c>
      <c r="I679" s="5" t="str">
        <f>IF(INDEX(Manual_Review!$L$6:$L$238,U679)="","",INDEX(Manual_Review!$L$6:$L$238,U679))</f>
        <v/>
      </c>
      <c r="J679" s="5" t="str">
        <f t="shared" si="20"/>
        <v>AI provisional</v>
      </c>
      <c r="K679" s="5" t="str">
        <f t="shared" si="21"/>
        <v>Y</v>
      </c>
      <c r="L679" s="5" t="s">
        <v>604</v>
      </c>
      <c r="M679" s="5" t="s">
        <v>4303</v>
      </c>
      <c r="N679" s="5" t="s">
        <v>4301</v>
      </c>
      <c r="O679" s="5" t="s">
        <v>2862</v>
      </c>
      <c r="P679" s="5" t="s">
        <v>2858</v>
      </c>
      <c r="Q679" s="11">
        <v>46306.5</v>
      </c>
      <c r="R679" s="6"/>
      <c r="S679" s="6"/>
      <c r="T679" s="6"/>
      <c r="U679" s="5">
        <f>MATCH(B679,Manual_Review!$A$6:$A$238,0)</f>
        <v>43</v>
      </c>
      <c r="V679" s="5" t="str">
        <f>IF(INDEX(Manual_Review!$G$6:$G$238,U679)="","",INDEX(Manual_Review!$G$6:$G$238,U679))</f>
        <v/>
      </c>
      <c r="W679" s="11" t="str">
        <f>IF(INDEX(Manual_Review!$H$6:$H$238,U679)="","",INDEX(Manual_Review!$H$6:$H$238,U679))</f>
        <v/>
      </c>
      <c r="X679" s="5" t="str">
        <f>IF(INDEX(Manual_Review!$I$6:$I$238,U679)="","",INDEX(Manual_Review!$I$6:$I$238,U679))</f>
        <v/>
      </c>
      <c r="Y679" s="5" t="s">
        <v>2859</v>
      </c>
    </row>
    <row r="680" spans="1:25" ht="25.5">
      <c r="A680" s="5" t="s">
        <v>4304</v>
      </c>
      <c r="B680" s="5" t="s">
        <v>596</v>
      </c>
      <c r="C680" s="5" t="s">
        <v>597</v>
      </c>
      <c r="D680" s="5" t="s">
        <v>118</v>
      </c>
      <c r="E680" s="5" t="s">
        <v>2783</v>
      </c>
      <c r="F680" s="5" t="s">
        <v>2754</v>
      </c>
      <c r="G680" s="5">
        <v>1</v>
      </c>
      <c r="H680" s="5" t="s">
        <v>2864</v>
      </c>
      <c r="I680" s="5" t="str">
        <f>IF(INDEX(Manual_Review!$M$6:$M$238,U680)="","",INDEX(Manual_Review!$M$6:$M$238,U680))</f>
        <v/>
      </c>
      <c r="J680" s="5" t="str">
        <f t="shared" si="20"/>
        <v>AI provisional</v>
      </c>
      <c r="K680" s="5" t="str">
        <f t="shared" si="21"/>
        <v>U</v>
      </c>
      <c r="L680" s="5" t="s">
        <v>604</v>
      </c>
      <c r="M680" s="5" t="s">
        <v>4305</v>
      </c>
      <c r="N680" s="5" t="s">
        <v>4301</v>
      </c>
      <c r="O680" s="5" t="s">
        <v>2866</v>
      </c>
      <c r="P680" s="5" t="s">
        <v>2858</v>
      </c>
      <c r="Q680" s="11">
        <v>46306.5</v>
      </c>
      <c r="R680" s="6"/>
      <c r="S680" s="6"/>
      <c r="T680" s="6"/>
      <c r="U680" s="5">
        <f>MATCH(B680,Manual_Review!$A$6:$A$238,0)</f>
        <v>43</v>
      </c>
      <c r="V680" s="5" t="str">
        <f>IF(INDEX(Manual_Review!$G$6:$G$238,U680)="","",INDEX(Manual_Review!$G$6:$G$238,U680))</f>
        <v/>
      </c>
      <c r="W680" s="11" t="str">
        <f>IF(INDEX(Manual_Review!$H$6:$H$238,U680)="","",INDEX(Manual_Review!$H$6:$H$238,U680))</f>
        <v/>
      </c>
      <c r="X680" s="5" t="str">
        <f>IF(INDEX(Manual_Review!$I$6:$I$238,U680)="","",INDEX(Manual_Review!$I$6:$I$238,U680))</f>
        <v/>
      </c>
      <c r="Y680" s="5" t="s">
        <v>2859</v>
      </c>
    </row>
    <row r="681" spans="1:25" ht="25.5">
      <c r="A681" s="5" t="s">
        <v>4306</v>
      </c>
      <c r="B681" s="5" t="s">
        <v>596</v>
      </c>
      <c r="C681" s="5" t="s">
        <v>597</v>
      </c>
      <c r="D681" s="5" t="s">
        <v>118</v>
      </c>
      <c r="E681" s="5" t="s">
        <v>2784</v>
      </c>
      <c r="F681" s="5" t="s">
        <v>2756</v>
      </c>
      <c r="G681" s="5">
        <v>1</v>
      </c>
      <c r="H681" s="5" t="s">
        <v>2854</v>
      </c>
      <c r="I681" s="5" t="str">
        <f>IF(INDEX(Manual_Review!$N$6:$N$238,U681)="","",INDEX(Manual_Review!$N$6:$N$238,U681))</f>
        <v/>
      </c>
      <c r="J681" s="5" t="str">
        <f t="shared" si="20"/>
        <v>AI provisional</v>
      </c>
      <c r="K681" s="5" t="str">
        <f t="shared" si="21"/>
        <v>Y</v>
      </c>
      <c r="L681" s="5" t="s">
        <v>604</v>
      </c>
      <c r="M681" s="5" t="s">
        <v>4307</v>
      </c>
      <c r="N681" s="5" t="s">
        <v>4301</v>
      </c>
      <c r="O681" s="5" t="s">
        <v>2963</v>
      </c>
      <c r="P681" s="5" t="s">
        <v>2858</v>
      </c>
      <c r="Q681" s="11">
        <v>46306.5</v>
      </c>
      <c r="R681" s="6"/>
      <c r="S681" s="6"/>
      <c r="T681" s="6"/>
      <c r="U681" s="5">
        <f>MATCH(B681,Manual_Review!$A$6:$A$238,0)</f>
        <v>43</v>
      </c>
      <c r="V681" s="5" t="str">
        <f>IF(INDEX(Manual_Review!$G$6:$G$238,U681)="","",INDEX(Manual_Review!$G$6:$G$238,U681))</f>
        <v/>
      </c>
      <c r="W681" s="11" t="str">
        <f>IF(INDEX(Manual_Review!$H$6:$H$238,U681)="","",INDEX(Manual_Review!$H$6:$H$238,U681))</f>
        <v/>
      </c>
      <c r="X681" s="5" t="str">
        <f>IF(INDEX(Manual_Review!$I$6:$I$238,U681)="","",INDEX(Manual_Review!$I$6:$I$238,U681))</f>
        <v/>
      </c>
      <c r="Y681" s="5" t="s">
        <v>2859</v>
      </c>
    </row>
    <row r="682" spans="1:25" ht="25.5">
      <c r="A682" s="5" t="s">
        <v>4308</v>
      </c>
      <c r="B682" s="5" t="s">
        <v>596</v>
      </c>
      <c r="C682" s="5" t="s">
        <v>597</v>
      </c>
      <c r="D682" s="5" t="s">
        <v>118</v>
      </c>
      <c r="E682" s="5" t="s">
        <v>2785</v>
      </c>
      <c r="F682" s="5" t="s">
        <v>2756</v>
      </c>
      <c r="G682" s="5">
        <v>1</v>
      </c>
      <c r="H682" s="5" t="s">
        <v>2854</v>
      </c>
      <c r="I682" s="5" t="str">
        <f>IF(INDEX(Manual_Review!$O$6:$O$238,U682)="","",INDEX(Manual_Review!$O$6:$O$238,U682))</f>
        <v/>
      </c>
      <c r="J682" s="5" t="str">
        <f t="shared" si="20"/>
        <v>AI provisional</v>
      </c>
      <c r="K682" s="5" t="str">
        <f t="shared" si="21"/>
        <v>Y</v>
      </c>
      <c r="L682" s="5" t="s">
        <v>604</v>
      </c>
      <c r="M682" s="5" t="s">
        <v>4309</v>
      </c>
      <c r="N682" s="5" t="s">
        <v>4301</v>
      </c>
      <c r="O682" s="5" t="s">
        <v>3138</v>
      </c>
      <c r="P682" s="5" t="s">
        <v>2858</v>
      </c>
      <c r="Q682" s="11">
        <v>46306.5</v>
      </c>
      <c r="R682" s="6"/>
      <c r="S682" s="6"/>
      <c r="T682" s="6"/>
      <c r="U682" s="5">
        <f>MATCH(B682,Manual_Review!$A$6:$A$238,0)</f>
        <v>43</v>
      </c>
      <c r="V682" s="5" t="str">
        <f>IF(INDEX(Manual_Review!$G$6:$G$238,U682)="","",INDEX(Manual_Review!$G$6:$G$238,U682))</f>
        <v/>
      </c>
      <c r="W682" s="11" t="str">
        <f>IF(INDEX(Manual_Review!$H$6:$H$238,U682)="","",INDEX(Manual_Review!$H$6:$H$238,U682))</f>
        <v/>
      </c>
      <c r="X682" s="5" t="str">
        <f>IF(INDEX(Manual_Review!$I$6:$I$238,U682)="","",INDEX(Manual_Review!$I$6:$I$238,U682))</f>
        <v/>
      </c>
      <c r="Y682" s="5" t="s">
        <v>2859</v>
      </c>
    </row>
    <row r="683" spans="1:25" ht="25.5">
      <c r="A683" s="5" t="s">
        <v>4310</v>
      </c>
      <c r="B683" s="5" t="s">
        <v>596</v>
      </c>
      <c r="C683" s="5" t="s">
        <v>597</v>
      </c>
      <c r="D683" s="5" t="s">
        <v>118</v>
      </c>
      <c r="E683" s="5" t="s">
        <v>2786</v>
      </c>
      <c r="F683" s="5" t="s">
        <v>2756</v>
      </c>
      <c r="G683" s="5">
        <v>1</v>
      </c>
      <c r="H683" s="5" t="s">
        <v>2864</v>
      </c>
      <c r="I683" s="5" t="str">
        <f>IF(INDEX(Manual_Review!$P$6:$P$238,U683)="","",INDEX(Manual_Review!$P$6:$P$238,U683))</f>
        <v/>
      </c>
      <c r="J683" s="5" t="str">
        <f t="shared" si="20"/>
        <v>AI provisional</v>
      </c>
      <c r="K683" s="5" t="str">
        <f t="shared" si="21"/>
        <v>U</v>
      </c>
      <c r="L683" s="5" t="s">
        <v>604</v>
      </c>
      <c r="M683" s="5" t="s">
        <v>4305</v>
      </c>
      <c r="N683" s="5" t="s">
        <v>4301</v>
      </c>
      <c r="O683" s="5" t="s">
        <v>2874</v>
      </c>
      <c r="P683" s="5" t="s">
        <v>2858</v>
      </c>
      <c r="Q683" s="11">
        <v>46306.5</v>
      </c>
      <c r="R683" s="6"/>
      <c r="S683" s="6"/>
      <c r="T683" s="6"/>
      <c r="U683" s="5">
        <f>MATCH(B683,Manual_Review!$A$6:$A$238,0)</f>
        <v>43</v>
      </c>
      <c r="V683" s="5" t="str">
        <f>IF(INDEX(Manual_Review!$G$6:$G$238,U683)="","",INDEX(Manual_Review!$G$6:$G$238,U683))</f>
        <v/>
      </c>
      <c r="W683" s="11" t="str">
        <f>IF(INDEX(Manual_Review!$H$6:$H$238,U683)="","",INDEX(Manual_Review!$H$6:$H$238,U683))</f>
        <v/>
      </c>
      <c r="X683" s="5" t="str">
        <f>IF(INDEX(Manual_Review!$I$6:$I$238,U683)="","",INDEX(Manual_Review!$I$6:$I$238,U683))</f>
        <v/>
      </c>
      <c r="Y683" s="5" t="s">
        <v>2859</v>
      </c>
    </row>
    <row r="684" spans="1:25" ht="25.5">
      <c r="A684" s="5" t="s">
        <v>4311</v>
      </c>
      <c r="B684" s="5" t="s">
        <v>596</v>
      </c>
      <c r="C684" s="5" t="s">
        <v>597</v>
      </c>
      <c r="D684" s="5" t="s">
        <v>118</v>
      </c>
      <c r="E684" s="5" t="s">
        <v>2787</v>
      </c>
      <c r="F684" s="5" t="s">
        <v>2758</v>
      </c>
      <c r="G684" s="5">
        <v>1</v>
      </c>
      <c r="H684" s="5" t="s">
        <v>2854</v>
      </c>
      <c r="I684" s="5" t="str">
        <f>IF(INDEX(Manual_Review!$Q$6:$Q$238,U684)="","",INDEX(Manual_Review!$Q$6:$Q$238,U684))</f>
        <v/>
      </c>
      <c r="J684" s="5" t="str">
        <f t="shared" si="20"/>
        <v>AI provisional</v>
      </c>
      <c r="K684" s="5" t="str">
        <f t="shared" si="21"/>
        <v>Y</v>
      </c>
      <c r="L684" s="5" t="s">
        <v>604</v>
      </c>
      <c r="M684" s="5" t="s">
        <v>4312</v>
      </c>
      <c r="N684" s="5" t="s">
        <v>4301</v>
      </c>
      <c r="O684" s="5" t="s">
        <v>2969</v>
      </c>
      <c r="P684" s="5" t="s">
        <v>2858</v>
      </c>
      <c r="Q684" s="11">
        <v>46306.5</v>
      </c>
      <c r="R684" s="6"/>
      <c r="S684" s="6"/>
      <c r="T684" s="6"/>
      <c r="U684" s="5">
        <f>MATCH(B684,Manual_Review!$A$6:$A$238,0)</f>
        <v>43</v>
      </c>
      <c r="V684" s="5" t="str">
        <f>IF(INDEX(Manual_Review!$G$6:$G$238,U684)="","",INDEX(Manual_Review!$G$6:$G$238,U684))</f>
        <v/>
      </c>
      <c r="W684" s="11" t="str">
        <f>IF(INDEX(Manual_Review!$H$6:$H$238,U684)="","",INDEX(Manual_Review!$H$6:$H$238,U684))</f>
        <v/>
      </c>
      <c r="X684" s="5" t="str">
        <f>IF(INDEX(Manual_Review!$I$6:$I$238,U684)="","",INDEX(Manual_Review!$I$6:$I$238,U684))</f>
        <v/>
      </c>
      <c r="Y684" s="5" t="s">
        <v>2859</v>
      </c>
    </row>
    <row r="685" spans="1:25" ht="25.5">
      <c r="A685" s="5" t="s">
        <v>4313</v>
      </c>
      <c r="B685" s="5" t="s">
        <v>596</v>
      </c>
      <c r="C685" s="5" t="s">
        <v>597</v>
      </c>
      <c r="D685" s="5" t="s">
        <v>118</v>
      </c>
      <c r="E685" s="5" t="s">
        <v>2788</v>
      </c>
      <c r="F685" s="5" t="s">
        <v>2758</v>
      </c>
      <c r="G685" s="5">
        <v>1</v>
      </c>
      <c r="H685" s="5" t="s">
        <v>2854</v>
      </c>
      <c r="I685" s="5" t="str">
        <f>IF(INDEX(Manual_Review!$R$6:$R$238,U685)="","",INDEX(Manual_Review!$R$6:$R$238,U685))</f>
        <v/>
      </c>
      <c r="J685" s="5" t="str">
        <f t="shared" si="20"/>
        <v>AI provisional</v>
      </c>
      <c r="K685" s="5" t="str">
        <f t="shared" si="21"/>
        <v>Y</v>
      </c>
      <c r="L685" s="5" t="s">
        <v>604</v>
      </c>
      <c r="M685" s="5" t="s">
        <v>4314</v>
      </c>
      <c r="N685" s="5" t="s">
        <v>4301</v>
      </c>
      <c r="O685" s="5" t="s">
        <v>3067</v>
      </c>
      <c r="P685" s="5" t="s">
        <v>2858</v>
      </c>
      <c r="Q685" s="11">
        <v>46306.5</v>
      </c>
      <c r="R685" s="6"/>
      <c r="S685" s="6"/>
      <c r="T685" s="6"/>
      <c r="U685" s="5">
        <f>MATCH(B685,Manual_Review!$A$6:$A$238,0)</f>
        <v>43</v>
      </c>
      <c r="V685" s="5" t="str">
        <f>IF(INDEX(Manual_Review!$G$6:$G$238,U685)="","",INDEX(Manual_Review!$G$6:$G$238,U685))</f>
        <v/>
      </c>
      <c r="W685" s="11" t="str">
        <f>IF(INDEX(Manual_Review!$H$6:$H$238,U685)="","",INDEX(Manual_Review!$H$6:$H$238,U685))</f>
        <v/>
      </c>
      <c r="X685" s="5" t="str">
        <f>IF(INDEX(Manual_Review!$I$6:$I$238,U685)="","",INDEX(Manual_Review!$I$6:$I$238,U685))</f>
        <v/>
      </c>
      <c r="Y685" s="5" t="s">
        <v>2859</v>
      </c>
    </row>
    <row r="686" spans="1:25" ht="25.5">
      <c r="A686" s="5" t="s">
        <v>4315</v>
      </c>
      <c r="B686" s="5" t="s">
        <v>596</v>
      </c>
      <c r="C686" s="5" t="s">
        <v>597</v>
      </c>
      <c r="D686" s="5" t="s">
        <v>118</v>
      </c>
      <c r="E686" s="5" t="s">
        <v>2789</v>
      </c>
      <c r="F686" s="5" t="s">
        <v>2758</v>
      </c>
      <c r="G686" s="5">
        <v>1</v>
      </c>
      <c r="H686" s="5" t="s">
        <v>2854</v>
      </c>
      <c r="I686" s="5" t="str">
        <f>IF(INDEX(Manual_Review!$S$6:$S$238,U686)="","",INDEX(Manual_Review!$S$6:$S$238,U686))</f>
        <v/>
      </c>
      <c r="J686" s="5" t="str">
        <f t="shared" si="20"/>
        <v>AI provisional</v>
      </c>
      <c r="K686" s="5" t="str">
        <f t="shared" si="21"/>
        <v>Y</v>
      </c>
      <c r="L686" s="5" t="s">
        <v>604</v>
      </c>
      <c r="M686" s="5" t="s">
        <v>4316</v>
      </c>
      <c r="N686" s="5" t="s">
        <v>4301</v>
      </c>
      <c r="O686" s="5" t="s">
        <v>3178</v>
      </c>
      <c r="P686" s="5" t="s">
        <v>2858</v>
      </c>
      <c r="Q686" s="11">
        <v>46306.5</v>
      </c>
      <c r="R686" s="6"/>
      <c r="S686" s="6"/>
      <c r="T686" s="6"/>
      <c r="U686" s="5">
        <f>MATCH(B686,Manual_Review!$A$6:$A$238,0)</f>
        <v>43</v>
      </c>
      <c r="V686" s="5" t="str">
        <f>IF(INDEX(Manual_Review!$G$6:$G$238,U686)="","",INDEX(Manual_Review!$G$6:$G$238,U686))</f>
        <v/>
      </c>
      <c r="W686" s="11" t="str">
        <f>IF(INDEX(Manual_Review!$H$6:$H$238,U686)="","",INDEX(Manual_Review!$H$6:$H$238,U686))</f>
        <v/>
      </c>
      <c r="X686" s="5" t="str">
        <f>IF(INDEX(Manual_Review!$I$6:$I$238,U686)="","",INDEX(Manual_Review!$I$6:$I$238,U686))</f>
        <v/>
      </c>
      <c r="Y686" s="5" t="s">
        <v>2859</v>
      </c>
    </row>
    <row r="687" spans="1:25" ht="25.5">
      <c r="A687" s="5" t="s">
        <v>4317</v>
      </c>
      <c r="B687" s="5" t="s">
        <v>596</v>
      </c>
      <c r="C687" s="5" t="s">
        <v>597</v>
      </c>
      <c r="D687" s="5" t="s">
        <v>118</v>
      </c>
      <c r="E687" s="5" t="s">
        <v>2790</v>
      </c>
      <c r="F687" s="5" t="s">
        <v>2760</v>
      </c>
      <c r="G687" s="5">
        <v>1</v>
      </c>
      <c r="H687" s="5" t="s">
        <v>2864</v>
      </c>
      <c r="I687" s="5" t="str">
        <f>IF(INDEX(Manual_Review!$T$6:$T$238,U687)="","",INDEX(Manual_Review!$T$6:$T$238,U687))</f>
        <v/>
      </c>
      <c r="J687" s="5" t="str">
        <f t="shared" si="20"/>
        <v>AI provisional</v>
      </c>
      <c r="K687" s="5" t="str">
        <f t="shared" si="21"/>
        <v>U</v>
      </c>
      <c r="L687" s="5" t="s">
        <v>604</v>
      </c>
      <c r="M687" s="5" t="s">
        <v>4305</v>
      </c>
      <c r="N687" s="5" t="s">
        <v>4301</v>
      </c>
      <c r="O687" s="5" t="s">
        <v>2885</v>
      </c>
      <c r="P687" s="5" t="s">
        <v>2858</v>
      </c>
      <c r="Q687" s="11">
        <v>46306.5</v>
      </c>
      <c r="R687" s="6"/>
      <c r="S687" s="6"/>
      <c r="T687" s="6"/>
      <c r="U687" s="5">
        <f>MATCH(B687,Manual_Review!$A$6:$A$238,0)</f>
        <v>43</v>
      </c>
      <c r="V687" s="5" t="str">
        <f>IF(INDEX(Manual_Review!$G$6:$G$238,U687)="","",INDEX(Manual_Review!$G$6:$G$238,U687))</f>
        <v/>
      </c>
      <c r="W687" s="11" t="str">
        <f>IF(INDEX(Manual_Review!$H$6:$H$238,U687)="","",INDEX(Manual_Review!$H$6:$H$238,U687))</f>
        <v/>
      </c>
      <c r="X687" s="5" t="str">
        <f>IF(INDEX(Manual_Review!$I$6:$I$238,U687)="","",INDEX(Manual_Review!$I$6:$I$238,U687))</f>
        <v/>
      </c>
      <c r="Y687" s="5" t="s">
        <v>2859</v>
      </c>
    </row>
    <row r="688" spans="1:25" ht="25.5">
      <c r="A688" s="5" t="s">
        <v>4318</v>
      </c>
      <c r="B688" s="5" t="s">
        <v>596</v>
      </c>
      <c r="C688" s="5" t="s">
        <v>597</v>
      </c>
      <c r="D688" s="5" t="s">
        <v>118</v>
      </c>
      <c r="E688" s="5" t="s">
        <v>2791</v>
      </c>
      <c r="F688" s="5" t="s">
        <v>2760</v>
      </c>
      <c r="G688" s="5">
        <v>1</v>
      </c>
      <c r="H688" s="5" t="s">
        <v>2864</v>
      </c>
      <c r="I688" s="5" t="str">
        <f>IF(INDEX(Manual_Review!$U$6:$U$238,U688)="","",INDEX(Manual_Review!$U$6:$U$238,U688))</f>
        <v/>
      </c>
      <c r="J688" s="5" t="str">
        <f t="shared" si="20"/>
        <v>AI provisional</v>
      </c>
      <c r="K688" s="5" t="str">
        <f t="shared" si="21"/>
        <v>U</v>
      </c>
      <c r="L688" s="5" t="s">
        <v>604</v>
      </c>
      <c r="M688" s="5" t="s">
        <v>4319</v>
      </c>
      <c r="N688" s="5" t="s">
        <v>4301</v>
      </c>
      <c r="O688" s="5" t="s">
        <v>2888</v>
      </c>
      <c r="P688" s="5" t="s">
        <v>2858</v>
      </c>
      <c r="Q688" s="11">
        <v>46306.5</v>
      </c>
      <c r="R688" s="6"/>
      <c r="S688" s="6"/>
      <c r="T688" s="6"/>
      <c r="U688" s="5">
        <f>MATCH(B688,Manual_Review!$A$6:$A$238,0)</f>
        <v>43</v>
      </c>
      <c r="V688" s="5" t="str">
        <f>IF(INDEX(Manual_Review!$G$6:$G$238,U688)="","",INDEX(Manual_Review!$G$6:$G$238,U688))</f>
        <v/>
      </c>
      <c r="W688" s="11" t="str">
        <f>IF(INDEX(Manual_Review!$H$6:$H$238,U688)="","",INDEX(Manual_Review!$H$6:$H$238,U688))</f>
        <v/>
      </c>
      <c r="X688" s="5" t="str">
        <f>IF(INDEX(Manual_Review!$I$6:$I$238,U688)="","",INDEX(Manual_Review!$I$6:$I$238,U688))</f>
        <v/>
      </c>
      <c r="Y688" s="5" t="s">
        <v>2859</v>
      </c>
    </row>
    <row r="689" spans="1:25" ht="25.5">
      <c r="A689" s="5" t="s">
        <v>4320</v>
      </c>
      <c r="B689" s="5" t="s">
        <v>596</v>
      </c>
      <c r="C689" s="5" t="s">
        <v>597</v>
      </c>
      <c r="D689" s="5" t="s">
        <v>118</v>
      </c>
      <c r="E689" s="5" t="s">
        <v>2792</v>
      </c>
      <c r="F689" s="5" t="s">
        <v>2762</v>
      </c>
      <c r="G689" s="5">
        <v>1</v>
      </c>
      <c r="H689" s="5" t="s">
        <v>2864</v>
      </c>
      <c r="I689" s="5" t="str">
        <f>IF(INDEX(Manual_Review!$V$6:$V$238,U689)="","",INDEX(Manual_Review!$V$6:$V$238,U689))</f>
        <v/>
      </c>
      <c r="J689" s="5" t="str">
        <f t="shared" si="20"/>
        <v>AI provisional</v>
      </c>
      <c r="K689" s="5" t="str">
        <f t="shared" si="21"/>
        <v>U</v>
      </c>
      <c r="L689" s="5" t="s">
        <v>604</v>
      </c>
      <c r="M689" s="5" t="s">
        <v>4321</v>
      </c>
      <c r="N689" s="5" t="s">
        <v>4301</v>
      </c>
      <c r="O689" s="5" t="s">
        <v>2891</v>
      </c>
      <c r="P689" s="5" t="s">
        <v>2858</v>
      </c>
      <c r="Q689" s="11">
        <v>46306.5</v>
      </c>
      <c r="R689" s="6"/>
      <c r="S689" s="6"/>
      <c r="T689" s="6"/>
      <c r="U689" s="5">
        <f>MATCH(B689,Manual_Review!$A$6:$A$238,0)</f>
        <v>43</v>
      </c>
      <c r="V689" s="5" t="str">
        <f>IF(INDEX(Manual_Review!$G$6:$G$238,U689)="","",INDEX(Manual_Review!$G$6:$G$238,U689))</f>
        <v/>
      </c>
      <c r="W689" s="11" t="str">
        <f>IF(INDEX(Manual_Review!$H$6:$H$238,U689)="","",INDEX(Manual_Review!$H$6:$H$238,U689))</f>
        <v/>
      </c>
      <c r="X689" s="5" t="str">
        <f>IF(INDEX(Manual_Review!$I$6:$I$238,U689)="","",INDEX(Manual_Review!$I$6:$I$238,U689))</f>
        <v/>
      </c>
      <c r="Y689" s="5" t="s">
        <v>2859</v>
      </c>
    </row>
    <row r="690" spans="1:25" ht="25.5">
      <c r="A690" s="5" t="s">
        <v>4322</v>
      </c>
      <c r="B690" s="5" t="s">
        <v>596</v>
      </c>
      <c r="C690" s="5" t="s">
        <v>597</v>
      </c>
      <c r="D690" s="5" t="s">
        <v>118</v>
      </c>
      <c r="E690" s="5" t="s">
        <v>2793</v>
      </c>
      <c r="F690" s="5" t="s">
        <v>2762</v>
      </c>
      <c r="G690" s="5">
        <v>1</v>
      </c>
      <c r="H690" s="5" t="s">
        <v>2854</v>
      </c>
      <c r="I690" s="5" t="str">
        <f>IF(INDEX(Manual_Review!$W$6:$W$238,U690)="","",INDEX(Manual_Review!$W$6:$W$238,U690))</f>
        <v/>
      </c>
      <c r="J690" s="5" t="str">
        <f t="shared" si="20"/>
        <v>AI provisional</v>
      </c>
      <c r="K690" s="5" t="str">
        <f t="shared" si="21"/>
        <v>Y</v>
      </c>
      <c r="L690" s="5" t="s">
        <v>604</v>
      </c>
      <c r="M690" s="5" t="s">
        <v>4321</v>
      </c>
      <c r="N690" s="5" t="s">
        <v>4301</v>
      </c>
      <c r="O690" s="5" t="s">
        <v>3077</v>
      </c>
      <c r="P690" s="5" t="s">
        <v>2858</v>
      </c>
      <c r="Q690" s="11">
        <v>46306.5</v>
      </c>
      <c r="R690" s="6"/>
      <c r="S690" s="6"/>
      <c r="T690" s="6"/>
      <c r="U690" s="5">
        <f>MATCH(B690,Manual_Review!$A$6:$A$238,0)</f>
        <v>43</v>
      </c>
      <c r="V690" s="5" t="str">
        <f>IF(INDEX(Manual_Review!$G$6:$G$238,U690)="","",INDEX(Manual_Review!$G$6:$G$238,U690))</f>
        <v/>
      </c>
      <c r="W690" s="11" t="str">
        <f>IF(INDEX(Manual_Review!$H$6:$H$238,U690)="","",INDEX(Manual_Review!$H$6:$H$238,U690))</f>
        <v/>
      </c>
      <c r="X690" s="5" t="str">
        <f>IF(INDEX(Manual_Review!$I$6:$I$238,U690)="","",INDEX(Manual_Review!$I$6:$I$238,U690))</f>
        <v/>
      </c>
      <c r="Y690" s="5" t="s">
        <v>2859</v>
      </c>
    </row>
    <row r="691" spans="1:25" ht="25.5">
      <c r="A691" s="5" t="s">
        <v>4323</v>
      </c>
      <c r="B691" s="5" t="s">
        <v>596</v>
      </c>
      <c r="C691" s="5" t="s">
        <v>597</v>
      </c>
      <c r="D691" s="5" t="s">
        <v>118</v>
      </c>
      <c r="E691" s="5" t="s">
        <v>2794</v>
      </c>
      <c r="F691" s="5" t="s">
        <v>2764</v>
      </c>
      <c r="G691" s="5">
        <v>1</v>
      </c>
      <c r="H691" s="5" t="s">
        <v>2854</v>
      </c>
      <c r="I691" s="5" t="str">
        <f>IF(INDEX(Manual_Review!$X$6:$X$238,U691)="","",INDEX(Manual_Review!$X$6:$X$238,U691))</f>
        <v/>
      </c>
      <c r="J691" s="5" t="str">
        <f t="shared" si="20"/>
        <v>AI provisional</v>
      </c>
      <c r="K691" s="5" t="str">
        <f t="shared" si="21"/>
        <v>Y</v>
      </c>
      <c r="L691" s="5" t="s">
        <v>604</v>
      </c>
      <c r="M691" s="5" t="s">
        <v>4324</v>
      </c>
      <c r="N691" s="5" t="s">
        <v>4301</v>
      </c>
      <c r="O691" s="5" t="s">
        <v>2984</v>
      </c>
      <c r="P691" s="5" t="s">
        <v>2858</v>
      </c>
      <c r="Q691" s="11">
        <v>46306.5</v>
      </c>
      <c r="R691" s="6"/>
      <c r="S691" s="6"/>
      <c r="T691" s="6"/>
      <c r="U691" s="5">
        <f>MATCH(B691,Manual_Review!$A$6:$A$238,0)</f>
        <v>43</v>
      </c>
      <c r="V691" s="5" t="str">
        <f>IF(INDEX(Manual_Review!$G$6:$G$238,U691)="","",INDEX(Manual_Review!$G$6:$G$238,U691))</f>
        <v/>
      </c>
      <c r="W691" s="11" t="str">
        <f>IF(INDEX(Manual_Review!$H$6:$H$238,U691)="","",INDEX(Manual_Review!$H$6:$H$238,U691))</f>
        <v/>
      </c>
      <c r="X691" s="5" t="str">
        <f>IF(INDEX(Manual_Review!$I$6:$I$238,U691)="","",INDEX(Manual_Review!$I$6:$I$238,U691))</f>
        <v/>
      </c>
      <c r="Y691" s="5" t="s">
        <v>2859</v>
      </c>
    </row>
    <row r="692" spans="1:25" ht="25.5">
      <c r="A692" s="5" t="s">
        <v>4325</v>
      </c>
      <c r="B692" s="5" t="s">
        <v>596</v>
      </c>
      <c r="C692" s="5" t="s">
        <v>597</v>
      </c>
      <c r="D692" s="5" t="s">
        <v>118</v>
      </c>
      <c r="E692" s="5" t="s">
        <v>2795</v>
      </c>
      <c r="F692" s="5" t="s">
        <v>2764</v>
      </c>
      <c r="G692" s="5">
        <v>1</v>
      </c>
      <c r="H692" s="5" t="s">
        <v>2864</v>
      </c>
      <c r="I692" s="5" t="str">
        <f>IF(INDEX(Manual_Review!$Y$6:$Y$238,U692)="","",INDEX(Manual_Review!$Y$6:$Y$238,U692))</f>
        <v/>
      </c>
      <c r="J692" s="5" t="str">
        <f t="shared" si="20"/>
        <v>AI provisional</v>
      </c>
      <c r="K692" s="5" t="str">
        <f t="shared" si="21"/>
        <v>U</v>
      </c>
      <c r="L692" s="5" t="s">
        <v>604</v>
      </c>
      <c r="M692" s="5" t="s">
        <v>4326</v>
      </c>
      <c r="N692" s="5" t="s">
        <v>4301</v>
      </c>
      <c r="O692" s="5" t="s">
        <v>2897</v>
      </c>
      <c r="P692" s="5" t="s">
        <v>2858</v>
      </c>
      <c r="Q692" s="11">
        <v>46306.5</v>
      </c>
      <c r="R692" s="6"/>
      <c r="S692" s="6"/>
      <c r="T692" s="6"/>
      <c r="U692" s="5">
        <f>MATCH(B692,Manual_Review!$A$6:$A$238,0)</f>
        <v>43</v>
      </c>
      <c r="V692" s="5" t="str">
        <f>IF(INDEX(Manual_Review!$G$6:$G$238,U692)="","",INDEX(Manual_Review!$G$6:$G$238,U692))</f>
        <v/>
      </c>
      <c r="W692" s="11" t="str">
        <f>IF(INDEX(Manual_Review!$H$6:$H$238,U692)="","",INDEX(Manual_Review!$H$6:$H$238,U692))</f>
        <v/>
      </c>
      <c r="X692" s="5" t="str">
        <f>IF(INDEX(Manual_Review!$I$6:$I$238,U692)="","",INDEX(Manual_Review!$I$6:$I$238,U692))</f>
        <v/>
      </c>
      <c r="Y692" s="5" t="s">
        <v>2859</v>
      </c>
    </row>
    <row r="693" spans="1:25" ht="25.5">
      <c r="A693" s="5" t="s">
        <v>4327</v>
      </c>
      <c r="B693" s="5" t="s">
        <v>596</v>
      </c>
      <c r="C693" s="5" t="s">
        <v>597</v>
      </c>
      <c r="D693" s="5" t="s">
        <v>118</v>
      </c>
      <c r="E693" s="5" t="s">
        <v>2796</v>
      </c>
      <c r="F693" s="5" t="s">
        <v>2764</v>
      </c>
      <c r="G693" s="5">
        <v>1</v>
      </c>
      <c r="H693" s="5" t="s">
        <v>2854</v>
      </c>
      <c r="I693" s="5" t="str">
        <f>IF(INDEX(Manual_Review!$Z$6:$Z$238,U693)="","",INDEX(Manual_Review!$Z$6:$Z$238,U693))</f>
        <v/>
      </c>
      <c r="J693" s="5" t="str">
        <f t="shared" si="20"/>
        <v>AI provisional</v>
      </c>
      <c r="K693" s="5" t="str">
        <f t="shared" si="21"/>
        <v>Y</v>
      </c>
      <c r="L693" s="5" t="s">
        <v>604</v>
      </c>
      <c r="M693" s="5" t="s">
        <v>4328</v>
      </c>
      <c r="N693" s="5" t="s">
        <v>4301</v>
      </c>
      <c r="O693" s="5" t="s">
        <v>3085</v>
      </c>
      <c r="P693" s="5" t="s">
        <v>2858</v>
      </c>
      <c r="Q693" s="11">
        <v>46306.5</v>
      </c>
      <c r="R693" s="6"/>
      <c r="S693" s="6"/>
      <c r="T693" s="6"/>
      <c r="U693" s="5">
        <f>MATCH(B693,Manual_Review!$A$6:$A$238,0)</f>
        <v>43</v>
      </c>
      <c r="V693" s="5" t="str">
        <f>IF(INDEX(Manual_Review!$G$6:$G$238,U693)="","",INDEX(Manual_Review!$G$6:$G$238,U693))</f>
        <v/>
      </c>
      <c r="W693" s="11" t="str">
        <f>IF(INDEX(Manual_Review!$H$6:$H$238,U693)="","",INDEX(Manual_Review!$H$6:$H$238,U693))</f>
        <v/>
      </c>
      <c r="X693" s="5" t="str">
        <f>IF(INDEX(Manual_Review!$I$6:$I$238,U693)="","",INDEX(Manual_Review!$I$6:$I$238,U693))</f>
        <v/>
      </c>
      <c r="Y693" s="5" t="s">
        <v>2859</v>
      </c>
    </row>
    <row r="694" spans="1:25" ht="25.5">
      <c r="A694" s="5" t="s">
        <v>4329</v>
      </c>
      <c r="B694" s="5" t="s">
        <v>606</v>
      </c>
      <c r="C694" s="5" t="s">
        <v>607</v>
      </c>
      <c r="D694" s="5" t="s">
        <v>118</v>
      </c>
      <c r="E694" s="5" t="s">
        <v>2781</v>
      </c>
      <c r="F694" s="5" t="s">
        <v>2754</v>
      </c>
      <c r="G694" s="5">
        <v>1</v>
      </c>
      <c r="H694" s="5" t="s">
        <v>2854</v>
      </c>
      <c r="I694" s="5" t="str">
        <f>IF(INDEX(Manual_Review!$K$6:$K$238,U694)="","",INDEX(Manual_Review!$K$6:$K$238,U694))</f>
        <v/>
      </c>
      <c r="J694" s="5" t="str">
        <f t="shared" si="20"/>
        <v>AI provisional</v>
      </c>
      <c r="K694" s="5" t="str">
        <f t="shared" si="21"/>
        <v>Y</v>
      </c>
      <c r="L694" s="5" t="s">
        <v>617</v>
      </c>
      <c r="M694" s="5" t="s">
        <v>4330</v>
      </c>
      <c r="N694" s="5" t="s">
        <v>4331</v>
      </c>
      <c r="O694" s="5" t="s">
        <v>2857</v>
      </c>
      <c r="P694" s="5" t="s">
        <v>2858</v>
      </c>
      <c r="Q694" s="11">
        <v>46306.5</v>
      </c>
      <c r="R694" s="6"/>
      <c r="S694" s="6"/>
      <c r="T694" s="6"/>
      <c r="U694" s="5">
        <f>MATCH(B694,Manual_Review!$A$6:$A$238,0)</f>
        <v>44</v>
      </c>
      <c r="V694" s="5" t="str">
        <f>IF(INDEX(Manual_Review!$G$6:$G$238,U694)="","",INDEX(Manual_Review!$G$6:$G$238,U694))</f>
        <v/>
      </c>
      <c r="W694" s="11" t="str">
        <f>IF(INDEX(Manual_Review!$H$6:$H$238,U694)="","",INDEX(Manual_Review!$H$6:$H$238,U694))</f>
        <v/>
      </c>
      <c r="X694" s="5" t="str">
        <f>IF(INDEX(Manual_Review!$I$6:$I$238,U694)="","",INDEX(Manual_Review!$I$6:$I$238,U694))</f>
        <v/>
      </c>
      <c r="Y694" s="5" t="s">
        <v>2859</v>
      </c>
    </row>
    <row r="695" spans="1:25" ht="25.5">
      <c r="A695" s="5" t="s">
        <v>4332</v>
      </c>
      <c r="B695" s="5" t="s">
        <v>606</v>
      </c>
      <c r="C695" s="5" t="s">
        <v>607</v>
      </c>
      <c r="D695" s="5" t="s">
        <v>118</v>
      </c>
      <c r="E695" s="5" t="s">
        <v>2782</v>
      </c>
      <c r="F695" s="5" t="s">
        <v>2754</v>
      </c>
      <c r="G695" s="5">
        <v>1</v>
      </c>
      <c r="H695" s="5" t="s">
        <v>2854</v>
      </c>
      <c r="I695" s="5" t="str">
        <f>IF(INDEX(Manual_Review!$L$6:$L$238,U695)="","",INDEX(Manual_Review!$L$6:$L$238,U695))</f>
        <v/>
      </c>
      <c r="J695" s="5" t="str">
        <f t="shared" si="20"/>
        <v>AI provisional</v>
      </c>
      <c r="K695" s="5" t="str">
        <f t="shared" si="21"/>
        <v>Y</v>
      </c>
      <c r="L695" s="5" t="s">
        <v>617</v>
      </c>
      <c r="M695" s="5" t="s">
        <v>4333</v>
      </c>
      <c r="N695" s="5" t="s">
        <v>4331</v>
      </c>
      <c r="O695" s="5" t="s">
        <v>2862</v>
      </c>
      <c r="P695" s="5" t="s">
        <v>2858</v>
      </c>
      <c r="Q695" s="11">
        <v>46306.5</v>
      </c>
      <c r="R695" s="6"/>
      <c r="S695" s="6"/>
      <c r="T695" s="6"/>
      <c r="U695" s="5">
        <f>MATCH(B695,Manual_Review!$A$6:$A$238,0)</f>
        <v>44</v>
      </c>
      <c r="V695" s="5" t="str">
        <f>IF(INDEX(Manual_Review!$G$6:$G$238,U695)="","",INDEX(Manual_Review!$G$6:$G$238,U695))</f>
        <v/>
      </c>
      <c r="W695" s="11" t="str">
        <f>IF(INDEX(Manual_Review!$H$6:$H$238,U695)="","",INDEX(Manual_Review!$H$6:$H$238,U695))</f>
        <v/>
      </c>
      <c r="X695" s="5" t="str">
        <f>IF(INDEX(Manual_Review!$I$6:$I$238,U695)="","",INDEX(Manual_Review!$I$6:$I$238,U695))</f>
        <v/>
      </c>
      <c r="Y695" s="5" t="s">
        <v>2859</v>
      </c>
    </row>
    <row r="696" spans="1:25" ht="25.5">
      <c r="A696" s="5" t="s">
        <v>4334</v>
      </c>
      <c r="B696" s="5" t="s">
        <v>606</v>
      </c>
      <c r="C696" s="5" t="s">
        <v>607</v>
      </c>
      <c r="D696" s="5" t="s">
        <v>118</v>
      </c>
      <c r="E696" s="5" t="s">
        <v>2783</v>
      </c>
      <c r="F696" s="5" t="s">
        <v>2754</v>
      </c>
      <c r="G696" s="5">
        <v>1</v>
      </c>
      <c r="H696" s="5" t="s">
        <v>2864</v>
      </c>
      <c r="I696" s="5" t="str">
        <f>IF(INDEX(Manual_Review!$M$6:$M$238,U696)="","",INDEX(Manual_Review!$M$6:$M$238,U696))</f>
        <v/>
      </c>
      <c r="J696" s="5" t="str">
        <f t="shared" si="20"/>
        <v>AI provisional</v>
      </c>
      <c r="K696" s="5" t="str">
        <f t="shared" si="21"/>
        <v>U</v>
      </c>
      <c r="L696" s="5" t="s">
        <v>617</v>
      </c>
      <c r="M696" s="5" t="s">
        <v>4335</v>
      </c>
      <c r="N696" s="5" t="s">
        <v>4331</v>
      </c>
      <c r="O696" s="5" t="s">
        <v>2866</v>
      </c>
      <c r="P696" s="5" t="s">
        <v>2858</v>
      </c>
      <c r="Q696" s="11">
        <v>46306.5</v>
      </c>
      <c r="R696" s="6"/>
      <c r="S696" s="6"/>
      <c r="T696" s="6"/>
      <c r="U696" s="5">
        <f>MATCH(B696,Manual_Review!$A$6:$A$238,0)</f>
        <v>44</v>
      </c>
      <c r="V696" s="5" t="str">
        <f>IF(INDEX(Manual_Review!$G$6:$G$238,U696)="","",INDEX(Manual_Review!$G$6:$G$238,U696))</f>
        <v/>
      </c>
      <c r="W696" s="11" t="str">
        <f>IF(INDEX(Manual_Review!$H$6:$H$238,U696)="","",INDEX(Manual_Review!$H$6:$H$238,U696))</f>
        <v/>
      </c>
      <c r="X696" s="5" t="str">
        <f>IF(INDEX(Manual_Review!$I$6:$I$238,U696)="","",INDEX(Manual_Review!$I$6:$I$238,U696))</f>
        <v/>
      </c>
      <c r="Y696" s="5" t="s">
        <v>2859</v>
      </c>
    </row>
    <row r="697" spans="1:25" ht="25.5">
      <c r="A697" s="5" t="s">
        <v>4336</v>
      </c>
      <c r="B697" s="5" t="s">
        <v>606</v>
      </c>
      <c r="C697" s="5" t="s">
        <v>607</v>
      </c>
      <c r="D697" s="5" t="s">
        <v>118</v>
      </c>
      <c r="E697" s="5" t="s">
        <v>2784</v>
      </c>
      <c r="F697" s="5" t="s">
        <v>2756</v>
      </c>
      <c r="G697" s="5">
        <v>1</v>
      </c>
      <c r="H697" s="5" t="s">
        <v>2854</v>
      </c>
      <c r="I697" s="5" t="str">
        <f>IF(INDEX(Manual_Review!$N$6:$N$238,U697)="","",INDEX(Manual_Review!$N$6:$N$238,U697))</f>
        <v/>
      </c>
      <c r="J697" s="5" t="str">
        <f t="shared" si="20"/>
        <v>AI provisional</v>
      </c>
      <c r="K697" s="5" t="str">
        <f t="shared" si="21"/>
        <v>Y</v>
      </c>
      <c r="L697" s="5" t="s">
        <v>617</v>
      </c>
      <c r="M697" s="5" t="s">
        <v>4337</v>
      </c>
      <c r="N697" s="5" t="s">
        <v>4331</v>
      </c>
      <c r="O697" s="5" t="s">
        <v>2963</v>
      </c>
      <c r="P697" s="5" t="s">
        <v>2858</v>
      </c>
      <c r="Q697" s="11">
        <v>46306.5</v>
      </c>
      <c r="R697" s="6"/>
      <c r="S697" s="6"/>
      <c r="T697" s="6"/>
      <c r="U697" s="5">
        <f>MATCH(B697,Manual_Review!$A$6:$A$238,0)</f>
        <v>44</v>
      </c>
      <c r="V697" s="5" t="str">
        <f>IF(INDEX(Manual_Review!$G$6:$G$238,U697)="","",INDEX(Manual_Review!$G$6:$G$238,U697))</f>
        <v/>
      </c>
      <c r="W697" s="11" t="str">
        <f>IF(INDEX(Manual_Review!$H$6:$H$238,U697)="","",INDEX(Manual_Review!$H$6:$H$238,U697))</f>
        <v/>
      </c>
      <c r="X697" s="5" t="str">
        <f>IF(INDEX(Manual_Review!$I$6:$I$238,U697)="","",INDEX(Manual_Review!$I$6:$I$238,U697))</f>
        <v/>
      </c>
      <c r="Y697" s="5" t="s">
        <v>2859</v>
      </c>
    </row>
    <row r="698" spans="1:25" ht="25.5">
      <c r="A698" s="5" t="s">
        <v>4338</v>
      </c>
      <c r="B698" s="5" t="s">
        <v>606</v>
      </c>
      <c r="C698" s="5" t="s">
        <v>607</v>
      </c>
      <c r="D698" s="5" t="s">
        <v>118</v>
      </c>
      <c r="E698" s="5" t="s">
        <v>2785</v>
      </c>
      <c r="F698" s="5" t="s">
        <v>2756</v>
      </c>
      <c r="G698" s="5">
        <v>1</v>
      </c>
      <c r="H698" s="5" t="s">
        <v>2864</v>
      </c>
      <c r="I698" s="5" t="str">
        <f>IF(INDEX(Manual_Review!$O$6:$O$238,U698)="","",INDEX(Manual_Review!$O$6:$O$238,U698))</f>
        <v/>
      </c>
      <c r="J698" s="5" t="str">
        <f t="shared" si="20"/>
        <v>AI provisional</v>
      </c>
      <c r="K698" s="5" t="str">
        <f t="shared" si="21"/>
        <v>U</v>
      </c>
      <c r="L698" s="5" t="s">
        <v>617</v>
      </c>
      <c r="M698" s="5" t="s">
        <v>4339</v>
      </c>
      <c r="N698" s="5" t="s">
        <v>4331</v>
      </c>
      <c r="O698" s="5" t="s">
        <v>2872</v>
      </c>
      <c r="P698" s="5" t="s">
        <v>2858</v>
      </c>
      <c r="Q698" s="11">
        <v>46306.5</v>
      </c>
      <c r="R698" s="6"/>
      <c r="S698" s="6"/>
      <c r="T698" s="6"/>
      <c r="U698" s="5">
        <f>MATCH(B698,Manual_Review!$A$6:$A$238,0)</f>
        <v>44</v>
      </c>
      <c r="V698" s="5" t="str">
        <f>IF(INDEX(Manual_Review!$G$6:$G$238,U698)="","",INDEX(Manual_Review!$G$6:$G$238,U698))</f>
        <v/>
      </c>
      <c r="W698" s="11" t="str">
        <f>IF(INDEX(Manual_Review!$H$6:$H$238,U698)="","",INDEX(Manual_Review!$H$6:$H$238,U698))</f>
        <v/>
      </c>
      <c r="X698" s="5" t="str">
        <f>IF(INDEX(Manual_Review!$I$6:$I$238,U698)="","",INDEX(Manual_Review!$I$6:$I$238,U698))</f>
        <v/>
      </c>
      <c r="Y698" s="5" t="s">
        <v>2859</v>
      </c>
    </row>
    <row r="699" spans="1:25" ht="25.5">
      <c r="A699" s="5" t="s">
        <v>4340</v>
      </c>
      <c r="B699" s="5" t="s">
        <v>606</v>
      </c>
      <c r="C699" s="5" t="s">
        <v>607</v>
      </c>
      <c r="D699" s="5" t="s">
        <v>118</v>
      </c>
      <c r="E699" s="5" t="s">
        <v>2786</v>
      </c>
      <c r="F699" s="5" t="s">
        <v>2756</v>
      </c>
      <c r="G699" s="5">
        <v>1</v>
      </c>
      <c r="H699" s="5" t="s">
        <v>2864</v>
      </c>
      <c r="I699" s="5" t="str">
        <f>IF(INDEX(Manual_Review!$P$6:$P$238,U699)="","",INDEX(Manual_Review!$P$6:$P$238,U699))</f>
        <v/>
      </c>
      <c r="J699" s="5" t="str">
        <f t="shared" si="20"/>
        <v>AI provisional</v>
      </c>
      <c r="K699" s="5" t="str">
        <f t="shared" si="21"/>
        <v>U</v>
      </c>
      <c r="L699" s="5" t="s">
        <v>617</v>
      </c>
      <c r="M699" s="5" t="s">
        <v>4341</v>
      </c>
      <c r="N699" s="5" t="s">
        <v>4331</v>
      </c>
      <c r="O699" s="5" t="s">
        <v>2874</v>
      </c>
      <c r="P699" s="5" t="s">
        <v>2858</v>
      </c>
      <c r="Q699" s="11">
        <v>46306.5</v>
      </c>
      <c r="R699" s="6"/>
      <c r="S699" s="6"/>
      <c r="T699" s="6"/>
      <c r="U699" s="5">
        <f>MATCH(B699,Manual_Review!$A$6:$A$238,0)</f>
        <v>44</v>
      </c>
      <c r="V699" s="5" t="str">
        <f>IF(INDEX(Manual_Review!$G$6:$G$238,U699)="","",INDEX(Manual_Review!$G$6:$G$238,U699))</f>
        <v/>
      </c>
      <c r="W699" s="11" t="str">
        <f>IF(INDEX(Manual_Review!$H$6:$H$238,U699)="","",INDEX(Manual_Review!$H$6:$H$238,U699))</f>
        <v/>
      </c>
      <c r="X699" s="5" t="str">
        <f>IF(INDEX(Manual_Review!$I$6:$I$238,U699)="","",INDEX(Manual_Review!$I$6:$I$238,U699))</f>
        <v/>
      </c>
      <c r="Y699" s="5" t="s">
        <v>2859</v>
      </c>
    </row>
    <row r="700" spans="1:25" ht="25.5">
      <c r="A700" s="5" t="s">
        <v>4342</v>
      </c>
      <c r="B700" s="5" t="s">
        <v>606</v>
      </c>
      <c r="C700" s="5" t="s">
        <v>607</v>
      </c>
      <c r="D700" s="5" t="s">
        <v>118</v>
      </c>
      <c r="E700" s="5" t="s">
        <v>2787</v>
      </c>
      <c r="F700" s="5" t="s">
        <v>2758</v>
      </c>
      <c r="G700" s="5">
        <v>1</v>
      </c>
      <c r="H700" s="5" t="s">
        <v>2864</v>
      </c>
      <c r="I700" s="5" t="str">
        <f>IF(INDEX(Manual_Review!$Q$6:$Q$238,U700)="","",INDEX(Manual_Review!$Q$6:$Q$238,U700))</f>
        <v/>
      </c>
      <c r="J700" s="5" t="str">
        <f t="shared" si="20"/>
        <v>AI provisional</v>
      </c>
      <c r="K700" s="5" t="str">
        <f t="shared" si="21"/>
        <v>U</v>
      </c>
      <c r="L700" s="5" t="s">
        <v>617</v>
      </c>
      <c r="M700" s="5" t="s">
        <v>4343</v>
      </c>
      <c r="N700" s="5" t="s">
        <v>4331</v>
      </c>
      <c r="O700" s="5" t="s">
        <v>2877</v>
      </c>
      <c r="P700" s="5" t="s">
        <v>2858</v>
      </c>
      <c r="Q700" s="11">
        <v>46306.5</v>
      </c>
      <c r="R700" s="6"/>
      <c r="S700" s="6"/>
      <c r="T700" s="6"/>
      <c r="U700" s="5">
        <f>MATCH(B700,Manual_Review!$A$6:$A$238,0)</f>
        <v>44</v>
      </c>
      <c r="V700" s="5" t="str">
        <f>IF(INDEX(Manual_Review!$G$6:$G$238,U700)="","",INDEX(Manual_Review!$G$6:$G$238,U700))</f>
        <v/>
      </c>
      <c r="W700" s="11" t="str">
        <f>IF(INDEX(Manual_Review!$H$6:$H$238,U700)="","",INDEX(Manual_Review!$H$6:$H$238,U700))</f>
        <v/>
      </c>
      <c r="X700" s="5" t="str">
        <f>IF(INDEX(Manual_Review!$I$6:$I$238,U700)="","",INDEX(Manual_Review!$I$6:$I$238,U700))</f>
        <v/>
      </c>
      <c r="Y700" s="5" t="s">
        <v>2859</v>
      </c>
    </row>
    <row r="701" spans="1:25" ht="25.5">
      <c r="A701" s="5" t="s">
        <v>4344</v>
      </c>
      <c r="B701" s="5" t="s">
        <v>606</v>
      </c>
      <c r="C701" s="5" t="s">
        <v>607</v>
      </c>
      <c r="D701" s="5" t="s">
        <v>118</v>
      </c>
      <c r="E701" s="5" t="s">
        <v>2788</v>
      </c>
      <c r="F701" s="5" t="s">
        <v>2758</v>
      </c>
      <c r="G701" s="5">
        <v>1</v>
      </c>
      <c r="H701" s="5" t="s">
        <v>2854</v>
      </c>
      <c r="I701" s="5" t="str">
        <f>IF(INDEX(Manual_Review!$R$6:$R$238,U701)="","",INDEX(Manual_Review!$R$6:$R$238,U701))</f>
        <v/>
      </c>
      <c r="J701" s="5" t="str">
        <f t="shared" si="20"/>
        <v>AI provisional</v>
      </c>
      <c r="K701" s="5" t="str">
        <f t="shared" si="21"/>
        <v>Y</v>
      </c>
      <c r="L701" s="5" t="s">
        <v>617</v>
      </c>
      <c r="M701" s="5" t="s">
        <v>4345</v>
      </c>
      <c r="N701" s="5" t="s">
        <v>4331</v>
      </c>
      <c r="O701" s="5" t="s">
        <v>3067</v>
      </c>
      <c r="P701" s="5" t="s">
        <v>2858</v>
      </c>
      <c r="Q701" s="11">
        <v>46306.5</v>
      </c>
      <c r="R701" s="6"/>
      <c r="S701" s="6"/>
      <c r="T701" s="6"/>
      <c r="U701" s="5">
        <f>MATCH(B701,Manual_Review!$A$6:$A$238,0)</f>
        <v>44</v>
      </c>
      <c r="V701" s="5" t="str">
        <f>IF(INDEX(Manual_Review!$G$6:$G$238,U701)="","",INDEX(Manual_Review!$G$6:$G$238,U701))</f>
        <v/>
      </c>
      <c r="W701" s="11" t="str">
        <f>IF(INDEX(Manual_Review!$H$6:$H$238,U701)="","",INDEX(Manual_Review!$H$6:$H$238,U701))</f>
        <v/>
      </c>
      <c r="X701" s="5" t="str">
        <f>IF(INDEX(Manual_Review!$I$6:$I$238,U701)="","",INDEX(Manual_Review!$I$6:$I$238,U701))</f>
        <v/>
      </c>
      <c r="Y701" s="5" t="s">
        <v>2859</v>
      </c>
    </row>
    <row r="702" spans="1:25" ht="25.5">
      <c r="A702" s="5" t="s">
        <v>4346</v>
      </c>
      <c r="B702" s="5" t="s">
        <v>606</v>
      </c>
      <c r="C702" s="5" t="s">
        <v>607</v>
      </c>
      <c r="D702" s="5" t="s">
        <v>118</v>
      </c>
      <c r="E702" s="5" t="s">
        <v>2789</v>
      </c>
      <c r="F702" s="5" t="s">
        <v>2758</v>
      </c>
      <c r="G702" s="5">
        <v>1</v>
      </c>
      <c r="H702" s="5" t="s">
        <v>2864</v>
      </c>
      <c r="I702" s="5" t="str">
        <f>IF(INDEX(Manual_Review!$S$6:$S$238,U702)="","",INDEX(Manual_Review!$S$6:$S$238,U702))</f>
        <v/>
      </c>
      <c r="J702" s="5" t="str">
        <f t="shared" si="20"/>
        <v>AI provisional</v>
      </c>
      <c r="K702" s="5" t="str">
        <f t="shared" si="21"/>
        <v>U</v>
      </c>
      <c r="L702" s="5" t="s">
        <v>617</v>
      </c>
      <c r="M702" s="5" t="s">
        <v>4347</v>
      </c>
      <c r="N702" s="5" t="s">
        <v>4331</v>
      </c>
      <c r="O702" s="5" t="s">
        <v>2883</v>
      </c>
      <c r="P702" s="5" t="s">
        <v>2858</v>
      </c>
      <c r="Q702" s="11">
        <v>46306.5</v>
      </c>
      <c r="R702" s="6"/>
      <c r="S702" s="6"/>
      <c r="T702" s="6"/>
      <c r="U702" s="5">
        <f>MATCH(B702,Manual_Review!$A$6:$A$238,0)</f>
        <v>44</v>
      </c>
      <c r="V702" s="5" t="str">
        <f>IF(INDEX(Manual_Review!$G$6:$G$238,U702)="","",INDEX(Manual_Review!$G$6:$G$238,U702))</f>
        <v/>
      </c>
      <c r="W702" s="11" t="str">
        <f>IF(INDEX(Manual_Review!$H$6:$H$238,U702)="","",INDEX(Manual_Review!$H$6:$H$238,U702))</f>
        <v/>
      </c>
      <c r="X702" s="5" t="str">
        <f>IF(INDEX(Manual_Review!$I$6:$I$238,U702)="","",INDEX(Manual_Review!$I$6:$I$238,U702))</f>
        <v/>
      </c>
      <c r="Y702" s="5" t="s">
        <v>2859</v>
      </c>
    </row>
    <row r="703" spans="1:25" ht="25.5">
      <c r="A703" s="5" t="s">
        <v>4348</v>
      </c>
      <c r="B703" s="5" t="s">
        <v>606</v>
      </c>
      <c r="C703" s="5" t="s">
        <v>607</v>
      </c>
      <c r="D703" s="5" t="s">
        <v>118</v>
      </c>
      <c r="E703" s="5" t="s">
        <v>2790</v>
      </c>
      <c r="F703" s="5" t="s">
        <v>2760</v>
      </c>
      <c r="G703" s="5">
        <v>1</v>
      </c>
      <c r="H703" s="5" t="s">
        <v>2854</v>
      </c>
      <c r="I703" s="5" t="str">
        <f>IF(INDEX(Manual_Review!$T$6:$T$238,U703)="","",INDEX(Manual_Review!$T$6:$T$238,U703))</f>
        <v/>
      </c>
      <c r="J703" s="5" t="str">
        <f t="shared" si="20"/>
        <v>AI provisional</v>
      </c>
      <c r="K703" s="5" t="str">
        <f t="shared" si="21"/>
        <v>Y</v>
      </c>
      <c r="L703" s="5" t="s">
        <v>617</v>
      </c>
      <c r="M703" s="5" t="s">
        <v>4349</v>
      </c>
      <c r="N703" s="5" t="s">
        <v>4331</v>
      </c>
      <c r="O703" s="5" t="s">
        <v>2976</v>
      </c>
      <c r="P703" s="5" t="s">
        <v>2858</v>
      </c>
      <c r="Q703" s="11">
        <v>46306.5</v>
      </c>
      <c r="R703" s="6"/>
      <c r="S703" s="6"/>
      <c r="T703" s="6"/>
      <c r="U703" s="5">
        <f>MATCH(B703,Manual_Review!$A$6:$A$238,0)</f>
        <v>44</v>
      </c>
      <c r="V703" s="5" t="str">
        <f>IF(INDEX(Manual_Review!$G$6:$G$238,U703)="","",INDEX(Manual_Review!$G$6:$G$238,U703))</f>
        <v/>
      </c>
      <c r="W703" s="11" t="str">
        <f>IF(INDEX(Manual_Review!$H$6:$H$238,U703)="","",INDEX(Manual_Review!$H$6:$H$238,U703))</f>
        <v/>
      </c>
      <c r="X703" s="5" t="str">
        <f>IF(INDEX(Manual_Review!$I$6:$I$238,U703)="","",INDEX(Manual_Review!$I$6:$I$238,U703))</f>
        <v/>
      </c>
      <c r="Y703" s="5" t="s">
        <v>2859</v>
      </c>
    </row>
    <row r="704" spans="1:25" ht="25.5">
      <c r="A704" s="5" t="s">
        <v>4350</v>
      </c>
      <c r="B704" s="5" t="s">
        <v>606</v>
      </c>
      <c r="C704" s="5" t="s">
        <v>607</v>
      </c>
      <c r="D704" s="5" t="s">
        <v>118</v>
      </c>
      <c r="E704" s="5" t="s">
        <v>2791</v>
      </c>
      <c r="F704" s="5" t="s">
        <v>2760</v>
      </c>
      <c r="G704" s="5">
        <v>1</v>
      </c>
      <c r="H704" s="5" t="s">
        <v>2864</v>
      </c>
      <c r="I704" s="5" t="str">
        <f>IF(INDEX(Manual_Review!$U$6:$U$238,U704)="","",INDEX(Manual_Review!$U$6:$U$238,U704))</f>
        <v/>
      </c>
      <c r="J704" s="5" t="str">
        <f t="shared" si="20"/>
        <v>AI provisional</v>
      </c>
      <c r="K704" s="5" t="str">
        <f t="shared" si="21"/>
        <v>U</v>
      </c>
      <c r="L704" s="5" t="s">
        <v>617</v>
      </c>
      <c r="M704" s="5" t="s">
        <v>4351</v>
      </c>
      <c r="N704" s="5" t="s">
        <v>4331</v>
      </c>
      <c r="O704" s="5" t="s">
        <v>2888</v>
      </c>
      <c r="P704" s="5" t="s">
        <v>2858</v>
      </c>
      <c r="Q704" s="11">
        <v>46306.5</v>
      </c>
      <c r="R704" s="6"/>
      <c r="S704" s="6"/>
      <c r="T704" s="6"/>
      <c r="U704" s="5">
        <f>MATCH(B704,Manual_Review!$A$6:$A$238,0)</f>
        <v>44</v>
      </c>
      <c r="V704" s="5" t="str">
        <f>IF(INDEX(Manual_Review!$G$6:$G$238,U704)="","",INDEX(Manual_Review!$G$6:$G$238,U704))</f>
        <v/>
      </c>
      <c r="W704" s="11" t="str">
        <f>IF(INDEX(Manual_Review!$H$6:$H$238,U704)="","",INDEX(Manual_Review!$H$6:$H$238,U704))</f>
        <v/>
      </c>
      <c r="X704" s="5" t="str">
        <f>IF(INDEX(Manual_Review!$I$6:$I$238,U704)="","",INDEX(Manual_Review!$I$6:$I$238,U704))</f>
        <v/>
      </c>
      <c r="Y704" s="5" t="s">
        <v>2859</v>
      </c>
    </row>
    <row r="705" spans="1:25" ht="25.5">
      <c r="A705" s="5" t="s">
        <v>4352</v>
      </c>
      <c r="B705" s="5" t="s">
        <v>606</v>
      </c>
      <c r="C705" s="5" t="s">
        <v>607</v>
      </c>
      <c r="D705" s="5" t="s">
        <v>118</v>
      </c>
      <c r="E705" s="5" t="s">
        <v>2792</v>
      </c>
      <c r="F705" s="5" t="s">
        <v>2762</v>
      </c>
      <c r="G705" s="5">
        <v>1</v>
      </c>
      <c r="H705" s="5" t="s">
        <v>2864</v>
      </c>
      <c r="I705" s="5" t="str">
        <f>IF(INDEX(Manual_Review!$V$6:$V$238,U705)="","",INDEX(Manual_Review!$V$6:$V$238,U705))</f>
        <v/>
      </c>
      <c r="J705" s="5" t="str">
        <f t="shared" si="20"/>
        <v>AI provisional</v>
      </c>
      <c r="K705" s="5" t="str">
        <f t="shared" si="21"/>
        <v>U</v>
      </c>
      <c r="L705" s="5" t="s">
        <v>617</v>
      </c>
      <c r="M705" s="5" t="s">
        <v>4353</v>
      </c>
      <c r="N705" s="5" t="s">
        <v>4331</v>
      </c>
      <c r="O705" s="5" t="s">
        <v>2891</v>
      </c>
      <c r="P705" s="5" t="s">
        <v>2858</v>
      </c>
      <c r="Q705" s="11">
        <v>46306.5</v>
      </c>
      <c r="R705" s="6"/>
      <c r="S705" s="6"/>
      <c r="T705" s="6"/>
      <c r="U705" s="5">
        <f>MATCH(B705,Manual_Review!$A$6:$A$238,0)</f>
        <v>44</v>
      </c>
      <c r="V705" s="5" t="str">
        <f>IF(INDEX(Manual_Review!$G$6:$G$238,U705)="","",INDEX(Manual_Review!$G$6:$G$238,U705))</f>
        <v/>
      </c>
      <c r="W705" s="11" t="str">
        <f>IF(INDEX(Manual_Review!$H$6:$H$238,U705)="","",INDEX(Manual_Review!$H$6:$H$238,U705))</f>
        <v/>
      </c>
      <c r="X705" s="5" t="str">
        <f>IF(INDEX(Manual_Review!$I$6:$I$238,U705)="","",INDEX(Manual_Review!$I$6:$I$238,U705))</f>
        <v/>
      </c>
      <c r="Y705" s="5" t="s">
        <v>2859</v>
      </c>
    </row>
    <row r="706" spans="1:25" ht="25.5">
      <c r="A706" s="5" t="s">
        <v>4354</v>
      </c>
      <c r="B706" s="5" t="s">
        <v>606</v>
      </c>
      <c r="C706" s="5" t="s">
        <v>607</v>
      </c>
      <c r="D706" s="5" t="s">
        <v>118</v>
      </c>
      <c r="E706" s="5" t="s">
        <v>2793</v>
      </c>
      <c r="F706" s="5" t="s">
        <v>2762</v>
      </c>
      <c r="G706" s="5">
        <v>1</v>
      </c>
      <c r="H706" s="5" t="s">
        <v>2854</v>
      </c>
      <c r="I706" s="5" t="str">
        <f>IF(INDEX(Manual_Review!$W$6:$W$238,U706)="","",INDEX(Manual_Review!$W$6:$W$238,U706))</f>
        <v/>
      </c>
      <c r="J706" s="5" t="str">
        <f t="shared" si="20"/>
        <v>AI provisional</v>
      </c>
      <c r="K706" s="5" t="str">
        <f t="shared" si="21"/>
        <v>Y</v>
      </c>
      <c r="L706" s="5" t="s">
        <v>617</v>
      </c>
      <c r="M706" s="5" t="s">
        <v>4355</v>
      </c>
      <c r="N706" s="5" t="s">
        <v>4331</v>
      </c>
      <c r="O706" s="5" t="s">
        <v>3077</v>
      </c>
      <c r="P706" s="5" t="s">
        <v>2858</v>
      </c>
      <c r="Q706" s="11">
        <v>46306.5</v>
      </c>
      <c r="R706" s="6"/>
      <c r="S706" s="6"/>
      <c r="T706" s="6"/>
      <c r="U706" s="5">
        <f>MATCH(B706,Manual_Review!$A$6:$A$238,0)</f>
        <v>44</v>
      </c>
      <c r="V706" s="5" t="str">
        <f>IF(INDEX(Manual_Review!$G$6:$G$238,U706)="","",INDEX(Manual_Review!$G$6:$G$238,U706))</f>
        <v/>
      </c>
      <c r="W706" s="11" t="str">
        <f>IF(INDEX(Manual_Review!$H$6:$H$238,U706)="","",INDEX(Manual_Review!$H$6:$H$238,U706))</f>
        <v/>
      </c>
      <c r="X706" s="5" t="str">
        <f>IF(INDEX(Manual_Review!$I$6:$I$238,U706)="","",INDEX(Manual_Review!$I$6:$I$238,U706))</f>
        <v/>
      </c>
      <c r="Y706" s="5" t="s">
        <v>2859</v>
      </c>
    </row>
    <row r="707" spans="1:25" ht="25.5">
      <c r="A707" s="5" t="s">
        <v>4356</v>
      </c>
      <c r="B707" s="5" t="s">
        <v>606</v>
      </c>
      <c r="C707" s="5" t="s">
        <v>607</v>
      </c>
      <c r="D707" s="5" t="s">
        <v>118</v>
      </c>
      <c r="E707" s="5" t="s">
        <v>2794</v>
      </c>
      <c r="F707" s="5" t="s">
        <v>2764</v>
      </c>
      <c r="G707" s="5">
        <v>1</v>
      </c>
      <c r="H707" s="5" t="s">
        <v>2854</v>
      </c>
      <c r="I707" s="5" t="str">
        <f>IF(INDEX(Manual_Review!$X$6:$X$238,U707)="","",INDEX(Manual_Review!$X$6:$X$238,U707))</f>
        <v/>
      </c>
      <c r="J707" s="5" t="str">
        <f t="shared" si="20"/>
        <v>AI provisional</v>
      </c>
      <c r="K707" s="5" t="str">
        <f t="shared" si="21"/>
        <v>Y</v>
      </c>
      <c r="L707" s="5" t="s">
        <v>617</v>
      </c>
      <c r="M707" s="5" t="s">
        <v>4357</v>
      </c>
      <c r="N707" s="5" t="s">
        <v>4331</v>
      </c>
      <c r="O707" s="5" t="s">
        <v>2984</v>
      </c>
      <c r="P707" s="5" t="s">
        <v>2858</v>
      </c>
      <c r="Q707" s="11">
        <v>46306.5</v>
      </c>
      <c r="R707" s="6"/>
      <c r="S707" s="6"/>
      <c r="T707" s="6"/>
      <c r="U707" s="5">
        <f>MATCH(B707,Manual_Review!$A$6:$A$238,0)</f>
        <v>44</v>
      </c>
      <c r="V707" s="5" t="str">
        <f>IF(INDEX(Manual_Review!$G$6:$G$238,U707)="","",INDEX(Manual_Review!$G$6:$G$238,U707))</f>
        <v/>
      </c>
      <c r="W707" s="11" t="str">
        <f>IF(INDEX(Manual_Review!$H$6:$H$238,U707)="","",INDEX(Manual_Review!$H$6:$H$238,U707))</f>
        <v/>
      </c>
      <c r="X707" s="5" t="str">
        <f>IF(INDEX(Manual_Review!$I$6:$I$238,U707)="","",INDEX(Manual_Review!$I$6:$I$238,U707))</f>
        <v/>
      </c>
      <c r="Y707" s="5" t="s">
        <v>2859</v>
      </c>
    </row>
    <row r="708" spans="1:25" ht="25.5">
      <c r="A708" s="5" t="s">
        <v>4358</v>
      </c>
      <c r="B708" s="5" t="s">
        <v>606</v>
      </c>
      <c r="C708" s="5" t="s">
        <v>607</v>
      </c>
      <c r="D708" s="5" t="s">
        <v>118</v>
      </c>
      <c r="E708" s="5" t="s">
        <v>2795</v>
      </c>
      <c r="F708" s="5" t="s">
        <v>2764</v>
      </c>
      <c r="G708" s="5">
        <v>1</v>
      </c>
      <c r="H708" s="5" t="s">
        <v>2864</v>
      </c>
      <c r="I708" s="5" t="str">
        <f>IF(INDEX(Manual_Review!$Y$6:$Y$238,U708)="","",INDEX(Manual_Review!$Y$6:$Y$238,U708))</f>
        <v/>
      </c>
      <c r="J708" s="5" t="str">
        <f t="shared" si="20"/>
        <v>AI provisional</v>
      </c>
      <c r="K708" s="5" t="str">
        <f t="shared" si="21"/>
        <v>U</v>
      </c>
      <c r="L708" s="5" t="s">
        <v>617</v>
      </c>
      <c r="M708" s="5" t="s">
        <v>4359</v>
      </c>
      <c r="N708" s="5" t="s">
        <v>4331</v>
      </c>
      <c r="O708" s="5" t="s">
        <v>2897</v>
      </c>
      <c r="P708" s="5" t="s">
        <v>2858</v>
      </c>
      <c r="Q708" s="11">
        <v>46306.5</v>
      </c>
      <c r="R708" s="6"/>
      <c r="S708" s="6"/>
      <c r="T708" s="6"/>
      <c r="U708" s="5">
        <f>MATCH(B708,Manual_Review!$A$6:$A$238,0)</f>
        <v>44</v>
      </c>
      <c r="V708" s="5" t="str">
        <f>IF(INDEX(Manual_Review!$G$6:$G$238,U708)="","",INDEX(Manual_Review!$G$6:$G$238,U708))</f>
        <v/>
      </c>
      <c r="W708" s="11" t="str">
        <f>IF(INDEX(Manual_Review!$H$6:$H$238,U708)="","",INDEX(Manual_Review!$H$6:$H$238,U708))</f>
        <v/>
      </c>
      <c r="X708" s="5" t="str">
        <f>IF(INDEX(Manual_Review!$I$6:$I$238,U708)="","",INDEX(Manual_Review!$I$6:$I$238,U708))</f>
        <v/>
      </c>
      <c r="Y708" s="5" t="s">
        <v>2859</v>
      </c>
    </row>
    <row r="709" spans="1:25" ht="25.5">
      <c r="A709" s="5" t="s">
        <v>4360</v>
      </c>
      <c r="B709" s="5" t="s">
        <v>606</v>
      </c>
      <c r="C709" s="5" t="s">
        <v>607</v>
      </c>
      <c r="D709" s="5" t="s">
        <v>118</v>
      </c>
      <c r="E709" s="5" t="s">
        <v>2796</v>
      </c>
      <c r="F709" s="5" t="s">
        <v>2764</v>
      </c>
      <c r="G709" s="5">
        <v>1</v>
      </c>
      <c r="H709" s="5" t="s">
        <v>2864</v>
      </c>
      <c r="I709" s="5" t="str">
        <f>IF(INDEX(Manual_Review!$Z$6:$Z$238,U709)="","",INDEX(Manual_Review!$Z$6:$Z$238,U709))</f>
        <v/>
      </c>
      <c r="J709" s="5" t="str">
        <f t="shared" si="20"/>
        <v>AI provisional</v>
      </c>
      <c r="K709" s="5" t="str">
        <f t="shared" si="21"/>
        <v>U</v>
      </c>
      <c r="L709" s="5" t="s">
        <v>617</v>
      </c>
      <c r="M709" s="5" t="s">
        <v>4361</v>
      </c>
      <c r="N709" s="5" t="s">
        <v>4331</v>
      </c>
      <c r="O709" s="5" t="s">
        <v>2899</v>
      </c>
      <c r="P709" s="5" t="s">
        <v>2858</v>
      </c>
      <c r="Q709" s="11">
        <v>46306.5</v>
      </c>
      <c r="R709" s="6"/>
      <c r="S709" s="6"/>
      <c r="T709" s="6"/>
      <c r="U709" s="5">
        <f>MATCH(B709,Manual_Review!$A$6:$A$238,0)</f>
        <v>44</v>
      </c>
      <c r="V709" s="5" t="str">
        <f>IF(INDEX(Manual_Review!$G$6:$G$238,U709)="","",INDEX(Manual_Review!$G$6:$G$238,U709))</f>
        <v/>
      </c>
      <c r="W709" s="11" t="str">
        <f>IF(INDEX(Manual_Review!$H$6:$H$238,U709)="","",INDEX(Manual_Review!$H$6:$H$238,U709))</f>
        <v/>
      </c>
      <c r="X709" s="5" t="str">
        <f>IF(INDEX(Manual_Review!$I$6:$I$238,U709)="","",INDEX(Manual_Review!$I$6:$I$238,U709))</f>
        <v/>
      </c>
      <c r="Y709" s="5" t="s">
        <v>2859</v>
      </c>
    </row>
    <row r="710" spans="1:25" ht="25.5">
      <c r="A710" s="5" t="s">
        <v>4362</v>
      </c>
      <c r="B710" s="5" t="s">
        <v>619</v>
      </c>
      <c r="C710" s="5" t="s">
        <v>620</v>
      </c>
      <c r="D710" s="5" t="s">
        <v>118</v>
      </c>
      <c r="E710" s="5" t="s">
        <v>2781</v>
      </c>
      <c r="F710" s="5" t="s">
        <v>2754</v>
      </c>
      <c r="G710" s="5">
        <v>1</v>
      </c>
      <c r="H710" s="5" t="s">
        <v>2854</v>
      </c>
      <c r="I710" s="5" t="str">
        <f>IF(INDEX(Manual_Review!$K$6:$K$238,U710)="","",INDEX(Manual_Review!$K$6:$K$238,U710))</f>
        <v/>
      </c>
      <c r="J710" s="5" t="str">
        <f t="shared" ref="J710:J773" si="22">IF(G710=0,"Not applicable",IF(I710="","AI provisional",IF(AND(OR(I710="Y",I710="N",I710="U",I710="X"),V710&lt;&gt;"",ISNUMBER(W710),W710&gt;0,X710="Confirmed",R710&lt;&gt;"",S710&lt;&gt;"",T710&lt;&gt;""),"Human valid","Evidence needed")))</f>
        <v>AI provisional</v>
      </c>
      <c r="K710" s="5" t="str">
        <f t="shared" ref="K710:K773" si="23">IF(G710=0,"N/A",IF(I710="",H710,IF(J710="Human valid",I710,"U")))</f>
        <v>Y</v>
      </c>
      <c r="L710" s="5" t="s">
        <v>628</v>
      </c>
      <c r="M710" s="5" t="s">
        <v>4363</v>
      </c>
      <c r="N710" s="5" t="s">
        <v>4364</v>
      </c>
      <c r="O710" s="5" t="s">
        <v>2857</v>
      </c>
      <c r="P710" s="5" t="s">
        <v>2858</v>
      </c>
      <c r="Q710" s="11">
        <v>46306.5</v>
      </c>
      <c r="R710" s="6"/>
      <c r="S710" s="6"/>
      <c r="T710" s="6"/>
      <c r="U710" s="5">
        <f>MATCH(B710,Manual_Review!$A$6:$A$238,0)</f>
        <v>45</v>
      </c>
      <c r="V710" s="5" t="str">
        <f>IF(INDEX(Manual_Review!$G$6:$G$238,U710)="","",INDEX(Manual_Review!$G$6:$G$238,U710))</f>
        <v/>
      </c>
      <c r="W710" s="11" t="str">
        <f>IF(INDEX(Manual_Review!$H$6:$H$238,U710)="","",INDEX(Manual_Review!$H$6:$H$238,U710))</f>
        <v/>
      </c>
      <c r="X710" s="5" t="str">
        <f>IF(INDEX(Manual_Review!$I$6:$I$238,U710)="","",INDEX(Manual_Review!$I$6:$I$238,U710))</f>
        <v/>
      </c>
      <c r="Y710" s="5" t="s">
        <v>2859</v>
      </c>
    </row>
    <row r="711" spans="1:25" ht="25.5">
      <c r="A711" s="5" t="s">
        <v>4365</v>
      </c>
      <c r="B711" s="5" t="s">
        <v>619</v>
      </c>
      <c r="C711" s="5" t="s">
        <v>620</v>
      </c>
      <c r="D711" s="5" t="s">
        <v>118</v>
      </c>
      <c r="E711" s="5" t="s">
        <v>2782</v>
      </c>
      <c r="F711" s="5" t="s">
        <v>2754</v>
      </c>
      <c r="G711" s="5">
        <v>1</v>
      </c>
      <c r="H711" s="5" t="s">
        <v>2854</v>
      </c>
      <c r="I711" s="5" t="str">
        <f>IF(INDEX(Manual_Review!$L$6:$L$238,U711)="","",INDEX(Manual_Review!$L$6:$L$238,U711))</f>
        <v/>
      </c>
      <c r="J711" s="5" t="str">
        <f t="shared" si="22"/>
        <v>AI provisional</v>
      </c>
      <c r="K711" s="5" t="str">
        <f t="shared" si="23"/>
        <v>Y</v>
      </c>
      <c r="L711" s="5" t="s">
        <v>628</v>
      </c>
      <c r="M711" s="5" t="s">
        <v>4366</v>
      </c>
      <c r="N711" s="5" t="s">
        <v>4364</v>
      </c>
      <c r="O711" s="5" t="s">
        <v>2862</v>
      </c>
      <c r="P711" s="5" t="s">
        <v>2858</v>
      </c>
      <c r="Q711" s="11">
        <v>46306.5</v>
      </c>
      <c r="R711" s="6"/>
      <c r="S711" s="6"/>
      <c r="T711" s="6"/>
      <c r="U711" s="5">
        <f>MATCH(B711,Manual_Review!$A$6:$A$238,0)</f>
        <v>45</v>
      </c>
      <c r="V711" s="5" t="str">
        <f>IF(INDEX(Manual_Review!$G$6:$G$238,U711)="","",INDEX(Manual_Review!$G$6:$G$238,U711))</f>
        <v/>
      </c>
      <c r="W711" s="11" t="str">
        <f>IF(INDEX(Manual_Review!$H$6:$H$238,U711)="","",INDEX(Manual_Review!$H$6:$H$238,U711))</f>
        <v/>
      </c>
      <c r="X711" s="5" t="str">
        <f>IF(INDEX(Manual_Review!$I$6:$I$238,U711)="","",INDEX(Manual_Review!$I$6:$I$238,U711))</f>
        <v/>
      </c>
      <c r="Y711" s="5" t="s">
        <v>2859</v>
      </c>
    </row>
    <row r="712" spans="1:25" ht="25.5">
      <c r="A712" s="5" t="s">
        <v>4367</v>
      </c>
      <c r="B712" s="5" t="s">
        <v>619</v>
      </c>
      <c r="C712" s="5" t="s">
        <v>620</v>
      </c>
      <c r="D712" s="5" t="s">
        <v>118</v>
      </c>
      <c r="E712" s="5" t="s">
        <v>2783</v>
      </c>
      <c r="F712" s="5" t="s">
        <v>2754</v>
      </c>
      <c r="G712" s="5">
        <v>1</v>
      </c>
      <c r="H712" s="5" t="s">
        <v>2864</v>
      </c>
      <c r="I712" s="5" t="str">
        <f>IF(INDEX(Manual_Review!$M$6:$M$238,U712)="","",INDEX(Manual_Review!$M$6:$M$238,U712))</f>
        <v/>
      </c>
      <c r="J712" s="5" t="str">
        <f t="shared" si="22"/>
        <v>AI provisional</v>
      </c>
      <c r="K712" s="5" t="str">
        <f t="shared" si="23"/>
        <v>U</v>
      </c>
      <c r="L712" s="5" t="s">
        <v>628</v>
      </c>
      <c r="M712" s="5" t="s">
        <v>4368</v>
      </c>
      <c r="N712" s="5" t="s">
        <v>4364</v>
      </c>
      <c r="O712" s="5" t="s">
        <v>2866</v>
      </c>
      <c r="P712" s="5" t="s">
        <v>2858</v>
      </c>
      <c r="Q712" s="11">
        <v>46306.5</v>
      </c>
      <c r="R712" s="6"/>
      <c r="S712" s="6"/>
      <c r="T712" s="6"/>
      <c r="U712" s="5">
        <f>MATCH(B712,Manual_Review!$A$6:$A$238,0)</f>
        <v>45</v>
      </c>
      <c r="V712" s="5" t="str">
        <f>IF(INDEX(Manual_Review!$G$6:$G$238,U712)="","",INDEX(Manual_Review!$G$6:$G$238,U712))</f>
        <v/>
      </c>
      <c r="W712" s="11" t="str">
        <f>IF(INDEX(Manual_Review!$H$6:$H$238,U712)="","",INDEX(Manual_Review!$H$6:$H$238,U712))</f>
        <v/>
      </c>
      <c r="X712" s="5" t="str">
        <f>IF(INDEX(Manual_Review!$I$6:$I$238,U712)="","",INDEX(Manual_Review!$I$6:$I$238,U712))</f>
        <v/>
      </c>
      <c r="Y712" s="5" t="s">
        <v>2859</v>
      </c>
    </row>
    <row r="713" spans="1:25" ht="25.5">
      <c r="A713" s="5" t="s">
        <v>4369</v>
      </c>
      <c r="B713" s="5" t="s">
        <v>619</v>
      </c>
      <c r="C713" s="5" t="s">
        <v>620</v>
      </c>
      <c r="D713" s="5" t="s">
        <v>118</v>
      </c>
      <c r="E713" s="5" t="s">
        <v>2784</v>
      </c>
      <c r="F713" s="5" t="s">
        <v>2756</v>
      </c>
      <c r="G713" s="5">
        <v>1</v>
      </c>
      <c r="H713" s="5" t="s">
        <v>2854</v>
      </c>
      <c r="I713" s="5" t="str">
        <f>IF(INDEX(Manual_Review!$N$6:$N$238,U713)="","",INDEX(Manual_Review!$N$6:$N$238,U713))</f>
        <v/>
      </c>
      <c r="J713" s="5" t="str">
        <f t="shared" si="22"/>
        <v>AI provisional</v>
      </c>
      <c r="K713" s="5" t="str">
        <f t="shared" si="23"/>
        <v>Y</v>
      </c>
      <c r="L713" s="5" t="s">
        <v>628</v>
      </c>
      <c r="M713" s="5" t="s">
        <v>4370</v>
      </c>
      <c r="N713" s="5" t="s">
        <v>4364</v>
      </c>
      <c r="O713" s="5" t="s">
        <v>2963</v>
      </c>
      <c r="P713" s="5" t="s">
        <v>2858</v>
      </c>
      <c r="Q713" s="11">
        <v>46306.5</v>
      </c>
      <c r="R713" s="6"/>
      <c r="S713" s="6"/>
      <c r="T713" s="6"/>
      <c r="U713" s="5">
        <f>MATCH(B713,Manual_Review!$A$6:$A$238,0)</f>
        <v>45</v>
      </c>
      <c r="V713" s="5" t="str">
        <f>IF(INDEX(Manual_Review!$G$6:$G$238,U713)="","",INDEX(Manual_Review!$G$6:$G$238,U713))</f>
        <v/>
      </c>
      <c r="W713" s="11" t="str">
        <f>IF(INDEX(Manual_Review!$H$6:$H$238,U713)="","",INDEX(Manual_Review!$H$6:$H$238,U713))</f>
        <v/>
      </c>
      <c r="X713" s="5" t="str">
        <f>IF(INDEX(Manual_Review!$I$6:$I$238,U713)="","",INDEX(Manual_Review!$I$6:$I$238,U713))</f>
        <v/>
      </c>
      <c r="Y713" s="5" t="s">
        <v>2859</v>
      </c>
    </row>
    <row r="714" spans="1:25" ht="25.5">
      <c r="A714" s="5" t="s">
        <v>4371</v>
      </c>
      <c r="B714" s="5" t="s">
        <v>619</v>
      </c>
      <c r="C714" s="5" t="s">
        <v>620</v>
      </c>
      <c r="D714" s="5" t="s">
        <v>118</v>
      </c>
      <c r="E714" s="5" t="s">
        <v>2785</v>
      </c>
      <c r="F714" s="5" t="s">
        <v>2756</v>
      </c>
      <c r="G714" s="5">
        <v>1</v>
      </c>
      <c r="H714" s="5" t="s">
        <v>2864</v>
      </c>
      <c r="I714" s="5" t="str">
        <f>IF(INDEX(Manual_Review!$O$6:$O$238,U714)="","",INDEX(Manual_Review!$O$6:$O$238,U714))</f>
        <v/>
      </c>
      <c r="J714" s="5" t="str">
        <f t="shared" si="22"/>
        <v>AI provisional</v>
      </c>
      <c r="K714" s="5" t="str">
        <f t="shared" si="23"/>
        <v>U</v>
      </c>
      <c r="L714" s="5" t="s">
        <v>628</v>
      </c>
      <c r="M714" s="5" t="s">
        <v>4372</v>
      </c>
      <c r="N714" s="5" t="s">
        <v>4364</v>
      </c>
      <c r="O714" s="5" t="s">
        <v>2872</v>
      </c>
      <c r="P714" s="5" t="s">
        <v>2858</v>
      </c>
      <c r="Q714" s="11">
        <v>46306.5</v>
      </c>
      <c r="R714" s="6"/>
      <c r="S714" s="6"/>
      <c r="T714" s="6"/>
      <c r="U714" s="5">
        <f>MATCH(B714,Manual_Review!$A$6:$A$238,0)</f>
        <v>45</v>
      </c>
      <c r="V714" s="5" t="str">
        <f>IF(INDEX(Manual_Review!$G$6:$G$238,U714)="","",INDEX(Manual_Review!$G$6:$G$238,U714))</f>
        <v/>
      </c>
      <c r="W714" s="11" t="str">
        <f>IF(INDEX(Manual_Review!$H$6:$H$238,U714)="","",INDEX(Manual_Review!$H$6:$H$238,U714))</f>
        <v/>
      </c>
      <c r="X714" s="5" t="str">
        <f>IF(INDEX(Manual_Review!$I$6:$I$238,U714)="","",INDEX(Manual_Review!$I$6:$I$238,U714))</f>
        <v/>
      </c>
      <c r="Y714" s="5" t="s">
        <v>2859</v>
      </c>
    </row>
    <row r="715" spans="1:25" ht="25.5">
      <c r="A715" s="5" t="s">
        <v>4373</v>
      </c>
      <c r="B715" s="5" t="s">
        <v>619</v>
      </c>
      <c r="C715" s="5" t="s">
        <v>620</v>
      </c>
      <c r="D715" s="5" t="s">
        <v>118</v>
      </c>
      <c r="E715" s="5" t="s">
        <v>2786</v>
      </c>
      <c r="F715" s="5" t="s">
        <v>2756</v>
      </c>
      <c r="G715" s="5">
        <v>1</v>
      </c>
      <c r="H715" s="5" t="s">
        <v>2864</v>
      </c>
      <c r="I715" s="5" t="str">
        <f>IF(INDEX(Manual_Review!$P$6:$P$238,U715)="","",INDEX(Manual_Review!$P$6:$P$238,U715))</f>
        <v/>
      </c>
      <c r="J715" s="5" t="str">
        <f t="shared" si="22"/>
        <v>AI provisional</v>
      </c>
      <c r="K715" s="5" t="str">
        <f t="shared" si="23"/>
        <v>U</v>
      </c>
      <c r="L715" s="5" t="s">
        <v>628</v>
      </c>
      <c r="M715" s="5" t="s">
        <v>4368</v>
      </c>
      <c r="N715" s="5" t="s">
        <v>4364</v>
      </c>
      <c r="O715" s="5" t="s">
        <v>2874</v>
      </c>
      <c r="P715" s="5" t="s">
        <v>2858</v>
      </c>
      <c r="Q715" s="11">
        <v>46306.5</v>
      </c>
      <c r="R715" s="6"/>
      <c r="S715" s="6"/>
      <c r="T715" s="6"/>
      <c r="U715" s="5">
        <f>MATCH(B715,Manual_Review!$A$6:$A$238,0)</f>
        <v>45</v>
      </c>
      <c r="V715" s="5" t="str">
        <f>IF(INDEX(Manual_Review!$G$6:$G$238,U715)="","",INDEX(Manual_Review!$G$6:$G$238,U715))</f>
        <v/>
      </c>
      <c r="W715" s="11" t="str">
        <f>IF(INDEX(Manual_Review!$H$6:$H$238,U715)="","",INDEX(Manual_Review!$H$6:$H$238,U715))</f>
        <v/>
      </c>
      <c r="X715" s="5" t="str">
        <f>IF(INDEX(Manual_Review!$I$6:$I$238,U715)="","",INDEX(Manual_Review!$I$6:$I$238,U715))</f>
        <v/>
      </c>
      <c r="Y715" s="5" t="s">
        <v>2859</v>
      </c>
    </row>
    <row r="716" spans="1:25" ht="25.5">
      <c r="A716" s="5" t="s">
        <v>4374</v>
      </c>
      <c r="B716" s="5" t="s">
        <v>619</v>
      </c>
      <c r="C716" s="5" t="s">
        <v>620</v>
      </c>
      <c r="D716" s="5" t="s">
        <v>118</v>
      </c>
      <c r="E716" s="5" t="s">
        <v>2787</v>
      </c>
      <c r="F716" s="5" t="s">
        <v>2758</v>
      </c>
      <c r="G716" s="5">
        <v>1</v>
      </c>
      <c r="H716" s="5" t="s">
        <v>2864</v>
      </c>
      <c r="I716" s="5" t="str">
        <f>IF(INDEX(Manual_Review!$Q$6:$Q$238,U716)="","",INDEX(Manual_Review!$Q$6:$Q$238,U716))</f>
        <v/>
      </c>
      <c r="J716" s="5" t="str">
        <f t="shared" si="22"/>
        <v>AI provisional</v>
      </c>
      <c r="K716" s="5" t="str">
        <f t="shared" si="23"/>
        <v>U</v>
      </c>
      <c r="L716" s="5" t="s">
        <v>628</v>
      </c>
      <c r="M716" s="5" t="s">
        <v>4375</v>
      </c>
      <c r="N716" s="5" t="s">
        <v>4364</v>
      </c>
      <c r="O716" s="5" t="s">
        <v>2877</v>
      </c>
      <c r="P716" s="5" t="s">
        <v>2858</v>
      </c>
      <c r="Q716" s="11">
        <v>46306.5</v>
      </c>
      <c r="R716" s="6"/>
      <c r="S716" s="6"/>
      <c r="T716" s="6"/>
      <c r="U716" s="5">
        <f>MATCH(B716,Manual_Review!$A$6:$A$238,0)</f>
        <v>45</v>
      </c>
      <c r="V716" s="5" t="str">
        <f>IF(INDEX(Manual_Review!$G$6:$G$238,U716)="","",INDEX(Manual_Review!$G$6:$G$238,U716))</f>
        <v/>
      </c>
      <c r="W716" s="11" t="str">
        <f>IF(INDEX(Manual_Review!$H$6:$H$238,U716)="","",INDEX(Manual_Review!$H$6:$H$238,U716))</f>
        <v/>
      </c>
      <c r="X716" s="5" t="str">
        <f>IF(INDEX(Manual_Review!$I$6:$I$238,U716)="","",INDEX(Manual_Review!$I$6:$I$238,U716))</f>
        <v/>
      </c>
      <c r="Y716" s="5" t="s">
        <v>2859</v>
      </c>
    </row>
    <row r="717" spans="1:25" ht="25.5">
      <c r="A717" s="5" t="s">
        <v>4376</v>
      </c>
      <c r="B717" s="5" t="s">
        <v>619</v>
      </c>
      <c r="C717" s="5" t="s">
        <v>620</v>
      </c>
      <c r="D717" s="5" t="s">
        <v>118</v>
      </c>
      <c r="E717" s="5" t="s">
        <v>2788</v>
      </c>
      <c r="F717" s="5" t="s">
        <v>2758</v>
      </c>
      <c r="G717" s="5">
        <v>1</v>
      </c>
      <c r="H717" s="5" t="s">
        <v>2854</v>
      </c>
      <c r="I717" s="5" t="str">
        <f>IF(INDEX(Manual_Review!$R$6:$R$238,U717)="","",INDEX(Manual_Review!$R$6:$R$238,U717))</f>
        <v/>
      </c>
      <c r="J717" s="5" t="str">
        <f t="shared" si="22"/>
        <v>AI provisional</v>
      </c>
      <c r="K717" s="5" t="str">
        <f t="shared" si="23"/>
        <v>Y</v>
      </c>
      <c r="L717" s="5" t="s">
        <v>628</v>
      </c>
      <c r="M717" s="5" t="s">
        <v>4377</v>
      </c>
      <c r="N717" s="5" t="s">
        <v>4364</v>
      </c>
      <c r="O717" s="5" t="s">
        <v>3067</v>
      </c>
      <c r="P717" s="5" t="s">
        <v>2858</v>
      </c>
      <c r="Q717" s="11">
        <v>46306.5</v>
      </c>
      <c r="R717" s="6"/>
      <c r="S717" s="6"/>
      <c r="T717" s="6"/>
      <c r="U717" s="5">
        <f>MATCH(B717,Manual_Review!$A$6:$A$238,0)</f>
        <v>45</v>
      </c>
      <c r="V717" s="5" t="str">
        <f>IF(INDEX(Manual_Review!$G$6:$G$238,U717)="","",INDEX(Manual_Review!$G$6:$G$238,U717))</f>
        <v/>
      </c>
      <c r="W717" s="11" t="str">
        <f>IF(INDEX(Manual_Review!$H$6:$H$238,U717)="","",INDEX(Manual_Review!$H$6:$H$238,U717))</f>
        <v/>
      </c>
      <c r="X717" s="5" t="str">
        <f>IF(INDEX(Manual_Review!$I$6:$I$238,U717)="","",INDEX(Manual_Review!$I$6:$I$238,U717))</f>
        <v/>
      </c>
      <c r="Y717" s="5" t="s">
        <v>2859</v>
      </c>
    </row>
    <row r="718" spans="1:25" ht="25.5">
      <c r="A718" s="5" t="s">
        <v>4378</v>
      </c>
      <c r="B718" s="5" t="s">
        <v>619</v>
      </c>
      <c r="C718" s="5" t="s">
        <v>620</v>
      </c>
      <c r="D718" s="5" t="s">
        <v>118</v>
      </c>
      <c r="E718" s="5" t="s">
        <v>2789</v>
      </c>
      <c r="F718" s="5" t="s">
        <v>2758</v>
      </c>
      <c r="G718" s="5">
        <v>1</v>
      </c>
      <c r="H718" s="5" t="s">
        <v>2864</v>
      </c>
      <c r="I718" s="5" t="str">
        <f>IF(INDEX(Manual_Review!$S$6:$S$238,U718)="","",INDEX(Manual_Review!$S$6:$S$238,U718))</f>
        <v/>
      </c>
      <c r="J718" s="5" t="str">
        <f t="shared" si="22"/>
        <v>AI provisional</v>
      </c>
      <c r="K718" s="5" t="str">
        <f t="shared" si="23"/>
        <v>U</v>
      </c>
      <c r="L718" s="5" t="s">
        <v>628</v>
      </c>
      <c r="M718" s="5" t="s">
        <v>4379</v>
      </c>
      <c r="N718" s="5" t="s">
        <v>4364</v>
      </c>
      <c r="O718" s="5" t="s">
        <v>2883</v>
      </c>
      <c r="P718" s="5" t="s">
        <v>2858</v>
      </c>
      <c r="Q718" s="11">
        <v>46306.5</v>
      </c>
      <c r="R718" s="6"/>
      <c r="S718" s="6"/>
      <c r="T718" s="6"/>
      <c r="U718" s="5">
        <f>MATCH(B718,Manual_Review!$A$6:$A$238,0)</f>
        <v>45</v>
      </c>
      <c r="V718" s="5" t="str">
        <f>IF(INDEX(Manual_Review!$G$6:$G$238,U718)="","",INDEX(Manual_Review!$G$6:$G$238,U718))</f>
        <v/>
      </c>
      <c r="W718" s="11" t="str">
        <f>IF(INDEX(Manual_Review!$H$6:$H$238,U718)="","",INDEX(Manual_Review!$H$6:$H$238,U718))</f>
        <v/>
      </c>
      <c r="X718" s="5" t="str">
        <f>IF(INDEX(Manual_Review!$I$6:$I$238,U718)="","",INDEX(Manual_Review!$I$6:$I$238,U718))</f>
        <v/>
      </c>
      <c r="Y718" s="5" t="s">
        <v>2859</v>
      </c>
    </row>
    <row r="719" spans="1:25" ht="25.5">
      <c r="A719" s="5" t="s">
        <v>4380</v>
      </c>
      <c r="B719" s="5" t="s">
        <v>619</v>
      </c>
      <c r="C719" s="5" t="s">
        <v>620</v>
      </c>
      <c r="D719" s="5" t="s">
        <v>118</v>
      </c>
      <c r="E719" s="5" t="s">
        <v>2790</v>
      </c>
      <c r="F719" s="5" t="s">
        <v>2760</v>
      </c>
      <c r="G719" s="5">
        <v>1</v>
      </c>
      <c r="H719" s="5" t="s">
        <v>2854</v>
      </c>
      <c r="I719" s="5" t="str">
        <f>IF(INDEX(Manual_Review!$T$6:$T$238,U719)="","",INDEX(Manual_Review!$T$6:$T$238,U719))</f>
        <v/>
      </c>
      <c r="J719" s="5" t="str">
        <f t="shared" si="22"/>
        <v>AI provisional</v>
      </c>
      <c r="K719" s="5" t="str">
        <f t="shared" si="23"/>
        <v>Y</v>
      </c>
      <c r="L719" s="5" t="s">
        <v>628</v>
      </c>
      <c r="M719" s="5" t="s">
        <v>4381</v>
      </c>
      <c r="N719" s="5" t="s">
        <v>4364</v>
      </c>
      <c r="O719" s="5" t="s">
        <v>2976</v>
      </c>
      <c r="P719" s="5" t="s">
        <v>2858</v>
      </c>
      <c r="Q719" s="11">
        <v>46306.5</v>
      </c>
      <c r="R719" s="6"/>
      <c r="S719" s="6"/>
      <c r="T719" s="6"/>
      <c r="U719" s="5">
        <f>MATCH(B719,Manual_Review!$A$6:$A$238,0)</f>
        <v>45</v>
      </c>
      <c r="V719" s="5" t="str">
        <f>IF(INDEX(Manual_Review!$G$6:$G$238,U719)="","",INDEX(Manual_Review!$G$6:$G$238,U719))</f>
        <v/>
      </c>
      <c r="W719" s="11" t="str">
        <f>IF(INDEX(Manual_Review!$H$6:$H$238,U719)="","",INDEX(Manual_Review!$H$6:$H$238,U719))</f>
        <v/>
      </c>
      <c r="X719" s="5" t="str">
        <f>IF(INDEX(Manual_Review!$I$6:$I$238,U719)="","",INDEX(Manual_Review!$I$6:$I$238,U719))</f>
        <v/>
      </c>
      <c r="Y719" s="5" t="s">
        <v>2859</v>
      </c>
    </row>
    <row r="720" spans="1:25" ht="25.5">
      <c r="A720" s="5" t="s">
        <v>4382</v>
      </c>
      <c r="B720" s="5" t="s">
        <v>619</v>
      </c>
      <c r="C720" s="5" t="s">
        <v>620</v>
      </c>
      <c r="D720" s="5" t="s">
        <v>118</v>
      </c>
      <c r="E720" s="5" t="s">
        <v>2791</v>
      </c>
      <c r="F720" s="5" t="s">
        <v>2760</v>
      </c>
      <c r="G720" s="5">
        <v>1</v>
      </c>
      <c r="H720" s="5" t="s">
        <v>2864</v>
      </c>
      <c r="I720" s="5" t="str">
        <f>IF(INDEX(Manual_Review!$U$6:$U$238,U720)="","",INDEX(Manual_Review!$U$6:$U$238,U720))</f>
        <v/>
      </c>
      <c r="J720" s="5" t="str">
        <f t="shared" si="22"/>
        <v>AI provisional</v>
      </c>
      <c r="K720" s="5" t="str">
        <f t="shared" si="23"/>
        <v>U</v>
      </c>
      <c r="L720" s="5" t="s">
        <v>628</v>
      </c>
      <c r="M720" s="5" t="s">
        <v>4383</v>
      </c>
      <c r="N720" s="5" t="s">
        <v>4364</v>
      </c>
      <c r="O720" s="5" t="s">
        <v>2888</v>
      </c>
      <c r="P720" s="5" t="s">
        <v>2858</v>
      </c>
      <c r="Q720" s="11">
        <v>46306.5</v>
      </c>
      <c r="R720" s="6"/>
      <c r="S720" s="6"/>
      <c r="T720" s="6"/>
      <c r="U720" s="5">
        <f>MATCH(B720,Manual_Review!$A$6:$A$238,0)</f>
        <v>45</v>
      </c>
      <c r="V720" s="5" t="str">
        <f>IF(INDEX(Manual_Review!$G$6:$G$238,U720)="","",INDEX(Manual_Review!$G$6:$G$238,U720))</f>
        <v/>
      </c>
      <c r="W720" s="11" t="str">
        <f>IF(INDEX(Manual_Review!$H$6:$H$238,U720)="","",INDEX(Manual_Review!$H$6:$H$238,U720))</f>
        <v/>
      </c>
      <c r="X720" s="5" t="str">
        <f>IF(INDEX(Manual_Review!$I$6:$I$238,U720)="","",INDEX(Manual_Review!$I$6:$I$238,U720))</f>
        <v/>
      </c>
      <c r="Y720" s="5" t="s">
        <v>2859</v>
      </c>
    </row>
    <row r="721" spans="1:25" ht="25.5">
      <c r="A721" s="5" t="s">
        <v>4384</v>
      </c>
      <c r="B721" s="5" t="s">
        <v>619</v>
      </c>
      <c r="C721" s="5" t="s">
        <v>620</v>
      </c>
      <c r="D721" s="5" t="s">
        <v>118</v>
      </c>
      <c r="E721" s="5" t="s">
        <v>2792</v>
      </c>
      <c r="F721" s="5" t="s">
        <v>2762</v>
      </c>
      <c r="G721" s="5">
        <v>1</v>
      </c>
      <c r="H721" s="5" t="s">
        <v>2854</v>
      </c>
      <c r="I721" s="5" t="str">
        <f>IF(INDEX(Manual_Review!$V$6:$V$238,U721)="","",INDEX(Manual_Review!$V$6:$V$238,U721))</f>
        <v/>
      </c>
      <c r="J721" s="5" t="str">
        <f t="shared" si="22"/>
        <v>AI provisional</v>
      </c>
      <c r="K721" s="5" t="str">
        <f t="shared" si="23"/>
        <v>Y</v>
      </c>
      <c r="L721" s="5" t="s">
        <v>628</v>
      </c>
      <c r="M721" s="5" t="s">
        <v>4385</v>
      </c>
      <c r="N721" s="5" t="s">
        <v>4364</v>
      </c>
      <c r="O721" s="5" t="s">
        <v>3152</v>
      </c>
      <c r="P721" s="5" t="s">
        <v>2858</v>
      </c>
      <c r="Q721" s="11">
        <v>46306.5</v>
      </c>
      <c r="R721" s="6"/>
      <c r="S721" s="6"/>
      <c r="T721" s="6"/>
      <c r="U721" s="5">
        <f>MATCH(B721,Manual_Review!$A$6:$A$238,0)</f>
        <v>45</v>
      </c>
      <c r="V721" s="5" t="str">
        <f>IF(INDEX(Manual_Review!$G$6:$G$238,U721)="","",INDEX(Manual_Review!$G$6:$G$238,U721))</f>
        <v/>
      </c>
      <c r="W721" s="11" t="str">
        <f>IF(INDEX(Manual_Review!$H$6:$H$238,U721)="","",INDEX(Manual_Review!$H$6:$H$238,U721))</f>
        <v/>
      </c>
      <c r="X721" s="5" t="str">
        <f>IF(INDEX(Manual_Review!$I$6:$I$238,U721)="","",INDEX(Manual_Review!$I$6:$I$238,U721))</f>
        <v/>
      </c>
      <c r="Y721" s="5" t="s">
        <v>2859</v>
      </c>
    </row>
    <row r="722" spans="1:25" ht="25.5">
      <c r="A722" s="5" t="s">
        <v>4386</v>
      </c>
      <c r="B722" s="5" t="s">
        <v>619</v>
      </c>
      <c r="C722" s="5" t="s">
        <v>620</v>
      </c>
      <c r="D722" s="5" t="s">
        <v>118</v>
      </c>
      <c r="E722" s="5" t="s">
        <v>2793</v>
      </c>
      <c r="F722" s="5" t="s">
        <v>2762</v>
      </c>
      <c r="G722" s="5">
        <v>1</v>
      </c>
      <c r="H722" s="5" t="s">
        <v>2854</v>
      </c>
      <c r="I722" s="5" t="str">
        <f>IF(INDEX(Manual_Review!$W$6:$W$238,U722)="","",INDEX(Manual_Review!$W$6:$W$238,U722))</f>
        <v/>
      </c>
      <c r="J722" s="5" t="str">
        <f t="shared" si="22"/>
        <v>AI provisional</v>
      </c>
      <c r="K722" s="5" t="str">
        <f t="shared" si="23"/>
        <v>Y</v>
      </c>
      <c r="L722" s="5" t="s">
        <v>628</v>
      </c>
      <c r="M722" s="5" t="s">
        <v>4387</v>
      </c>
      <c r="N722" s="5" t="s">
        <v>4364</v>
      </c>
      <c r="O722" s="5" t="s">
        <v>3077</v>
      </c>
      <c r="P722" s="5" t="s">
        <v>2858</v>
      </c>
      <c r="Q722" s="11">
        <v>46306.5</v>
      </c>
      <c r="R722" s="6"/>
      <c r="S722" s="6"/>
      <c r="T722" s="6"/>
      <c r="U722" s="5">
        <f>MATCH(B722,Manual_Review!$A$6:$A$238,0)</f>
        <v>45</v>
      </c>
      <c r="V722" s="5" t="str">
        <f>IF(INDEX(Manual_Review!$G$6:$G$238,U722)="","",INDEX(Manual_Review!$G$6:$G$238,U722))</f>
        <v/>
      </c>
      <c r="W722" s="11" t="str">
        <f>IF(INDEX(Manual_Review!$H$6:$H$238,U722)="","",INDEX(Manual_Review!$H$6:$H$238,U722))</f>
        <v/>
      </c>
      <c r="X722" s="5" t="str">
        <f>IF(INDEX(Manual_Review!$I$6:$I$238,U722)="","",INDEX(Manual_Review!$I$6:$I$238,U722))</f>
        <v/>
      </c>
      <c r="Y722" s="5" t="s">
        <v>2859</v>
      </c>
    </row>
    <row r="723" spans="1:25" ht="25.5">
      <c r="A723" s="5" t="s">
        <v>4388</v>
      </c>
      <c r="B723" s="5" t="s">
        <v>619</v>
      </c>
      <c r="C723" s="5" t="s">
        <v>620</v>
      </c>
      <c r="D723" s="5" t="s">
        <v>118</v>
      </c>
      <c r="E723" s="5" t="s">
        <v>2794</v>
      </c>
      <c r="F723" s="5" t="s">
        <v>2764</v>
      </c>
      <c r="G723" s="5">
        <v>1</v>
      </c>
      <c r="H723" s="5" t="s">
        <v>2854</v>
      </c>
      <c r="I723" s="5" t="str">
        <f>IF(INDEX(Manual_Review!$X$6:$X$238,U723)="","",INDEX(Manual_Review!$X$6:$X$238,U723))</f>
        <v/>
      </c>
      <c r="J723" s="5" t="str">
        <f t="shared" si="22"/>
        <v>AI provisional</v>
      </c>
      <c r="K723" s="5" t="str">
        <f t="shared" si="23"/>
        <v>Y</v>
      </c>
      <c r="L723" s="5" t="s">
        <v>628</v>
      </c>
      <c r="M723" s="5" t="s">
        <v>4389</v>
      </c>
      <c r="N723" s="5" t="s">
        <v>4364</v>
      </c>
      <c r="O723" s="5" t="s">
        <v>2984</v>
      </c>
      <c r="P723" s="5" t="s">
        <v>2858</v>
      </c>
      <c r="Q723" s="11">
        <v>46306.5</v>
      </c>
      <c r="R723" s="6"/>
      <c r="S723" s="6"/>
      <c r="T723" s="6"/>
      <c r="U723" s="5">
        <f>MATCH(B723,Manual_Review!$A$6:$A$238,0)</f>
        <v>45</v>
      </c>
      <c r="V723" s="5" t="str">
        <f>IF(INDEX(Manual_Review!$G$6:$G$238,U723)="","",INDEX(Manual_Review!$G$6:$G$238,U723))</f>
        <v/>
      </c>
      <c r="W723" s="11" t="str">
        <f>IF(INDEX(Manual_Review!$H$6:$H$238,U723)="","",INDEX(Manual_Review!$H$6:$H$238,U723))</f>
        <v/>
      </c>
      <c r="X723" s="5" t="str">
        <f>IF(INDEX(Manual_Review!$I$6:$I$238,U723)="","",INDEX(Manual_Review!$I$6:$I$238,U723))</f>
        <v/>
      </c>
      <c r="Y723" s="5" t="s">
        <v>2859</v>
      </c>
    </row>
    <row r="724" spans="1:25" ht="25.5">
      <c r="A724" s="5" t="s">
        <v>4390</v>
      </c>
      <c r="B724" s="5" t="s">
        <v>619</v>
      </c>
      <c r="C724" s="5" t="s">
        <v>620</v>
      </c>
      <c r="D724" s="5" t="s">
        <v>118</v>
      </c>
      <c r="E724" s="5" t="s">
        <v>2795</v>
      </c>
      <c r="F724" s="5" t="s">
        <v>2764</v>
      </c>
      <c r="G724" s="5">
        <v>1</v>
      </c>
      <c r="H724" s="5" t="s">
        <v>2864</v>
      </c>
      <c r="I724" s="5" t="str">
        <f>IF(INDEX(Manual_Review!$Y$6:$Y$238,U724)="","",INDEX(Manual_Review!$Y$6:$Y$238,U724))</f>
        <v/>
      </c>
      <c r="J724" s="5" t="str">
        <f t="shared" si="22"/>
        <v>AI provisional</v>
      </c>
      <c r="K724" s="5" t="str">
        <f t="shared" si="23"/>
        <v>U</v>
      </c>
      <c r="L724" s="5" t="s">
        <v>628</v>
      </c>
      <c r="M724" s="5" t="s">
        <v>4368</v>
      </c>
      <c r="N724" s="5" t="s">
        <v>4364</v>
      </c>
      <c r="O724" s="5" t="s">
        <v>2897</v>
      </c>
      <c r="P724" s="5" t="s">
        <v>2858</v>
      </c>
      <c r="Q724" s="11">
        <v>46306.5</v>
      </c>
      <c r="R724" s="6"/>
      <c r="S724" s="6"/>
      <c r="T724" s="6"/>
      <c r="U724" s="5">
        <f>MATCH(B724,Manual_Review!$A$6:$A$238,0)</f>
        <v>45</v>
      </c>
      <c r="V724" s="5" t="str">
        <f>IF(INDEX(Manual_Review!$G$6:$G$238,U724)="","",INDEX(Manual_Review!$G$6:$G$238,U724))</f>
        <v/>
      </c>
      <c r="W724" s="11" t="str">
        <f>IF(INDEX(Manual_Review!$H$6:$H$238,U724)="","",INDEX(Manual_Review!$H$6:$H$238,U724))</f>
        <v/>
      </c>
      <c r="X724" s="5" t="str">
        <f>IF(INDEX(Manual_Review!$I$6:$I$238,U724)="","",INDEX(Manual_Review!$I$6:$I$238,U724))</f>
        <v/>
      </c>
      <c r="Y724" s="5" t="s">
        <v>2859</v>
      </c>
    </row>
    <row r="725" spans="1:25" ht="25.5">
      <c r="A725" s="5" t="s">
        <v>4391</v>
      </c>
      <c r="B725" s="5" t="s">
        <v>619</v>
      </c>
      <c r="C725" s="5" t="s">
        <v>620</v>
      </c>
      <c r="D725" s="5" t="s">
        <v>118</v>
      </c>
      <c r="E725" s="5" t="s">
        <v>2796</v>
      </c>
      <c r="F725" s="5" t="s">
        <v>2764</v>
      </c>
      <c r="G725" s="5">
        <v>1</v>
      </c>
      <c r="H725" s="5" t="s">
        <v>2864</v>
      </c>
      <c r="I725" s="5" t="str">
        <f>IF(INDEX(Manual_Review!$Z$6:$Z$238,U725)="","",INDEX(Manual_Review!$Z$6:$Z$238,U725))</f>
        <v/>
      </c>
      <c r="J725" s="5" t="str">
        <f t="shared" si="22"/>
        <v>AI provisional</v>
      </c>
      <c r="K725" s="5" t="str">
        <f t="shared" si="23"/>
        <v>U</v>
      </c>
      <c r="L725" s="5" t="s">
        <v>628</v>
      </c>
      <c r="M725" s="5" t="s">
        <v>4392</v>
      </c>
      <c r="N725" s="5" t="s">
        <v>4364</v>
      </c>
      <c r="O725" s="5" t="s">
        <v>2899</v>
      </c>
      <c r="P725" s="5" t="s">
        <v>2858</v>
      </c>
      <c r="Q725" s="11">
        <v>46306.5</v>
      </c>
      <c r="R725" s="6"/>
      <c r="S725" s="6"/>
      <c r="T725" s="6"/>
      <c r="U725" s="5">
        <f>MATCH(B725,Manual_Review!$A$6:$A$238,0)</f>
        <v>45</v>
      </c>
      <c r="V725" s="5" t="str">
        <f>IF(INDEX(Manual_Review!$G$6:$G$238,U725)="","",INDEX(Manual_Review!$G$6:$G$238,U725))</f>
        <v/>
      </c>
      <c r="W725" s="11" t="str">
        <f>IF(INDEX(Manual_Review!$H$6:$H$238,U725)="","",INDEX(Manual_Review!$H$6:$H$238,U725))</f>
        <v/>
      </c>
      <c r="X725" s="5" t="str">
        <f>IF(INDEX(Manual_Review!$I$6:$I$238,U725)="","",INDEX(Manual_Review!$I$6:$I$238,U725))</f>
        <v/>
      </c>
      <c r="Y725" s="5" t="s">
        <v>2859</v>
      </c>
    </row>
    <row r="726" spans="1:25" ht="38.25">
      <c r="A726" s="5" t="s">
        <v>4393</v>
      </c>
      <c r="B726" s="5" t="s">
        <v>630</v>
      </c>
      <c r="C726" s="5" t="s">
        <v>631</v>
      </c>
      <c r="D726" s="5" t="s">
        <v>118</v>
      </c>
      <c r="E726" s="5" t="s">
        <v>2781</v>
      </c>
      <c r="F726" s="5" t="s">
        <v>2754</v>
      </c>
      <c r="G726" s="5">
        <v>1</v>
      </c>
      <c r="H726" s="5" t="s">
        <v>2854</v>
      </c>
      <c r="I726" s="5" t="str">
        <f>IF(INDEX(Manual_Review!$K$6:$K$238,U726)="","",INDEX(Manual_Review!$K$6:$K$238,U726))</f>
        <v/>
      </c>
      <c r="J726" s="5" t="str">
        <f t="shared" si="22"/>
        <v>AI provisional</v>
      </c>
      <c r="K726" s="5" t="str">
        <f t="shared" si="23"/>
        <v>Y</v>
      </c>
      <c r="L726" s="5" t="s">
        <v>640</v>
      </c>
      <c r="M726" s="5" t="s">
        <v>4394</v>
      </c>
      <c r="N726" s="5" t="s">
        <v>4395</v>
      </c>
      <c r="O726" s="5" t="s">
        <v>2857</v>
      </c>
      <c r="P726" s="5" t="s">
        <v>2858</v>
      </c>
      <c r="Q726" s="11">
        <v>46306.5</v>
      </c>
      <c r="R726" s="6"/>
      <c r="S726" s="6"/>
      <c r="T726" s="6"/>
      <c r="U726" s="5">
        <f>MATCH(B726,Manual_Review!$A$6:$A$238,0)</f>
        <v>46</v>
      </c>
      <c r="V726" s="5" t="str">
        <f>IF(INDEX(Manual_Review!$G$6:$G$238,U726)="","",INDEX(Manual_Review!$G$6:$G$238,U726))</f>
        <v/>
      </c>
      <c r="W726" s="11" t="str">
        <f>IF(INDEX(Manual_Review!$H$6:$H$238,U726)="","",INDEX(Manual_Review!$H$6:$H$238,U726))</f>
        <v/>
      </c>
      <c r="X726" s="5" t="str">
        <f>IF(INDEX(Manual_Review!$I$6:$I$238,U726)="","",INDEX(Manual_Review!$I$6:$I$238,U726))</f>
        <v/>
      </c>
      <c r="Y726" s="5" t="s">
        <v>2859</v>
      </c>
    </row>
    <row r="727" spans="1:25" ht="38.25">
      <c r="A727" s="5" t="s">
        <v>4396</v>
      </c>
      <c r="B727" s="5" t="s">
        <v>630</v>
      </c>
      <c r="C727" s="5" t="s">
        <v>631</v>
      </c>
      <c r="D727" s="5" t="s">
        <v>118</v>
      </c>
      <c r="E727" s="5" t="s">
        <v>2782</v>
      </c>
      <c r="F727" s="5" t="s">
        <v>2754</v>
      </c>
      <c r="G727" s="5">
        <v>1</v>
      </c>
      <c r="H727" s="5" t="s">
        <v>2864</v>
      </c>
      <c r="I727" s="5" t="str">
        <f>IF(INDEX(Manual_Review!$L$6:$L$238,U727)="","",INDEX(Manual_Review!$L$6:$L$238,U727))</f>
        <v/>
      </c>
      <c r="J727" s="5" t="str">
        <f t="shared" si="22"/>
        <v>AI provisional</v>
      </c>
      <c r="K727" s="5" t="str">
        <f t="shared" si="23"/>
        <v>U</v>
      </c>
      <c r="L727" s="5" t="s">
        <v>640</v>
      </c>
      <c r="M727" s="5" t="s">
        <v>4397</v>
      </c>
      <c r="N727" s="5" t="s">
        <v>4395</v>
      </c>
      <c r="O727" s="5" t="s">
        <v>4272</v>
      </c>
      <c r="P727" s="5" t="s">
        <v>2858</v>
      </c>
      <c r="Q727" s="11">
        <v>46306.5</v>
      </c>
      <c r="R727" s="6"/>
      <c r="S727" s="6"/>
      <c r="T727" s="6"/>
      <c r="U727" s="5">
        <f>MATCH(B727,Manual_Review!$A$6:$A$238,0)</f>
        <v>46</v>
      </c>
      <c r="V727" s="5" t="str">
        <f>IF(INDEX(Manual_Review!$G$6:$G$238,U727)="","",INDEX(Manual_Review!$G$6:$G$238,U727))</f>
        <v/>
      </c>
      <c r="W727" s="11" t="str">
        <f>IF(INDEX(Manual_Review!$H$6:$H$238,U727)="","",INDEX(Manual_Review!$H$6:$H$238,U727))</f>
        <v/>
      </c>
      <c r="X727" s="5" t="str">
        <f>IF(INDEX(Manual_Review!$I$6:$I$238,U727)="","",INDEX(Manual_Review!$I$6:$I$238,U727))</f>
        <v/>
      </c>
      <c r="Y727" s="5" t="s">
        <v>2859</v>
      </c>
    </row>
    <row r="728" spans="1:25" ht="38.25">
      <c r="A728" s="5" t="s">
        <v>4398</v>
      </c>
      <c r="B728" s="5" t="s">
        <v>630</v>
      </c>
      <c r="C728" s="5" t="s">
        <v>631</v>
      </c>
      <c r="D728" s="5" t="s">
        <v>118</v>
      </c>
      <c r="E728" s="5" t="s">
        <v>2783</v>
      </c>
      <c r="F728" s="5" t="s">
        <v>2754</v>
      </c>
      <c r="G728" s="5">
        <v>1</v>
      </c>
      <c r="H728" s="5" t="s">
        <v>2864</v>
      </c>
      <c r="I728" s="5" t="str">
        <f>IF(INDEX(Manual_Review!$M$6:$M$238,U728)="","",INDEX(Manual_Review!$M$6:$M$238,U728))</f>
        <v/>
      </c>
      <c r="J728" s="5" t="str">
        <f t="shared" si="22"/>
        <v>AI provisional</v>
      </c>
      <c r="K728" s="5" t="str">
        <f t="shared" si="23"/>
        <v>U</v>
      </c>
      <c r="L728" s="5" t="s">
        <v>640</v>
      </c>
      <c r="M728" s="5" t="s">
        <v>4397</v>
      </c>
      <c r="N728" s="5" t="s">
        <v>4395</v>
      </c>
      <c r="O728" s="5" t="s">
        <v>2866</v>
      </c>
      <c r="P728" s="5" t="s">
        <v>2858</v>
      </c>
      <c r="Q728" s="11">
        <v>46306.5</v>
      </c>
      <c r="R728" s="6"/>
      <c r="S728" s="6"/>
      <c r="T728" s="6"/>
      <c r="U728" s="5">
        <f>MATCH(B728,Manual_Review!$A$6:$A$238,0)</f>
        <v>46</v>
      </c>
      <c r="V728" s="5" t="str">
        <f>IF(INDEX(Manual_Review!$G$6:$G$238,U728)="","",INDEX(Manual_Review!$G$6:$G$238,U728))</f>
        <v/>
      </c>
      <c r="W728" s="11" t="str">
        <f>IF(INDEX(Manual_Review!$H$6:$H$238,U728)="","",INDEX(Manual_Review!$H$6:$H$238,U728))</f>
        <v/>
      </c>
      <c r="X728" s="5" t="str">
        <f>IF(INDEX(Manual_Review!$I$6:$I$238,U728)="","",INDEX(Manual_Review!$I$6:$I$238,U728))</f>
        <v/>
      </c>
      <c r="Y728" s="5" t="s">
        <v>2859</v>
      </c>
    </row>
    <row r="729" spans="1:25" ht="38.25">
      <c r="A729" s="5" t="s">
        <v>4399</v>
      </c>
      <c r="B729" s="5" t="s">
        <v>630</v>
      </c>
      <c r="C729" s="5" t="s">
        <v>631</v>
      </c>
      <c r="D729" s="5" t="s">
        <v>118</v>
      </c>
      <c r="E729" s="5" t="s">
        <v>2784</v>
      </c>
      <c r="F729" s="5" t="s">
        <v>2756</v>
      </c>
      <c r="G729" s="5">
        <v>1</v>
      </c>
      <c r="H729" s="5" t="s">
        <v>2854</v>
      </c>
      <c r="I729" s="5" t="str">
        <f>IF(INDEX(Manual_Review!$N$6:$N$238,U729)="","",INDEX(Manual_Review!$N$6:$N$238,U729))</f>
        <v/>
      </c>
      <c r="J729" s="5" t="str">
        <f t="shared" si="22"/>
        <v>AI provisional</v>
      </c>
      <c r="K729" s="5" t="str">
        <f t="shared" si="23"/>
        <v>Y</v>
      </c>
      <c r="L729" s="5" t="s">
        <v>640</v>
      </c>
      <c r="M729" s="5" t="s">
        <v>4400</v>
      </c>
      <c r="N729" s="5" t="s">
        <v>4395</v>
      </c>
      <c r="O729" s="5" t="s">
        <v>2963</v>
      </c>
      <c r="P729" s="5" t="s">
        <v>2858</v>
      </c>
      <c r="Q729" s="11">
        <v>46306.5</v>
      </c>
      <c r="R729" s="6"/>
      <c r="S729" s="6"/>
      <c r="T729" s="6"/>
      <c r="U729" s="5">
        <f>MATCH(B729,Manual_Review!$A$6:$A$238,0)</f>
        <v>46</v>
      </c>
      <c r="V729" s="5" t="str">
        <f>IF(INDEX(Manual_Review!$G$6:$G$238,U729)="","",INDEX(Manual_Review!$G$6:$G$238,U729))</f>
        <v/>
      </c>
      <c r="W729" s="11" t="str">
        <f>IF(INDEX(Manual_Review!$H$6:$H$238,U729)="","",INDEX(Manual_Review!$H$6:$H$238,U729))</f>
        <v/>
      </c>
      <c r="X729" s="5" t="str">
        <f>IF(INDEX(Manual_Review!$I$6:$I$238,U729)="","",INDEX(Manual_Review!$I$6:$I$238,U729))</f>
        <v/>
      </c>
      <c r="Y729" s="5" t="s">
        <v>2859</v>
      </c>
    </row>
    <row r="730" spans="1:25" ht="38.25">
      <c r="A730" s="5" t="s">
        <v>4401</v>
      </c>
      <c r="B730" s="5" t="s">
        <v>630</v>
      </c>
      <c r="C730" s="5" t="s">
        <v>631</v>
      </c>
      <c r="D730" s="5" t="s">
        <v>118</v>
      </c>
      <c r="E730" s="5" t="s">
        <v>2785</v>
      </c>
      <c r="F730" s="5" t="s">
        <v>2756</v>
      </c>
      <c r="G730" s="5">
        <v>1</v>
      </c>
      <c r="H730" s="5" t="s">
        <v>2864</v>
      </c>
      <c r="I730" s="5" t="str">
        <f>IF(INDEX(Manual_Review!$O$6:$O$238,U730)="","",INDEX(Manual_Review!$O$6:$O$238,U730))</f>
        <v/>
      </c>
      <c r="J730" s="5" t="str">
        <f t="shared" si="22"/>
        <v>AI provisional</v>
      </c>
      <c r="K730" s="5" t="str">
        <f t="shared" si="23"/>
        <v>U</v>
      </c>
      <c r="L730" s="5" t="s">
        <v>640</v>
      </c>
      <c r="M730" s="5" t="s">
        <v>4402</v>
      </c>
      <c r="N730" s="5" t="s">
        <v>4395</v>
      </c>
      <c r="O730" s="5" t="s">
        <v>2872</v>
      </c>
      <c r="P730" s="5" t="s">
        <v>2858</v>
      </c>
      <c r="Q730" s="11">
        <v>46306.5</v>
      </c>
      <c r="R730" s="6"/>
      <c r="S730" s="6"/>
      <c r="T730" s="6"/>
      <c r="U730" s="5">
        <f>MATCH(B730,Manual_Review!$A$6:$A$238,0)</f>
        <v>46</v>
      </c>
      <c r="V730" s="5" t="str">
        <f>IF(INDEX(Manual_Review!$G$6:$G$238,U730)="","",INDEX(Manual_Review!$G$6:$G$238,U730))</f>
        <v/>
      </c>
      <c r="W730" s="11" t="str">
        <f>IF(INDEX(Manual_Review!$H$6:$H$238,U730)="","",INDEX(Manual_Review!$H$6:$H$238,U730))</f>
        <v/>
      </c>
      <c r="X730" s="5" t="str">
        <f>IF(INDEX(Manual_Review!$I$6:$I$238,U730)="","",INDEX(Manual_Review!$I$6:$I$238,U730))</f>
        <v/>
      </c>
      <c r="Y730" s="5" t="s">
        <v>2859</v>
      </c>
    </row>
    <row r="731" spans="1:25" ht="38.25">
      <c r="A731" s="5" t="s">
        <v>4403</v>
      </c>
      <c r="B731" s="5" t="s">
        <v>630</v>
      </c>
      <c r="C731" s="5" t="s">
        <v>631</v>
      </c>
      <c r="D731" s="5" t="s">
        <v>118</v>
      </c>
      <c r="E731" s="5" t="s">
        <v>2786</v>
      </c>
      <c r="F731" s="5" t="s">
        <v>2756</v>
      </c>
      <c r="G731" s="5">
        <v>1</v>
      </c>
      <c r="H731" s="5" t="s">
        <v>2864</v>
      </c>
      <c r="I731" s="5" t="str">
        <f>IF(INDEX(Manual_Review!$P$6:$P$238,U731)="","",INDEX(Manual_Review!$P$6:$P$238,U731))</f>
        <v/>
      </c>
      <c r="J731" s="5" t="str">
        <f t="shared" si="22"/>
        <v>AI provisional</v>
      </c>
      <c r="K731" s="5" t="str">
        <f t="shared" si="23"/>
        <v>U</v>
      </c>
      <c r="L731" s="5" t="s">
        <v>640</v>
      </c>
      <c r="M731" s="5" t="s">
        <v>4404</v>
      </c>
      <c r="N731" s="5" t="s">
        <v>4395</v>
      </c>
      <c r="O731" s="5" t="s">
        <v>2874</v>
      </c>
      <c r="P731" s="5" t="s">
        <v>2858</v>
      </c>
      <c r="Q731" s="11">
        <v>46306.5</v>
      </c>
      <c r="R731" s="6"/>
      <c r="S731" s="6"/>
      <c r="T731" s="6"/>
      <c r="U731" s="5">
        <f>MATCH(B731,Manual_Review!$A$6:$A$238,0)</f>
        <v>46</v>
      </c>
      <c r="V731" s="5" t="str">
        <f>IF(INDEX(Manual_Review!$G$6:$G$238,U731)="","",INDEX(Manual_Review!$G$6:$G$238,U731))</f>
        <v/>
      </c>
      <c r="W731" s="11" t="str">
        <f>IF(INDEX(Manual_Review!$H$6:$H$238,U731)="","",INDEX(Manual_Review!$H$6:$H$238,U731))</f>
        <v/>
      </c>
      <c r="X731" s="5" t="str">
        <f>IF(INDEX(Manual_Review!$I$6:$I$238,U731)="","",INDEX(Manual_Review!$I$6:$I$238,U731))</f>
        <v/>
      </c>
      <c r="Y731" s="5" t="s">
        <v>2859</v>
      </c>
    </row>
    <row r="732" spans="1:25" ht="38.25">
      <c r="A732" s="5" t="s">
        <v>4405</v>
      </c>
      <c r="B732" s="5" t="s">
        <v>630</v>
      </c>
      <c r="C732" s="5" t="s">
        <v>631</v>
      </c>
      <c r="D732" s="5" t="s">
        <v>118</v>
      </c>
      <c r="E732" s="5" t="s">
        <v>2787</v>
      </c>
      <c r="F732" s="5" t="s">
        <v>2758</v>
      </c>
      <c r="G732" s="5">
        <v>1</v>
      </c>
      <c r="H732" s="5" t="s">
        <v>2864</v>
      </c>
      <c r="I732" s="5" t="str">
        <f>IF(INDEX(Manual_Review!$Q$6:$Q$238,U732)="","",INDEX(Manual_Review!$Q$6:$Q$238,U732))</f>
        <v/>
      </c>
      <c r="J732" s="5" t="str">
        <f t="shared" si="22"/>
        <v>AI provisional</v>
      </c>
      <c r="K732" s="5" t="str">
        <f t="shared" si="23"/>
        <v>U</v>
      </c>
      <c r="L732" s="5" t="s">
        <v>640</v>
      </c>
      <c r="M732" s="5" t="s">
        <v>4406</v>
      </c>
      <c r="N732" s="5" t="s">
        <v>4395</v>
      </c>
      <c r="O732" s="5" t="s">
        <v>2877</v>
      </c>
      <c r="P732" s="5" t="s">
        <v>2858</v>
      </c>
      <c r="Q732" s="11">
        <v>46306.5</v>
      </c>
      <c r="R732" s="6"/>
      <c r="S732" s="6"/>
      <c r="T732" s="6"/>
      <c r="U732" s="5">
        <f>MATCH(B732,Manual_Review!$A$6:$A$238,0)</f>
        <v>46</v>
      </c>
      <c r="V732" s="5" t="str">
        <f>IF(INDEX(Manual_Review!$G$6:$G$238,U732)="","",INDEX(Manual_Review!$G$6:$G$238,U732))</f>
        <v/>
      </c>
      <c r="W732" s="11" t="str">
        <f>IF(INDEX(Manual_Review!$H$6:$H$238,U732)="","",INDEX(Manual_Review!$H$6:$H$238,U732))</f>
        <v/>
      </c>
      <c r="X732" s="5" t="str">
        <f>IF(INDEX(Manual_Review!$I$6:$I$238,U732)="","",INDEX(Manual_Review!$I$6:$I$238,U732))</f>
        <v/>
      </c>
      <c r="Y732" s="5" t="s">
        <v>2859</v>
      </c>
    </row>
    <row r="733" spans="1:25" ht="38.25">
      <c r="A733" s="5" t="s">
        <v>4407</v>
      </c>
      <c r="B733" s="5" t="s">
        <v>630</v>
      </c>
      <c r="C733" s="5" t="s">
        <v>631</v>
      </c>
      <c r="D733" s="5" t="s">
        <v>118</v>
      </c>
      <c r="E733" s="5" t="s">
        <v>2788</v>
      </c>
      <c r="F733" s="5" t="s">
        <v>2758</v>
      </c>
      <c r="G733" s="5">
        <v>1</v>
      </c>
      <c r="H733" s="5" t="s">
        <v>2854</v>
      </c>
      <c r="I733" s="5" t="str">
        <f>IF(INDEX(Manual_Review!$R$6:$R$238,U733)="","",INDEX(Manual_Review!$R$6:$R$238,U733))</f>
        <v/>
      </c>
      <c r="J733" s="5" t="str">
        <f t="shared" si="22"/>
        <v>AI provisional</v>
      </c>
      <c r="K733" s="5" t="str">
        <f t="shared" si="23"/>
        <v>Y</v>
      </c>
      <c r="L733" s="5" t="s">
        <v>640</v>
      </c>
      <c r="M733" s="5" t="s">
        <v>4408</v>
      </c>
      <c r="N733" s="5" t="s">
        <v>4395</v>
      </c>
      <c r="O733" s="5" t="s">
        <v>3067</v>
      </c>
      <c r="P733" s="5" t="s">
        <v>2858</v>
      </c>
      <c r="Q733" s="11">
        <v>46306.5</v>
      </c>
      <c r="R733" s="6"/>
      <c r="S733" s="6"/>
      <c r="T733" s="6"/>
      <c r="U733" s="5">
        <f>MATCH(B733,Manual_Review!$A$6:$A$238,0)</f>
        <v>46</v>
      </c>
      <c r="V733" s="5" t="str">
        <f>IF(INDEX(Manual_Review!$G$6:$G$238,U733)="","",INDEX(Manual_Review!$G$6:$G$238,U733))</f>
        <v/>
      </c>
      <c r="W733" s="11" t="str">
        <f>IF(INDEX(Manual_Review!$H$6:$H$238,U733)="","",INDEX(Manual_Review!$H$6:$H$238,U733))</f>
        <v/>
      </c>
      <c r="X733" s="5" t="str">
        <f>IF(INDEX(Manual_Review!$I$6:$I$238,U733)="","",INDEX(Manual_Review!$I$6:$I$238,U733))</f>
        <v/>
      </c>
      <c r="Y733" s="5" t="s">
        <v>2859</v>
      </c>
    </row>
    <row r="734" spans="1:25" ht="38.25">
      <c r="A734" s="5" t="s">
        <v>4409</v>
      </c>
      <c r="B734" s="5" t="s">
        <v>630</v>
      </c>
      <c r="C734" s="5" t="s">
        <v>631</v>
      </c>
      <c r="D734" s="5" t="s">
        <v>118</v>
      </c>
      <c r="E734" s="5" t="s">
        <v>2789</v>
      </c>
      <c r="F734" s="5" t="s">
        <v>2758</v>
      </c>
      <c r="G734" s="5">
        <v>1</v>
      </c>
      <c r="H734" s="5" t="s">
        <v>2854</v>
      </c>
      <c r="I734" s="5" t="str">
        <f>IF(INDEX(Manual_Review!$S$6:$S$238,U734)="","",INDEX(Manual_Review!$S$6:$S$238,U734))</f>
        <v/>
      </c>
      <c r="J734" s="5" t="str">
        <f t="shared" si="22"/>
        <v>AI provisional</v>
      </c>
      <c r="K734" s="5" t="str">
        <f t="shared" si="23"/>
        <v>Y</v>
      </c>
      <c r="L734" s="5" t="s">
        <v>640</v>
      </c>
      <c r="M734" s="5" t="s">
        <v>4410</v>
      </c>
      <c r="N734" s="5" t="s">
        <v>4395</v>
      </c>
      <c r="O734" s="5" t="s">
        <v>3178</v>
      </c>
      <c r="P734" s="5" t="s">
        <v>2858</v>
      </c>
      <c r="Q734" s="11">
        <v>46306.5</v>
      </c>
      <c r="R734" s="6"/>
      <c r="S734" s="6"/>
      <c r="T734" s="6"/>
      <c r="U734" s="5">
        <f>MATCH(B734,Manual_Review!$A$6:$A$238,0)</f>
        <v>46</v>
      </c>
      <c r="V734" s="5" t="str">
        <f>IF(INDEX(Manual_Review!$G$6:$G$238,U734)="","",INDEX(Manual_Review!$G$6:$G$238,U734))</f>
        <v/>
      </c>
      <c r="W734" s="11" t="str">
        <f>IF(INDEX(Manual_Review!$H$6:$H$238,U734)="","",INDEX(Manual_Review!$H$6:$H$238,U734))</f>
        <v/>
      </c>
      <c r="X734" s="5" t="str">
        <f>IF(INDEX(Manual_Review!$I$6:$I$238,U734)="","",INDEX(Manual_Review!$I$6:$I$238,U734))</f>
        <v/>
      </c>
      <c r="Y734" s="5" t="s">
        <v>2859</v>
      </c>
    </row>
    <row r="735" spans="1:25" ht="38.25">
      <c r="A735" s="5" t="s">
        <v>4411</v>
      </c>
      <c r="B735" s="5" t="s">
        <v>630</v>
      </c>
      <c r="C735" s="5" t="s">
        <v>631</v>
      </c>
      <c r="D735" s="5" t="s">
        <v>118</v>
      </c>
      <c r="E735" s="5" t="s">
        <v>2790</v>
      </c>
      <c r="F735" s="5" t="s">
        <v>2760</v>
      </c>
      <c r="G735" s="5">
        <v>1</v>
      </c>
      <c r="H735" s="5" t="s">
        <v>2854</v>
      </c>
      <c r="I735" s="5" t="str">
        <f>IF(INDEX(Manual_Review!$T$6:$T$238,U735)="","",INDEX(Manual_Review!$T$6:$T$238,U735))</f>
        <v/>
      </c>
      <c r="J735" s="5" t="str">
        <f t="shared" si="22"/>
        <v>AI provisional</v>
      </c>
      <c r="K735" s="5" t="str">
        <f t="shared" si="23"/>
        <v>Y</v>
      </c>
      <c r="L735" s="5" t="s">
        <v>640</v>
      </c>
      <c r="M735" s="5" t="s">
        <v>4412</v>
      </c>
      <c r="N735" s="5" t="s">
        <v>4395</v>
      </c>
      <c r="O735" s="5" t="s">
        <v>2976</v>
      </c>
      <c r="P735" s="5" t="s">
        <v>2858</v>
      </c>
      <c r="Q735" s="11">
        <v>46306.5</v>
      </c>
      <c r="R735" s="6"/>
      <c r="S735" s="6"/>
      <c r="T735" s="6"/>
      <c r="U735" s="5">
        <f>MATCH(B735,Manual_Review!$A$6:$A$238,0)</f>
        <v>46</v>
      </c>
      <c r="V735" s="5" t="str">
        <f>IF(INDEX(Manual_Review!$G$6:$G$238,U735)="","",INDEX(Manual_Review!$G$6:$G$238,U735))</f>
        <v/>
      </c>
      <c r="W735" s="11" t="str">
        <f>IF(INDEX(Manual_Review!$H$6:$H$238,U735)="","",INDEX(Manual_Review!$H$6:$H$238,U735))</f>
        <v/>
      </c>
      <c r="X735" s="5" t="str">
        <f>IF(INDEX(Manual_Review!$I$6:$I$238,U735)="","",INDEX(Manual_Review!$I$6:$I$238,U735))</f>
        <v/>
      </c>
      <c r="Y735" s="5" t="s">
        <v>2859</v>
      </c>
    </row>
    <row r="736" spans="1:25" ht="38.25">
      <c r="A736" s="5" t="s">
        <v>4413</v>
      </c>
      <c r="B736" s="5" t="s">
        <v>630</v>
      </c>
      <c r="C736" s="5" t="s">
        <v>631</v>
      </c>
      <c r="D736" s="5" t="s">
        <v>118</v>
      </c>
      <c r="E736" s="5" t="s">
        <v>2791</v>
      </c>
      <c r="F736" s="5" t="s">
        <v>2760</v>
      </c>
      <c r="G736" s="5">
        <v>1</v>
      </c>
      <c r="H736" s="5" t="s">
        <v>2854</v>
      </c>
      <c r="I736" s="5" t="str">
        <f>IF(INDEX(Manual_Review!$U$6:$U$238,U736)="","",INDEX(Manual_Review!$U$6:$U$238,U736))</f>
        <v/>
      </c>
      <c r="J736" s="5" t="str">
        <f t="shared" si="22"/>
        <v>AI provisional</v>
      </c>
      <c r="K736" s="5" t="str">
        <f t="shared" si="23"/>
        <v>Y</v>
      </c>
      <c r="L736" s="5" t="s">
        <v>640</v>
      </c>
      <c r="M736" s="5" t="s">
        <v>4414</v>
      </c>
      <c r="N736" s="5" t="s">
        <v>4395</v>
      </c>
      <c r="O736" s="5" t="s">
        <v>3380</v>
      </c>
      <c r="P736" s="5" t="s">
        <v>2858</v>
      </c>
      <c r="Q736" s="11">
        <v>46306.5</v>
      </c>
      <c r="R736" s="6"/>
      <c r="S736" s="6"/>
      <c r="T736" s="6"/>
      <c r="U736" s="5">
        <f>MATCH(B736,Manual_Review!$A$6:$A$238,0)</f>
        <v>46</v>
      </c>
      <c r="V736" s="5" t="str">
        <f>IF(INDEX(Manual_Review!$G$6:$G$238,U736)="","",INDEX(Manual_Review!$G$6:$G$238,U736))</f>
        <v/>
      </c>
      <c r="W736" s="11" t="str">
        <f>IF(INDEX(Manual_Review!$H$6:$H$238,U736)="","",INDEX(Manual_Review!$H$6:$H$238,U736))</f>
        <v/>
      </c>
      <c r="X736" s="5" t="str">
        <f>IF(INDEX(Manual_Review!$I$6:$I$238,U736)="","",INDEX(Manual_Review!$I$6:$I$238,U736))</f>
        <v/>
      </c>
      <c r="Y736" s="5" t="s">
        <v>2859</v>
      </c>
    </row>
    <row r="737" spans="1:25" ht="38.25">
      <c r="A737" s="5" t="s">
        <v>4415</v>
      </c>
      <c r="B737" s="5" t="s">
        <v>630</v>
      </c>
      <c r="C737" s="5" t="s">
        <v>631</v>
      </c>
      <c r="D737" s="5" t="s">
        <v>118</v>
      </c>
      <c r="E737" s="5" t="s">
        <v>2792</v>
      </c>
      <c r="F737" s="5" t="s">
        <v>2762</v>
      </c>
      <c r="G737" s="5">
        <v>1</v>
      </c>
      <c r="H737" s="5" t="s">
        <v>2864</v>
      </c>
      <c r="I737" s="5" t="str">
        <f>IF(INDEX(Manual_Review!$V$6:$V$238,U737)="","",INDEX(Manual_Review!$V$6:$V$238,U737))</f>
        <v/>
      </c>
      <c r="J737" s="5" t="str">
        <f t="shared" si="22"/>
        <v>AI provisional</v>
      </c>
      <c r="K737" s="5" t="str">
        <f t="shared" si="23"/>
        <v>U</v>
      </c>
      <c r="L737" s="5" t="s">
        <v>640</v>
      </c>
      <c r="M737" s="5" t="s">
        <v>4416</v>
      </c>
      <c r="N737" s="5" t="s">
        <v>4395</v>
      </c>
      <c r="O737" s="5" t="s">
        <v>2891</v>
      </c>
      <c r="P737" s="5" t="s">
        <v>2858</v>
      </c>
      <c r="Q737" s="11">
        <v>46306.5</v>
      </c>
      <c r="R737" s="6"/>
      <c r="S737" s="6"/>
      <c r="T737" s="6"/>
      <c r="U737" s="5">
        <f>MATCH(B737,Manual_Review!$A$6:$A$238,0)</f>
        <v>46</v>
      </c>
      <c r="V737" s="5" t="str">
        <f>IF(INDEX(Manual_Review!$G$6:$G$238,U737)="","",INDEX(Manual_Review!$G$6:$G$238,U737))</f>
        <v/>
      </c>
      <c r="W737" s="11" t="str">
        <f>IF(INDEX(Manual_Review!$H$6:$H$238,U737)="","",INDEX(Manual_Review!$H$6:$H$238,U737))</f>
        <v/>
      </c>
      <c r="X737" s="5" t="str">
        <f>IF(INDEX(Manual_Review!$I$6:$I$238,U737)="","",INDEX(Manual_Review!$I$6:$I$238,U737))</f>
        <v/>
      </c>
      <c r="Y737" s="5" t="s">
        <v>2859</v>
      </c>
    </row>
    <row r="738" spans="1:25" ht="38.25">
      <c r="A738" s="5" t="s">
        <v>4417</v>
      </c>
      <c r="B738" s="5" t="s">
        <v>630</v>
      </c>
      <c r="C738" s="5" t="s">
        <v>631</v>
      </c>
      <c r="D738" s="5" t="s">
        <v>118</v>
      </c>
      <c r="E738" s="5" t="s">
        <v>2793</v>
      </c>
      <c r="F738" s="5" t="s">
        <v>2762</v>
      </c>
      <c r="G738" s="5">
        <v>1</v>
      </c>
      <c r="H738" s="5" t="s">
        <v>2854</v>
      </c>
      <c r="I738" s="5" t="str">
        <f>IF(INDEX(Manual_Review!$W$6:$W$238,U738)="","",INDEX(Manual_Review!$W$6:$W$238,U738))</f>
        <v/>
      </c>
      <c r="J738" s="5" t="str">
        <f t="shared" si="22"/>
        <v>AI provisional</v>
      </c>
      <c r="K738" s="5" t="str">
        <f t="shared" si="23"/>
        <v>Y</v>
      </c>
      <c r="L738" s="5" t="s">
        <v>640</v>
      </c>
      <c r="M738" s="5" t="s">
        <v>4416</v>
      </c>
      <c r="N738" s="5" t="s">
        <v>4395</v>
      </c>
      <c r="O738" s="5" t="s">
        <v>3077</v>
      </c>
      <c r="P738" s="5" t="s">
        <v>2858</v>
      </c>
      <c r="Q738" s="11">
        <v>46306.5</v>
      </c>
      <c r="R738" s="6"/>
      <c r="S738" s="6"/>
      <c r="T738" s="6"/>
      <c r="U738" s="5">
        <f>MATCH(B738,Manual_Review!$A$6:$A$238,0)</f>
        <v>46</v>
      </c>
      <c r="V738" s="5" t="str">
        <f>IF(INDEX(Manual_Review!$G$6:$G$238,U738)="","",INDEX(Manual_Review!$G$6:$G$238,U738))</f>
        <v/>
      </c>
      <c r="W738" s="11" t="str">
        <f>IF(INDEX(Manual_Review!$H$6:$H$238,U738)="","",INDEX(Manual_Review!$H$6:$H$238,U738))</f>
        <v/>
      </c>
      <c r="X738" s="5" t="str">
        <f>IF(INDEX(Manual_Review!$I$6:$I$238,U738)="","",INDEX(Manual_Review!$I$6:$I$238,U738))</f>
        <v/>
      </c>
      <c r="Y738" s="5" t="s">
        <v>2859</v>
      </c>
    </row>
    <row r="739" spans="1:25" ht="38.25">
      <c r="A739" s="5" t="s">
        <v>4418</v>
      </c>
      <c r="B739" s="5" t="s">
        <v>630</v>
      </c>
      <c r="C739" s="5" t="s">
        <v>631</v>
      </c>
      <c r="D739" s="5" t="s">
        <v>118</v>
      </c>
      <c r="E739" s="5" t="s">
        <v>2794</v>
      </c>
      <c r="F739" s="5" t="s">
        <v>2764</v>
      </c>
      <c r="G739" s="5">
        <v>1</v>
      </c>
      <c r="H739" s="5" t="s">
        <v>2854</v>
      </c>
      <c r="I739" s="5" t="str">
        <f>IF(INDEX(Manual_Review!$X$6:$X$238,U739)="","",INDEX(Manual_Review!$X$6:$X$238,U739))</f>
        <v/>
      </c>
      <c r="J739" s="5" t="str">
        <f t="shared" si="22"/>
        <v>AI provisional</v>
      </c>
      <c r="K739" s="5" t="str">
        <f t="shared" si="23"/>
        <v>Y</v>
      </c>
      <c r="L739" s="5" t="s">
        <v>640</v>
      </c>
      <c r="M739" s="5" t="s">
        <v>4416</v>
      </c>
      <c r="N739" s="5" t="s">
        <v>4395</v>
      </c>
      <c r="O739" s="5" t="s">
        <v>2984</v>
      </c>
      <c r="P739" s="5" t="s">
        <v>2858</v>
      </c>
      <c r="Q739" s="11">
        <v>46306.5</v>
      </c>
      <c r="R739" s="6"/>
      <c r="S739" s="6"/>
      <c r="T739" s="6"/>
      <c r="U739" s="5">
        <f>MATCH(B739,Manual_Review!$A$6:$A$238,0)</f>
        <v>46</v>
      </c>
      <c r="V739" s="5" t="str">
        <f>IF(INDEX(Manual_Review!$G$6:$G$238,U739)="","",INDEX(Manual_Review!$G$6:$G$238,U739))</f>
        <v/>
      </c>
      <c r="W739" s="11" t="str">
        <f>IF(INDEX(Manual_Review!$H$6:$H$238,U739)="","",INDEX(Manual_Review!$H$6:$H$238,U739))</f>
        <v/>
      </c>
      <c r="X739" s="5" t="str">
        <f>IF(INDEX(Manual_Review!$I$6:$I$238,U739)="","",INDEX(Manual_Review!$I$6:$I$238,U739))</f>
        <v/>
      </c>
      <c r="Y739" s="5" t="s">
        <v>2859</v>
      </c>
    </row>
    <row r="740" spans="1:25" ht="38.25">
      <c r="A740" s="5" t="s">
        <v>4419</v>
      </c>
      <c r="B740" s="5" t="s">
        <v>630</v>
      </c>
      <c r="C740" s="5" t="s">
        <v>631</v>
      </c>
      <c r="D740" s="5" t="s">
        <v>118</v>
      </c>
      <c r="E740" s="5" t="s">
        <v>2795</v>
      </c>
      <c r="F740" s="5" t="s">
        <v>2764</v>
      </c>
      <c r="G740" s="5">
        <v>1</v>
      </c>
      <c r="H740" s="5" t="s">
        <v>2864</v>
      </c>
      <c r="I740" s="5" t="str">
        <f>IF(INDEX(Manual_Review!$Y$6:$Y$238,U740)="","",INDEX(Manual_Review!$Y$6:$Y$238,U740))</f>
        <v/>
      </c>
      <c r="J740" s="5" t="str">
        <f t="shared" si="22"/>
        <v>AI provisional</v>
      </c>
      <c r="K740" s="5" t="str">
        <f t="shared" si="23"/>
        <v>U</v>
      </c>
      <c r="L740" s="5" t="s">
        <v>640</v>
      </c>
      <c r="M740" s="5" t="s">
        <v>4397</v>
      </c>
      <c r="N740" s="5" t="s">
        <v>4395</v>
      </c>
      <c r="O740" s="5" t="s">
        <v>2897</v>
      </c>
      <c r="P740" s="5" t="s">
        <v>2858</v>
      </c>
      <c r="Q740" s="11">
        <v>46306.5</v>
      </c>
      <c r="R740" s="6"/>
      <c r="S740" s="6"/>
      <c r="T740" s="6"/>
      <c r="U740" s="5">
        <f>MATCH(B740,Manual_Review!$A$6:$A$238,0)</f>
        <v>46</v>
      </c>
      <c r="V740" s="5" t="str">
        <f>IF(INDEX(Manual_Review!$G$6:$G$238,U740)="","",INDEX(Manual_Review!$G$6:$G$238,U740))</f>
        <v/>
      </c>
      <c r="W740" s="11" t="str">
        <f>IF(INDEX(Manual_Review!$H$6:$H$238,U740)="","",INDEX(Manual_Review!$H$6:$H$238,U740))</f>
        <v/>
      </c>
      <c r="X740" s="5" t="str">
        <f>IF(INDEX(Manual_Review!$I$6:$I$238,U740)="","",INDEX(Manual_Review!$I$6:$I$238,U740))</f>
        <v/>
      </c>
      <c r="Y740" s="5" t="s">
        <v>2859</v>
      </c>
    </row>
    <row r="741" spans="1:25" ht="38.25">
      <c r="A741" s="5" t="s">
        <v>4420</v>
      </c>
      <c r="B741" s="5" t="s">
        <v>630</v>
      </c>
      <c r="C741" s="5" t="s">
        <v>631</v>
      </c>
      <c r="D741" s="5" t="s">
        <v>118</v>
      </c>
      <c r="E741" s="5" t="s">
        <v>2796</v>
      </c>
      <c r="F741" s="5" t="s">
        <v>2764</v>
      </c>
      <c r="G741" s="5">
        <v>1</v>
      </c>
      <c r="H741" s="5" t="s">
        <v>2864</v>
      </c>
      <c r="I741" s="5" t="str">
        <f>IF(INDEX(Manual_Review!$Z$6:$Z$238,U741)="","",INDEX(Manual_Review!$Z$6:$Z$238,U741))</f>
        <v/>
      </c>
      <c r="J741" s="5" t="str">
        <f t="shared" si="22"/>
        <v>AI provisional</v>
      </c>
      <c r="K741" s="5" t="str">
        <f t="shared" si="23"/>
        <v>U</v>
      </c>
      <c r="L741" s="5" t="s">
        <v>640</v>
      </c>
      <c r="M741" s="5" t="s">
        <v>4410</v>
      </c>
      <c r="N741" s="5" t="s">
        <v>4395</v>
      </c>
      <c r="O741" s="5" t="s">
        <v>2899</v>
      </c>
      <c r="P741" s="5" t="s">
        <v>2858</v>
      </c>
      <c r="Q741" s="11">
        <v>46306.5</v>
      </c>
      <c r="R741" s="6"/>
      <c r="S741" s="6"/>
      <c r="T741" s="6"/>
      <c r="U741" s="5">
        <f>MATCH(B741,Manual_Review!$A$6:$A$238,0)</f>
        <v>46</v>
      </c>
      <c r="V741" s="5" t="str">
        <f>IF(INDEX(Manual_Review!$G$6:$G$238,U741)="","",INDEX(Manual_Review!$G$6:$G$238,U741))</f>
        <v/>
      </c>
      <c r="W741" s="11" t="str">
        <f>IF(INDEX(Manual_Review!$H$6:$H$238,U741)="","",INDEX(Manual_Review!$H$6:$H$238,U741))</f>
        <v/>
      </c>
      <c r="X741" s="5" t="str">
        <f>IF(INDEX(Manual_Review!$I$6:$I$238,U741)="","",INDEX(Manual_Review!$I$6:$I$238,U741))</f>
        <v/>
      </c>
      <c r="Y741" s="5" t="s">
        <v>2859</v>
      </c>
    </row>
    <row r="742" spans="1:25" ht="25.5">
      <c r="A742" s="5" t="s">
        <v>4421</v>
      </c>
      <c r="B742" s="5" t="s">
        <v>74</v>
      </c>
      <c r="C742" s="5" t="s">
        <v>642</v>
      </c>
      <c r="D742" s="5" t="s">
        <v>118</v>
      </c>
      <c r="E742" s="5" t="s">
        <v>2781</v>
      </c>
      <c r="F742" s="5" t="s">
        <v>2754</v>
      </c>
      <c r="G742" s="5">
        <v>1</v>
      </c>
      <c r="H742" s="5" t="s">
        <v>2854</v>
      </c>
      <c r="I742" s="5" t="str">
        <f>IF(INDEX(Manual_Review!$K$6:$K$238,U742)="","",INDEX(Manual_Review!$K$6:$K$238,U742))</f>
        <v/>
      </c>
      <c r="J742" s="5" t="str">
        <f t="shared" si="22"/>
        <v>AI provisional</v>
      </c>
      <c r="K742" s="5" t="str">
        <f t="shared" si="23"/>
        <v>Y</v>
      </c>
      <c r="L742" s="5" t="s">
        <v>650</v>
      </c>
      <c r="M742" s="5" t="s">
        <v>4422</v>
      </c>
      <c r="N742" s="5" t="s">
        <v>4423</v>
      </c>
      <c r="O742" s="5" t="s">
        <v>3089</v>
      </c>
      <c r="P742" s="5" t="s">
        <v>3090</v>
      </c>
      <c r="Q742" s="11">
        <v>46306.5</v>
      </c>
      <c r="R742" s="6"/>
      <c r="S742" s="6"/>
      <c r="T742" s="6"/>
      <c r="U742" s="5">
        <f>MATCH(B742,Manual_Review!$A$6:$A$238,0)</f>
        <v>47</v>
      </c>
      <c r="V742" s="5" t="str">
        <f>IF(INDEX(Manual_Review!$G$6:$G$238,U742)="","",INDEX(Manual_Review!$G$6:$G$238,U742))</f>
        <v/>
      </c>
      <c r="W742" s="11" t="str">
        <f>IF(INDEX(Manual_Review!$H$6:$H$238,U742)="","",INDEX(Manual_Review!$H$6:$H$238,U742))</f>
        <v/>
      </c>
      <c r="X742" s="5" t="str">
        <f>IF(INDEX(Manual_Review!$I$6:$I$238,U742)="","",INDEX(Manual_Review!$I$6:$I$238,U742))</f>
        <v/>
      </c>
      <c r="Y742" s="5" t="s">
        <v>2859</v>
      </c>
    </row>
    <row r="743" spans="1:25" ht="25.5">
      <c r="A743" s="5" t="s">
        <v>4424</v>
      </c>
      <c r="B743" s="5" t="s">
        <v>74</v>
      </c>
      <c r="C743" s="5" t="s">
        <v>642</v>
      </c>
      <c r="D743" s="5" t="s">
        <v>118</v>
      </c>
      <c r="E743" s="5" t="s">
        <v>2782</v>
      </c>
      <c r="F743" s="5" t="s">
        <v>2754</v>
      </c>
      <c r="G743" s="5">
        <v>1</v>
      </c>
      <c r="H743" s="5" t="s">
        <v>2854</v>
      </c>
      <c r="I743" s="5" t="str">
        <f>IF(INDEX(Manual_Review!$L$6:$L$238,U743)="","",INDEX(Manual_Review!$L$6:$L$238,U743))</f>
        <v/>
      </c>
      <c r="J743" s="5" t="str">
        <f t="shared" si="22"/>
        <v>AI provisional</v>
      </c>
      <c r="K743" s="5" t="str">
        <f t="shared" si="23"/>
        <v>Y</v>
      </c>
      <c r="L743" s="5" t="s">
        <v>650</v>
      </c>
      <c r="M743" s="5" t="s">
        <v>4425</v>
      </c>
      <c r="N743" s="5" t="s">
        <v>4426</v>
      </c>
      <c r="O743" s="5" t="s">
        <v>3089</v>
      </c>
      <c r="P743" s="5" t="s">
        <v>3090</v>
      </c>
      <c r="Q743" s="11">
        <v>46306.5</v>
      </c>
      <c r="R743" s="6"/>
      <c r="S743" s="6"/>
      <c r="T743" s="6"/>
      <c r="U743" s="5">
        <f>MATCH(B743,Manual_Review!$A$6:$A$238,0)</f>
        <v>47</v>
      </c>
      <c r="V743" s="5" t="str">
        <f>IF(INDEX(Manual_Review!$G$6:$G$238,U743)="","",INDEX(Manual_Review!$G$6:$G$238,U743))</f>
        <v/>
      </c>
      <c r="W743" s="11" t="str">
        <f>IF(INDEX(Manual_Review!$H$6:$H$238,U743)="","",INDEX(Manual_Review!$H$6:$H$238,U743))</f>
        <v/>
      </c>
      <c r="X743" s="5" t="str">
        <f>IF(INDEX(Manual_Review!$I$6:$I$238,U743)="","",INDEX(Manual_Review!$I$6:$I$238,U743))</f>
        <v/>
      </c>
      <c r="Y743" s="5" t="s">
        <v>2859</v>
      </c>
    </row>
    <row r="744" spans="1:25" ht="25.5">
      <c r="A744" s="5" t="s">
        <v>4427</v>
      </c>
      <c r="B744" s="5" t="s">
        <v>74</v>
      </c>
      <c r="C744" s="5" t="s">
        <v>642</v>
      </c>
      <c r="D744" s="5" t="s">
        <v>118</v>
      </c>
      <c r="E744" s="5" t="s">
        <v>2783</v>
      </c>
      <c r="F744" s="5" t="s">
        <v>2754</v>
      </c>
      <c r="G744" s="5">
        <v>1</v>
      </c>
      <c r="H744" s="5" t="s">
        <v>2854</v>
      </c>
      <c r="I744" s="5" t="str">
        <f>IF(INDEX(Manual_Review!$M$6:$M$238,U744)="","",INDEX(Manual_Review!$M$6:$M$238,U744))</f>
        <v/>
      </c>
      <c r="J744" s="5" t="str">
        <f t="shared" si="22"/>
        <v>AI provisional</v>
      </c>
      <c r="K744" s="5" t="str">
        <f t="shared" si="23"/>
        <v>Y</v>
      </c>
      <c r="L744" s="5" t="s">
        <v>4428</v>
      </c>
      <c r="M744" s="5" t="s">
        <v>4429</v>
      </c>
      <c r="N744" s="5" t="s">
        <v>4430</v>
      </c>
      <c r="O744" s="5" t="s">
        <v>3089</v>
      </c>
      <c r="P744" s="5" t="s">
        <v>3090</v>
      </c>
      <c r="Q744" s="11">
        <v>46306.5</v>
      </c>
      <c r="R744" s="6"/>
      <c r="S744" s="6"/>
      <c r="T744" s="6"/>
      <c r="U744" s="5">
        <f>MATCH(B744,Manual_Review!$A$6:$A$238,0)</f>
        <v>47</v>
      </c>
      <c r="V744" s="5" t="str">
        <f>IF(INDEX(Manual_Review!$G$6:$G$238,U744)="","",INDEX(Manual_Review!$G$6:$G$238,U744))</f>
        <v/>
      </c>
      <c r="W744" s="11" t="str">
        <f>IF(INDEX(Manual_Review!$H$6:$H$238,U744)="","",INDEX(Manual_Review!$H$6:$H$238,U744))</f>
        <v/>
      </c>
      <c r="X744" s="5" t="str">
        <f>IF(INDEX(Manual_Review!$I$6:$I$238,U744)="","",INDEX(Manual_Review!$I$6:$I$238,U744))</f>
        <v/>
      </c>
      <c r="Y744" s="5" t="s">
        <v>2859</v>
      </c>
    </row>
    <row r="745" spans="1:25" ht="25.5">
      <c r="A745" s="5" t="s">
        <v>4431</v>
      </c>
      <c r="B745" s="5" t="s">
        <v>74</v>
      </c>
      <c r="C745" s="5" t="s">
        <v>642</v>
      </c>
      <c r="D745" s="5" t="s">
        <v>118</v>
      </c>
      <c r="E745" s="5" t="s">
        <v>2784</v>
      </c>
      <c r="F745" s="5" t="s">
        <v>2756</v>
      </c>
      <c r="G745" s="5">
        <v>1</v>
      </c>
      <c r="H745" s="5" t="s">
        <v>2854</v>
      </c>
      <c r="I745" s="5" t="str">
        <f>IF(INDEX(Manual_Review!$N$6:$N$238,U745)="","",INDEX(Manual_Review!$N$6:$N$238,U745))</f>
        <v/>
      </c>
      <c r="J745" s="5" t="str">
        <f t="shared" si="22"/>
        <v>AI provisional</v>
      </c>
      <c r="K745" s="5" t="str">
        <f t="shared" si="23"/>
        <v>Y</v>
      </c>
      <c r="L745" s="5" t="s">
        <v>651</v>
      </c>
      <c r="M745" s="5" t="s">
        <v>4432</v>
      </c>
      <c r="N745" s="5" t="s">
        <v>4433</v>
      </c>
      <c r="O745" s="5" t="s">
        <v>3089</v>
      </c>
      <c r="P745" s="5" t="s">
        <v>3090</v>
      </c>
      <c r="Q745" s="11">
        <v>46306.5</v>
      </c>
      <c r="R745" s="6"/>
      <c r="S745" s="6"/>
      <c r="T745" s="6"/>
      <c r="U745" s="5">
        <f>MATCH(B745,Manual_Review!$A$6:$A$238,0)</f>
        <v>47</v>
      </c>
      <c r="V745" s="5" t="str">
        <f>IF(INDEX(Manual_Review!$G$6:$G$238,U745)="","",INDEX(Manual_Review!$G$6:$G$238,U745))</f>
        <v/>
      </c>
      <c r="W745" s="11" t="str">
        <f>IF(INDEX(Manual_Review!$H$6:$H$238,U745)="","",INDEX(Manual_Review!$H$6:$H$238,U745))</f>
        <v/>
      </c>
      <c r="X745" s="5" t="str">
        <f>IF(INDEX(Manual_Review!$I$6:$I$238,U745)="","",INDEX(Manual_Review!$I$6:$I$238,U745))</f>
        <v/>
      </c>
      <c r="Y745" s="5" t="s">
        <v>2859</v>
      </c>
    </row>
    <row r="746" spans="1:25" ht="25.5">
      <c r="A746" s="5" t="s">
        <v>4434</v>
      </c>
      <c r="B746" s="5" t="s">
        <v>74</v>
      </c>
      <c r="C746" s="5" t="s">
        <v>642</v>
      </c>
      <c r="D746" s="5" t="s">
        <v>118</v>
      </c>
      <c r="E746" s="5" t="s">
        <v>2785</v>
      </c>
      <c r="F746" s="5" t="s">
        <v>2756</v>
      </c>
      <c r="G746" s="5">
        <v>1</v>
      </c>
      <c r="H746" s="5" t="s">
        <v>2854</v>
      </c>
      <c r="I746" s="5" t="str">
        <f>IF(INDEX(Manual_Review!$O$6:$O$238,U746)="","",INDEX(Manual_Review!$O$6:$O$238,U746))</f>
        <v/>
      </c>
      <c r="J746" s="5" t="str">
        <f t="shared" si="22"/>
        <v>AI provisional</v>
      </c>
      <c r="K746" s="5" t="str">
        <f t="shared" si="23"/>
        <v>Y</v>
      </c>
      <c r="L746" s="5" t="s">
        <v>651</v>
      </c>
      <c r="M746" s="5" t="s">
        <v>4432</v>
      </c>
      <c r="N746" s="5" t="s">
        <v>4435</v>
      </c>
      <c r="O746" s="5" t="s">
        <v>3089</v>
      </c>
      <c r="P746" s="5" t="s">
        <v>3090</v>
      </c>
      <c r="Q746" s="11">
        <v>46306.5</v>
      </c>
      <c r="R746" s="6"/>
      <c r="S746" s="6"/>
      <c r="T746" s="6"/>
      <c r="U746" s="5">
        <f>MATCH(B746,Manual_Review!$A$6:$A$238,0)</f>
        <v>47</v>
      </c>
      <c r="V746" s="5" t="str">
        <f>IF(INDEX(Manual_Review!$G$6:$G$238,U746)="","",INDEX(Manual_Review!$G$6:$G$238,U746))</f>
        <v/>
      </c>
      <c r="W746" s="11" t="str">
        <f>IF(INDEX(Manual_Review!$H$6:$H$238,U746)="","",INDEX(Manual_Review!$H$6:$H$238,U746))</f>
        <v/>
      </c>
      <c r="X746" s="5" t="str">
        <f>IF(INDEX(Manual_Review!$I$6:$I$238,U746)="","",INDEX(Manual_Review!$I$6:$I$238,U746))</f>
        <v/>
      </c>
      <c r="Y746" s="5" t="s">
        <v>2859</v>
      </c>
    </row>
    <row r="747" spans="1:25" ht="25.5">
      <c r="A747" s="5" t="s">
        <v>4436</v>
      </c>
      <c r="B747" s="5" t="s">
        <v>74</v>
      </c>
      <c r="C747" s="5" t="s">
        <v>642</v>
      </c>
      <c r="D747" s="5" t="s">
        <v>118</v>
      </c>
      <c r="E747" s="5" t="s">
        <v>2786</v>
      </c>
      <c r="F747" s="5" t="s">
        <v>2756</v>
      </c>
      <c r="G747" s="5">
        <v>1</v>
      </c>
      <c r="H747" s="5" t="s">
        <v>2854</v>
      </c>
      <c r="I747" s="5" t="str">
        <f>IF(INDEX(Manual_Review!$P$6:$P$238,U747)="","",INDEX(Manual_Review!$P$6:$P$238,U747))</f>
        <v/>
      </c>
      <c r="J747" s="5" t="str">
        <f t="shared" si="22"/>
        <v>AI provisional</v>
      </c>
      <c r="K747" s="5" t="str">
        <f t="shared" si="23"/>
        <v>Y</v>
      </c>
      <c r="L747" s="5" t="s">
        <v>651</v>
      </c>
      <c r="M747" s="5" t="s">
        <v>4437</v>
      </c>
      <c r="N747" s="5" t="s">
        <v>4438</v>
      </c>
      <c r="O747" s="5" t="s">
        <v>3089</v>
      </c>
      <c r="P747" s="5" t="s">
        <v>3090</v>
      </c>
      <c r="Q747" s="11">
        <v>46306.5</v>
      </c>
      <c r="R747" s="6"/>
      <c r="S747" s="6"/>
      <c r="T747" s="6"/>
      <c r="U747" s="5">
        <f>MATCH(B747,Manual_Review!$A$6:$A$238,0)</f>
        <v>47</v>
      </c>
      <c r="V747" s="5" t="str">
        <f>IF(INDEX(Manual_Review!$G$6:$G$238,U747)="","",INDEX(Manual_Review!$G$6:$G$238,U747))</f>
        <v/>
      </c>
      <c r="W747" s="11" t="str">
        <f>IF(INDEX(Manual_Review!$H$6:$H$238,U747)="","",INDEX(Manual_Review!$H$6:$H$238,U747))</f>
        <v/>
      </c>
      <c r="X747" s="5" t="str">
        <f>IF(INDEX(Manual_Review!$I$6:$I$238,U747)="","",INDEX(Manual_Review!$I$6:$I$238,U747))</f>
        <v/>
      </c>
      <c r="Y747" s="5" t="s">
        <v>2859</v>
      </c>
    </row>
    <row r="748" spans="1:25" ht="25.5">
      <c r="A748" s="5" t="s">
        <v>4439</v>
      </c>
      <c r="B748" s="5" t="s">
        <v>74</v>
      </c>
      <c r="C748" s="5" t="s">
        <v>642</v>
      </c>
      <c r="D748" s="5" t="s">
        <v>118</v>
      </c>
      <c r="E748" s="5" t="s">
        <v>2787</v>
      </c>
      <c r="F748" s="5" t="s">
        <v>2758</v>
      </c>
      <c r="G748" s="5">
        <v>1</v>
      </c>
      <c r="H748" s="5" t="s">
        <v>2854</v>
      </c>
      <c r="I748" s="5" t="str">
        <f>IF(INDEX(Manual_Review!$Q$6:$Q$238,U748)="","",INDEX(Manual_Review!$Q$6:$Q$238,U748))</f>
        <v/>
      </c>
      <c r="J748" s="5" t="str">
        <f t="shared" si="22"/>
        <v>AI provisional</v>
      </c>
      <c r="K748" s="5" t="str">
        <f t="shared" si="23"/>
        <v>Y</v>
      </c>
      <c r="L748" s="5" t="s">
        <v>651</v>
      </c>
      <c r="M748" s="5" t="s">
        <v>4440</v>
      </c>
      <c r="N748" s="5" t="s">
        <v>4441</v>
      </c>
      <c r="O748" s="5" t="s">
        <v>3089</v>
      </c>
      <c r="P748" s="5" t="s">
        <v>3090</v>
      </c>
      <c r="Q748" s="11">
        <v>46306.5</v>
      </c>
      <c r="R748" s="6"/>
      <c r="S748" s="6"/>
      <c r="T748" s="6"/>
      <c r="U748" s="5">
        <f>MATCH(B748,Manual_Review!$A$6:$A$238,0)</f>
        <v>47</v>
      </c>
      <c r="V748" s="5" t="str">
        <f>IF(INDEX(Manual_Review!$G$6:$G$238,U748)="","",INDEX(Manual_Review!$G$6:$G$238,U748))</f>
        <v/>
      </c>
      <c r="W748" s="11" t="str">
        <f>IF(INDEX(Manual_Review!$H$6:$H$238,U748)="","",INDEX(Manual_Review!$H$6:$H$238,U748))</f>
        <v/>
      </c>
      <c r="X748" s="5" t="str">
        <f>IF(INDEX(Manual_Review!$I$6:$I$238,U748)="","",INDEX(Manual_Review!$I$6:$I$238,U748))</f>
        <v/>
      </c>
      <c r="Y748" s="5" t="s">
        <v>2859</v>
      </c>
    </row>
    <row r="749" spans="1:25" ht="25.5">
      <c r="A749" s="5" t="s">
        <v>4442</v>
      </c>
      <c r="B749" s="5" t="s">
        <v>74</v>
      </c>
      <c r="C749" s="5" t="s">
        <v>642</v>
      </c>
      <c r="D749" s="5" t="s">
        <v>118</v>
      </c>
      <c r="E749" s="5" t="s">
        <v>2788</v>
      </c>
      <c r="F749" s="5" t="s">
        <v>2758</v>
      </c>
      <c r="G749" s="5">
        <v>1</v>
      </c>
      <c r="H749" s="5" t="s">
        <v>2854</v>
      </c>
      <c r="I749" s="5" t="str">
        <f>IF(INDEX(Manual_Review!$R$6:$R$238,U749)="","",INDEX(Manual_Review!$R$6:$R$238,U749))</f>
        <v/>
      </c>
      <c r="J749" s="5" t="str">
        <f t="shared" si="22"/>
        <v>AI provisional</v>
      </c>
      <c r="K749" s="5" t="str">
        <f t="shared" si="23"/>
        <v>Y</v>
      </c>
      <c r="L749" s="5" t="s">
        <v>4428</v>
      </c>
      <c r="M749" s="5" t="s">
        <v>4443</v>
      </c>
      <c r="N749" s="5" t="s">
        <v>4444</v>
      </c>
      <c r="O749" s="5" t="s">
        <v>3089</v>
      </c>
      <c r="P749" s="5" t="s">
        <v>3090</v>
      </c>
      <c r="Q749" s="11">
        <v>46306.5</v>
      </c>
      <c r="R749" s="6"/>
      <c r="S749" s="6"/>
      <c r="T749" s="6"/>
      <c r="U749" s="5">
        <f>MATCH(B749,Manual_Review!$A$6:$A$238,0)</f>
        <v>47</v>
      </c>
      <c r="V749" s="5" t="str">
        <f>IF(INDEX(Manual_Review!$G$6:$G$238,U749)="","",INDEX(Manual_Review!$G$6:$G$238,U749))</f>
        <v/>
      </c>
      <c r="W749" s="11" t="str">
        <f>IF(INDEX(Manual_Review!$H$6:$H$238,U749)="","",INDEX(Manual_Review!$H$6:$H$238,U749))</f>
        <v/>
      </c>
      <c r="X749" s="5" t="str">
        <f>IF(INDEX(Manual_Review!$I$6:$I$238,U749)="","",INDEX(Manual_Review!$I$6:$I$238,U749))</f>
        <v/>
      </c>
      <c r="Y749" s="5" t="s">
        <v>2859</v>
      </c>
    </row>
    <row r="750" spans="1:25" ht="25.5">
      <c r="A750" s="5" t="s">
        <v>4445</v>
      </c>
      <c r="B750" s="5" t="s">
        <v>74</v>
      </c>
      <c r="C750" s="5" t="s">
        <v>642</v>
      </c>
      <c r="D750" s="5" t="s">
        <v>118</v>
      </c>
      <c r="E750" s="5" t="s">
        <v>2789</v>
      </c>
      <c r="F750" s="5" t="s">
        <v>2758</v>
      </c>
      <c r="G750" s="5">
        <v>1</v>
      </c>
      <c r="H750" s="5" t="s">
        <v>2854</v>
      </c>
      <c r="I750" s="5" t="str">
        <f>IF(INDEX(Manual_Review!$S$6:$S$238,U750)="","",INDEX(Manual_Review!$S$6:$S$238,U750))</f>
        <v/>
      </c>
      <c r="J750" s="5" t="str">
        <f t="shared" si="22"/>
        <v>AI provisional</v>
      </c>
      <c r="K750" s="5" t="str">
        <f t="shared" si="23"/>
        <v>Y</v>
      </c>
      <c r="L750" s="5" t="s">
        <v>651</v>
      </c>
      <c r="M750" s="5" t="s">
        <v>4437</v>
      </c>
      <c r="N750" s="5" t="s">
        <v>4446</v>
      </c>
      <c r="O750" s="5" t="s">
        <v>3089</v>
      </c>
      <c r="P750" s="5" t="s">
        <v>3090</v>
      </c>
      <c r="Q750" s="11">
        <v>46306.5</v>
      </c>
      <c r="R750" s="6"/>
      <c r="S750" s="6"/>
      <c r="T750" s="6"/>
      <c r="U750" s="5">
        <f>MATCH(B750,Manual_Review!$A$6:$A$238,0)</f>
        <v>47</v>
      </c>
      <c r="V750" s="5" t="str">
        <f>IF(INDEX(Manual_Review!$G$6:$G$238,U750)="","",INDEX(Manual_Review!$G$6:$G$238,U750))</f>
        <v/>
      </c>
      <c r="W750" s="11" t="str">
        <f>IF(INDEX(Manual_Review!$H$6:$H$238,U750)="","",INDEX(Manual_Review!$H$6:$H$238,U750))</f>
        <v/>
      </c>
      <c r="X750" s="5" t="str">
        <f>IF(INDEX(Manual_Review!$I$6:$I$238,U750)="","",INDEX(Manual_Review!$I$6:$I$238,U750))</f>
        <v/>
      </c>
      <c r="Y750" s="5" t="s">
        <v>2859</v>
      </c>
    </row>
    <row r="751" spans="1:25" ht="25.5">
      <c r="A751" s="5" t="s">
        <v>4447</v>
      </c>
      <c r="B751" s="5" t="s">
        <v>74</v>
      </c>
      <c r="C751" s="5" t="s">
        <v>642</v>
      </c>
      <c r="D751" s="5" t="s">
        <v>118</v>
      </c>
      <c r="E751" s="5" t="s">
        <v>2790</v>
      </c>
      <c r="F751" s="5" t="s">
        <v>2760</v>
      </c>
      <c r="G751" s="5">
        <v>1</v>
      </c>
      <c r="H751" s="5" t="s">
        <v>2864</v>
      </c>
      <c r="I751" s="5" t="str">
        <f>IF(INDEX(Manual_Review!$T$6:$T$238,U751)="","",INDEX(Manual_Review!$T$6:$T$238,U751))</f>
        <v/>
      </c>
      <c r="J751" s="5" t="str">
        <f t="shared" si="22"/>
        <v>AI provisional</v>
      </c>
      <c r="K751" s="5" t="str">
        <f t="shared" si="23"/>
        <v>U</v>
      </c>
      <c r="L751" s="5" t="s">
        <v>650</v>
      </c>
      <c r="M751" s="5" t="s">
        <v>4448</v>
      </c>
      <c r="N751" s="5" t="s">
        <v>4449</v>
      </c>
      <c r="O751" s="5" t="s">
        <v>3089</v>
      </c>
      <c r="P751" s="5" t="s">
        <v>3090</v>
      </c>
      <c r="Q751" s="11">
        <v>46306.5</v>
      </c>
      <c r="R751" s="6"/>
      <c r="S751" s="6"/>
      <c r="T751" s="6"/>
      <c r="U751" s="5">
        <f>MATCH(B751,Manual_Review!$A$6:$A$238,0)</f>
        <v>47</v>
      </c>
      <c r="V751" s="5" t="str">
        <f>IF(INDEX(Manual_Review!$G$6:$G$238,U751)="","",INDEX(Manual_Review!$G$6:$G$238,U751))</f>
        <v/>
      </c>
      <c r="W751" s="11" t="str">
        <f>IF(INDEX(Manual_Review!$H$6:$H$238,U751)="","",INDEX(Manual_Review!$H$6:$H$238,U751))</f>
        <v/>
      </c>
      <c r="X751" s="5" t="str">
        <f>IF(INDEX(Manual_Review!$I$6:$I$238,U751)="","",INDEX(Manual_Review!$I$6:$I$238,U751))</f>
        <v/>
      </c>
      <c r="Y751" s="5" t="s">
        <v>2859</v>
      </c>
    </row>
    <row r="752" spans="1:25" ht="25.5">
      <c r="A752" s="5" t="s">
        <v>4450</v>
      </c>
      <c r="B752" s="5" t="s">
        <v>74</v>
      </c>
      <c r="C752" s="5" t="s">
        <v>642</v>
      </c>
      <c r="D752" s="5" t="s">
        <v>118</v>
      </c>
      <c r="E752" s="5" t="s">
        <v>2791</v>
      </c>
      <c r="F752" s="5" t="s">
        <v>2760</v>
      </c>
      <c r="G752" s="5">
        <v>1</v>
      </c>
      <c r="H752" s="5" t="s">
        <v>2864</v>
      </c>
      <c r="I752" s="5" t="str">
        <f>IF(INDEX(Manual_Review!$U$6:$U$238,U752)="","",INDEX(Manual_Review!$U$6:$U$238,U752))</f>
        <v/>
      </c>
      <c r="J752" s="5" t="str">
        <f t="shared" si="22"/>
        <v>AI provisional</v>
      </c>
      <c r="K752" s="5" t="str">
        <f t="shared" si="23"/>
        <v>U</v>
      </c>
      <c r="L752" s="5" t="s">
        <v>650</v>
      </c>
      <c r="M752" s="5" t="s">
        <v>4425</v>
      </c>
      <c r="N752" s="5" t="s">
        <v>4451</v>
      </c>
      <c r="O752" s="5" t="s">
        <v>3089</v>
      </c>
      <c r="P752" s="5" t="s">
        <v>3090</v>
      </c>
      <c r="Q752" s="11">
        <v>46306.5</v>
      </c>
      <c r="R752" s="6"/>
      <c r="S752" s="6"/>
      <c r="T752" s="6"/>
      <c r="U752" s="5">
        <f>MATCH(B752,Manual_Review!$A$6:$A$238,0)</f>
        <v>47</v>
      </c>
      <c r="V752" s="5" t="str">
        <f>IF(INDEX(Manual_Review!$G$6:$G$238,U752)="","",INDEX(Manual_Review!$G$6:$G$238,U752))</f>
        <v/>
      </c>
      <c r="W752" s="11" t="str">
        <f>IF(INDEX(Manual_Review!$H$6:$H$238,U752)="","",INDEX(Manual_Review!$H$6:$H$238,U752))</f>
        <v/>
      </c>
      <c r="X752" s="5" t="str">
        <f>IF(INDEX(Manual_Review!$I$6:$I$238,U752)="","",INDEX(Manual_Review!$I$6:$I$238,U752))</f>
        <v/>
      </c>
      <c r="Y752" s="5" t="s">
        <v>2859</v>
      </c>
    </row>
    <row r="753" spans="1:25" ht="25.5">
      <c r="A753" s="5" t="s">
        <v>4452</v>
      </c>
      <c r="B753" s="5" t="s">
        <v>74</v>
      </c>
      <c r="C753" s="5" t="s">
        <v>642</v>
      </c>
      <c r="D753" s="5" t="s">
        <v>118</v>
      </c>
      <c r="E753" s="5" t="s">
        <v>2792</v>
      </c>
      <c r="F753" s="5" t="s">
        <v>2762</v>
      </c>
      <c r="G753" s="5">
        <v>1</v>
      </c>
      <c r="H753" s="5" t="s">
        <v>2854</v>
      </c>
      <c r="I753" s="5" t="str">
        <f>IF(INDEX(Manual_Review!$V$6:$V$238,U753)="","",INDEX(Manual_Review!$V$6:$V$238,U753))</f>
        <v/>
      </c>
      <c r="J753" s="5" t="str">
        <f t="shared" si="22"/>
        <v>AI provisional</v>
      </c>
      <c r="K753" s="5" t="str">
        <f t="shared" si="23"/>
        <v>Y</v>
      </c>
      <c r="L753" s="5" t="s">
        <v>4428</v>
      </c>
      <c r="M753" s="5" t="s">
        <v>4453</v>
      </c>
      <c r="N753" s="5" t="s">
        <v>4454</v>
      </c>
      <c r="O753" s="5" t="s">
        <v>3089</v>
      </c>
      <c r="P753" s="5" t="s">
        <v>3090</v>
      </c>
      <c r="Q753" s="11">
        <v>46306.5</v>
      </c>
      <c r="R753" s="6"/>
      <c r="S753" s="6"/>
      <c r="T753" s="6"/>
      <c r="U753" s="5">
        <f>MATCH(B753,Manual_Review!$A$6:$A$238,0)</f>
        <v>47</v>
      </c>
      <c r="V753" s="5" t="str">
        <f>IF(INDEX(Manual_Review!$G$6:$G$238,U753)="","",INDEX(Manual_Review!$G$6:$G$238,U753))</f>
        <v/>
      </c>
      <c r="W753" s="11" t="str">
        <f>IF(INDEX(Manual_Review!$H$6:$H$238,U753)="","",INDEX(Manual_Review!$H$6:$H$238,U753))</f>
        <v/>
      </c>
      <c r="X753" s="5" t="str">
        <f>IF(INDEX(Manual_Review!$I$6:$I$238,U753)="","",INDEX(Manual_Review!$I$6:$I$238,U753))</f>
        <v/>
      </c>
      <c r="Y753" s="5" t="s">
        <v>2859</v>
      </c>
    </row>
    <row r="754" spans="1:25" ht="25.5">
      <c r="A754" s="5" t="s">
        <v>4455</v>
      </c>
      <c r="B754" s="5" t="s">
        <v>74</v>
      </c>
      <c r="C754" s="5" t="s">
        <v>642</v>
      </c>
      <c r="D754" s="5" t="s">
        <v>118</v>
      </c>
      <c r="E754" s="5" t="s">
        <v>2793</v>
      </c>
      <c r="F754" s="5" t="s">
        <v>2762</v>
      </c>
      <c r="G754" s="5">
        <v>1</v>
      </c>
      <c r="H754" s="5" t="s">
        <v>2854</v>
      </c>
      <c r="I754" s="5" t="str">
        <f>IF(INDEX(Manual_Review!$W$6:$W$238,U754)="","",INDEX(Manual_Review!$W$6:$W$238,U754))</f>
        <v/>
      </c>
      <c r="J754" s="5" t="str">
        <f t="shared" si="22"/>
        <v>AI provisional</v>
      </c>
      <c r="K754" s="5" t="str">
        <f t="shared" si="23"/>
        <v>Y</v>
      </c>
      <c r="L754" s="5" t="s">
        <v>4428</v>
      </c>
      <c r="M754" s="5" t="s">
        <v>4453</v>
      </c>
      <c r="N754" s="5" t="s">
        <v>4456</v>
      </c>
      <c r="O754" s="5" t="s">
        <v>3089</v>
      </c>
      <c r="P754" s="5" t="s">
        <v>3090</v>
      </c>
      <c r="Q754" s="11">
        <v>46306.5</v>
      </c>
      <c r="R754" s="6"/>
      <c r="S754" s="6"/>
      <c r="T754" s="6"/>
      <c r="U754" s="5">
        <f>MATCH(B754,Manual_Review!$A$6:$A$238,0)</f>
        <v>47</v>
      </c>
      <c r="V754" s="5" t="str">
        <f>IF(INDEX(Manual_Review!$G$6:$G$238,U754)="","",INDEX(Manual_Review!$G$6:$G$238,U754))</f>
        <v/>
      </c>
      <c r="W754" s="11" t="str">
        <f>IF(INDEX(Manual_Review!$H$6:$H$238,U754)="","",INDEX(Manual_Review!$H$6:$H$238,U754))</f>
        <v/>
      </c>
      <c r="X754" s="5" t="str">
        <f>IF(INDEX(Manual_Review!$I$6:$I$238,U754)="","",INDEX(Manual_Review!$I$6:$I$238,U754))</f>
        <v/>
      </c>
      <c r="Y754" s="5" t="s">
        <v>2859</v>
      </c>
    </row>
    <row r="755" spans="1:25" ht="25.5">
      <c r="A755" s="5" t="s">
        <v>4457</v>
      </c>
      <c r="B755" s="5" t="s">
        <v>74</v>
      </c>
      <c r="C755" s="5" t="s">
        <v>642</v>
      </c>
      <c r="D755" s="5" t="s">
        <v>118</v>
      </c>
      <c r="E755" s="5" t="s">
        <v>2794</v>
      </c>
      <c r="F755" s="5" t="s">
        <v>2764</v>
      </c>
      <c r="G755" s="5">
        <v>1</v>
      </c>
      <c r="H755" s="5" t="s">
        <v>2854</v>
      </c>
      <c r="I755" s="5" t="str">
        <f>IF(INDEX(Manual_Review!$X$6:$X$238,U755)="","",INDEX(Manual_Review!$X$6:$X$238,U755))</f>
        <v/>
      </c>
      <c r="J755" s="5" t="str">
        <f t="shared" si="22"/>
        <v>AI provisional</v>
      </c>
      <c r="K755" s="5" t="str">
        <f t="shared" si="23"/>
        <v>Y</v>
      </c>
      <c r="L755" s="5" t="s">
        <v>651</v>
      </c>
      <c r="M755" s="5" t="s">
        <v>4458</v>
      </c>
      <c r="N755" s="5" t="s">
        <v>4459</v>
      </c>
      <c r="O755" s="5" t="s">
        <v>3089</v>
      </c>
      <c r="P755" s="5" t="s">
        <v>3090</v>
      </c>
      <c r="Q755" s="11">
        <v>46306.5</v>
      </c>
      <c r="R755" s="6"/>
      <c r="S755" s="6"/>
      <c r="T755" s="6"/>
      <c r="U755" s="5">
        <f>MATCH(B755,Manual_Review!$A$6:$A$238,0)</f>
        <v>47</v>
      </c>
      <c r="V755" s="5" t="str">
        <f>IF(INDEX(Manual_Review!$G$6:$G$238,U755)="","",INDEX(Manual_Review!$G$6:$G$238,U755))</f>
        <v/>
      </c>
      <c r="W755" s="11" t="str">
        <f>IF(INDEX(Manual_Review!$H$6:$H$238,U755)="","",INDEX(Manual_Review!$H$6:$H$238,U755))</f>
        <v/>
      </c>
      <c r="X755" s="5" t="str">
        <f>IF(INDEX(Manual_Review!$I$6:$I$238,U755)="","",INDEX(Manual_Review!$I$6:$I$238,U755))</f>
        <v/>
      </c>
      <c r="Y755" s="5" t="s">
        <v>2859</v>
      </c>
    </row>
    <row r="756" spans="1:25" ht="25.5">
      <c r="A756" s="5" t="s">
        <v>4460</v>
      </c>
      <c r="B756" s="5" t="s">
        <v>74</v>
      </c>
      <c r="C756" s="5" t="s">
        <v>642</v>
      </c>
      <c r="D756" s="5" t="s">
        <v>118</v>
      </c>
      <c r="E756" s="5" t="s">
        <v>2795</v>
      </c>
      <c r="F756" s="5" t="s">
        <v>2764</v>
      </c>
      <c r="G756" s="5">
        <v>1</v>
      </c>
      <c r="H756" s="5" t="s">
        <v>2854</v>
      </c>
      <c r="I756" s="5" t="str">
        <f>IF(INDEX(Manual_Review!$Y$6:$Y$238,U756)="","",INDEX(Manual_Review!$Y$6:$Y$238,U756))</f>
        <v/>
      </c>
      <c r="J756" s="5" t="str">
        <f t="shared" si="22"/>
        <v>AI provisional</v>
      </c>
      <c r="K756" s="5" t="str">
        <f t="shared" si="23"/>
        <v>Y</v>
      </c>
      <c r="L756" s="5" t="s">
        <v>651</v>
      </c>
      <c r="M756" s="5" t="s">
        <v>4461</v>
      </c>
      <c r="N756" s="5" t="s">
        <v>4462</v>
      </c>
      <c r="O756" s="5" t="s">
        <v>3089</v>
      </c>
      <c r="P756" s="5" t="s">
        <v>3090</v>
      </c>
      <c r="Q756" s="11">
        <v>46306.5</v>
      </c>
      <c r="R756" s="6"/>
      <c r="S756" s="6"/>
      <c r="T756" s="6"/>
      <c r="U756" s="5">
        <f>MATCH(B756,Manual_Review!$A$6:$A$238,0)</f>
        <v>47</v>
      </c>
      <c r="V756" s="5" t="str">
        <f>IF(INDEX(Manual_Review!$G$6:$G$238,U756)="","",INDEX(Manual_Review!$G$6:$G$238,U756))</f>
        <v/>
      </c>
      <c r="W756" s="11" t="str">
        <f>IF(INDEX(Manual_Review!$H$6:$H$238,U756)="","",INDEX(Manual_Review!$H$6:$H$238,U756))</f>
        <v/>
      </c>
      <c r="X756" s="5" t="str">
        <f>IF(INDEX(Manual_Review!$I$6:$I$238,U756)="","",INDEX(Manual_Review!$I$6:$I$238,U756))</f>
        <v/>
      </c>
      <c r="Y756" s="5" t="s">
        <v>2859</v>
      </c>
    </row>
    <row r="757" spans="1:25" ht="25.5">
      <c r="A757" s="5" t="s">
        <v>4463</v>
      </c>
      <c r="B757" s="5" t="s">
        <v>74</v>
      </c>
      <c r="C757" s="5" t="s">
        <v>642</v>
      </c>
      <c r="D757" s="5" t="s">
        <v>118</v>
      </c>
      <c r="E757" s="5" t="s">
        <v>2796</v>
      </c>
      <c r="F757" s="5" t="s">
        <v>2764</v>
      </c>
      <c r="G757" s="5">
        <v>1</v>
      </c>
      <c r="H757" s="5" t="s">
        <v>2854</v>
      </c>
      <c r="I757" s="5" t="str">
        <f>IF(INDEX(Manual_Review!$Z$6:$Z$238,U757)="","",INDEX(Manual_Review!$Z$6:$Z$238,U757))</f>
        <v/>
      </c>
      <c r="J757" s="5" t="str">
        <f t="shared" si="22"/>
        <v>AI provisional</v>
      </c>
      <c r="K757" s="5" t="str">
        <f t="shared" si="23"/>
        <v>Y</v>
      </c>
      <c r="L757" s="5" t="s">
        <v>651</v>
      </c>
      <c r="M757" s="5" t="s">
        <v>4464</v>
      </c>
      <c r="N757" s="5" t="s">
        <v>4465</v>
      </c>
      <c r="O757" s="5" t="s">
        <v>3089</v>
      </c>
      <c r="P757" s="5" t="s">
        <v>3090</v>
      </c>
      <c r="Q757" s="11">
        <v>46306.5</v>
      </c>
      <c r="R757" s="6"/>
      <c r="S757" s="6"/>
      <c r="T757" s="6"/>
      <c r="U757" s="5">
        <f>MATCH(B757,Manual_Review!$A$6:$A$238,0)</f>
        <v>47</v>
      </c>
      <c r="V757" s="5" t="str">
        <f>IF(INDEX(Manual_Review!$G$6:$G$238,U757)="","",INDEX(Manual_Review!$G$6:$G$238,U757))</f>
        <v/>
      </c>
      <c r="W757" s="11" t="str">
        <f>IF(INDEX(Manual_Review!$H$6:$H$238,U757)="","",INDEX(Manual_Review!$H$6:$H$238,U757))</f>
        <v/>
      </c>
      <c r="X757" s="5" t="str">
        <f>IF(INDEX(Manual_Review!$I$6:$I$238,U757)="","",INDEX(Manual_Review!$I$6:$I$238,U757))</f>
        <v/>
      </c>
      <c r="Y757" s="5" t="s">
        <v>2859</v>
      </c>
    </row>
    <row r="758" spans="1:25" ht="38.25">
      <c r="A758" s="5" t="s">
        <v>4466</v>
      </c>
      <c r="B758" s="5" t="s">
        <v>653</v>
      </c>
      <c r="C758" s="5" t="s">
        <v>654</v>
      </c>
      <c r="D758" s="5" t="s">
        <v>118</v>
      </c>
      <c r="E758" s="5" t="s">
        <v>2781</v>
      </c>
      <c r="F758" s="5" t="s">
        <v>2754</v>
      </c>
      <c r="G758" s="5">
        <v>1</v>
      </c>
      <c r="H758" s="5" t="s">
        <v>2864</v>
      </c>
      <c r="I758" s="5" t="str">
        <f>IF(INDEX(Manual_Review!$K$6:$K$238,U758)="","",INDEX(Manual_Review!$K$6:$K$238,U758))</f>
        <v/>
      </c>
      <c r="J758" s="5" t="str">
        <f t="shared" si="22"/>
        <v>AI provisional</v>
      </c>
      <c r="K758" s="5" t="str">
        <f t="shared" si="23"/>
        <v>U</v>
      </c>
      <c r="L758" s="5" t="s">
        <v>660</v>
      </c>
      <c r="M758" s="5" t="s">
        <v>4467</v>
      </c>
      <c r="N758" s="5" t="s">
        <v>4468</v>
      </c>
      <c r="O758" s="5" t="s">
        <v>4469</v>
      </c>
      <c r="P758" s="5" t="s">
        <v>2858</v>
      </c>
      <c r="Q758" s="11">
        <v>46306.5</v>
      </c>
      <c r="R758" s="6"/>
      <c r="S758" s="6"/>
      <c r="T758" s="6"/>
      <c r="U758" s="5">
        <f>MATCH(B758,Manual_Review!$A$6:$A$238,0)</f>
        <v>48</v>
      </c>
      <c r="V758" s="5" t="str">
        <f>IF(INDEX(Manual_Review!$G$6:$G$238,U758)="","",INDEX(Manual_Review!$G$6:$G$238,U758))</f>
        <v/>
      </c>
      <c r="W758" s="11" t="str">
        <f>IF(INDEX(Manual_Review!$H$6:$H$238,U758)="","",INDEX(Manual_Review!$H$6:$H$238,U758))</f>
        <v/>
      </c>
      <c r="X758" s="5" t="str">
        <f>IF(INDEX(Manual_Review!$I$6:$I$238,U758)="","",INDEX(Manual_Review!$I$6:$I$238,U758))</f>
        <v/>
      </c>
      <c r="Y758" s="5" t="s">
        <v>2859</v>
      </c>
    </row>
    <row r="759" spans="1:25" ht="38.25">
      <c r="A759" s="5" t="s">
        <v>4470</v>
      </c>
      <c r="B759" s="5" t="s">
        <v>653</v>
      </c>
      <c r="C759" s="5" t="s">
        <v>654</v>
      </c>
      <c r="D759" s="5" t="s">
        <v>118</v>
      </c>
      <c r="E759" s="5" t="s">
        <v>2782</v>
      </c>
      <c r="F759" s="5" t="s">
        <v>2754</v>
      </c>
      <c r="G759" s="5">
        <v>1</v>
      </c>
      <c r="H759" s="5" t="s">
        <v>2864</v>
      </c>
      <c r="I759" s="5" t="str">
        <f>IF(INDEX(Manual_Review!$L$6:$L$238,U759)="","",INDEX(Manual_Review!$L$6:$L$238,U759))</f>
        <v/>
      </c>
      <c r="J759" s="5" t="str">
        <f t="shared" si="22"/>
        <v>AI provisional</v>
      </c>
      <c r="K759" s="5" t="str">
        <f t="shared" si="23"/>
        <v>U</v>
      </c>
      <c r="L759" s="5" t="s">
        <v>660</v>
      </c>
      <c r="M759" s="5" t="s">
        <v>4471</v>
      </c>
      <c r="N759" s="5" t="s">
        <v>4468</v>
      </c>
      <c r="O759" s="5" t="s">
        <v>4472</v>
      </c>
      <c r="P759" s="5" t="s">
        <v>2858</v>
      </c>
      <c r="Q759" s="11">
        <v>46306.5</v>
      </c>
      <c r="R759" s="6"/>
      <c r="S759" s="6"/>
      <c r="T759" s="6"/>
      <c r="U759" s="5">
        <f>MATCH(B759,Manual_Review!$A$6:$A$238,0)</f>
        <v>48</v>
      </c>
      <c r="V759" s="5" t="str">
        <f>IF(INDEX(Manual_Review!$G$6:$G$238,U759)="","",INDEX(Manual_Review!$G$6:$G$238,U759))</f>
        <v/>
      </c>
      <c r="W759" s="11" t="str">
        <f>IF(INDEX(Manual_Review!$H$6:$H$238,U759)="","",INDEX(Manual_Review!$H$6:$H$238,U759))</f>
        <v/>
      </c>
      <c r="X759" s="5" t="str">
        <f>IF(INDEX(Manual_Review!$I$6:$I$238,U759)="","",INDEX(Manual_Review!$I$6:$I$238,U759))</f>
        <v/>
      </c>
      <c r="Y759" s="5" t="s">
        <v>2859</v>
      </c>
    </row>
    <row r="760" spans="1:25" ht="38.25">
      <c r="A760" s="5" t="s">
        <v>4473</v>
      </c>
      <c r="B760" s="5" t="s">
        <v>653</v>
      </c>
      <c r="C760" s="5" t="s">
        <v>654</v>
      </c>
      <c r="D760" s="5" t="s">
        <v>118</v>
      </c>
      <c r="E760" s="5" t="s">
        <v>2783</v>
      </c>
      <c r="F760" s="5" t="s">
        <v>2754</v>
      </c>
      <c r="G760" s="5">
        <v>1</v>
      </c>
      <c r="H760" s="5" t="s">
        <v>2864</v>
      </c>
      <c r="I760" s="5" t="str">
        <f>IF(INDEX(Manual_Review!$M$6:$M$238,U760)="","",INDEX(Manual_Review!$M$6:$M$238,U760))</f>
        <v/>
      </c>
      <c r="J760" s="5" t="str">
        <f t="shared" si="22"/>
        <v>AI provisional</v>
      </c>
      <c r="K760" s="5" t="str">
        <f t="shared" si="23"/>
        <v>U</v>
      </c>
      <c r="L760" s="5" t="s">
        <v>660</v>
      </c>
      <c r="M760" s="5" t="s">
        <v>4471</v>
      </c>
      <c r="N760" s="5" t="s">
        <v>4468</v>
      </c>
      <c r="O760" s="5" t="s">
        <v>4474</v>
      </c>
      <c r="P760" s="5" t="s">
        <v>2858</v>
      </c>
      <c r="Q760" s="11">
        <v>46306.5</v>
      </c>
      <c r="R760" s="6"/>
      <c r="S760" s="6"/>
      <c r="T760" s="6"/>
      <c r="U760" s="5">
        <f>MATCH(B760,Manual_Review!$A$6:$A$238,0)</f>
        <v>48</v>
      </c>
      <c r="V760" s="5" t="str">
        <f>IF(INDEX(Manual_Review!$G$6:$G$238,U760)="","",INDEX(Manual_Review!$G$6:$G$238,U760))</f>
        <v/>
      </c>
      <c r="W760" s="11" t="str">
        <f>IF(INDEX(Manual_Review!$H$6:$H$238,U760)="","",INDEX(Manual_Review!$H$6:$H$238,U760))</f>
        <v/>
      </c>
      <c r="X760" s="5" t="str">
        <f>IF(INDEX(Manual_Review!$I$6:$I$238,U760)="","",INDEX(Manual_Review!$I$6:$I$238,U760))</f>
        <v/>
      </c>
      <c r="Y760" s="5" t="s">
        <v>2859</v>
      </c>
    </row>
    <row r="761" spans="1:25" ht="38.25">
      <c r="A761" s="5" t="s">
        <v>4475</v>
      </c>
      <c r="B761" s="5" t="s">
        <v>653</v>
      </c>
      <c r="C761" s="5" t="s">
        <v>654</v>
      </c>
      <c r="D761" s="5" t="s">
        <v>118</v>
      </c>
      <c r="E761" s="5" t="s">
        <v>2784</v>
      </c>
      <c r="F761" s="5" t="s">
        <v>2756</v>
      </c>
      <c r="G761" s="5">
        <v>1</v>
      </c>
      <c r="H761" s="5" t="s">
        <v>2864</v>
      </c>
      <c r="I761" s="5" t="str">
        <f>IF(INDEX(Manual_Review!$N$6:$N$238,U761)="","",INDEX(Manual_Review!$N$6:$N$238,U761))</f>
        <v/>
      </c>
      <c r="J761" s="5" t="str">
        <f t="shared" si="22"/>
        <v>AI provisional</v>
      </c>
      <c r="K761" s="5" t="str">
        <f t="shared" si="23"/>
        <v>U</v>
      </c>
      <c r="L761" s="5" t="s">
        <v>660</v>
      </c>
      <c r="M761" s="5" t="s">
        <v>4471</v>
      </c>
      <c r="N761" s="5" t="s">
        <v>4468</v>
      </c>
      <c r="O761" s="5" t="s">
        <v>4476</v>
      </c>
      <c r="P761" s="5" t="s">
        <v>2858</v>
      </c>
      <c r="Q761" s="11">
        <v>46306.5</v>
      </c>
      <c r="R761" s="6"/>
      <c r="S761" s="6"/>
      <c r="T761" s="6"/>
      <c r="U761" s="5">
        <f>MATCH(B761,Manual_Review!$A$6:$A$238,0)</f>
        <v>48</v>
      </c>
      <c r="V761" s="5" t="str">
        <f>IF(INDEX(Manual_Review!$G$6:$G$238,U761)="","",INDEX(Manual_Review!$G$6:$G$238,U761))</f>
        <v/>
      </c>
      <c r="W761" s="11" t="str">
        <f>IF(INDEX(Manual_Review!$H$6:$H$238,U761)="","",INDEX(Manual_Review!$H$6:$H$238,U761))</f>
        <v/>
      </c>
      <c r="X761" s="5" t="str">
        <f>IF(INDEX(Manual_Review!$I$6:$I$238,U761)="","",INDEX(Manual_Review!$I$6:$I$238,U761))</f>
        <v/>
      </c>
      <c r="Y761" s="5" t="s">
        <v>2859</v>
      </c>
    </row>
    <row r="762" spans="1:25" ht="38.25">
      <c r="A762" s="5" t="s">
        <v>4477</v>
      </c>
      <c r="B762" s="5" t="s">
        <v>653</v>
      </c>
      <c r="C762" s="5" t="s">
        <v>654</v>
      </c>
      <c r="D762" s="5" t="s">
        <v>118</v>
      </c>
      <c r="E762" s="5" t="s">
        <v>2785</v>
      </c>
      <c r="F762" s="5" t="s">
        <v>2756</v>
      </c>
      <c r="G762" s="5">
        <v>1</v>
      </c>
      <c r="H762" s="5" t="s">
        <v>2864</v>
      </c>
      <c r="I762" s="5" t="str">
        <f>IF(INDEX(Manual_Review!$O$6:$O$238,U762)="","",INDEX(Manual_Review!$O$6:$O$238,U762))</f>
        <v/>
      </c>
      <c r="J762" s="5" t="str">
        <f t="shared" si="22"/>
        <v>AI provisional</v>
      </c>
      <c r="K762" s="5" t="str">
        <f t="shared" si="23"/>
        <v>U</v>
      </c>
      <c r="L762" s="5" t="s">
        <v>660</v>
      </c>
      <c r="M762" s="5" t="s">
        <v>4478</v>
      </c>
      <c r="N762" s="5" t="s">
        <v>4468</v>
      </c>
      <c r="O762" s="5" t="s">
        <v>4479</v>
      </c>
      <c r="P762" s="5" t="s">
        <v>2858</v>
      </c>
      <c r="Q762" s="11">
        <v>46306.5</v>
      </c>
      <c r="R762" s="6"/>
      <c r="S762" s="6"/>
      <c r="T762" s="6"/>
      <c r="U762" s="5">
        <f>MATCH(B762,Manual_Review!$A$6:$A$238,0)</f>
        <v>48</v>
      </c>
      <c r="V762" s="5" t="str">
        <f>IF(INDEX(Manual_Review!$G$6:$G$238,U762)="","",INDEX(Manual_Review!$G$6:$G$238,U762))</f>
        <v/>
      </c>
      <c r="W762" s="11" t="str">
        <f>IF(INDEX(Manual_Review!$H$6:$H$238,U762)="","",INDEX(Manual_Review!$H$6:$H$238,U762))</f>
        <v/>
      </c>
      <c r="X762" s="5" t="str">
        <f>IF(INDEX(Manual_Review!$I$6:$I$238,U762)="","",INDEX(Manual_Review!$I$6:$I$238,U762))</f>
        <v/>
      </c>
      <c r="Y762" s="5" t="s">
        <v>2859</v>
      </c>
    </row>
    <row r="763" spans="1:25" ht="38.25">
      <c r="A763" s="5" t="s">
        <v>4480</v>
      </c>
      <c r="B763" s="5" t="s">
        <v>653</v>
      </c>
      <c r="C763" s="5" t="s">
        <v>654</v>
      </c>
      <c r="D763" s="5" t="s">
        <v>118</v>
      </c>
      <c r="E763" s="5" t="s">
        <v>2786</v>
      </c>
      <c r="F763" s="5" t="s">
        <v>2756</v>
      </c>
      <c r="G763" s="5">
        <v>1</v>
      </c>
      <c r="H763" s="5" t="s">
        <v>2864</v>
      </c>
      <c r="I763" s="5" t="str">
        <f>IF(INDEX(Manual_Review!$P$6:$P$238,U763)="","",INDEX(Manual_Review!$P$6:$P$238,U763))</f>
        <v/>
      </c>
      <c r="J763" s="5" t="str">
        <f t="shared" si="22"/>
        <v>AI provisional</v>
      </c>
      <c r="K763" s="5" t="str">
        <f t="shared" si="23"/>
        <v>U</v>
      </c>
      <c r="L763" s="5" t="s">
        <v>660</v>
      </c>
      <c r="M763" s="5" t="s">
        <v>4471</v>
      </c>
      <c r="N763" s="5" t="s">
        <v>4468</v>
      </c>
      <c r="O763" s="5" t="s">
        <v>4481</v>
      </c>
      <c r="P763" s="5" t="s">
        <v>2858</v>
      </c>
      <c r="Q763" s="11">
        <v>46306.5</v>
      </c>
      <c r="R763" s="6"/>
      <c r="S763" s="6"/>
      <c r="T763" s="6"/>
      <c r="U763" s="5">
        <f>MATCH(B763,Manual_Review!$A$6:$A$238,0)</f>
        <v>48</v>
      </c>
      <c r="V763" s="5" t="str">
        <f>IF(INDEX(Manual_Review!$G$6:$G$238,U763)="","",INDEX(Manual_Review!$G$6:$G$238,U763))</f>
        <v/>
      </c>
      <c r="W763" s="11" t="str">
        <f>IF(INDEX(Manual_Review!$H$6:$H$238,U763)="","",INDEX(Manual_Review!$H$6:$H$238,U763))</f>
        <v/>
      </c>
      <c r="X763" s="5" t="str">
        <f>IF(INDEX(Manual_Review!$I$6:$I$238,U763)="","",INDEX(Manual_Review!$I$6:$I$238,U763))</f>
        <v/>
      </c>
      <c r="Y763" s="5" t="s">
        <v>2859</v>
      </c>
    </row>
    <row r="764" spans="1:25" ht="38.25">
      <c r="A764" s="5" t="s">
        <v>4482</v>
      </c>
      <c r="B764" s="5" t="s">
        <v>653</v>
      </c>
      <c r="C764" s="5" t="s">
        <v>654</v>
      </c>
      <c r="D764" s="5" t="s">
        <v>118</v>
      </c>
      <c r="E764" s="5" t="s">
        <v>2787</v>
      </c>
      <c r="F764" s="5" t="s">
        <v>2758</v>
      </c>
      <c r="G764" s="5">
        <v>1</v>
      </c>
      <c r="H764" s="5" t="s">
        <v>2864</v>
      </c>
      <c r="I764" s="5" t="str">
        <f>IF(INDEX(Manual_Review!$Q$6:$Q$238,U764)="","",INDEX(Manual_Review!$Q$6:$Q$238,U764))</f>
        <v/>
      </c>
      <c r="J764" s="5" t="str">
        <f t="shared" si="22"/>
        <v>AI provisional</v>
      </c>
      <c r="K764" s="5" t="str">
        <f t="shared" si="23"/>
        <v>U</v>
      </c>
      <c r="L764" s="5" t="s">
        <v>660</v>
      </c>
      <c r="M764" s="5" t="s">
        <v>4483</v>
      </c>
      <c r="N764" s="5" t="s">
        <v>4468</v>
      </c>
      <c r="O764" s="5" t="s">
        <v>4484</v>
      </c>
      <c r="P764" s="5" t="s">
        <v>2858</v>
      </c>
      <c r="Q764" s="11">
        <v>46306.5</v>
      </c>
      <c r="R764" s="6"/>
      <c r="S764" s="6"/>
      <c r="T764" s="6"/>
      <c r="U764" s="5">
        <f>MATCH(B764,Manual_Review!$A$6:$A$238,0)</f>
        <v>48</v>
      </c>
      <c r="V764" s="5" t="str">
        <f>IF(INDEX(Manual_Review!$G$6:$G$238,U764)="","",INDEX(Manual_Review!$G$6:$G$238,U764))</f>
        <v/>
      </c>
      <c r="W764" s="11" t="str">
        <f>IF(INDEX(Manual_Review!$H$6:$H$238,U764)="","",INDEX(Manual_Review!$H$6:$H$238,U764))</f>
        <v/>
      </c>
      <c r="X764" s="5" t="str">
        <f>IF(INDEX(Manual_Review!$I$6:$I$238,U764)="","",INDEX(Manual_Review!$I$6:$I$238,U764))</f>
        <v/>
      </c>
      <c r="Y764" s="5" t="s">
        <v>2859</v>
      </c>
    </row>
    <row r="765" spans="1:25" ht="38.25">
      <c r="A765" s="5" t="s">
        <v>4485</v>
      </c>
      <c r="B765" s="5" t="s">
        <v>653</v>
      </c>
      <c r="C765" s="5" t="s">
        <v>654</v>
      </c>
      <c r="D765" s="5" t="s">
        <v>118</v>
      </c>
      <c r="E765" s="5" t="s">
        <v>2788</v>
      </c>
      <c r="F765" s="5" t="s">
        <v>2758</v>
      </c>
      <c r="G765" s="5">
        <v>1</v>
      </c>
      <c r="H765" s="5" t="s">
        <v>2864</v>
      </c>
      <c r="I765" s="5" t="str">
        <f>IF(INDEX(Manual_Review!$R$6:$R$238,U765)="","",INDEX(Manual_Review!$R$6:$R$238,U765))</f>
        <v/>
      </c>
      <c r="J765" s="5" t="str">
        <f t="shared" si="22"/>
        <v>AI provisional</v>
      </c>
      <c r="K765" s="5" t="str">
        <f t="shared" si="23"/>
        <v>U</v>
      </c>
      <c r="L765" s="5" t="s">
        <v>660</v>
      </c>
      <c r="M765" s="5" t="s">
        <v>4486</v>
      </c>
      <c r="N765" s="5" t="s">
        <v>4468</v>
      </c>
      <c r="O765" s="5" t="s">
        <v>4487</v>
      </c>
      <c r="P765" s="5" t="s">
        <v>2858</v>
      </c>
      <c r="Q765" s="11">
        <v>46306.5</v>
      </c>
      <c r="R765" s="6"/>
      <c r="S765" s="6"/>
      <c r="T765" s="6"/>
      <c r="U765" s="5">
        <f>MATCH(B765,Manual_Review!$A$6:$A$238,0)</f>
        <v>48</v>
      </c>
      <c r="V765" s="5" t="str">
        <f>IF(INDEX(Manual_Review!$G$6:$G$238,U765)="","",INDEX(Manual_Review!$G$6:$G$238,U765))</f>
        <v/>
      </c>
      <c r="W765" s="11" t="str">
        <f>IF(INDEX(Manual_Review!$H$6:$H$238,U765)="","",INDEX(Manual_Review!$H$6:$H$238,U765))</f>
        <v/>
      </c>
      <c r="X765" s="5" t="str">
        <f>IF(INDEX(Manual_Review!$I$6:$I$238,U765)="","",INDEX(Manual_Review!$I$6:$I$238,U765))</f>
        <v/>
      </c>
      <c r="Y765" s="5" t="s">
        <v>2859</v>
      </c>
    </row>
    <row r="766" spans="1:25" ht="38.25">
      <c r="A766" s="5" t="s">
        <v>4488</v>
      </c>
      <c r="B766" s="5" t="s">
        <v>653</v>
      </c>
      <c r="C766" s="5" t="s">
        <v>654</v>
      </c>
      <c r="D766" s="5" t="s">
        <v>118</v>
      </c>
      <c r="E766" s="5" t="s">
        <v>2789</v>
      </c>
      <c r="F766" s="5" t="s">
        <v>2758</v>
      </c>
      <c r="G766" s="5">
        <v>1</v>
      </c>
      <c r="H766" s="5" t="s">
        <v>2864</v>
      </c>
      <c r="I766" s="5" t="str">
        <f>IF(INDEX(Manual_Review!$S$6:$S$238,U766)="","",INDEX(Manual_Review!$S$6:$S$238,U766))</f>
        <v/>
      </c>
      <c r="J766" s="5" t="str">
        <f t="shared" si="22"/>
        <v>AI provisional</v>
      </c>
      <c r="K766" s="5" t="str">
        <f t="shared" si="23"/>
        <v>U</v>
      </c>
      <c r="L766" s="5" t="s">
        <v>660</v>
      </c>
      <c r="M766" s="5" t="s">
        <v>4489</v>
      </c>
      <c r="N766" s="5" t="s">
        <v>4468</v>
      </c>
      <c r="O766" s="5" t="s">
        <v>4490</v>
      </c>
      <c r="P766" s="5" t="s">
        <v>2858</v>
      </c>
      <c r="Q766" s="11">
        <v>46306.5</v>
      </c>
      <c r="R766" s="6"/>
      <c r="S766" s="6"/>
      <c r="T766" s="6"/>
      <c r="U766" s="5">
        <f>MATCH(B766,Manual_Review!$A$6:$A$238,0)</f>
        <v>48</v>
      </c>
      <c r="V766" s="5" t="str">
        <f>IF(INDEX(Manual_Review!$G$6:$G$238,U766)="","",INDEX(Manual_Review!$G$6:$G$238,U766))</f>
        <v/>
      </c>
      <c r="W766" s="11" t="str">
        <f>IF(INDEX(Manual_Review!$H$6:$H$238,U766)="","",INDEX(Manual_Review!$H$6:$H$238,U766))</f>
        <v/>
      </c>
      <c r="X766" s="5" t="str">
        <f>IF(INDEX(Manual_Review!$I$6:$I$238,U766)="","",INDEX(Manual_Review!$I$6:$I$238,U766))</f>
        <v/>
      </c>
      <c r="Y766" s="5" t="s">
        <v>2859</v>
      </c>
    </row>
    <row r="767" spans="1:25" ht="38.25">
      <c r="A767" s="5" t="s">
        <v>4491</v>
      </c>
      <c r="B767" s="5" t="s">
        <v>653</v>
      </c>
      <c r="C767" s="5" t="s">
        <v>654</v>
      </c>
      <c r="D767" s="5" t="s">
        <v>118</v>
      </c>
      <c r="E767" s="5" t="s">
        <v>2790</v>
      </c>
      <c r="F767" s="5" t="s">
        <v>2760</v>
      </c>
      <c r="G767" s="5">
        <v>1</v>
      </c>
      <c r="H767" s="5" t="s">
        <v>2864</v>
      </c>
      <c r="I767" s="5" t="str">
        <f>IF(INDEX(Manual_Review!$T$6:$T$238,U767)="","",INDEX(Manual_Review!$T$6:$T$238,U767))</f>
        <v/>
      </c>
      <c r="J767" s="5" t="str">
        <f t="shared" si="22"/>
        <v>AI provisional</v>
      </c>
      <c r="K767" s="5" t="str">
        <f t="shared" si="23"/>
        <v>U</v>
      </c>
      <c r="L767" s="5" t="s">
        <v>660</v>
      </c>
      <c r="M767" s="5" t="s">
        <v>4471</v>
      </c>
      <c r="N767" s="5" t="s">
        <v>4468</v>
      </c>
      <c r="O767" s="5" t="s">
        <v>4492</v>
      </c>
      <c r="P767" s="5" t="s">
        <v>2858</v>
      </c>
      <c r="Q767" s="11">
        <v>46306.5</v>
      </c>
      <c r="R767" s="6"/>
      <c r="S767" s="6"/>
      <c r="T767" s="6"/>
      <c r="U767" s="5">
        <f>MATCH(B767,Manual_Review!$A$6:$A$238,0)</f>
        <v>48</v>
      </c>
      <c r="V767" s="5" t="str">
        <f>IF(INDEX(Manual_Review!$G$6:$G$238,U767)="","",INDEX(Manual_Review!$G$6:$G$238,U767))</f>
        <v/>
      </c>
      <c r="W767" s="11" t="str">
        <f>IF(INDEX(Manual_Review!$H$6:$H$238,U767)="","",INDEX(Manual_Review!$H$6:$H$238,U767))</f>
        <v/>
      </c>
      <c r="X767" s="5" t="str">
        <f>IF(INDEX(Manual_Review!$I$6:$I$238,U767)="","",INDEX(Manual_Review!$I$6:$I$238,U767))</f>
        <v/>
      </c>
      <c r="Y767" s="5" t="s">
        <v>2859</v>
      </c>
    </row>
    <row r="768" spans="1:25" ht="38.25">
      <c r="A768" s="5" t="s">
        <v>4493</v>
      </c>
      <c r="B768" s="5" t="s">
        <v>653</v>
      </c>
      <c r="C768" s="5" t="s">
        <v>654</v>
      </c>
      <c r="D768" s="5" t="s">
        <v>118</v>
      </c>
      <c r="E768" s="5" t="s">
        <v>2791</v>
      </c>
      <c r="F768" s="5" t="s">
        <v>2760</v>
      </c>
      <c r="G768" s="5">
        <v>1</v>
      </c>
      <c r="H768" s="5" t="s">
        <v>2864</v>
      </c>
      <c r="I768" s="5" t="str">
        <f>IF(INDEX(Manual_Review!$U$6:$U$238,U768)="","",INDEX(Manual_Review!$U$6:$U$238,U768))</f>
        <v/>
      </c>
      <c r="J768" s="5" t="str">
        <f t="shared" si="22"/>
        <v>AI provisional</v>
      </c>
      <c r="K768" s="5" t="str">
        <f t="shared" si="23"/>
        <v>U</v>
      </c>
      <c r="L768" s="5" t="s">
        <v>660</v>
      </c>
      <c r="M768" s="5" t="s">
        <v>4471</v>
      </c>
      <c r="N768" s="5" t="s">
        <v>4468</v>
      </c>
      <c r="O768" s="5" t="s">
        <v>4494</v>
      </c>
      <c r="P768" s="5" t="s">
        <v>2858</v>
      </c>
      <c r="Q768" s="11">
        <v>46306.5</v>
      </c>
      <c r="R768" s="6"/>
      <c r="S768" s="6"/>
      <c r="T768" s="6"/>
      <c r="U768" s="5">
        <f>MATCH(B768,Manual_Review!$A$6:$A$238,0)</f>
        <v>48</v>
      </c>
      <c r="V768" s="5" t="str">
        <f>IF(INDEX(Manual_Review!$G$6:$G$238,U768)="","",INDEX(Manual_Review!$G$6:$G$238,U768))</f>
        <v/>
      </c>
      <c r="W768" s="11" t="str">
        <f>IF(INDEX(Manual_Review!$H$6:$H$238,U768)="","",INDEX(Manual_Review!$H$6:$H$238,U768))</f>
        <v/>
      </c>
      <c r="X768" s="5" t="str">
        <f>IF(INDEX(Manual_Review!$I$6:$I$238,U768)="","",INDEX(Manual_Review!$I$6:$I$238,U768))</f>
        <v/>
      </c>
      <c r="Y768" s="5" t="s">
        <v>2859</v>
      </c>
    </row>
    <row r="769" spans="1:25" ht="38.25">
      <c r="A769" s="5" t="s">
        <v>4495</v>
      </c>
      <c r="B769" s="5" t="s">
        <v>653</v>
      </c>
      <c r="C769" s="5" t="s">
        <v>654</v>
      </c>
      <c r="D769" s="5" t="s">
        <v>118</v>
      </c>
      <c r="E769" s="5" t="s">
        <v>2792</v>
      </c>
      <c r="F769" s="5" t="s">
        <v>2762</v>
      </c>
      <c r="G769" s="5">
        <v>1</v>
      </c>
      <c r="H769" s="5" t="s">
        <v>2864</v>
      </c>
      <c r="I769" s="5" t="str">
        <f>IF(INDEX(Manual_Review!$V$6:$V$238,U769)="","",INDEX(Manual_Review!$V$6:$V$238,U769))</f>
        <v/>
      </c>
      <c r="J769" s="5" t="str">
        <f t="shared" si="22"/>
        <v>AI provisional</v>
      </c>
      <c r="K769" s="5" t="str">
        <f t="shared" si="23"/>
        <v>U</v>
      </c>
      <c r="L769" s="5" t="s">
        <v>660</v>
      </c>
      <c r="M769" s="5" t="s">
        <v>4496</v>
      </c>
      <c r="N769" s="5" t="s">
        <v>4468</v>
      </c>
      <c r="O769" s="5" t="s">
        <v>4497</v>
      </c>
      <c r="P769" s="5" t="s">
        <v>2858</v>
      </c>
      <c r="Q769" s="11">
        <v>46306.5</v>
      </c>
      <c r="R769" s="6"/>
      <c r="S769" s="6"/>
      <c r="T769" s="6"/>
      <c r="U769" s="5">
        <f>MATCH(B769,Manual_Review!$A$6:$A$238,0)</f>
        <v>48</v>
      </c>
      <c r="V769" s="5" t="str">
        <f>IF(INDEX(Manual_Review!$G$6:$G$238,U769)="","",INDEX(Manual_Review!$G$6:$G$238,U769))</f>
        <v/>
      </c>
      <c r="W769" s="11" t="str">
        <f>IF(INDEX(Manual_Review!$H$6:$H$238,U769)="","",INDEX(Manual_Review!$H$6:$H$238,U769))</f>
        <v/>
      </c>
      <c r="X769" s="5" t="str">
        <f>IF(INDEX(Manual_Review!$I$6:$I$238,U769)="","",INDEX(Manual_Review!$I$6:$I$238,U769))</f>
        <v/>
      </c>
      <c r="Y769" s="5" t="s">
        <v>2859</v>
      </c>
    </row>
    <row r="770" spans="1:25" ht="38.25">
      <c r="A770" s="5" t="s">
        <v>4498</v>
      </c>
      <c r="B770" s="5" t="s">
        <v>653</v>
      </c>
      <c r="C770" s="5" t="s">
        <v>654</v>
      </c>
      <c r="D770" s="5" t="s">
        <v>118</v>
      </c>
      <c r="E770" s="5" t="s">
        <v>2793</v>
      </c>
      <c r="F770" s="5" t="s">
        <v>2762</v>
      </c>
      <c r="G770" s="5">
        <v>1</v>
      </c>
      <c r="H770" s="5" t="s">
        <v>2864</v>
      </c>
      <c r="I770" s="5" t="str">
        <f>IF(INDEX(Manual_Review!$W$6:$W$238,U770)="","",INDEX(Manual_Review!$W$6:$W$238,U770))</f>
        <v/>
      </c>
      <c r="J770" s="5" t="str">
        <f t="shared" si="22"/>
        <v>AI provisional</v>
      </c>
      <c r="K770" s="5" t="str">
        <f t="shared" si="23"/>
        <v>U</v>
      </c>
      <c r="L770" s="5" t="s">
        <v>660</v>
      </c>
      <c r="M770" s="5" t="s">
        <v>4496</v>
      </c>
      <c r="N770" s="5" t="s">
        <v>4468</v>
      </c>
      <c r="O770" s="5" t="s">
        <v>4499</v>
      </c>
      <c r="P770" s="5" t="s">
        <v>2858</v>
      </c>
      <c r="Q770" s="11">
        <v>46306.5</v>
      </c>
      <c r="R770" s="6"/>
      <c r="S770" s="6"/>
      <c r="T770" s="6"/>
      <c r="U770" s="5">
        <f>MATCH(B770,Manual_Review!$A$6:$A$238,0)</f>
        <v>48</v>
      </c>
      <c r="V770" s="5" t="str">
        <f>IF(INDEX(Manual_Review!$G$6:$G$238,U770)="","",INDEX(Manual_Review!$G$6:$G$238,U770))</f>
        <v/>
      </c>
      <c r="W770" s="11" t="str">
        <f>IF(INDEX(Manual_Review!$H$6:$H$238,U770)="","",INDEX(Manual_Review!$H$6:$H$238,U770))</f>
        <v/>
      </c>
      <c r="X770" s="5" t="str">
        <f>IF(INDEX(Manual_Review!$I$6:$I$238,U770)="","",INDEX(Manual_Review!$I$6:$I$238,U770))</f>
        <v/>
      </c>
      <c r="Y770" s="5" t="s">
        <v>2859</v>
      </c>
    </row>
    <row r="771" spans="1:25" ht="38.25">
      <c r="A771" s="5" t="s">
        <v>4500</v>
      </c>
      <c r="B771" s="5" t="s">
        <v>653</v>
      </c>
      <c r="C771" s="5" t="s">
        <v>654</v>
      </c>
      <c r="D771" s="5" t="s">
        <v>118</v>
      </c>
      <c r="E771" s="5" t="s">
        <v>2794</v>
      </c>
      <c r="F771" s="5" t="s">
        <v>2764</v>
      </c>
      <c r="G771" s="5">
        <v>1</v>
      </c>
      <c r="H771" s="5" t="s">
        <v>2864</v>
      </c>
      <c r="I771" s="5" t="str">
        <f>IF(INDEX(Manual_Review!$X$6:$X$238,U771)="","",INDEX(Manual_Review!$X$6:$X$238,U771))</f>
        <v/>
      </c>
      <c r="J771" s="5" t="str">
        <f t="shared" si="22"/>
        <v>AI provisional</v>
      </c>
      <c r="K771" s="5" t="str">
        <f t="shared" si="23"/>
        <v>U</v>
      </c>
      <c r="L771" s="5" t="s">
        <v>660</v>
      </c>
      <c r="M771" s="5" t="s">
        <v>4471</v>
      </c>
      <c r="N771" s="5" t="s">
        <v>4468</v>
      </c>
      <c r="O771" s="5" t="s">
        <v>4501</v>
      </c>
      <c r="P771" s="5" t="s">
        <v>2858</v>
      </c>
      <c r="Q771" s="11">
        <v>46306.5</v>
      </c>
      <c r="R771" s="6"/>
      <c r="S771" s="6"/>
      <c r="T771" s="6"/>
      <c r="U771" s="5">
        <f>MATCH(B771,Manual_Review!$A$6:$A$238,0)</f>
        <v>48</v>
      </c>
      <c r="V771" s="5" t="str">
        <f>IF(INDEX(Manual_Review!$G$6:$G$238,U771)="","",INDEX(Manual_Review!$G$6:$G$238,U771))</f>
        <v/>
      </c>
      <c r="W771" s="11" t="str">
        <f>IF(INDEX(Manual_Review!$H$6:$H$238,U771)="","",INDEX(Manual_Review!$H$6:$H$238,U771))</f>
        <v/>
      </c>
      <c r="X771" s="5" t="str">
        <f>IF(INDEX(Manual_Review!$I$6:$I$238,U771)="","",INDEX(Manual_Review!$I$6:$I$238,U771))</f>
        <v/>
      </c>
      <c r="Y771" s="5" t="s">
        <v>2859</v>
      </c>
    </row>
    <row r="772" spans="1:25" ht="51">
      <c r="A772" s="5" t="s">
        <v>4502</v>
      </c>
      <c r="B772" s="5" t="s">
        <v>653</v>
      </c>
      <c r="C772" s="5" t="s">
        <v>654</v>
      </c>
      <c r="D772" s="5" t="s">
        <v>118</v>
      </c>
      <c r="E772" s="5" t="s">
        <v>2795</v>
      </c>
      <c r="F772" s="5" t="s">
        <v>2764</v>
      </c>
      <c r="G772" s="5">
        <v>1</v>
      </c>
      <c r="H772" s="5" t="s">
        <v>2864</v>
      </c>
      <c r="I772" s="5" t="str">
        <f>IF(INDEX(Manual_Review!$Y$6:$Y$238,U772)="","",INDEX(Manual_Review!$Y$6:$Y$238,U772))</f>
        <v/>
      </c>
      <c r="J772" s="5" t="str">
        <f t="shared" si="22"/>
        <v>AI provisional</v>
      </c>
      <c r="K772" s="5" t="str">
        <f t="shared" si="23"/>
        <v>U</v>
      </c>
      <c r="L772" s="5" t="s">
        <v>660</v>
      </c>
      <c r="M772" s="5" t="s">
        <v>4471</v>
      </c>
      <c r="N772" s="5" t="s">
        <v>4468</v>
      </c>
      <c r="O772" s="5" t="s">
        <v>4503</v>
      </c>
      <c r="P772" s="5" t="s">
        <v>2858</v>
      </c>
      <c r="Q772" s="11">
        <v>46306.5</v>
      </c>
      <c r="R772" s="6"/>
      <c r="S772" s="6"/>
      <c r="T772" s="6"/>
      <c r="U772" s="5">
        <f>MATCH(B772,Manual_Review!$A$6:$A$238,0)</f>
        <v>48</v>
      </c>
      <c r="V772" s="5" t="str">
        <f>IF(INDEX(Manual_Review!$G$6:$G$238,U772)="","",INDEX(Manual_Review!$G$6:$G$238,U772))</f>
        <v/>
      </c>
      <c r="W772" s="11" t="str">
        <f>IF(INDEX(Manual_Review!$H$6:$H$238,U772)="","",INDEX(Manual_Review!$H$6:$H$238,U772))</f>
        <v/>
      </c>
      <c r="X772" s="5" t="str">
        <f>IF(INDEX(Manual_Review!$I$6:$I$238,U772)="","",INDEX(Manual_Review!$I$6:$I$238,U772))</f>
        <v/>
      </c>
      <c r="Y772" s="5" t="s">
        <v>2859</v>
      </c>
    </row>
    <row r="773" spans="1:25" ht="38.25">
      <c r="A773" s="5" t="s">
        <v>4504</v>
      </c>
      <c r="B773" s="5" t="s">
        <v>653</v>
      </c>
      <c r="C773" s="5" t="s">
        <v>654</v>
      </c>
      <c r="D773" s="5" t="s">
        <v>118</v>
      </c>
      <c r="E773" s="5" t="s">
        <v>2796</v>
      </c>
      <c r="F773" s="5" t="s">
        <v>2764</v>
      </c>
      <c r="G773" s="5">
        <v>1</v>
      </c>
      <c r="H773" s="5" t="s">
        <v>2864</v>
      </c>
      <c r="I773" s="5" t="str">
        <f>IF(INDEX(Manual_Review!$Z$6:$Z$238,U773)="","",INDEX(Manual_Review!$Z$6:$Z$238,U773))</f>
        <v/>
      </c>
      <c r="J773" s="5" t="str">
        <f t="shared" si="22"/>
        <v>AI provisional</v>
      </c>
      <c r="K773" s="5" t="str">
        <f t="shared" si="23"/>
        <v>U</v>
      </c>
      <c r="L773" s="5" t="s">
        <v>660</v>
      </c>
      <c r="M773" s="5" t="s">
        <v>4489</v>
      </c>
      <c r="N773" s="5" t="s">
        <v>4468</v>
      </c>
      <c r="O773" s="5" t="s">
        <v>4505</v>
      </c>
      <c r="P773" s="5" t="s">
        <v>2858</v>
      </c>
      <c r="Q773" s="11">
        <v>46306.5</v>
      </c>
      <c r="R773" s="6"/>
      <c r="S773" s="6"/>
      <c r="T773" s="6"/>
      <c r="U773" s="5">
        <f>MATCH(B773,Manual_Review!$A$6:$A$238,0)</f>
        <v>48</v>
      </c>
      <c r="V773" s="5" t="str">
        <f>IF(INDEX(Manual_Review!$G$6:$G$238,U773)="","",INDEX(Manual_Review!$G$6:$G$238,U773))</f>
        <v/>
      </c>
      <c r="W773" s="11" t="str">
        <f>IF(INDEX(Manual_Review!$H$6:$H$238,U773)="","",INDEX(Manual_Review!$H$6:$H$238,U773))</f>
        <v/>
      </c>
      <c r="X773" s="5" t="str">
        <f>IF(INDEX(Manual_Review!$I$6:$I$238,U773)="","",INDEX(Manual_Review!$I$6:$I$238,U773))</f>
        <v/>
      </c>
      <c r="Y773" s="5" t="s">
        <v>2859</v>
      </c>
    </row>
    <row r="774" spans="1:25" ht="25.5">
      <c r="A774" s="5" t="s">
        <v>4506</v>
      </c>
      <c r="B774" s="5" t="s">
        <v>662</v>
      </c>
      <c r="C774" s="5" t="s">
        <v>663</v>
      </c>
      <c r="D774" s="5" t="s">
        <v>118</v>
      </c>
      <c r="E774" s="5" t="s">
        <v>2781</v>
      </c>
      <c r="F774" s="5" t="s">
        <v>2754</v>
      </c>
      <c r="G774" s="5">
        <v>1</v>
      </c>
      <c r="H774" s="5" t="s">
        <v>2854</v>
      </c>
      <c r="I774" s="5" t="str">
        <f>IF(INDEX(Manual_Review!$K$6:$K$238,U774)="","",INDEX(Manual_Review!$K$6:$K$238,U774))</f>
        <v/>
      </c>
      <c r="J774" s="5" t="str">
        <f t="shared" ref="J774:J837" si="24">IF(G774=0,"Not applicable",IF(I774="","AI provisional",IF(AND(OR(I774="Y",I774="N",I774="U",I774="X"),V774&lt;&gt;"",ISNUMBER(W774),W774&gt;0,X774="Confirmed",R774&lt;&gt;"",S774&lt;&gt;"",T774&lt;&gt;""),"Human valid","Evidence needed")))</f>
        <v>AI provisional</v>
      </c>
      <c r="K774" s="5" t="str">
        <f t="shared" ref="K774:K837" si="25">IF(G774=0,"N/A",IF(I774="",H774,IF(J774="Human valid",I774,"U")))</f>
        <v>Y</v>
      </c>
      <c r="L774" s="5" t="s">
        <v>670</v>
      </c>
      <c r="M774" s="5" t="s">
        <v>4507</v>
      </c>
      <c r="N774" s="5" t="s">
        <v>4508</v>
      </c>
      <c r="O774" s="5" t="s">
        <v>2857</v>
      </c>
      <c r="P774" s="5" t="s">
        <v>2858</v>
      </c>
      <c r="Q774" s="11">
        <v>46306.5</v>
      </c>
      <c r="R774" s="6"/>
      <c r="S774" s="6"/>
      <c r="T774" s="6"/>
      <c r="U774" s="5">
        <f>MATCH(B774,Manual_Review!$A$6:$A$238,0)</f>
        <v>49</v>
      </c>
      <c r="V774" s="5" t="str">
        <f>IF(INDEX(Manual_Review!$G$6:$G$238,U774)="","",INDEX(Manual_Review!$G$6:$G$238,U774))</f>
        <v/>
      </c>
      <c r="W774" s="11" t="str">
        <f>IF(INDEX(Manual_Review!$H$6:$H$238,U774)="","",INDEX(Manual_Review!$H$6:$H$238,U774))</f>
        <v/>
      </c>
      <c r="X774" s="5" t="str">
        <f>IF(INDEX(Manual_Review!$I$6:$I$238,U774)="","",INDEX(Manual_Review!$I$6:$I$238,U774))</f>
        <v/>
      </c>
      <c r="Y774" s="5" t="s">
        <v>2859</v>
      </c>
    </row>
    <row r="775" spans="1:25" ht="25.5">
      <c r="A775" s="5" t="s">
        <v>4509</v>
      </c>
      <c r="B775" s="5" t="s">
        <v>662</v>
      </c>
      <c r="C775" s="5" t="s">
        <v>663</v>
      </c>
      <c r="D775" s="5" t="s">
        <v>118</v>
      </c>
      <c r="E775" s="5" t="s">
        <v>2782</v>
      </c>
      <c r="F775" s="5" t="s">
        <v>2754</v>
      </c>
      <c r="G775" s="5">
        <v>1</v>
      </c>
      <c r="H775" s="5" t="s">
        <v>2854</v>
      </c>
      <c r="I775" s="5" t="str">
        <f>IF(INDEX(Manual_Review!$L$6:$L$238,U775)="","",INDEX(Manual_Review!$L$6:$L$238,U775))</f>
        <v/>
      </c>
      <c r="J775" s="5" t="str">
        <f t="shared" si="24"/>
        <v>AI provisional</v>
      </c>
      <c r="K775" s="5" t="str">
        <f t="shared" si="25"/>
        <v>Y</v>
      </c>
      <c r="L775" s="5" t="s">
        <v>670</v>
      </c>
      <c r="M775" s="5" t="s">
        <v>4510</v>
      </c>
      <c r="N775" s="5" t="s">
        <v>4508</v>
      </c>
      <c r="O775" s="5" t="s">
        <v>2862</v>
      </c>
      <c r="P775" s="5" t="s">
        <v>2858</v>
      </c>
      <c r="Q775" s="11">
        <v>46306.5</v>
      </c>
      <c r="R775" s="6"/>
      <c r="S775" s="6"/>
      <c r="T775" s="6"/>
      <c r="U775" s="5">
        <f>MATCH(B775,Manual_Review!$A$6:$A$238,0)</f>
        <v>49</v>
      </c>
      <c r="V775" s="5" t="str">
        <f>IF(INDEX(Manual_Review!$G$6:$G$238,U775)="","",INDEX(Manual_Review!$G$6:$G$238,U775))</f>
        <v/>
      </c>
      <c r="W775" s="11" t="str">
        <f>IF(INDEX(Manual_Review!$H$6:$H$238,U775)="","",INDEX(Manual_Review!$H$6:$H$238,U775))</f>
        <v/>
      </c>
      <c r="X775" s="5" t="str">
        <f>IF(INDEX(Manual_Review!$I$6:$I$238,U775)="","",INDEX(Manual_Review!$I$6:$I$238,U775))</f>
        <v/>
      </c>
      <c r="Y775" s="5" t="s">
        <v>2859</v>
      </c>
    </row>
    <row r="776" spans="1:25" ht="25.5">
      <c r="A776" s="5" t="s">
        <v>4511</v>
      </c>
      <c r="B776" s="5" t="s">
        <v>662</v>
      </c>
      <c r="C776" s="5" t="s">
        <v>663</v>
      </c>
      <c r="D776" s="5" t="s">
        <v>118</v>
      </c>
      <c r="E776" s="5" t="s">
        <v>2783</v>
      </c>
      <c r="F776" s="5" t="s">
        <v>2754</v>
      </c>
      <c r="G776" s="5">
        <v>1</v>
      </c>
      <c r="H776" s="5" t="s">
        <v>2854</v>
      </c>
      <c r="I776" s="5" t="str">
        <f>IF(INDEX(Manual_Review!$M$6:$M$238,U776)="","",INDEX(Manual_Review!$M$6:$M$238,U776))</f>
        <v/>
      </c>
      <c r="J776" s="5" t="str">
        <f t="shared" si="24"/>
        <v>AI provisional</v>
      </c>
      <c r="K776" s="5" t="str">
        <f t="shared" si="25"/>
        <v>Y</v>
      </c>
      <c r="L776" s="5" t="s">
        <v>670</v>
      </c>
      <c r="M776" s="5" t="s">
        <v>4512</v>
      </c>
      <c r="N776" s="5" t="s">
        <v>4508</v>
      </c>
      <c r="O776" s="5" t="s">
        <v>3133</v>
      </c>
      <c r="P776" s="5" t="s">
        <v>2858</v>
      </c>
      <c r="Q776" s="11">
        <v>46306.5</v>
      </c>
      <c r="R776" s="6"/>
      <c r="S776" s="6"/>
      <c r="T776" s="6"/>
      <c r="U776" s="5">
        <f>MATCH(B776,Manual_Review!$A$6:$A$238,0)</f>
        <v>49</v>
      </c>
      <c r="V776" s="5" t="str">
        <f>IF(INDEX(Manual_Review!$G$6:$G$238,U776)="","",INDEX(Manual_Review!$G$6:$G$238,U776))</f>
        <v/>
      </c>
      <c r="W776" s="11" t="str">
        <f>IF(INDEX(Manual_Review!$H$6:$H$238,U776)="","",INDEX(Manual_Review!$H$6:$H$238,U776))</f>
        <v/>
      </c>
      <c r="X776" s="5" t="str">
        <f>IF(INDEX(Manual_Review!$I$6:$I$238,U776)="","",INDEX(Manual_Review!$I$6:$I$238,U776))</f>
        <v/>
      </c>
      <c r="Y776" s="5" t="s">
        <v>2859</v>
      </c>
    </row>
    <row r="777" spans="1:25" ht="25.5">
      <c r="A777" s="5" t="s">
        <v>4513</v>
      </c>
      <c r="B777" s="5" t="s">
        <v>662</v>
      </c>
      <c r="C777" s="5" t="s">
        <v>663</v>
      </c>
      <c r="D777" s="5" t="s">
        <v>118</v>
      </c>
      <c r="E777" s="5" t="s">
        <v>2784</v>
      </c>
      <c r="F777" s="5" t="s">
        <v>2756</v>
      </c>
      <c r="G777" s="5">
        <v>1</v>
      </c>
      <c r="H777" s="5" t="s">
        <v>2854</v>
      </c>
      <c r="I777" s="5" t="str">
        <f>IF(INDEX(Manual_Review!$N$6:$N$238,U777)="","",INDEX(Manual_Review!$N$6:$N$238,U777))</f>
        <v/>
      </c>
      <c r="J777" s="5" t="str">
        <f t="shared" si="24"/>
        <v>AI provisional</v>
      </c>
      <c r="K777" s="5" t="str">
        <f t="shared" si="25"/>
        <v>Y</v>
      </c>
      <c r="L777" s="5" t="s">
        <v>670</v>
      </c>
      <c r="M777" s="5" t="s">
        <v>4514</v>
      </c>
      <c r="N777" s="5" t="s">
        <v>4508</v>
      </c>
      <c r="O777" s="5" t="s">
        <v>2963</v>
      </c>
      <c r="P777" s="5" t="s">
        <v>2858</v>
      </c>
      <c r="Q777" s="11">
        <v>46306.5</v>
      </c>
      <c r="R777" s="6"/>
      <c r="S777" s="6"/>
      <c r="T777" s="6"/>
      <c r="U777" s="5">
        <f>MATCH(B777,Manual_Review!$A$6:$A$238,0)</f>
        <v>49</v>
      </c>
      <c r="V777" s="5" t="str">
        <f>IF(INDEX(Manual_Review!$G$6:$G$238,U777)="","",INDEX(Manual_Review!$G$6:$G$238,U777))</f>
        <v/>
      </c>
      <c r="W777" s="11" t="str">
        <f>IF(INDEX(Manual_Review!$H$6:$H$238,U777)="","",INDEX(Manual_Review!$H$6:$H$238,U777))</f>
        <v/>
      </c>
      <c r="X777" s="5" t="str">
        <f>IF(INDEX(Manual_Review!$I$6:$I$238,U777)="","",INDEX(Manual_Review!$I$6:$I$238,U777))</f>
        <v/>
      </c>
      <c r="Y777" s="5" t="s">
        <v>2859</v>
      </c>
    </row>
    <row r="778" spans="1:25" ht="25.5">
      <c r="A778" s="5" t="s">
        <v>4515</v>
      </c>
      <c r="B778" s="5" t="s">
        <v>662</v>
      </c>
      <c r="C778" s="5" t="s">
        <v>663</v>
      </c>
      <c r="D778" s="5" t="s">
        <v>118</v>
      </c>
      <c r="E778" s="5" t="s">
        <v>2785</v>
      </c>
      <c r="F778" s="5" t="s">
        <v>2756</v>
      </c>
      <c r="G778" s="5">
        <v>1</v>
      </c>
      <c r="H778" s="5" t="s">
        <v>2864</v>
      </c>
      <c r="I778" s="5" t="str">
        <f>IF(INDEX(Manual_Review!$O$6:$O$238,U778)="","",INDEX(Manual_Review!$O$6:$O$238,U778))</f>
        <v/>
      </c>
      <c r="J778" s="5" t="str">
        <f t="shared" si="24"/>
        <v>AI provisional</v>
      </c>
      <c r="K778" s="5" t="str">
        <f t="shared" si="25"/>
        <v>U</v>
      </c>
      <c r="L778" s="5" t="s">
        <v>670</v>
      </c>
      <c r="M778" s="5" t="s">
        <v>4516</v>
      </c>
      <c r="N778" s="5" t="s">
        <v>4508</v>
      </c>
      <c r="O778" s="5" t="s">
        <v>2872</v>
      </c>
      <c r="P778" s="5" t="s">
        <v>2858</v>
      </c>
      <c r="Q778" s="11">
        <v>46306.5</v>
      </c>
      <c r="R778" s="6"/>
      <c r="S778" s="6"/>
      <c r="T778" s="6"/>
      <c r="U778" s="5">
        <f>MATCH(B778,Manual_Review!$A$6:$A$238,0)</f>
        <v>49</v>
      </c>
      <c r="V778" s="5" t="str">
        <f>IF(INDEX(Manual_Review!$G$6:$G$238,U778)="","",INDEX(Manual_Review!$G$6:$G$238,U778))</f>
        <v/>
      </c>
      <c r="W778" s="11" t="str">
        <f>IF(INDEX(Manual_Review!$H$6:$H$238,U778)="","",INDEX(Manual_Review!$H$6:$H$238,U778))</f>
        <v/>
      </c>
      <c r="X778" s="5" t="str">
        <f>IF(INDEX(Manual_Review!$I$6:$I$238,U778)="","",INDEX(Manual_Review!$I$6:$I$238,U778))</f>
        <v/>
      </c>
      <c r="Y778" s="5" t="s">
        <v>2859</v>
      </c>
    </row>
    <row r="779" spans="1:25" ht="25.5">
      <c r="A779" s="5" t="s">
        <v>4517</v>
      </c>
      <c r="B779" s="5" t="s">
        <v>662</v>
      </c>
      <c r="C779" s="5" t="s">
        <v>663</v>
      </c>
      <c r="D779" s="5" t="s">
        <v>118</v>
      </c>
      <c r="E779" s="5" t="s">
        <v>2786</v>
      </c>
      <c r="F779" s="5" t="s">
        <v>2756</v>
      </c>
      <c r="G779" s="5">
        <v>1</v>
      </c>
      <c r="H779" s="5" t="s">
        <v>2864</v>
      </c>
      <c r="I779" s="5" t="str">
        <f>IF(INDEX(Manual_Review!$P$6:$P$238,U779)="","",INDEX(Manual_Review!$P$6:$P$238,U779))</f>
        <v/>
      </c>
      <c r="J779" s="5" t="str">
        <f t="shared" si="24"/>
        <v>AI provisional</v>
      </c>
      <c r="K779" s="5" t="str">
        <f t="shared" si="25"/>
        <v>U</v>
      </c>
      <c r="L779" s="5" t="s">
        <v>670</v>
      </c>
      <c r="M779" s="5" t="s">
        <v>4518</v>
      </c>
      <c r="N779" s="5" t="s">
        <v>4508</v>
      </c>
      <c r="O779" s="5" t="s">
        <v>2874</v>
      </c>
      <c r="P779" s="5" t="s">
        <v>2858</v>
      </c>
      <c r="Q779" s="11">
        <v>46306.5</v>
      </c>
      <c r="R779" s="6"/>
      <c r="S779" s="6"/>
      <c r="T779" s="6"/>
      <c r="U779" s="5">
        <f>MATCH(B779,Manual_Review!$A$6:$A$238,0)</f>
        <v>49</v>
      </c>
      <c r="V779" s="5" t="str">
        <f>IF(INDEX(Manual_Review!$G$6:$G$238,U779)="","",INDEX(Manual_Review!$G$6:$G$238,U779))</f>
        <v/>
      </c>
      <c r="W779" s="11" t="str">
        <f>IF(INDEX(Manual_Review!$H$6:$H$238,U779)="","",INDEX(Manual_Review!$H$6:$H$238,U779))</f>
        <v/>
      </c>
      <c r="X779" s="5" t="str">
        <f>IF(INDEX(Manual_Review!$I$6:$I$238,U779)="","",INDEX(Manual_Review!$I$6:$I$238,U779))</f>
        <v/>
      </c>
      <c r="Y779" s="5" t="s">
        <v>2859</v>
      </c>
    </row>
    <row r="780" spans="1:25" ht="25.5">
      <c r="A780" s="5" t="s">
        <v>4519</v>
      </c>
      <c r="B780" s="5" t="s">
        <v>662</v>
      </c>
      <c r="C780" s="5" t="s">
        <v>663</v>
      </c>
      <c r="D780" s="5" t="s">
        <v>118</v>
      </c>
      <c r="E780" s="5" t="s">
        <v>2787</v>
      </c>
      <c r="F780" s="5" t="s">
        <v>2758</v>
      </c>
      <c r="G780" s="5">
        <v>1</v>
      </c>
      <c r="H780" s="5" t="s">
        <v>2854</v>
      </c>
      <c r="I780" s="5" t="str">
        <f>IF(INDEX(Manual_Review!$Q$6:$Q$238,U780)="","",INDEX(Manual_Review!$Q$6:$Q$238,U780))</f>
        <v/>
      </c>
      <c r="J780" s="5" t="str">
        <f t="shared" si="24"/>
        <v>AI provisional</v>
      </c>
      <c r="K780" s="5" t="str">
        <f t="shared" si="25"/>
        <v>Y</v>
      </c>
      <c r="L780" s="5" t="s">
        <v>670</v>
      </c>
      <c r="M780" s="5" t="s">
        <v>4520</v>
      </c>
      <c r="N780" s="5" t="s">
        <v>4508</v>
      </c>
      <c r="O780" s="5" t="s">
        <v>2969</v>
      </c>
      <c r="P780" s="5" t="s">
        <v>2858</v>
      </c>
      <c r="Q780" s="11">
        <v>46306.5</v>
      </c>
      <c r="R780" s="6"/>
      <c r="S780" s="6"/>
      <c r="T780" s="6"/>
      <c r="U780" s="5">
        <f>MATCH(B780,Manual_Review!$A$6:$A$238,0)</f>
        <v>49</v>
      </c>
      <c r="V780" s="5" t="str">
        <f>IF(INDEX(Manual_Review!$G$6:$G$238,U780)="","",INDEX(Manual_Review!$G$6:$G$238,U780))</f>
        <v/>
      </c>
      <c r="W780" s="11" t="str">
        <f>IF(INDEX(Manual_Review!$H$6:$H$238,U780)="","",INDEX(Manual_Review!$H$6:$H$238,U780))</f>
        <v/>
      </c>
      <c r="X780" s="5" t="str">
        <f>IF(INDEX(Manual_Review!$I$6:$I$238,U780)="","",INDEX(Manual_Review!$I$6:$I$238,U780))</f>
        <v/>
      </c>
      <c r="Y780" s="5" t="s">
        <v>2859</v>
      </c>
    </row>
    <row r="781" spans="1:25" ht="25.5">
      <c r="A781" s="5" t="s">
        <v>4521</v>
      </c>
      <c r="B781" s="5" t="s">
        <v>662</v>
      </c>
      <c r="C781" s="5" t="s">
        <v>663</v>
      </c>
      <c r="D781" s="5" t="s">
        <v>118</v>
      </c>
      <c r="E781" s="5" t="s">
        <v>2788</v>
      </c>
      <c r="F781" s="5" t="s">
        <v>2758</v>
      </c>
      <c r="G781" s="5">
        <v>1</v>
      </c>
      <c r="H781" s="5" t="s">
        <v>2864</v>
      </c>
      <c r="I781" s="5" t="str">
        <f>IF(INDEX(Manual_Review!$R$6:$R$238,U781)="","",INDEX(Manual_Review!$R$6:$R$238,U781))</f>
        <v/>
      </c>
      <c r="J781" s="5" t="str">
        <f t="shared" si="24"/>
        <v>AI provisional</v>
      </c>
      <c r="K781" s="5" t="str">
        <f t="shared" si="25"/>
        <v>U</v>
      </c>
      <c r="L781" s="5" t="s">
        <v>670</v>
      </c>
      <c r="M781" s="5" t="s">
        <v>4522</v>
      </c>
      <c r="N781" s="5" t="s">
        <v>4508</v>
      </c>
      <c r="O781" s="5" t="s">
        <v>2880</v>
      </c>
      <c r="P781" s="5" t="s">
        <v>2858</v>
      </c>
      <c r="Q781" s="11">
        <v>46306.5</v>
      </c>
      <c r="R781" s="6"/>
      <c r="S781" s="6"/>
      <c r="T781" s="6"/>
      <c r="U781" s="5">
        <f>MATCH(B781,Manual_Review!$A$6:$A$238,0)</f>
        <v>49</v>
      </c>
      <c r="V781" s="5" t="str">
        <f>IF(INDEX(Manual_Review!$G$6:$G$238,U781)="","",INDEX(Manual_Review!$G$6:$G$238,U781))</f>
        <v/>
      </c>
      <c r="W781" s="11" t="str">
        <f>IF(INDEX(Manual_Review!$H$6:$H$238,U781)="","",INDEX(Manual_Review!$H$6:$H$238,U781))</f>
        <v/>
      </c>
      <c r="X781" s="5" t="str">
        <f>IF(INDEX(Manual_Review!$I$6:$I$238,U781)="","",INDEX(Manual_Review!$I$6:$I$238,U781))</f>
        <v/>
      </c>
      <c r="Y781" s="5" t="s">
        <v>2859</v>
      </c>
    </row>
    <row r="782" spans="1:25" ht="25.5">
      <c r="A782" s="5" t="s">
        <v>4523</v>
      </c>
      <c r="B782" s="5" t="s">
        <v>662</v>
      </c>
      <c r="C782" s="5" t="s">
        <v>663</v>
      </c>
      <c r="D782" s="5" t="s">
        <v>118</v>
      </c>
      <c r="E782" s="5" t="s">
        <v>2789</v>
      </c>
      <c r="F782" s="5" t="s">
        <v>2758</v>
      </c>
      <c r="G782" s="5">
        <v>1</v>
      </c>
      <c r="H782" s="5" t="s">
        <v>2864</v>
      </c>
      <c r="I782" s="5" t="str">
        <f>IF(INDEX(Manual_Review!$S$6:$S$238,U782)="","",INDEX(Manual_Review!$S$6:$S$238,U782))</f>
        <v/>
      </c>
      <c r="J782" s="5" t="str">
        <f t="shared" si="24"/>
        <v>AI provisional</v>
      </c>
      <c r="K782" s="5" t="str">
        <f t="shared" si="25"/>
        <v>U</v>
      </c>
      <c r="L782" s="5" t="s">
        <v>670</v>
      </c>
      <c r="M782" s="5" t="s">
        <v>4524</v>
      </c>
      <c r="N782" s="5" t="s">
        <v>4508</v>
      </c>
      <c r="O782" s="5" t="s">
        <v>2883</v>
      </c>
      <c r="P782" s="5" t="s">
        <v>2858</v>
      </c>
      <c r="Q782" s="11">
        <v>46306.5</v>
      </c>
      <c r="R782" s="6"/>
      <c r="S782" s="6"/>
      <c r="T782" s="6"/>
      <c r="U782" s="5">
        <f>MATCH(B782,Manual_Review!$A$6:$A$238,0)</f>
        <v>49</v>
      </c>
      <c r="V782" s="5" t="str">
        <f>IF(INDEX(Manual_Review!$G$6:$G$238,U782)="","",INDEX(Manual_Review!$G$6:$G$238,U782))</f>
        <v/>
      </c>
      <c r="W782" s="11" t="str">
        <f>IF(INDEX(Manual_Review!$H$6:$H$238,U782)="","",INDEX(Manual_Review!$H$6:$H$238,U782))</f>
        <v/>
      </c>
      <c r="X782" s="5" t="str">
        <f>IF(INDEX(Manual_Review!$I$6:$I$238,U782)="","",INDEX(Manual_Review!$I$6:$I$238,U782))</f>
        <v/>
      </c>
      <c r="Y782" s="5" t="s">
        <v>2859</v>
      </c>
    </row>
    <row r="783" spans="1:25" ht="25.5">
      <c r="A783" s="5" t="s">
        <v>4525</v>
      </c>
      <c r="B783" s="5" t="s">
        <v>662</v>
      </c>
      <c r="C783" s="5" t="s">
        <v>663</v>
      </c>
      <c r="D783" s="5" t="s">
        <v>118</v>
      </c>
      <c r="E783" s="5" t="s">
        <v>2790</v>
      </c>
      <c r="F783" s="5" t="s">
        <v>2760</v>
      </c>
      <c r="G783" s="5">
        <v>1</v>
      </c>
      <c r="H783" s="5" t="s">
        <v>2854</v>
      </c>
      <c r="I783" s="5" t="str">
        <f>IF(INDEX(Manual_Review!$T$6:$T$238,U783)="","",INDEX(Manual_Review!$T$6:$T$238,U783))</f>
        <v/>
      </c>
      <c r="J783" s="5" t="str">
        <f t="shared" si="24"/>
        <v>AI provisional</v>
      </c>
      <c r="K783" s="5" t="str">
        <f t="shared" si="25"/>
        <v>Y</v>
      </c>
      <c r="L783" s="5" t="s">
        <v>670</v>
      </c>
      <c r="M783" s="5" t="s">
        <v>4526</v>
      </c>
      <c r="N783" s="5" t="s">
        <v>4508</v>
      </c>
      <c r="O783" s="5" t="s">
        <v>2976</v>
      </c>
      <c r="P783" s="5" t="s">
        <v>2858</v>
      </c>
      <c r="Q783" s="11">
        <v>46306.5</v>
      </c>
      <c r="R783" s="6"/>
      <c r="S783" s="6"/>
      <c r="T783" s="6"/>
      <c r="U783" s="5">
        <f>MATCH(B783,Manual_Review!$A$6:$A$238,0)</f>
        <v>49</v>
      </c>
      <c r="V783" s="5" t="str">
        <f>IF(INDEX(Manual_Review!$G$6:$G$238,U783)="","",INDEX(Manual_Review!$G$6:$G$238,U783))</f>
        <v/>
      </c>
      <c r="W783" s="11" t="str">
        <f>IF(INDEX(Manual_Review!$H$6:$H$238,U783)="","",INDEX(Manual_Review!$H$6:$H$238,U783))</f>
        <v/>
      </c>
      <c r="X783" s="5" t="str">
        <f>IF(INDEX(Manual_Review!$I$6:$I$238,U783)="","",INDEX(Manual_Review!$I$6:$I$238,U783))</f>
        <v/>
      </c>
      <c r="Y783" s="5" t="s">
        <v>2859</v>
      </c>
    </row>
    <row r="784" spans="1:25" ht="25.5">
      <c r="A784" s="5" t="s">
        <v>4527</v>
      </c>
      <c r="B784" s="5" t="s">
        <v>662</v>
      </c>
      <c r="C784" s="5" t="s">
        <v>663</v>
      </c>
      <c r="D784" s="5" t="s">
        <v>118</v>
      </c>
      <c r="E784" s="5" t="s">
        <v>2791</v>
      </c>
      <c r="F784" s="5" t="s">
        <v>2760</v>
      </c>
      <c r="G784" s="5">
        <v>1</v>
      </c>
      <c r="H784" s="5" t="s">
        <v>2854</v>
      </c>
      <c r="I784" s="5" t="str">
        <f>IF(INDEX(Manual_Review!$U$6:$U$238,U784)="","",INDEX(Manual_Review!$U$6:$U$238,U784))</f>
        <v/>
      </c>
      <c r="J784" s="5" t="str">
        <f t="shared" si="24"/>
        <v>AI provisional</v>
      </c>
      <c r="K784" s="5" t="str">
        <f t="shared" si="25"/>
        <v>Y</v>
      </c>
      <c r="L784" s="5" t="s">
        <v>670</v>
      </c>
      <c r="M784" s="5" t="s">
        <v>4528</v>
      </c>
      <c r="N784" s="5" t="s">
        <v>4508</v>
      </c>
      <c r="O784" s="5" t="s">
        <v>3380</v>
      </c>
      <c r="P784" s="5" t="s">
        <v>2858</v>
      </c>
      <c r="Q784" s="11">
        <v>46306.5</v>
      </c>
      <c r="R784" s="6"/>
      <c r="S784" s="6"/>
      <c r="T784" s="6"/>
      <c r="U784" s="5">
        <f>MATCH(B784,Manual_Review!$A$6:$A$238,0)</f>
        <v>49</v>
      </c>
      <c r="V784" s="5" t="str">
        <f>IF(INDEX(Manual_Review!$G$6:$G$238,U784)="","",INDEX(Manual_Review!$G$6:$G$238,U784))</f>
        <v/>
      </c>
      <c r="W784" s="11" t="str">
        <f>IF(INDEX(Manual_Review!$H$6:$H$238,U784)="","",INDEX(Manual_Review!$H$6:$H$238,U784))</f>
        <v/>
      </c>
      <c r="X784" s="5" t="str">
        <f>IF(INDEX(Manual_Review!$I$6:$I$238,U784)="","",INDEX(Manual_Review!$I$6:$I$238,U784))</f>
        <v/>
      </c>
      <c r="Y784" s="5" t="s">
        <v>2859</v>
      </c>
    </row>
    <row r="785" spans="1:25" ht="25.5">
      <c r="A785" s="5" t="s">
        <v>4529</v>
      </c>
      <c r="B785" s="5" t="s">
        <v>662</v>
      </c>
      <c r="C785" s="5" t="s">
        <v>663</v>
      </c>
      <c r="D785" s="5" t="s">
        <v>118</v>
      </c>
      <c r="E785" s="5" t="s">
        <v>2792</v>
      </c>
      <c r="F785" s="5" t="s">
        <v>2762</v>
      </c>
      <c r="G785" s="5">
        <v>1</v>
      </c>
      <c r="H785" s="5" t="s">
        <v>2864</v>
      </c>
      <c r="I785" s="5" t="str">
        <f>IF(INDEX(Manual_Review!$V$6:$V$238,U785)="","",INDEX(Manual_Review!$V$6:$V$238,U785))</f>
        <v/>
      </c>
      <c r="J785" s="5" t="str">
        <f t="shared" si="24"/>
        <v>AI provisional</v>
      </c>
      <c r="K785" s="5" t="str">
        <f t="shared" si="25"/>
        <v>U</v>
      </c>
      <c r="L785" s="5" t="s">
        <v>670</v>
      </c>
      <c r="M785" s="5" t="s">
        <v>4518</v>
      </c>
      <c r="N785" s="5" t="s">
        <v>4508</v>
      </c>
      <c r="O785" s="5" t="s">
        <v>2891</v>
      </c>
      <c r="P785" s="5" t="s">
        <v>2858</v>
      </c>
      <c r="Q785" s="11">
        <v>46306.5</v>
      </c>
      <c r="R785" s="6"/>
      <c r="S785" s="6"/>
      <c r="T785" s="6"/>
      <c r="U785" s="5">
        <f>MATCH(B785,Manual_Review!$A$6:$A$238,0)</f>
        <v>49</v>
      </c>
      <c r="V785" s="5" t="str">
        <f>IF(INDEX(Manual_Review!$G$6:$G$238,U785)="","",INDEX(Manual_Review!$G$6:$G$238,U785))</f>
        <v/>
      </c>
      <c r="W785" s="11" t="str">
        <f>IF(INDEX(Manual_Review!$H$6:$H$238,U785)="","",INDEX(Manual_Review!$H$6:$H$238,U785))</f>
        <v/>
      </c>
      <c r="X785" s="5" t="str">
        <f>IF(INDEX(Manual_Review!$I$6:$I$238,U785)="","",INDEX(Manual_Review!$I$6:$I$238,U785))</f>
        <v/>
      </c>
      <c r="Y785" s="5" t="s">
        <v>2859</v>
      </c>
    </row>
    <row r="786" spans="1:25" ht="25.5">
      <c r="A786" s="5" t="s">
        <v>4530</v>
      </c>
      <c r="B786" s="5" t="s">
        <v>662</v>
      </c>
      <c r="C786" s="5" t="s">
        <v>663</v>
      </c>
      <c r="D786" s="5" t="s">
        <v>118</v>
      </c>
      <c r="E786" s="5" t="s">
        <v>2793</v>
      </c>
      <c r="F786" s="5" t="s">
        <v>2762</v>
      </c>
      <c r="G786" s="5">
        <v>1</v>
      </c>
      <c r="H786" s="5" t="s">
        <v>2864</v>
      </c>
      <c r="I786" s="5" t="str">
        <f>IF(INDEX(Manual_Review!$W$6:$W$238,U786)="","",INDEX(Manual_Review!$W$6:$W$238,U786))</f>
        <v/>
      </c>
      <c r="J786" s="5" t="str">
        <f t="shared" si="24"/>
        <v>AI provisional</v>
      </c>
      <c r="K786" s="5" t="str">
        <f t="shared" si="25"/>
        <v>U</v>
      </c>
      <c r="L786" s="5" t="s">
        <v>670</v>
      </c>
      <c r="M786" s="5" t="s">
        <v>4518</v>
      </c>
      <c r="N786" s="5" t="s">
        <v>4508</v>
      </c>
      <c r="O786" s="5" t="s">
        <v>2893</v>
      </c>
      <c r="P786" s="5" t="s">
        <v>2858</v>
      </c>
      <c r="Q786" s="11">
        <v>46306.5</v>
      </c>
      <c r="R786" s="6"/>
      <c r="S786" s="6"/>
      <c r="T786" s="6"/>
      <c r="U786" s="5">
        <f>MATCH(B786,Manual_Review!$A$6:$A$238,0)</f>
        <v>49</v>
      </c>
      <c r="V786" s="5" t="str">
        <f>IF(INDEX(Manual_Review!$G$6:$G$238,U786)="","",INDEX(Manual_Review!$G$6:$G$238,U786))</f>
        <v/>
      </c>
      <c r="W786" s="11" t="str">
        <f>IF(INDEX(Manual_Review!$H$6:$H$238,U786)="","",INDEX(Manual_Review!$H$6:$H$238,U786))</f>
        <v/>
      </c>
      <c r="X786" s="5" t="str">
        <f>IF(INDEX(Manual_Review!$I$6:$I$238,U786)="","",INDEX(Manual_Review!$I$6:$I$238,U786))</f>
        <v/>
      </c>
      <c r="Y786" s="5" t="s">
        <v>2859</v>
      </c>
    </row>
    <row r="787" spans="1:25" ht="25.5">
      <c r="A787" s="5" t="s">
        <v>4531</v>
      </c>
      <c r="B787" s="5" t="s">
        <v>662</v>
      </c>
      <c r="C787" s="5" t="s">
        <v>663</v>
      </c>
      <c r="D787" s="5" t="s">
        <v>118</v>
      </c>
      <c r="E787" s="5" t="s">
        <v>2794</v>
      </c>
      <c r="F787" s="5" t="s">
        <v>2764</v>
      </c>
      <c r="G787" s="5">
        <v>1</v>
      </c>
      <c r="H787" s="5" t="s">
        <v>2864</v>
      </c>
      <c r="I787" s="5" t="str">
        <f>IF(INDEX(Manual_Review!$X$6:$X$238,U787)="","",INDEX(Manual_Review!$X$6:$X$238,U787))</f>
        <v/>
      </c>
      <c r="J787" s="5" t="str">
        <f t="shared" si="24"/>
        <v>AI provisional</v>
      </c>
      <c r="K787" s="5" t="str">
        <f t="shared" si="25"/>
        <v>U</v>
      </c>
      <c r="L787" s="5" t="s">
        <v>670</v>
      </c>
      <c r="M787" s="5" t="s">
        <v>4518</v>
      </c>
      <c r="N787" s="5" t="s">
        <v>4508</v>
      </c>
      <c r="O787" s="5" t="s">
        <v>2895</v>
      </c>
      <c r="P787" s="5" t="s">
        <v>2858</v>
      </c>
      <c r="Q787" s="11">
        <v>46306.5</v>
      </c>
      <c r="R787" s="6"/>
      <c r="S787" s="6"/>
      <c r="T787" s="6"/>
      <c r="U787" s="5">
        <f>MATCH(B787,Manual_Review!$A$6:$A$238,0)</f>
        <v>49</v>
      </c>
      <c r="V787" s="5" t="str">
        <f>IF(INDEX(Manual_Review!$G$6:$G$238,U787)="","",INDEX(Manual_Review!$G$6:$G$238,U787))</f>
        <v/>
      </c>
      <c r="W787" s="11" t="str">
        <f>IF(INDEX(Manual_Review!$H$6:$H$238,U787)="","",INDEX(Manual_Review!$H$6:$H$238,U787))</f>
        <v/>
      </c>
      <c r="X787" s="5" t="str">
        <f>IF(INDEX(Manual_Review!$I$6:$I$238,U787)="","",INDEX(Manual_Review!$I$6:$I$238,U787))</f>
        <v/>
      </c>
      <c r="Y787" s="5" t="s">
        <v>2859</v>
      </c>
    </row>
    <row r="788" spans="1:25" ht="25.5">
      <c r="A788" s="5" t="s">
        <v>4532</v>
      </c>
      <c r="B788" s="5" t="s">
        <v>662</v>
      </c>
      <c r="C788" s="5" t="s">
        <v>663</v>
      </c>
      <c r="D788" s="5" t="s">
        <v>118</v>
      </c>
      <c r="E788" s="5" t="s">
        <v>2795</v>
      </c>
      <c r="F788" s="5" t="s">
        <v>2764</v>
      </c>
      <c r="G788" s="5">
        <v>1</v>
      </c>
      <c r="H788" s="5" t="s">
        <v>2854</v>
      </c>
      <c r="I788" s="5" t="str">
        <f>IF(INDEX(Manual_Review!$Y$6:$Y$238,U788)="","",INDEX(Manual_Review!$Y$6:$Y$238,U788))</f>
        <v/>
      </c>
      <c r="J788" s="5" t="str">
        <f t="shared" si="24"/>
        <v>AI provisional</v>
      </c>
      <c r="K788" s="5" t="str">
        <f t="shared" si="25"/>
        <v>Y</v>
      </c>
      <c r="L788" s="5" t="s">
        <v>670</v>
      </c>
      <c r="M788" s="5" t="s">
        <v>4533</v>
      </c>
      <c r="N788" s="5" t="s">
        <v>4508</v>
      </c>
      <c r="O788" s="5" t="s">
        <v>3082</v>
      </c>
      <c r="P788" s="5" t="s">
        <v>2858</v>
      </c>
      <c r="Q788" s="11">
        <v>46306.5</v>
      </c>
      <c r="R788" s="6"/>
      <c r="S788" s="6"/>
      <c r="T788" s="6"/>
      <c r="U788" s="5">
        <f>MATCH(B788,Manual_Review!$A$6:$A$238,0)</f>
        <v>49</v>
      </c>
      <c r="V788" s="5" t="str">
        <f>IF(INDEX(Manual_Review!$G$6:$G$238,U788)="","",INDEX(Manual_Review!$G$6:$G$238,U788))</f>
        <v/>
      </c>
      <c r="W788" s="11" t="str">
        <f>IF(INDEX(Manual_Review!$H$6:$H$238,U788)="","",INDEX(Manual_Review!$H$6:$H$238,U788))</f>
        <v/>
      </c>
      <c r="X788" s="5" t="str">
        <f>IF(INDEX(Manual_Review!$I$6:$I$238,U788)="","",INDEX(Manual_Review!$I$6:$I$238,U788))</f>
        <v/>
      </c>
      <c r="Y788" s="5" t="s">
        <v>2859</v>
      </c>
    </row>
    <row r="789" spans="1:25" ht="25.5">
      <c r="A789" s="5" t="s">
        <v>4534</v>
      </c>
      <c r="B789" s="5" t="s">
        <v>662</v>
      </c>
      <c r="C789" s="5" t="s">
        <v>663</v>
      </c>
      <c r="D789" s="5" t="s">
        <v>118</v>
      </c>
      <c r="E789" s="5" t="s">
        <v>2796</v>
      </c>
      <c r="F789" s="5" t="s">
        <v>2764</v>
      </c>
      <c r="G789" s="5">
        <v>1</v>
      </c>
      <c r="H789" s="5" t="s">
        <v>2854</v>
      </c>
      <c r="I789" s="5" t="str">
        <f>IF(INDEX(Manual_Review!$Z$6:$Z$238,U789)="","",INDEX(Manual_Review!$Z$6:$Z$238,U789))</f>
        <v/>
      </c>
      <c r="J789" s="5" t="str">
        <f t="shared" si="24"/>
        <v>AI provisional</v>
      </c>
      <c r="K789" s="5" t="str">
        <f t="shared" si="25"/>
        <v>Y</v>
      </c>
      <c r="L789" s="5" t="s">
        <v>670</v>
      </c>
      <c r="M789" s="5" t="s">
        <v>4535</v>
      </c>
      <c r="N789" s="5" t="s">
        <v>4508</v>
      </c>
      <c r="O789" s="5" t="s">
        <v>3085</v>
      </c>
      <c r="P789" s="5" t="s">
        <v>2858</v>
      </c>
      <c r="Q789" s="11">
        <v>46306.5</v>
      </c>
      <c r="R789" s="6"/>
      <c r="S789" s="6"/>
      <c r="T789" s="6"/>
      <c r="U789" s="5">
        <f>MATCH(B789,Manual_Review!$A$6:$A$238,0)</f>
        <v>49</v>
      </c>
      <c r="V789" s="5" t="str">
        <f>IF(INDEX(Manual_Review!$G$6:$G$238,U789)="","",INDEX(Manual_Review!$G$6:$G$238,U789))</f>
        <v/>
      </c>
      <c r="W789" s="11" t="str">
        <f>IF(INDEX(Manual_Review!$H$6:$H$238,U789)="","",INDEX(Manual_Review!$H$6:$H$238,U789))</f>
        <v/>
      </c>
      <c r="X789" s="5" t="str">
        <f>IF(INDEX(Manual_Review!$I$6:$I$238,U789)="","",INDEX(Manual_Review!$I$6:$I$238,U789))</f>
        <v/>
      </c>
      <c r="Y789" s="5" t="s">
        <v>2859</v>
      </c>
    </row>
    <row r="790" spans="1:25" ht="25.5">
      <c r="A790" s="5" t="s">
        <v>4536</v>
      </c>
      <c r="B790" s="5" t="s">
        <v>672</v>
      </c>
      <c r="C790" s="5" t="s">
        <v>673</v>
      </c>
      <c r="D790" s="5" t="s">
        <v>118</v>
      </c>
      <c r="E790" s="5" t="s">
        <v>2781</v>
      </c>
      <c r="F790" s="5" t="s">
        <v>2754</v>
      </c>
      <c r="G790" s="5">
        <v>1</v>
      </c>
      <c r="H790" s="5" t="s">
        <v>2854</v>
      </c>
      <c r="I790" s="5" t="str">
        <f>IF(INDEX(Manual_Review!$K$6:$K$238,U790)="","",INDEX(Manual_Review!$K$6:$K$238,U790))</f>
        <v/>
      </c>
      <c r="J790" s="5" t="str">
        <f t="shared" si="24"/>
        <v>AI provisional</v>
      </c>
      <c r="K790" s="5" t="str">
        <f t="shared" si="25"/>
        <v>Y</v>
      </c>
      <c r="L790" s="5" t="s">
        <v>679</v>
      </c>
      <c r="M790" s="5" t="s">
        <v>4537</v>
      </c>
      <c r="N790" s="5" t="s">
        <v>4538</v>
      </c>
      <c r="O790" s="5" t="s">
        <v>2857</v>
      </c>
      <c r="P790" s="5" t="s">
        <v>2858</v>
      </c>
      <c r="Q790" s="11">
        <v>46306.5</v>
      </c>
      <c r="R790" s="6"/>
      <c r="S790" s="6"/>
      <c r="T790" s="6"/>
      <c r="U790" s="5">
        <f>MATCH(B790,Manual_Review!$A$6:$A$238,0)</f>
        <v>50</v>
      </c>
      <c r="V790" s="5" t="str">
        <f>IF(INDEX(Manual_Review!$G$6:$G$238,U790)="","",INDEX(Manual_Review!$G$6:$G$238,U790))</f>
        <v/>
      </c>
      <c r="W790" s="11" t="str">
        <f>IF(INDEX(Manual_Review!$H$6:$H$238,U790)="","",INDEX(Manual_Review!$H$6:$H$238,U790))</f>
        <v/>
      </c>
      <c r="X790" s="5" t="str">
        <f>IF(INDEX(Manual_Review!$I$6:$I$238,U790)="","",INDEX(Manual_Review!$I$6:$I$238,U790))</f>
        <v/>
      </c>
      <c r="Y790" s="5" t="s">
        <v>2859</v>
      </c>
    </row>
    <row r="791" spans="1:25" ht="25.5">
      <c r="A791" s="5" t="s">
        <v>4539</v>
      </c>
      <c r="B791" s="5" t="s">
        <v>672</v>
      </c>
      <c r="C791" s="5" t="s">
        <v>673</v>
      </c>
      <c r="D791" s="5" t="s">
        <v>118</v>
      </c>
      <c r="E791" s="5" t="s">
        <v>2782</v>
      </c>
      <c r="F791" s="5" t="s">
        <v>2754</v>
      </c>
      <c r="G791" s="5">
        <v>1</v>
      </c>
      <c r="H791" s="5" t="s">
        <v>2854</v>
      </c>
      <c r="I791" s="5" t="str">
        <f>IF(INDEX(Manual_Review!$L$6:$L$238,U791)="","",INDEX(Manual_Review!$L$6:$L$238,U791))</f>
        <v/>
      </c>
      <c r="J791" s="5" t="str">
        <f t="shared" si="24"/>
        <v>AI provisional</v>
      </c>
      <c r="K791" s="5" t="str">
        <f t="shared" si="25"/>
        <v>Y</v>
      </c>
      <c r="L791" s="5" t="s">
        <v>679</v>
      </c>
      <c r="M791" s="5" t="s">
        <v>4540</v>
      </c>
      <c r="N791" s="5" t="s">
        <v>4538</v>
      </c>
      <c r="O791" s="5" t="s">
        <v>2862</v>
      </c>
      <c r="P791" s="5" t="s">
        <v>2858</v>
      </c>
      <c r="Q791" s="11">
        <v>46306.5</v>
      </c>
      <c r="R791" s="6"/>
      <c r="S791" s="6"/>
      <c r="T791" s="6"/>
      <c r="U791" s="5">
        <f>MATCH(B791,Manual_Review!$A$6:$A$238,0)</f>
        <v>50</v>
      </c>
      <c r="V791" s="5" t="str">
        <f>IF(INDEX(Manual_Review!$G$6:$G$238,U791)="","",INDEX(Manual_Review!$G$6:$G$238,U791))</f>
        <v/>
      </c>
      <c r="W791" s="11" t="str">
        <f>IF(INDEX(Manual_Review!$H$6:$H$238,U791)="","",INDEX(Manual_Review!$H$6:$H$238,U791))</f>
        <v/>
      </c>
      <c r="X791" s="5" t="str">
        <f>IF(INDEX(Manual_Review!$I$6:$I$238,U791)="","",INDEX(Manual_Review!$I$6:$I$238,U791))</f>
        <v/>
      </c>
      <c r="Y791" s="5" t="s">
        <v>2859</v>
      </c>
    </row>
    <row r="792" spans="1:25" ht="25.5">
      <c r="A792" s="5" t="s">
        <v>4541</v>
      </c>
      <c r="B792" s="5" t="s">
        <v>672</v>
      </c>
      <c r="C792" s="5" t="s">
        <v>673</v>
      </c>
      <c r="D792" s="5" t="s">
        <v>118</v>
      </c>
      <c r="E792" s="5" t="s">
        <v>2783</v>
      </c>
      <c r="F792" s="5" t="s">
        <v>2754</v>
      </c>
      <c r="G792" s="5">
        <v>1</v>
      </c>
      <c r="H792" s="5" t="s">
        <v>2854</v>
      </c>
      <c r="I792" s="5" t="str">
        <f>IF(INDEX(Manual_Review!$M$6:$M$238,U792)="","",INDEX(Manual_Review!$M$6:$M$238,U792))</f>
        <v/>
      </c>
      <c r="J792" s="5" t="str">
        <f t="shared" si="24"/>
        <v>AI provisional</v>
      </c>
      <c r="K792" s="5" t="str">
        <f t="shared" si="25"/>
        <v>Y</v>
      </c>
      <c r="L792" s="5" t="s">
        <v>679</v>
      </c>
      <c r="M792" s="5" t="s">
        <v>4542</v>
      </c>
      <c r="N792" s="5" t="s">
        <v>4538</v>
      </c>
      <c r="O792" s="5" t="s">
        <v>3133</v>
      </c>
      <c r="P792" s="5" t="s">
        <v>2858</v>
      </c>
      <c r="Q792" s="11">
        <v>46306.5</v>
      </c>
      <c r="R792" s="6"/>
      <c r="S792" s="6"/>
      <c r="T792" s="6"/>
      <c r="U792" s="5">
        <f>MATCH(B792,Manual_Review!$A$6:$A$238,0)</f>
        <v>50</v>
      </c>
      <c r="V792" s="5" t="str">
        <f>IF(INDEX(Manual_Review!$G$6:$G$238,U792)="","",INDEX(Manual_Review!$G$6:$G$238,U792))</f>
        <v/>
      </c>
      <c r="W792" s="11" t="str">
        <f>IF(INDEX(Manual_Review!$H$6:$H$238,U792)="","",INDEX(Manual_Review!$H$6:$H$238,U792))</f>
        <v/>
      </c>
      <c r="X792" s="5" t="str">
        <f>IF(INDEX(Manual_Review!$I$6:$I$238,U792)="","",INDEX(Manual_Review!$I$6:$I$238,U792))</f>
        <v/>
      </c>
      <c r="Y792" s="5" t="s">
        <v>2859</v>
      </c>
    </row>
    <row r="793" spans="1:25" ht="25.5">
      <c r="A793" s="5" t="s">
        <v>4543</v>
      </c>
      <c r="B793" s="5" t="s">
        <v>672</v>
      </c>
      <c r="C793" s="5" t="s">
        <v>673</v>
      </c>
      <c r="D793" s="5" t="s">
        <v>118</v>
      </c>
      <c r="E793" s="5" t="s">
        <v>2784</v>
      </c>
      <c r="F793" s="5" t="s">
        <v>2756</v>
      </c>
      <c r="G793" s="5">
        <v>1</v>
      </c>
      <c r="H793" s="5" t="s">
        <v>2854</v>
      </c>
      <c r="I793" s="5" t="str">
        <f>IF(INDEX(Manual_Review!$N$6:$N$238,U793)="","",INDEX(Manual_Review!$N$6:$N$238,U793))</f>
        <v/>
      </c>
      <c r="J793" s="5" t="str">
        <f t="shared" si="24"/>
        <v>AI provisional</v>
      </c>
      <c r="K793" s="5" t="str">
        <f t="shared" si="25"/>
        <v>Y</v>
      </c>
      <c r="L793" s="5" t="s">
        <v>679</v>
      </c>
      <c r="M793" s="5" t="s">
        <v>4544</v>
      </c>
      <c r="N793" s="5" t="s">
        <v>4538</v>
      </c>
      <c r="O793" s="5" t="s">
        <v>2963</v>
      </c>
      <c r="P793" s="5" t="s">
        <v>2858</v>
      </c>
      <c r="Q793" s="11">
        <v>46306.5</v>
      </c>
      <c r="R793" s="6"/>
      <c r="S793" s="6"/>
      <c r="T793" s="6"/>
      <c r="U793" s="5">
        <f>MATCH(B793,Manual_Review!$A$6:$A$238,0)</f>
        <v>50</v>
      </c>
      <c r="V793" s="5" t="str">
        <f>IF(INDEX(Manual_Review!$G$6:$G$238,U793)="","",INDEX(Manual_Review!$G$6:$G$238,U793))</f>
        <v/>
      </c>
      <c r="W793" s="11" t="str">
        <f>IF(INDEX(Manual_Review!$H$6:$H$238,U793)="","",INDEX(Manual_Review!$H$6:$H$238,U793))</f>
        <v/>
      </c>
      <c r="X793" s="5" t="str">
        <f>IF(INDEX(Manual_Review!$I$6:$I$238,U793)="","",INDEX(Manual_Review!$I$6:$I$238,U793))</f>
        <v/>
      </c>
      <c r="Y793" s="5" t="s">
        <v>2859</v>
      </c>
    </row>
    <row r="794" spans="1:25" ht="25.5">
      <c r="A794" s="5" t="s">
        <v>4545</v>
      </c>
      <c r="B794" s="5" t="s">
        <v>672</v>
      </c>
      <c r="C794" s="5" t="s">
        <v>673</v>
      </c>
      <c r="D794" s="5" t="s">
        <v>118</v>
      </c>
      <c r="E794" s="5" t="s">
        <v>2785</v>
      </c>
      <c r="F794" s="5" t="s">
        <v>2756</v>
      </c>
      <c r="G794" s="5">
        <v>1</v>
      </c>
      <c r="H794" s="5" t="s">
        <v>2864</v>
      </c>
      <c r="I794" s="5" t="str">
        <f>IF(INDEX(Manual_Review!$O$6:$O$238,U794)="","",INDEX(Manual_Review!$O$6:$O$238,U794))</f>
        <v/>
      </c>
      <c r="J794" s="5" t="str">
        <f t="shared" si="24"/>
        <v>AI provisional</v>
      </c>
      <c r="K794" s="5" t="str">
        <f t="shared" si="25"/>
        <v>U</v>
      </c>
      <c r="L794" s="5" t="s">
        <v>679</v>
      </c>
      <c r="M794" s="5" t="s">
        <v>4546</v>
      </c>
      <c r="N794" s="5" t="s">
        <v>4538</v>
      </c>
      <c r="O794" s="5" t="s">
        <v>2872</v>
      </c>
      <c r="P794" s="5" t="s">
        <v>2858</v>
      </c>
      <c r="Q794" s="11">
        <v>46306.5</v>
      </c>
      <c r="R794" s="6"/>
      <c r="S794" s="6"/>
      <c r="T794" s="6"/>
      <c r="U794" s="5">
        <f>MATCH(B794,Manual_Review!$A$6:$A$238,0)</f>
        <v>50</v>
      </c>
      <c r="V794" s="5" t="str">
        <f>IF(INDEX(Manual_Review!$G$6:$G$238,U794)="","",INDEX(Manual_Review!$G$6:$G$238,U794))</f>
        <v/>
      </c>
      <c r="W794" s="11" t="str">
        <f>IF(INDEX(Manual_Review!$H$6:$H$238,U794)="","",INDEX(Manual_Review!$H$6:$H$238,U794))</f>
        <v/>
      </c>
      <c r="X794" s="5" t="str">
        <f>IF(INDEX(Manual_Review!$I$6:$I$238,U794)="","",INDEX(Manual_Review!$I$6:$I$238,U794))</f>
        <v/>
      </c>
      <c r="Y794" s="5" t="s">
        <v>2859</v>
      </c>
    </row>
    <row r="795" spans="1:25" ht="25.5">
      <c r="A795" s="5" t="s">
        <v>4547</v>
      </c>
      <c r="B795" s="5" t="s">
        <v>672</v>
      </c>
      <c r="C795" s="5" t="s">
        <v>673</v>
      </c>
      <c r="D795" s="5" t="s">
        <v>118</v>
      </c>
      <c r="E795" s="5" t="s">
        <v>2786</v>
      </c>
      <c r="F795" s="5" t="s">
        <v>2756</v>
      </c>
      <c r="G795" s="5">
        <v>1</v>
      </c>
      <c r="H795" s="5" t="s">
        <v>2864</v>
      </c>
      <c r="I795" s="5" t="str">
        <f>IF(INDEX(Manual_Review!$P$6:$P$238,U795)="","",INDEX(Manual_Review!$P$6:$P$238,U795))</f>
        <v/>
      </c>
      <c r="J795" s="5" t="str">
        <f t="shared" si="24"/>
        <v>AI provisional</v>
      </c>
      <c r="K795" s="5" t="str">
        <f t="shared" si="25"/>
        <v>U</v>
      </c>
      <c r="L795" s="5" t="s">
        <v>679</v>
      </c>
      <c r="M795" s="5" t="s">
        <v>4548</v>
      </c>
      <c r="N795" s="5" t="s">
        <v>4538</v>
      </c>
      <c r="O795" s="5" t="s">
        <v>2874</v>
      </c>
      <c r="P795" s="5" t="s">
        <v>2858</v>
      </c>
      <c r="Q795" s="11">
        <v>46306.5</v>
      </c>
      <c r="R795" s="6"/>
      <c r="S795" s="6"/>
      <c r="T795" s="6"/>
      <c r="U795" s="5">
        <f>MATCH(B795,Manual_Review!$A$6:$A$238,0)</f>
        <v>50</v>
      </c>
      <c r="V795" s="5" t="str">
        <f>IF(INDEX(Manual_Review!$G$6:$G$238,U795)="","",INDEX(Manual_Review!$G$6:$G$238,U795))</f>
        <v/>
      </c>
      <c r="W795" s="11" t="str">
        <f>IF(INDEX(Manual_Review!$H$6:$H$238,U795)="","",INDEX(Manual_Review!$H$6:$H$238,U795))</f>
        <v/>
      </c>
      <c r="X795" s="5" t="str">
        <f>IF(INDEX(Manual_Review!$I$6:$I$238,U795)="","",INDEX(Manual_Review!$I$6:$I$238,U795))</f>
        <v/>
      </c>
      <c r="Y795" s="5" t="s">
        <v>2859</v>
      </c>
    </row>
    <row r="796" spans="1:25" ht="25.5">
      <c r="A796" s="5" t="s">
        <v>4549</v>
      </c>
      <c r="B796" s="5" t="s">
        <v>672</v>
      </c>
      <c r="C796" s="5" t="s">
        <v>673</v>
      </c>
      <c r="D796" s="5" t="s">
        <v>118</v>
      </c>
      <c r="E796" s="5" t="s">
        <v>2787</v>
      </c>
      <c r="F796" s="5" t="s">
        <v>2758</v>
      </c>
      <c r="G796" s="5">
        <v>1</v>
      </c>
      <c r="H796" s="5" t="s">
        <v>2864</v>
      </c>
      <c r="I796" s="5" t="str">
        <f>IF(INDEX(Manual_Review!$Q$6:$Q$238,U796)="","",INDEX(Manual_Review!$Q$6:$Q$238,U796))</f>
        <v/>
      </c>
      <c r="J796" s="5" t="str">
        <f t="shared" si="24"/>
        <v>AI provisional</v>
      </c>
      <c r="K796" s="5" t="str">
        <f t="shared" si="25"/>
        <v>U</v>
      </c>
      <c r="L796" s="5" t="s">
        <v>679</v>
      </c>
      <c r="M796" s="5" t="s">
        <v>4550</v>
      </c>
      <c r="N796" s="5" t="s">
        <v>4538</v>
      </c>
      <c r="O796" s="5" t="s">
        <v>2877</v>
      </c>
      <c r="P796" s="5" t="s">
        <v>2858</v>
      </c>
      <c r="Q796" s="11">
        <v>46306.5</v>
      </c>
      <c r="R796" s="6"/>
      <c r="S796" s="6"/>
      <c r="T796" s="6"/>
      <c r="U796" s="5">
        <f>MATCH(B796,Manual_Review!$A$6:$A$238,0)</f>
        <v>50</v>
      </c>
      <c r="V796" s="5" t="str">
        <f>IF(INDEX(Manual_Review!$G$6:$G$238,U796)="","",INDEX(Manual_Review!$G$6:$G$238,U796))</f>
        <v/>
      </c>
      <c r="W796" s="11" t="str">
        <f>IF(INDEX(Manual_Review!$H$6:$H$238,U796)="","",INDEX(Manual_Review!$H$6:$H$238,U796))</f>
        <v/>
      </c>
      <c r="X796" s="5" t="str">
        <f>IF(INDEX(Manual_Review!$I$6:$I$238,U796)="","",INDEX(Manual_Review!$I$6:$I$238,U796))</f>
        <v/>
      </c>
      <c r="Y796" s="5" t="s">
        <v>2859</v>
      </c>
    </row>
    <row r="797" spans="1:25" ht="25.5">
      <c r="A797" s="5" t="s">
        <v>4551</v>
      </c>
      <c r="B797" s="5" t="s">
        <v>672</v>
      </c>
      <c r="C797" s="5" t="s">
        <v>673</v>
      </c>
      <c r="D797" s="5" t="s">
        <v>118</v>
      </c>
      <c r="E797" s="5" t="s">
        <v>2788</v>
      </c>
      <c r="F797" s="5" t="s">
        <v>2758</v>
      </c>
      <c r="G797" s="5">
        <v>1</v>
      </c>
      <c r="H797" s="5" t="s">
        <v>2864</v>
      </c>
      <c r="I797" s="5" t="str">
        <f>IF(INDEX(Manual_Review!$R$6:$R$238,U797)="","",INDEX(Manual_Review!$R$6:$R$238,U797))</f>
        <v/>
      </c>
      <c r="J797" s="5" t="str">
        <f t="shared" si="24"/>
        <v>AI provisional</v>
      </c>
      <c r="K797" s="5" t="str">
        <f t="shared" si="25"/>
        <v>U</v>
      </c>
      <c r="L797" s="5" t="s">
        <v>679</v>
      </c>
      <c r="M797" s="5" t="s">
        <v>4552</v>
      </c>
      <c r="N797" s="5" t="s">
        <v>4538</v>
      </c>
      <c r="O797" s="5" t="s">
        <v>2880</v>
      </c>
      <c r="P797" s="5" t="s">
        <v>2858</v>
      </c>
      <c r="Q797" s="11">
        <v>46306.5</v>
      </c>
      <c r="R797" s="6"/>
      <c r="S797" s="6"/>
      <c r="T797" s="6"/>
      <c r="U797" s="5">
        <f>MATCH(B797,Manual_Review!$A$6:$A$238,0)</f>
        <v>50</v>
      </c>
      <c r="V797" s="5" t="str">
        <f>IF(INDEX(Manual_Review!$G$6:$G$238,U797)="","",INDEX(Manual_Review!$G$6:$G$238,U797))</f>
        <v/>
      </c>
      <c r="W797" s="11" t="str">
        <f>IF(INDEX(Manual_Review!$H$6:$H$238,U797)="","",INDEX(Manual_Review!$H$6:$H$238,U797))</f>
        <v/>
      </c>
      <c r="X797" s="5" t="str">
        <f>IF(INDEX(Manual_Review!$I$6:$I$238,U797)="","",INDEX(Manual_Review!$I$6:$I$238,U797))</f>
        <v/>
      </c>
      <c r="Y797" s="5" t="s">
        <v>2859</v>
      </c>
    </row>
    <row r="798" spans="1:25" ht="25.5">
      <c r="A798" s="5" t="s">
        <v>4553</v>
      </c>
      <c r="B798" s="5" t="s">
        <v>672</v>
      </c>
      <c r="C798" s="5" t="s">
        <v>673</v>
      </c>
      <c r="D798" s="5" t="s">
        <v>118</v>
      </c>
      <c r="E798" s="5" t="s">
        <v>2789</v>
      </c>
      <c r="F798" s="5" t="s">
        <v>2758</v>
      </c>
      <c r="G798" s="5">
        <v>1</v>
      </c>
      <c r="H798" s="5" t="s">
        <v>2854</v>
      </c>
      <c r="I798" s="5" t="str">
        <f>IF(INDEX(Manual_Review!$S$6:$S$238,U798)="","",INDEX(Manual_Review!$S$6:$S$238,U798))</f>
        <v/>
      </c>
      <c r="J798" s="5" t="str">
        <f t="shared" si="24"/>
        <v>AI provisional</v>
      </c>
      <c r="K798" s="5" t="str">
        <f t="shared" si="25"/>
        <v>Y</v>
      </c>
      <c r="L798" s="5" t="s">
        <v>679</v>
      </c>
      <c r="M798" s="5" t="s">
        <v>4554</v>
      </c>
      <c r="N798" s="5" t="s">
        <v>4538</v>
      </c>
      <c r="O798" s="5" t="s">
        <v>3178</v>
      </c>
      <c r="P798" s="5" t="s">
        <v>2858</v>
      </c>
      <c r="Q798" s="11">
        <v>46306.5</v>
      </c>
      <c r="R798" s="6"/>
      <c r="S798" s="6"/>
      <c r="T798" s="6"/>
      <c r="U798" s="5">
        <f>MATCH(B798,Manual_Review!$A$6:$A$238,0)</f>
        <v>50</v>
      </c>
      <c r="V798" s="5" t="str">
        <f>IF(INDEX(Manual_Review!$G$6:$G$238,U798)="","",INDEX(Manual_Review!$G$6:$G$238,U798))</f>
        <v/>
      </c>
      <c r="W798" s="11" t="str">
        <f>IF(INDEX(Manual_Review!$H$6:$H$238,U798)="","",INDEX(Manual_Review!$H$6:$H$238,U798))</f>
        <v/>
      </c>
      <c r="X798" s="5" t="str">
        <f>IF(INDEX(Manual_Review!$I$6:$I$238,U798)="","",INDEX(Manual_Review!$I$6:$I$238,U798))</f>
        <v/>
      </c>
      <c r="Y798" s="5" t="s">
        <v>2859</v>
      </c>
    </row>
    <row r="799" spans="1:25" ht="25.5">
      <c r="A799" s="5" t="s">
        <v>4555</v>
      </c>
      <c r="B799" s="5" t="s">
        <v>672</v>
      </c>
      <c r="C799" s="5" t="s">
        <v>673</v>
      </c>
      <c r="D799" s="5" t="s">
        <v>118</v>
      </c>
      <c r="E799" s="5" t="s">
        <v>2790</v>
      </c>
      <c r="F799" s="5" t="s">
        <v>2760</v>
      </c>
      <c r="G799" s="5">
        <v>1</v>
      </c>
      <c r="H799" s="5" t="s">
        <v>2864</v>
      </c>
      <c r="I799" s="5" t="str">
        <f>IF(INDEX(Manual_Review!$T$6:$T$238,U799)="","",INDEX(Manual_Review!$T$6:$T$238,U799))</f>
        <v/>
      </c>
      <c r="J799" s="5" t="str">
        <f t="shared" si="24"/>
        <v>AI provisional</v>
      </c>
      <c r="K799" s="5" t="str">
        <f t="shared" si="25"/>
        <v>U</v>
      </c>
      <c r="L799" s="5" t="s">
        <v>679</v>
      </c>
      <c r="M799" s="5" t="s">
        <v>4548</v>
      </c>
      <c r="N799" s="5" t="s">
        <v>4538</v>
      </c>
      <c r="O799" s="5" t="s">
        <v>2885</v>
      </c>
      <c r="P799" s="5" t="s">
        <v>2858</v>
      </c>
      <c r="Q799" s="11">
        <v>46306.5</v>
      </c>
      <c r="R799" s="6"/>
      <c r="S799" s="6"/>
      <c r="T799" s="6"/>
      <c r="U799" s="5">
        <f>MATCH(B799,Manual_Review!$A$6:$A$238,0)</f>
        <v>50</v>
      </c>
      <c r="V799" s="5" t="str">
        <f>IF(INDEX(Manual_Review!$G$6:$G$238,U799)="","",INDEX(Manual_Review!$G$6:$G$238,U799))</f>
        <v/>
      </c>
      <c r="W799" s="11" t="str">
        <f>IF(INDEX(Manual_Review!$H$6:$H$238,U799)="","",INDEX(Manual_Review!$H$6:$H$238,U799))</f>
        <v/>
      </c>
      <c r="X799" s="5" t="str">
        <f>IF(INDEX(Manual_Review!$I$6:$I$238,U799)="","",INDEX(Manual_Review!$I$6:$I$238,U799))</f>
        <v/>
      </c>
      <c r="Y799" s="5" t="s">
        <v>2859</v>
      </c>
    </row>
    <row r="800" spans="1:25" ht="25.5">
      <c r="A800" s="5" t="s">
        <v>4556</v>
      </c>
      <c r="B800" s="5" t="s">
        <v>672</v>
      </c>
      <c r="C800" s="5" t="s">
        <v>673</v>
      </c>
      <c r="D800" s="5" t="s">
        <v>118</v>
      </c>
      <c r="E800" s="5" t="s">
        <v>2791</v>
      </c>
      <c r="F800" s="5" t="s">
        <v>2760</v>
      </c>
      <c r="G800" s="5">
        <v>1</v>
      </c>
      <c r="H800" s="5" t="s">
        <v>2864</v>
      </c>
      <c r="I800" s="5" t="str">
        <f>IF(INDEX(Manual_Review!$U$6:$U$238,U800)="","",INDEX(Manual_Review!$U$6:$U$238,U800))</f>
        <v/>
      </c>
      <c r="J800" s="5" t="str">
        <f t="shared" si="24"/>
        <v>AI provisional</v>
      </c>
      <c r="K800" s="5" t="str">
        <f t="shared" si="25"/>
        <v>U</v>
      </c>
      <c r="L800" s="5" t="s">
        <v>679</v>
      </c>
      <c r="M800" s="5" t="s">
        <v>4557</v>
      </c>
      <c r="N800" s="5" t="s">
        <v>4538</v>
      </c>
      <c r="O800" s="5" t="s">
        <v>2888</v>
      </c>
      <c r="P800" s="5" t="s">
        <v>2858</v>
      </c>
      <c r="Q800" s="11">
        <v>46306.5</v>
      </c>
      <c r="R800" s="6"/>
      <c r="S800" s="6"/>
      <c r="T800" s="6"/>
      <c r="U800" s="5">
        <f>MATCH(B800,Manual_Review!$A$6:$A$238,0)</f>
        <v>50</v>
      </c>
      <c r="V800" s="5" t="str">
        <f>IF(INDEX(Manual_Review!$G$6:$G$238,U800)="","",INDEX(Manual_Review!$G$6:$G$238,U800))</f>
        <v/>
      </c>
      <c r="W800" s="11" t="str">
        <f>IF(INDEX(Manual_Review!$H$6:$H$238,U800)="","",INDEX(Manual_Review!$H$6:$H$238,U800))</f>
        <v/>
      </c>
      <c r="X800" s="5" t="str">
        <f>IF(INDEX(Manual_Review!$I$6:$I$238,U800)="","",INDEX(Manual_Review!$I$6:$I$238,U800))</f>
        <v/>
      </c>
      <c r="Y800" s="5" t="s">
        <v>2859</v>
      </c>
    </row>
    <row r="801" spans="1:25" ht="25.5">
      <c r="A801" s="5" t="s">
        <v>4558</v>
      </c>
      <c r="B801" s="5" t="s">
        <v>672</v>
      </c>
      <c r="C801" s="5" t="s">
        <v>673</v>
      </c>
      <c r="D801" s="5" t="s">
        <v>118</v>
      </c>
      <c r="E801" s="5" t="s">
        <v>2792</v>
      </c>
      <c r="F801" s="5" t="s">
        <v>2762</v>
      </c>
      <c r="G801" s="5">
        <v>1</v>
      </c>
      <c r="H801" s="5" t="s">
        <v>2854</v>
      </c>
      <c r="I801" s="5" t="str">
        <f>IF(INDEX(Manual_Review!$V$6:$V$238,U801)="","",INDEX(Manual_Review!$V$6:$V$238,U801))</f>
        <v/>
      </c>
      <c r="J801" s="5" t="str">
        <f t="shared" si="24"/>
        <v>AI provisional</v>
      </c>
      <c r="K801" s="5" t="str">
        <f t="shared" si="25"/>
        <v>Y</v>
      </c>
      <c r="L801" s="5" t="s">
        <v>679</v>
      </c>
      <c r="M801" s="5" t="s">
        <v>4559</v>
      </c>
      <c r="N801" s="5" t="s">
        <v>4538</v>
      </c>
      <c r="O801" s="5" t="s">
        <v>3152</v>
      </c>
      <c r="P801" s="5" t="s">
        <v>2858</v>
      </c>
      <c r="Q801" s="11">
        <v>46306.5</v>
      </c>
      <c r="R801" s="6"/>
      <c r="S801" s="6"/>
      <c r="T801" s="6"/>
      <c r="U801" s="5">
        <f>MATCH(B801,Manual_Review!$A$6:$A$238,0)</f>
        <v>50</v>
      </c>
      <c r="V801" s="5" t="str">
        <f>IF(INDEX(Manual_Review!$G$6:$G$238,U801)="","",INDEX(Manual_Review!$G$6:$G$238,U801))</f>
        <v/>
      </c>
      <c r="W801" s="11" t="str">
        <f>IF(INDEX(Manual_Review!$H$6:$H$238,U801)="","",INDEX(Manual_Review!$H$6:$H$238,U801))</f>
        <v/>
      </c>
      <c r="X801" s="5" t="str">
        <f>IF(INDEX(Manual_Review!$I$6:$I$238,U801)="","",INDEX(Manual_Review!$I$6:$I$238,U801))</f>
        <v/>
      </c>
      <c r="Y801" s="5" t="s">
        <v>2859</v>
      </c>
    </row>
    <row r="802" spans="1:25" ht="25.5">
      <c r="A802" s="5" t="s">
        <v>4560</v>
      </c>
      <c r="B802" s="5" t="s">
        <v>672</v>
      </c>
      <c r="C802" s="5" t="s">
        <v>673</v>
      </c>
      <c r="D802" s="5" t="s">
        <v>118</v>
      </c>
      <c r="E802" s="5" t="s">
        <v>2793</v>
      </c>
      <c r="F802" s="5" t="s">
        <v>2762</v>
      </c>
      <c r="G802" s="5">
        <v>1</v>
      </c>
      <c r="H802" s="5" t="s">
        <v>2854</v>
      </c>
      <c r="I802" s="5" t="str">
        <f>IF(INDEX(Manual_Review!$W$6:$W$238,U802)="","",INDEX(Manual_Review!$W$6:$W$238,U802))</f>
        <v/>
      </c>
      <c r="J802" s="5" t="str">
        <f t="shared" si="24"/>
        <v>AI provisional</v>
      </c>
      <c r="K802" s="5" t="str">
        <f t="shared" si="25"/>
        <v>Y</v>
      </c>
      <c r="L802" s="5" t="s">
        <v>679</v>
      </c>
      <c r="M802" s="5" t="s">
        <v>4561</v>
      </c>
      <c r="N802" s="5" t="s">
        <v>4538</v>
      </c>
      <c r="O802" s="5" t="s">
        <v>3077</v>
      </c>
      <c r="P802" s="5" t="s">
        <v>2858</v>
      </c>
      <c r="Q802" s="11">
        <v>46306.5</v>
      </c>
      <c r="R802" s="6"/>
      <c r="S802" s="6"/>
      <c r="T802" s="6"/>
      <c r="U802" s="5">
        <f>MATCH(B802,Manual_Review!$A$6:$A$238,0)</f>
        <v>50</v>
      </c>
      <c r="V802" s="5" t="str">
        <f>IF(INDEX(Manual_Review!$G$6:$G$238,U802)="","",INDEX(Manual_Review!$G$6:$G$238,U802))</f>
        <v/>
      </c>
      <c r="W802" s="11" t="str">
        <f>IF(INDEX(Manual_Review!$H$6:$H$238,U802)="","",INDEX(Manual_Review!$H$6:$H$238,U802))</f>
        <v/>
      </c>
      <c r="X802" s="5" t="str">
        <f>IF(INDEX(Manual_Review!$I$6:$I$238,U802)="","",INDEX(Manual_Review!$I$6:$I$238,U802))</f>
        <v/>
      </c>
      <c r="Y802" s="5" t="s">
        <v>2859</v>
      </c>
    </row>
    <row r="803" spans="1:25" ht="25.5">
      <c r="A803" s="5" t="s">
        <v>4562</v>
      </c>
      <c r="B803" s="5" t="s">
        <v>672</v>
      </c>
      <c r="C803" s="5" t="s">
        <v>673</v>
      </c>
      <c r="D803" s="5" t="s">
        <v>118</v>
      </c>
      <c r="E803" s="5" t="s">
        <v>2794</v>
      </c>
      <c r="F803" s="5" t="s">
        <v>2764</v>
      </c>
      <c r="G803" s="5">
        <v>1</v>
      </c>
      <c r="H803" s="5" t="s">
        <v>2864</v>
      </c>
      <c r="I803" s="5" t="str">
        <f>IF(INDEX(Manual_Review!$X$6:$X$238,U803)="","",INDEX(Manual_Review!$X$6:$X$238,U803))</f>
        <v/>
      </c>
      <c r="J803" s="5" t="str">
        <f t="shared" si="24"/>
        <v>AI provisional</v>
      </c>
      <c r="K803" s="5" t="str">
        <f t="shared" si="25"/>
        <v>U</v>
      </c>
      <c r="L803" s="5" t="s">
        <v>679</v>
      </c>
      <c r="M803" s="5" t="s">
        <v>4548</v>
      </c>
      <c r="N803" s="5" t="s">
        <v>4538</v>
      </c>
      <c r="O803" s="5" t="s">
        <v>2895</v>
      </c>
      <c r="P803" s="5" t="s">
        <v>2858</v>
      </c>
      <c r="Q803" s="11">
        <v>46306.5</v>
      </c>
      <c r="R803" s="6"/>
      <c r="S803" s="6"/>
      <c r="T803" s="6"/>
      <c r="U803" s="5">
        <f>MATCH(B803,Manual_Review!$A$6:$A$238,0)</f>
        <v>50</v>
      </c>
      <c r="V803" s="5" t="str">
        <f>IF(INDEX(Manual_Review!$G$6:$G$238,U803)="","",INDEX(Manual_Review!$G$6:$G$238,U803))</f>
        <v/>
      </c>
      <c r="W803" s="11" t="str">
        <f>IF(INDEX(Manual_Review!$H$6:$H$238,U803)="","",INDEX(Manual_Review!$H$6:$H$238,U803))</f>
        <v/>
      </c>
      <c r="X803" s="5" t="str">
        <f>IF(INDEX(Manual_Review!$I$6:$I$238,U803)="","",INDEX(Manual_Review!$I$6:$I$238,U803))</f>
        <v/>
      </c>
      <c r="Y803" s="5" t="s">
        <v>2859</v>
      </c>
    </row>
    <row r="804" spans="1:25" ht="25.5">
      <c r="A804" s="5" t="s">
        <v>4563</v>
      </c>
      <c r="B804" s="5" t="s">
        <v>672</v>
      </c>
      <c r="C804" s="5" t="s">
        <v>673</v>
      </c>
      <c r="D804" s="5" t="s">
        <v>118</v>
      </c>
      <c r="E804" s="5" t="s">
        <v>2795</v>
      </c>
      <c r="F804" s="5" t="s">
        <v>2764</v>
      </c>
      <c r="G804" s="5">
        <v>1</v>
      </c>
      <c r="H804" s="5" t="s">
        <v>2864</v>
      </c>
      <c r="I804" s="5" t="str">
        <f>IF(INDEX(Manual_Review!$Y$6:$Y$238,U804)="","",INDEX(Manual_Review!$Y$6:$Y$238,U804))</f>
        <v/>
      </c>
      <c r="J804" s="5" t="str">
        <f t="shared" si="24"/>
        <v>AI provisional</v>
      </c>
      <c r="K804" s="5" t="str">
        <f t="shared" si="25"/>
        <v>U</v>
      </c>
      <c r="L804" s="5" t="s">
        <v>679</v>
      </c>
      <c r="M804" s="5" t="s">
        <v>4548</v>
      </c>
      <c r="N804" s="5" t="s">
        <v>4538</v>
      </c>
      <c r="O804" s="5" t="s">
        <v>2897</v>
      </c>
      <c r="P804" s="5" t="s">
        <v>2858</v>
      </c>
      <c r="Q804" s="11">
        <v>46306.5</v>
      </c>
      <c r="R804" s="6"/>
      <c r="S804" s="6"/>
      <c r="T804" s="6"/>
      <c r="U804" s="5">
        <f>MATCH(B804,Manual_Review!$A$6:$A$238,0)</f>
        <v>50</v>
      </c>
      <c r="V804" s="5" t="str">
        <f>IF(INDEX(Manual_Review!$G$6:$G$238,U804)="","",INDEX(Manual_Review!$G$6:$G$238,U804))</f>
        <v/>
      </c>
      <c r="W804" s="11" t="str">
        <f>IF(INDEX(Manual_Review!$H$6:$H$238,U804)="","",INDEX(Manual_Review!$H$6:$H$238,U804))</f>
        <v/>
      </c>
      <c r="X804" s="5" t="str">
        <f>IF(INDEX(Manual_Review!$I$6:$I$238,U804)="","",INDEX(Manual_Review!$I$6:$I$238,U804))</f>
        <v/>
      </c>
      <c r="Y804" s="5" t="s">
        <v>2859</v>
      </c>
    </row>
    <row r="805" spans="1:25" ht="25.5">
      <c r="A805" s="5" t="s">
        <v>4564</v>
      </c>
      <c r="B805" s="5" t="s">
        <v>672</v>
      </c>
      <c r="C805" s="5" t="s">
        <v>673</v>
      </c>
      <c r="D805" s="5" t="s">
        <v>118</v>
      </c>
      <c r="E805" s="5" t="s">
        <v>2796</v>
      </c>
      <c r="F805" s="5" t="s">
        <v>2764</v>
      </c>
      <c r="G805" s="5">
        <v>1</v>
      </c>
      <c r="H805" s="5" t="s">
        <v>2864</v>
      </c>
      <c r="I805" s="5" t="str">
        <f>IF(INDEX(Manual_Review!$Z$6:$Z$238,U805)="","",INDEX(Manual_Review!$Z$6:$Z$238,U805))</f>
        <v/>
      </c>
      <c r="J805" s="5" t="str">
        <f t="shared" si="24"/>
        <v>AI provisional</v>
      </c>
      <c r="K805" s="5" t="str">
        <f t="shared" si="25"/>
        <v>U</v>
      </c>
      <c r="L805" s="5" t="s">
        <v>679</v>
      </c>
      <c r="M805" s="5" t="s">
        <v>4554</v>
      </c>
      <c r="N805" s="5" t="s">
        <v>4538</v>
      </c>
      <c r="O805" s="5" t="s">
        <v>2899</v>
      </c>
      <c r="P805" s="5" t="s">
        <v>2858</v>
      </c>
      <c r="Q805" s="11">
        <v>46306.5</v>
      </c>
      <c r="R805" s="6"/>
      <c r="S805" s="6"/>
      <c r="T805" s="6"/>
      <c r="U805" s="5">
        <f>MATCH(B805,Manual_Review!$A$6:$A$238,0)</f>
        <v>50</v>
      </c>
      <c r="V805" s="5" t="str">
        <f>IF(INDEX(Manual_Review!$G$6:$G$238,U805)="","",INDEX(Manual_Review!$G$6:$G$238,U805))</f>
        <v/>
      </c>
      <c r="W805" s="11" t="str">
        <f>IF(INDEX(Manual_Review!$H$6:$H$238,U805)="","",INDEX(Manual_Review!$H$6:$H$238,U805))</f>
        <v/>
      </c>
      <c r="X805" s="5" t="str">
        <f>IF(INDEX(Manual_Review!$I$6:$I$238,U805)="","",INDEX(Manual_Review!$I$6:$I$238,U805))</f>
        <v/>
      </c>
      <c r="Y805" s="5" t="s">
        <v>2859</v>
      </c>
    </row>
    <row r="806" spans="1:25" ht="25.5">
      <c r="A806" s="5" t="s">
        <v>4565</v>
      </c>
      <c r="B806" s="5" t="s">
        <v>681</v>
      </c>
      <c r="C806" s="5" t="s">
        <v>682</v>
      </c>
      <c r="D806" s="5" t="s">
        <v>118</v>
      </c>
      <c r="E806" s="5" t="s">
        <v>2781</v>
      </c>
      <c r="F806" s="5" t="s">
        <v>2754</v>
      </c>
      <c r="G806" s="5">
        <v>1</v>
      </c>
      <c r="H806" s="5" t="s">
        <v>2854</v>
      </c>
      <c r="I806" s="5" t="str">
        <f>IF(INDEX(Manual_Review!$K$6:$K$238,U806)="","",INDEX(Manual_Review!$K$6:$K$238,U806))</f>
        <v/>
      </c>
      <c r="J806" s="5" t="str">
        <f t="shared" si="24"/>
        <v>AI provisional</v>
      </c>
      <c r="K806" s="5" t="str">
        <f t="shared" si="25"/>
        <v>Y</v>
      </c>
      <c r="L806" s="5" t="s">
        <v>689</v>
      </c>
      <c r="M806" s="5" t="s">
        <v>4566</v>
      </c>
      <c r="N806" s="5" t="s">
        <v>4567</v>
      </c>
      <c r="O806" s="5" t="s">
        <v>2857</v>
      </c>
      <c r="P806" s="5" t="s">
        <v>2858</v>
      </c>
      <c r="Q806" s="11">
        <v>46306.5</v>
      </c>
      <c r="R806" s="6"/>
      <c r="S806" s="6"/>
      <c r="T806" s="6"/>
      <c r="U806" s="5">
        <f>MATCH(B806,Manual_Review!$A$6:$A$238,0)</f>
        <v>51</v>
      </c>
      <c r="V806" s="5" t="str">
        <f>IF(INDEX(Manual_Review!$G$6:$G$238,U806)="","",INDEX(Manual_Review!$G$6:$G$238,U806))</f>
        <v/>
      </c>
      <c r="W806" s="11" t="str">
        <f>IF(INDEX(Manual_Review!$H$6:$H$238,U806)="","",INDEX(Manual_Review!$H$6:$H$238,U806))</f>
        <v/>
      </c>
      <c r="X806" s="5" t="str">
        <f>IF(INDEX(Manual_Review!$I$6:$I$238,U806)="","",INDEX(Manual_Review!$I$6:$I$238,U806))</f>
        <v/>
      </c>
      <c r="Y806" s="5" t="s">
        <v>2859</v>
      </c>
    </row>
    <row r="807" spans="1:25" ht="25.5">
      <c r="A807" s="5" t="s">
        <v>4568</v>
      </c>
      <c r="B807" s="5" t="s">
        <v>681</v>
      </c>
      <c r="C807" s="5" t="s">
        <v>682</v>
      </c>
      <c r="D807" s="5" t="s">
        <v>118</v>
      </c>
      <c r="E807" s="5" t="s">
        <v>2782</v>
      </c>
      <c r="F807" s="5" t="s">
        <v>2754</v>
      </c>
      <c r="G807" s="5">
        <v>1</v>
      </c>
      <c r="H807" s="5" t="s">
        <v>2854</v>
      </c>
      <c r="I807" s="5" t="str">
        <f>IF(INDEX(Manual_Review!$L$6:$L$238,U807)="","",INDEX(Manual_Review!$L$6:$L$238,U807))</f>
        <v/>
      </c>
      <c r="J807" s="5" t="str">
        <f t="shared" si="24"/>
        <v>AI provisional</v>
      </c>
      <c r="K807" s="5" t="str">
        <f t="shared" si="25"/>
        <v>Y</v>
      </c>
      <c r="L807" s="5" t="s">
        <v>689</v>
      </c>
      <c r="M807" s="5" t="s">
        <v>4569</v>
      </c>
      <c r="N807" s="5" t="s">
        <v>4567</v>
      </c>
      <c r="O807" s="5" t="s">
        <v>2862</v>
      </c>
      <c r="P807" s="5" t="s">
        <v>2858</v>
      </c>
      <c r="Q807" s="11">
        <v>46306.5</v>
      </c>
      <c r="R807" s="6"/>
      <c r="S807" s="6"/>
      <c r="T807" s="6"/>
      <c r="U807" s="5">
        <f>MATCH(B807,Manual_Review!$A$6:$A$238,0)</f>
        <v>51</v>
      </c>
      <c r="V807" s="5" t="str">
        <f>IF(INDEX(Manual_Review!$G$6:$G$238,U807)="","",INDEX(Manual_Review!$G$6:$G$238,U807))</f>
        <v/>
      </c>
      <c r="W807" s="11" t="str">
        <f>IF(INDEX(Manual_Review!$H$6:$H$238,U807)="","",INDEX(Manual_Review!$H$6:$H$238,U807))</f>
        <v/>
      </c>
      <c r="X807" s="5" t="str">
        <f>IF(INDEX(Manual_Review!$I$6:$I$238,U807)="","",INDEX(Manual_Review!$I$6:$I$238,U807))</f>
        <v/>
      </c>
      <c r="Y807" s="5" t="s">
        <v>2859</v>
      </c>
    </row>
    <row r="808" spans="1:25" ht="25.5">
      <c r="A808" s="5" t="s">
        <v>4570</v>
      </c>
      <c r="B808" s="5" t="s">
        <v>681</v>
      </c>
      <c r="C808" s="5" t="s">
        <v>682</v>
      </c>
      <c r="D808" s="5" t="s">
        <v>118</v>
      </c>
      <c r="E808" s="5" t="s">
        <v>2783</v>
      </c>
      <c r="F808" s="5" t="s">
        <v>2754</v>
      </c>
      <c r="G808" s="5">
        <v>1</v>
      </c>
      <c r="H808" s="5" t="s">
        <v>2854</v>
      </c>
      <c r="I808" s="5" t="str">
        <f>IF(INDEX(Manual_Review!$M$6:$M$238,U808)="","",INDEX(Manual_Review!$M$6:$M$238,U808))</f>
        <v/>
      </c>
      <c r="J808" s="5" t="str">
        <f t="shared" si="24"/>
        <v>AI provisional</v>
      </c>
      <c r="K808" s="5" t="str">
        <f t="shared" si="25"/>
        <v>Y</v>
      </c>
      <c r="L808" s="5" t="s">
        <v>689</v>
      </c>
      <c r="M808" s="5" t="s">
        <v>4571</v>
      </c>
      <c r="N808" s="5" t="s">
        <v>4567</v>
      </c>
      <c r="O808" s="5" t="s">
        <v>3133</v>
      </c>
      <c r="P808" s="5" t="s">
        <v>2858</v>
      </c>
      <c r="Q808" s="11">
        <v>46306.5</v>
      </c>
      <c r="R808" s="6"/>
      <c r="S808" s="6"/>
      <c r="T808" s="6"/>
      <c r="U808" s="5">
        <f>MATCH(B808,Manual_Review!$A$6:$A$238,0)</f>
        <v>51</v>
      </c>
      <c r="V808" s="5" t="str">
        <f>IF(INDEX(Manual_Review!$G$6:$G$238,U808)="","",INDEX(Manual_Review!$G$6:$G$238,U808))</f>
        <v/>
      </c>
      <c r="W808" s="11" t="str">
        <f>IF(INDEX(Manual_Review!$H$6:$H$238,U808)="","",INDEX(Manual_Review!$H$6:$H$238,U808))</f>
        <v/>
      </c>
      <c r="X808" s="5" t="str">
        <f>IF(INDEX(Manual_Review!$I$6:$I$238,U808)="","",INDEX(Manual_Review!$I$6:$I$238,U808))</f>
        <v/>
      </c>
      <c r="Y808" s="5" t="s">
        <v>2859</v>
      </c>
    </row>
    <row r="809" spans="1:25" ht="25.5">
      <c r="A809" s="5" t="s">
        <v>4572</v>
      </c>
      <c r="B809" s="5" t="s">
        <v>681</v>
      </c>
      <c r="C809" s="5" t="s">
        <v>682</v>
      </c>
      <c r="D809" s="5" t="s">
        <v>118</v>
      </c>
      <c r="E809" s="5" t="s">
        <v>2784</v>
      </c>
      <c r="F809" s="5" t="s">
        <v>2756</v>
      </c>
      <c r="G809" s="5">
        <v>1</v>
      </c>
      <c r="H809" s="5" t="s">
        <v>2854</v>
      </c>
      <c r="I809" s="5" t="str">
        <f>IF(INDEX(Manual_Review!$N$6:$N$238,U809)="","",INDEX(Manual_Review!$N$6:$N$238,U809))</f>
        <v/>
      </c>
      <c r="J809" s="5" t="str">
        <f t="shared" si="24"/>
        <v>AI provisional</v>
      </c>
      <c r="K809" s="5" t="str">
        <f t="shared" si="25"/>
        <v>Y</v>
      </c>
      <c r="L809" s="5" t="s">
        <v>689</v>
      </c>
      <c r="M809" s="5" t="s">
        <v>4573</v>
      </c>
      <c r="N809" s="5" t="s">
        <v>4567</v>
      </c>
      <c r="O809" s="5" t="s">
        <v>2963</v>
      </c>
      <c r="P809" s="5" t="s">
        <v>2858</v>
      </c>
      <c r="Q809" s="11">
        <v>46306.5</v>
      </c>
      <c r="R809" s="6"/>
      <c r="S809" s="6"/>
      <c r="T809" s="6"/>
      <c r="U809" s="5">
        <f>MATCH(B809,Manual_Review!$A$6:$A$238,0)</f>
        <v>51</v>
      </c>
      <c r="V809" s="5" t="str">
        <f>IF(INDEX(Manual_Review!$G$6:$G$238,U809)="","",INDEX(Manual_Review!$G$6:$G$238,U809))</f>
        <v/>
      </c>
      <c r="W809" s="11" t="str">
        <f>IF(INDEX(Manual_Review!$H$6:$H$238,U809)="","",INDEX(Manual_Review!$H$6:$H$238,U809))</f>
        <v/>
      </c>
      <c r="X809" s="5" t="str">
        <f>IF(INDEX(Manual_Review!$I$6:$I$238,U809)="","",INDEX(Manual_Review!$I$6:$I$238,U809))</f>
        <v/>
      </c>
      <c r="Y809" s="5" t="s">
        <v>2859</v>
      </c>
    </row>
    <row r="810" spans="1:25" ht="25.5">
      <c r="A810" s="5" t="s">
        <v>4574</v>
      </c>
      <c r="B810" s="5" t="s">
        <v>681</v>
      </c>
      <c r="C810" s="5" t="s">
        <v>682</v>
      </c>
      <c r="D810" s="5" t="s">
        <v>118</v>
      </c>
      <c r="E810" s="5" t="s">
        <v>2785</v>
      </c>
      <c r="F810" s="5" t="s">
        <v>2756</v>
      </c>
      <c r="G810" s="5">
        <v>1</v>
      </c>
      <c r="H810" s="5" t="s">
        <v>2864</v>
      </c>
      <c r="I810" s="5" t="str">
        <f>IF(INDEX(Manual_Review!$O$6:$O$238,U810)="","",INDEX(Manual_Review!$O$6:$O$238,U810))</f>
        <v/>
      </c>
      <c r="J810" s="5" t="str">
        <f t="shared" si="24"/>
        <v>AI provisional</v>
      </c>
      <c r="K810" s="5" t="str">
        <f t="shared" si="25"/>
        <v>U</v>
      </c>
      <c r="L810" s="5" t="s">
        <v>689</v>
      </c>
      <c r="M810" s="5" t="s">
        <v>4575</v>
      </c>
      <c r="N810" s="5" t="s">
        <v>4567</v>
      </c>
      <c r="O810" s="5" t="s">
        <v>2872</v>
      </c>
      <c r="P810" s="5" t="s">
        <v>2858</v>
      </c>
      <c r="Q810" s="11">
        <v>46306.5</v>
      </c>
      <c r="R810" s="6"/>
      <c r="S810" s="6"/>
      <c r="T810" s="6"/>
      <c r="U810" s="5">
        <f>MATCH(B810,Manual_Review!$A$6:$A$238,0)</f>
        <v>51</v>
      </c>
      <c r="V810" s="5" t="str">
        <f>IF(INDEX(Manual_Review!$G$6:$G$238,U810)="","",INDEX(Manual_Review!$G$6:$G$238,U810))</f>
        <v/>
      </c>
      <c r="W810" s="11" t="str">
        <f>IF(INDEX(Manual_Review!$H$6:$H$238,U810)="","",INDEX(Manual_Review!$H$6:$H$238,U810))</f>
        <v/>
      </c>
      <c r="X810" s="5" t="str">
        <f>IF(INDEX(Manual_Review!$I$6:$I$238,U810)="","",INDEX(Manual_Review!$I$6:$I$238,U810))</f>
        <v/>
      </c>
      <c r="Y810" s="5" t="s">
        <v>2859</v>
      </c>
    </row>
    <row r="811" spans="1:25" ht="25.5">
      <c r="A811" s="5" t="s">
        <v>4576</v>
      </c>
      <c r="B811" s="5" t="s">
        <v>681</v>
      </c>
      <c r="C811" s="5" t="s">
        <v>682</v>
      </c>
      <c r="D811" s="5" t="s">
        <v>118</v>
      </c>
      <c r="E811" s="5" t="s">
        <v>2786</v>
      </c>
      <c r="F811" s="5" t="s">
        <v>2756</v>
      </c>
      <c r="G811" s="5">
        <v>1</v>
      </c>
      <c r="H811" s="5" t="s">
        <v>2864</v>
      </c>
      <c r="I811" s="5" t="str">
        <f>IF(INDEX(Manual_Review!$P$6:$P$238,U811)="","",INDEX(Manual_Review!$P$6:$P$238,U811))</f>
        <v/>
      </c>
      <c r="J811" s="5" t="str">
        <f t="shared" si="24"/>
        <v>AI provisional</v>
      </c>
      <c r="K811" s="5" t="str">
        <f t="shared" si="25"/>
        <v>U</v>
      </c>
      <c r="L811" s="5" t="s">
        <v>689</v>
      </c>
      <c r="M811" s="5" t="s">
        <v>4577</v>
      </c>
      <c r="N811" s="5" t="s">
        <v>4567</v>
      </c>
      <c r="O811" s="5" t="s">
        <v>2874</v>
      </c>
      <c r="P811" s="5" t="s">
        <v>2858</v>
      </c>
      <c r="Q811" s="11">
        <v>46306.5</v>
      </c>
      <c r="R811" s="6"/>
      <c r="S811" s="6"/>
      <c r="T811" s="6"/>
      <c r="U811" s="5">
        <f>MATCH(B811,Manual_Review!$A$6:$A$238,0)</f>
        <v>51</v>
      </c>
      <c r="V811" s="5" t="str">
        <f>IF(INDEX(Manual_Review!$G$6:$G$238,U811)="","",INDEX(Manual_Review!$G$6:$G$238,U811))</f>
        <v/>
      </c>
      <c r="W811" s="11" t="str">
        <f>IF(INDEX(Manual_Review!$H$6:$H$238,U811)="","",INDEX(Manual_Review!$H$6:$H$238,U811))</f>
        <v/>
      </c>
      <c r="X811" s="5" t="str">
        <f>IF(INDEX(Manual_Review!$I$6:$I$238,U811)="","",INDEX(Manual_Review!$I$6:$I$238,U811))</f>
        <v/>
      </c>
      <c r="Y811" s="5" t="s">
        <v>2859</v>
      </c>
    </row>
    <row r="812" spans="1:25" ht="25.5">
      <c r="A812" s="5" t="s">
        <v>4578</v>
      </c>
      <c r="B812" s="5" t="s">
        <v>681</v>
      </c>
      <c r="C812" s="5" t="s">
        <v>682</v>
      </c>
      <c r="D812" s="5" t="s">
        <v>118</v>
      </c>
      <c r="E812" s="5" t="s">
        <v>2787</v>
      </c>
      <c r="F812" s="5" t="s">
        <v>2758</v>
      </c>
      <c r="G812" s="5">
        <v>1</v>
      </c>
      <c r="H812" s="5" t="s">
        <v>2864</v>
      </c>
      <c r="I812" s="5" t="str">
        <f>IF(INDEX(Manual_Review!$Q$6:$Q$238,U812)="","",INDEX(Manual_Review!$Q$6:$Q$238,U812))</f>
        <v/>
      </c>
      <c r="J812" s="5" t="str">
        <f t="shared" si="24"/>
        <v>AI provisional</v>
      </c>
      <c r="K812" s="5" t="str">
        <f t="shared" si="25"/>
        <v>U</v>
      </c>
      <c r="L812" s="5" t="s">
        <v>689</v>
      </c>
      <c r="M812" s="5" t="s">
        <v>4579</v>
      </c>
      <c r="N812" s="5" t="s">
        <v>4567</v>
      </c>
      <c r="O812" s="5" t="s">
        <v>2877</v>
      </c>
      <c r="P812" s="5" t="s">
        <v>2858</v>
      </c>
      <c r="Q812" s="11">
        <v>46306.5</v>
      </c>
      <c r="R812" s="6"/>
      <c r="S812" s="6"/>
      <c r="T812" s="6"/>
      <c r="U812" s="5">
        <f>MATCH(B812,Manual_Review!$A$6:$A$238,0)</f>
        <v>51</v>
      </c>
      <c r="V812" s="5" t="str">
        <f>IF(INDEX(Manual_Review!$G$6:$G$238,U812)="","",INDEX(Manual_Review!$G$6:$G$238,U812))</f>
        <v/>
      </c>
      <c r="W812" s="11" t="str">
        <f>IF(INDEX(Manual_Review!$H$6:$H$238,U812)="","",INDEX(Manual_Review!$H$6:$H$238,U812))</f>
        <v/>
      </c>
      <c r="X812" s="5" t="str">
        <f>IF(INDEX(Manual_Review!$I$6:$I$238,U812)="","",INDEX(Manual_Review!$I$6:$I$238,U812))</f>
        <v/>
      </c>
      <c r="Y812" s="5" t="s">
        <v>2859</v>
      </c>
    </row>
    <row r="813" spans="1:25" ht="25.5">
      <c r="A813" s="5" t="s">
        <v>4580</v>
      </c>
      <c r="B813" s="5" t="s">
        <v>681</v>
      </c>
      <c r="C813" s="5" t="s">
        <v>682</v>
      </c>
      <c r="D813" s="5" t="s">
        <v>118</v>
      </c>
      <c r="E813" s="5" t="s">
        <v>2788</v>
      </c>
      <c r="F813" s="5" t="s">
        <v>2758</v>
      </c>
      <c r="G813" s="5">
        <v>1</v>
      </c>
      <c r="H813" s="5" t="s">
        <v>2864</v>
      </c>
      <c r="I813" s="5" t="str">
        <f>IF(INDEX(Manual_Review!$R$6:$R$238,U813)="","",INDEX(Manual_Review!$R$6:$R$238,U813))</f>
        <v/>
      </c>
      <c r="J813" s="5" t="str">
        <f t="shared" si="24"/>
        <v>AI provisional</v>
      </c>
      <c r="K813" s="5" t="str">
        <f t="shared" si="25"/>
        <v>U</v>
      </c>
      <c r="L813" s="5" t="s">
        <v>689</v>
      </c>
      <c r="M813" s="5" t="s">
        <v>4581</v>
      </c>
      <c r="N813" s="5" t="s">
        <v>4567</v>
      </c>
      <c r="O813" s="5" t="s">
        <v>2880</v>
      </c>
      <c r="P813" s="5" t="s">
        <v>2858</v>
      </c>
      <c r="Q813" s="11">
        <v>46306.5</v>
      </c>
      <c r="R813" s="6"/>
      <c r="S813" s="6"/>
      <c r="T813" s="6"/>
      <c r="U813" s="5">
        <f>MATCH(B813,Manual_Review!$A$6:$A$238,0)</f>
        <v>51</v>
      </c>
      <c r="V813" s="5" t="str">
        <f>IF(INDEX(Manual_Review!$G$6:$G$238,U813)="","",INDEX(Manual_Review!$G$6:$G$238,U813))</f>
        <v/>
      </c>
      <c r="W813" s="11" t="str">
        <f>IF(INDEX(Manual_Review!$H$6:$H$238,U813)="","",INDEX(Manual_Review!$H$6:$H$238,U813))</f>
        <v/>
      </c>
      <c r="X813" s="5" t="str">
        <f>IF(INDEX(Manual_Review!$I$6:$I$238,U813)="","",INDEX(Manual_Review!$I$6:$I$238,U813))</f>
        <v/>
      </c>
      <c r="Y813" s="5" t="s">
        <v>2859</v>
      </c>
    </row>
    <row r="814" spans="1:25" ht="25.5">
      <c r="A814" s="5" t="s">
        <v>4582</v>
      </c>
      <c r="B814" s="5" t="s">
        <v>681</v>
      </c>
      <c r="C814" s="5" t="s">
        <v>682</v>
      </c>
      <c r="D814" s="5" t="s">
        <v>118</v>
      </c>
      <c r="E814" s="5" t="s">
        <v>2789</v>
      </c>
      <c r="F814" s="5" t="s">
        <v>2758</v>
      </c>
      <c r="G814" s="5">
        <v>1</v>
      </c>
      <c r="H814" s="5" t="s">
        <v>2864</v>
      </c>
      <c r="I814" s="5" t="str">
        <f>IF(INDEX(Manual_Review!$S$6:$S$238,U814)="","",INDEX(Manual_Review!$S$6:$S$238,U814))</f>
        <v/>
      </c>
      <c r="J814" s="5" t="str">
        <f t="shared" si="24"/>
        <v>AI provisional</v>
      </c>
      <c r="K814" s="5" t="str">
        <f t="shared" si="25"/>
        <v>U</v>
      </c>
      <c r="L814" s="5" t="s">
        <v>689</v>
      </c>
      <c r="M814" s="5" t="s">
        <v>4583</v>
      </c>
      <c r="N814" s="5" t="s">
        <v>4567</v>
      </c>
      <c r="O814" s="5" t="s">
        <v>2883</v>
      </c>
      <c r="P814" s="5" t="s">
        <v>2858</v>
      </c>
      <c r="Q814" s="11">
        <v>46306.5</v>
      </c>
      <c r="R814" s="6"/>
      <c r="S814" s="6"/>
      <c r="T814" s="6"/>
      <c r="U814" s="5">
        <f>MATCH(B814,Manual_Review!$A$6:$A$238,0)</f>
        <v>51</v>
      </c>
      <c r="V814" s="5" t="str">
        <f>IF(INDEX(Manual_Review!$G$6:$G$238,U814)="","",INDEX(Manual_Review!$G$6:$G$238,U814))</f>
        <v/>
      </c>
      <c r="W814" s="11" t="str">
        <f>IF(INDEX(Manual_Review!$H$6:$H$238,U814)="","",INDEX(Manual_Review!$H$6:$H$238,U814))</f>
        <v/>
      </c>
      <c r="X814" s="5" t="str">
        <f>IF(INDEX(Manual_Review!$I$6:$I$238,U814)="","",INDEX(Manual_Review!$I$6:$I$238,U814))</f>
        <v/>
      </c>
      <c r="Y814" s="5" t="s">
        <v>2859</v>
      </c>
    </row>
    <row r="815" spans="1:25" ht="25.5">
      <c r="A815" s="5" t="s">
        <v>4584</v>
      </c>
      <c r="B815" s="5" t="s">
        <v>681</v>
      </c>
      <c r="C815" s="5" t="s">
        <v>682</v>
      </c>
      <c r="D815" s="5" t="s">
        <v>118</v>
      </c>
      <c r="E815" s="5" t="s">
        <v>2790</v>
      </c>
      <c r="F815" s="5" t="s">
        <v>2760</v>
      </c>
      <c r="G815" s="5">
        <v>1</v>
      </c>
      <c r="H815" s="5" t="s">
        <v>2864</v>
      </c>
      <c r="I815" s="5" t="str">
        <f>IF(INDEX(Manual_Review!$T$6:$T$238,U815)="","",INDEX(Manual_Review!$T$6:$T$238,U815))</f>
        <v/>
      </c>
      <c r="J815" s="5" t="str">
        <f t="shared" si="24"/>
        <v>AI provisional</v>
      </c>
      <c r="K815" s="5" t="str">
        <f t="shared" si="25"/>
        <v>U</v>
      </c>
      <c r="L815" s="5" t="s">
        <v>689</v>
      </c>
      <c r="M815" s="5" t="s">
        <v>4577</v>
      </c>
      <c r="N815" s="5" t="s">
        <v>4567</v>
      </c>
      <c r="O815" s="5" t="s">
        <v>2885</v>
      </c>
      <c r="P815" s="5" t="s">
        <v>2858</v>
      </c>
      <c r="Q815" s="11">
        <v>46306.5</v>
      </c>
      <c r="R815" s="6"/>
      <c r="S815" s="6"/>
      <c r="T815" s="6"/>
      <c r="U815" s="5">
        <f>MATCH(B815,Manual_Review!$A$6:$A$238,0)</f>
        <v>51</v>
      </c>
      <c r="V815" s="5" t="str">
        <f>IF(INDEX(Manual_Review!$G$6:$G$238,U815)="","",INDEX(Manual_Review!$G$6:$G$238,U815))</f>
        <v/>
      </c>
      <c r="W815" s="11" t="str">
        <f>IF(INDEX(Manual_Review!$H$6:$H$238,U815)="","",INDEX(Manual_Review!$H$6:$H$238,U815))</f>
        <v/>
      </c>
      <c r="X815" s="5" t="str">
        <f>IF(INDEX(Manual_Review!$I$6:$I$238,U815)="","",INDEX(Manual_Review!$I$6:$I$238,U815))</f>
        <v/>
      </c>
      <c r="Y815" s="5" t="s">
        <v>2859</v>
      </c>
    </row>
    <row r="816" spans="1:25" ht="25.5">
      <c r="A816" s="5" t="s">
        <v>4585</v>
      </c>
      <c r="B816" s="5" t="s">
        <v>681</v>
      </c>
      <c r="C816" s="5" t="s">
        <v>682</v>
      </c>
      <c r="D816" s="5" t="s">
        <v>118</v>
      </c>
      <c r="E816" s="5" t="s">
        <v>2791</v>
      </c>
      <c r="F816" s="5" t="s">
        <v>2760</v>
      </c>
      <c r="G816" s="5">
        <v>1</v>
      </c>
      <c r="H816" s="5" t="s">
        <v>2864</v>
      </c>
      <c r="I816" s="5" t="str">
        <f>IF(INDEX(Manual_Review!$U$6:$U$238,U816)="","",INDEX(Manual_Review!$U$6:$U$238,U816))</f>
        <v/>
      </c>
      <c r="J816" s="5" t="str">
        <f t="shared" si="24"/>
        <v>AI provisional</v>
      </c>
      <c r="K816" s="5" t="str">
        <f t="shared" si="25"/>
        <v>U</v>
      </c>
      <c r="L816" s="5" t="s">
        <v>689</v>
      </c>
      <c r="M816" s="5" t="s">
        <v>4586</v>
      </c>
      <c r="N816" s="5" t="s">
        <v>4567</v>
      </c>
      <c r="O816" s="5" t="s">
        <v>2888</v>
      </c>
      <c r="P816" s="5" t="s">
        <v>2858</v>
      </c>
      <c r="Q816" s="11">
        <v>46306.5</v>
      </c>
      <c r="R816" s="6"/>
      <c r="S816" s="6"/>
      <c r="T816" s="6"/>
      <c r="U816" s="5">
        <f>MATCH(B816,Manual_Review!$A$6:$A$238,0)</f>
        <v>51</v>
      </c>
      <c r="V816" s="5" t="str">
        <f>IF(INDEX(Manual_Review!$G$6:$G$238,U816)="","",INDEX(Manual_Review!$G$6:$G$238,U816))</f>
        <v/>
      </c>
      <c r="W816" s="11" t="str">
        <f>IF(INDEX(Manual_Review!$H$6:$H$238,U816)="","",INDEX(Manual_Review!$H$6:$H$238,U816))</f>
        <v/>
      </c>
      <c r="X816" s="5" t="str">
        <f>IF(INDEX(Manual_Review!$I$6:$I$238,U816)="","",INDEX(Manual_Review!$I$6:$I$238,U816))</f>
        <v/>
      </c>
      <c r="Y816" s="5" t="s">
        <v>2859</v>
      </c>
    </row>
    <row r="817" spans="1:25" ht="25.5">
      <c r="A817" s="5" t="s">
        <v>4587</v>
      </c>
      <c r="B817" s="5" t="s">
        <v>681</v>
      </c>
      <c r="C817" s="5" t="s">
        <v>682</v>
      </c>
      <c r="D817" s="5" t="s">
        <v>118</v>
      </c>
      <c r="E817" s="5" t="s">
        <v>2792</v>
      </c>
      <c r="F817" s="5" t="s">
        <v>2762</v>
      </c>
      <c r="G817" s="5">
        <v>1</v>
      </c>
      <c r="H817" s="5" t="s">
        <v>2864</v>
      </c>
      <c r="I817" s="5" t="str">
        <f>IF(INDEX(Manual_Review!$V$6:$V$238,U817)="","",INDEX(Manual_Review!$V$6:$V$238,U817))</f>
        <v/>
      </c>
      <c r="J817" s="5" t="str">
        <f t="shared" si="24"/>
        <v>AI provisional</v>
      </c>
      <c r="K817" s="5" t="str">
        <f t="shared" si="25"/>
        <v>U</v>
      </c>
      <c r="L817" s="5" t="s">
        <v>689</v>
      </c>
      <c r="M817" s="5" t="s">
        <v>4588</v>
      </c>
      <c r="N817" s="5" t="s">
        <v>4567</v>
      </c>
      <c r="O817" s="5" t="s">
        <v>2891</v>
      </c>
      <c r="P817" s="5" t="s">
        <v>2858</v>
      </c>
      <c r="Q817" s="11">
        <v>46306.5</v>
      </c>
      <c r="R817" s="6"/>
      <c r="S817" s="6"/>
      <c r="T817" s="6"/>
      <c r="U817" s="5">
        <f>MATCH(B817,Manual_Review!$A$6:$A$238,0)</f>
        <v>51</v>
      </c>
      <c r="V817" s="5" t="str">
        <f>IF(INDEX(Manual_Review!$G$6:$G$238,U817)="","",INDEX(Manual_Review!$G$6:$G$238,U817))</f>
        <v/>
      </c>
      <c r="W817" s="11" t="str">
        <f>IF(INDEX(Manual_Review!$H$6:$H$238,U817)="","",INDEX(Manual_Review!$H$6:$H$238,U817))</f>
        <v/>
      </c>
      <c r="X817" s="5" t="str">
        <f>IF(INDEX(Manual_Review!$I$6:$I$238,U817)="","",INDEX(Manual_Review!$I$6:$I$238,U817))</f>
        <v/>
      </c>
      <c r="Y817" s="5" t="s">
        <v>2859</v>
      </c>
    </row>
    <row r="818" spans="1:25" ht="25.5">
      <c r="A818" s="5" t="s">
        <v>4589</v>
      </c>
      <c r="B818" s="5" t="s">
        <v>681</v>
      </c>
      <c r="C818" s="5" t="s">
        <v>682</v>
      </c>
      <c r="D818" s="5" t="s">
        <v>118</v>
      </c>
      <c r="E818" s="5" t="s">
        <v>2793</v>
      </c>
      <c r="F818" s="5" t="s">
        <v>2762</v>
      </c>
      <c r="G818" s="5">
        <v>1</v>
      </c>
      <c r="H818" s="5" t="s">
        <v>2854</v>
      </c>
      <c r="I818" s="5" t="str">
        <f>IF(INDEX(Manual_Review!$W$6:$W$238,U818)="","",INDEX(Manual_Review!$W$6:$W$238,U818))</f>
        <v/>
      </c>
      <c r="J818" s="5" t="str">
        <f t="shared" si="24"/>
        <v>AI provisional</v>
      </c>
      <c r="K818" s="5" t="str">
        <f t="shared" si="25"/>
        <v>Y</v>
      </c>
      <c r="L818" s="5" t="s">
        <v>689</v>
      </c>
      <c r="M818" s="5" t="s">
        <v>4590</v>
      </c>
      <c r="N818" s="5" t="s">
        <v>4567</v>
      </c>
      <c r="O818" s="5" t="s">
        <v>3077</v>
      </c>
      <c r="P818" s="5" t="s">
        <v>2858</v>
      </c>
      <c r="Q818" s="11">
        <v>46306.5</v>
      </c>
      <c r="R818" s="6"/>
      <c r="S818" s="6"/>
      <c r="T818" s="6"/>
      <c r="U818" s="5">
        <f>MATCH(B818,Manual_Review!$A$6:$A$238,0)</f>
        <v>51</v>
      </c>
      <c r="V818" s="5" t="str">
        <f>IF(INDEX(Manual_Review!$G$6:$G$238,U818)="","",INDEX(Manual_Review!$G$6:$G$238,U818))</f>
        <v/>
      </c>
      <c r="W818" s="11" t="str">
        <f>IF(INDEX(Manual_Review!$H$6:$H$238,U818)="","",INDEX(Manual_Review!$H$6:$H$238,U818))</f>
        <v/>
      </c>
      <c r="X818" s="5" t="str">
        <f>IF(INDEX(Manual_Review!$I$6:$I$238,U818)="","",INDEX(Manual_Review!$I$6:$I$238,U818))</f>
        <v/>
      </c>
      <c r="Y818" s="5" t="s">
        <v>2859</v>
      </c>
    </row>
    <row r="819" spans="1:25" ht="25.5">
      <c r="A819" s="5" t="s">
        <v>4591</v>
      </c>
      <c r="B819" s="5" t="s">
        <v>681</v>
      </c>
      <c r="C819" s="5" t="s">
        <v>682</v>
      </c>
      <c r="D819" s="5" t="s">
        <v>118</v>
      </c>
      <c r="E819" s="5" t="s">
        <v>2794</v>
      </c>
      <c r="F819" s="5" t="s">
        <v>2764</v>
      </c>
      <c r="G819" s="5">
        <v>1</v>
      </c>
      <c r="H819" s="5" t="s">
        <v>2864</v>
      </c>
      <c r="I819" s="5" t="str">
        <f>IF(INDEX(Manual_Review!$X$6:$X$238,U819)="","",INDEX(Manual_Review!$X$6:$X$238,U819))</f>
        <v/>
      </c>
      <c r="J819" s="5" t="str">
        <f t="shared" si="24"/>
        <v>AI provisional</v>
      </c>
      <c r="K819" s="5" t="str">
        <f t="shared" si="25"/>
        <v>U</v>
      </c>
      <c r="L819" s="5" t="s">
        <v>689</v>
      </c>
      <c r="M819" s="5" t="s">
        <v>4592</v>
      </c>
      <c r="N819" s="5" t="s">
        <v>4567</v>
      </c>
      <c r="O819" s="5" t="s">
        <v>2895</v>
      </c>
      <c r="P819" s="5" t="s">
        <v>2858</v>
      </c>
      <c r="Q819" s="11">
        <v>46306.5</v>
      </c>
      <c r="R819" s="6"/>
      <c r="S819" s="6"/>
      <c r="T819" s="6"/>
      <c r="U819" s="5">
        <f>MATCH(B819,Manual_Review!$A$6:$A$238,0)</f>
        <v>51</v>
      </c>
      <c r="V819" s="5" t="str">
        <f>IF(INDEX(Manual_Review!$G$6:$G$238,U819)="","",INDEX(Manual_Review!$G$6:$G$238,U819))</f>
        <v/>
      </c>
      <c r="W819" s="11" t="str">
        <f>IF(INDEX(Manual_Review!$H$6:$H$238,U819)="","",INDEX(Manual_Review!$H$6:$H$238,U819))</f>
        <v/>
      </c>
      <c r="X819" s="5" t="str">
        <f>IF(INDEX(Manual_Review!$I$6:$I$238,U819)="","",INDEX(Manual_Review!$I$6:$I$238,U819))</f>
        <v/>
      </c>
      <c r="Y819" s="5" t="s">
        <v>2859</v>
      </c>
    </row>
    <row r="820" spans="1:25" ht="25.5">
      <c r="A820" s="5" t="s">
        <v>4593</v>
      </c>
      <c r="B820" s="5" t="s">
        <v>681</v>
      </c>
      <c r="C820" s="5" t="s">
        <v>682</v>
      </c>
      <c r="D820" s="5" t="s">
        <v>118</v>
      </c>
      <c r="E820" s="5" t="s">
        <v>2795</v>
      </c>
      <c r="F820" s="5" t="s">
        <v>2764</v>
      </c>
      <c r="G820" s="5">
        <v>1</v>
      </c>
      <c r="H820" s="5" t="s">
        <v>2864</v>
      </c>
      <c r="I820" s="5" t="str">
        <f>IF(INDEX(Manual_Review!$Y$6:$Y$238,U820)="","",INDEX(Manual_Review!$Y$6:$Y$238,U820))</f>
        <v/>
      </c>
      <c r="J820" s="5" t="str">
        <f t="shared" si="24"/>
        <v>AI provisional</v>
      </c>
      <c r="K820" s="5" t="str">
        <f t="shared" si="25"/>
        <v>U</v>
      </c>
      <c r="L820" s="5" t="s">
        <v>689</v>
      </c>
      <c r="M820" s="5" t="s">
        <v>4577</v>
      </c>
      <c r="N820" s="5" t="s">
        <v>4567</v>
      </c>
      <c r="O820" s="5" t="s">
        <v>2897</v>
      </c>
      <c r="P820" s="5" t="s">
        <v>2858</v>
      </c>
      <c r="Q820" s="11">
        <v>46306.5</v>
      </c>
      <c r="R820" s="6"/>
      <c r="S820" s="6"/>
      <c r="T820" s="6"/>
      <c r="U820" s="5">
        <f>MATCH(B820,Manual_Review!$A$6:$A$238,0)</f>
        <v>51</v>
      </c>
      <c r="V820" s="5" t="str">
        <f>IF(INDEX(Manual_Review!$G$6:$G$238,U820)="","",INDEX(Manual_Review!$G$6:$G$238,U820))</f>
        <v/>
      </c>
      <c r="W820" s="11" t="str">
        <f>IF(INDEX(Manual_Review!$H$6:$H$238,U820)="","",INDEX(Manual_Review!$H$6:$H$238,U820))</f>
        <v/>
      </c>
      <c r="X820" s="5" t="str">
        <f>IF(INDEX(Manual_Review!$I$6:$I$238,U820)="","",INDEX(Manual_Review!$I$6:$I$238,U820))</f>
        <v/>
      </c>
      <c r="Y820" s="5" t="s">
        <v>2859</v>
      </c>
    </row>
    <row r="821" spans="1:25" ht="25.5">
      <c r="A821" s="5" t="s">
        <v>4594</v>
      </c>
      <c r="B821" s="5" t="s">
        <v>681</v>
      </c>
      <c r="C821" s="5" t="s">
        <v>682</v>
      </c>
      <c r="D821" s="5" t="s">
        <v>118</v>
      </c>
      <c r="E821" s="5" t="s">
        <v>2796</v>
      </c>
      <c r="F821" s="5" t="s">
        <v>2764</v>
      </c>
      <c r="G821" s="5">
        <v>1</v>
      </c>
      <c r="H821" s="5" t="s">
        <v>2864</v>
      </c>
      <c r="I821" s="5" t="str">
        <f>IF(INDEX(Manual_Review!$Z$6:$Z$238,U821)="","",INDEX(Manual_Review!$Z$6:$Z$238,U821))</f>
        <v/>
      </c>
      <c r="J821" s="5" t="str">
        <f t="shared" si="24"/>
        <v>AI provisional</v>
      </c>
      <c r="K821" s="5" t="str">
        <f t="shared" si="25"/>
        <v>U</v>
      </c>
      <c r="L821" s="5" t="s">
        <v>689</v>
      </c>
      <c r="M821" s="5" t="s">
        <v>4595</v>
      </c>
      <c r="N821" s="5" t="s">
        <v>4567</v>
      </c>
      <c r="O821" s="5" t="s">
        <v>2899</v>
      </c>
      <c r="P821" s="5" t="s">
        <v>2858</v>
      </c>
      <c r="Q821" s="11">
        <v>46306.5</v>
      </c>
      <c r="R821" s="6"/>
      <c r="S821" s="6"/>
      <c r="T821" s="6"/>
      <c r="U821" s="5">
        <f>MATCH(B821,Manual_Review!$A$6:$A$238,0)</f>
        <v>51</v>
      </c>
      <c r="V821" s="5" t="str">
        <f>IF(INDEX(Manual_Review!$G$6:$G$238,U821)="","",INDEX(Manual_Review!$G$6:$G$238,U821))</f>
        <v/>
      </c>
      <c r="W821" s="11" t="str">
        <f>IF(INDEX(Manual_Review!$H$6:$H$238,U821)="","",INDEX(Manual_Review!$H$6:$H$238,U821))</f>
        <v/>
      </c>
      <c r="X821" s="5" t="str">
        <f>IF(INDEX(Manual_Review!$I$6:$I$238,U821)="","",INDEX(Manual_Review!$I$6:$I$238,U821))</f>
        <v/>
      </c>
      <c r="Y821" s="5" t="s">
        <v>2859</v>
      </c>
    </row>
    <row r="822" spans="1:25" ht="25.5">
      <c r="A822" s="5" t="s">
        <v>4596</v>
      </c>
      <c r="B822" s="5" t="s">
        <v>691</v>
      </c>
      <c r="C822" s="5" t="s">
        <v>692</v>
      </c>
      <c r="D822" s="5" t="s">
        <v>118</v>
      </c>
      <c r="E822" s="5" t="s">
        <v>2781</v>
      </c>
      <c r="F822" s="5" t="s">
        <v>2754</v>
      </c>
      <c r="G822" s="5">
        <v>1</v>
      </c>
      <c r="H822" s="5" t="s">
        <v>2854</v>
      </c>
      <c r="I822" s="5" t="str">
        <f>IF(INDEX(Manual_Review!$K$6:$K$238,U822)="","",INDEX(Manual_Review!$K$6:$K$238,U822))</f>
        <v/>
      </c>
      <c r="J822" s="5" t="str">
        <f t="shared" si="24"/>
        <v>AI provisional</v>
      </c>
      <c r="K822" s="5" t="str">
        <f t="shared" si="25"/>
        <v>Y</v>
      </c>
      <c r="L822" s="5" t="s">
        <v>697</v>
      </c>
      <c r="M822" s="5" t="s">
        <v>4597</v>
      </c>
      <c r="N822" s="5" t="s">
        <v>4598</v>
      </c>
      <c r="O822" s="5" t="s">
        <v>2857</v>
      </c>
      <c r="P822" s="5" t="s">
        <v>2858</v>
      </c>
      <c r="Q822" s="11">
        <v>46306.5</v>
      </c>
      <c r="R822" s="6"/>
      <c r="S822" s="6"/>
      <c r="T822" s="6"/>
      <c r="U822" s="5">
        <f>MATCH(B822,Manual_Review!$A$6:$A$238,0)</f>
        <v>52</v>
      </c>
      <c r="V822" s="5" t="str">
        <f>IF(INDEX(Manual_Review!$G$6:$G$238,U822)="","",INDEX(Manual_Review!$G$6:$G$238,U822))</f>
        <v/>
      </c>
      <c r="W822" s="11" t="str">
        <f>IF(INDEX(Manual_Review!$H$6:$H$238,U822)="","",INDEX(Manual_Review!$H$6:$H$238,U822))</f>
        <v/>
      </c>
      <c r="X822" s="5" t="str">
        <f>IF(INDEX(Manual_Review!$I$6:$I$238,U822)="","",INDEX(Manual_Review!$I$6:$I$238,U822))</f>
        <v/>
      </c>
      <c r="Y822" s="5" t="s">
        <v>2859</v>
      </c>
    </row>
    <row r="823" spans="1:25" ht="25.5">
      <c r="A823" s="5" t="s">
        <v>4599</v>
      </c>
      <c r="B823" s="5" t="s">
        <v>691</v>
      </c>
      <c r="C823" s="5" t="s">
        <v>692</v>
      </c>
      <c r="D823" s="5" t="s">
        <v>118</v>
      </c>
      <c r="E823" s="5" t="s">
        <v>2782</v>
      </c>
      <c r="F823" s="5" t="s">
        <v>2754</v>
      </c>
      <c r="G823" s="5">
        <v>1</v>
      </c>
      <c r="H823" s="5" t="s">
        <v>2854</v>
      </c>
      <c r="I823" s="5" t="str">
        <f>IF(INDEX(Manual_Review!$L$6:$L$238,U823)="","",INDEX(Manual_Review!$L$6:$L$238,U823))</f>
        <v/>
      </c>
      <c r="J823" s="5" t="str">
        <f t="shared" si="24"/>
        <v>AI provisional</v>
      </c>
      <c r="K823" s="5" t="str">
        <f t="shared" si="25"/>
        <v>Y</v>
      </c>
      <c r="L823" s="5" t="s">
        <v>697</v>
      </c>
      <c r="M823" s="5" t="s">
        <v>4600</v>
      </c>
      <c r="N823" s="5" t="s">
        <v>4598</v>
      </c>
      <c r="O823" s="5" t="s">
        <v>2862</v>
      </c>
      <c r="P823" s="5" t="s">
        <v>2858</v>
      </c>
      <c r="Q823" s="11">
        <v>46306.5</v>
      </c>
      <c r="R823" s="6"/>
      <c r="S823" s="6"/>
      <c r="T823" s="6"/>
      <c r="U823" s="5">
        <f>MATCH(B823,Manual_Review!$A$6:$A$238,0)</f>
        <v>52</v>
      </c>
      <c r="V823" s="5" t="str">
        <f>IF(INDEX(Manual_Review!$G$6:$G$238,U823)="","",INDEX(Manual_Review!$G$6:$G$238,U823))</f>
        <v/>
      </c>
      <c r="W823" s="11" t="str">
        <f>IF(INDEX(Manual_Review!$H$6:$H$238,U823)="","",INDEX(Manual_Review!$H$6:$H$238,U823))</f>
        <v/>
      </c>
      <c r="X823" s="5" t="str">
        <f>IF(INDEX(Manual_Review!$I$6:$I$238,U823)="","",INDEX(Manual_Review!$I$6:$I$238,U823))</f>
        <v/>
      </c>
      <c r="Y823" s="5" t="s">
        <v>2859</v>
      </c>
    </row>
    <row r="824" spans="1:25" ht="25.5">
      <c r="A824" s="5" t="s">
        <v>4601</v>
      </c>
      <c r="B824" s="5" t="s">
        <v>691</v>
      </c>
      <c r="C824" s="5" t="s">
        <v>692</v>
      </c>
      <c r="D824" s="5" t="s">
        <v>118</v>
      </c>
      <c r="E824" s="5" t="s">
        <v>2783</v>
      </c>
      <c r="F824" s="5" t="s">
        <v>2754</v>
      </c>
      <c r="G824" s="5">
        <v>1</v>
      </c>
      <c r="H824" s="5" t="s">
        <v>2854</v>
      </c>
      <c r="I824" s="5" t="str">
        <f>IF(INDEX(Manual_Review!$M$6:$M$238,U824)="","",INDEX(Manual_Review!$M$6:$M$238,U824))</f>
        <v/>
      </c>
      <c r="J824" s="5" t="str">
        <f t="shared" si="24"/>
        <v>AI provisional</v>
      </c>
      <c r="K824" s="5" t="str">
        <f t="shared" si="25"/>
        <v>Y</v>
      </c>
      <c r="L824" s="5" t="s">
        <v>697</v>
      </c>
      <c r="M824" s="5" t="s">
        <v>4602</v>
      </c>
      <c r="N824" s="5" t="s">
        <v>4598</v>
      </c>
      <c r="O824" s="5" t="s">
        <v>3133</v>
      </c>
      <c r="P824" s="5" t="s">
        <v>2858</v>
      </c>
      <c r="Q824" s="11">
        <v>46306.5</v>
      </c>
      <c r="R824" s="6"/>
      <c r="S824" s="6"/>
      <c r="T824" s="6"/>
      <c r="U824" s="5">
        <f>MATCH(B824,Manual_Review!$A$6:$A$238,0)</f>
        <v>52</v>
      </c>
      <c r="V824" s="5" t="str">
        <f>IF(INDEX(Manual_Review!$G$6:$G$238,U824)="","",INDEX(Manual_Review!$G$6:$G$238,U824))</f>
        <v/>
      </c>
      <c r="W824" s="11" t="str">
        <f>IF(INDEX(Manual_Review!$H$6:$H$238,U824)="","",INDEX(Manual_Review!$H$6:$H$238,U824))</f>
        <v/>
      </c>
      <c r="X824" s="5" t="str">
        <f>IF(INDEX(Manual_Review!$I$6:$I$238,U824)="","",INDEX(Manual_Review!$I$6:$I$238,U824))</f>
        <v/>
      </c>
      <c r="Y824" s="5" t="s">
        <v>2859</v>
      </c>
    </row>
    <row r="825" spans="1:25" ht="25.5">
      <c r="A825" s="5" t="s">
        <v>4603</v>
      </c>
      <c r="B825" s="5" t="s">
        <v>691</v>
      </c>
      <c r="C825" s="5" t="s">
        <v>692</v>
      </c>
      <c r="D825" s="5" t="s">
        <v>118</v>
      </c>
      <c r="E825" s="5" t="s">
        <v>2784</v>
      </c>
      <c r="F825" s="5" t="s">
        <v>2756</v>
      </c>
      <c r="G825" s="5">
        <v>1</v>
      </c>
      <c r="H825" s="5" t="s">
        <v>2854</v>
      </c>
      <c r="I825" s="5" t="str">
        <f>IF(INDEX(Manual_Review!$N$6:$N$238,U825)="","",INDEX(Manual_Review!$N$6:$N$238,U825))</f>
        <v/>
      </c>
      <c r="J825" s="5" t="str">
        <f t="shared" si="24"/>
        <v>AI provisional</v>
      </c>
      <c r="K825" s="5" t="str">
        <f t="shared" si="25"/>
        <v>Y</v>
      </c>
      <c r="L825" s="5" t="s">
        <v>697</v>
      </c>
      <c r="M825" s="5" t="s">
        <v>4604</v>
      </c>
      <c r="N825" s="5" t="s">
        <v>4598</v>
      </c>
      <c r="O825" s="5" t="s">
        <v>2963</v>
      </c>
      <c r="P825" s="5" t="s">
        <v>2858</v>
      </c>
      <c r="Q825" s="11">
        <v>46306.5</v>
      </c>
      <c r="R825" s="6"/>
      <c r="S825" s="6"/>
      <c r="T825" s="6"/>
      <c r="U825" s="5">
        <f>MATCH(B825,Manual_Review!$A$6:$A$238,0)</f>
        <v>52</v>
      </c>
      <c r="V825" s="5" t="str">
        <f>IF(INDEX(Manual_Review!$G$6:$G$238,U825)="","",INDEX(Manual_Review!$G$6:$G$238,U825))</f>
        <v/>
      </c>
      <c r="W825" s="11" t="str">
        <f>IF(INDEX(Manual_Review!$H$6:$H$238,U825)="","",INDEX(Manual_Review!$H$6:$H$238,U825))</f>
        <v/>
      </c>
      <c r="X825" s="5" t="str">
        <f>IF(INDEX(Manual_Review!$I$6:$I$238,U825)="","",INDEX(Manual_Review!$I$6:$I$238,U825))</f>
        <v/>
      </c>
      <c r="Y825" s="5" t="s">
        <v>2859</v>
      </c>
    </row>
    <row r="826" spans="1:25" ht="25.5">
      <c r="A826" s="5" t="s">
        <v>4605</v>
      </c>
      <c r="B826" s="5" t="s">
        <v>691</v>
      </c>
      <c r="C826" s="5" t="s">
        <v>692</v>
      </c>
      <c r="D826" s="5" t="s">
        <v>118</v>
      </c>
      <c r="E826" s="5" t="s">
        <v>2785</v>
      </c>
      <c r="F826" s="5" t="s">
        <v>2756</v>
      </c>
      <c r="G826" s="5">
        <v>1</v>
      </c>
      <c r="H826" s="5" t="s">
        <v>2864</v>
      </c>
      <c r="I826" s="5" t="str">
        <f>IF(INDEX(Manual_Review!$O$6:$O$238,U826)="","",INDEX(Manual_Review!$O$6:$O$238,U826))</f>
        <v/>
      </c>
      <c r="J826" s="5" t="str">
        <f t="shared" si="24"/>
        <v>AI provisional</v>
      </c>
      <c r="K826" s="5" t="str">
        <f t="shared" si="25"/>
        <v>U</v>
      </c>
      <c r="L826" s="5" t="s">
        <v>697</v>
      </c>
      <c r="M826" s="5" t="s">
        <v>4606</v>
      </c>
      <c r="N826" s="5" t="s">
        <v>4598</v>
      </c>
      <c r="O826" s="5" t="s">
        <v>2872</v>
      </c>
      <c r="P826" s="5" t="s">
        <v>2858</v>
      </c>
      <c r="Q826" s="11">
        <v>46306.5</v>
      </c>
      <c r="R826" s="6"/>
      <c r="S826" s="6"/>
      <c r="T826" s="6"/>
      <c r="U826" s="5">
        <f>MATCH(B826,Manual_Review!$A$6:$A$238,0)</f>
        <v>52</v>
      </c>
      <c r="V826" s="5" t="str">
        <f>IF(INDEX(Manual_Review!$G$6:$G$238,U826)="","",INDEX(Manual_Review!$G$6:$G$238,U826))</f>
        <v/>
      </c>
      <c r="W826" s="11" t="str">
        <f>IF(INDEX(Manual_Review!$H$6:$H$238,U826)="","",INDEX(Manual_Review!$H$6:$H$238,U826))</f>
        <v/>
      </c>
      <c r="X826" s="5" t="str">
        <f>IF(INDEX(Manual_Review!$I$6:$I$238,U826)="","",INDEX(Manual_Review!$I$6:$I$238,U826))</f>
        <v/>
      </c>
      <c r="Y826" s="5" t="s">
        <v>2859</v>
      </c>
    </row>
    <row r="827" spans="1:25" ht="25.5">
      <c r="A827" s="5" t="s">
        <v>4607</v>
      </c>
      <c r="B827" s="5" t="s">
        <v>691</v>
      </c>
      <c r="C827" s="5" t="s">
        <v>692</v>
      </c>
      <c r="D827" s="5" t="s">
        <v>118</v>
      </c>
      <c r="E827" s="5" t="s">
        <v>2786</v>
      </c>
      <c r="F827" s="5" t="s">
        <v>2756</v>
      </c>
      <c r="G827" s="5">
        <v>1</v>
      </c>
      <c r="H827" s="5" t="s">
        <v>2864</v>
      </c>
      <c r="I827" s="5" t="str">
        <f>IF(INDEX(Manual_Review!$P$6:$P$238,U827)="","",INDEX(Manual_Review!$P$6:$P$238,U827))</f>
        <v/>
      </c>
      <c r="J827" s="5" t="str">
        <f t="shared" si="24"/>
        <v>AI provisional</v>
      </c>
      <c r="K827" s="5" t="str">
        <f t="shared" si="25"/>
        <v>U</v>
      </c>
      <c r="L827" s="5" t="s">
        <v>697</v>
      </c>
      <c r="M827" s="5" t="s">
        <v>4608</v>
      </c>
      <c r="N827" s="5" t="s">
        <v>4598</v>
      </c>
      <c r="O827" s="5" t="s">
        <v>2874</v>
      </c>
      <c r="P827" s="5" t="s">
        <v>2858</v>
      </c>
      <c r="Q827" s="11">
        <v>46306.5</v>
      </c>
      <c r="R827" s="6"/>
      <c r="S827" s="6"/>
      <c r="T827" s="6"/>
      <c r="U827" s="5">
        <f>MATCH(B827,Manual_Review!$A$6:$A$238,0)</f>
        <v>52</v>
      </c>
      <c r="V827" s="5" t="str">
        <f>IF(INDEX(Manual_Review!$G$6:$G$238,U827)="","",INDEX(Manual_Review!$G$6:$G$238,U827))</f>
        <v/>
      </c>
      <c r="W827" s="11" t="str">
        <f>IF(INDEX(Manual_Review!$H$6:$H$238,U827)="","",INDEX(Manual_Review!$H$6:$H$238,U827))</f>
        <v/>
      </c>
      <c r="X827" s="5" t="str">
        <f>IF(INDEX(Manual_Review!$I$6:$I$238,U827)="","",INDEX(Manual_Review!$I$6:$I$238,U827))</f>
        <v/>
      </c>
      <c r="Y827" s="5" t="s">
        <v>2859</v>
      </c>
    </row>
    <row r="828" spans="1:25" ht="25.5">
      <c r="A828" s="5" t="s">
        <v>4609</v>
      </c>
      <c r="B828" s="5" t="s">
        <v>691</v>
      </c>
      <c r="C828" s="5" t="s">
        <v>692</v>
      </c>
      <c r="D828" s="5" t="s">
        <v>118</v>
      </c>
      <c r="E828" s="5" t="s">
        <v>2787</v>
      </c>
      <c r="F828" s="5" t="s">
        <v>2758</v>
      </c>
      <c r="G828" s="5">
        <v>1</v>
      </c>
      <c r="H828" s="5" t="s">
        <v>2864</v>
      </c>
      <c r="I828" s="5" t="str">
        <f>IF(INDEX(Manual_Review!$Q$6:$Q$238,U828)="","",INDEX(Manual_Review!$Q$6:$Q$238,U828))</f>
        <v/>
      </c>
      <c r="J828" s="5" t="str">
        <f t="shared" si="24"/>
        <v>AI provisional</v>
      </c>
      <c r="K828" s="5" t="str">
        <f t="shared" si="25"/>
        <v>U</v>
      </c>
      <c r="L828" s="5" t="s">
        <v>697</v>
      </c>
      <c r="M828" s="5" t="s">
        <v>4606</v>
      </c>
      <c r="N828" s="5" t="s">
        <v>4598</v>
      </c>
      <c r="O828" s="5" t="s">
        <v>2877</v>
      </c>
      <c r="P828" s="5" t="s">
        <v>2858</v>
      </c>
      <c r="Q828" s="11">
        <v>46306.5</v>
      </c>
      <c r="R828" s="6"/>
      <c r="S828" s="6"/>
      <c r="T828" s="6"/>
      <c r="U828" s="5">
        <f>MATCH(B828,Manual_Review!$A$6:$A$238,0)</f>
        <v>52</v>
      </c>
      <c r="V828" s="5" t="str">
        <f>IF(INDEX(Manual_Review!$G$6:$G$238,U828)="","",INDEX(Manual_Review!$G$6:$G$238,U828))</f>
        <v/>
      </c>
      <c r="W828" s="11" t="str">
        <f>IF(INDEX(Manual_Review!$H$6:$H$238,U828)="","",INDEX(Manual_Review!$H$6:$H$238,U828))</f>
        <v/>
      </c>
      <c r="X828" s="5" t="str">
        <f>IF(INDEX(Manual_Review!$I$6:$I$238,U828)="","",INDEX(Manual_Review!$I$6:$I$238,U828))</f>
        <v/>
      </c>
      <c r="Y828" s="5" t="s">
        <v>2859</v>
      </c>
    </row>
    <row r="829" spans="1:25" ht="25.5">
      <c r="A829" s="5" t="s">
        <v>4610</v>
      </c>
      <c r="B829" s="5" t="s">
        <v>691</v>
      </c>
      <c r="C829" s="5" t="s">
        <v>692</v>
      </c>
      <c r="D829" s="5" t="s">
        <v>118</v>
      </c>
      <c r="E829" s="5" t="s">
        <v>2788</v>
      </c>
      <c r="F829" s="5" t="s">
        <v>2758</v>
      </c>
      <c r="G829" s="5">
        <v>1</v>
      </c>
      <c r="H829" s="5" t="s">
        <v>2864</v>
      </c>
      <c r="I829" s="5" t="str">
        <f>IF(INDEX(Manual_Review!$R$6:$R$238,U829)="","",INDEX(Manual_Review!$R$6:$R$238,U829))</f>
        <v/>
      </c>
      <c r="J829" s="5" t="str">
        <f t="shared" si="24"/>
        <v>AI provisional</v>
      </c>
      <c r="K829" s="5" t="str">
        <f t="shared" si="25"/>
        <v>U</v>
      </c>
      <c r="L829" s="5" t="s">
        <v>697</v>
      </c>
      <c r="M829" s="5" t="s">
        <v>4611</v>
      </c>
      <c r="N829" s="5" t="s">
        <v>4598</v>
      </c>
      <c r="O829" s="5" t="s">
        <v>2880</v>
      </c>
      <c r="P829" s="5" t="s">
        <v>2858</v>
      </c>
      <c r="Q829" s="11">
        <v>46306.5</v>
      </c>
      <c r="R829" s="6"/>
      <c r="S829" s="6"/>
      <c r="T829" s="6"/>
      <c r="U829" s="5">
        <f>MATCH(B829,Manual_Review!$A$6:$A$238,0)</f>
        <v>52</v>
      </c>
      <c r="V829" s="5" t="str">
        <f>IF(INDEX(Manual_Review!$G$6:$G$238,U829)="","",INDEX(Manual_Review!$G$6:$G$238,U829))</f>
        <v/>
      </c>
      <c r="W829" s="11" t="str">
        <f>IF(INDEX(Manual_Review!$H$6:$H$238,U829)="","",INDEX(Manual_Review!$H$6:$H$238,U829))</f>
        <v/>
      </c>
      <c r="X829" s="5" t="str">
        <f>IF(INDEX(Manual_Review!$I$6:$I$238,U829)="","",INDEX(Manual_Review!$I$6:$I$238,U829))</f>
        <v/>
      </c>
      <c r="Y829" s="5" t="s">
        <v>2859</v>
      </c>
    </row>
    <row r="830" spans="1:25" ht="25.5">
      <c r="A830" s="5" t="s">
        <v>4612</v>
      </c>
      <c r="B830" s="5" t="s">
        <v>691</v>
      </c>
      <c r="C830" s="5" t="s">
        <v>692</v>
      </c>
      <c r="D830" s="5" t="s">
        <v>118</v>
      </c>
      <c r="E830" s="5" t="s">
        <v>2789</v>
      </c>
      <c r="F830" s="5" t="s">
        <v>2758</v>
      </c>
      <c r="G830" s="5">
        <v>1</v>
      </c>
      <c r="H830" s="5" t="s">
        <v>2864</v>
      </c>
      <c r="I830" s="5" t="str">
        <f>IF(INDEX(Manual_Review!$S$6:$S$238,U830)="","",INDEX(Manual_Review!$S$6:$S$238,U830))</f>
        <v/>
      </c>
      <c r="J830" s="5" t="str">
        <f t="shared" si="24"/>
        <v>AI provisional</v>
      </c>
      <c r="K830" s="5" t="str">
        <f t="shared" si="25"/>
        <v>U</v>
      </c>
      <c r="L830" s="5" t="s">
        <v>697</v>
      </c>
      <c r="M830" s="5" t="s">
        <v>4613</v>
      </c>
      <c r="N830" s="5" t="s">
        <v>4598</v>
      </c>
      <c r="O830" s="5" t="s">
        <v>2883</v>
      </c>
      <c r="P830" s="5" t="s">
        <v>2858</v>
      </c>
      <c r="Q830" s="11">
        <v>46306.5</v>
      </c>
      <c r="R830" s="6"/>
      <c r="S830" s="6"/>
      <c r="T830" s="6"/>
      <c r="U830" s="5">
        <f>MATCH(B830,Manual_Review!$A$6:$A$238,0)</f>
        <v>52</v>
      </c>
      <c r="V830" s="5" t="str">
        <f>IF(INDEX(Manual_Review!$G$6:$G$238,U830)="","",INDEX(Manual_Review!$G$6:$G$238,U830))</f>
        <v/>
      </c>
      <c r="W830" s="11" t="str">
        <f>IF(INDEX(Manual_Review!$H$6:$H$238,U830)="","",INDEX(Manual_Review!$H$6:$H$238,U830))</f>
        <v/>
      </c>
      <c r="X830" s="5" t="str">
        <f>IF(INDEX(Manual_Review!$I$6:$I$238,U830)="","",INDEX(Manual_Review!$I$6:$I$238,U830))</f>
        <v/>
      </c>
      <c r="Y830" s="5" t="s">
        <v>2859</v>
      </c>
    </row>
    <row r="831" spans="1:25" ht="25.5">
      <c r="A831" s="5" t="s">
        <v>4614</v>
      </c>
      <c r="B831" s="5" t="s">
        <v>691</v>
      </c>
      <c r="C831" s="5" t="s">
        <v>692</v>
      </c>
      <c r="D831" s="5" t="s">
        <v>118</v>
      </c>
      <c r="E831" s="5" t="s">
        <v>2790</v>
      </c>
      <c r="F831" s="5" t="s">
        <v>2760</v>
      </c>
      <c r="G831" s="5">
        <v>1</v>
      </c>
      <c r="H831" s="5" t="s">
        <v>2854</v>
      </c>
      <c r="I831" s="5" t="str">
        <f>IF(INDEX(Manual_Review!$T$6:$T$238,U831)="","",INDEX(Manual_Review!$T$6:$T$238,U831))</f>
        <v/>
      </c>
      <c r="J831" s="5" t="str">
        <f t="shared" si="24"/>
        <v>AI provisional</v>
      </c>
      <c r="K831" s="5" t="str">
        <f t="shared" si="25"/>
        <v>Y</v>
      </c>
      <c r="L831" s="5" t="s">
        <v>697</v>
      </c>
      <c r="M831" s="5" t="s">
        <v>4615</v>
      </c>
      <c r="N831" s="5" t="s">
        <v>4598</v>
      </c>
      <c r="O831" s="5" t="s">
        <v>2976</v>
      </c>
      <c r="P831" s="5" t="s">
        <v>2858</v>
      </c>
      <c r="Q831" s="11">
        <v>46306.5</v>
      </c>
      <c r="R831" s="6"/>
      <c r="S831" s="6"/>
      <c r="T831" s="6"/>
      <c r="U831" s="5">
        <f>MATCH(B831,Manual_Review!$A$6:$A$238,0)</f>
        <v>52</v>
      </c>
      <c r="V831" s="5" t="str">
        <f>IF(INDEX(Manual_Review!$G$6:$G$238,U831)="","",INDEX(Manual_Review!$G$6:$G$238,U831))</f>
        <v/>
      </c>
      <c r="W831" s="11" t="str">
        <f>IF(INDEX(Manual_Review!$H$6:$H$238,U831)="","",INDEX(Manual_Review!$H$6:$H$238,U831))</f>
        <v/>
      </c>
      <c r="X831" s="5" t="str">
        <f>IF(INDEX(Manual_Review!$I$6:$I$238,U831)="","",INDEX(Manual_Review!$I$6:$I$238,U831))</f>
        <v/>
      </c>
      <c r="Y831" s="5" t="s">
        <v>2859</v>
      </c>
    </row>
    <row r="832" spans="1:25" ht="25.5">
      <c r="A832" s="5" t="s">
        <v>4616</v>
      </c>
      <c r="B832" s="5" t="s">
        <v>691</v>
      </c>
      <c r="C832" s="5" t="s">
        <v>692</v>
      </c>
      <c r="D832" s="5" t="s">
        <v>118</v>
      </c>
      <c r="E832" s="5" t="s">
        <v>2791</v>
      </c>
      <c r="F832" s="5" t="s">
        <v>2760</v>
      </c>
      <c r="G832" s="5">
        <v>1</v>
      </c>
      <c r="H832" s="5" t="s">
        <v>2864</v>
      </c>
      <c r="I832" s="5" t="str">
        <f>IF(INDEX(Manual_Review!$U$6:$U$238,U832)="","",INDEX(Manual_Review!$U$6:$U$238,U832))</f>
        <v/>
      </c>
      <c r="J832" s="5" t="str">
        <f t="shared" si="24"/>
        <v>AI provisional</v>
      </c>
      <c r="K832" s="5" t="str">
        <f t="shared" si="25"/>
        <v>U</v>
      </c>
      <c r="L832" s="5" t="s">
        <v>697</v>
      </c>
      <c r="M832" s="5" t="s">
        <v>4617</v>
      </c>
      <c r="N832" s="5" t="s">
        <v>4598</v>
      </c>
      <c r="O832" s="5" t="s">
        <v>2888</v>
      </c>
      <c r="P832" s="5" t="s">
        <v>2858</v>
      </c>
      <c r="Q832" s="11">
        <v>46306.5</v>
      </c>
      <c r="R832" s="6"/>
      <c r="S832" s="6"/>
      <c r="T832" s="6"/>
      <c r="U832" s="5">
        <f>MATCH(B832,Manual_Review!$A$6:$A$238,0)</f>
        <v>52</v>
      </c>
      <c r="V832" s="5" t="str">
        <f>IF(INDEX(Manual_Review!$G$6:$G$238,U832)="","",INDEX(Manual_Review!$G$6:$G$238,U832))</f>
        <v/>
      </c>
      <c r="W832" s="11" t="str">
        <f>IF(INDEX(Manual_Review!$H$6:$H$238,U832)="","",INDEX(Manual_Review!$H$6:$H$238,U832))</f>
        <v/>
      </c>
      <c r="X832" s="5" t="str">
        <f>IF(INDEX(Manual_Review!$I$6:$I$238,U832)="","",INDEX(Manual_Review!$I$6:$I$238,U832))</f>
        <v/>
      </c>
      <c r="Y832" s="5" t="s">
        <v>2859</v>
      </c>
    </row>
    <row r="833" spans="1:25" ht="25.5">
      <c r="A833" s="5" t="s">
        <v>4618</v>
      </c>
      <c r="B833" s="5" t="s">
        <v>691</v>
      </c>
      <c r="C833" s="5" t="s">
        <v>692</v>
      </c>
      <c r="D833" s="5" t="s">
        <v>118</v>
      </c>
      <c r="E833" s="5" t="s">
        <v>2792</v>
      </c>
      <c r="F833" s="5" t="s">
        <v>2762</v>
      </c>
      <c r="G833" s="5">
        <v>1</v>
      </c>
      <c r="H833" s="5" t="s">
        <v>2864</v>
      </c>
      <c r="I833" s="5" t="str">
        <f>IF(INDEX(Manual_Review!$V$6:$V$238,U833)="","",INDEX(Manual_Review!$V$6:$V$238,U833))</f>
        <v/>
      </c>
      <c r="J833" s="5" t="str">
        <f t="shared" si="24"/>
        <v>AI provisional</v>
      </c>
      <c r="K833" s="5" t="str">
        <f t="shared" si="25"/>
        <v>U</v>
      </c>
      <c r="L833" s="5" t="s">
        <v>697</v>
      </c>
      <c r="M833" s="5" t="s">
        <v>4619</v>
      </c>
      <c r="N833" s="5" t="s">
        <v>4598</v>
      </c>
      <c r="O833" s="5" t="s">
        <v>2891</v>
      </c>
      <c r="P833" s="5" t="s">
        <v>2858</v>
      </c>
      <c r="Q833" s="11">
        <v>46306.5</v>
      </c>
      <c r="R833" s="6"/>
      <c r="S833" s="6"/>
      <c r="T833" s="6"/>
      <c r="U833" s="5">
        <f>MATCH(B833,Manual_Review!$A$6:$A$238,0)</f>
        <v>52</v>
      </c>
      <c r="V833" s="5" t="str">
        <f>IF(INDEX(Manual_Review!$G$6:$G$238,U833)="","",INDEX(Manual_Review!$G$6:$G$238,U833))</f>
        <v/>
      </c>
      <c r="W833" s="11" t="str">
        <f>IF(INDEX(Manual_Review!$H$6:$H$238,U833)="","",INDEX(Manual_Review!$H$6:$H$238,U833))</f>
        <v/>
      </c>
      <c r="X833" s="5" t="str">
        <f>IF(INDEX(Manual_Review!$I$6:$I$238,U833)="","",INDEX(Manual_Review!$I$6:$I$238,U833))</f>
        <v/>
      </c>
      <c r="Y833" s="5" t="s">
        <v>2859</v>
      </c>
    </row>
    <row r="834" spans="1:25" ht="25.5">
      <c r="A834" s="5" t="s">
        <v>4620</v>
      </c>
      <c r="B834" s="5" t="s">
        <v>691</v>
      </c>
      <c r="C834" s="5" t="s">
        <v>692</v>
      </c>
      <c r="D834" s="5" t="s">
        <v>118</v>
      </c>
      <c r="E834" s="5" t="s">
        <v>2793</v>
      </c>
      <c r="F834" s="5" t="s">
        <v>2762</v>
      </c>
      <c r="G834" s="5">
        <v>1</v>
      </c>
      <c r="H834" s="5" t="s">
        <v>2864</v>
      </c>
      <c r="I834" s="5" t="str">
        <f>IF(INDEX(Manual_Review!$W$6:$W$238,U834)="","",INDEX(Manual_Review!$W$6:$W$238,U834))</f>
        <v/>
      </c>
      <c r="J834" s="5" t="str">
        <f t="shared" si="24"/>
        <v>AI provisional</v>
      </c>
      <c r="K834" s="5" t="str">
        <f t="shared" si="25"/>
        <v>U</v>
      </c>
      <c r="L834" s="5" t="s">
        <v>697</v>
      </c>
      <c r="M834" s="5" t="s">
        <v>4619</v>
      </c>
      <c r="N834" s="5" t="s">
        <v>4598</v>
      </c>
      <c r="O834" s="5" t="s">
        <v>2893</v>
      </c>
      <c r="P834" s="5" t="s">
        <v>2858</v>
      </c>
      <c r="Q834" s="11">
        <v>46306.5</v>
      </c>
      <c r="R834" s="6"/>
      <c r="S834" s="6"/>
      <c r="T834" s="6"/>
      <c r="U834" s="5">
        <f>MATCH(B834,Manual_Review!$A$6:$A$238,0)</f>
        <v>52</v>
      </c>
      <c r="V834" s="5" t="str">
        <f>IF(INDEX(Manual_Review!$G$6:$G$238,U834)="","",INDEX(Manual_Review!$G$6:$G$238,U834))</f>
        <v/>
      </c>
      <c r="W834" s="11" t="str">
        <f>IF(INDEX(Manual_Review!$H$6:$H$238,U834)="","",INDEX(Manual_Review!$H$6:$H$238,U834))</f>
        <v/>
      </c>
      <c r="X834" s="5" t="str">
        <f>IF(INDEX(Manual_Review!$I$6:$I$238,U834)="","",INDEX(Manual_Review!$I$6:$I$238,U834))</f>
        <v/>
      </c>
      <c r="Y834" s="5" t="s">
        <v>2859</v>
      </c>
    </row>
    <row r="835" spans="1:25" ht="25.5">
      <c r="A835" s="5" t="s">
        <v>4621</v>
      </c>
      <c r="B835" s="5" t="s">
        <v>691</v>
      </c>
      <c r="C835" s="5" t="s">
        <v>692</v>
      </c>
      <c r="D835" s="5" t="s">
        <v>118</v>
      </c>
      <c r="E835" s="5" t="s">
        <v>2794</v>
      </c>
      <c r="F835" s="5" t="s">
        <v>2764</v>
      </c>
      <c r="G835" s="5">
        <v>1</v>
      </c>
      <c r="H835" s="5" t="s">
        <v>2854</v>
      </c>
      <c r="I835" s="5" t="str">
        <f>IF(INDEX(Manual_Review!$X$6:$X$238,U835)="","",INDEX(Manual_Review!$X$6:$X$238,U835))</f>
        <v/>
      </c>
      <c r="J835" s="5" t="str">
        <f t="shared" si="24"/>
        <v>AI provisional</v>
      </c>
      <c r="K835" s="5" t="str">
        <f t="shared" si="25"/>
        <v>Y</v>
      </c>
      <c r="L835" s="5" t="s">
        <v>697</v>
      </c>
      <c r="M835" s="5" t="s">
        <v>4622</v>
      </c>
      <c r="N835" s="5" t="s">
        <v>4598</v>
      </c>
      <c r="O835" s="5" t="s">
        <v>2984</v>
      </c>
      <c r="P835" s="5" t="s">
        <v>2858</v>
      </c>
      <c r="Q835" s="11">
        <v>46306.5</v>
      </c>
      <c r="R835" s="6"/>
      <c r="S835" s="6"/>
      <c r="T835" s="6"/>
      <c r="U835" s="5">
        <f>MATCH(B835,Manual_Review!$A$6:$A$238,0)</f>
        <v>52</v>
      </c>
      <c r="V835" s="5" t="str">
        <f>IF(INDEX(Manual_Review!$G$6:$G$238,U835)="","",INDEX(Manual_Review!$G$6:$G$238,U835))</f>
        <v/>
      </c>
      <c r="W835" s="11" t="str">
        <f>IF(INDEX(Manual_Review!$H$6:$H$238,U835)="","",INDEX(Manual_Review!$H$6:$H$238,U835))</f>
        <v/>
      </c>
      <c r="X835" s="5" t="str">
        <f>IF(INDEX(Manual_Review!$I$6:$I$238,U835)="","",INDEX(Manual_Review!$I$6:$I$238,U835))</f>
        <v/>
      </c>
      <c r="Y835" s="5" t="s">
        <v>2859</v>
      </c>
    </row>
    <row r="836" spans="1:25" ht="25.5">
      <c r="A836" s="5" t="s">
        <v>4623</v>
      </c>
      <c r="B836" s="5" t="s">
        <v>691</v>
      </c>
      <c r="C836" s="5" t="s">
        <v>692</v>
      </c>
      <c r="D836" s="5" t="s">
        <v>118</v>
      </c>
      <c r="E836" s="5" t="s">
        <v>2795</v>
      </c>
      <c r="F836" s="5" t="s">
        <v>2764</v>
      </c>
      <c r="G836" s="5">
        <v>1</v>
      </c>
      <c r="H836" s="5" t="s">
        <v>2864</v>
      </c>
      <c r="I836" s="5" t="str">
        <f>IF(INDEX(Manual_Review!$Y$6:$Y$238,U836)="","",INDEX(Manual_Review!$Y$6:$Y$238,U836))</f>
        <v/>
      </c>
      <c r="J836" s="5" t="str">
        <f t="shared" si="24"/>
        <v>AI provisional</v>
      </c>
      <c r="K836" s="5" t="str">
        <f t="shared" si="25"/>
        <v>U</v>
      </c>
      <c r="L836" s="5" t="s">
        <v>697</v>
      </c>
      <c r="M836" s="5" t="s">
        <v>4608</v>
      </c>
      <c r="N836" s="5" t="s">
        <v>4598</v>
      </c>
      <c r="O836" s="5" t="s">
        <v>2897</v>
      </c>
      <c r="P836" s="5" t="s">
        <v>2858</v>
      </c>
      <c r="Q836" s="11">
        <v>46306.5</v>
      </c>
      <c r="R836" s="6"/>
      <c r="S836" s="6"/>
      <c r="T836" s="6"/>
      <c r="U836" s="5">
        <f>MATCH(B836,Manual_Review!$A$6:$A$238,0)</f>
        <v>52</v>
      </c>
      <c r="V836" s="5" t="str">
        <f>IF(INDEX(Manual_Review!$G$6:$G$238,U836)="","",INDEX(Manual_Review!$G$6:$G$238,U836))</f>
        <v/>
      </c>
      <c r="W836" s="11" t="str">
        <f>IF(INDEX(Manual_Review!$H$6:$H$238,U836)="","",INDEX(Manual_Review!$H$6:$H$238,U836))</f>
        <v/>
      </c>
      <c r="X836" s="5" t="str">
        <f>IF(INDEX(Manual_Review!$I$6:$I$238,U836)="","",INDEX(Manual_Review!$I$6:$I$238,U836))</f>
        <v/>
      </c>
      <c r="Y836" s="5" t="s">
        <v>2859</v>
      </c>
    </row>
    <row r="837" spans="1:25" ht="25.5">
      <c r="A837" s="5" t="s">
        <v>4624</v>
      </c>
      <c r="B837" s="5" t="s">
        <v>691</v>
      </c>
      <c r="C837" s="5" t="s">
        <v>692</v>
      </c>
      <c r="D837" s="5" t="s">
        <v>118</v>
      </c>
      <c r="E837" s="5" t="s">
        <v>2796</v>
      </c>
      <c r="F837" s="5" t="s">
        <v>2764</v>
      </c>
      <c r="G837" s="5">
        <v>1</v>
      </c>
      <c r="H837" s="5" t="s">
        <v>2864</v>
      </c>
      <c r="I837" s="5" t="str">
        <f>IF(INDEX(Manual_Review!$Z$6:$Z$238,U837)="","",INDEX(Manual_Review!$Z$6:$Z$238,U837))</f>
        <v/>
      </c>
      <c r="J837" s="5" t="str">
        <f t="shared" si="24"/>
        <v>AI provisional</v>
      </c>
      <c r="K837" s="5" t="str">
        <f t="shared" si="25"/>
        <v>U</v>
      </c>
      <c r="L837" s="5" t="s">
        <v>697</v>
      </c>
      <c r="M837" s="5" t="s">
        <v>4613</v>
      </c>
      <c r="N837" s="5" t="s">
        <v>4598</v>
      </c>
      <c r="O837" s="5" t="s">
        <v>2899</v>
      </c>
      <c r="P837" s="5" t="s">
        <v>2858</v>
      </c>
      <c r="Q837" s="11">
        <v>46306.5</v>
      </c>
      <c r="R837" s="6"/>
      <c r="S837" s="6"/>
      <c r="T837" s="6"/>
      <c r="U837" s="5">
        <f>MATCH(B837,Manual_Review!$A$6:$A$238,0)</f>
        <v>52</v>
      </c>
      <c r="V837" s="5" t="str">
        <f>IF(INDEX(Manual_Review!$G$6:$G$238,U837)="","",INDEX(Manual_Review!$G$6:$G$238,U837))</f>
        <v/>
      </c>
      <c r="W837" s="11" t="str">
        <f>IF(INDEX(Manual_Review!$H$6:$H$238,U837)="","",INDEX(Manual_Review!$H$6:$H$238,U837))</f>
        <v/>
      </c>
      <c r="X837" s="5" t="str">
        <f>IF(INDEX(Manual_Review!$I$6:$I$238,U837)="","",INDEX(Manual_Review!$I$6:$I$238,U837))</f>
        <v/>
      </c>
      <c r="Y837" s="5" t="s">
        <v>2859</v>
      </c>
    </row>
    <row r="838" spans="1:25" ht="25.5">
      <c r="A838" s="5" t="s">
        <v>4625</v>
      </c>
      <c r="B838" s="5" t="s">
        <v>699</v>
      </c>
      <c r="C838" s="5" t="s">
        <v>700</v>
      </c>
      <c r="D838" s="5" t="s">
        <v>118</v>
      </c>
      <c r="E838" s="5" t="s">
        <v>2781</v>
      </c>
      <c r="F838" s="5" t="s">
        <v>2754</v>
      </c>
      <c r="G838" s="5">
        <v>1</v>
      </c>
      <c r="H838" s="5" t="s">
        <v>2854</v>
      </c>
      <c r="I838" s="5" t="str">
        <f>IF(INDEX(Manual_Review!$K$6:$K$238,U838)="","",INDEX(Manual_Review!$K$6:$K$238,U838))</f>
        <v/>
      </c>
      <c r="J838" s="5" t="str">
        <f t="shared" ref="J838:J901" si="26">IF(G838=0,"Not applicable",IF(I838="","AI provisional",IF(AND(OR(I838="Y",I838="N",I838="U",I838="X"),V838&lt;&gt;"",ISNUMBER(W838),W838&gt;0,X838="Confirmed",R838&lt;&gt;"",S838&lt;&gt;"",T838&lt;&gt;""),"Human valid","Evidence needed")))</f>
        <v>AI provisional</v>
      </c>
      <c r="K838" s="5" t="str">
        <f t="shared" ref="K838:K901" si="27">IF(G838=0,"N/A",IF(I838="",H838,IF(J838="Human valid",I838,"U")))</f>
        <v>Y</v>
      </c>
      <c r="L838" s="5" t="s">
        <v>706</v>
      </c>
      <c r="M838" s="5" t="s">
        <v>4626</v>
      </c>
      <c r="N838" s="5" t="s">
        <v>4627</v>
      </c>
      <c r="O838" s="5" t="s">
        <v>2857</v>
      </c>
      <c r="P838" s="5" t="s">
        <v>2858</v>
      </c>
      <c r="Q838" s="11">
        <v>46306.5</v>
      </c>
      <c r="R838" s="6"/>
      <c r="S838" s="6"/>
      <c r="T838" s="6"/>
      <c r="U838" s="5">
        <f>MATCH(B838,Manual_Review!$A$6:$A$238,0)</f>
        <v>53</v>
      </c>
      <c r="V838" s="5" t="str">
        <f>IF(INDEX(Manual_Review!$G$6:$G$238,U838)="","",INDEX(Manual_Review!$G$6:$G$238,U838))</f>
        <v/>
      </c>
      <c r="W838" s="11" t="str">
        <f>IF(INDEX(Manual_Review!$H$6:$H$238,U838)="","",INDEX(Manual_Review!$H$6:$H$238,U838))</f>
        <v/>
      </c>
      <c r="X838" s="5" t="str">
        <f>IF(INDEX(Manual_Review!$I$6:$I$238,U838)="","",INDEX(Manual_Review!$I$6:$I$238,U838))</f>
        <v/>
      </c>
      <c r="Y838" s="5" t="s">
        <v>2859</v>
      </c>
    </row>
    <row r="839" spans="1:25" ht="25.5">
      <c r="A839" s="5" t="s">
        <v>4628</v>
      </c>
      <c r="B839" s="5" t="s">
        <v>699</v>
      </c>
      <c r="C839" s="5" t="s">
        <v>700</v>
      </c>
      <c r="D839" s="5" t="s">
        <v>118</v>
      </c>
      <c r="E839" s="5" t="s">
        <v>2782</v>
      </c>
      <c r="F839" s="5" t="s">
        <v>2754</v>
      </c>
      <c r="G839" s="5">
        <v>1</v>
      </c>
      <c r="H839" s="5" t="s">
        <v>2854</v>
      </c>
      <c r="I839" s="5" t="str">
        <f>IF(INDEX(Manual_Review!$L$6:$L$238,U839)="","",INDEX(Manual_Review!$L$6:$L$238,U839))</f>
        <v/>
      </c>
      <c r="J839" s="5" t="str">
        <f t="shared" si="26"/>
        <v>AI provisional</v>
      </c>
      <c r="K839" s="5" t="str">
        <f t="shared" si="27"/>
        <v>Y</v>
      </c>
      <c r="L839" s="5" t="s">
        <v>706</v>
      </c>
      <c r="M839" s="5" t="s">
        <v>4629</v>
      </c>
      <c r="N839" s="5" t="s">
        <v>4627</v>
      </c>
      <c r="O839" s="5" t="s">
        <v>2862</v>
      </c>
      <c r="P839" s="5" t="s">
        <v>2858</v>
      </c>
      <c r="Q839" s="11">
        <v>46306.5</v>
      </c>
      <c r="R839" s="6"/>
      <c r="S839" s="6"/>
      <c r="T839" s="6"/>
      <c r="U839" s="5">
        <f>MATCH(B839,Manual_Review!$A$6:$A$238,0)</f>
        <v>53</v>
      </c>
      <c r="V839" s="5" t="str">
        <f>IF(INDEX(Manual_Review!$G$6:$G$238,U839)="","",INDEX(Manual_Review!$G$6:$G$238,U839))</f>
        <v/>
      </c>
      <c r="W839" s="11" t="str">
        <f>IF(INDEX(Manual_Review!$H$6:$H$238,U839)="","",INDEX(Manual_Review!$H$6:$H$238,U839))</f>
        <v/>
      </c>
      <c r="X839" s="5" t="str">
        <f>IF(INDEX(Manual_Review!$I$6:$I$238,U839)="","",INDEX(Manual_Review!$I$6:$I$238,U839))</f>
        <v/>
      </c>
      <c r="Y839" s="5" t="s">
        <v>2859</v>
      </c>
    </row>
    <row r="840" spans="1:25" ht="25.5">
      <c r="A840" s="5" t="s">
        <v>4630</v>
      </c>
      <c r="B840" s="5" t="s">
        <v>699</v>
      </c>
      <c r="C840" s="5" t="s">
        <v>700</v>
      </c>
      <c r="D840" s="5" t="s">
        <v>118</v>
      </c>
      <c r="E840" s="5" t="s">
        <v>2783</v>
      </c>
      <c r="F840" s="5" t="s">
        <v>2754</v>
      </c>
      <c r="G840" s="5">
        <v>1</v>
      </c>
      <c r="H840" s="5" t="s">
        <v>2854</v>
      </c>
      <c r="I840" s="5" t="str">
        <f>IF(INDEX(Manual_Review!$M$6:$M$238,U840)="","",INDEX(Manual_Review!$M$6:$M$238,U840))</f>
        <v/>
      </c>
      <c r="J840" s="5" t="str">
        <f t="shared" si="26"/>
        <v>AI provisional</v>
      </c>
      <c r="K840" s="5" t="str">
        <f t="shared" si="27"/>
        <v>Y</v>
      </c>
      <c r="L840" s="5" t="s">
        <v>706</v>
      </c>
      <c r="M840" s="5" t="s">
        <v>4631</v>
      </c>
      <c r="N840" s="5" t="s">
        <v>4627</v>
      </c>
      <c r="O840" s="5" t="s">
        <v>3133</v>
      </c>
      <c r="P840" s="5" t="s">
        <v>2858</v>
      </c>
      <c r="Q840" s="11">
        <v>46306.5</v>
      </c>
      <c r="R840" s="6"/>
      <c r="S840" s="6"/>
      <c r="T840" s="6"/>
      <c r="U840" s="5">
        <f>MATCH(B840,Manual_Review!$A$6:$A$238,0)</f>
        <v>53</v>
      </c>
      <c r="V840" s="5" t="str">
        <f>IF(INDEX(Manual_Review!$G$6:$G$238,U840)="","",INDEX(Manual_Review!$G$6:$G$238,U840))</f>
        <v/>
      </c>
      <c r="W840" s="11" t="str">
        <f>IF(INDEX(Manual_Review!$H$6:$H$238,U840)="","",INDEX(Manual_Review!$H$6:$H$238,U840))</f>
        <v/>
      </c>
      <c r="X840" s="5" t="str">
        <f>IF(INDEX(Manual_Review!$I$6:$I$238,U840)="","",INDEX(Manual_Review!$I$6:$I$238,U840))</f>
        <v/>
      </c>
      <c r="Y840" s="5" t="s">
        <v>2859</v>
      </c>
    </row>
    <row r="841" spans="1:25" ht="25.5">
      <c r="A841" s="5" t="s">
        <v>4632</v>
      </c>
      <c r="B841" s="5" t="s">
        <v>699</v>
      </c>
      <c r="C841" s="5" t="s">
        <v>700</v>
      </c>
      <c r="D841" s="5" t="s">
        <v>118</v>
      </c>
      <c r="E841" s="5" t="s">
        <v>2784</v>
      </c>
      <c r="F841" s="5" t="s">
        <v>2756</v>
      </c>
      <c r="G841" s="5">
        <v>1</v>
      </c>
      <c r="H841" s="5" t="s">
        <v>2854</v>
      </c>
      <c r="I841" s="5" t="str">
        <f>IF(INDEX(Manual_Review!$N$6:$N$238,U841)="","",INDEX(Manual_Review!$N$6:$N$238,U841))</f>
        <v/>
      </c>
      <c r="J841" s="5" t="str">
        <f t="shared" si="26"/>
        <v>AI provisional</v>
      </c>
      <c r="K841" s="5" t="str">
        <f t="shared" si="27"/>
        <v>Y</v>
      </c>
      <c r="L841" s="5" t="s">
        <v>706</v>
      </c>
      <c r="M841" s="5" t="s">
        <v>4633</v>
      </c>
      <c r="N841" s="5" t="s">
        <v>4627</v>
      </c>
      <c r="O841" s="5" t="s">
        <v>2963</v>
      </c>
      <c r="P841" s="5" t="s">
        <v>2858</v>
      </c>
      <c r="Q841" s="11">
        <v>46306.5</v>
      </c>
      <c r="R841" s="6"/>
      <c r="S841" s="6"/>
      <c r="T841" s="6"/>
      <c r="U841" s="5">
        <f>MATCH(B841,Manual_Review!$A$6:$A$238,0)</f>
        <v>53</v>
      </c>
      <c r="V841" s="5" t="str">
        <f>IF(INDEX(Manual_Review!$G$6:$G$238,U841)="","",INDEX(Manual_Review!$G$6:$G$238,U841))</f>
        <v/>
      </c>
      <c r="W841" s="11" t="str">
        <f>IF(INDEX(Manual_Review!$H$6:$H$238,U841)="","",INDEX(Manual_Review!$H$6:$H$238,U841))</f>
        <v/>
      </c>
      <c r="X841" s="5" t="str">
        <f>IF(INDEX(Manual_Review!$I$6:$I$238,U841)="","",INDEX(Manual_Review!$I$6:$I$238,U841))</f>
        <v/>
      </c>
      <c r="Y841" s="5" t="s">
        <v>2859</v>
      </c>
    </row>
    <row r="842" spans="1:25" ht="25.5">
      <c r="A842" s="5" t="s">
        <v>4634</v>
      </c>
      <c r="B842" s="5" t="s">
        <v>699</v>
      </c>
      <c r="C842" s="5" t="s">
        <v>700</v>
      </c>
      <c r="D842" s="5" t="s">
        <v>118</v>
      </c>
      <c r="E842" s="5" t="s">
        <v>2785</v>
      </c>
      <c r="F842" s="5" t="s">
        <v>2756</v>
      </c>
      <c r="G842" s="5">
        <v>1</v>
      </c>
      <c r="H842" s="5" t="s">
        <v>2854</v>
      </c>
      <c r="I842" s="5" t="str">
        <f>IF(INDEX(Manual_Review!$O$6:$O$238,U842)="","",INDEX(Manual_Review!$O$6:$O$238,U842))</f>
        <v/>
      </c>
      <c r="J842" s="5" t="str">
        <f t="shared" si="26"/>
        <v>AI provisional</v>
      </c>
      <c r="K842" s="5" t="str">
        <f t="shared" si="27"/>
        <v>Y</v>
      </c>
      <c r="L842" s="5" t="s">
        <v>706</v>
      </c>
      <c r="M842" s="5" t="s">
        <v>4635</v>
      </c>
      <c r="N842" s="5" t="s">
        <v>4627</v>
      </c>
      <c r="O842" s="5" t="s">
        <v>3138</v>
      </c>
      <c r="P842" s="5" t="s">
        <v>2858</v>
      </c>
      <c r="Q842" s="11">
        <v>46306.5</v>
      </c>
      <c r="R842" s="6"/>
      <c r="S842" s="6"/>
      <c r="T842" s="6"/>
      <c r="U842" s="5">
        <f>MATCH(B842,Manual_Review!$A$6:$A$238,0)</f>
        <v>53</v>
      </c>
      <c r="V842" s="5" t="str">
        <f>IF(INDEX(Manual_Review!$G$6:$G$238,U842)="","",INDEX(Manual_Review!$G$6:$G$238,U842))</f>
        <v/>
      </c>
      <c r="W842" s="11" t="str">
        <f>IF(INDEX(Manual_Review!$H$6:$H$238,U842)="","",INDEX(Manual_Review!$H$6:$H$238,U842))</f>
        <v/>
      </c>
      <c r="X842" s="5" t="str">
        <f>IF(INDEX(Manual_Review!$I$6:$I$238,U842)="","",INDEX(Manual_Review!$I$6:$I$238,U842))</f>
        <v/>
      </c>
      <c r="Y842" s="5" t="s">
        <v>2859</v>
      </c>
    </row>
    <row r="843" spans="1:25" ht="25.5">
      <c r="A843" s="5" t="s">
        <v>4636</v>
      </c>
      <c r="B843" s="5" t="s">
        <v>699</v>
      </c>
      <c r="C843" s="5" t="s">
        <v>700</v>
      </c>
      <c r="D843" s="5" t="s">
        <v>118</v>
      </c>
      <c r="E843" s="5" t="s">
        <v>2786</v>
      </c>
      <c r="F843" s="5" t="s">
        <v>2756</v>
      </c>
      <c r="G843" s="5">
        <v>1</v>
      </c>
      <c r="H843" s="5" t="s">
        <v>2864</v>
      </c>
      <c r="I843" s="5" t="str">
        <f>IF(INDEX(Manual_Review!$P$6:$P$238,U843)="","",INDEX(Manual_Review!$P$6:$P$238,U843))</f>
        <v/>
      </c>
      <c r="J843" s="5" t="str">
        <f t="shared" si="26"/>
        <v>AI provisional</v>
      </c>
      <c r="K843" s="5" t="str">
        <f t="shared" si="27"/>
        <v>U</v>
      </c>
      <c r="L843" s="5" t="s">
        <v>706</v>
      </c>
      <c r="M843" s="5" t="s">
        <v>4637</v>
      </c>
      <c r="N843" s="5" t="s">
        <v>4627</v>
      </c>
      <c r="O843" s="5" t="s">
        <v>2874</v>
      </c>
      <c r="P843" s="5" t="s">
        <v>2858</v>
      </c>
      <c r="Q843" s="11">
        <v>46306.5</v>
      </c>
      <c r="R843" s="6"/>
      <c r="S843" s="6"/>
      <c r="T843" s="6"/>
      <c r="U843" s="5">
        <f>MATCH(B843,Manual_Review!$A$6:$A$238,0)</f>
        <v>53</v>
      </c>
      <c r="V843" s="5" t="str">
        <f>IF(INDEX(Manual_Review!$G$6:$G$238,U843)="","",INDEX(Manual_Review!$G$6:$G$238,U843))</f>
        <v/>
      </c>
      <c r="W843" s="11" t="str">
        <f>IF(INDEX(Manual_Review!$H$6:$H$238,U843)="","",INDEX(Manual_Review!$H$6:$H$238,U843))</f>
        <v/>
      </c>
      <c r="X843" s="5" t="str">
        <f>IF(INDEX(Manual_Review!$I$6:$I$238,U843)="","",INDEX(Manual_Review!$I$6:$I$238,U843))</f>
        <v/>
      </c>
      <c r="Y843" s="5" t="s">
        <v>2859</v>
      </c>
    </row>
    <row r="844" spans="1:25" ht="25.5">
      <c r="A844" s="5" t="s">
        <v>4638</v>
      </c>
      <c r="B844" s="5" t="s">
        <v>699</v>
      </c>
      <c r="C844" s="5" t="s">
        <v>700</v>
      </c>
      <c r="D844" s="5" t="s">
        <v>118</v>
      </c>
      <c r="E844" s="5" t="s">
        <v>2787</v>
      </c>
      <c r="F844" s="5" t="s">
        <v>2758</v>
      </c>
      <c r="G844" s="5">
        <v>1</v>
      </c>
      <c r="H844" s="5" t="s">
        <v>2854</v>
      </c>
      <c r="I844" s="5" t="str">
        <f>IF(INDEX(Manual_Review!$Q$6:$Q$238,U844)="","",INDEX(Manual_Review!$Q$6:$Q$238,U844))</f>
        <v/>
      </c>
      <c r="J844" s="5" t="str">
        <f t="shared" si="26"/>
        <v>AI provisional</v>
      </c>
      <c r="K844" s="5" t="str">
        <f t="shared" si="27"/>
        <v>Y</v>
      </c>
      <c r="L844" s="5" t="s">
        <v>706</v>
      </c>
      <c r="M844" s="5" t="s">
        <v>4639</v>
      </c>
      <c r="N844" s="5" t="s">
        <v>4627</v>
      </c>
      <c r="O844" s="5" t="s">
        <v>2969</v>
      </c>
      <c r="P844" s="5" t="s">
        <v>2858</v>
      </c>
      <c r="Q844" s="11">
        <v>46306.5</v>
      </c>
      <c r="R844" s="6"/>
      <c r="S844" s="6"/>
      <c r="T844" s="6"/>
      <c r="U844" s="5">
        <f>MATCH(B844,Manual_Review!$A$6:$A$238,0)</f>
        <v>53</v>
      </c>
      <c r="V844" s="5" t="str">
        <f>IF(INDEX(Manual_Review!$G$6:$G$238,U844)="","",INDEX(Manual_Review!$G$6:$G$238,U844))</f>
        <v/>
      </c>
      <c r="W844" s="11" t="str">
        <f>IF(INDEX(Manual_Review!$H$6:$H$238,U844)="","",INDEX(Manual_Review!$H$6:$H$238,U844))</f>
        <v/>
      </c>
      <c r="X844" s="5" t="str">
        <f>IF(INDEX(Manual_Review!$I$6:$I$238,U844)="","",INDEX(Manual_Review!$I$6:$I$238,U844))</f>
        <v/>
      </c>
      <c r="Y844" s="5" t="s">
        <v>2859</v>
      </c>
    </row>
    <row r="845" spans="1:25" ht="25.5">
      <c r="A845" s="5" t="s">
        <v>4640</v>
      </c>
      <c r="B845" s="5" t="s">
        <v>699</v>
      </c>
      <c r="C845" s="5" t="s">
        <v>700</v>
      </c>
      <c r="D845" s="5" t="s">
        <v>118</v>
      </c>
      <c r="E845" s="5" t="s">
        <v>2788</v>
      </c>
      <c r="F845" s="5" t="s">
        <v>2758</v>
      </c>
      <c r="G845" s="5">
        <v>1</v>
      </c>
      <c r="H845" s="5" t="s">
        <v>2854</v>
      </c>
      <c r="I845" s="5" t="str">
        <f>IF(INDEX(Manual_Review!$R$6:$R$238,U845)="","",INDEX(Manual_Review!$R$6:$R$238,U845))</f>
        <v/>
      </c>
      <c r="J845" s="5" t="str">
        <f t="shared" si="26"/>
        <v>AI provisional</v>
      </c>
      <c r="K845" s="5" t="str">
        <f t="shared" si="27"/>
        <v>Y</v>
      </c>
      <c r="L845" s="5" t="s">
        <v>706</v>
      </c>
      <c r="M845" s="5" t="s">
        <v>4641</v>
      </c>
      <c r="N845" s="5" t="s">
        <v>4627</v>
      </c>
      <c r="O845" s="5" t="s">
        <v>3067</v>
      </c>
      <c r="P845" s="5" t="s">
        <v>2858</v>
      </c>
      <c r="Q845" s="11">
        <v>46306.5</v>
      </c>
      <c r="R845" s="6"/>
      <c r="S845" s="6"/>
      <c r="T845" s="6"/>
      <c r="U845" s="5">
        <f>MATCH(B845,Manual_Review!$A$6:$A$238,0)</f>
        <v>53</v>
      </c>
      <c r="V845" s="5" t="str">
        <f>IF(INDEX(Manual_Review!$G$6:$G$238,U845)="","",INDEX(Manual_Review!$G$6:$G$238,U845))</f>
        <v/>
      </c>
      <c r="W845" s="11" t="str">
        <f>IF(INDEX(Manual_Review!$H$6:$H$238,U845)="","",INDEX(Manual_Review!$H$6:$H$238,U845))</f>
        <v/>
      </c>
      <c r="X845" s="5" t="str">
        <f>IF(INDEX(Manual_Review!$I$6:$I$238,U845)="","",INDEX(Manual_Review!$I$6:$I$238,U845))</f>
        <v/>
      </c>
      <c r="Y845" s="5" t="s">
        <v>2859</v>
      </c>
    </row>
    <row r="846" spans="1:25" ht="25.5">
      <c r="A846" s="5" t="s">
        <v>4642</v>
      </c>
      <c r="B846" s="5" t="s">
        <v>699</v>
      </c>
      <c r="C846" s="5" t="s">
        <v>700</v>
      </c>
      <c r="D846" s="5" t="s">
        <v>118</v>
      </c>
      <c r="E846" s="5" t="s">
        <v>2789</v>
      </c>
      <c r="F846" s="5" t="s">
        <v>2758</v>
      </c>
      <c r="G846" s="5">
        <v>1</v>
      </c>
      <c r="H846" s="5" t="s">
        <v>2864</v>
      </c>
      <c r="I846" s="5" t="str">
        <f>IF(INDEX(Manual_Review!$S$6:$S$238,U846)="","",INDEX(Manual_Review!$S$6:$S$238,U846))</f>
        <v/>
      </c>
      <c r="J846" s="5" t="str">
        <f t="shared" si="26"/>
        <v>AI provisional</v>
      </c>
      <c r="K846" s="5" t="str">
        <f t="shared" si="27"/>
        <v>U</v>
      </c>
      <c r="L846" s="5" t="s">
        <v>706</v>
      </c>
      <c r="M846" s="5" t="s">
        <v>4643</v>
      </c>
      <c r="N846" s="5" t="s">
        <v>4627</v>
      </c>
      <c r="O846" s="5" t="s">
        <v>2883</v>
      </c>
      <c r="P846" s="5" t="s">
        <v>2858</v>
      </c>
      <c r="Q846" s="11">
        <v>46306.5</v>
      </c>
      <c r="R846" s="6"/>
      <c r="S846" s="6"/>
      <c r="T846" s="6"/>
      <c r="U846" s="5">
        <f>MATCH(B846,Manual_Review!$A$6:$A$238,0)</f>
        <v>53</v>
      </c>
      <c r="V846" s="5" t="str">
        <f>IF(INDEX(Manual_Review!$G$6:$G$238,U846)="","",INDEX(Manual_Review!$G$6:$G$238,U846))</f>
        <v/>
      </c>
      <c r="W846" s="11" t="str">
        <f>IF(INDEX(Manual_Review!$H$6:$H$238,U846)="","",INDEX(Manual_Review!$H$6:$H$238,U846))</f>
        <v/>
      </c>
      <c r="X846" s="5" t="str">
        <f>IF(INDEX(Manual_Review!$I$6:$I$238,U846)="","",INDEX(Manual_Review!$I$6:$I$238,U846))</f>
        <v/>
      </c>
      <c r="Y846" s="5" t="s">
        <v>2859</v>
      </c>
    </row>
    <row r="847" spans="1:25" ht="25.5">
      <c r="A847" s="5" t="s">
        <v>4644</v>
      </c>
      <c r="B847" s="5" t="s">
        <v>699</v>
      </c>
      <c r="C847" s="5" t="s">
        <v>700</v>
      </c>
      <c r="D847" s="5" t="s">
        <v>118</v>
      </c>
      <c r="E847" s="5" t="s">
        <v>2790</v>
      </c>
      <c r="F847" s="5" t="s">
        <v>2760</v>
      </c>
      <c r="G847" s="5">
        <v>1</v>
      </c>
      <c r="H847" s="5" t="s">
        <v>2854</v>
      </c>
      <c r="I847" s="5" t="str">
        <f>IF(INDEX(Manual_Review!$T$6:$T$238,U847)="","",INDEX(Manual_Review!$T$6:$T$238,U847))</f>
        <v/>
      </c>
      <c r="J847" s="5" t="str">
        <f t="shared" si="26"/>
        <v>AI provisional</v>
      </c>
      <c r="K847" s="5" t="str">
        <f t="shared" si="27"/>
        <v>Y</v>
      </c>
      <c r="L847" s="5" t="s">
        <v>706</v>
      </c>
      <c r="M847" s="5" t="s">
        <v>4645</v>
      </c>
      <c r="N847" s="5" t="s">
        <v>4627</v>
      </c>
      <c r="O847" s="5" t="s">
        <v>2976</v>
      </c>
      <c r="P847" s="5" t="s">
        <v>2858</v>
      </c>
      <c r="Q847" s="11">
        <v>46306.5</v>
      </c>
      <c r="R847" s="6"/>
      <c r="S847" s="6"/>
      <c r="T847" s="6"/>
      <c r="U847" s="5">
        <f>MATCH(B847,Manual_Review!$A$6:$A$238,0)</f>
        <v>53</v>
      </c>
      <c r="V847" s="5" t="str">
        <f>IF(INDEX(Manual_Review!$G$6:$G$238,U847)="","",INDEX(Manual_Review!$G$6:$G$238,U847))</f>
        <v/>
      </c>
      <c r="W847" s="11" t="str">
        <f>IF(INDEX(Manual_Review!$H$6:$H$238,U847)="","",INDEX(Manual_Review!$H$6:$H$238,U847))</f>
        <v/>
      </c>
      <c r="X847" s="5" t="str">
        <f>IF(INDEX(Manual_Review!$I$6:$I$238,U847)="","",INDEX(Manual_Review!$I$6:$I$238,U847))</f>
        <v/>
      </c>
      <c r="Y847" s="5" t="s">
        <v>2859</v>
      </c>
    </row>
    <row r="848" spans="1:25" ht="25.5">
      <c r="A848" s="5" t="s">
        <v>4646</v>
      </c>
      <c r="B848" s="5" t="s">
        <v>699</v>
      </c>
      <c r="C848" s="5" t="s">
        <v>700</v>
      </c>
      <c r="D848" s="5" t="s">
        <v>118</v>
      </c>
      <c r="E848" s="5" t="s">
        <v>2791</v>
      </c>
      <c r="F848" s="5" t="s">
        <v>2760</v>
      </c>
      <c r="G848" s="5">
        <v>1</v>
      </c>
      <c r="H848" s="5" t="s">
        <v>2854</v>
      </c>
      <c r="I848" s="5" t="str">
        <f>IF(INDEX(Manual_Review!$U$6:$U$238,U848)="","",INDEX(Manual_Review!$U$6:$U$238,U848))</f>
        <v/>
      </c>
      <c r="J848" s="5" t="str">
        <f t="shared" si="26"/>
        <v>AI provisional</v>
      </c>
      <c r="K848" s="5" t="str">
        <f t="shared" si="27"/>
        <v>Y</v>
      </c>
      <c r="L848" s="5" t="s">
        <v>706</v>
      </c>
      <c r="M848" s="5" t="s">
        <v>4647</v>
      </c>
      <c r="N848" s="5" t="s">
        <v>4627</v>
      </c>
      <c r="O848" s="5" t="s">
        <v>3380</v>
      </c>
      <c r="P848" s="5" t="s">
        <v>2858</v>
      </c>
      <c r="Q848" s="11">
        <v>46306.5</v>
      </c>
      <c r="R848" s="6"/>
      <c r="S848" s="6"/>
      <c r="T848" s="6"/>
      <c r="U848" s="5">
        <f>MATCH(B848,Manual_Review!$A$6:$A$238,0)</f>
        <v>53</v>
      </c>
      <c r="V848" s="5" t="str">
        <f>IF(INDEX(Manual_Review!$G$6:$G$238,U848)="","",INDEX(Manual_Review!$G$6:$G$238,U848))</f>
        <v/>
      </c>
      <c r="W848" s="11" t="str">
        <f>IF(INDEX(Manual_Review!$H$6:$H$238,U848)="","",INDEX(Manual_Review!$H$6:$H$238,U848))</f>
        <v/>
      </c>
      <c r="X848" s="5" t="str">
        <f>IF(INDEX(Manual_Review!$I$6:$I$238,U848)="","",INDEX(Manual_Review!$I$6:$I$238,U848))</f>
        <v/>
      </c>
      <c r="Y848" s="5" t="s">
        <v>2859</v>
      </c>
    </row>
    <row r="849" spans="1:25" ht="25.5">
      <c r="A849" s="5" t="s">
        <v>4648</v>
      </c>
      <c r="B849" s="5" t="s">
        <v>699</v>
      </c>
      <c r="C849" s="5" t="s">
        <v>700</v>
      </c>
      <c r="D849" s="5" t="s">
        <v>118</v>
      </c>
      <c r="E849" s="5" t="s">
        <v>2792</v>
      </c>
      <c r="F849" s="5" t="s">
        <v>2762</v>
      </c>
      <c r="G849" s="5">
        <v>1</v>
      </c>
      <c r="H849" s="5" t="s">
        <v>2864</v>
      </c>
      <c r="I849" s="5" t="str">
        <f>IF(INDEX(Manual_Review!$V$6:$V$238,U849)="","",INDEX(Manual_Review!$V$6:$V$238,U849))</f>
        <v/>
      </c>
      <c r="J849" s="5" t="str">
        <f t="shared" si="26"/>
        <v>AI provisional</v>
      </c>
      <c r="K849" s="5" t="str">
        <f t="shared" si="27"/>
        <v>U</v>
      </c>
      <c r="L849" s="5" t="s">
        <v>706</v>
      </c>
      <c r="M849" s="5" t="s">
        <v>4649</v>
      </c>
      <c r="N849" s="5" t="s">
        <v>4627</v>
      </c>
      <c r="O849" s="5" t="s">
        <v>2891</v>
      </c>
      <c r="P849" s="5" t="s">
        <v>2858</v>
      </c>
      <c r="Q849" s="11">
        <v>46306.5</v>
      </c>
      <c r="R849" s="6"/>
      <c r="S849" s="6"/>
      <c r="T849" s="6"/>
      <c r="U849" s="5">
        <f>MATCH(B849,Manual_Review!$A$6:$A$238,0)</f>
        <v>53</v>
      </c>
      <c r="V849" s="5" t="str">
        <f>IF(INDEX(Manual_Review!$G$6:$G$238,U849)="","",INDEX(Manual_Review!$G$6:$G$238,U849))</f>
        <v/>
      </c>
      <c r="W849" s="11" t="str">
        <f>IF(INDEX(Manual_Review!$H$6:$H$238,U849)="","",INDEX(Manual_Review!$H$6:$H$238,U849))</f>
        <v/>
      </c>
      <c r="X849" s="5" t="str">
        <f>IF(INDEX(Manual_Review!$I$6:$I$238,U849)="","",INDEX(Manual_Review!$I$6:$I$238,U849))</f>
        <v/>
      </c>
      <c r="Y849" s="5" t="s">
        <v>2859</v>
      </c>
    </row>
    <row r="850" spans="1:25" ht="25.5">
      <c r="A850" s="5" t="s">
        <v>4650</v>
      </c>
      <c r="B850" s="5" t="s">
        <v>699</v>
      </c>
      <c r="C850" s="5" t="s">
        <v>700</v>
      </c>
      <c r="D850" s="5" t="s">
        <v>118</v>
      </c>
      <c r="E850" s="5" t="s">
        <v>2793</v>
      </c>
      <c r="F850" s="5" t="s">
        <v>2762</v>
      </c>
      <c r="G850" s="5">
        <v>1</v>
      </c>
      <c r="H850" s="5" t="s">
        <v>2854</v>
      </c>
      <c r="I850" s="5" t="str">
        <f>IF(INDEX(Manual_Review!$W$6:$W$238,U850)="","",INDEX(Manual_Review!$W$6:$W$238,U850))</f>
        <v/>
      </c>
      <c r="J850" s="5" t="str">
        <f t="shared" si="26"/>
        <v>AI provisional</v>
      </c>
      <c r="K850" s="5" t="str">
        <f t="shared" si="27"/>
        <v>Y</v>
      </c>
      <c r="L850" s="5" t="s">
        <v>706</v>
      </c>
      <c r="M850" s="5" t="s">
        <v>4649</v>
      </c>
      <c r="N850" s="5" t="s">
        <v>4627</v>
      </c>
      <c r="O850" s="5" t="s">
        <v>3077</v>
      </c>
      <c r="P850" s="5" t="s">
        <v>2858</v>
      </c>
      <c r="Q850" s="11">
        <v>46306.5</v>
      </c>
      <c r="R850" s="6"/>
      <c r="S850" s="6"/>
      <c r="T850" s="6"/>
      <c r="U850" s="5">
        <f>MATCH(B850,Manual_Review!$A$6:$A$238,0)</f>
        <v>53</v>
      </c>
      <c r="V850" s="5" t="str">
        <f>IF(INDEX(Manual_Review!$G$6:$G$238,U850)="","",INDEX(Manual_Review!$G$6:$G$238,U850))</f>
        <v/>
      </c>
      <c r="W850" s="11" t="str">
        <f>IF(INDEX(Manual_Review!$H$6:$H$238,U850)="","",INDEX(Manual_Review!$H$6:$H$238,U850))</f>
        <v/>
      </c>
      <c r="X850" s="5" t="str">
        <f>IF(INDEX(Manual_Review!$I$6:$I$238,U850)="","",INDEX(Manual_Review!$I$6:$I$238,U850))</f>
        <v/>
      </c>
      <c r="Y850" s="5" t="s">
        <v>2859</v>
      </c>
    </row>
    <row r="851" spans="1:25" ht="25.5">
      <c r="A851" s="5" t="s">
        <v>4651</v>
      </c>
      <c r="B851" s="5" t="s">
        <v>699</v>
      </c>
      <c r="C851" s="5" t="s">
        <v>700</v>
      </c>
      <c r="D851" s="5" t="s">
        <v>118</v>
      </c>
      <c r="E851" s="5" t="s">
        <v>2794</v>
      </c>
      <c r="F851" s="5" t="s">
        <v>2764</v>
      </c>
      <c r="G851" s="5">
        <v>1</v>
      </c>
      <c r="H851" s="5" t="s">
        <v>2854</v>
      </c>
      <c r="I851" s="5" t="str">
        <f>IF(INDEX(Manual_Review!$X$6:$X$238,U851)="","",INDEX(Manual_Review!$X$6:$X$238,U851))</f>
        <v/>
      </c>
      <c r="J851" s="5" t="str">
        <f t="shared" si="26"/>
        <v>AI provisional</v>
      </c>
      <c r="K851" s="5" t="str">
        <f t="shared" si="27"/>
        <v>Y</v>
      </c>
      <c r="L851" s="5" t="s">
        <v>706</v>
      </c>
      <c r="M851" s="5" t="s">
        <v>4652</v>
      </c>
      <c r="N851" s="5" t="s">
        <v>4627</v>
      </c>
      <c r="O851" s="5" t="s">
        <v>2984</v>
      </c>
      <c r="P851" s="5" t="s">
        <v>2858</v>
      </c>
      <c r="Q851" s="11">
        <v>46306.5</v>
      </c>
      <c r="R851" s="6"/>
      <c r="S851" s="6"/>
      <c r="T851" s="6"/>
      <c r="U851" s="5">
        <f>MATCH(B851,Manual_Review!$A$6:$A$238,0)</f>
        <v>53</v>
      </c>
      <c r="V851" s="5" t="str">
        <f>IF(INDEX(Manual_Review!$G$6:$G$238,U851)="","",INDEX(Manual_Review!$G$6:$G$238,U851))</f>
        <v/>
      </c>
      <c r="W851" s="11" t="str">
        <f>IF(INDEX(Manual_Review!$H$6:$H$238,U851)="","",INDEX(Manual_Review!$H$6:$H$238,U851))</f>
        <v/>
      </c>
      <c r="X851" s="5" t="str">
        <f>IF(INDEX(Manual_Review!$I$6:$I$238,U851)="","",INDEX(Manual_Review!$I$6:$I$238,U851))</f>
        <v/>
      </c>
      <c r="Y851" s="5" t="s">
        <v>2859</v>
      </c>
    </row>
    <row r="852" spans="1:25" ht="25.5">
      <c r="A852" s="5" t="s">
        <v>4653</v>
      </c>
      <c r="B852" s="5" t="s">
        <v>699</v>
      </c>
      <c r="C852" s="5" t="s">
        <v>700</v>
      </c>
      <c r="D852" s="5" t="s">
        <v>118</v>
      </c>
      <c r="E852" s="5" t="s">
        <v>2795</v>
      </c>
      <c r="F852" s="5" t="s">
        <v>2764</v>
      </c>
      <c r="G852" s="5">
        <v>1</v>
      </c>
      <c r="H852" s="5" t="s">
        <v>2854</v>
      </c>
      <c r="I852" s="5" t="str">
        <f>IF(INDEX(Manual_Review!$Y$6:$Y$238,U852)="","",INDEX(Manual_Review!$Y$6:$Y$238,U852))</f>
        <v/>
      </c>
      <c r="J852" s="5" t="str">
        <f t="shared" si="26"/>
        <v>AI provisional</v>
      </c>
      <c r="K852" s="5" t="str">
        <f t="shared" si="27"/>
        <v>Y</v>
      </c>
      <c r="L852" s="5" t="s">
        <v>706</v>
      </c>
      <c r="M852" s="5" t="s">
        <v>4654</v>
      </c>
      <c r="N852" s="5" t="s">
        <v>4627</v>
      </c>
      <c r="O852" s="5" t="s">
        <v>3082</v>
      </c>
      <c r="P852" s="5" t="s">
        <v>2858</v>
      </c>
      <c r="Q852" s="11">
        <v>46306.5</v>
      </c>
      <c r="R852" s="6"/>
      <c r="S852" s="6"/>
      <c r="T852" s="6"/>
      <c r="U852" s="5">
        <f>MATCH(B852,Manual_Review!$A$6:$A$238,0)</f>
        <v>53</v>
      </c>
      <c r="V852" s="5" t="str">
        <f>IF(INDEX(Manual_Review!$G$6:$G$238,U852)="","",INDEX(Manual_Review!$G$6:$G$238,U852))</f>
        <v/>
      </c>
      <c r="W852" s="11" t="str">
        <f>IF(INDEX(Manual_Review!$H$6:$H$238,U852)="","",INDEX(Manual_Review!$H$6:$H$238,U852))</f>
        <v/>
      </c>
      <c r="X852" s="5" t="str">
        <f>IF(INDEX(Manual_Review!$I$6:$I$238,U852)="","",INDEX(Manual_Review!$I$6:$I$238,U852))</f>
        <v/>
      </c>
      <c r="Y852" s="5" t="s">
        <v>2859</v>
      </c>
    </row>
    <row r="853" spans="1:25" ht="25.5">
      <c r="A853" s="5" t="s">
        <v>4655</v>
      </c>
      <c r="B853" s="5" t="s">
        <v>699</v>
      </c>
      <c r="C853" s="5" t="s">
        <v>700</v>
      </c>
      <c r="D853" s="5" t="s">
        <v>118</v>
      </c>
      <c r="E853" s="5" t="s">
        <v>2796</v>
      </c>
      <c r="F853" s="5" t="s">
        <v>2764</v>
      </c>
      <c r="G853" s="5">
        <v>1</v>
      </c>
      <c r="H853" s="5" t="s">
        <v>2854</v>
      </c>
      <c r="I853" s="5" t="str">
        <f>IF(INDEX(Manual_Review!$Z$6:$Z$238,U853)="","",INDEX(Manual_Review!$Z$6:$Z$238,U853))</f>
        <v/>
      </c>
      <c r="J853" s="5" t="str">
        <f t="shared" si="26"/>
        <v>AI provisional</v>
      </c>
      <c r="K853" s="5" t="str">
        <f t="shared" si="27"/>
        <v>Y</v>
      </c>
      <c r="L853" s="5" t="s">
        <v>706</v>
      </c>
      <c r="M853" s="5" t="s">
        <v>4656</v>
      </c>
      <c r="N853" s="5" t="s">
        <v>4627</v>
      </c>
      <c r="O853" s="5" t="s">
        <v>3085</v>
      </c>
      <c r="P853" s="5" t="s">
        <v>2858</v>
      </c>
      <c r="Q853" s="11">
        <v>46306.5</v>
      </c>
      <c r="R853" s="6"/>
      <c r="S853" s="6"/>
      <c r="T853" s="6"/>
      <c r="U853" s="5">
        <f>MATCH(B853,Manual_Review!$A$6:$A$238,0)</f>
        <v>53</v>
      </c>
      <c r="V853" s="5" t="str">
        <f>IF(INDEX(Manual_Review!$G$6:$G$238,U853)="","",INDEX(Manual_Review!$G$6:$G$238,U853))</f>
        <v/>
      </c>
      <c r="W853" s="11" t="str">
        <f>IF(INDEX(Manual_Review!$H$6:$H$238,U853)="","",INDEX(Manual_Review!$H$6:$H$238,U853))</f>
        <v/>
      </c>
      <c r="X853" s="5" t="str">
        <f>IF(INDEX(Manual_Review!$I$6:$I$238,U853)="","",INDEX(Manual_Review!$I$6:$I$238,U853))</f>
        <v/>
      </c>
      <c r="Y853" s="5" t="s">
        <v>2859</v>
      </c>
    </row>
    <row r="854" spans="1:25" ht="38.25">
      <c r="A854" s="5" t="s">
        <v>4657</v>
      </c>
      <c r="B854" s="5" t="s">
        <v>708</v>
      </c>
      <c r="C854" s="5" t="s">
        <v>709</v>
      </c>
      <c r="D854" s="5" t="s">
        <v>118</v>
      </c>
      <c r="E854" s="5" t="s">
        <v>2781</v>
      </c>
      <c r="F854" s="5" t="s">
        <v>2754</v>
      </c>
      <c r="G854" s="5">
        <v>1</v>
      </c>
      <c r="H854" s="5" t="s">
        <v>2854</v>
      </c>
      <c r="I854" s="5" t="str">
        <f>IF(INDEX(Manual_Review!$K$6:$K$238,U854)="","",INDEX(Manual_Review!$K$6:$K$238,U854))</f>
        <v/>
      </c>
      <c r="J854" s="5" t="str">
        <f t="shared" si="26"/>
        <v>AI provisional</v>
      </c>
      <c r="K854" s="5" t="str">
        <f t="shared" si="27"/>
        <v>Y</v>
      </c>
      <c r="L854" s="5" t="s">
        <v>717</v>
      </c>
      <c r="M854" s="5" t="s">
        <v>4658</v>
      </c>
      <c r="N854" s="5" t="s">
        <v>4659</v>
      </c>
      <c r="O854" s="5" t="s">
        <v>2857</v>
      </c>
      <c r="P854" s="5" t="s">
        <v>2858</v>
      </c>
      <c r="Q854" s="11">
        <v>46306.5</v>
      </c>
      <c r="R854" s="6"/>
      <c r="S854" s="6"/>
      <c r="T854" s="6"/>
      <c r="U854" s="5">
        <f>MATCH(B854,Manual_Review!$A$6:$A$238,0)</f>
        <v>54</v>
      </c>
      <c r="V854" s="5" t="str">
        <f>IF(INDEX(Manual_Review!$G$6:$G$238,U854)="","",INDEX(Manual_Review!$G$6:$G$238,U854))</f>
        <v/>
      </c>
      <c r="W854" s="11" t="str">
        <f>IF(INDEX(Manual_Review!$H$6:$H$238,U854)="","",INDEX(Manual_Review!$H$6:$H$238,U854))</f>
        <v/>
      </c>
      <c r="X854" s="5" t="str">
        <f>IF(INDEX(Manual_Review!$I$6:$I$238,U854)="","",INDEX(Manual_Review!$I$6:$I$238,U854))</f>
        <v/>
      </c>
      <c r="Y854" s="5" t="s">
        <v>2859</v>
      </c>
    </row>
    <row r="855" spans="1:25" ht="38.25">
      <c r="A855" s="5" t="s">
        <v>4660</v>
      </c>
      <c r="B855" s="5" t="s">
        <v>708</v>
      </c>
      <c r="C855" s="5" t="s">
        <v>709</v>
      </c>
      <c r="D855" s="5" t="s">
        <v>118</v>
      </c>
      <c r="E855" s="5" t="s">
        <v>2782</v>
      </c>
      <c r="F855" s="5" t="s">
        <v>2754</v>
      </c>
      <c r="G855" s="5">
        <v>1</v>
      </c>
      <c r="H855" s="5" t="s">
        <v>2854</v>
      </c>
      <c r="I855" s="5" t="str">
        <f>IF(INDEX(Manual_Review!$L$6:$L$238,U855)="","",INDEX(Manual_Review!$L$6:$L$238,U855))</f>
        <v/>
      </c>
      <c r="J855" s="5" t="str">
        <f t="shared" si="26"/>
        <v>AI provisional</v>
      </c>
      <c r="K855" s="5" t="str">
        <f t="shared" si="27"/>
        <v>Y</v>
      </c>
      <c r="L855" s="5" t="s">
        <v>717</v>
      </c>
      <c r="M855" s="5" t="s">
        <v>4661</v>
      </c>
      <c r="N855" s="5" t="s">
        <v>4659</v>
      </c>
      <c r="O855" s="5" t="s">
        <v>2862</v>
      </c>
      <c r="P855" s="5" t="s">
        <v>2858</v>
      </c>
      <c r="Q855" s="11">
        <v>46306.5</v>
      </c>
      <c r="R855" s="6"/>
      <c r="S855" s="6"/>
      <c r="T855" s="6"/>
      <c r="U855" s="5">
        <f>MATCH(B855,Manual_Review!$A$6:$A$238,0)</f>
        <v>54</v>
      </c>
      <c r="V855" s="5" t="str">
        <f>IF(INDEX(Manual_Review!$G$6:$G$238,U855)="","",INDEX(Manual_Review!$G$6:$G$238,U855))</f>
        <v/>
      </c>
      <c r="W855" s="11" t="str">
        <f>IF(INDEX(Manual_Review!$H$6:$H$238,U855)="","",INDEX(Manual_Review!$H$6:$H$238,U855))</f>
        <v/>
      </c>
      <c r="X855" s="5" t="str">
        <f>IF(INDEX(Manual_Review!$I$6:$I$238,U855)="","",INDEX(Manual_Review!$I$6:$I$238,U855))</f>
        <v/>
      </c>
      <c r="Y855" s="5" t="s">
        <v>2859</v>
      </c>
    </row>
    <row r="856" spans="1:25" ht="38.25">
      <c r="A856" s="5" t="s">
        <v>4662</v>
      </c>
      <c r="B856" s="5" t="s">
        <v>708</v>
      </c>
      <c r="C856" s="5" t="s">
        <v>709</v>
      </c>
      <c r="D856" s="5" t="s">
        <v>118</v>
      </c>
      <c r="E856" s="5" t="s">
        <v>2783</v>
      </c>
      <c r="F856" s="5" t="s">
        <v>2754</v>
      </c>
      <c r="G856" s="5">
        <v>1</v>
      </c>
      <c r="H856" s="5" t="s">
        <v>2854</v>
      </c>
      <c r="I856" s="5" t="str">
        <f>IF(INDEX(Manual_Review!$M$6:$M$238,U856)="","",INDEX(Manual_Review!$M$6:$M$238,U856))</f>
        <v/>
      </c>
      <c r="J856" s="5" t="str">
        <f t="shared" si="26"/>
        <v>AI provisional</v>
      </c>
      <c r="K856" s="5" t="str">
        <f t="shared" si="27"/>
        <v>Y</v>
      </c>
      <c r="L856" s="5" t="s">
        <v>717</v>
      </c>
      <c r="M856" s="5" t="s">
        <v>4663</v>
      </c>
      <c r="N856" s="5" t="s">
        <v>4659</v>
      </c>
      <c r="O856" s="5" t="s">
        <v>3133</v>
      </c>
      <c r="P856" s="5" t="s">
        <v>2858</v>
      </c>
      <c r="Q856" s="11">
        <v>46306.5</v>
      </c>
      <c r="R856" s="6"/>
      <c r="S856" s="6"/>
      <c r="T856" s="6"/>
      <c r="U856" s="5">
        <f>MATCH(B856,Manual_Review!$A$6:$A$238,0)</f>
        <v>54</v>
      </c>
      <c r="V856" s="5" t="str">
        <f>IF(INDEX(Manual_Review!$G$6:$G$238,U856)="","",INDEX(Manual_Review!$G$6:$G$238,U856))</f>
        <v/>
      </c>
      <c r="W856" s="11" t="str">
        <f>IF(INDEX(Manual_Review!$H$6:$H$238,U856)="","",INDEX(Manual_Review!$H$6:$H$238,U856))</f>
        <v/>
      </c>
      <c r="X856" s="5" t="str">
        <f>IF(INDEX(Manual_Review!$I$6:$I$238,U856)="","",INDEX(Manual_Review!$I$6:$I$238,U856))</f>
        <v/>
      </c>
      <c r="Y856" s="5" t="s">
        <v>2859</v>
      </c>
    </row>
    <row r="857" spans="1:25" ht="38.25">
      <c r="A857" s="5" t="s">
        <v>4664</v>
      </c>
      <c r="B857" s="5" t="s">
        <v>708</v>
      </c>
      <c r="C857" s="5" t="s">
        <v>709</v>
      </c>
      <c r="D857" s="5" t="s">
        <v>118</v>
      </c>
      <c r="E857" s="5" t="s">
        <v>2784</v>
      </c>
      <c r="F857" s="5" t="s">
        <v>2756</v>
      </c>
      <c r="G857" s="5">
        <v>1</v>
      </c>
      <c r="H857" s="5" t="s">
        <v>2854</v>
      </c>
      <c r="I857" s="5" t="str">
        <f>IF(INDEX(Manual_Review!$N$6:$N$238,U857)="","",INDEX(Manual_Review!$N$6:$N$238,U857))</f>
        <v/>
      </c>
      <c r="J857" s="5" t="str">
        <f t="shared" si="26"/>
        <v>AI provisional</v>
      </c>
      <c r="K857" s="5" t="str">
        <f t="shared" si="27"/>
        <v>Y</v>
      </c>
      <c r="L857" s="5" t="s">
        <v>717</v>
      </c>
      <c r="M857" s="5" t="s">
        <v>4665</v>
      </c>
      <c r="N857" s="5" t="s">
        <v>4659</v>
      </c>
      <c r="O857" s="5" t="s">
        <v>2963</v>
      </c>
      <c r="P857" s="5" t="s">
        <v>2858</v>
      </c>
      <c r="Q857" s="11">
        <v>46306.5</v>
      </c>
      <c r="R857" s="6"/>
      <c r="S857" s="6"/>
      <c r="T857" s="6"/>
      <c r="U857" s="5">
        <f>MATCH(B857,Manual_Review!$A$6:$A$238,0)</f>
        <v>54</v>
      </c>
      <c r="V857" s="5" t="str">
        <f>IF(INDEX(Manual_Review!$G$6:$G$238,U857)="","",INDEX(Manual_Review!$G$6:$G$238,U857))</f>
        <v/>
      </c>
      <c r="W857" s="11" t="str">
        <f>IF(INDEX(Manual_Review!$H$6:$H$238,U857)="","",INDEX(Manual_Review!$H$6:$H$238,U857))</f>
        <v/>
      </c>
      <c r="X857" s="5" t="str">
        <f>IF(INDEX(Manual_Review!$I$6:$I$238,U857)="","",INDEX(Manual_Review!$I$6:$I$238,U857))</f>
        <v/>
      </c>
      <c r="Y857" s="5" t="s">
        <v>2859</v>
      </c>
    </row>
    <row r="858" spans="1:25" ht="38.25">
      <c r="A858" s="5" t="s">
        <v>4666</v>
      </c>
      <c r="B858" s="5" t="s">
        <v>708</v>
      </c>
      <c r="C858" s="5" t="s">
        <v>709</v>
      </c>
      <c r="D858" s="5" t="s">
        <v>118</v>
      </c>
      <c r="E858" s="5" t="s">
        <v>2785</v>
      </c>
      <c r="F858" s="5" t="s">
        <v>2756</v>
      </c>
      <c r="G858" s="5">
        <v>1</v>
      </c>
      <c r="H858" s="5" t="s">
        <v>2864</v>
      </c>
      <c r="I858" s="5" t="str">
        <f>IF(INDEX(Manual_Review!$O$6:$O$238,U858)="","",INDEX(Manual_Review!$O$6:$O$238,U858))</f>
        <v/>
      </c>
      <c r="J858" s="5" t="str">
        <f t="shared" si="26"/>
        <v>AI provisional</v>
      </c>
      <c r="K858" s="5" t="str">
        <f t="shared" si="27"/>
        <v>U</v>
      </c>
      <c r="L858" s="5" t="s">
        <v>717</v>
      </c>
      <c r="M858" s="5" t="s">
        <v>4667</v>
      </c>
      <c r="N858" s="5" t="s">
        <v>4659</v>
      </c>
      <c r="O858" s="5" t="s">
        <v>2872</v>
      </c>
      <c r="P858" s="5" t="s">
        <v>2858</v>
      </c>
      <c r="Q858" s="11">
        <v>46306.5</v>
      </c>
      <c r="R858" s="6"/>
      <c r="S858" s="6"/>
      <c r="T858" s="6"/>
      <c r="U858" s="5">
        <f>MATCH(B858,Manual_Review!$A$6:$A$238,0)</f>
        <v>54</v>
      </c>
      <c r="V858" s="5" t="str">
        <f>IF(INDEX(Manual_Review!$G$6:$G$238,U858)="","",INDEX(Manual_Review!$G$6:$G$238,U858))</f>
        <v/>
      </c>
      <c r="W858" s="11" t="str">
        <f>IF(INDEX(Manual_Review!$H$6:$H$238,U858)="","",INDEX(Manual_Review!$H$6:$H$238,U858))</f>
        <v/>
      </c>
      <c r="X858" s="5" t="str">
        <f>IF(INDEX(Manual_Review!$I$6:$I$238,U858)="","",INDEX(Manual_Review!$I$6:$I$238,U858))</f>
        <v/>
      </c>
      <c r="Y858" s="5" t="s">
        <v>2859</v>
      </c>
    </row>
    <row r="859" spans="1:25" ht="38.25">
      <c r="A859" s="5" t="s">
        <v>4668</v>
      </c>
      <c r="B859" s="5" t="s">
        <v>708</v>
      </c>
      <c r="C859" s="5" t="s">
        <v>709</v>
      </c>
      <c r="D859" s="5" t="s">
        <v>118</v>
      </c>
      <c r="E859" s="5" t="s">
        <v>2786</v>
      </c>
      <c r="F859" s="5" t="s">
        <v>2756</v>
      </c>
      <c r="G859" s="5">
        <v>1</v>
      </c>
      <c r="H859" s="5" t="s">
        <v>2864</v>
      </c>
      <c r="I859" s="5" t="str">
        <f>IF(INDEX(Manual_Review!$P$6:$P$238,U859)="","",INDEX(Manual_Review!$P$6:$P$238,U859))</f>
        <v/>
      </c>
      <c r="J859" s="5" t="str">
        <f t="shared" si="26"/>
        <v>AI provisional</v>
      </c>
      <c r="K859" s="5" t="str">
        <f t="shared" si="27"/>
        <v>U</v>
      </c>
      <c r="L859" s="5" t="s">
        <v>717</v>
      </c>
      <c r="M859" s="5" t="s">
        <v>4669</v>
      </c>
      <c r="N859" s="5" t="s">
        <v>4659</v>
      </c>
      <c r="O859" s="5" t="s">
        <v>2874</v>
      </c>
      <c r="P859" s="5" t="s">
        <v>2858</v>
      </c>
      <c r="Q859" s="11">
        <v>46306.5</v>
      </c>
      <c r="R859" s="6"/>
      <c r="S859" s="6"/>
      <c r="T859" s="6"/>
      <c r="U859" s="5">
        <f>MATCH(B859,Manual_Review!$A$6:$A$238,0)</f>
        <v>54</v>
      </c>
      <c r="V859" s="5" t="str">
        <f>IF(INDEX(Manual_Review!$G$6:$G$238,U859)="","",INDEX(Manual_Review!$G$6:$G$238,U859))</f>
        <v/>
      </c>
      <c r="W859" s="11" t="str">
        <f>IF(INDEX(Manual_Review!$H$6:$H$238,U859)="","",INDEX(Manual_Review!$H$6:$H$238,U859))</f>
        <v/>
      </c>
      <c r="X859" s="5" t="str">
        <f>IF(INDEX(Manual_Review!$I$6:$I$238,U859)="","",INDEX(Manual_Review!$I$6:$I$238,U859))</f>
        <v/>
      </c>
      <c r="Y859" s="5" t="s">
        <v>2859</v>
      </c>
    </row>
    <row r="860" spans="1:25" ht="38.25">
      <c r="A860" s="5" t="s">
        <v>4670</v>
      </c>
      <c r="B860" s="5" t="s">
        <v>708</v>
      </c>
      <c r="C860" s="5" t="s">
        <v>709</v>
      </c>
      <c r="D860" s="5" t="s">
        <v>118</v>
      </c>
      <c r="E860" s="5" t="s">
        <v>2787</v>
      </c>
      <c r="F860" s="5" t="s">
        <v>2758</v>
      </c>
      <c r="G860" s="5">
        <v>1</v>
      </c>
      <c r="H860" s="5" t="s">
        <v>2864</v>
      </c>
      <c r="I860" s="5" t="str">
        <f>IF(INDEX(Manual_Review!$Q$6:$Q$238,U860)="","",INDEX(Manual_Review!$Q$6:$Q$238,U860))</f>
        <v/>
      </c>
      <c r="J860" s="5" t="str">
        <f t="shared" si="26"/>
        <v>AI provisional</v>
      </c>
      <c r="K860" s="5" t="str">
        <f t="shared" si="27"/>
        <v>U</v>
      </c>
      <c r="L860" s="5" t="s">
        <v>717</v>
      </c>
      <c r="M860" s="5" t="s">
        <v>4671</v>
      </c>
      <c r="N860" s="5" t="s">
        <v>4659</v>
      </c>
      <c r="O860" s="5" t="s">
        <v>2877</v>
      </c>
      <c r="P860" s="5" t="s">
        <v>2858</v>
      </c>
      <c r="Q860" s="11">
        <v>46306.5</v>
      </c>
      <c r="R860" s="6"/>
      <c r="S860" s="6"/>
      <c r="T860" s="6"/>
      <c r="U860" s="5">
        <f>MATCH(B860,Manual_Review!$A$6:$A$238,0)</f>
        <v>54</v>
      </c>
      <c r="V860" s="5" t="str">
        <f>IF(INDEX(Manual_Review!$G$6:$G$238,U860)="","",INDEX(Manual_Review!$G$6:$G$238,U860))</f>
        <v/>
      </c>
      <c r="W860" s="11" t="str">
        <f>IF(INDEX(Manual_Review!$H$6:$H$238,U860)="","",INDEX(Manual_Review!$H$6:$H$238,U860))</f>
        <v/>
      </c>
      <c r="X860" s="5" t="str">
        <f>IF(INDEX(Manual_Review!$I$6:$I$238,U860)="","",INDEX(Manual_Review!$I$6:$I$238,U860))</f>
        <v/>
      </c>
      <c r="Y860" s="5" t="s">
        <v>2859</v>
      </c>
    </row>
    <row r="861" spans="1:25" ht="38.25">
      <c r="A861" s="5" t="s">
        <v>4672</v>
      </c>
      <c r="B861" s="5" t="s">
        <v>708</v>
      </c>
      <c r="C861" s="5" t="s">
        <v>709</v>
      </c>
      <c r="D861" s="5" t="s">
        <v>118</v>
      </c>
      <c r="E861" s="5" t="s">
        <v>2788</v>
      </c>
      <c r="F861" s="5" t="s">
        <v>2758</v>
      </c>
      <c r="G861" s="5">
        <v>1</v>
      </c>
      <c r="H861" s="5" t="s">
        <v>2854</v>
      </c>
      <c r="I861" s="5" t="str">
        <f>IF(INDEX(Manual_Review!$R$6:$R$238,U861)="","",INDEX(Manual_Review!$R$6:$R$238,U861))</f>
        <v/>
      </c>
      <c r="J861" s="5" t="str">
        <f t="shared" si="26"/>
        <v>AI provisional</v>
      </c>
      <c r="K861" s="5" t="str">
        <f t="shared" si="27"/>
        <v>Y</v>
      </c>
      <c r="L861" s="5" t="s">
        <v>717</v>
      </c>
      <c r="M861" s="5" t="s">
        <v>4673</v>
      </c>
      <c r="N861" s="5" t="s">
        <v>4659</v>
      </c>
      <c r="O861" s="5" t="s">
        <v>3067</v>
      </c>
      <c r="P861" s="5" t="s">
        <v>2858</v>
      </c>
      <c r="Q861" s="11">
        <v>46306.5</v>
      </c>
      <c r="R861" s="6"/>
      <c r="S861" s="6"/>
      <c r="T861" s="6"/>
      <c r="U861" s="5">
        <f>MATCH(B861,Manual_Review!$A$6:$A$238,0)</f>
        <v>54</v>
      </c>
      <c r="V861" s="5" t="str">
        <f>IF(INDEX(Manual_Review!$G$6:$G$238,U861)="","",INDEX(Manual_Review!$G$6:$G$238,U861))</f>
        <v/>
      </c>
      <c r="W861" s="11" t="str">
        <f>IF(INDEX(Manual_Review!$H$6:$H$238,U861)="","",INDEX(Manual_Review!$H$6:$H$238,U861))</f>
        <v/>
      </c>
      <c r="X861" s="5" t="str">
        <f>IF(INDEX(Manual_Review!$I$6:$I$238,U861)="","",INDEX(Manual_Review!$I$6:$I$238,U861))</f>
        <v/>
      </c>
      <c r="Y861" s="5" t="s">
        <v>2859</v>
      </c>
    </row>
    <row r="862" spans="1:25" ht="38.25">
      <c r="A862" s="5" t="s">
        <v>4674</v>
      </c>
      <c r="B862" s="5" t="s">
        <v>708</v>
      </c>
      <c r="C862" s="5" t="s">
        <v>709</v>
      </c>
      <c r="D862" s="5" t="s">
        <v>118</v>
      </c>
      <c r="E862" s="5" t="s">
        <v>2789</v>
      </c>
      <c r="F862" s="5" t="s">
        <v>2758</v>
      </c>
      <c r="G862" s="5">
        <v>1</v>
      </c>
      <c r="H862" s="5" t="s">
        <v>2864</v>
      </c>
      <c r="I862" s="5" t="str">
        <f>IF(INDEX(Manual_Review!$S$6:$S$238,U862)="","",INDEX(Manual_Review!$S$6:$S$238,U862))</f>
        <v/>
      </c>
      <c r="J862" s="5" t="str">
        <f t="shared" si="26"/>
        <v>AI provisional</v>
      </c>
      <c r="K862" s="5" t="str">
        <f t="shared" si="27"/>
        <v>U</v>
      </c>
      <c r="L862" s="5" t="s">
        <v>717</v>
      </c>
      <c r="M862" s="5" t="s">
        <v>4675</v>
      </c>
      <c r="N862" s="5" t="s">
        <v>4659</v>
      </c>
      <c r="O862" s="5" t="s">
        <v>2883</v>
      </c>
      <c r="P862" s="5" t="s">
        <v>2858</v>
      </c>
      <c r="Q862" s="11">
        <v>46306.5</v>
      </c>
      <c r="R862" s="6"/>
      <c r="S862" s="6"/>
      <c r="T862" s="6"/>
      <c r="U862" s="5">
        <f>MATCH(B862,Manual_Review!$A$6:$A$238,0)</f>
        <v>54</v>
      </c>
      <c r="V862" s="5" t="str">
        <f>IF(INDEX(Manual_Review!$G$6:$G$238,U862)="","",INDEX(Manual_Review!$G$6:$G$238,U862))</f>
        <v/>
      </c>
      <c r="W862" s="11" t="str">
        <f>IF(INDEX(Manual_Review!$H$6:$H$238,U862)="","",INDEX(Manual_Review!$H$6:$H$238,U862))</f>
        <v/>
      </c>
      <c r="X862" s="5" t="str">
        <f>IF(INDEX(Manual_Review!$I$6:$I$238,U862)="","",INDEX(Manual_Review!$I$6:$I$238,U862))</f>
        <v/>
      </c>
      <c r="Y862" s="5" t="s">
        <v>2859</v>
      </c>
    </row>
    <row r="863" spans="1:25" ht="38.25">
      <c r="A863" s="5" t="s">
        <v>4676</v>
      </c>
      <c r="B863" s="5" t="s">
        <v>708</v>
      </c>
      <c r="C863" s="5" t="s">
        <v>709</v>
      </c>
      <c r="D863" s="5" t="s">
        <v>118</v>
      </c>
      <c r="E863" s="5" t="s">
        <v>2790</v>
      </c>
      <c r="F863" s="5" t="s">
        <v>2760</v>
      </c>
      <c r="G863" s="5">
        <v>1</v>
      </c>
      <c r="H863" s="5" t="s">
        <v>2854</v>
      </c>
      <c r="I863" s="5" t="str">
        <f>IF(INDEX(Manual_Review!$T$6:$T$238,U863)="","",INDEX(Manual_Review!$T$6:$T$238,U863))</f>
        <v/>
      </c>
      <c r="J863" s="5" t="str">
        <f t="shared" si="26"/>
        <v>AI provisional</v>
      </c>
      <c r="K863" s="5" t="str">
        <f t="shared" si="27"/>
        <v>Y</v>
      </c>
      <c r="L863" s="5" t="s">
        <v>717</v>
      </c>
      <c r="M863" s="5" t="s">
        <v>4677</v>
      </c>
      <c r="N863" s="5" t="s">
        <v>4659</v>
      </c>
      <c r="O863" s="5" t="s">
        <v>2976</v>
      </c>
      <c r="P863" s="5" t="s">
        <v>2858</v>
      </c>
      <c r="Q863" s="11">
        <v>46306.5</v>
      </c>
      <c r="R863" s="6"/>
      <c r="S863" s="6"/>
      <c r="T863" s="6"/>
      <c r="U863" s="5">
        <f>MATCH(B863,Manual_Review!$A$6:$A$238,0)</f>
        <v>54</v>
      </c>
      <c r="V863" s="5" t="str">
        <f>IF(INDEX(Manual_Review!$G$6:$G$238,U863)="","",INDEX(Manual_Review!$G$6:$G$238,U863))</f>
        <v/>
      </c>
      <c r="W863" s="11" t="str">
        <f>IF(INDEX(Manual_Review!$H$6:$H$238,U863)="","",INDEX(Manual_Review!$H$6:$H$238,U863))</f>
        <v/>
      </c>
      <c r="X863" s="5" t="str">
        <f>IF(INDEX(Manual_Review!$I$6:$I$238,U863)="","",INDEX(Manual_Review!$I$6:$I$238,U863))</f>
        <v/>
      </c>
      <c r="Y863" s="5" t="s">
        <v>2859</v>
      </c>
    </row>
    <row r="864" spans="1:25" ht="38.25">
      <c r="A864" s="5" t="s">
        <v>4678</v>
      </c>
      <c r="B864" s="5" t="s">
        <v>708</v>
      </c>
      <c r="C864" s="5" t="s">
        <v>709</v>
      </c>
      <c r="D864" s="5" t="s">
        <v>118</v>
      </c>
      <c r="E864" s="5" t="s">
        <v>2791</v>
      </c>
      <c r="F864" s="5" t="s">
        <v>2760</v>
      </c>
      <c r="G864" s="5">
        <v>1</v>
      </c>
      <c r="H864" s="5" t="s">
        <v>2864</v>
      </c>
      <c r="I864" s="5" t="str">
        <f>IF(INDEX(Manual_Review!$U$6:$U$238,U864)="","",INDEX(Manual_Review!$U$6:$U$238,U864))</f>
        <v/>
      </c>
      <c r="J864" s="5" t="str">
        <f t="shared" si="26"/>
        <v>AI provisional</v>
      </c>
      <c r="K864" s="5" t="str">
        <f t="shared" si="27"/>
        <v>U</v>
      </c>
      <c r="L864" s="5" t="s">
        <v>717</v>
      </c>
      <c r="M864" s="5" t="s">
        <v>4679</v>
      </c>
      <c r="N864" s="5" t="s">
        <v>4659</v>
      </c>
      <c r="O864" s="5" t="s">
        <v>2888</v>
      </c>
      <c r="P864" s="5" t="s">
        <v>2858</v>
      </c>
      <c r="Q864" s="11">
        <v>46306.5</v>
      </c>
      <c r="R864" s="6"/>
      <c r="S864" s="6"/>
      <c r="T864" s="6"/>
      <c r="U864" s="5">
        <f>MATCH(B864,Manual_Review!$A$6:$A$238,0)</f>
        <v>54</v>
      </c>
      <c r="V864" s="5" t="str">
        <f>IF(INDEX(Manual_Review!$G$6:$G$238,U864)="","",INDEX(Manual_Review!$G$6:$G$238,U864))</f>
        <v/>
      </c>
      <c r="W864" s="11" t="str">
        <f>IF(INDEX(Manual_Review!$H$6:$H$238,U864)="","",INDEX(Manual_Review!$H$6:$H$238,U864))</f>
        <v/>
      </c>
      <c r="X864" s="5" t="str">
        <f>IF(INDEX(Manual_Review!$I$6:$I$238,U864)="","",INDEX(Manual_Review!$I$6:$I$238,U864))</f>
        <v/>
      </c>
      <c r="Y864" s="5" t="s">
        <v>2859</v>
      </c>
    </row>
    <row r="865" spans="1:25" ht="38.25">
      <c r="A865" s="5" t="s">
        <v>4680</v>
      </c>
      <c r="B865" s="5" t="s">
        <v>708</v>
      </c>
      <c r="C865" s="5" t="s">
        <v>709</v>
      </c>
      <c r="D865" s="5" t="s">
        <v>118</v>
      </c>
      <c r="E865" s="5" t="s">
        <v>2792</v>
      </c>
      <c r="F865" s="5" t="s">
        <v>2762</v>
      </c>
      <c r="G865" s="5">
        <v>1</v>
      </c>
      <c r="H865" s="5" t="s">
        <v>2854</v>
      </c>
      <c r="I865" s="5" t="str">
        <f>IF(INDEX(Manual_Review!$V$6:$V$238,U865)="","",INDEX(Manual_Review!$V$6:$V$238,U865))</f>
        <v/>
      </c>
      <c r="J865" s="5" t="str">
        <f t="shared" si="26"/>
        <v>AI provisional</v>
      </c>
      <c r="K865" s="5" t="str">
        <f t="shared" si="27"/>
        <v>Y</v>
      </c>
      <c r="L865" s="5" t="s">
        <v>717</v>
      </c>
      <c r="M865" s="5" t="s">
        <v>4681</v>
      </c>
      <c r="N865" s="5" t="s">
        <v>4659</v>
      </c>
      <c r="O865" s="5" t="s">
        <v>3152</v>
      </c>
      <c r="P865" s="5" t="s">
        <v>2858</v>
      </c>
      <c r="Q865" s="11">
        <v>46306.5</v>
      </c>
      <c r="R865" s="6"/>
      <c r="S865" s="6"/>
      <c r="T865" s="6"/>
      <c r="U865" s="5">
        <f>MATCH(B865,Manual_Review!$A$6:$A$238,0)</f>
        <v>54</v>
      </c>
      <c r="V865" s="5" t="str">
        <f>IF(INDEX(Manual_Review!$G$6:$G$238,U865)="","",INDEX(Manual_Review!$G$6:$G$238,U865))</f>
        <v/>
      </c>
      <c r="W865" s="11" t="str">
        <f>IF(INDEX(Manual_Review!$H$6:$H$238,U865)="","",INDEX(Manual_Review!$H$6:$H$238,U865))</f>
        <v/>
      </c>
      <c r="X865" s="5" t="str">
        <f>IF(INDEX(Manual_Review!$I$6:$I$238,U865)="","",INDEX(Manual_Review!$I$6:$I$238,U865))</f>
        <v/>
      </c>
      <c r="Y865" s="5" t="s">
        <v>2859</v>
      </c>
    </row>
    <row r="866" spans="1:25" ht="38.25">
      <c r="A866" s="5" t="s">
        <v>4682</v>
      </c>
      <c r="B866" s="5" t="s">
        <v>708</v>
      </c>
      <c r="C866" s="5" t="s">
        <v>709</v>
      </c>
      <c r="D866" s="5" t="s">
        <v>118</v>
      </c>
      <c r="E866" s="5" t="s">
        <v>2793</v>
      </c>
      <c r="F866" s="5" t="s">
        <v>2762</v>
      </c>
      <c r="G866" s="5">
        <v>1</v>
      </c>
      <c r="H866" s="5" t="s">
        <v>2854</v>
      </c>
      <c r="I866" s="5" t="str">
        <f>IF(INDEX(Manual_Review!$W$6:$W$238,U866)="","",INDEX(Manual_Review!$W$6:$W$238,U866))</f>
        <v/>
      </c>
      <c r="J866" s="5" t="str">
        <f t="shared" si="26"/>
        <v>AI provisional</v>
      </c>
      <c r="K866" s="5" t="str">
        <f t="shared" si="27"/>
        <v>Y</v>
      </c>
      <c r="L866" s="5" t="s">
        <v>717</v>
      </c>
      <c r="M866" s="5" t="s">
        <v>4683</v>
      </c>
      <c r="N866" s="5" t="s">
        <v>4659</v>
      </c>
      <c r="O866" s="5" t="s">
        <v>3077</v>
      </c>
      <c r="P866" s="5" t="s">
        <v>2858</v>
      </c>
      <c r="Q866" s="11">
        <v>46306.5</v>
      </c>
      <c r="R866" s="6"/>
      <c r="S866" s="6"/>
      <c r="T866" s="6"/>
      <c r="U866" s="5">
        <f>MATCH(B866,Manual_Review!$A$6:$A$238,0)</f>
        <v>54</v>
      </c>
      <c r="V866" s="5" t="str">
        <f>IF(INDEX(Manual_Review!$G$6:$G$238,U866)="","",INDEX(Manual_Review!$G$6:$G$238,U866))</f>
        <v/>
      </c>
      <c r="W866" s="11" t="str">
        <f>IF(INDEX(Manual_Review!$H$6:$H$238,U866)="","",INDEX(Manual_Review!$H$6:$H$238,U866))</f>
        <v/>
      </c>
      <c r="X866" s="5" t="str">
        <f>IF(INDEX(Manual_Review!$I$6:$I$238,U866)="","",INDEX(Manual_Review!$I$6:$I$238,U866))</f>
        <v/>
      </c>
      <c r="Y866" s="5" t="s">
        <v>2859</v>
      </c>
    </row>
    <row r="867" spans="1:25" ht="38.25">
      <c r="A867" s="5" t="s">
        <v>4684</v>
      </c>
      <c r="B867" s="5" t="s">
        <v>708</v>
      </c>
      <c r="C867" s="5" t="s">
        <v>709</v>
      </c>
      <c r="D867" s="5" t="s">
        <v>118</v>
      </c>
      <c r="E867" s="5" t="s">
        <v>2794</v>
      </c>
      <c r="F867" s="5" t="s">
        <v>2764</v>
      </c>
      <c r="G867" s="5">
        <v>1</v>
      </c>
      <c r="H867" s="5" t="s">
        <v>2854</v>
      </c>
      <c r="I867" s="5" t="str">
        <f>IF(INDEX(Manual_Review!$X$6:$X$238,U867)="","",INDEX(Manual_Review!$X$6:$X$238,U867))</f>
        <v/>
      </c>
      <c r="J867" s="5" t="str">
        <f t="shared" si="26"/>
        <v>AI provisional</v>
      </c>
      <c r="K867" s="5" t="str">
        <f t="shared" si="27"/>
        <v>Y</v>
      </c>
      <c r="L867" s="5" t="s">
        <v>717</v>
      </c>
      <c r="M867" s="5" t="s">
        <v>4685</v>
      </c>
      <c r="N867" s="5" t="s">
        <v>4659</v>
      </c>
      <c r="O867" s="5" t="s">
        <v>2984</v>
      </c>
      <c r="P867" s="5" t="s">
        <v>2858</v>
      </c>
      <c r="Q867" s="11">
        <v>46306.5</v>
      </c>
      <c r="R867" s="6"/>
      <c r="S867" s="6"/>
      <c r="T867" s="6"/>
      <c r="U867" s="5">
        <f>MATCH(B867,Manual_Review!$A$6:$A$238,0)</f>
        <v>54</v>
      </c>
      <c r="V867" s="5" t="str">
        <f>IF(INDEX(Manual_Review!$G$6:$G$238,U867)="","",INDEX(Manual_Review!$G$6:$G$238,U867))</f>
        <v/>
      </c>
      <c r="W867" s="11" t="str">
        <f>IF(INDEX(Manual_Review!$H$6:$H$238,U867)="","",INDEX(Manual_Review!$H$6:$H$238,U867))</f>
        <v/>
      </c>
      <c r="X867" s="5" t="str">
        <f>IF(INDEX(Manual_Review!$I$6:$I$238,U867)="","",INDEX(Manual_Review!$I$6:$I$238,U867))</f>
        <v/>
      </c>
      <c r="Y867" s="5" t="s">
        <v>2859</v>
      </c>
    </row>
    <row r="868" spans="1:25" ht="38.25">
      <c r="A868" s="5" t="s">
        <v>4686</v>
      </c>
      <c r="B868" s="5" t="s">
        <v>708</v>
      </c>
      <c r="C868" s="5" t="s">
        <v>709</v>
      </c>
      <c r="D868" s="5" t="s">
        <v>118</v>
      </c>
      <c r="E868" s="5" t="s">
        <v>2795</v>
      </c>
      <c r="F868" s="5" t="s">
        <v>2764</v>
      </c>
      <c r="G868" s="5">
        <v>1</v>
      </c>
      <c r="H868" s="5" t="s">
        <v>2854</v>
      </c>
      <c r="I868" s="5" t="str">
        <f>IF(INDEX(Manual_Review!$Y$6:$Y$238,U868)="","",INDEX(Manual_Review!$Y$6:$Y$238,U868))</f>
        <v/>
      </c>
      <c r="J868" s="5" t="str">
        <f t="shared" si="26"/>
        <v>AI provisional</v>
      </c>
      <c r="K868" s="5" t="str">
        <f t="shared" si="27"/>
        <v>Y</v>
      </c>
      <c r="L868" s="5" t="s">
        <v>717</v>
      </c>
      <c r="M868" s="5" t="s">
        <v>4687</v>
      </c>
      <c r="N868" s="5" t="s">
        <v>4659</v>
      </c>
      <c r="O868" s="5" t="s">
        <v>3082</v>
      </c>
      <c r="P868" s="5" t="s">
        <v>2858</v>
      </c>
      <c r="Q868" s="11">
        <v>46306.5</v>
      </c>
      <c r="R868" s="6"/>
      <c r="S868" s="6"/>
      <c r="T868" s="6"/>
      <c r="U868" s="5">
        <f>MATCH(B868,Manual_Review!$A$6:$A$238,0)</f>
        <v>54</v>
      </c>
      <c r="V868" s="5" t="str">
        <f>IF(INDEX(Manual_Review!$G$6:$G$238,U868)="","",INDEX(Manual_Review!$G$6:$G$238,U868))</f>
        <v/>
      </c>
      <c r="W868" s="11" t="str">
        <f>IF(INDEX(Manual_Review!$H$6:$H$238,U868)="","",INDEX(Manual_Review!$H$6:$H$238,U868))</f>
        <v/>
      </c>
      <c r="X868" s="5" t="str">
        <f>IF(INDEX(Manual_Review!$I$6:$I$238,U868)="","",INDEX(Manual_Review!$I$6:$I$238,U868))</f>
        <v/>
      </c>
      <c r="Y868" s="5" t="s">
        <v>2859</v>
      </c>
    </row>
    <row r="869" spans="1:25" ht="38.25">
      <c r="A869" s="5" t="s">
        <v>4688</v>
      </c>
      <c r="B869" s="5" t="s">
        <v>708</v>
      </c>
      <c r="C869" s="5" t="s">
        <v>709</v>
      </c>
      <c r="D869" s="5" t="s">
        <v>118</v>
      </c>
      <c r="E869" s="5" t="s">
        <v>2796</v>
      </c>
      <c r="F869" s="5" t="s">
        <v>2764</v>
      </c>
      <c r="G869" s="5">
        <v>1</v>
      </c>
      <c r="H869" s="5" t="s">
        <v>2864</v>
      </c>
      <c r="I869" s="5" t="str">
        <f>IF(INDEX(Manual_Review!$Z$6:$Z$238,U869)="","",INDEX(Manual_Review!$Z$6:$Z$238,U869))</f>
        <v/>
      </c>
      <c r="J869" s="5" t="str">
        <f t="shared" si="26"/>
        <v>AI provisional</v>
      </c>
      <c r="K869" s="5" t="str">
        <f t="shared" si="27"/>
        <v>U</v>
      </c>
      <c r="L869" s="5" t="s">
        <v>717</v>
      </c>
      <c r="M869" s="5" t="s">
        <v>4689</v>
      </c>
      <c r="N869" s="5" t="s">
        <v>4659</v>
      </c>
      <c r="O869" s="5" t="s">
        <v>2899</v>
      </c>
      <c r="P869" s="5" t="s">
        <v>2858</v>
      </c>
      <c r="Q869" s="11">
        <v>46306.5</v>
      </c>
      <c r="R869" s="6"/>
      <c r="S869" s="6"/>
      <c r="T869" s="6"/>
      <c r="U869" s="5">
        <f>MATCH(B869,Manual_Review!$A$6:$A$238,0)</f>
        <v>54</v>
      </c>
      <c r="V869" s="5" t="str">
        <f>IF(INDEX(Manual_Review!$G$6:$G$238,U869)="","",INDEX(Manual_Review!$G$6:$G$238,U869))</f>
        <v/>
      </c>
      <c r="W869" s="11" t="str">
        <f>IF(INDEX(Manual_Review!$H$6:$H$238,U869)="","",INDEX(Manual_Review!$H$6:$H$238,U869))</f>
        <v/>
      </c>
      <c r="X869" s="5" t="str">
        <f>IF(INDEX(Manual_Review!$I$6:$I$238,U869)="","",INDEX(Manual_Review!$I$6:$I$238,U869))</f>
        <v/>
      </c>
      <c r="Y869" s="5" t="s">
        <v>2859</v>
      </c>
    </row>
    <row r="870" spans="1:25" ht="25.5">
      <c r="A870" s="5" t="s">
        <v>4690</v>
      </c>
      <c r="B870" s="5" t="s">
        <v>719</v>
      </c>
      <c r="C870" s="5" t="s">
        <v>720</v>
      </c>
      <c r="D870" s="5" t="s">
        <v>118</v>
      </c>
      <c r="E870" s="5" t="s">
        <v>2781</v>
      </c>
      <c r="F870" s="5" t="s">
        <v>2754</v>
      </c>
      <c r="G870" s="5">
        <v>1</v>
      </c>
      <c r="H870" s="5" t="s">
        <v>2854</v>
      </c>
      <c r="I870" s="5" t="str">
        <f>IF(INDEX(Manual_Review!$K$6:$K$238,U870)="","",INDEX(Manual_Review!$K$6:$K$238,U870))</f>
        <v/>
      </c>
      <c r="J870" s="5" t="str">
        <f t="shared" si="26"/>
        <v>AI provisional</v>
      </c>
      <c r="K870" s="5" t="str">
        <f t="shared" si="27"/>
        <v>Y</v>
      </c>
      <c r="L870" s="5" t="s">
        <v>725</v>
      </c>
      <c r="M870" s="5" t="s">
        <v>4691</v>
      </c>
      <c r="N870" s="5" t="s">
        <v>4692</v>
      </c>
      <c r="O870" s="5" t="s">
        <v>2857</v>
      </c>
      <c r="P870" s="5" t="s">
        <v>2858</v>
      </c>
      <c r="Q870" s="11">
        <v>46306.5</v>
      </c>
      <c r="R870" s="6"/>
      <c r="S870" s="6"/>
      <c r="T870" s="6"/>
      <c r="U870" s="5">
        <f>MATCH(B870,Manual_Review!$A$6:$A$238,0)</f>
        <v>55</v>
      </c>
      <c r="V870" s="5" t="str">
        <f>IF(INDEX(Manual_Review!$G$6:$G$238,U870)="","",INDEX(Manual_Review!$G$6:$G$238,U870))</f>
        <v/>
      </c>
      <c r="W870" s="11" t="str">
        <f>IF(INDEX(Manual_Review!$H$6:$H$238,U870)="","",INDEX(Manual_Review!$H$6:$H$238,U870))</f>
        <v/>
      </c>
      <c r="X870" s="5" t="str">
        <f>IF(INDEX(Manual_Review!$I$6:$I$238,U870)="","",INDEX(Manual_Review!$I$6:$I$238,U870))</f>
        <v/>
      </c>
      <c r="Y870" s="5" t="s">
        <v>2859</v>
      </c>
    </row>
    <row r="871" spans="1:25" ht="25.5">
      <c r="A871" s="5" t="s">
        <v>4693</v>
      </c>
      <c r="B871" s="5" t="s">
        <v>719</v>
      </c>
      <c r="C871" s="5" t="s">
        <v>720</v>
      </c>
      <c r="D871" s="5" t="s">
        <v>118</v>
      </c>
      <c r="E871" s="5" t="s">
        <v>2782</v>
      </c>
      <c r="F871" s="5" t="s">
        <v>2754</v>
      </c>
      <c r="G871" s="5">
        <v>1</v>
      </c>
      <c r="H871" s="5" t="s">
        <v>2854</v>
      </c>
      <c r="I871" s="5" t="str">
        <f>IF(INDEX(Manual_Review!$L$6:$L$238,U871)="","",INDEX(Manual_Review!$L$6:$L$238,U871))</f>
        <v/>
      </c>
      <c r="J871" s="5" t="str">
        <f t="shared" si="26"/>
        <v>AI provisional</v>
      </c>
      <c r="K871" s="5" t="str">
        <f t="shared" si="27"/>
        <v>Y</v>
      </c>
      <c r="L871" s="5" t="s">
        <v>725</v>
      </c>
      <c r="M871" s="5" t="s">
        <v>4694</v>
      </c>
      <c r="N871" s="5" t="s">
        <v>4692</v>
      </c>
      <c r="O871" s="5" t="s">
        <v>2862</v>
      </c>
      <c r="P871" s="5" t="s">
        <v>2858</v>
      </c>
      <c r="Q871" s="11">
        <v>46306.5</v>
      </c>
      <c r="R871" s="6"/>
      <c r="S871" s="6"/>
      <c r="T871" s="6"/>
      <c r="U871" s="5">
        <f>MATCH(B871,Manual_Review!$A$6:$A$238,0)</f>
        <v>55</v>
      </c>
      <c r="V871" s="5" t="str">
        <f>IF(INDEX(Manual_Review!$G$6:$G$238,U871)="","",INDEX(Manual_Review!$G$6:$G$238,U871))</f>
        <v/>
      </c>
      <c r="W871" s="11" t="str">
        <f>IF(INDEX(Manual_Review!$H$6:$H$238,U871)="","",INDEX(Manual_Review!$H$6:$H$238,U871))</f>
        <v/>
      </c>
      <c r="X871" s="5" t="str">
        <f>IF(INDEX(Manual_Review!$I$6:$I$238,U871)="","",INDEX(Manual_Review!$I$6:$I$238,U871))</f>
        <v/>
      </c>
      <c r="Y871" s="5" t="s">
        <v>2859</v>
      </c>
    </row>
    <row r="872" spans="1:25" ht="25.5">
      <c r="A872" s="5" t="s">
        <v>4695</v>
      </c>
      <c r="B872" s="5" t="s">
        <v>719</v>
      </c>
      <c r="C872" s="5" t="s">
        <v>720</v>
      </c>
      <c r="D872" s="5" t="s">
        <v>118</v>
      </c>
      <c r="E872" s="5" t="s">
        <v>2783</v>
      </c>
      <c r="F872" s="5" t="s">
        <v>2754</v>
      </c>
      <c r="G872" s="5">
        <v>1</v>
      </c>
      <c r="H872" s="5" t="s">
        <v>2854</v>
      </c>
      <c r="I872" s="5" t="str">
        <f>IF(INDEX(Manual_Review!$M$6:$M$238,U872)="","",INDEX(Manual_Review!$M$6:$M$238,U872))</f>
        <v/>
      </c>
      <c r="J872" s="5" t="str">
        <f t="shared" si="26"/>
        <v>AI provisional</v>
      </c>
      <c r="K872" s="5" t="str">
        <f t="shared" si="27"/>
        <v>Y</v>
      </c>
      <c r="L872" s="5" t="s">
        <v>725</v>
      </c>
      <c r="M872" s="5" t="s">
        <v>4696</v>
      </c>
      <c r="N872" s="5" t="s">
        <v>4692</v>
      </c>
      <c r="O872" s="5" t="s">
        <v>3133</v>
      </c>
      <c r="P872" s="5" t="s">
        <v>2858</v>
      </c>
      <c r="Q872" s="11">
        <v>46306.5</v>
      </c>
      <c r="R872" s="6"/>
      <c r="S872" s="6"/>
      <c r="T872" s="6"/>
      <c r="U872" s="5">
        <f>MATCH(B872,Manual_Review!$A$6:$A$238,0)</f>
        <v>55</v>
      </c>
      <c r="V872" s="5" t="str">
        <f>IF(INDEX(Manual_Review!$G$6:$G$238,U872)="","",INDEX(Manual_Review!$G$6:$G$238,U872))</f>
        <v/>
      </c>
      <c r="W872" s="11" t="str">
        <f>IF(INDEX(Manual_Review!$H$6:$H$238,U872)="","",INDEX(Manual_Review!$H$6:$H$238,U872))</f>
        <v/>
      </c>
      <c r="X872" s="5" t="str">
        <f>IF(INDEX(Manual_Review!$I$6:$I$238,U872)="","",INDEX(Manual_Review!$I$6:$I$238,U872))</f>
        <v/>
      </c>
      <c r="Y872" s="5" t="s">
        <v>2859</v>
      </c>
    </row>
    <row r="873" spans="1:25" ht="25.5">
      <c r="A873" s="5" t="s">
        <v>4697</v>
      </c>
      <c r="B873" s="5" t="s">
        <v>719</v>
      </c>
      <c r="C873" s="5" t="s">
        <v>720</v>
      </c>
      <c r="D873" s="5" t="s">
        <v>118</v>
      </c>
      <c r="E873" s="5" t="s">
        <v>2784</v>
      </c>
      <c r="F873" s="5" t="s">
        <v>2756</v>
      </c>
      <c r="G873" s="5">
        <v>1</v>
      </c>
      <c r="H873" s="5" t="s">
        <v>2854</v>
      </c>
      <c r="I873" s="5" t="str">
        <f>IF(INDEX(Manual_Review!$N$6:$N$238,U873)="","",INDEX(Manual_Review!$N$6:$N$238,U873))</f>
        <v/>
      </c>
      <c r="J873" s="5" t="str">
        <f t="shared" si="26"/>
        <v>AI provisional</v>
      </c>
      <c r="K873" s="5" t="str">
        <f t="shared" si="27"/>
        <v>Y</v>
      </c>
      <c r="L873" s="5" t="s">
        <v>725</v>
      </c>
      <c r="M873" s="5" t="s">
        <v>4698</v>
      </c>
      <c r="N873" s="5" t="s">
        <v>4692</v>
      </c>
      <c r="O873" s="5" t="s">
        <v>2963</v>
      </c>
      <c r="P873" s="5" t="s">
        <v>2858</v>
      </c>
      <c r="Q873" s="11">
        <v>46306.5</v>
      </c>
      <c r="R873" s="6"/>
      <c r="S873" s="6"/>
      <c r="T873" s="6"/>
      <c r="U873" s="5">
        <f>MATCH(B873,Manual_Review!$A$6:$A$238,0)</f>
        <v>55</v>
      </c>
      <c r="V873" s="5" t="str">
        <f>IF(INDEX(Manual_Review!$G$6:$G$238,U873)="","",INDEX(Manual_Review!$G$6:$G$238,U873))</f>
        <v/>
      </c>
      <c r="W873" s="11" t="str">
        <f>IF(INDEX(Manual_Review!$H$6:$H$238,U873)="","",INDEX(Manual_Review!$H$6:$H$238,U873))</f>
        <v/>
      </c>
      <c r="X873" s="5" t="str">
        <f>IF(INDEX(Manual_Review!$I$6:$I$238,U873)="","",INDEX(Manual_Review!$I$6:$I$238,U873))</f>
        <v/>
      </c>
      <c r="Y873" s="5" t="s">
        <v>2859</v>
      </c>
    </row>
    <row r="874" spans="1:25" ht="25.5">
      <c r="A874" s="5" t="s">
        <v>4699</v>
      </c>
      <c r="B874" s="5" t="s">
        <v>719</v>
      </c>
      <c r="C874" s="5" t="s">
        <v>720</v>
      </c>
      <c r="D874" s="5" t="s">
        <v>118</v>
      </c>
      <c r="E874" s="5" t="s">
        <v>2785</v>
      </c>
      <c r="F874" s="5" t="s">
        <v>2756</v>
      </c>
      <c r="G874" s="5">
        <v>1</v>
      </c>
      <c r="H874" s="5" t="s">
        <v>2864</v>
      </c>
      <c r="I874" s="5" t="str">
        <f>IF(INDEX(Manual_Review!$O$6:$O$238,U874)="","",INDEX(Manual_Review!$O$6:$O$238,U874))</f>
        <v/>
      </c>
      <c r="J874" s="5" t="str">
        <f t="shared" si="26"/>
        <v>AI provisional</v>
      </c>
      <c r="K874" s="5" t="str">
        <f t="shared" si="27"/>
        <v>U</v>
      </c>
      <c r="L874" s="5" t="s">
        <v>725</v>
      </c>
      <c r="M874" s="5" t="s">
        <v>4700</v>
      </c>
      <c r="N874" s="5" t="s">
        <v>4692</v>
      </c>
      <c r="O874" s="5" t="s">
        <v>2872</v>
      </c>
      <c r="P874" s="5" t="s">
        <v>2858</v>
      </c>
      <c r="Q874" s="11">
        <v>46306.5</v>
      </c>
      <c r="R874" s="6"/>
      <c r="S874" s="6"/>
      <c r="T874" s="6"/>
      <c r="U874" s="5">
        <f>MATCH(B874,Manual_Review!$A$6:$A$238,0)</f>
        <v>55</v>
      </c>
      <c r="V874" s="5" t="str">
        <f>IF(INDEX(Manual_Review!$G$6:$G$238,U874)="","",INDEX(Manual_Review!$G$6:$G$238,U874))</f>
        <v/>
      </c>
      <c r="W874" s="11" t="str">
        <f>IF(INDEX(Manual_Review!$H$6:$H$238,U874)="","",INDEX(Manual_Review!$H$6:$H$238,U874))</f>
        <v/>
      </c>
      <c r="X874" s="5" t="str">
        <f>IF(INDEX(Manual_Review!$I$6:$I$238,U874)="","",INDEX(Manual_Review!$I$6:$I$238,U874))</f>
        <v/>
      </c>
      <c r="Y874" s="5" t="s">
        <v>2859</v>
      </c>
    </row>
    <row r="875" spans="1:25" ht="25.5">
      <c r="A875" s="5" t="s">
        <v>4701</v>
      </c>
      <c r="B875" s="5" t="s">
        <v>719</v>
      </c>
      <c r="C875" s="5" t="s">
        <v>720</v>
      </c>
      <c r="D875" s="5" t="s">
        <v>118</v>
      </c>
      <c r="E875" s="5" t="s">
        <v>2786</v>
      </c>
      <c r="F875" s="5" t="s">
        <v>2756</v>
      </c>
      <c r="G875" s="5">
        <v>1</v>
      </c>
      <c r="H875" s="5" t="s">
        <v>2864</v>
      </c>
      <c r="I875" s="5" t="str">
        <f>IF(INDEX(Manual_Review!$P$6:$P$238,U875)="","",INDEX(Manual_Review!$P$6:$P$238,U875))</f>
        <v/>
      </c>
      <c r="J875" s="5" t="str">
        <f t="shared" si="26"/>
        <v>AI provisional</v>
      </c>
      <c r="K875" s="5" t="str">
        <f t="shared" si="27"/>
        <v>U</v>
      </c>
      <c r="L875" s="5" t="s">
        <v>725</v>
      </c>
      <c r="M875" s="5" t="s">
        <v>4702</v>
      </c>
      <c r="N875" s="5" t="s">
        <v>4692</v>
      </c>
      <c r="O875" s="5" t="s">
        <v>2874</v>
      </c>
      <c r="P875" s="5" t="s">
        <v>2858</v>
      </c>
      <c r="Q875" s="11">
        <v>46306.5</v>
      </c>
      <c r="R875" s="6"/>
      <c r="S875" s="6"/>
      <c r="T875" s="6"/>
      <c r="U875" s="5">
        <f>MATCH(B875,Manual_Review!$A$6:$A$238,0)</f>
        <v>55</v>
      </c>
      <c r="V875" s="5" t="str">
        <f>IF(INDEX(Manual_Review!$G$6:$G$238,U875)="","",INDEX(Manual_Review!$G$6:$G$238,U875))</f>
        <v/>
      </c>
      <c r="W875" s="11" t="str">
        <f>IF(INDEX(Manual_Review!$H$6:$H$238,U875)="","",INDEX(Manual_Review!$H$6:$H$238,U875))</f>
        <v/>
      </c>
      <c r="X875" s="5" t="str">
        <f>IF(INDEX(Manual_Review!$I$6:$I$238,U875)="","",INDEX(Manual_Review!$I$6:$I$238,U875))</f>
        <v/>
      </c>
      <c r="Y875" s="5" t="s">
        <v>2859</v>
      </c>
    </row>
    <row r="876" spans="1:25" ht="25.5">
      <c r="A876" s="5" t="s">
        <v>4703</v>
      </c>
      <c r="B876" s="5" t="s">
        <v>719</v>
      </c>
      <c r="C876" s="5" t="s">
        <v>720</v>
      </c>
      <c r="D876" s="5" t="s">
        <v>118</v>
      </c>
      <c r="E876" s="5" t="s">
        <v>2787</v>
      </c>
      <c r="F876" s="5" t="s">
        <v>2758</v>
      </c>
      <c r="G876" s="5">
        <v>1</v>
      </c>
      <c r="H876" s="5" t="s">
        <v>2864</v>
      </c>
      <c r="I876" s="5" t="str">
        <f>IF(INDEX(Manual_Review!$Q$6:$Q$238,U876)="","",INDEX(Manual_Review!$Q$6:$Q$238,U876))</f>
        <v/>
      </c>
      <c r="J876" s="5" t="str">
        <f t="shared" si="26"/>
        <v>AI provisional</v>
      </c>
      <c r="K876" s="5" t="str">
        <f t="shared" si="27"/>
        <v>U</v>
      </c>
      <c r="L876" s="5" t="s">
        <v>725</v>
      </c>
      <c r="M876" s="5" t="s">
        <v>4700</v>
      </c>
      <c r="N876" s="5" t="s">
        <v>4692</v>
      </c>
      <c r="O876" s="5" t="s">
        <v>2877</v>
      </c>
      <c r="P876" s="5" t="s">
        <v>2858</v>
      </c>
      <c r="Q876" s="11">
        <v>46306.5</v>
      </c>
      <c r="R876" s="6"/>
      <c r="S876" s="6"/>
      <c r="T876" s="6"/>
      <c r="U876" s="5">
        <f>MATCH(B876,Manual_Review!$A$6:$A$238,0)</f>
        <v>55</v>
      </c>
      <c r="V876" s="5" t="str">
        <f>IF(INDEX(Manual_Review!$G$6:$G$238,U876)="","",INDEX(Manual_Review!$G$6:$G$238,U876))</f>
        <v/>
      </c>
      <c r="W876" s="11" t="str">
        <f>IF(INDEX(Manual_Review!$H$6:$H$238,U876)="","",INDEX(Manual_Review!$H$6:$H$238,U876))</f>
        <v/>
      </c>
      <c r="X876" s="5" t="str">
        <f>IF(INDEX(Manual_Review!$I$6:$I$238,U876)="","",INDEX(Manual_Review!$I$6:$I$238,U876))</f>
        <v/>
      </c>
      <c r="Y876" s="5" t="s">
        <v>2859</v>
      </c>
    </row>
    <row r="877" spans="1:25" ht="25.5">
      <c r="A877" s="5" t="s">
        <v>4704</v>
      </c>
      <c r="B877" s="5" t="s">
        <v>719</v>
      </c>
      <c r="C877" s="5" t="s">
        <v>720</v>
      </c>
      <c r="D877" s="5" t="s">
        <v>118</v>
      </c>
      <c r="E877" s="5" t="s">
        <v>2788</v>
      </c>
      <c r="F877" s="5" t="s">
        <v>2758</v>
      </c>
      <c r="G877" s="5">
        <v>1</v>
      </c>
      <c r="H877" s="5" t="s">
        <v>2854</v>
      </c>
      <c r="I877" s="5" t="str">
        <f>IF(INDEX(Manual_Review!$R$6:$R$238,U877)="","",INDEX(Manual_Review!$R$6:$R$238,U877))</f>
        <v/>
      </c>
      <c r="J877" s="5" t="str">
        <f t="shared" si="26"/>
        <v>AI provisional</v>
      </c>
      <c r="K877" s="5" t="str">
        <f t="shared" si="27"/>
        <v>Y</v>
      </c>
      <c r="L877" s="5" t="s">
        <v>725</v>
      </c>
      <c r="M877" s="5" t="s">
        <v>4705</v>
      </c>
      <c r="N877" s="5" t="s">
        <v>4692</v>
      </c>
      <c r="O877" s="5" t="s">
        <v>3067</v>
      </c>
      <c r="P877" s="5" t="s">
        <v>2858</v>
      </c>
      <c r="Q877" s="11">
        <v>46306.5</v>
      </c>
      <c r="R877" s="6"/>
      <c r="S877" s="6"/>
      <c r="T877" s="6"/>
      <c r="U877" s="5">
        <f>MATCH(B877,Manual_Review!$A$6:$A$238,0)</f>
        <v>55</v>
      </c>
      <c r="V877" s="5" t="str">
        <f>IF(INDEX(Manual_Review!$G$6:$G$238,U877)="","",INDEX(Manual_Review!$G$6:$G$238,U877))</f>
        <v/>
      </c>
      <c r="W877" s="11" t="str">
        <f>IF(INDEX(Manual_Review!$H$6:$H$238,U877)="","",INDEX(Manual_Review!$H$6:$H$238,U877))</f>
        <v/>
      </c>
      <c r="X877" s="5" t="str">
        <f>IF(INDEX(Manual_Review!$I$6:$I$238,U877)="","",INDEX(Manual_Review!$I$6:$I$238,U877))</f>
        <v/>
      </c>
      <c r="Y877" s="5" t="s">
        <v>2859</v>
      </c>
    </row>
    <row r="878" spans="1:25" ht="25.5">
      <c r="A878" s="5" t="s">
        <v>4706</v>
      </c>
      <c r="B878" s="5" t="s">
        <v>719</v>
      </c>
      <c r="C878" s="5" t="s">
        <v>720</v>
      </c>
      <c r="D878" s="5" t="s">
        <v>118</v>
      </c>
      <c r="E878" s="5" t="s">
        <v>2789</v>
      </c>
      <c r="F878" s="5" t="s">
        <v>2758</v>
      </c>
      <c r="G878" s="5">
        <v>1</v>
      </c>
      <c r="H878" s="5" t="s">
        <v>2854</v>
      </c>
      <c r="I878" s="5" t="str">
        <f>IF(INDEX(Manual_Review!$S$6:$S$238,U878)="","",INDEX(Manual_Review!$S$6:$S$238,U878))</f>
        <v/>
      </c>
      <c r="J878" s="5" t="str">
        <f t="shared" si="26"/>
        <v>AI provisional</v>
      </c>
      <c r="K878" s="5" t="str">
        <f t="shared" si="27"/>
        <v>Y</v>
      </c>
      <c r="L878" s="5" t="s">
        <v>725</v>
      </c>
      <c r="M878" s="5" t="s">
        <v>4707</v>
      </c>
      <c r="N878" s="5" t="s">
        <v>4692</v>
      </c>
      <c r="O878" s="5" t="s">
        <v>3178</v>
      </c>
      <c r="P878" s="5" t="s">
        <v>2858</v>
      </c>
      <c r="Q878" s="11">
        <v>46306.5</v>
      </c>
      <c r="R878" s="6"/>
      <c r="S878" s="6"/>
      <c r="T878" s="6"/>
      <c r="U878" s="5">
        <f>MATCH(B878,Manual_Review!$A$6:$A$238,0)</f>
        <v>55</v>
      </c>
      <c r="V878" s="5" t="str">
        <f>IF(INDEX(Manual_Review!$G$6:$G$238,U878)="","",INDEX(Manual_Review!$G$6:$G$238,U878))</f>
        <v/>
      </c>
      <c r="W878" s="11" t="str">
        <f>IF(INDEX(Manual_Review!$H$6:$H$238,U878)="","",INDEX(Manual_Review!$H$6:$H$238,U878))</f>
        <v/>
      </c>
      <c r="X878" s="5" t="str">
        <f>IF(INDEX(Manual_Review!$I$6:$I$238,U878)="","",INDEX(Manual_Review!$I$6:$I$238,U878))</f>
        <v/>
      </c>
      <c r="Y878" s="5" t="s">
        <v>2859</v>
      </c>
    </row>
    <row r="879" spans="1:25" ht="25.5">
      <c r="A879" s="5" t="s">
        <v>4708</v>
      </c>
      <c r="B879" s="5" t="s">
        <v>719</v>
      </c>
      <c r="C879" s="5" t="s">
        <v>720</v>
      </c>
      <c r="D879" s="5" t="s">
        <v>118</v>
      </c>
      <c r="E879" s="5" t="s">
        <v>2790</v>
      </c>
      <c r="F879" s="5" t="s">
        <v>2760</v>
      </c>
      <c r="G879" s="5">
        <v>1</v>
      </c>
      <c r="H879" s="5" t="s">
        <v>2854</v>
      </c>
      <c r="I879" s="5" t="str">
        <f>IF(INDEX(Manual_Review!$T$6:$T$238,U879)="","",INDEX(Manual_Review!$T$6:$T$238,U879))</f>
        <v/>
      </c>
      <c r="J879" s="5" t="str">
        <f t="shared" si="26"/>
        <v>AI provisional</v>
      </c>
      <c r="K879" s="5" t="str">
        <f t="shared" si="27"/>
        <v>Y</v>
      </c>
      <c r="L879" s="5" t="s">
        <v>725</v>
      </c>
      <c r="M879" s="5" t="s">
        <v>4709</v>
      </c>
      <c r="N879" s="5" t="s">
        <v>4692</v>
      </c>
      <c r="O879" s="5" t="s">
        <v>2976</v>
      </c>
      <c r="P879" s="5" t="s">
        <v>2858</v>
      </c>
      <c r="Q879" s="11">
        <v>46306.5</v>
      </c>
      <c r="R879" s="6"/>
      <c r="S879" s="6"/>
      <c r="T879" s="6"/>
      <c r="U879" s="5">
        <f>MATCH(B879,Manual_Review!$A$6:$A$238,0)</f>
        <v>55</v>
      </c>
      <c r="V879" s="5" t="str">
        <f>IF(INDEX(Manual_Review!$G$6:$G$238,U879)="","",INDEX(Manual_Review!$G$6:$G$238,U879))</f>
        <v/>
      </c>
      <c r="W879" s="11" t="str">
        <f>IF(INDEX(Manual_Review!$H$6:$H$238,U879)="","",INDEX(Manual_Review!$H$6:$H$238,U879))</f>
        <v/>
      </c>
      <c r="X879" s="5" t="str">
        <f>IF(INDEX(Manual_Review!$I$6:$I$238,U879)="","",INDEX(Manual_Review!$I$6:$I$238,U879))</f>
        <v/>
      </c>
      <c r="Y879" s="5" t="s">
        <v>2859</v>
      </c>
    </row>
    <row r="880" spans="1:25" ht="25.5">
      <c r="A880" s="5" t="s">
        <v>4710</v>
      </c>
      <c r="B880" s="5" t="s">
        <v>719</v>
      </c>
      <c r="C880" s="5" t="s">
        <v>720</v>
      </c>
      <c r="D880" s="5" t="s">
        <v>118</v>
      </c>
      <c r="E880" s="5" t="s">
        <v>2791</v>
      </c>
      <c r="F880" s="5" t="s">
        <v>2760</v>
      </c>
      <c r="G880" s="5">
        <v>1</v>
      </c>
      <c r="H880" s="5" t="s">
        <v>2864</v>
      </c>
      <c r="I880" s="5" t="str">
        <f>IF(INDEX(Manual_Review!$U$6:$U$238,U880)="","",INDEX(Manual_Review!$U$6:$U$238,U880))</f>
        <v/>
      </c>
      <c r="J880" s="5" t="str">
        <f t="shared" si="26"/>
        <v>AI provisional</v>
      </c>
      <c r="K880" s="5" t="str">
        <f t="shared" si="27"/>
        <v>U</v>
      </c>
      <c r="L880" s="5" t="s">
        <v>725</v>
      </c>
      <c r="M880" s="5" t="s">
        <v>4711</v>
      </c>
      <c r="N880" s="5" t="s">
        <v>4692</v>
      </c>
      <c r="O880" s="5" t="s">
        <v>2888</v>
      </c>
      <c r="P880" s="5" t="s">
        <v>2858</v>
      </c>
      <c r="Q880" s="11">
        <v>46306.5</v>
      </c>
      <c r="R880" s="6"/>
      <c r="S880" s="6"/>
      <c r="T880" s="6"/>
      <c r="U880" s="5">
        <f>MATCH(B880,Manual_Review!$A$6:$A$238,0)</f>
        <v>55</v>
      </c>
      <c r="V880" s="5" t="str">
        <f>IF(INDEX(Manual_Review!$G$6:$G$238,U880)="","",INDEX(Manual_Review!$G$6:$G$238,U880))</f>
        <v/>
      </c>
      <c r="W880" s="11" t="str">
        <f>IF(INDEX(Manual_Review!$H$6:$H$238,U880)="","",INDEX(Manual_Review!$H$6:$H$238,U880))</f>
        <v/>
      </c>
      <c r="X880" s="5" t="str">
        <f>IF(INDEX(Manual_Review!$I$6:$I$238,U880)="","",INDEX(Manual_Review!$I$6:$I$238,U880))</f>
        <v/>
      </c>
      <c r="Y880" s="5" t="s">
        <v>2859</v>
      </c>
    </row>
    <row r="881" spans="1:25" ht="25.5">
      <c r="A881" s="5" t="s">
        <v>4712</v>
      </c>
      <c r="B881" s="5" t="s">
        <v>719</v>
      </c>
      <c r="C881" s="5" t="s">
        <v>720</v>
      </c>
      <c r="D881" s="5" t="s">
        <v>118</v>
      </c>
      <c r="E881" s="5" t="s">
        <v>2792</v>
      </c>
      <c r="F881" s="5" t="s">
        <v>2762</v>
      </c>
      <c r="G881" s="5">
        <v>1</v>
      </c>
      <c r="H881" s="5" t="s">
        <v>2854</v>
      </c>
      <c r="I881" s="5" t="str">
        <f>IF(INDEX(Manual_Review!$V$6:$V$238,U881)="","",INDEX(Manual_Review!$V$6:$V$238,U881))</f>
        <v/>
      </c>
      <c r="J881" s="5" t="str">
        <f t="shared" si="26"/>
        <v>AI provisional</v>
      </c>
      <c r="K881" s="5" t="str">
        <f t="shared" si="27"/>
        <v>Y</v>
      </c>
      <c r="L881" s="5" t="s">
        <v>725</v>
      </c>
      <c r="M881" s="5" t="s">
        <v>4713</v>
      </c>
      <c r="N881" s="5" t="s">
        <v>4692</v>
      </c>
      <c r="O881" s="5" t="s">
        <v>3152</v>
      </c>
      <c r="P881" s="5" t="s">
        <v>2858</v>
      </c>
      <c r="Q881" s="11">
        <v>46306.5</v>
      </c>
      <c r="R881" s="6"/>
      <c r="S881" s="6"/>
      <c r="T881" s="6"/>
      <c r="U881" s="5">
        <f>MATCH(B881,Manual_Review!$A$6:$A$238,0)</f>
        <v>55</v>
      </c>
      <c r="V881" s="5" t="str">
        <f>IF(INDEX(Manual_Review!$G$6:$G$238,U881)="","",INDEX(Manual_Review!$G$6:$G$238,U881))</f>
        <v/>
      </c>
      <c r="W881" s="11" t="str">
        <f>IF(INDEX(Manual_Review!$H$6:$H$238,U881)="","",INDEX(Manual_Review!$H$6:$H$238,U881))</f>
        <v/>
      </c>
      <c r="X881" s="5" t="str">
        <f>IF(INDEX(Manual_Review!$I$6:$I$238,U881)="","",INDEX(Manual_Review!$I$6:$I$238,U881))</f>
        <v/>
      </c>
      <c r="Y881" s="5" t="s">
        <v>2859</v>
      </c>
    </row>
    <row r="882" spans="1:25" ht="25.5">
      <c r="A882" s="5" t="s">
        <v>4714</v>
      </c>
      <c r="B882" s="5" t="s">
        <v>719</v>
      </c>
      <c r="C882" s="5" t="s">
        <v>720</v>
      </c>
      <c r="D882" s="5" t="s">
        <v>118</v>
      </c>
      <c r="E882" s="5" t="s">
        <v>2793</v>
      </c>
      <c r="F882" s="5" t="s">
        <v>2762</v>
      </c>
      <c r="G882" s="5">
        <v>1</v>
      </c>
      <c r="H882" s="5" t="s">
        <v>2854</v>
      </c>
      <c r="I882" s="5" t="str">
        <f>IF(INDEX(Manual_Review!$W$6:$W$238,U882)="","",INDEX(Manual_Review!$W$6:$W$238,U882))</f>
        <v/>
      </c>
      <c r="J882" s="5" t="str">
        <f t="shared" si="26"/>
        <v>AI provisional</v>
      </c>
      <c r="K882" s="5" t="str">
        <f t="shared" si="27"/>
        <v>Y</v>
      </c>
      <c r="L882" s="5" t="s">
        <v>725</v>
      </c>
      <c r="M882" s="5" t="s">
        <v>4715</v>
      </c>
      <c r="N882" s="5" t="s">
        <v>4692</v>
      </c>
      <c r="O882" s="5" t="s">
        <v>3077</v>
      </c>
      <c r="P882" s="5" t="s">
        <v>2858</v>
      </c>
      <c r="Q882" s="11">
        <v>46306.5</v>
      </c>
      <c r="R882" s="6"/>
      <c r="S882" s="6"/>
      <c r="T882" s="6"/>
      <c r="U882" s="5">
        <f>MATCH(B882,Manual_Review!$A$6:$A$238,0)</f>
        <v>55</v>
      </c>
      <c r="V882" s="5" t="str">
        <f>IF(INDEX(Manual_Review!$G$6:$G$238,U882)="","",INDEX(Manual_Review!$G$6:$G$238,U882))</f>
        <v/>
      </c>
      <c r="W882" s="11" t="str">
        <f>IF(INDEX(Manual_Review!$H$6:$H$238,U882)="","",INDEX(Manual_Review!$H$6:$H$238,U882))</f>
        <v/>
      </c>
      <c r="X882" s="5" t="str">
        <f>IF(INDEX(Manual_Review!$I$6:$I$238,U882)="","",INDEX(Manual_Review!$I$6:$I$238,U882))</f>
        <v/>
      </c>
      <c r="Y882" s="5" t="s">
        <v>2859</v>
      </c>
    </row>
    <row r="883" spans="1:25" ht="25.5">
      <c r="A883" s="5" t="s">
        <v>4716</v>
      </c>
      <c r="B883" s="5" t="s">
        <v>719</v>
      </c>
      <c r="C883" s="5" t="s">
        <v>720</v>
      </c>
      <c r="D883" s="5" t="s">
        <v>118</v>
      </c>
      <c r="E883" s="5" t="s">
        <v>2794</v>
      </c>
      <c r="F883" s="5" t="s">
        <v>2764</v>
      </c>
      <c r="G883" s="5">
        <v>1</v>
      </c>
      <c r="H883" s="5" t="s">
        <v>2864</v>
      </c>
      <c r="I883" s="5" t="str">
        <f>IF(INDEX(Manual_Review!$X$6:$X$238,U883)="","",INDEX(Manual_Review!$X$6:$X$238,U883))</f>
        <v/>
      </c>
      <c r="J883" s="5" t="str">
        <f t="shared" si="26"/>
        <v>AI provisional</v>
      </c>
      <c r="K883" s="5" t="str">
        <f t="shared" si="27"/>
        <v>U</v>
      </c>
      <c r="L883" s="5" t="s">
        <v>725</v>
      </c>
      <c r="M883" s="5" t="s">
        <v>4702</v>
      </c>
      <c r="N883" s="5" t="s">
        <v>4692</v>
      </c>
      <c r="O883" s="5" t="s">
        <v>2895</v>
      </c>
      <c r="P883" s="5" t="s">
        <v>2858</v>
      </c>
      <c r="Q883" s="11">
        <v>46306.5</v>
      </c>
      <c r="R883" s="6"/>
      <c r="S883" s="6"/>
      <c r="T883" s="6"/>
      <c r="U883" s="5">
        <f>MATCH(B883,Manual_Review!$A$6:$A$238,0)</f>
        <v>55</v>
      </c>
      <c r="V883" s="5" t="str">
        <f>IF(INDEX(Manual_Review!$G$6:$G$238,U883)="","",INDEX(Manual_Review!$G$6:$G$238,U883))</f>
        <v/>
      </c>
      <c r="W883" s="11" t="str">
        <f>IF(INDEX(Manual_Review!$H$6:$H$238,U883)="","",INDEX(Manual_Review!$H$6:$H$238,U883))</f>
        <v/>
      </c>
      <c r="X883" s="5" t="str">
        <f>IF(INDEX(Manual_Review!$I$6:$I$238,U883)="","",INDEX(Manual_Review!$I$6:$I$238,U883))</f>
        <v/>
      </c>
      <c r="Y883" s="5" t="s">
        <v>2859</v>
      </c>
    </row>
    <row r="884" spans="1:25" ht="25.5">
      <c r="A884" s="5" t="s">
        <v>4717</v>
      </c>
      <c r="B884" s="5" t="s">
        <v>719</v>
      </c>
      <c r="C884" s="5" t="s">
        <v>720</v>
      </c>
      <c r="D884" s="5" t="s">
        <v>118</v>
      </c>
      <c r="E884" s="5" t="s">
        <v>2795</v>
      </c>
      <c r="F884" s="5" t="s">
        <v>2764</v>
      </c>
      <c r="G884" s="5">
        <v>1</v>
      </c>
      <c r="H884" s="5" t="s">
        <v>2864</v>
      </c>
      <c r="I884" s="5" t="str">
        <f>IF(INDEX(Manual_Review!$Y$6:$Y$238,U884)="","",INDEX(Manual_Review!$Y$6:$Y$238,U884))</f>
        <v/>
      </c>
      <c r="J884" s="5" t="str">
        <f t="shared" si="26"/>
        <v>AI provisional</v>
      </c>
      <c r="K884" s="5" t="str">
        <f t="shared" si="27"/>
        <v>U</v>
      </c>
      <c r="L884" s="5" t="s">
        <v>725</v>
      </c>
      <c r="M884" s="5" t="s">
        <v>4702</v>
      </c>
      <c r="N884" s="5" t="s">
        <v>4692</v>
      </c>
      <c r="O884" s="5" t="s">
        <v>2897</v>
      </c>
      <c r="P884" s="5" t="s">
        <v>2858</v>
      </c>
      <c r="Q884" s="11">
        <v>46306.5</v>
      </c>
      <c r="R884" s="6"/>
      <c r="S884" s="6"/>
      <c r="T884" s="6"/>
      <c r="U884" s="5">
        <f>MATCH(B884,Manual_Review!$A$6:$A$238,0)</f>
        <v>55</v>
      </c>
      <c r="V884" s="5" t="str">
        <f>IF(INDEX(Manual_Review!$G$6:$G$238,U884)="","",INDEX(Manual_Review!$G$6:$G$238,U884))</f>
        <v/>
      </c>
      <c r="W884" s="11" t="str">
        <f>IF(INDEX(Manual_Review!$H$6:$H$238,U884)="","",INDEX(Manual_Review!$H$6:$H$238,U884))</f>
        <v/>
      </c>
      <c r="X884" s="5" t="str">
        <f>IF(INDEX(Manual_Review!$I$6:$I$238,U884)="","",INDEX(Manual_Review!$I$6:$I$238,U884))</f>
        <v/>
      </c>
      <c r="Y884" s="5" t="s">
        <v>2859</v>
      </c>
    </row>
    <row r="885" spans="1:25" ht="25.5">
      <c r="A885" s="5" t="s">
        <v>4718</v>
      </c>
      <c r="B885" s="5" t="s">
        <v>719</v>
      </c>
      <c r="C885" s="5" t="s">
        <v>720</v>
      </c>
      <c r="D885" s="5" t="s">
        <v>118</v>
      </c>
      <c r="E885" s="5" t="s">
        <v>2796</v>
      </c>
      <c r="F885" s="5" t="s">
        <v>2764</v>
      </c>
      <c r="G885" s="5">
        <v>1</v>
      </c>
      <c r="H885" s="5" t="s">
        <v>2864</v>
      </c>
      <c r="I885" s="5" t="str">
        <f>IF(INDEX(Manual_Review!$Z$6:$Z$238,U885)="","",INDEX(Manual_Review!$Z$6:$Z$238,U885))</f>
        <v/>
      </c>
      <c r="J885" s="5" t="str">
        <f t="shared" si="26"/>
        <v>AI provisional</v>
      </c>
      <c r="K885" s="5" t="str">
        <f t="shared" si="27"/>
        <v>U</v>
      </c>
      <c r="L885" s="5" t="s">
        <v>725</v>
      </c>
      <c r="M885" s="5" t="s">
        <v>4707</v>
      </c>
      <c r="N885" s="5" t="s">
        <v>4692</v>
      </c>
      <c r="O885" s="5" t="s">
        <v>2899</v>
      </c>
      <c r="P885" s="5" t="s">
        <v>2858</v>
      </c>
      <c r="Q885" s="11">
        <v>46306.5</v>
      </c>
      <c r="R885" s="6"/>
      <c r="S885" s="6"/>
      <c r="T885" s="6"/>
      <c r="U885" s="5">
        <f>MATCH(B885,Manual_Review!$A$6:$A$238,0)</f>
        <v>55</v>
      </c>
      <c r="V885" s="5" t="str">
        <f>IF(INDEX(Manual_Review!$G$6:$G$238,U885)="","",INDEX(Manual_Review!$G$6:$G$238,U885))</f>
        <v/>
      </c>
      <c r="W885" s="11" t="str">
        <f>IF(INDEX(Manual_Review!$H$6:$H$238,U885)="","",INDEX(Manual_Review!$H$6:$H$238,U885))</f>
        <v/>
      </c>
      <c r="X885" s="5" t="str">
        <f>IF(INDEX(Manual_Review!$I$6:$I$238,U885)="","",INDEX(Manual_Review!$I$6:$I$238,U885))</f>
        <v/>
      </c>
      <c r="Y885" s="5" t="s">
        <v>2859</v>
      </c>
    </row>
    <row r="886" spans="1:25" ht="38.25">
      <c r="A886" s="5" t="s">
        <v>4719</v>
      </c>
      <c r="B886" s="5" t="s">
        <v>727</v>
      </c>
      <c r="C886" s="5" t="s">
        <v>728</v>
      </c>
      <c r="D886" s="5" t="s">
        <v>118</v>
      </c>
      <c r="E886" s="5" t="s">
        <v>2781</v>
      </c>
      <c r="F886" s="5" t="s">
        <v>2754</v>
      </c>
      <c r="G886" s="5">
        <v>1</v>
      </c>
      <c r="H886" s="5" t="s">
        <v>2854</v>
      </c>
      <c r="I886" s="5" t="str">
        <f>IF(INDEX(Manual_Review!$K$6:$K$238,U886)="","",INDEX(Manual_Review!$K$6:$K$238,U886))</f>
        <v/>
      </c>
      <c r="J886" s="5" t="str">
        <f t="shared" si="26"/>
        <v>AI provisional</v>
      </c>
      <c r="K886" s="5" t="str">
        <f t="shared" si="27"/>
        <v>Y</v>
      </c>
      <c r="L886" s="5" t="s">
        <v>735</v>
      </c>
      <c r="M886" s="5" t="s">
        <v>4720</v>
      </c>
      <c r="N886" s="5" t="s">
        <v>4721</v>
      </c>
      <c r="O886" s="5" t="s">
        <v>2857</v>
      </c>
      <c r="P886" s="5" t="s">
        <v>2858</v>
      </c>
      <c r="Q886" s="11">
        <v>46306.5</v>
      </c>
      <c r="R886" s="6"/>
      <c r="S886" s="6"/>
      <c r="T886" s="6"/>
      <c r="U886" s="5">
        <f>MATCH(B886,Manual_Review!$A$6:$A$238,0)</f>
        <v>56</v>
      </c>
      <c r="V886" s="5" t="str">
        <f>IF(INDEX(Manual_Review!$G$6:$G$238,U886)="","",INDEX(Manual_Review!$G$6:$G$238,U886))</f>
        <v/>
      </c>
      <c r="W886" s="11" t="str">
        <f>IF(INDEX(Manual_Review!$H$6:$H$238,U886)="","",INDEX(Manual_Review!$H$6:$H$238,U886))</f>
        <v/>
      </c>
      <c r="X886" s="5" t="str">
        <f>IF(INDEX(Manual_Review!$I$6:$I$238,U886)="","",INDEX(Manual_Review!$I$6:$I$238,U886))</f>
        <v/>
      </c>
      <c r="Y886" s="5" t="s">
        <v>2859</v>
      </c>
    </row>
    <row r="887" spans="1:25" ht="38.25">
      <c r="A887" s="5" t="s">
        <v>4722</v>
      </c>
      <c r="B887" s="5" t="s">
        <v>727</v>
      </c>
      <c r="C887" s="5" t="s">
        <v>728</v>
      </c>
      <c r="D887" s="5" t="s">
        <v>118</v>
      </c>
      <c r="E887" s="5" t="s">
        <v>2782</v>
      </c>
      <c r="F887" s="5" t="s">
        <v>2754</v>
      </c>
      <c r="G887" s="5">
        <v>1</v>
      </c>
      <c r="H887" s="5" t="s">
        <v>2854</v>
      </c>
      <c r="I887" s="5" t="str">
        <f>IF(INDEX(Manual_Review!$L$6:$L$238,U887)="","",INDEX(Manual_Review!$L$6:$L$238,U887))</f>
        <v/>
      </c>
      <c r="J887" s="5" t="str">
        <f t="shared" si="26"/>
        <v>AI provisional</v>
      </c>
      <c r="K887" s="5" t="str">
        <f t="shared" si="27"/>
        <v>Y</v>
      </c>
      <c r="L887" s="5" t="s">
        <v>735</v>
      </c>
      <c r="M887" s="5" t="s">
        <v>4723</v>
      </c>
      <c r="N887" s="5" t="s">
        <v>4721</v>
      </c>
      <c r="O887" s="5" t="s">
        <v>2862</v>
      </c>
      <c r="P887" s="5" t="s">
        <v>2858</v>
      </c>
      <c r="Q887" s="11">
        <v>46306.5</v>
      </c>
      <c r="R887" s="6"/>
      <c r="S887" s="6"/>
      <c r="T887" s="6"/>
      <c r="U887" s="5">
        <f>MATCH(B887,Manual_Review!$A$6:$A$238,0)</f>
        <v>56</v>
      </c>
      <c r="V887" s="5" t="str">
        <f>IF(INDEX(Manual_Review!$G$6:$G$238,U887)="","",INDEX(Manual_Review!$G$6:$G$238,U887))</f>
        <v/>
      </c>
      <c r="W887" s="11" t="str">
        <f>IF(INDEX(Manual_Review!$H$6:$H$238,U887)="","",INDEX(Manual_Review!$H$6:$H$238,U887))</f>
        <v/>
      </c>
      <c r="X887" s="5" t="str">
        <f>IF(INDEX(Manual_Review!$I$6:$I$238,U887)="","",INDEX(Manual_Review!$I$6:$I$238,U887))</f>
        <v/>
      </c>
      <c r="Y887" s="5" t="s">
        <v>2859</v>
      </c>
    </row>
    <row r="888" spans="1:25" ht="38.25">
      <c r="A888" s="5" t="s">
        <v>4724</v>
      </c>
      <c r="B888" s="5" t="s">
        <v>727</v>
      </c>
      <c r="C888" s="5" t="s">
        <v>728</v>
      </c>
      <c r="D888" s="5" t="s">
        <v>118</v>
      </c>
      <c r="E888" s="5" t="s">
        <v>2783</v>
      </c>
      <c r="F888" s="5" t="s">
        <v>2754</v>
      </c>
      <c r="G888" s="5">
        <v>1</v>
      </c>
      <c r="H888" s="5" t="s">
        <v>2854</v>
      </c>
      <c r="I888" s="5" t="str">
        <f>IF(INDEX(Manual_Review!$M$6:$M$238,U888)="","",INDEX(Manual_Review!$M$6:$M$238,U888))</f>
        <v/>
      </c>
      <c r="J888" s="5" t="str">
        <f t="shared" si="26"/>
        <v>AI provisional</v>
      </c>
      <c r="K888" s="5" t="str">
        <f t="shared" si="27"/>
        <v>Y</v>
      </c>
      <c r="L888" s="5" t="s">
        <v>735</v>
      </c>
      <c r="M888" s="5" t="s">
        <v>4725</v>
      </c>
      <c r="N888" s="5" t="s">
        <v>4721</v>
      </c>
      <c r="O888" s="5" t="s">
        <v>3133</v>
      </c>
      <c r="P888" s="5" t="s">
        <v>2858</v>
      </c>
      <c r="Q888" s="11">
        <v>46306.5</v>
      </c>
      <c r="R888" s="6"/>
      <c r="S888" s="6"/>
      <c r="T888" s="6"/>
      <c r="U888" s="5">
        <f>MATCH(B888,Manual_Review!$A$6:$A$238,0)</f>
        <v>56</v>
      </c>
      <c r="V888" s="5" t="str">
        <f>IF(INDEX(Manual_Review!$G$6:$G$238,U888)="","",INDEX(Manual_Review!$G$6:$G$238,U888))</f>
        <v/>
      </c>
      <c r="W888" s="11" t="str">
        <f>IF(INDEX(Manual_Review!$H$6:$H$238,U888)="","",INDEX(Manual_Review!$H$6:$H$238,U888))</f>
        <v/>
      </c>
      <c r="X888" s="5" t="str">
        <f>IF(INDEX(Manual_Review!$I$6:$I$238,U888)="","",INDEX(Manual_Review!$I$6:$I$238,U888))</f>
        <v/>
      </c>
      <c r="Y888" s="5" t="s">
        <v>2859</v>
      </c>
    </row>
    <row r="889" spans="1:25" ht="38.25">
      <c r="A889" s="5" t="s">
        <v>4726</v>
      </c>
      <c r="B889" s="5" t="s">
        <v>727</v>
      </c>
      <c r="C889" s="5" t="s">
        <v>728</v>
      </c>
      <c r="D889" s="5" t="s">
        <v>118</v>
      </c>
      <c r="E889" s="5" t="s">
        <v>2784</v>
      </c>
      <c r="F889" s="5" t="s">
        <v>2756</v>
      </c>
      <c r="G889" s="5">
        <v>1</v>
      </c>
      <c r="H889" s="5" t="s">
        <v>2854</v>
      </c>
      <c r="I889" s="5" t="str">
        <f>IF(INDEX(Manual_Review!$N$6:$N$238,U889)="","",INDEX(Manual_Review!$N$6:$N$238,U889))</f>
        <v/>
      </c>
      <c r="J889" s="5" t="str">
        <f t="shared" si="26"/>
        <v>AI provisional</v>
      </c>
      <c r="K889" s="5" t="str">
        <f t="shared" si="27"/>
        <v>Y</v>
      </c>
      <c r="L889" s="5" t="s">
        <v>735</v>
      </c>
      <c r="M889" s="5" t="s">
        <v>4727</v>
      </c>
      <c r="N889" s="5" t="s">
        <v>4721</v>
      </c>
      <c r="O889" s="5" t="s">
        <v>2963</v>
      </c>
      <c r="P889" s="5" t="s">
        <v>2858</v>
      </c>
      <c r="Q889" s="11">
        <v>46306.5</v>
      </c>
      <c r="R889" s="6"/>
      <c r="S889" s="6"/>
      <c r="T889" s="6"/>
      <c r="U889" s="5">
        <f>MATCH(B889,Manual_Review!$A$6:$A$238,0)</f>
        <v>56</v>
      </c>
      <c r="V889" s="5" t="str">
        <f>IF(INDEX(Manual_Review!$G$6:$G$238,U889)="","",INDEX(Manual_Review!$G$6:$G$238,U889))</f>
        <v/>
      </c>
      <c r="W889" s="11" t="str">
        <f>IF(INDEX(Manual_Review!$H$6:$H$238,U889)="","",INDEX(Manual_Review!$H$6:$H$238,U889))</f>
        <v/>
      </c>
      <c r="X889" s="5" t="str">
        <f>IF(INDEX(Manual_Review!$I$6:$I$238,U889)="","",INDEX(Manual_Review!$I$6:$I$238,U889))</f>
        <v/>
      </c>
      <c r="Y889" s="5" t="s">
        <v>2859</v>
      </c>
    </row>
    <row r="890" spans="1:25" ht="38.25">
      <c r="A890" s="5" t="s">
        <v>4728</v>
      </c>
      <c r="B890" s="5" t="s">
        <v>727</v>
      </c>
      <c r="C890" s="5" t="s">
        <v>728</v>
      </c>
      <c r="D890" s="5" t="s">
        <v>118</v>
      </c>
      <c r="E890" s="5" t="s">
        <v>2785</v>
      </c>
      <c r="F890" s="5" t="s">
        <v>2756</v>
      </c>
      <c r="G890" s="5">
        <v>1</v>
      </c>
      <c r="H890" s="5" t="s">
        <v>2854</v>
      </c>
      <c r="I890" s="5" t="str">
        <f>IF(INDEX(Manual_Review!$O$6:$O$238,U890)="","",INDEX(Manual_Review!$O$6:$O$238,U890))</f>
        <v/>
      </c>
      <c r="J890" s="5" t="str">
        <f t="shared" si="26"/>
        <v>AI provisional</v>
      </c>
      <c r="K890" s="5" t="str">
        <f t="shared" si="27"/>
        <v>Y</v>
      </c>
      <c r="L890" s="5" t="s">
        <v>735</v>
      </c>
      <c r="M890" s="5" t="s">
        <v>4729</v>
      </c>
      <c r="N890" s="5" t="s">
        <v>4721</v>
      </c>
      <c r="O890" s="5" t="s">
        <v>3138</v>
      </c>
      <c r="P890" s="5" t="s">
        <v>2858</v>
      </c>
      <c r="Q890" s="11">
        <v>46306.5</v>
      </c>
      <c r="R890" s="6"/>
      <c r="S890" s="6"/>
      <c r="T890" s="6"/>
      <c r="U890" s="5">
        <f>MATCH(B890,Manual_Review!$A$6:$A$238,0)</f>
        <v>56</v>
      </c>
      <c r="V890" s="5" t="str">
        <f>IF(INDEX(Manual_Review!$G$6:$G$238,U890)="","",INDEX(Manual_Review!$G$6:$G$238,U890))</f>
        <v/>
      </c>
      <c r="W890" s="11" t="str">
        <f>IF(INDEX(Manual_Review!$H$6:$H$238,U890)="","",INDEX(Manual_Review!$H$6:$H$238,U890))</f>
        <v/>
      </c>
      <c r="X890" s="5" t="str">
        <f>IF(INDEX(Manual_Review!$I$6:$I$238,U890)="","",INDEX(Manual_Review!$I$6:$I$238,U890))</f>
        <v/>
      </c>
      <c r="Y890" s="5" t="s">
        <v>2859</v>
      </c>
    </row>
    <row r="891" spans="1:25" ht="38.25">
      <c r="A891" s="5" t="s">
        <v>4730</v>
      </c>
      <c r="B891" s="5" t="s">
        <v>727</v>
      </c>
      <c r="C891" s="5" t="s">
        <v>728</v>
      </c>
      <c r="D891" s="5" t="s">
        <v>118</v>
      </c>
      <c r="E891" s="5" t="s">
        <v>2786</v>
      </c>
      <c r="F891" s="5" t="s">
        <v>2756</v>
      </c>
      <c r="G891" s="5">
        <v>1</v>
      </c>
      <c r="H891" s="5" t="s">
        <v>2864</v>
      </c>
      <c r="I891" s="5" t="str">
        <f>IF(INDEX(Manual_Review!$P$6:$P$238,U891)="","",INDEX(Manual_Review!$P$6:$P$238,U891))</f>
        <v/>
      </c>
      <c r="J891" s="5" t="str">
        <f t="shared" si="26"/>
        <v>AI provisional</v>
      </c>
      <c r="K891" s="5" t="str">
        <f t="shared" si="27"/>
        <v>U</v>
      </c>
      <c r="L891" s="5" t="s">
        <v>735</v>
      </c>
      <c r="M891" s="5" t="s">
        <v>4731</v>
      </c>
      <c r="N891" s="5" t="s">
        <v>4721</v>
      </c>
      <c r="O891" s="5" t="s">
        <v>2874</v>
      </c>
      <c r="P891" s="5" t="s">
        <v>2858</v>
      </c>
      <c r="Q891" s="11">
        <v>46306.5</v>
      </c>
      <c r="R891" s="6"/>
      <c r="S891" s="6"/>
      <c r="T891" s="6"/>
      <c r="U891" s="5">
        <f>MATCH(B891,Manual_Review!$A$6:$A$238,0)</f>
        <v>56</v>
      </c>
      <c r="V891" s="5" t="str">
        <f>IF(INDEX(Manual_Review!$G$6:$G$238,U891)="","",INDEX(Manual_Review!$G$6:$G$238,U891))</f>
        <v/>
      </c>
      <c r="W891" s="11" t="str">
        <f>IF(INDEX(Manual_Review!$H$6:$H$238,U891)="","",INDEX(Manual_Review!$H$6:$H$238,U891))</f>
        <v/>
      </c>
      <c r="X891" s="5" t="str">
        <f>IF(INDEX(Manual_Review!$I$6:$I$238,U891)="","",INDEX(Manual_Review!$I$6:$I$238,U891))</f>
        <v/>
      </c>
      <c r="Y891" s="5" t="s">
        <v>2859</v>
      </c>
    </row>
    <row r="892" spans="1:25" ht="38.25">
      <c r="A892" s="5" t="s">
        <v>4732</v>
      </c>
      <c r="B892" s="5" t="s">
        <v>727</v>
      </c>
      <c r="C892" s="5" t="s">
        <v>728</v>
      </c>
      <c r="D892" s="5" t="s">
        <v>118</v>
      </c>
      <c r="E892" s="5" t="s">
        <v>2787</v>
      </c>
      <c r="F892" s="5" t="s">
        <v>2758</v>
      </c>
      <c r="G892" s="5">
        <v>1</v>
      </c>
      <c r="H892" s="5" t="s">
        <v>2864</v>
      </c>
      <c r="I892" s="5" t="str">
        <f>IF(INDEX(Manual_Review!$Q$6:$Q$238,U892)="","",INDEX(Manual_Review!$Q$6:$Q$238,U892))</f>
        <v/>
      </c>
      <c r="J892" s="5" t="str">
        <f t="shared" si="26"/>
        <v>AI provisional</v>
      </c>
      <c r="K892" s="5" t="str">
        <f t="shared" si="27"/>
        <v>U</v>
      </c>
      <c r="L892" s="5" t="s">
        <v>735</v>
      </c>
      <c r="M892" s="5" t="s">
        <v>4733</v>
      </c>
      <c r="N892" s="5" t="s">
        <v>4721</v>
      </c>
      <c r="O892" s="5" t="s">
        <v>2877</v>
      </c>
      <c r="P892" s="5" t="s">
        <v>2858</v>
      </c>
      <c r="Q892" s="11">
        <v>46306.5</v>
      </c>
      <c r="R892" s="6"/>
      <c r="S892" s="6"/>
      <c r="T892" s="6"/>
      <c r="U892" s="5">
        <f>MATCH(B892,Manual_Review!$A$6:$A$238,0)</f>
        <v>56</v>
      </c>
      <c r="V892" s="5" t="str">
        <f>IF(INDEX(Manual_Review!$G$6:$G$238,U892)="","",INDEX(Manual_Review!$G$6:$G$238,U892))</f>
        <v/>
      </c>
      <c r="W892" s="11" t="str">
        <f>IF(INDEX(Manual_Review!$H$6:$H$238,U892)="","",INDEX(Manual_Review!$H$6:$H$238,U892))</f>
        <v/>
      </c>
      <c r="X892" s="5" t="str">
        <f>IF(INDEX(Manual_Review!$I$6:$I$238,U892)="","",INDEX(Manual_Review!$I$6:$I$238,U892))</f>
        <v/>
      </c>
      <c r="Y892" s="5" t="s">
        <v>2859</v>
      </c>
    </row>
    <row r="893" spans="1:25" ht="38.25">
      <c r="A893" s="5" t="s">
        <v>4734</v>
      </c>
      <c r="B893" s="5" t="s">
        <v>727</v>
      </c>
      <c r="C893" s="5" t="s">
        <v>728</v>
      </c>
      <c r="D893" s="5" t="s">
        <v>118</v>
      </c>
      <c r="E893" s="5" t="s">
        <v>2788</v>
      </c>
      <c r="F893" s="5" t="s">
        <v>2758</v>
      </c>
      <c r="G893" s="5">
        <v>1</v>
      </c>
      <c r="H893" s="5" t="s">
        <v>2854</v>
      </c>
      <c r="I893" s="5" t="str">
        <f>IF(INDEX(Manual_Review!$R$6:$R$238,U893)="","",INDEX(Manual_Review!$R$6:$R$238,U893))</f>
        <v/>
      </c>
      <c r="J893" s="5" t="str">
        <f t="shared" si="26"/>
        <v>AI provisional</v>
      </c>
      <c r="K893" s="5" t="str">
        <f t="shared" si="27"/>
        <v>Y</v>
      </c>
      <c r="L893" s="5" t="s">
        <v>735</v>
      </c>
      <c r="M893" s="5" t="s">
        <v>4735</v>
      </c>
      <c r="N893" s="5" t="s">
        <v>4721</v>
      </c>
      <c r="O893" s="5" t="s">
        <v>3067</v>
      </c>
      <c r="P893" s="5" t="s">
        <v>2858</v>
      </c>
      <c r="Q893" s="11">
        <v>46306.5</v>
      </c>
      <c r="R893" s="6"/>
      <c r="S893" s="6"/>
      <c r="T893" s="6"/>
      <c r="U893" s="5">
        <f>MATCH(B893,Manual_Review!$A$6:$A$238,0)</f>
        <v>56</v>
      </c>
      <c r="V893" s="5" t="str">
        <f>IF(INDEX(Manual_Review!$G$6:$G$238,U893)="","",INDEX(Manual_Review!$G$6:$G$238,U893))</f>
        <v/>
      </c>
      <c r="W893" s="11" t="str">
        <f>IF(INDEX(Manual_Review!$H$6:$H$238,U893)="","",INDEX(Manual_Review!$H$6:$H$238,U893))</f>
        <v/>
      </c>
      <c r="X893" s="5" t="str">
        <f>IF(INDEX(Manual_Review!$I$6:$I$238,U893)="","",INDEX(Manual_Review!$I$6:$I$238,U893))</f>
        <v/>
      </c>
      <c r="Y893" s="5" t="s">
        <v>2859</v>
      </c>
    </row>
    <row r="894" spans="1:25" ht="38.25">
      <c r="A894" s="5" t="s">
        <v>4736</v>
      </c>
      <c r="B894" s="5" t="s">
        <v>727</v>
      </c>
      <c r="C894" s="5" t="s">
        <v>728</v>
      </c>
      <c r="D894" s="5" t="s">
        <v>118</v>
      </c>
      <c r="E894" s="5" t="s">
        <v>2789</v>
      </c>
      <c r="F894" s="5" t="s">
        <v>2758</v>
      </c>
      <c r="G894" s="5">
        <v>1</v>
      </c>
      <c r="H894" s="5" t="s">
        <v>2854</v>
      </c>
      <c r="I894" s="5" t="str">
        <f>IF(INDEX(Manual_Review!$S$6:$S$238,U894)="","",INDEX(Manual_Review!$S$6:$S$238,U894))</f>
        <v/>
      </c>
      <c r="J894" s="5" t="str">
        <f t="shared" si="26"/>
        <v>AI provisional</v>
      </c>
      <c r="K894" s="5" t="str">
        <f t="shared" si="27"/>
        <v>Y</v>
      </c>
      <c r="L894" s="5" t="s">
        <v>735</v>
      </c>
      <c r="M894" s="5" t="s">
        <v>4737</v>
      </c>
      <c r="N894" s="5" t="s">
        <v>4721</v>
      </c>
      <c r="O894" s="5" t="s">
        <v>3178</v>
      </c>
      <c r="P894" s="5" t="s">
        <v>2858</v>
      </c>
      <c r="Q894" s="11">
        <v>46306.5</v>
      </c>
      <c r="R894" s="6"/>
      <c r="S894" s="6"/>
      <c r="T894" s="6"/>
      <c r="U894" s="5">
        <f>MATCH(B894,Manual_Review!$A$6:$A$238,0)</f>
        <v>56</v>
      </c>
      <c r="V894" s="5" t="str">
        <f>IF(INDEX(Manual_Review!$G$6:$G$238,U894)="","",INDEX(Manual_Review!$G$6:$G$238,U894))</f>
        <v/>
      </c>
      <c r="W894" s="11" t="str">
        <f>IF(INDEX(Manual_Review!$H$6:$H$238,U894)="","",INDEX(Manual_Review!$H$6:$H$238,U894))</f>
        <v/>
      </c>
      <c r="X894" s="5" t="str">
        <f>IF(INDEX(Manual_Review!$I$6:$I$238,U894)="","",INDEX(Manual_Review!$I$6:$I$238,U894))</f>
        <v/>
      </c>
      <c r="Y894" s="5" t="s">
        <v>2859</v>
      </c>
    </row>
    <row r="895" spans="1:25" ht="38.25">
      <c r="A895" s="5" t="s">
        <v>4738</v>
      </c>
      <c r="B895" s="5" t="s">
        <v>727</v>
      </c>
      <c r="C895" s="5" t="s">
        <v>728</v>
      </c>
      <c r="D895" s="5" t="s">
        <v>118</v>
      </c>
      <c r="E895" s="5" t="s">
        <v>2790</v>
      </c>
      <c r="F895" s="5" t="s">
        <v>2760</v>
      </c>
      <c r="G895" s="5">
        <v>1</v>
      </c>
      <c r="H895" s="5" t="s">
        <v>2864</v>
      </c>
      <c r="I895" s="5" t="str">
        <f>IF(INDEX(Manual_Review!$T$6:$T$238,U895)="","",INDEX(Manual_Review!$T$6:$T$238,U895))</f>
        <v/>
      </c>
      <c r="J895" s="5" t="str">
        <f t="shared" si="26"/>
        <v>AI provisional</v>
      </c>
      <c r="K895" s="5" t="str">
        <f t="shared" si="27"/>
        <v>U</v>
      </c>
      <c r="L895" s="5" t="s">
        <v>735</v>
      </c>
      <c r="M895" s="5" t="s">
        <v>4731</v>
      </c>
      <c r="N895" s="5" t="s">
        <v>4721</v>
      </c>
      <c r="O895" s="5" t="s">
        <v>2885</v>
      </c>
      <c r="P895" s="5" t="s">
        <v>2858</v>
      </c>
      <c r="Q895" s="11">
        <v>46306.5</v>
      </c>
      <c r="R895" s="6"/>
      <c r="S895" s="6"/>
      <c r="T895" s="6"/>
      <c r="U895" s="5">
        <f>MATCH(B895,Manual_Review!$A$6:$A$238,0)</f>
        <v>56</v>
      </c>
      <c r="V895" s="5" t="str">
        <f>IF(INDEX(Manual_Review!$G$6:$G$238,U895)="","",INDEX(Manual_Review!$G$6:$G$238,U895))</f>
        <v/>
      </c>
      <c r="W895" s="11" t="str">
        <f>IF(INDEX(Manual_Review!$H$6:$H$238,U895)="","",INDEX(Manual_Review!$H$6:$H$238,U895))</f>
        <v/>
      </c>
      <c r="X895" s="5" t="str">
        <f>IF(INDEX(Manual_Review!$I$6:$I$238,U895)="","",INDEX(Manual_Review!$I$6:$I$238,U895))</f>
        <v/>
      </c>
      <c r="Y895" s="5" t="s">
        <v>2859</v>
      </c>
    </row>
    <row r="896" spans="1:25" ht="38.25">
      <c r="A896" s="5" t="s">
        <v>4739</v>
      </c>
      <c r="B896" s="5" t="s">
        <v>727</v>
      </c>
      <c r="C896" s="5" t="s">
        <v>728</v>
      </c>
      <c r="D896" s="5" t="s">
        <v>118</v>
      </c>
      <c r="E896" s="5" t="s">
        <v>2791</v>
      </c>
      <c r="F896" s="5" t="s">
        <v>2760</v>
      </c>
      <c r="G896" s="5">
        <v>1</v>
      </c>
      <c r="H896" s="5" t="s">
        <v>2864</v>
      </c>
      <c r="I896" s="5" t="str">
        <f>IF(INDEX(Manual_Review!$U$6:$U$238,U896)="","",INDEX(Manual_Review!$U$6:$U$238,U896))</f>
        <v/>
      </c>
      <c r="J896" s="5" t="str">
        <f t="shared" si="26"/>
        <v>AI provisional</v>
      </c>
      <c r="K896" s="5" t="str">
        <f t="shared" si="27"/>
        <v>U</v>
      </c>
      <c r="L896" s="5" t="s">
        <v>735</v>
      </c>
      <c r="M896" s="5" t="s">
        <v>4740</v>
      </c>
      <c r="N896" s="5" t="s">
        <v>4721</v>
      </c>
      <c r="O896" s="5" t="s">
        <v>2888</v>
      </c>
      <c r="P896" s="5" t="s">
        <v>2858</v>
      </c>
      <c r="Q896" s="11">
        <v>46306.5</v>
      </c>
      <c r="R896" s="6"/>
      <c r="S896" s="6"/>
      <c r="T896" s="6"/>
      <c r="U896" s="5">
        <f>MATCH(B896,Manual_Review!$A$6:$A$238,0)</f>
        <v>56</v>
      </c>
      <c r="V896" s="5" t="str">
        <f>IF(INDEX(Manual_Review!$G$6:$G$238,U896)="","",INDEX(Manual_Review!$G$6:$G$238,U896))</f>
        <v/>
      </c>
      <c r="W896" s="11" t="str">
        <f>IF(INDEX(Manual_Review!$H$6:$H$238,U896)="","",INDEX(Manual_Review!$H$6:$H$238,U896))</f>
        <v/>
      </c>
      <c r="X896" s="5" t="str">
        <f>IF(INDEX(Manual_Review!$I$6:$I$238,U896)="","",INDEX(Manual_Review!$I$6:$I$238,U896))</f>
        <v/>
      </c>
      <c r="Y896" s="5" t="s">
        <v>2859</v>
      </c>
    </row>
    <row r="897" spans="1:25" ht="38.25">
      <c r="A897" s="5" t="s">
        <v>4741</v>
      </c>
      <c r="B897" s="5" t="s">
        <v>727</v>
      </c>
      <c r="C897" s="5" t="s">
        <v>728</v>
      </c>
      <c r="D897" s="5" t="s">
        <v>118</v>
      </c>
      <c r="E897" s="5" t="s">
        <v>2792</v>
      </c>
      <c r="F897" s="5" t="s">
        <v>2762</v>
      </c>
      <c r="G897" s="5">
        <v>1</v>
      </c>
      <c r="H897" s="5" t="s">
        <v>2854</v>
      </c>
      <c r="I897" s="5" t="str">
        <f>IF(INDEX(Manual_Review!$V$6:$V$238,U897)="","",INDEX(Manual_Review!$V$6:$V$238,U897))</f>
        <v/>
      </c>
      <c r="J897" s="5" t="str">
        <f t="shared" si="26"/>
        <v>AI provisional</v>
      </c>
      <c r="K897" s="5" t="str">
        <f t="shared" si="27"/>
        <v>Y</v>
      </c>
      <c r="L897" s="5" t="s">
        <v>735</v>
      </c>
      <c r="M897" s="5" t="s">
        <v>4742</v>
      </c>
      <c r="N897" s="5" t="s">
        <v>4721</v>
      </c>
      <c r="O897" s="5" t="s">
        <v>3152</v>
      </c>
      <c r="P897" s="5" t="s">
        <v>2858</v>
      </c>
      <c r="Q897" s="11">
        <v>46306.5</v>
      </c>
      <c r="R897" s="6"/>
      <c r="S897" s="6"/>
      <c r="T897" s="6"/>
      <c r="U897" s="5">
        <f>MATCH(B897,Manual_Review!$A$6:$A$238,0)</f>
        <v>56</v>
      </c>
      <c r="V897" s="5" t="str">
        <f>IF(INDEX(Manual_Review!$G$6:$G$238,U897)="","",INDEX(Manual_Review!$G$6:$G$238,U897))</f>
        <v/>
      </c>
      <c r="W897" s="11" t="str">
        <f>IF(INDEX(Manual_Review!$H$6:$H$238,U897)="","",INDEX(Manual_Review!$H$6:$H$238,U897))</f>
        <v/>
      </c>
      <c r="X897" s="5" t="str">
        <f>IF(INDEX(Manual_Review!$I$6:$I$238,U897)="","",INDEX(Manual_Review!$I$6:$I$238,U897))</f>
        <v/>
      </c>
      <c r="Y897" s="5" t="s">
        <v>2859</v>
      </c>
    </row>
    <row r="898" spans="1:25" ht="38.25">
      <c r="A898" s="5" t="s">
        <v>4743</v>
      </c>
      <c r="B898" s="5" t="s">
        <v>727</v>
      </c>
      <c r="C898" s="5" t="s">
        <v>728</v>
      </c>
      <c r="D898" s="5" t="s">
        <v>118</v>
      </c>
      <c r="E898" s="5" t="s">
        <v>2793</v>
      </c>
      <c r="F898" s="5" t="s">
        <v>2762</v>
      </c>
      <c r="G898" s="5">
        <v>1</v>
      </c>
      <c r="H898" s="5" t="s">
        <v>2854</v>
      </c>
      <c r="I898" s="5" t="str">
        <f>IF(INDEX(Manual_Review!$W$6:$W$238,U898)="","",INDEX(Manual_Review!$W$6:$W$238,U898))</f>
        <v/>
      </c>
      <c r="J898" s="5" t="str">
        <f t="shared" si="26"/>
        <v>AI provisional</v>
      </c>
      <c r="K898" s="5" t="str">
        <f t="shared" si="27"/>
        <v>Y</v>
      </c>
      <c r="L898" s="5" t="s">
        <v>735</v>
      </c>
      <c r="M898" s="5" t="s">
        <v>4744</v>
      </c>
      <c r="N898" s="5" t="s">
        <v>4721</v>
      </c>
      <c r="O898" s="5" t="s">
        <v>3077</v>
      </c>
      <c r="P898" s="5" t="s">
        <v>2858</v>
      </c>
      <c r="Q898" s="11">
        <v>46306.5</v>
      </c>
      <c r="R898" s="6"/>
      <c r="S898" s="6"/>
      <c r="T898" s="6"/>
      <c r="U898" s="5">
        <f>MATCH(B898,Manual_Review!$A$6:$A$238,0)</f>
        <v>56</v>
      </c>
      <c r="V898" s="5" t="str">
        <f>IF(INDEX(Manual_Review!$G$6:$G$238,U898)="","",INDEX(Manual_Review!$G$6:$G$238,U898))</f>
        <v/>
      </c>
      <c r="W898" s="11" t="str">
        <f>IF(INDEX(Manual_Review!$H$6:$H$238,U898)="","",INDEX(Manual_Review!$H$6:$H$238,U898))</f>
        <v/>
      </c>
      <c r="X898" s="5" t="str">
        <f>IF(INDEX(Manual_Review!$I$6:$I$238,U898)="","",INDEX(Manual_Review!$I$6:$I$238,U898))</f>
        <v/>
      </c>
      <c r="Y898" s="5" t="s">
        <v>2859</v>
      </c>
    </row>
    <row r="899" spans="1:25" ht="38.25">
      <c r="A899" s="5" t="s">
        <v>4745</v>
      </c>
      <c r="B899" s="5" t="s">
        <v>727</v>
      </c>
      <c r="C899" s="5" t="s">
        <v>728</v>
      </c>
      <c r="D899" s="5" t="s">
        <v>118</v>
      </c>
      <c r="E899" s="5" t="s">
        <v>2794</v>
      </c>
      <c r="F899" s="5" t="s">
        <v>2764</v>
      </c>
      <c r="G899" s="5">
        <v>1</v>
      </c>
      <c r="H899" s="5" t="s">
        <v>2854</v>
      </c>
      <c r="I899" s="5" t="str">
        <f>IF(INDEX(Manual_Review!$X$6:$X$238,U899)="","",INDEX(Manual_Review!$X$6:$X$238,U899))</f>
        <v/>
      </c>
      <c r="J899" s="5" t="str">
        <f t="shared" si="26"/>
        <v>AI provisional</v>
      </c>
      <c r="K899" s="5" t="str">
        <f t="shared" si="27"/>
        <v>Y</v>
      </c>
      <c r="L899" s="5" t="s">
        <v>735</v>
      </c>
      <c r="M899" s="5" t="s">
        <v>4746</v>
      </c>
      <c r="N899" s="5" t="s">
        <v>4721</v>
      </c>
      <c r="O899" s="5" t="s">
        <v>2984</v>
      </c>
      <c r="P899" s="5" t="s">
        <v>2858</v>
      </c>
      <c r="Q899" s="11">
        <v>46306.5</v>
      </c>
      <c r="R899" s="6"/>
      <c r="S899" s="6"/>
      <c r="T899" s="6"/>
      <c r="U899" s="5">
        <f>MATCH(B899,Manual_Review!$A$6:$A$238,0)</f>
        <v>56</v>
      </c>
      <c r="V899" s="5" t="str">
        <f>IF(INDEX(Manual_Review!$G$6:$G$238,U899)="","",INDEX(Manual_Review!$G$6:$G$238,U899))</f>
        <v/>
      </c>
      <c r="W899" s="11" t="str">
        <f>IF(INDEX(Manual_Review!$H$6:$H$238,U899)="","",INDEX(Manual_Review!$H$6:$H$238,U899))</f>
        <v/>
      </c>
      <c r="X899" s="5" t="str">
        <f>IF(INDEX(Manual_Review!$I$6:$I$238,U899)="","",INDEX(Manual_Review!$I$6:$I$238,U899))</f>
        <v/>
      </c>
      <c r="Y899" s="5" t="s">
        <v>2859</v>
      </c>
    </row>
    <row r="900" spans="1:25" ht="38.25">
      <c r="A900" s="5" t="s">
        <v>4747</v>
      </c>
      <c r="B900" s="5" t="s">
        <v>727</v>
      </c>
      <c r="C900" s="5" t="s">
        <v>728</v>
      </c>
      <c r="D900" s="5" t="s">
        <v>118</v>
      </c>
      <c r="E900" s="5" t="s">
        <v>2795</v>
      </c>
      <c r="F900" s="5" t="s">
        <v>2764</v>
      </c>
      <c r="G900" s="5">
        <v>1</v>
      </c>
      <c r="H900" s="5" t="s">
        <v>2864</v>
      </c>
      <c r="I900" s="5" t="str">
        <f>IF(INDEX(Manual_Review!$Y$6:$Y$238,U900)="","",INDEX(Manual_Review!$Y$6:$Y$238,U900))</f>
        <v/>
      </c>
      <c r="J900" s="5" t="str">
        <f t="shared" si="26"/>
        <v>AI provisional</v>
      </c>
      <c r="K900" s="5" t="str">
        <f t="shared" si="27"/>
        <v>U</v>
      </c>
      <c r="L900" s="5" t="s">
        <v>735</v>
      </c>
      <c r="M900" s="5" t="s">
        <v>4748</v>
      </c>
      <c r="N900" s="5" t="s">
        <v>4721</v>
      </c>
      <c r="O900" s="5" t="s">
        <v>2897</v>
      </c>
      <c r="P900" s="5" t="s">
        <v>2858</v>
      </c>
      <c r="Q900" s="11">
        <v>46306.5</v>
      </c>
      <c r="R900" s="6"/>
      <c r="S900" s="6"/>
      <c r="T900" s="6"/>
      <c r="U900" s="5">
        <f>MATCH(B900,Manual_Review!$A$6:$A$238,0)</f>
        <v>56</v>
      </c>
      <c r="V900" s="5" t="str">
        <f>IF(INDEX(Manual_Review!$G$6:$G$238,U900)="","",INDEX(Manual_Review!$G$6:$G$238,U900))</f>
        <v/>
      </c>
      <c r="W900" s="11" t="str">
        <f>IF(INDEX(Manual_Review!$H$6:$H$238,U900)="","",INDEX(Manual_Review!$H$6:$H$238,U900))</f>
        <v/>
      </c>
      <c r="X900" s="5" t="str">
        <f>IF(INDEX(Manual_Review!$I$6:$I$238,U900)="","",INDEX(Manual_Review!$I$6:$I$238,U900))</f>
        <v/>
      </c>
      <c r="Y900" s="5" t="s">
        <v>2859</v>
      </c>
    </row>
    <row r="901" spans="1:25" ht="38.25">
      <c r="A901" s="5" t="s">
        <v>4749</v>
      </c>
      <c r="B901" s="5" t="s">
        <v>727</v>
      </c>
      <c r="C901" s="5" t="s">
        <v>728</v>
      </c>
      <c r="D901" s="5" t="s">
        <v>118</v>
      </c>
      <c r="E901" s="5" t="s">
        <v>2796</v>
      </c>
      <c r="F901" s="5" t="s">
        <v>2764</v>
      </c>
      <c r="G901" s="5">
        <v>1</v>
      </c>
      <c r="H901" s="5" t="s">
        <v>2864</v>
      </c>
      <c r="I901" s="5" t="str">
        <f>IF(INDEX(Manual_Review!$Z$6:$Z$238,U901)="","",INDEX(Manual_Review!$Z$6:$Z$238,U901))</f>
        <v/>
      </c>
      <c r="J901" s="5" t="str">
        <f t="shared" si="26"/>
        <v>AI provisional</v>
      </c>
      <c r="K901" s="5" t="str">
        <f t="shared" si="27"/>
        <v>U</v>
      </c>
      <c r="L901" s="5" t="s">
        <v>735</v>
      </c>
      <c r="M901" s="5" t="s">
        <v>4750</v>
      </c>
      <c r="N901" s="5" t="s">
        <v>4721</v>
      </c>
      <c r="O901" s="5" t="s">
        <v>2899</v>
      </c>
      <c r="P901" s="5" t="s">
        <v>2858</v>
      </c>
      <c r="Q901" s="11">
        <v>46306.5</v>
      </c>
      <c r="R901" s="6"/>
      <c r="S901" s="6"/>
      <c r="T901" s="6"/>
      <c r="U901" s="5">
        <f>MATCH(B901,Manual_Review!$A$6:$A$238,0)</f>
        <v>56</v>
      </c>
      <c r="V901" s="5" t="str">
        <f>IF(INDEX(Manual_Review!$G$6:$G$238,U901)="","",INDEX(Manual_Review!$G$6:$G$238,U901))</f>
        <v/>
      </c>
      <c r="W901" s="11" t="str">
        <f>IF(INDEX(Manual_Review!$H$6:$H$238,U901)="","",INDEX(Manual_Review!$H$6:$H$238,U901))</f>
        <v/>
      </c>
      <c r="X901" s="5" t="str">
        <f>IF(INDEX(Manual_Review!$I$6:$I$238,U901)="","",INDEX(Manual_Review!$I$6:$I$238,U901))</f>
        <v/>
      </c>
      <c r="Y901" s="5" t="s">
        <v>2859</v>
      </c>
    </row>
    <row r="902" spans="1:25" ht="25.5">
      <c r="A902" s="5" t="s">
        <v>4751</v>
      </c>
      <c r="B902" s="5" t="s">
        <v>737</v>
      </c>
      <c r="C902" s="5" t="s">
        <v>738</v>
      </c>
      <c r="D902" s="5" t="s">
        <v>118</v>
      </c>
      <c r="E902" s="5" t="s">
        <v>2781</v>
      </c>
      <c r="F902" s="5" t="s">
        <v>2754</v>
      </c>
      <c r="G902" s="5">
        <v>1</v>
      </c>
      <c r="H902" s="5" t="s">
        <v>2854</v>
      </c>
      <c r="I902" s="5" t="str">
        <f>IF(INDEX(Manual_Review!$K$6:$K$238,U902)="","",INDEX(Manual_Review!$K$6:$K$238,U902))</f>
        <v/>
      </c>
      <c r="J902" s="5" t="str">
        <f t="shared" ref="J902:J965" si="28">IF(G902=0,"Not applicable",IF(I902="","AI provisional",IF(AND(OR(I902="Y",I902="N",I902="U",I902="X"),V902&lt;&gt;"",ISNUMBER(W902),W902&gt;0,X902="Confirmed",R902&lt;&gt;"",S902&lt;&gt;"",T902&lt;&gt;""),"Human valid","Evidence needed")))</f>
        <v>AI provisional</v>
      </c>
      <c r="K902" s="5" t="str">
        <f t="shared" ref="K902:K965" si="29">IF(G902=0,"N/A",IF(I902="",H902,IF(J902="Human valid",I902,"U")))</f>
        <v>Y</v>
      </c>
      <c r="L902" s="5" t="s">
        <v>747</v>
      </c>
      <c r="M902" s="5" t="s">
        <v>4752</v>
      </c>
      <c r="N902" s="5" t="s">
        <v>4753</v>
      </c>
      <c r="O902" s="5" t="s">
        <v>2857</v>
      </c>
      <c r="P902" s="5" t="s">
        <v>2858</v>
      </c>
      <c r="Q902" s="11">
        <v>46306.5</v>
      </c>
      <c r="R902" s="6"/>
      <c r="S902" s="6"/>
      <c r="T902" s="6"/>
      <c r="U902" s="5">
        <f>MATCH(B902,Manual_Review!$A$6:$A$238,0)</f>
        <v>57</v>
      </c>
      <c r="V902" s="5" t="str">
        <f>IF(INDEX(Manual_Review!$G$6:$G$238,U902)="","",INDEX(Manual_Review!$G$6:$G$238,U902))</f>
        <v/>
      </c>
      <c r="W902" s="11" t="str">
        <f>IF(INDEX(Manual_Review!$H$6:$H$238,U902)="","",INDEX(Manual_Review!$H$6:$H$238,U902))</f>
        <v/>
      </c>
      <c r="X902" s="5" t="str">
        <f>IF(INDEX(Manual_Review!$I$6:$I$238,U902)="","",INDEX(Manual_Review!$I$6:$I$238,U902))</f>
        <v/>
      </c>
      <c r="Y902" s="5" t="s">
        <v>2859</v>
      </c>
    </row>
    <row r="903" spans="1:25" ht="25.5">
      <c r="A903" s="5" t="s">
        <v>4754</v>
      </c>
      <c r="B903" s="5" t="s">
        <v>737</v>
      </c>
      <c r="C903" s="5" t="s">
        <v>738</v>
      </c>
      <c r="D903" s="5" t="s">
        <v>118</v>
      </c>
      <c r="E903" s="5" t="s">
        <v>2782</v>
      </c>
      <c r="F903" s="5" t="s">
        <v>2754</v>
      </c>
      <c r="G903" s="5">
        <v>1</v>
      </c>
      <c r="H903" s="5" t="s">
        <v>2854</v>
      </c>
      <c r="I903" s="5" t="str">
        <f>IF(INDEX(Manual_Review!$L$6:$L$238,U903)="","",INDEX(Manual_Review!$L$6:$L$238,U903))</f>
        <v/>
      </c>
      <c r="J903" s="5" t="str">
        <f t="shared" si="28"/>
        <v>AI provisional</v>
      </c>
      <c r="K903" s="5" t="str">
        <f t="shared" si="29"/>
        <v>Y</v>
      </c>
      <c r="L903" s="5" t="s">
        <v>747</v>
      </c>
      <c r="M903" s="5" t="s">
        <v>4755</v>
      </c>
      <c r="N903" s="5" t="s">
        <v>4753</v>
      </c>
      <c r="O903" s="5" t="s">
        <v>2862</v>
      </c>
      <c r="P903" s="5" t="s">
        <v>2858</v>
      </c>
      <c r="Q903" s="11">
        <v>46306.5</v>
      </c>
      <c r="R903" s="6"/>
      <c r="S903" s="6"/>
      <c r="T903" s="6"/>
      <c r="U903" s="5">
        <f>MATCH(B903,Manual_Review!$A$6:$A$238,0)</f>
        <v>57</v>
      </c>
      <c r="V903" s="5" t="str">
        <f>IF(INDEX(Manual_Review!$G$6:$G$238,U903)="","",INDEX(Manual_Review!$G$6:$G$238,U903))</f>
        <v/>
      </c>
      <c r="W903" s="11" t="str">
        <f>IF(INDEX(Manual_Review!$H$6:$H$238,U903)="","",INDEX(Manual_Review!$H$6:$H$238,U903))</f>
        <v/>
      </c>
      <c r="X903" s="5" t="str">
        <f>IF(INDEX(Manual_Review!$I$6:$I$238,U903)="","",INDEX(Manual_Review!$I$6:$I$238,U903))</f>
        <v/>
      </c>
      <c r="Y903" s="5" t="s">
        <v>2859</v>
      </c>
    </row>
    <row r="904" spans="1:25" ht="25.5">
      <c r="A904" s="5" t="s">
        <v>4756</v>
      </c>
      <c r="B904" s="5" t="s">
        <v>737</v>
      </c>
      <c r="C904" s="5" t="s">
        <v>738</v>
      </c>
      <c r="D904" s="5" t="s">
        <v>118</v>
      </c>
      <c r="E904" s="5" t="s">
        <v>2783</v>
      </c>
      <c r="F904" s="5" t="s">
        <v>2754</v>
      </c>
      <c r="G904" s="5">
        <v>1</v>
      </c>
      <c r="H904" s="5" t="s">
        <v>2854</v>
      </c>
      <c r="I904" s="5" t="str">
        <f>IF(INDEX(Manual_Review!$M$6:$M$238,U904)="","",INDEX(Manual_Review!$M$6:$M$238,U904))</f>
        <v/>
      </c>
      <c r="J904" s="5" t="str">
        <f t="shared" si="28"/>
        <v>AI provisional</v>
      </c>
      <c r="K904" s="5" t="str">
        <f t="shared" si="29"/>
        <v>Y</v>
      </c>
      <c r="L904" s="5" t="s">
        <v>747</v>
      </c>
      <c r="M904" s="5" t="s">
        <v>4757</v>
      </c>
      <c r="N904" s="5" t="s">
        <v>4753</v>
      </c>
      <c r="O904" s="5" t="s">
        <v>3133</v>
      </c>
      <c r="P904" s="5" t="s">
        <v>2858</v>
      </c>
      <c r="Q904" s="11">
        <v>46306.5</v>
      </c>
      <c r="R904" s="6"/>
      <c r="S904" s="6"/>
      <c r="T904" s="6"/>
      <c r="U904" s="5">
        <f>MATCH(B904,Manual_Review!$A$6:$A$238,0)</f>
        <v>57</v>
      </c>
      <c r="V904" s="5" t="str">
        <f>IF(INDEX(Manual_Review!$G$6:$G$238,U904)="","",INDEX(Manual_Review!$G$6:$G$238,U904))</f>
        <v/>
      </c>
      <c r="W904" s="11" t="str">
        <f>IF(INDEX(Manual_Review!$H$6:$H$238,U904)="","",INDEX(Manual_Review!$H$6:$H$238,U904))</f>
        <v/>
      </c>
      <c r="X904" s="5" t="str">
        <f>IF(INDEX(Manual_Review!$I$6:$I$238,U904)="","",INDEX(Manual_Review!$I$6:$I$238,U904))</f>
        <v/>
      </c>
      <c r="Y904" s="5" t="s">
        <v>2859</v>
      </c>
    </row>
    <row r="905" spans="1:25" ht="25.5">
      <c r="A905" s="5" t="s">
        <v>4758</v>
      </c>
      <c r="B905" s="5" t="s">
        <v>737</v>
      </c>
      <c r="C905" s="5" t="s">
        <v>738</v>
      </c>
      <c r="D905" s="5" t="s">
        <v>118</v>
      </c>
      <c r="E905" s="5" t="s">
        <v>2784</v>
      </c>
      <c r="F905" s="5" t="s">
        <v>2756</v>
      </c>
      <c r="G905" s="5">
        <v>1</v>
      </c>
      <c r="H905" s="5" t="s">
        <v>2854</v>
      </c>
      <c r="I905" s="5" t="str">
        <f>IF(INDEX(Manual_Review!$N$6:$N$238,U905)="","",INDEX(Manual_Review!$N$6:$N$238,U905))</f>
        <v/>
      </c>
      <c r="J905" s="5" t="str">
        <f t="shared" si="28"/>
        <v>AI provisional</v>
      </c>
      <c r="K905" s="5" t="str">
        <f t="shared" si="29"/>
        <v>Y</v>
      </c>
      <c r="L905" s="5" t="s">
        <v>747</v>
      </c>
      <c r="M905" s="5" t="s">
        <v>4759</v>
      </c>
      <c r="N905" s="5" t="s">
        <v>4753</v>
      </c>
      <c r="O905" s="5" t="s">
        <v>2963</v>
      </c>
      <c r="P905" s="5" t="s">
        <v>2858</v>
      </c>
      <c r="Q905" s="11">
        <v>46306.5</v>
      </c>
      <c r="R905" s="6"/>
      <c r="S905" s="6"/>
      <c r="T905" s="6"/>
      <c r="U905" s="5">
        <f>MATCH(B905,Manual_Review!$A$6:$A$238,0)</f>
        <v>57</v>
      </c>
      <c r="V905" s="5" t="str">
        <f>IF(INDEX(Manual_Review!$G$6:$G$238,U905)="","",INDEX(Manual_Review!$G$6:$G$238,U905))</f>
        <v/>
      </c>
      <c r="W905" s="11" t="str">
        <f>IF(INDEX(Manual_Review!$H$6:$H$238,U905)="","",INDEX(Manual_Review!$H$6:$H$238,U905))</f>
        <v/>
      </c>
      <c r="X905" s="5" t="str">
        <f>IF(INDEX(Manual_Review!$I$6:$I$238,U905)="","",INDEX(Manual_Review!$I$6:$I$238,U905))</f>
        <v/>
      </c>
      <c r="Y905" s="5" t="s">
        <v>2859</v>
      </c>
    </row>
    <row r="906" spans="1:25" ht="25.5">
      <c r="A906" s="5" t="s">
        <v>4760</v>
      </c>
      <c r="B906" s="5" t="s">
        <v>737</v>
      </c>
      <c r="C906" s="5" t="s">
        <v>738</v>
      </c>
      <c r="D906" s="5" t="s">
        <v>118</v>
      </c>
      <c r="E906" s="5" t="s">
        <v>2785</v>
      </c>
      <c r="F906" s="5" t="s">
        <v>2756</v>
      </c>
      <c r="G906" s="5">
        <v>1</v>
      </c>
      <c r="H906" s="5" t="s">
        <v>2854</v>
      </c>
      <c r="I906" s="5" t="str">
        <f>IF(INDEX(Manual_Review!$O$6:$O$238,U906)="","",INDEX(Manual_Review!$O$6:$O$238,U906))</f>
        <v/>
      </c>
      <c r="J906" s="5" t="str">
        <f t="shared" si="28"/>
        <v>AI provisional</v>
      </c>
      <c r="K906" s="5" t="str">
        <f t="shared" si="29"/>
        <v>Y</v>
      </c>
      <c r="L906" s="5" t="s">
        <v>747</v>
      </c>
      <c r="M906" s="5" t="s">
        <v>4761</v>
      </c>
      <c r="N906" s="5" t="s">
        <v>4753</v>
      </c>
      <c r="O906" s="5" t="s">
        <v>3138</v>
      </c>
      <c r="P906" s="5" t="s">
        <v>2858</v>
      </c>
      <c r="Q906" s="11">
        <v>46306.5</v>
      </c>
      <c r="R906" s="6"/>
      <c r="S906" s="6"/>
      <c r="T906" s="6"/>
      <c r="U906" s="5">
        <f>MATCH(B906,Manual_Review!$A$6:$A$238,0)</f>
        <v>57</v>
      </c>
      <c r="V906" s="5" t="str">
        <f>IF(INDEX(Manual_Review!$G$6:$G$238,U906)="","",INDEX(Manual_Review!$G$6:$G$238,U906))</f>
        <v/>
      </c>
      <c r="W906" s="11" t="str">
        <f>IF(INDEX(Manual_Review!$H$6:$H$238,U906)="","",INDEX(Manual_Review!$H$6:$H$238,U906))</f>
        <v/>
      </c>
      <c r="X906" s="5" t="str">
        <f>IF(INDEX(Manual_Review!$I$6:$I$238,U906)="","",INDEX(Manual_Review!$I$6:$I$238,U906))</f>
        <v/>
      </c>
      <c r="Y906" s="5" t="s">
        <v>2859</v>
      </c>
    </row>
    <row r="907" spans="1:25" ht="25.5">
      <c r="A907" s="5" t="s">
        <v>4762</v>
      </c>
      <c r="B907" s="5" t="s">
        <v>737</v>
      </c>
      <c r="C907" s="5" t="s">
        <v>738</v>
      </c>
      <c r="D907" s="5" t="s">
        <v>118</v>
      </c>
      <c r="E907" s="5" t="s">
        <v>2786</v>
      </c>
      <c r="F907" s="5" t="s">
        <v>2756</v>
      </c>
      <c r="G907" s="5">
        <v>1</v>
      </c>
      <c r="H907" s="5" t="s">
        <v>2864</v>
      </c>
      <c r="I907" s="5" t="str">
        <f>IF(INDEX(Manual_Review!$P$6:$P$238,U907)="","",INDEX(Manual_Review!$P$6:$P$238,U907))</f>
        <v/>
      </c>
      <c r="J907" s="5" t="str">
        <f t="shared" si="28"/>
        <v>AI provisional</v>
      </c>
      <c r="K907" s="5" t="str">
        <f t="shared" si="29"/>
        <v>U</v>
      </c>
      <c r="L907" s="5" t="s">
        <v>747</v>
      </c>
      <c r="M907" s="5" t="s">
        <v>4763</v>
      </c>
      <c r="N907" s="5" t="s">
        <v>4753</v>
      </c>
      <c r="O907" s="5" t="s">
        <v>2874</v>
      </c>
      <c r="P907" s="5" t="s">
        <v>2858</v>
      </c>
      <c r="Q907" s="11">
        <v>46306.5</v>
      </c>
      <c r="R907" s="6"/>
      <c r="S907" s="6"/>
      <c r="T907" s="6"/>
      <c r="U907" s="5">
        <f>MATCH(B907,Manual_Review!$A$6:$A$238,0)</f>
        <v>57</v>
      </c>
      <c r="V907" s="5" t="str">
        <f>IF(INDEX(Manual_Review!$G$6:$G$238,U907)="","",INDEX(Manual_Review!$G$6:$G$238,U907))</f>
        <v/>
      </c>
      <c r="W907" s="11" t="str">
        <f>IF(INDEX(Manual_Review!$H$6:$H$238,U907)="","",INDEX(Manual_Review!$H$6:$H$238,U907))</f>
        <v/>
      </c>
      <c r="X907" s="5" t="str">
        <f>IF(INDEX(Manual_Review!$I$6:$I$238,U907)="","",INDEX(Manual_Review!$I$6:$I$238,U907))</f>
        <v/>
      </c>
      <c r="Y907" s="5" t="s">
        <v>2859</v>
      </c>
    </row>
    <row r="908" spans="1:25" ht="25.5">
      <c r="A908" s="5" t="s">
        <v>4764</v>
      </c>
      <c r="B908" s="5" t="s">
        <v>737</v>
      </c>
      <c r="C908" s="5" t="s">
        <v>738</v>
      </c>
      <c r="D908" s="5" t="s">
        <v>118</v>
      </c>
      <c r="E908" s="5" t="s">
        <v>2787</v>
      </c>
      <c r="F908" s="5" t="s">
        <v>2758</v>
      </c>
      <c r="G908" s="5">
        <v>1</v>
      </c>
      <c r="H908" s="5" t="s">
        <v>2854</v>
      </c>
      <c r="I908" s="5" t="str">
        <f>IF(INDEX(Manual_Review!$Q$6:$Q$238,U908)="","",INDEX(Manual_Review!$Q$6:$Q$238,U908))</f>
        <v/>
      </c>
      <c r="J908" s="5" t="str">
        <f t="shared" si="28"/>
        <v>AI provisional</v>
      </c>
      <c r="K908" s="5" t="str">
        <f t="shared" si="29"/>
        <v>Y</v>
      </c>
      <c r="L908" s="5" t="s">
        <v>747</v>
      </c>
      <c r="M908" s="5" t="s">
        <v>4765</v>
      </c>
      <c r="N908" s="5" t="s">
        <v>4753</v>
      </c>
      <c r="O908" s="5" t="s">
        <v>2969</v>
      </c>
      <c r="P908" s="5" t="s">
        <v>2858</v>
      </c>
      <c r="Q908" s="11">
        <v>46306.5</v>
      </c>
      <c r="R908" s="6"/>
      <c r="S908" s="6"/>
      <c r="T908" s="6"/>
      <c r="U908" s="5">
        <f>MATCH(B908,Manual_Review!$A$6:$A$238,0)</f>
        <v>57</v>
      </c>
      <c r="V908" s="5" t="str">
        <f>IF(INDEX(Manual_Review!$G$6:$G$238,U908)="","",INDEX(Manual_Review!$G$6:$G$238,U908))</f>
        <v/>
      </c>
      <c r="W908" s="11" t="str">
        <f>IF(INDEX(Manual_Review!$H$6:$H$238,U908)="","",INDEX(Manual_Review!$H$6:$H$238,U908))</f>
        <v/>
      </c>
      <c r="X908" s="5" t="str">
        <f>IF(INDEX(Manual_Review!$I$6:$I$238,U908)="","",INDEX(Manual_Review!$I$6:$I$238,U908))</f>
        <v/>
      </c>
      <c r="Y908" s="5" t="s">
        <v>2859</v>
      </c>
    </row>
    <row r="909" spans="1:25" ht="25.5">
      <c r="A909" s="5" t="s">
        <v>4766</v>
      </c>
      <c r="B909" s="5" t="s">
        <v>737</v>
      </c>
      <c r="C909" s="5" t="s">
        <v>738</v>
      </c>
      <c r="D909" s="5" t="s">
        <v>118</v>
      </c>
      <c r="E909" s="5" t="s">
        <v>2788</v>
      </c>
      <c r="F909" s="5" t="s">
        <v>2758</v>
      </c>
      <c r="G909" s="5">
        <v>1</v>
      </c>
      <c r="H909" s="5" t="s">
        <v>2854</v>
      </c>
      <c r="I909" s="5" t="str">
        <f>IF(INDEX(Manual_Review!$R$6:$R$238,U909)="","",INDEX(Manual_Review!$R$6:$R$238,U909))</f>
        <v/>
      </c>
      <c r="J909" s="5" t="str">
        <f t="shared" si="28"/>
        <v>AI provisional</v>
      </c>
      <c r="K909" s="5" t="str">
        <f t="shared" si="29"/>
        <v>Y</v>
      </c>
      <c r="L909" s="5" t="s">
        <v>747</v>
      </c>
      <c r="M909" s="5" t="s">
        <v>4767</v>
      </c>
      <c r="N909" s="5" t="s">
        <v>4753</v>
      </c>
      <c r="O909" s="5" t="s">
        <v>3067</v>
      </c>
      <c r="P909" s="5" t="s">
        <v>2858</v>
      </c>
      <c r="Q909" s="11">
        <v>46306.5</v>
      </c>
      <c r="R909" s="6"/>
      <c r="S909" s="6"/>
      <c r="T909" s="6"/>
      <c r="U909" s="5">
        <f>MATCH(B909,Manual_Review!$A$6:$A$238,0)</f>
        <v>57</v>
      </c>
      <c r="V909" s="5" t="str">
        <f>IF(INDEX(Manual_Review!$G$6:$G$238,U909)="","",INDEX(Manual_Review!$G$6:$G$238,U909))</f>
        <v/>
      </c>
      <c r="W909" s="11" t="str">
        <f>IF(INDEX(Manual_Review!$H$6:$H$238,U909)="","",INDEX(Manual_Review!$H$6:$H$238,U909))</f>
        <v/>
      </c>
      <c r="X909" s="5" t="str">
        <f>IF(INDEX(Manual_Review!$I$6:$I$238,U909)="","",INDEX(Manual_Review!$I$6:$I$238,U909))</f>
        <v/>
      </c>
      <c r="Y909" s="5" t="s">
        <v>2859</v>
      </c>
    </row>
    <row r="910" spans="1:25" ht="25.5">
      <c r="A910" s="5" t="s">
        <v>4768</v>
      </c>
      <c r="B910" s="5" t="s">
        <v>737</v>
      </c>
      <c r="C910" s="5" t="s">
        <v>738</v>
      </c>
      <c r="D910" s="5" t="s">
        <v>118</v>
      </c>
      <c r="E910" s="5" t="s">
        <v>2789</v>
      </c>
      <c r="F910" s="5" t="s">
        <v>2758</v>
      </c>
      <c r="G910" s="5">
        <v>1</v>
      </c>
      <c r="H910" s="5" t="s">
        <v>2864</v>
      </c>
      <c r="I910" s="5" t="str">
        <f>IF(INDEX(Manual_Review!$S$6:$S$238,U910)="","",INDEX(Manual_Review!$S$6:$S$238,U910))</f>
        <v/>
      </c>
      <c r="J910" s="5" t="str">
        <f t="shared" si="28"/>
        <v>AI provisional</v>
      </c>
      <c r="K910" s="5" t="str">
        <f t="shared" si="29"/>
        <v>U</v>
      </c>
      <c r="L910" s="5" t="s">
        <v>747</v>
      </c>
      <c r="M910" s="5" t="s">
        <v>4769</v>
      </c>
      <c r="N910" s="5" t="s">
        <v>4753</v>
      </c>
      <c r="O910" s="5" t="s">
        <v>2883</v>
      </c>
      <c r="P910" s="5" t="s">
        <v>2858</v>
      </c>
      <c r="Q910" s="11">
        <v>46306.5</v>
      </c>
      <c r="R910" s="6"/>
      <c r="S910" s="6"/>
      <c r="T910" s="6"/>
      <c r="U910" s="5">
        <f>MATCH(B910,Manual_Review!$A$6:$A$238,0)</f>
        <v>57</v>
      </c>
      <c r="V910" s="5" t="str">
        <f>IF(INDEX(Manual_Review!$G$6:$G$238,U910)="","",INDEX(Manual_Review!$G$6:$G$238,U910))</f>
        <v/>
      </c>
      <c r="W910" s="11" t="str">
        <f>IF(INDEX(Manual_Review!$H$6:$H$238,U910)="","",INDEX(Manual_Review!$H$6:$H$238,U910))</f>
        <v/>
      </c>
      <c r="X910" s="5" t="str">
        <f>IF(INDEX(Manual_Review!$I$6:$I$238,U910)="","",INDEX(Manual_Review!$I$6:$I$238,U910))</f>
        <v/>
      </c>
      <c r="Y910" s="5" t="s">
        <v>2859</v>
      </c>
    </row>
    <row r="911" spans="1:25" ht="25.5">
      <c r="A911" s="5" t="s">
        <v>4770</v>
      </c>
      <c r="B911" s="5" t="s">
        <v>737</v>
      </c>
      <c r="C911" s="5" t="s">
        <v>738</v>
      </c>
      <c r="D911" s="5" t="s">
        <v>118</v>
      </c>
      <c r="E911" s="5" t="s">
        <v>2790</v>
      </c>
      <c r="F911" s="5" t="s">
        <v>2760</v>
      </c>
      <c r="G911" s="5">
        <v>1</v>
      </c>
      <c r="H911" s="5" t="s">
        <v>2854</v>
      </c>
      <c r="I911" s="5" t="str">
        <f>IF(INDEX(Manual_Review!$T$6:$T$238,U911)="","",INDEX(Manual_Review!$T$6:$T$238,U911))</f>
        <v/>
      </c>
      <c r="J911" s="5" t="str">
        <f t="shared" si="28"/>
        <v>AI provisional</v>
      </c>
      <c r="K911" s="5" t="str">
        <f t="shared" si="29"/>
        <v>Y</v>
      </c>
      <c r="L911" s="5" t="s">
        <v>747</v>
      </c>
      <c r="M911" s="5" t="s">
        <v>4771</v>
      </c>
      <c r="N911" s="5" t="s">
        <v>4753</v>
      </c>
      <c r="O911" s="5" t="s">
        <v>2976</v>
      </c>
      <c r="P911" s="5" t="s">
        <v>2858</v>
      </c>
      <c r="Q911" s="11">
        <v>46306.5</v>
      </c>
      <c r="R911" s="6"/>
      <c r="S911" s="6"/>
      <c r="T911" s="6"/>
      <c r="U911" s="5">
        <f>MATCH(B911,Manual_Review!$A$6:$A$238,0)</f>
        <v>57</v>
      </c>
      <c r="V911" s="5" t="str">
        <f>IF(INDEX(Manual_Review!$G$6:$G$238,U911)="","",INDEX(Manual_Review!$G$6:$G$238,U911))</f>
        <v/>
      </c>
      <c r="W911" s="11" t="str">
        <f>IF(INDEX(Manual_Review!$H$6:$H$238,U911)="","",INDEX(Manual_Review!$H$6:$H$238,U911))</f>
        <v/>
      </c>
      <c r="X911" s="5" t="str">
        <f>IF(INDEX(Manual_Review!$I$6:$I$238,U911)="","",INDEX(Manual_Review!$I$6:$I$238,U911))</f>
        <v/>
      </c>
      <c r="Y911" s="5" t="s">
        <v>2859</v>
      </c>
    </row>
    <row r="912" spans="1:25" ht="25.5">
      <c r="A912" s="5" t="s">
        <v>4772</v>
      </c>
      <c r="B912" s="5" t="s">
        <v>737</v>
      </c>
      <c r="C912" s="5" t="s">
        <v>738</v>
      </c>
      <c r="D912" s="5" t="s">
        <v>118</v>
      </c>
      <c r="E912" s="5" t="s">
        <v>2791</v>
      </c>
      <c r="F912" s="5" t="s">
        <v>2760</v>
      </c>
      <c r="G912" s="5">
        <v>1</v>
      </c>
      <c r="H912" s="5" t="s">
        <v>2854</v>
      </c>
      <c r="I912" s="5" t="str">
        <f>IF(INDEX(Manual_Review!$U$6:$U$238,U912)="","",INDEX(Manual_Review!$U$6:$U$238,U912))</f>
        <v/>
      </c>
      <c r="J912" s="5" t="str">
        <f t="shared" si="28"/>
        <v>AI provisional</v>
      </c>
      <c r="K912" s="5" t="str">
        <f t="shared" si="29"/>
        <v>Y</v>
      </c>
      <c r="L912" s="5" t="s">
        <v>747</v>
      </c>
      <c r="M912" s="5" t="s">
        <v>4773</v>
      </c>
      <c r="N912" s="5" t="s">
        <v>4753</v>
      </c>
      <c r="O912" s="5" t="s">
        <v>3380</v>
      </c>
      <c r="P912" s="5" t="s">
        <v>2858</v>
      </c>
      <c r="Q912" s="11">
        <v>46306.5</v>
      </c>
      <c r="R912" s="6"/>
      <c r="S912" s="6"/>
      <c r="T912" s="6"/>
      <c r="U912" s="5">
        <f>MATCH(B912,Manual_Review!$A$6:$A$238,0)</f>
        <v>57</v>
      </c>
      <c r="V912" s="5" t="str">
        <f>IF(INDEX(Manual_Review!$G$6:$G$238,U912)="","",INDEX(Manual_Review!$G$6:$G$238,U912))</f>
        <v/>
      </c>
      <c r="W912" s="11" t="str">
        <f>IF(INDEX(Manual_Review!$H$6:$H$238,U912)="","",INDEX(Manual_Review!$H$6:$H$238,U912))</f>
        <v/>
      </c>
      <c r="X912" s="5" t="str">
        <f>IF(INDEX(Manual_Review!$I$6:$I$238,U912)="","",INDEX(Manual_Review!$I$6:$I$238,U912))</f>
        <v/>
      </c>
      <c r="Y912" s="5" t="s">
        <v>2859</v>
      </c>
    </row>
    <row r="913" spans="1:25" ht="25.5">
      <c r="A913" s="5" t="s">
        <v>4774</v>
      </c>
      <c r="B913" s="5" t="s">
        <v>737</v>
      </c>
      <c r="C913" s="5" t="s">
        <v>738</v>
      </c>
      <c r="D913" s="5" t="s">
        <v>118</v>
      </c>
      <c r="E913" s="5" t="s">
        <v>2792</v>
      </c>
      <c r="F913" s="5" t="s">
        <v>2762</v>
      </c>
      <c r="G913" s="5">
        <v>1</v>
      </c>
      <c r="H913" s="5" t="s">
        <v>2854</v>
      </c>
      <c r="I913" s="5" t="str">
        <f>IF(INDEX(Manual_Review!$V$6:$V$238,U913)="","",INDEX(Manual_Review!$V$6:$V$238,U913))</f>
        <v/>
      </c>
      <c r="J913" s="5" t="str">
        <f t="shared" si="28"/>
        <v>AI provisional</v>
      </c>
      <c r="K913" s="5" t="str">
        <f t="shared" si="29"/>
        <v>Y</v>
      </c>
      <c r="L913" s="5" t="s">
        <v>747</v>
      </c>
      <c r="M913" s="5" t="s">
        <v>4775</v>
      </c>
      <c r="N913" s="5" t="s">
        <v>4753</v>
      </c>
      <c r="O913" s="5" t="s">
        <v>3152</v>
      </c>
      <c r="P913" s="5" t="s">
        <v>2858</v>
      </c>
      <c r="Q913" s="11">
        <v>46306.5</v>
      </c>
      <c r="R913" s="6"/>
      <c r="S913" s="6"/>
      <c r="T913" s="6"/>
      <c r="U913" s="5">
        <f>MATCH(B913,Manual_Review!$A$6:$A$238,0)</f>
        <v>57</v>
      </c>
      <c r="V913" s="5" t="str">
        <f>IF(INDEX(Manual_Review!$G$6:$G$238,U913)="","",INDEX(Manual_Review!$G$6:$G$238,U913))</f>
        <v/>
      </c>
      <c r="W913" s="11" t="str">
        <f>IF(INDEX(Manual_Review!$H$6:$H$238,U913)="","",INDEX(Manual_Review!$H$6:$H$238,U913))</f>
        <v/>
      </c>
      <c r="X913" s="5" t="str">
        <f>IF(INDEX(Manual_Review!$I$6:$I$238,U913)="","",INDEX(Manual_Review!$I$6:$I$238,U913))</f>
        <v/>
      </c>
      <c r="Y913" s="5" t="s">
        <v>2859</v>
      </c>
    </row>
    <row r="914" spans="1:25" ht="25.5">
      <c r="A914" s="5" t="s">
        <v>4776</v>
      </c>
      <c r="B914" s="5" t="s">
        <v>737</v>
      </c>
      <c r="C914" s="5" t="s">
        <v>738</v>
      </c>
      <c r="D914" s="5" t="s">
        <v>118</v>
      </c>
      <c r="E914" s="5" t="s">
        <v>2793</v>
      </c>
      <c r="F914" s="5" t="s">
        <v>2762</v>
      </c>
      <c r="G914" s="5">
        <v>1</v>
      </c>
      <c r="H914" s="5" t="s">
        <v>2854</v>
      </c>
      <c r="I914" s="5" t="str">
        <f>IF(INDEX(Manual_Review!$W$6:$W$238,U914)="","",INDEX(Manual_Review!$W$6:$W$238,U914))</f>
        <v/>
      </c>
      <c r="J914" s="5" t="str">
        <f t="shared" si="28"/>
        <v>AI provisional</v>
      </c>
      <c r="K914" s="5" t="str">
        <f t="shared" si="29"/>
        <v>Y</v>
      </c>
      <c r="L914" s="5" t="s">
        <v>747</v>
      </c>
      <c r="M914" s="5" t="s">
        <v>4777</v>
      </c>
      <c r="N914" s="5" t="s">
        <v>4753</v>
      </c>
      <c r="O914" s="5" t="s">
        <v>3077</v>
      </c>
      <c r="P914" s="5" t="s">
        <v>2858</v>
      </c>
      <c r="Q914" s="11">
        <v>46306.5</v>
      </c>
      <c r="R914" s="6"/>
      <c r="S914" s="6"/>
      <c r="T914" s="6"/>
      <c r="U914" s="5">
        <f>MATCH(B914,Manual_Review!$A$6:$A$238,0)</f>
        <v>57</v>
      </c>
      <c r="V914" s="5" t="str">
        <f>IF(INDEX(Manual_Review!$G$6:$G$238,U914)="","",INDEX(Manual_Review!$G$6:$G$238,U914))</f>
        <v/>
      </c>
      <c r="W914" s="11" t="str">
        <f>IF(INDEX(Manual_Review!$H$6:$H$238,U914)="","",INDEX(Manual_Review!$H$6:$H$238,U914))</f>
        <v/>
      </c>
      <c r="X914" s="5" t="str">
        <f>IF(INDEX(Manual_Review!$I$6:$I$238,U914)="","",INDEX(Manual_Review!$I$6:$I$238,U914))</f>
        <v/>
      </c>
      <c r="Y914" s="5" t="s">
        <v>2859</v>
      </c>
    </row>
    <row r="915" spans="1:25" ht="25.5">
      <c r="A915" s="5" t="s">
        <v>4778</v>
      </c>
      <c r="B915" s="5" t="s">
        <v>737</v>
      </c>
      <c r="C915" s="5" t="s">
        <v>738</v>
      </c>
      <c r="D915" s="5" t="s">
        <v>118</v>
      </c>
      <c r="E915" s="5" t="s">
        <v>2794</v>
      </c>
      <c r="F915" s="5" t="s">
        <v>2764</v>
      </c>
      <c r="G915" s="5">
        <v>1</v>
      </c>
      <c r="H915" s="5" t="s">
        <v>2854</v>
      </c>
      <c r="I915" s="5" t="str">
        <f>IF(INDEX(Manual_Review!$X$6:$X$238,U915)="","",INDEX(Manual_Review!$X$6:$X$238,U915))</f>
        <v/>
      </c>
      <c r="J915" s="5" t="str">
        <f t="shared" si="28"/>
        <v>AI provisional</v>
      </c>
      <c r="K915" s="5" t="str">
        <f t="shared" si="29"/>
        <v>Y</v>
      </c>
      <c r="L915" s="5" t="s">
        <v>747</v>
      </c>
      <c r="M915" s="5" t="s">
        <v>4779</v>
      </c>
      <c r="N915" s="5" t="s">
        <v>4753</v>
      </c>
      <c r="O915" s="5" t="s">
        <v>2984</v>
      </c>
      <c r="P915" s="5" t="s">
        <v>2858</v>
      </c>
      <c r="Q915" s="11">
        <v>46306.5</v>
      </c>
      <c r="R915" s="6"/>
      <c r="S915" s="6"/>
      <c r="T915" s="6"/>
      <c r="U915" s="5">
        <f>MATCH(B915,Manual_Review!$A$6:$A$238,0)</f>
        <v>57</v>
      </c>
      <c r="V915" s="5" t="str">
        <f>IF(INDEX(Manual_Review!$G$6:$G$238,U915)="","",INDEX(Manual_Review!$G$6:$G$238,U915))</f>
        <v/>
      </c>
      <c r="W915" s="11" t="str">
        <f>IF(INDEX(Manual_Review!$H$6:$H$238,U915)="","",INDEX(Manual_Review!$H$6:$H$238,U915))</f>
        <v/>
      </c>
      <c r="X915" s="5" t="str">
        <f>IF(INDEX(Manual_Review!$I$6:$I$238,U915)="","",INDEX(Manual_Review!$I$6:$I$238,U915))</f>
        <v/>
      </c>
      <c r="Y915" s="5" t="s">
        <v>2859</v>
      </c>
    </row>
    <row r="916" spans="1:25" ht="25.5">
      <c r="A916" s="5" t="s">
        <v>4780</v>
      </c>
      <c r="B916" s="5" t="s">
        <v>737</v>
      </c>
      <c r="C916" s="5" t="s">
        <v>738</v>
      </c>
      <c r="D916" s="5" t="s">
        <v>118</v>
      </c>
      <c r="E916" s="5" t="s">
        <v>2795</v>
      </c>
      <c r="F916" s="5" t="s">
        <v>2764</v>
      </c>
      <c r="G916" s="5">
        <v>1</v>
      </c>
      <c r="H916" s="5" t="s">
        <v>2854</v>
      </c>
      <c r="I916" s="5" t="str">
        <f>IF(INDEX(Manual_Review!$Y$6:$Y$238,U916)="","",INDEX(Manual_Review!$Y$6:$Y$238,U916))</f>
        <v/>
      </c>
      <c r="J916" s="5" t="str">
        <f t="shared" si="28"/>
        <v>AI provisional</v>
      </c>
      <c r="K916" s="5" t="str">
        <f t="shared" si="29"/>
        <v>Y</v>
      </c>
      <c r="L916" s="5" t="s">
        <v>747</v>
      </c>
      <c r="M916" s="5" t="s">
        <v>4781</v>
      </c>
      <c r="N916" s="5" t="s">
        <v>4753</v>
      </c>
      <c r="O916" s="5" t="s">
        <v>3082</v>
      </c>
      <c r="P916" s="5" t="s">
        <v>2858</v>
      </c>
      <c r="Q916" s="11">
        <v>46306.5</v>
      </c>
      <c r="R916" s="6"/>
      <c r="S916" s="6"/>
      <c r="T916" s="6"/>
      <c r="U916" s="5">
        <f>MATCH(B916,Manual_Review!$A$6:$A$238,0)</f>
        <v>57</v>
      </c>
      <c r="V916" s="5" t="str">
        <f>IF(INDEX(Manual_Review!$G$6:$G$238,U916)="","",INDEX(Manual_Review!$G$6:$G$238,U916))</f>
        <v/>
      </c>
      <c r="W916" s="11" t="str">
        <f>IF(INDEX(Manual_Review!$H$6:$H$238,U916)="","",INDEX(Manual_Review!$H$6:$H$238,U916))</f>
        <v/>
      </c>
      <c r="X916" s="5" t="str">
        <f>IF(INDEX(Manual_Review!$I$6:$I$238,U916)="","",INDEX(Manual_Review!$I$6:$I$238,U916))</f>
        <v/>
      </c>
      <c r="Y916" s="5" t="s">
        <v>2859</v>
      </c>
    </row>
    <row r="917" spans="1:25" ht="25.5">
      <c r="A917" s="5" t="s">
        <v>4782</v>
      </c>
      <c r="B917" s="5" t="s">
        <v>737</v>
      </c>
      <c r="C917" s="5" t="s">
        <v>738</v>
      </c>
      <c r="D917" s="5" t="s">
        <v>118</v>
      </c>
      <c r="E917" s="5" t="s">
        <v>2796</v>
      </c>
      <c r="F917" s="5" t="s">
        <v>2764</v>
      </c>
      <c r="G917" s="5">
        <v>1</v>
      </c>
      <c r="H917" s="5" t="s">
        <v>2854</v>
      </c>
      <c r="I917" s="5" t="str">
        <f>IF(INDEX(Manual_Review!$Z$6:$Z$238,U917)="","",INDEX(Manual_Review!$Z$6:$Z$238,U917))</f>
        <v/>
      </c>
      <c r="J917" s="5" t="str">
        <f t="shared" si="28"/>
        <v>AI provisional</v>
      </c>
      <c r="K917" s="5" t="str">
        <f t="shared" si="29"/>
        <v>Y</v>
      </c>
      <c r="L917" s="5" t="s">
        <v>747</v>
      </c>
      <c r="M917" s="5" t="s">
        <v>4783</v>
      </c>
      <c r="N917" s="5" t="s">
        <v>4753</v>
      </c>
      <c r="O917" s="5" t="s">
        <v>3085</v>
      </c>
      <c r="P917" s="5" t="s">
        <v>2858</v>
      </c>
      <c r="Q917" s="11">
        <v>46306.5</v>
      </c>
      <c r="R917" s="6"/>
      <c r="S917" s="6"/>
      <c r="T917" s="6"/>
      <c r="U917" s="5">
        <f>MATCH(B917,Manual_Review!$A$6:$A$238,0)</f>
        <v>57</v>
      </c>
      <c r="V917" s="5" t="str">
        <f>IF(INDEX(Manual_Review!$G$6:$G$238,U917)="","",INDEX(Manual_Review!$G$6:$G$238,U917))</f>
        <v/>
      </c>
      <c r="W917" s="11" t="str">
        <f>IF(INDEX(Manual_Review!$H$6:$H$238,U917)="","",INDEX(Manual_Review!$H$6:$H$238,U917))</f>
        <v/>
      </c>
      <c r="X917" s="5" t="str">
        <f>IF(INDEX(Manual_Review!$I$6:$I$238,U917)="","",INDEX(Manual_Review!$I$6:$I$238,U917))</f>
        <v/>
      </c>
      <c r="Y917" s="5" t="s">
        <v>2859</v>
      </c>
    </row>
    <row r="918" spans="1:25" ht="25.5">
      <c r="A918" s="5" t="s">
        <v>4784</v>
      </c>
      <c r="B918" s="5" t="s">
        <v>749</v>
      </c>
      <c r="C918" s="5" t="s">
        <v>750</v>
      </c>
      <c r="D918" s="5" t="s">
        <v>118</v>
      </c>
      <c r="E918" s="5" t="s">
        <v>2781</v>
      </c>
      <c r="F918" s="5" t="s">
        <v>2754</v>
      </c>
      <c r="G918" s="5">
        <v>1</v>
      </c>
      <c r="H918" s="5" t="s">
        <v>2854</v>
      </c>
      <c r="I918" s="5" t="str">
        <f>IF(INDEX(Manual_Review!$K$6:$K$238,U918)="","",INDEX(Manual_Review!$K$6:$K$238,U918))</f>
        <v/>
      </c>
      <c r="J918" s="5" t="str">
        <f t="shared" si="28"/>
        <v>AI provisional</v>
      </c>
      <c r="K918" s="5" t="str">
        <f t="shared" si="29"/>
        <v>Y</v>
      </c>
      <c r="L918" s="5" t="s">
        <v>757</v>
      </c>
      <c r="M918" s="5" t="s">
        <v>4785</v>
      </c>
      <c r="N918" s="5" t="s">
        <v>4786</v>
      </c>
      <c r="O918" s="5" t="s">
        <v>2857</v>
      </c>
      <c r="P918" s="5" t="s">
        <v>2858</v>
      </c>
      <c r="Q918" s="11">
        <v>46306.5</v>
      </c>
      <c r="R918" s="6"/>
      <c r="S918" s="6"/>
      <c r="T918" s="6"/>
      <c r="U918" s="5">
        <f>MATCH(B918,Manual_Review!$A$6:$A$238,0)</f>
        <v>58</v>
      </c>
      <c r="V918" s="5" t="str">
        <f>IF(INDEX(Manual_Review!$G$6:$G$238,U918)="","",INDEX(Manual_Review!$G$6:$G$238,U918))</f>
        <v/>
      </c>
      <c r="W918" s="11" t="str">
        <f>IF(INDEX(Manual_Review!$H$6:$H$238,U918)="","",INDEX(Manual_Review!$H$6:$H$238,U918))</f>
        <v/>
      </c>
      <c r="X918" s="5" t="str">
        <f>IF(INDEX(Manual_Review!$I$6:$I$238,U918)="","",INDEX(Manual_Review!$I$6:$I$238,U918))</f>
        <v/>
      </c>
      <c r="Y918" s="5" t="s">
        <v>2859</v>
      </c>
    </row>
    <row r="919" spans="1:25" ht="25.5">
      <c r="A919" s="5" t="s">
        <v>4787</v>
      </c>
      <c r="B919" s="5" t="s">
        <v>749</v>
      </c>
      <c r="C919" s="5" t="s">
        <v>750</v>
      </c>
      <c r="D919" s="5" t="s">
        <v>118</v>
      </c>
      <c r="E919" s="5" t="s">
        <v>2782</v>
      </c>
      <c r="F919" s="5" t="s">
        <v>2754</v>
      </c>
      <c r="G919" s="5">
        <v>1</v>
      </c>
      <c r="H919" s="5" t="s">
        <v>2854</v>
      </c>
      <c r="I919" s="5" t="str">
        <f>IF(INDEX(Manual_Review!$L$6:$L$238,U919)="","",INDEX(Manual_Review!$L$6:$L$238,U919))</f>
        <v/>
      </c>
      <c r="J919" s="5" t="str">
        <f t="shared" si="28"/>
        <v>AI provisional</v>
      </c>
      <c r="K919" s="5" t="str">
        <f t="shared" si="29"/>
        <v>Y</v>
      </c>
      <c r="L919" s="5" t="s">
        <v>757</v>
      </c>
      <c r="M919" s="5" t="s">
        <v>4788</v>
      </c>
      <c r="N919" s="5" t="s">
        <v>4786</v>
      </c>
      <c r="O919" s="5" t="s">
        <v>2862</v>
      </c>
      <c r="P919" s="5" t="s">
        <v>2858</v>
      </c>
      <c r="Q919" s="11">
        <v>46306.5</v>
      </c>
      <c r="R919" s="6"/>
      <c r="S919" s="6"/>
      <c r="T919" s="6"/>
      <c r="U919" s="5">
        <f>MATCH(B919,Manual_Review!$A$6:$A$238,0)</f>
        <v>58</v>
      </c>
      <c r="V919" s="5" t="str">
        <f>IF(INDEX(Manual_Review!$G$6:$G$238,U919)="","",INDEX(Manual_Review!$G$6:$G$238,U919))</f>
        <v/>
      </c>
      <c r="W919" s="11" t="str">
        <f>IF(INDEX(Manual_Review!$H$6:$H$238,U919)="","",INDEX(Manual_Review!$H$6:$H$238,U919))</f>
        <v/>
      </c>
      <c r="X919" s="5" t="str">
        <f>IF(INDEX(Manual_Review!$I$6:$I$238,U919)="","",INDEX(Manual_Review!$I$6:$I$238,U919))</f>
        <v/>
      </c>
      <c r="Y919" s="5" t="s">
        <v>2859</v>
      </c>
    </row>
    <row r="920" spans="1:25" ht="25.5">
      <c r="A920" s="5" t="s">
        <v>4789</v>
      </c>
      <c r="B920" s="5" t="s">
        <v>749</v>
      </c>
      <c r="C920" s="5" t="s">
        <v>750</v>
      </c>
      <c r="D920" s="5" t="s">
        <v>118</v>
      </c>
      <c r="E920" s="5" t="s">
        <v>2783</v>
      </c>
      <c r="F920" s="5" t="s">
        <v>2754</v>
      </c>
      <c r="G920" s="5">
        <v>1</v>
      </c>
      <c r="H920" s="5" t="s">
        <v>2854</v>
      </c>
      <c r="I920" s="5" t="str">
        <f>IF(INDEX(Manual_Review!$M$6:$M$238,U920)="","",INDEX(Manual_Review!$M$6:$M$238,U920))</f>
        <v/>
      </c>
      <c r="J920" s="5" t="str">
        <f t="shared" si="28"/>
        <v>AI provisional</v>
      </c>
      <c r="K920" s="5" t="str">
        <f t="shared" si="29"/>
        <v>Y</v>
      </c>
      <c r="L920" s="5" t="s">
        <v>757</v>
      </c>
      <c r="M920" s="5" t="s">
        <v>4790</v>
      </c>
      <c r="N920" s="5" t="s">
        <v>4786</v>
      </c>
      <c r="O920" s="5" t="s">
        <v>3133</v>
      </c>
      <c r="P920" s="5" t="s">
        <v>2858</v>
      </c>
      <c r="Q920" s="11">
        <v>46306.5</v>
      </c>
      <c r="R920" s="6"/>
      <c r="S920" s="6"/>
      <c r="T920" s="6"/>
      <c r="U920" s="5">
        <f>MATCH(B920,Manual_Review!$A$6:$A$238,0)</f>
        <v>58</v>
      </c>
      <c r="V920" s="5" t="str">
        <f>IF(INDEX(Manual_Review!$G$6:$G$238,U920)="","",INDEX(Manual_Review!$G$6:$G$238,U920))</f>
        <v/>
      </c>
      <c r="W920" s="11" t="str">
        <f>IF(INDEX(Manual_Review!$H$6:$H$238,U920)="","",INDEX(Manual_Review!$H$6:$H$238,U920))</f>
        <v/>
      </c>
      <c r="X920" s="5" t="str">
        <f>IF(INDEX(Manual_Review!$I$6:$I$238,U920)="","",INDEX(Manual_Review!$I$6:$I$238,U920))</f>
        <v/>
      </c>
      <c r="Y920" s="5" t="s">
        <v>2859</v>
      </c>
    </row>
    <row r="921" spans="1:25" ht="25.5">
      <c r="A921" s="5" t="s">
        <v>4791</v>
      </c>
      <c r="B921" s="5" t="s">
        <v>749</v>
      </c>
      <c r="C921" s="5" t="s">
        <v>750</v>
      </c>
      <c r="D921" s="5" t="s">
        <v>118</v>
      </c>
      <c r="E921" s="5" t="s">
        <v>2784</v>
      </c>
      <c r="F921" s="5" t="s">
        <v>2756</v>
      </c>
      <c r="G921" s="5">
        <v>1</v>
      </c>
      <c r="H921" s="5" t="s">
        <v>2854</v>
      </c>
      <c r="I921" s="5" t="str">
        <f>IF(INDEX(Manual_Review!$N$6:$N$238,U921)="","",INDEX(Manual_Review!$N$6:$N$238,U921))</f>
        <v/>
      </c>
      <c r="J921" s="5" t="str">
        <f t="shared" si="28"/>
        <v>AI provisional</v>
      </c>
      <c r="K921" s="5" t="str">
        <f t="shared" si="29"/>
        <v>Y</v>
      </c>
      <c r="L921" s="5" t="s">
        <v>757</v>
      </c>
      <c r="M921" s="5" t="s">
        <v>4792</v>
      </c>
      <c r="N921" s="5" t="s">
        <v>4786</v>
      </c>
      <c r="O921" s="5" t="s">
        <v>2963</v>
      </c>
      <c r="P921" s="5" t="s">
        <v>2858</v>
      </c>
      <c r="Q921" s="11">
        <v>46306.5</v>
      </c>
      <c r="R921" s="6"/>
      <c r="S921" s="6"/>
      <c r="T921" s="6"/>
      <c r="U921" s="5">
        <f>MATCH(B921,Manual_Review!$A$6:$A$238,0)</f>
        <v>58</v>
      </c>
      <c r="V921" s="5" t="str">
        <f>IF(INDEX(Manual_Review!$G$6:$G$238,U921)="","",INDEX(Manual_Review!$G$6:$G$238,U921))</f>
        <v/>
      </c>
      <c r="W921" s="11" t="str">
        <f>IF(INDEX(Manual_Review!$H$6:$H$238,U921)="","",INDEX(Manual_Review!$H$6:$H$238,U921))</f>
        <v/>
      </c>
      <c r="X921" s="5" t="str">
        <f>IF(INDEX(Manual_Review!$I$6:$I$238,U921)="","",INDEX(Manual_Review!$I$6:$I$238,U921))</f>
        <v/>
      </c>
      <c r="Y921" s="5" t="s">
        <v>2859</v>
      </c>
    </row>
    <row r="922" spans="1:25" ht="25.5">
      <c r="A922" s="5" t="s">
        <v>4793</v>
      </c>
      <c r="B922" s="5" t="s">
        <v>749</v>
      </c>
      <c r="C922" s="5" t="s">
        <v>750</v>
      </c>
      <c r="D922" s="5" t="s">
        <v>118</v>
      </c>
      <c r="E922" s="5" t="s">
        <v>2785</v>
      </c>
      <c r="F922" s="5" t="s">
        <v>2756</v>
      </c>
      <c r="G922" s="5">
        <v>1</v>
      </c>
      <c r="H922" s="5" t="s">
        <v>2864</v>
      </c>
      <c r="I922" s="5" t="str">
        <f>IF(INDEX(Manual_Review!$O$6:$O$238,U922)="","",INDEX(Manual_Review!$O$6:$O$238,U922))</f>
        <v/>
      </c>
      <c r="J922" s="5" t="str">
        <f t="shared" si="28"/>
        <v>AI provisional</v>
      </c>
      <c r="K922" s="5" t="str">
        <f t="shared" si="29"/>
        <v>U</v>
      </c>
      <c r="L922" s="5" t="s">
        <v>757</v>
      </c>
      <c r="M922" s="5" t="s">
        <v>4794</v>
      </c>
      <c r="N922" s="5" t="s">
        <v>4786</v>
      </c>
      <c r="O922" s="5" t="s">
        <v>2872</v>
      </c>
      <c r="P922" s="5" t="s">
        <v>2858</v>
      </c>
      <c r="Q922" s="11">
        <v>46306.5</v>
      </c>
      <c r="R922" s="6"/>
      <c r="S922" s="6"/>
      <c r="T922" s="6"/>
      <c r="U922" s="5">
        <f>MATCH(B922,Manual_Review!$A$6:$A$238,0)</f>
        <v>58</v>
      </c>
      <c r="V922" s="5" t="str">
        <f>IF(INDEX(Manual_Review!$G$6:$G$238,U922)="","",INDEX(Manual_Review!$G$6:$G$238,U922))</f>
        <v/>
      </c>
      <c r="W922" s="11" t="str">
        <f>IF(INDEX(Manual_Review!$H$6:$H$238,U922)="","",INDEX(Manual_Review!$H$6:$H$238,U922))</f>
        <v/>
      </c>
      <c r="X922" s="5" t="str">
        <f>IF(INDEX(Manual_Review!$I$6:$I$238,U922)="","",INDEX(Manual_Review!$I$6:$I$238,U922))</f>
        <v/>
      </c>
      <c r="Y922" s="5" t="s">
        <v>2859</v>
      </c>
    </row>
    <row r="923" spans="1:25" ht="25.5">
      <c r="A923" s="5" t="s">
        <v>4795</v>
      </c>
      <c r="B923" s="5" t="s">
        <v>749</v>
      </c>
      <c r="C923" s="5" t="s">
        <v>750</v>
      </c>
      <c r="D923" s="5" t="s">
        <v>118</v>
      </c>
      <c r="E923" s="5" t="s">
        <v>2786</v>
      </c>
      <c r="F923" s="5" t="s">
        <v>2756</v>
      </c>
      <c r="G923" s="5">
        <v>1</v>
      </c>
      <c r="H923" s="5" t="s">
        <v>2864</v>
      </c>
      <c r="I923" s="5" t="str">
        <f>IF(INDEX(Manual_Review!$P$6:$P$238,U923)="","",INDEX(Manual_Review!$P$6:$P$238,U923))</f>
        <v/>
      </c>
      <c r="J923" s="5" t="str">
        <f t="shared" si="28"/>
        <v>AI provisional</v>
      </c>
      <c r="K923" s="5" t="str">
        <f t="shared" si="29"/>
        <v>U</v>
      </c>
      <c r="L923" s="5" t="s">
        <v>757</v>
      </c>
      <c r="M923" s="5" t="s">
        <v>4796</v>
      </c>
      <c r="N923" s="5" t="s">
        <v>4786</v>
      </c>
      <c r="O923" s="5" t="s">
        <v>2874</v>
      </c>
      <c r="P923" s="5" t="s">
        <v>2858</v>
      </c>
      <c r="Q923" s="11">
        <v>46306.5</v>
      </c>
      <c r="R923" s="6"/>
      <c r="S923" s="6"/>
      <c r="T923" s="6"/>
      <c r="U923" s="5">
        <f>MATCH(B923,Manual_Review!$A$6:$A$238,0)</f>
        <v>58</v>
      </c>
      <c r="V923" s="5" t="str">
        <f>IF(INDEX(Manual_Review!$G$6:$G$238,U923)="","",INDEX(Manual_Review!$G$6:$G$238,U923))</f>
        <v/>
      </c>
      <c r="W923" s="11" t="str">
        <f>IF(INDEX(Manual_Review!$H$6:$H$238,U923)="","",INDEX(Manual_Review!$H$6:$H$238,U923))</f>
        <v/>
      </c>
      <c r="X923" s="5" t="str">
        <f>IF(INDEX(Manual_Review!$I$6:$I$238,U923)="","",INDEX(Manual_Review!$I$6:$I$238,U923))</f>
        <v/>
      </c>
      <c r="Y923" s="5" t="s">
        <v>2859</v>
      </c>
    </row>
    <row r="924" spans="1:25" ht="25.5">
      <c r="A924" s="5" t="s">
        <v>4797</v>
      </c>
      <c r="B924" s="5" t="s">
        <v>749</v>
      </c>
      <c r="C924" s="5" t="s">
        <v>750</v>
      </c>
      <c r="D924" s="5" t="s">
        <v>118</v>
      </c>
      <c r="E924" s="5" t="s">
        <v>2787</v>
      </c>
      <c r="F924" s="5" t="s">
        <v>2758</v>
      </c>
      <c r="G924" s="5">
        <v>1</v>
      </c>
      <c r="H924" s="5" t="s">
        <v>2864</v>
      </c>
      <c r="I924" s="5" t="str">
        <f>IF(INDEX(Manual_Review!$Q$6:$Q$238,U924)="","",INDEX(Manual_Review!$Q$6:$Q$238,U924))</f>
        <v/>
      </c>
      <c r="J924" s="5" t="str">
        <f t="shared" si="28"/>
        <v>AI provisional</v>
      </c>
      <c r="K924" s="5" t="str">
        <f t="shared" si="29"/>
        <v>U</v>
      </c>
      <c r="L924" s="5" t="s">
        <v>757</v>
      </c>
      <c r="M924" s="5" t="s">
        <v>4798</v>
      </c>
      <c r="N924" s="5" t="s">
        <v>4786</v>
      </c>
      <c r="O924" s="5" t="s">
        <v>2877</v>
      </c>
      <c r="P924" s="5" t="s">
        <v>2858</v>
      </c>
      <c r="Q924" s="11">
        <v>46306.5</v>
      </c>
      <c r="R924" s="6"/>
      <c r="S924" s="6"/>
      <c r="T924" s="6"/>
      <c r="U924" s="5">
        <f>MATCH(B924,Manual_Review!$A$6:$A$238,0)</f>
        <v>58</v>
      </c>
      <c r="V924" s="5" t="str">
        <f>IF(INDEX(Manual_Review!$G$6:$G$238,U924)="","",INDEX(Manual_Review!$G$6:$G$238,U924))</f>
        <v/>
      </c>
      <c r="W924" s="11" t="str">
        <f>IF(INDEX(Manual_Review!$H$6:$H$238,U924)="","",INDEX(Manual_Review!$H$6:$H$238,U924))</f>
        <v/>
      </c>
      <c r="X924" s="5" t="str">
        <f>IF(INDEX(Manual_Review!$I$6:$I$238,U924)="","",INDEX(Manual_Review!$I$6:$I$238,U924))</f>
        <v/>
      </c>
      <c r="Y924" s="5" t="s">
        <v>2859</v>
      </c>
    </row>
    <row r="925" spans="1:25" ht="25.5">
      <c r="A925" s="5" t="s">
        <v>4799</v>
      </c>
      <c r="B925" s="5" t="s">
        <v>749</v>
      </c>
      <c r="C925" s="5" t="s">
        <v>750</v>
      </c>
      <c r="D925" s="5" t="s">
        <v>118</v>
      </c>
      <c r="E925" s="5" t="s">
        <v>2788</v>
      </c>
      <c r="F925" s="5" t="s">
        <v>2758</v>
      </c>
      <c r="G925" s="5">
        <v>1</v>
      </c>
      <c r="H925" s="5" t="s">
        <v>2854</v>
      </c>
      <c r="I925" s="5" t="str">
        <f>IF(INDEX(Manual_Review!$R$6:$R$238,U925)="","",INDEX(Manual_Review!$R$6:$R$238,U925))</f>
        <v/>
      </c>
      <c r="J925" s="5" t="str">
        <f t="shared" si="28"/>
        <v>AI provisional</v>
      </c>
      <c r="K925" s="5" t="str">
        <f t="shared" si="29"/>
        <v>Y</v>
      </c>
      <c r="L925" s="5" t="s">
        <v>757</v>
      </c>
      <c r="M925" s="5" t="s">
        <v>4800</v>
      </c>
      <c r="N925" s="5" t="s">
        <v>4786</v>
      </c>
      <c r="O925" s="5" t="s">
        <v>3067</v>
      </c>
      <c r="P925" s="5" t="s">
        <v>2858</v>
      </c>
      <c r="Q925" s="11">
        <v>46306.5</v>
      </c>
      <c r="R925" s="6"/>
      <c r="S925" s="6"/>
      <c r="T925" s="6"/>
      <c r="U925" s="5">
        <f>MATCH(B925,Manual_Review!$A$6:$A$238,0)</f>
        <v>58</v>
      </c>
      <c r="V925" s="5" t="str">
        <f>IF(INDEX(Manual_Review!$G$6:$G$238,U925)="","",INDEX(Manual_Review!$G$6:$G$238,U925))</f>
        <v/>
      </c>
      <c r="W925" s="11" t="str">
        <f>IF(INDEX(Manual_Review!$H$6:$H$238,U925)="","",INDEX(Manual_Review!$H$6:$H$238,U925))</f>
        <v/>
      </c>
      <c r="X925" s="5" t="str">
        <f>IF(INDEX(Manual_Review!$I$6:$I$238,U925)="","",INDEX(Manual_Review!$I$6:$I$238,U925))</f>
        <v/>
      </c>
      <c r="Y925" s="5" t="s">
        <v>2859</v>
      </c>
    </row>
    <row r="926" spans="1:25" ht="25.5">
      <c r="A926" s="5" t="s">
        <v>4801</v>
      </c>
      <c r="B926" s="5" t="s">
        <v>749</v>
      </c>
      <c r="C926" s="5" t="s">
        <v>750</v>
      </c>
      <c r="D926" s="5" t="s">
        <v>118</v>
      </c>
      <c r="E926" s="5" t="s">
        <v>2789</v>
      </c>
      <c r="F926" s="5" t="s">
        <v>2758</v>
      </c>
      <c r="G926" s="5">
        <v>1</v>
      </c>
      <c r="H926" s="5" t="s">
        <v>2864</v>
      </c>
      <c r="I926" s="5" t="str">
        <f>IF(INDEX(Manual_Review!$S$6:$S$238,U926)="","",INDEX(Manual_Review!$S$6:$S$238,U926))</f>
        <v/>
      </c>
      <c r="J926" s="5" t="str">
        <f t="shared" si="28"/>
        <v>AI provisional</v>
      </c>
      <c r="K926" s="5" t="str">
        <f t="shared" si="29"/>
        <v>U</v>
      </c>
      <c r="L926" s="5" t="s">
        <v>757</v>
      </c>
      <c r="M926" s="5" t="s">
        <v>4802</v>
      </c>
      <c r="N926" s="5" t="s">
        <v>4786</v>
      </c>
      <c r="O926" s="5" t="s">
        <v>2883</v>
      </c>
      <c r="P926" s="5" t="s">
        <v>2858</v>
      </c>
      <c r="Q926" s="11">
        <v>46306.5</v>
      </c>
      <c r="R926" s="6"/>
      <c r="S926" s="6"/>
      <c r="T926" s="6"/>
      <c r="U926" s="5">
        <f>MATCH(B926,Manual_Review!$A$6:$A$238,0)</f>
        <v>58</v>
      </c>
      <c r="V926" s="5" t="str">
        <f>IF(INDEX(Manual_Review!$G$6:$G$238,U926)="","",INDEX(Manual_Review!$G$6:$G$238,U926))</f>
        <v/>
      </c>
      <c r="W926" s="11" t="str">
        <f>IF(INDEX(Manual_Review!$H$6:$H$238,U926)="","",INDEX(Manual_Review!$H$6:$H$238,U926))</f>
        <v/>
      </c>
      <c r="X926" s="5" t="str">
        <f>IF(INDEX(Manual_Review!$I$6:$I$238,U926)="","",INDEX(Manual_Review!$I$6:$I$238,U926))</f>
        <v/>
      </c>
      <c r="Y926" s="5" t="s">
        <v>2859</v>
      </c>
    </row>
    <row r="927" spans="1:25" ht="25.5">
      <c r="A927" s="5" t="s">
        <v>4803</v>
      </c>
      <c r="B927" s="5" t="s">
        <v>749</v>
      </c>
      <c r="C927" s="5" t="s">
        <v>750</v>
      </c>
      <c r="D927" s="5" t="s">
        <v>118</v>
      </c>
      <c r="E927" s="5" t="s">
        <v>2790</v>
      </c>
      <c r="F927" s="5" t="s">
        <v>2760</v>
      </c>
      <c r="G927" s="5">
        <v>1</v>
      </c>
      <c r="H927" s="5" t="s">
        <v>2854</v>
      </c>
      <c r="I927" s="5" t="str">
        <f>IF(INDEX(Manual_Review!$T$6:$T$238,U927)="","",INDEX(Manual_Review!$T$6:$T$238,U927))</f>
        <v/>
      </c>
      <c r="J927" s="5" t="str">
        <f t="shared" si="28"/>
        <v>AI provisional</v>
      </c>
      <c r="K927" s="5" t="str">
        <f t="shared" si="29"/>
        <v>Y</v>
      </c>
      <c r="L927" s="5" t="s">
        <v>757</v>
      </c>
      <c r="M927" s="5" t="s">
        <v>4804</v>
      </c>
      <c r="N927" s="5" t="s">
        <v>4786</v>
      </c>
      <c r="O927" s="5" t="s">
        <v>2976</v>
      </c>
      <c r="P927" s="5" t="s">
        <v>2858</v>
      </c>
      <c r="Q927" s="11">
        <v>46306.5</v>
      </c>
      <c r="R927" s="6"/>
      <c r="S927" s="6"/>
      <c r="T927" s="6"/>
      <c r="U927" s="5">
        <f>MATCH(B927,Manual_Review!$A$6:$A$238,0)</f>
        <v>58</v>
      </c>
      <c r="V927" s="5" t="str">
        <f>IF(INDEX(Manual_Review!$G$6:$G$238,U927)="","",INDEX(Manual_Review!$G$6:$G$238,U927))</f>
        <v/>
      </c>
      <c r="W927" s="11" t="str">
        <f>IF(INDEX(Manual_Review!$H$6:$H$238,U927)="","",INDEX(Manual_Review!$H$6:$H$238,U927))</f>
        <v/>
      </c>
      <c r="X927" s="5" t="str">
        <f>IF(INDEX(Manual_Review!$I$6:$I$238,U927)="","",INDEX(Manual_Review!$I$6:$I$238,U927))</f>
        <v/>
      </c>
      <c r="Y927" s="5" t="s">
        <v>2859</v>
      </c>
    </row>
    <row r="928" spans="1:25" ht="25.5">
      <c r="A928" s="5" t="s">
        <v>4805</v>
      </c>
      <c r="B928" s="5" t="s">
        <v>749</v>
      </c>
      <c r="C928" s="5" t="s">
        <v>750</v>
      </c>
      <c r="D928" s="5" t="s">
        <v>118</v>
      </c>
      <c r="E928" s="5" t="s">
        <v>2791</v>
      </c>
      <c r="F928" s="5" t="s">
        <v>2760</v>
      </c>
      <c r="G928" s="5">
        <v>1</v>
      </c>
      <c r="H928" s="5" t="s">
        <v>2864</v>
      </c>
      <c r="I928" s="5" t="str">
        <f>IF(INDEX(Manual_Review!$U$6:$U$238,U928)="","",INDEX(Manual_Review!$U$6:$U$238,U928))</f>
        <v/>
      </c>
      <c r="J928" s="5" t="str">
        <f t="shared" si="28"/>
        <v>AI provisional</v>
      </c>
      <c r="K928" s="5" t="str">
        <f t="shared" si="29"/>
        <v>U</v>
      </c>
      <c r="L928" s="5" t="s">
        <v>757</v>
      </c>
      <c r="M928" s="5" t="s">
        <v>4806</v>
      </c>
      <c r="N928" s="5" t="s">
        <v>4786</v>
      </c>
      <c r="O928" s="5" t="s">
        <v>2888</v>
      </c>
      <c r="P928" s="5" t="s">
        <v>2858</v>
      </c>
      <c r="Q928" s="11">
        <v>46306.5</v>
      </c>
      <c r="R928" s="6"/>
      <c r="S928" s="6"/>
      <c r="T928" s="6"/>
      <c r="U928" s="5">
        <f>MATCH(B928,Manual_Review!$A$6:$A$238,0)</f>
        <v>58</v>
      </c>
      <c r="V928" s="5" t="str">
        <f>IF(INDEX(Manual_Review!$G$6:$G$238,U928)="","",INDEX(Manual_Review!$G$6:$G$238,U928))</f>
        <v/>
      </c>
      <c r="W928" s="11" t="str">
        <f>IF(INDEX(Manual_Review!$H$6:$H$238,U928)="","",INDEX(Manual_Review!$H$6:$H$238,U928))</f>
        <v/>
      </c>
      <c r="X928" s="5" t="str">
        <f>IF(INDEX(Manual_Review!$I$6:$I$238,U928)="","",INDEX(Manual_Review!$I$6:$I$238,U928))</f>
        <v/>
      </c>
      <c r="Y928" s="5" t="s">
        <v>2859</v>
      </c>
    </row>
    <row r="929" spans="1:25" ht="25.5">
      <c r="A929" s="5" t="s">
        <v>4807</v>
      </c>
      <c r="B929" s="5" t="s">
        <v>749</v>
      </c>
      <c r="C929" s="5" t="s">
        <v>750</v>
      </c>
      <c r="D929" s="5" t="s">
        <v>118</v>
      </c>
      <c r="E929" s="5" t="s">
        <v>2792</v>
      </c>
      <c r="F929" s="5" t="s">
        <v>2762</v>
      </c>
      <c r="G929" s="5">
        <v>1</v>
      </c>
      <c r="H929" s="5" t="s">
        <v>2854</v>
      </c>
      <c r="I929" s="5" t="str">
        <f>IF(INDEX(Manual_Review!$V$6:$V$238,U929)="","",INDEX(Manual_Review!$V$6:$V$238,U929))</f>
        <v/>
      </c>
      <c r="J929" s="5" t="str">
        <f t="shared" si="28"/>
        <v>AI provisional</v>
      </c>
      <c r="K929" s="5" t="str">
        <f t="shared" si="29"/>
        <v>Y</v>
      </c>
      <c r="L929" s="5" t="s">
        <v>757</v>
      </c>
      <c r="M929" s="5" t="s">
        <v>4808</v>
      </c>
      <c r="N929" s="5" t="s">
        <v>4786</v>
      </c>
      <c r="O929" s="5" t="s">
        <v>3152</v>
      </c>
      <c r="P929" s="5" t="s">
        <v>2858</v>
      </c>
      <c r="Q929" s="11">
        <v>46306.5</v>
      </c>
      <c r="R929" s="6"/>
      <c r="S929" s="6"/>
      <c r="T929" s="6"/>
      <c r="U929" s="5">
        <f>MATCH(B929,Manual_Review!$A$6:$A$238,0)</f>
        <v>58</v>
      </c>
      <c r="V929" s="5" t="str">
        <f>IF(INDEX(Manual_Review!$G$6:$G$238,U929)="","",INDEX(Manual_Review!$G$6:$G$238,U929))</f>
        <v/>
      </c>
      <c r="W929" s="11" t="str">
        <f>IF(INDEX(Manual_Review!$H$6:$H$238,U929)="","",INDEX(Manual_Review!$H$6:$H$238,U929))</f>
        <v/>
      </c>
      <c r="X929" s="5" t="str">
        <f>IF(INDEX(Manual_Review!$I$6:$I$238,U929)="","",INDEX(Manual_Review!$I$6:$I$238,U929))</f>
        <v/>
      </c>
      <c r="Y929" s="5" t="s">
        <v>2859</v>
      </c>
    </row>
    <row r="930" spans="1:25" ht="25.5">
      <c r="A930" s="5" t="s">
        <v>4809</v>
      </c>
      <c r="B930" s="5" t="s">
        <v>749</v>
      </c>
      <c r="C930" s="5" t="s">
        <v>750</v>
      </c>
      <c r="D930" s="5" t="s">
        <v>118</v>
      </c>
      <c r="E930" s="5" t="s">
        <v>2793</v>
      </c>
      <c r="F930" s="5" t="s">
        <v>2762</v>
      </c>
      <c r="G930" s="5">
        <v>1</v>
      </c>
      <c r="H930" s="5" t="s">
        <v>2854</v>
      </c>
      <c r="I930" s="5" t="str">
        <f>IF(INDEX(Manual_Review!$W$6:$W$238,U930)="","",INDEX(Manual_Review!$W$6:$W$238,U930))</f>
        <v/>
      </c>
      <c r="J930" s="5" t="str">
        <f t="shared" si="28"/>
        <v>AI provisional</v>
      </c>
      <c r="K930" s="5" t="str">
        <f t="shared" si="29"/>
        <v>Y</v>
      </c>
      <c r="L930" s="5" t="s">
        <v>757</v>
      </c>
      <c r="M930" s="5" t="s">
        <v>4810</v>
      </c>
      <c r="N930" s="5" t="s">
        <v>4786</v>
      </c>
      <c r="O930" s="5" t="s">
        <v>3077</v>
      </c>
      <c r="P930" s="5" t="s">
        <v>2858</v>
      </c>
      <c r="Q930" s="11">
        <v>46306.5</v>
      </c>
      <c r="R930" s="6"/>
      <c r="S930" s="6"/>
      <c r="T930" s="6"/>
      <c r="U930" s="5">
        <f>MATCH(B930,Manual_Review!$A$6:$A$238,0)</f>
        <v>58</v>
      </c>
      <c r="V930" s="5" t="str">
        <f>IF(INDEX(Manual_Review!$G$6:$G$238,U930)="","",INDEX(Manual_Review!$G$6:$G$238,U930))</f>
        <v/>
      </c>
      <c r="W930" s="11" t="str">
        <f>IF(INDEX(Manual_Review!$H$6:$H$238,U930)="","",INDEX(Manual_Review!$H$6:$H$238,U930))</f>
        <v/>
      </c>
      <c r="X930" s="5" t="str">
        <f>IF(INDEX(Manual_Review!$I$6:$I$238,U930)="","",INDEX(Manual_Review!$I$6:$I$238,U930))</f>
        <v/>
      </c>
      <c r="Y930" s="5" t="s">
        <v>2859</v>
      </c>
    </row>
    <row r="931" spans="1:25" ht="25.5">
      <c r="A931" s="5" t="s">
        <v>4811</v>
      </c>
      <c r="B931" s="5" t="s">
        <v>749</v>
      </c>
      <c r="C931" s="5" t="s">
        <v>750</v>
      </c>
      <c r="D931" s="5" t="s">
        <v>118</v>
      </c>
      <c r="E931" s="5" t="s">
        <v>2794</v>
      </c>
      <c r="F931" s="5" t="s">
        <v>2764</v>
      </c>
      <c r="G931" s="5">
        <v>1</v>
      </c>
      <c r="H931" s="5" t="s">
        <v>2854</v>
      </c>
      <c r="I931" s="5" t="str">
        <f>IF(INDEX(Manual_Review!$X$6:$X$238,U931)="","",INDEX(Manual_Review!$X$6:$X$238,U931))</f>
        <v/>
      </c>
      <c r="J931" s="5" t="str">
        <f t="shared" si="28"/>
        <v>AI provisional</v>
      </c>
      <c r="K931" s="5" t="str">
        <f t="shared" si="29"/>
        <v>Y</v>
      </c>
      <c r="L931" s="5" t="s">
        <v>757</v>
      </c>
      <c r="M931" s="5" t="s">
        <v>4812</v>
      </c>
      <c r="N931" s="5" t="s">
        <v>4786</v>
      </c>
      <c r="O931" s="5" t="s">
        <v>2984</v>
      </c>
      <c r="P931" s="5" t="s">
        <v>2858</v>
      </c>
      <c r="Q931" s="11">
        <v>46306.5</v>
      </c>
      <c r="R931" s="6"/>
      <c r="S931" s="6"/>
      <c r="T931" s="6"/>
      <c r="U931" s="5">
        <f>MATCH(B931,Manual_Review!$A$6:$A$238,0)</f>
        <v>58</v>
      </c>
      <c r="V931" s="5" t="str">
        <f>IF(INDEX(Manual_Review!$G$6:$G$238,U931)="","",INDEX(Manual_Review!$G$6:$G$238,U931))</f>
        <v/>
      </c>
      <c r="W931" s="11" t="str">
        <f>IF(INDEX(Manual_Review!$H$6:$H$238,U931)="","",INDEX(Manual_Review!$H$6:$H$238,U931))</f>
        <v/>
      </c>
      <c r="X931" s="5" t="str">
        <f>IF(INDEX(Manual_Review!$I$6:$I$238,U931)="","",INDEX(Manual_Review!$I$6:$I$238,U931))</f>
        <v/>
      </c>
      <c r="Y931" s="5" t="s">
        <v>2859</v>
      </c>
    </row>
    <row r="932" spans="1:25" ht="25.5">
      <c r="A932" s="5" t="s">
        <v>4813</v>
      </c>
      <c r="B932" s="5" t="s">
        <v>749</v>
      </c>
      <c r="C932" s="5" t="s">
        <v>750</v>
      </c>
      <c r="D932" s="5" t="s">
        <v>118</v>
      </c>
      <c r="E932" s="5" t="s">
        <v>2795</v>
      </c>
      <c r="F932" s="5" t="s">
        <v>2764</v>
      </c>
      <c r="G932" s="5">
        <v>1</v>
      </c>
      <c r="H932" s="5" t="s">
        <v>2864</v>
      </c>
      <c r="I932" s="5" t="str">
        <f>IF(INDEX(Manual_Review!$Y$6:$Y$238,U932)="","",INDEX(Manual_Review!$Y$6:$Y$238,U932))</f>
        <v/>
      </c>
      <c r="J932" s="5" t="str">
        <f t="shared" si="28"/>
        <v>AI provisional</v>
      </c>
      <c r="K932" s="5" t="str">
        <f t="shared" si="29"/>
        <v>U</v>
      </c>
      <c r="L932" s="5" t="s">
        <v>757</v>
      </c>
      <c r="M932" s="5" t="s">
        <v>4814</v>
      </c>
      <c r="N932" s="5" t="s">
        <v>4786</v>
      </c>
      <c r="O932" s="5" t="s">
        <v>2897</v>
      </c>
      <c r="P932" s="5" t="s">
        <v>2858</v>
      </c>
      <c r="Q932" s="11">
        <v>46306.5</v>
      </c>
      <c r="R932" s="6"/>
      <c r="S932" s="6"/>
      <c r="T932" s="6"/>
      <c r="U932" s="5">
        <f>MATCH(B932,Manual_Review!$A$6:$A$238,0)</f>
        <v>58</v>
      </c>
      <c r="V932" s="5" t="str">
        <f>IF(INDEX(Manual_Review!$G$6:$G$238,U932)="","",INDEX(Manual_Review!$G$6:$G$238,U932))</f>
        <v/>
      </c>
      <c r="W932" s="11" t="str">
        <f>IF(INDEX(Manual_Review!$H$6:$H$238,U932)="","",INDEX(Manual_Review!$H$6:$H$238,U932))</f>
        <v/>
      </c>
      <c r="X932" s="5" t="str">
        <f>IF(INDEX(Manual_Review!$I$6:$I$238,U932)="","",INDEX(Manual_Review!$I$6:$I$238,U932))</f>
        <v/>
      </c>
      <c r="Y932" s="5" t="s">
        <v>2859</v>
      </c>
    </row>
    <row r="933" spans="1:25" ht="25.5">
      <c r="A933" s="5" t="s">
        <v>4815</v>
      </c>
      <c r="B933" s="5" t="s">
        <v>749</v>
      </c>
      <c r="C933" s="5" t="s">
        <v>750</v>
      </c>
      <c r="D933" s="5" t="s">
        <v>118</v>
      </c>
      <c r="E933" s="5" t="s">
        <v>2796</v>
      </c>
      <c r="F933" s="5" t="s">
        <v>2764</v>
      </c>
      <c r="G933" s="5">
        <v>1</v>
      </c>
      <c r="H933" s="5" t="s">
        <v>2864</v>
      </c>
      <c r="I933" s="5" t="str">
        <f>IF(INDEX(Manual_Review!$Z$6:$Z$238,U933)="","",INDEX(Manual_Review!$Z$6:$Z$238,U933))</f>
        <v/>
      </c>
      <c r="J933" s="5" t="str">
        <f t="shared" si="28"/>
        <v>AI provisional</v>
      </c>
      <c r="K933" s="5" t="str">
        <f t="shared" si="29"/>
        <v>U</v>
      </c>
      <c r="L933" s="5" t="s">
        <v>757</v>
      </c>
      <c r="M933" s="5" t="s">
        <v>4816</v>
      </c>
      <c r="N933" s="5" t="s">
        <v>4786</v>
      </c>
      <c r="O933" s="5" t="s">
        <v>2899</v>
      </c>
      <c r="P933" s="5" t="s">
        <v>2858</v>
      </c>
      <c r="Q933" s="11">
        <v>46306.5</v>
      </c>
      <c r="R933" s="6"/>
      <c r="S933" s="6"/>
      <c r="T933" s="6"/>
      <c r="U933" s="5">
        <f>MATCH(B933,Manual_Review!$A$6:$A$238,0)</f>
        <v>58</v>
      </c>
      <c r="V933" s="5" t="str">
        <f>IF(INDEX(Manual_Review!$G$6:$G$238,U933)="","",INDEX(Manual_Review!$G$6:$G$238,U933))</f>
        <v/>
      </c>
      <c r="W933" s="11" t="str">
        <f>IF(INDEX(Manual_Review!$H$6:$H$238,U933)="","",INDEX(Manual_Review!$H$6:$H$238,U933))</f>
        <v/>
      </c>
      <c r="X933" s="5" t="str">
        <f>IF(INDEX(Manual_Review!$I$6:$I$238,U933)="","",INDEX(Manual_Review!$I$6:$I$238,U933))</f>
        <v/>
      </c>
      <c r="Y933" s="5" t="s">
        <v>2859</v>
      </c>
    </row>
    <row r="934" spans="1:25" ht="25.5">
      <c r="A934" s="5" t="s">
        <v>4817</v>
      </c>
      <c r="B934" s="5" t="s">
        <v>759</v>
      </c>
      <c r="C934" s="5" t="s">
        <v>760</v>
      </c>
      <c r="D934" s="5" t="s">
        <v>118</v>
      </c>
      <c r="E934" s="5" t="s">
        <v>2781</v>
      </c>
      <c r="F934" s="5" t="s">
        <v>2754</v>
      </c>
      <c r="G934" s="5">
        <v>1</v>
      </c>
      <c r="H934" s="5" t="s">
        <v>2854</v>
      </c>
      <c r="I934" s="5" t="str">
        <f>IF(INDEX(Manual_Review!$K$6:$K$238,U934)="","",INDEX(Manual_Review!$K$6:$K$238,U934))</f>
        <v/>
      </c>
      <c r="J934" s="5" t="str">
        <f t="shared" si="28"/>
        <v>AI provisional</v>
      </c>
      <c r="K934" s="5" t="str">
        <f t="shared" si="29"/>
        <v>Y</v>
      </c>
      <c r="L934" s="5" t="s">
        <v>768</v>
      </c>
      <c r="M934" s="5" t="s">
        <v>4818</v>
      </c>
      <c r="N934" s="5" t="s">
        <v>4819</v>
      </c>
      <c r="O934" s="5" t="s">
        <v>2857</v>
      </c>
      <c r="P934" s="5" t="s">
        <v>2858</v>
      </c>
      <c r="Q934" s="11">
        <v>46306.5</v>
      </c>
      <c r="R934" s="6"/>
      <c r="S934" s="6"/>
      <c r="T934" s="6"/>
      <c r="U934" s="5">
        <f>MATCH(B934,Manual_Review!$A$6:$A$238,0)</f>
        <v>59</v>
      </c>
      <c r="V934" s="5" t="str">
        <f>IF(INDEX(Manual_Review!$G$6:$G$238,U934)="","",INDEX(Manual_Review!$G$6:$G$238,U934))</f>
        <v/>
      </c>
      <c r="W934" s="11" t="str">
        <f>IF(INDEX(Manual_Review!$H$6:$H$238,U934)="","",INDEX(Manual_Review!$H$6:$H$238,U934))</f>
        <v/>
      </c>
      <c r="X934" s="5" t="str">
        <f>IF(INDEX(Manual_Review!$I$6:$I$238,U934)="","",INDEX(Manual_Review!$I$6:$I$238,U934))</f>
        <v/>
      </c>
      <c r="Y934" s="5" t="s">
        <v>2859</v>
      </c>
    </row>
    <row r="935" spans="1:25" ht="25.5">
      <c r="A935" s="5" t="s">
        <v>4820</v>
      </c>
      <c r="B935" s="5" t="s">
        <v>759</v>
      </c>
      <c r="C935" s="5" t="s">
        <v>760</v>
      </c>
      <c r="D935" s="5" t="s">
        <v>118</v>
      </c>
      <c r="E935" s="5" t="s">
        <v>2782</v>
      </c>
      <c r="F935" s="5" t="s">
        <v>2754</v>
      </c>
      <c r="G935" s="5">
        <v>1</v>
      </c>
      <c r="H935" s="5" t="s">
        <v>2854</v>
      </c>
      <c r="I935" s="5" t="str">
        <f>IF(INDEX(Manual_Review!$L$6:$L$238,U935)="","",INDEX(Manual_Review!$L$6:$L$238,U935))</f>
        <v/>
      </c>
      <c r="J935" s="5" t="str">
        <f t="shared" si="28"/>
        <v>AI provisional</v>
      </c>
      <c r="K935" s="5" t="str">
        <f t="shared" si="29"/>
        <v>Y</v>
      </c>
      <c r="L935" s="5" t="s">
        <v>768</v>
      </c>
      <c r="M935" s="5" t="s">
        <v>4821</v>
      </c>
      <c r="N935" s="5" t="s">
        <v>4819</v>
      </c>
      <c r="O935" s="5" t="s">
        <v>2862</v>
      </c>
      <c r="P935" s="5" t="s">
        <v>2858</v>
      </c>
      <c r="Q935" s="11">
        <v>46306.5</v>
      </c>
      <c r="R935" s="6"/>
      <c r="S935" s="6"/>
      <c r="T935" s="6"/>
      <c r="U935" s="5">
        <f>MATCH(B935,Manual_Review!$A$6:$A$238,0)</f>
        <v>59</v>
      </c>
      <c r="V935" s="5" t="str">
        <f>IF(INDEX(Manual_Review!$G$6:$G$238,U935)="","",INDEX(Manual_Review!$G$6:$G$238,U935))</f>
        <v/>
      </c>
      <c r="W935" s="11" t="str">
        <f>IF(INDEX(Manual_Review!$H$6:$H$238,U935)="","",INDEX(Manual_Review!$H$6:$H$238,U935))</f>
        <v/>
      </c>
      <c r="X935" s="5" t="str">
        <f>IF(INDEX(Manual_Review!$I$6:$I$238,U935)="","",INDEX(Manual_Review!$I$6:$I$238,U935))</f>
        <v/>
      </c>
      <c r="Y935" s="5" t="s">
        <v>2859</v>
      </c>
    </row>
    <row r="936" spans="1:25" ht="25.5">
      <c r="A936" s="5" t="s">
        <v>4822</v>
      </c>
      <c r="B936" s="5" t="s">
        <v>759</v>
      </c>
      <c r="C936" s="5" t="s">
        <v>760</v>
      </c>
      <c r="D936" s="5" t="s">
        <v>118</v>
      </c>
      <c r="E936" s="5" t="s">
        <v>2783</v>
      </c>
      <c r="F936" s="5" t="s">
        <v>2754</v>
      </c>
      <c r="G936" s="5">
        <v>1</v>
      </c>
      <c r="H936" s="5" t="s">
        <v>2854</v>
      </c>
      <c r="I936" s="5" t="str">
        <f>IF(INDEX(Manual_Review!$M$6:$M$238,U936)="","",INDEX(Manual_Review!$M$6:$M$238,U936))</f>
        <v/>
      </c>
      <c r="J936" s="5" t="str">
        <f t="shared" si="28"/>
        <v>AI provisional</v>
      </c>
      <c r="K936" s="5" t="str">
        <f t="shared" si="29"/>
        <v>Y</v>
      </c>
      <c r="L936" s="5" t="s">
        <v>768</v>
      </c>
      <c r="M936" s="5" t="s">
        <v>4823</v>
      </c>
      <c r="N936" s="5" t="s">
        <v>4819</v>
      </c>
      <c r="O936" s="5" t="s">
        <v>3133</v>
      </c>
      <c r="P936" s="5" t="s">
        <v>2858</v>
      </c>
      <c r="Q936" s="11">
        <v>46306.5</v>
      </c>
      <c r="R936" s="6"/>
      <c r="S936" s="6"/>
      <c r="T936" s="6"/>
      <c r="U936" s="5">
        <f>MATCH(B936,Manual_Review!$A$6:$A$238,0)</f>
        <v>59</v>
      </c>
      <c r="V936" s="5" t="str">
        <f>IF(INDEX(Manual_Review!$G$6:$G$238,U936)="","",INDEX(Manual_Review!$G$6:$G$238,U936))</f>
        <v/>
      </c>
      <c r="W936" s="11" t="str">
        <f>IF(INDEX(Manual_Review!$H$6:$H$238,U936)="","",INDEX(Manual_Review!$H$6:$H$238,U936))</f>
        <v/>
      </c>
      <c r="X936" s="5" t="str">
        <f>IF(INDEX(Manual_Review!$I$6:$I$238,U936)="","",INDEX(Manual_Review!$I$6:$I$238,U936))</f>
        <v/>
      </c>
      <c r="Y936" s="5" t="s">
        <v>2859</v>
      </c>
    </row>
    <row r="937" spans="1:25" ht="25.5">
      <c r="A937" s="5" t="s">
        <v>4824</v>
      </c>
      <c r="B937" s="5" t="s">
        <v>759</v>
      </c>
      <c r="C937" s="5" t="s">
        <v>760</v>
      </c>
      <c r="D937" s="5" t="s">
        <v>118</v>
      </c>
      <c r="E937" s="5" t="s">
        <v>2784</v>
      </c>
      <c r="F937" s="5" t="s">
        <v>2756</v>
      </c>
      <c r="G937" s="5">
        <v>1</v>
      </c>
      <c r="H937" s="5" t="s">
        <v>2854</v>
      </c>
      <c r="I937" s="5" t="str">
        <f>IF(INDEX(Manual_Review!$N$6:$N$238,U937)="","",INDEX(Manual_Review!$N$6:$N$238,U937))</f>
        <v/>
      </c>
      <c r="J937" s="5" t="str">
        <f t="shared" si="28"/>
        <v>AI provisional</v>
      </c>
      <c r="K937" s="5" t="str">
        <f t="shared" si="29"/>
        <v>Y</v>
      </c>
      <c r="L937" s="5" t="s">
        <v>768</v>
      </c>
      <c r="M937" s="5" t="s">
        <v>4825</v>
      </c>
      <c r="N937" s="5" t="s">
        <v>4819</v>
      </c>
      <c r="O937" s="5" t="s">
        <v>2963</v>
      </c>
      <c r="P937" s="5" t="s">
        <v>2858</v>
      </c>
      <c r="Q937" s="11">
        <v>46306.5</v>
      </c>
      <c r="R937" s="6"/>
      <c r="S937" s="6"/>
      <c r="T937" s="6"/>
      <c r="U937" s="5">
        <f>MATCH(B937,Manual_Review!$A$6:$A$238,0)</f>
        <v>59</v>
      </c>
      <c r="V937" s="5" t="str">
        <f>IF(INDEX(Manual_Review!$G$6:$G$238,U937)="","",INDEX(Manual_Review!$G$6:$G$238,U937))</f>
        <v/>
      </c>
      <c r="W937" s="11" t="str">
        <f>IF(INDEX(Manual_Review!$H$6:$H$238,U937)="","",INDEX(Manual_Review!$H$6:$H$238,U937))</f>
        <v/>
      </c>
      <c r="X937" s="5" t="str">
        <f>IF(INDEX(Manual_Review!$I$6:$I$238,U937)="","",INDEX(Manual_Review!$I$6:$I$238,U937))</f>
        <v/>
      </c>
      <c r="Y937" s="5" t="s">
        <v>2859</v>
      </c>
    </row>
    <row r="938" spans="1:25" ht="25.5">
      <c r="A938" s="5" t="s">
        <v>4826</v>
      </c>
      <c r="B938" s="5" t="s">
        <v>759</v>
      </c>
      <c r="C938" s="5" t="s">
        <v>760</v>
      </c>
      <c r="D938" s="5" t="s">
        <v>118</v>
      </c>
      <c r="E938" s="5" t="s">
        <v>2785</v>
      </c>
      <c r="F938" s="5" t="s">
        <v>2756</v>
      </c>
      <c r="G938" s="5">
        <v>1</v>
      </c>
      <c r="H938" s="5" t="s">
        <v>2854</v>
      </c>
      <c r="I938" s="5" t="str">
        <f>IF(INDEX(Manual_Review!$O$6:$O$238,U938)="","",INDEX(Manual_Review!$O$6:$O$238,U938))</f>
        <v/>
      </c>
      <c r="J938" s="5" t="str">
        <f t="shared" si="28"/>
        <v>AI provisional</v>
      </c>
      <c r="K938" s="5" t="str">
        <f t="shared" si="29"/>
        <v>Y</v>
      </c>
      <c r="L938" s="5" t="s">
        <v>768</v>
      </c>
      <c r="M938" s="5" t="s">
        <v>4827</v>
      </c>
      <c r="N938" s="5" t="s">
        <v>4819</v>
      </c>
      <c r="O938" s="5" t="s">
        <v>3138</v>
      </c>
      <c r="P938" s="5" t="s">
        <v>2858</v>
      </c>
      <c r="Q938" s="11">
        <v>46306.5</v>
      </c>
      <c r="R938" s="6"/>
      <c r="S938" s="6"/>
      <c r="T938" s="6"/>
      <c r="U938" s="5">
        <f>MATCH(B938,Manual_Review!$A$6:$A$238,0)</f>
        <v>59</v>
      </c>
      <c r="V938" s="5" t="str">
        <f>IF(INDEX(Manual_Review!$G$6:$G$238,U938)="","",INDEX(Manual_Review!$G$6:$G$238,U938))</f>
        <v/>
      </c>
      <c r="W938" s="11" t="str">
        <f>IF(INDEX(Manual_Review!$H$6:$H$238,U938)="","",INDEX(Manual_Review!$H$6:$H$238,U938))</f>
        <v/>
      </c>
      <c r="X938" s="5" t="str">
        <f>IF(INDEX(Manual_Review!$I$6:$I$238,U938)="","",INDEX(Manual_Review!$I$6:$I$238,U938))</f>
        <v/>
      </c>
      <c r="Y938" s="5" t="s">
        <v>2859</v>
      </c>
    </row>
    <row r="939" spans="1:25" ht="25.5">
      <c r="A939" s="5" t="s">
        <v>4828</v>
      </c>
      <c r="B939" s="5" t="s">
        <v>759</v>
      </c>
      <c r="C939" s="5" t="s">
        <v>760</v>
      </c>
      <c r="D939" s="5" t="s">
        <v>118</v>
      </c>
      <c r="E939" s="5" t="s">
        <v>2786</v>
      </c>
      <c r="F939" s="5" t="s">
        <v>2756</v>
      </c>
      <c r="G939" s="5">
        <v>1</v>
      </c>
      <c r="H939" s="5" t="s">
        <v>2864</v>
      </c>
      <c r="I939" s="5" t="str">
        <f>IF(INDEX(Manual_Review!$P$6:$P$238,U939)="","",INDEX(Manual_Review!$P$6:$P$238,U939))</f>
        <v/>
      </c>
      <c r="J939" s="5" t="str">
        <f t="shared" si="28"/>
        <v>AI provisional</v>
      </c>
      <c r="K939" s="5" t="str">
        <f t="shared" si="29"/>
        <v>U</v>
      </c>
      <c r="L939" s="5" t="s">
        <v>768</v>
      </c>
      <c r="M939" s="5" t="s">
        <v>4829</v>
      </c>
      <c r="N939" s="5" t="s">
        <v>4819</v>
      </c>
      <c r="O939" s="5" t="s">
        <v>2874</v>
      </c>
      <c r="P939" s="5" t="s">
        <v>2858</v>
      </c>
      <c r="Q939" s="11">
        <v>46306.5</v>
      </c>
      <c r="R939" s="6"/>
      <c r="S939" s="6"/>
      <c r="T939" s="6"/>
      <c r="U939" s="5">
        <f>MATCH(B939,Manual_Review!$A$6:$A$238,0)</f>
        <v>59</v>
      </c>
      <c r="V939" s="5" t="str">
        <f>IF(INDEX(Manual_Review!$G$6:$G$238,U939)="","",INDEX(Manual_Review!$G$6:$G$238,U939))</f>
        <v/>
      </c>
      <c r="W939" s="11" t="str">
        <f>IF(INDEX(Manual_Review!$H$6:$H$238,U939)="","",INDEX(Manual_Review!$H$6:$H$238,U939))</f>
        <v/>
      </c>
      <c r="X939" s="5" t="str">
        <f>IF(INDEX(Manual_Review!$I$6:$I$238,U939)="","",INDEX(Manual_Review!$I$6:$I$238,U939))</f>
        <v/>
      </c>
      <c r="Y939" s="5" t="s">
        <v>2859</v>
      </c>
    </row>
    <row r="940" spans="1:25" ht="25.5">
      <c r="A940" s="5" t="s">
        <v>4830</v>
      </c>
      <c r="B940" s="5" t="s">
        <v>759</v>
      </c>
      <c r="C940" s="5" t="s">
        <v>760</v>
      </c>
      <c r="D940" s="5" t="s">
        <v>118</v>
      </c>
      <c r="E940" s="5" t="s">
        <v>2787</v>
      </c>
      <c r="F940" s="5" t="s">
        <v>2758</v>
      </c>
      <c r="G940" s="5">
        <v>1</v>
      </c>
      <c r="H940" s="5" t="s">
        <v>2854</v>
      </c>
      <c r="I940" s="5" t="str">
        <f>IF(INDEX(Manual_Review!$Q$6:$Q$238,U940)="","",INDEX(Manual_Review!$Q$6:$Q$238,U940))</f>
        <v/>
      </c>
      <c r="J940" s="5" t="str">
        <f t="shared" si="28"/>
        <v>AI provisional</v>
      </c>
      <c r="K940" s="5" t="str">
        <f t="shared" si="29"/>
        <v>Y</v>
      </c>
      <c r="L940" s="5" t="s">
        <v>768</v>
      </c>
      <c r="M940" s="5" t="s">
        <v>4831</v>
      </c>
      <c r="N940" s="5" t="s">
        <v>4819</v>
      </c>
      <c r="O940" s="5" t="s">
        <v>2969</v>
      </c>
      <c r="P940" s="5" t="s">
        <v>2858</v>
      </c>
      <c r="Q940" s="11">
        <v>46306.5</v>
      </c>
      <c r="R940" s="6"/>
      <c r="S940" s="6"/>
      <c r="T940" s="6"/>
      <c r="U940" s="5">
        <f>MATCH(B940,Manual_Review!$A$6:$A$238,0)</f>
        <v>59</v>
      </c>
      <c r="V940" s="5" t="str">
        <f>IF(INDEX(Manual_Review!$G$6:$G$238,U940)="","",INDEX(Manual_Review!$G$6:$G$238,U940))</f>
        <v/>
      </c>
      <c r="W940" s="11" t="str">
        <f>IF(INDEX(Manual_Review!$H$6:$H$238,U940)="","",INDEX(Manual_Review!$H$6:$H$238,U940))</f>
        <v/>
      </c>
      <c r="X940" s="5" t="str">
        <f>IF(INDEX(Manual_Review!$I$6:$I$238,U940)="","",INDEX(Manual_Review!$I$6:$I$238,U940))</f>
        <v/>
      </c>
      <c r="Y940" s="5" t="s">
        <v>2859</v>
      </c>
    </row>
    <row r="941" spans="1:25" ht="25.5">
      <c r="A941" s="5" t="s">
        <v>4832</v>
      </c>
      <c r="B941" s="5" t="s">
        <v>759</v>
      </c>
      <c r="C941" s="5" t="s">
        <v>760</v>
      </c>
      <c r="D941" s="5" t="s">
        <v>118</v>
      </c>
      <c r="E941" s="5" t="s">
        <v>2788</v>
      </c>
      <c r="F941" s="5" t="s">
        <v>2758</v>
      </c>
      <c r="G941" s="5">
        <v>1</v>
      </c>
      <c r="H941" s="5" t="s">
        <v>2854</v>
      </c>
      <c r="I941" s="5" t="str">
        <f>IF(INDEX(Manual_Review!$R$6:$R$238,U941)="","",INDEX(Manual_Review!$R$6:$R$238,U941))</f>
        <v/>
      </c>
      <c r="J941" s="5" t="str">
        <f t="shared" si="28"/>
        <v>AI provisional</v>
      </c>
      <c r="K941" s="5" t="str">
        <f t="shared" si="29"/>
        <v>Y</v>
      </c>
      <c r="L941" s="5" t="s">
        <v>768</v>
      </c>
      <c r="M941" s="5" t="s">
        <v>4833</v>
      </c>
      <c r="N941" s="5" t="s">
        <v>4819</v>
      </c>
      <c r="O941" s="5" t="s">
        <v>3067</v>
      </c>
      <c r="P941" s="5" t="s">
        <v>2858</v>
      </c>
      <c r="Q941" s="11">
        <v>46306.5</v>
      </c>
      <c r="R941" s="6"/>
      <c r="S941" s="6"/>
      <c r="T941" s="6"/>
      <c r="U941" s="5">
        <f>MATCH(B941,Manual_Review!$A$6:$A$238,0)</f>
        <v>59</v>
      </c>
      <c r="V941" s="5" t="str">
        <f>IF(INDEX(Manual_Review!$G$6:$G$238,U941)="","",INDEX(Manual_Review!$G$6:$G$238,U941))</f>
        <v/>
      </c>
      <c r="W941" s="11" t="str">
        <f>IF(INDEX(Manual_Review!$H$6:$H$238,U941)="","",INDEX(Manual_Review!$H$6:$H$238,U941))</f>
        <v/>
      </c>
      <c r="X941" s="5" t="str">
        <f>IF(INDEX(Manual_Review!$I$6:$I$238,U941)="","",INDEX(Manual_Review!$I$6:$I$238,U941))</f>
        <v/>
      </c>
      <c r="Y941" s="5" t="s">
        <v>2859</v>
      </c>
    </row>
    <row r="942" spans="1:25" ht="25.5">
      <c r="A942" s="5" t="s">
        <v>4834</v>
      </c>
      <c r="B942" s="5" t="s">
        <v>759</v>
      </c>
      <c r="C942" s="5" t="s">
        <v>760</v>
      </c>
      <c r="D942" s="5" t="s">
        <v>118</v>
      </c>
      <c r="E942" s="5" t="s">
        <v>2789</v>
      </c>
      <c r="F942" s="5" t="s">
        <v>2758</v>
      </c>
      <c r="G942" s="5">
        <v>1</v>
      </c>
      <c r="H942" s="5" t="s">
        <v>2864</v>
      </c>
      <c r="I942" s="5" t="str">
        <f>IF(INDEX(Manual_Review!$S$6:$S$238,U942)="","",INDEX(Manual_Review!$S$6:$S$238,U942))</f>
        <v/>
      </c>
      <c r="J942" s="5" t="str">
        <f t="shared" si="28"/>
        <v>AI provisional</v>
      </c>
      <c r="K942" s="5" t="str">
        <f t="shared" si="29"/>
        <v>U</v>
      </c>
      <c r="L942" s="5" t="s">
        <v>768</v>
      </c>
      <c r="M942" s="5" t="s">
        <v>4835</v>
      </c>
      <c r="N942" s="5" t="s">
        <v>4819</v>
      </c>
      <c r="O942" s="5" t="s">
        <v>2883</v>
      </c>
      <c r="P942" s="5" t="s">
        <v>2858</v>
      </c>
      <c r="Q942" s="11">
        <v>46306.5</v>
      </c>
      <c r="R942" s="6"/>
      <c r="S942" s="6"/>
      <c r="T942" s="6"/>
      <c r="U942" s="5">
        <f>MATCH(B942,Manual_Review!$A$6:$A$238,0)</f>
        <v>59</v>
      </c>
      <c r="V942" s="5" t="str">
        <f>IF(INDEX(Manual_Review!$G$6:$G$238,U942)="","",INDEX(Manual_Review!$G$6:$G$238,U942))</f>
        <v/>
      </c>
      <c r="W942" s="11" t="str">
        <f>IF(INDEX(Manual_Review!$H$6:$H$238,U942)="","",INDEX(Manual_Review!$H$6:$H$238,U942))</f>
        <v/>
      </c>
      <c r="X942" s="5" t="str">
        <f>IF(INDEX(Manual_Review!$I$6:$I$238,U942)="","",INDEX(Manual_Review!$I$6:$I$238,U942))</f>
        <v/>
      </c>
      <c r="Y942" s="5" t="s">
        <v>2859</v>
      </c>
    </row>
    <row r="943" spans="1:25" ht="25.5">
      <c r="A943" s="5" t="s">
        <v>4836</v>
      </c>
      <c r="B943" s="5" t="s">
        <v>759</v>
      </c>
      <c r="C943" s="5" t="s">
        <v>760</v>
      </c>
      <c r="D943" s="5" t="s">
        <v>118</v>
      </c>
      <c r="E943" s="5" t="s">
        <v>2790</v>
      </c>
      <c r="F943" s="5" t="s">
        <v>2760</v>
      </c>
      <c r="G943" s="5">
        <v>1</v>
      </c>
      <c r="H943" s="5" t="s">
        <v>2854</v>
      </c>
      <c r="I943" s="5" t="str">
        <f>IF(INDEX(Manual_Review!$T$6:$T$238,U943)="","",INDEX(Manual_Review!$T$6:$T$238,U943))</f>
        <v/>
      </c>
      <c r="J943" s="5" t="str">
        <f t="shared" si="28"/>
        <v>AI provisional</v>
      </c>
      <c r="K943" s="5" t="str">
        <f t="shared" si="29"/>
        <v>Y</v>
      </c>
      <c r="L943" s="5" t="s">
        <v>768</v>
      </c>
      <c r="M943" s="5" t="s">
        <v>4837</v>
      </c>
      <c r="N943" s="5" t="s">
        <v>4819</v>
      </c>
      <c r="O943" s="5" t="s">
        <v>2976</v>
      </c>
      <c r="P943" s="5" t="s">
        <v>2858</v>
      </c>
      <c r="Q943" s="11">
        <v>46306.5</v>
      </c>
      <c r="R943" s="6"/>
      <c r="S943" s="6"/>
      <c r="T943" s="6"/>
      <c r="U943" s="5">
        <f>MATCH(B943,Manual_Review!$A$6:$A$238,0)</f>
        <v>59</v>
      </c>
      <c r="V943" s="5" t="str">
        <f>IF(INDEX(Manual_Review!$G$6:$G$238,U943)="","",INDEX(Manual_Review!$G$6:$G$238,U943))</f>
        <v/>
      </c>
      <c r="W943" s="11" t="str">
        <f>IF(INDEX(Manual_Review!$H$6:$H$238,U943)="","",INDEX(Manual_Review!$H$6:$H$238,U943))</f>
        <v/>
      </c>
      <c r="X943" s="5" t="str">
        <f>IF(INDEX(Manual_Review!$I$6:$I$238,U943)="","",INDEX(Manual_Review!$I$6:$I$238,U943))</f>
        <v/>
      </c>
      <c r="Y943" s="5" t="s">
        <v>2859</v>
      </c>
    </row>
    <row r="944" spans="1:25" ht="25.5">
      <c r="A944" s="5" t="s">
        <v>4838</v>
      </c>
      <c r="B944" s="5" t="s">
        <v>759</v>
      </c>
      <c r="C944" s="5" t="s">
        <v>760</v>
      </c>
      <c r="D944" s="5" t="s">
        <v>118</v>
      </c>
      <c r="E944" s="5" t="s">
        <v>2791</v>
      </c>
      <c r="F944" s="5" t="s">
        <v>2760</v>
      </c>
      <c r="G944" s="5">
        <v>1</v>
      </c>
      <c r="H944" s="5" t="s">
        <v>2854</v>
      </c>
      <c r="I944" s="5" t="str">
        <f>IF(INDEX(Manual_Review!$U$6:$U$238,U944)="","",INDEX(Manual_Review!$U$6:$U$238,U944))</f>
        <v/>
      </c>
      <c r="J944" s="5" t="str">
        <f t="shared" si="28"/>
        <v>AI provisional</v>
      </c>
      <c r="K944" s="5" t="str">
        <f t="shared" si="29"/>
        <v>Y</v>
      </c>
      <c r="L944" s="5" t="s">
        <v>768</v>
      </c>
      <c r="M944" s="5" t="s">
        <v>4839</v>
      </c>
      <c r="N944" s="5" t="s">
        <v>4819</v>
      </c>
      <c r="O944" s="5" t="s">
        <v>3380</v>
      </c>
      <c r="P944" s="5" t="s">
        <v>2858</v>
      </c>
      <c r="Q944" s="11">
        <v>46306.5</v>
      </c>
      <c r="R944" s="6"/>
      <c r="S944" s="6"/>
      <c r="T944" s="6"/>
      <c r="U944" s="5">
        <f>MATCH(B944,Manual_Review!$A$6:$A$238,0)</f>
        <v>59</v>
      </c>
      <c r="V944" s="5" t="str">
        <f>IF(INDEX(Manual_Review!$G$6:$G$238,U944)="","",INDEX(Manual_Review!$G$6:$G$238,U944))</f>
        <v/>
      </c>
      <c r="W944" s="11" t="str">
        <f>IF(INDEX(Manual_Review!$H$6:$H$238,U944)="","",INDEX(Manual_Review!$H$6:$H$238,U944))</f>
        <v/>
      </c>
      <c r="X944" s="5" t="str">
        <f>IF(INDEX(Manual_Review!$I$6:$I$238,U944)="","",INDEX(Manual_Review!$I$6:$I$238,U944))</f>
        <v/>
      </c>
      <c r="Y944" s="5" t="s">
        <v>2859</v>
      </c>
    </row>
    <row r="945" spans="1:25" ht="25.5">
      <c r="A945" s="5" t="s">
        <v>4840</v>
      </c>
      <c r="B945" s="5" t="s">
        <v>759</v>
      </c>
      <c r="C945" s="5" t="s">
        <v>760</v>
      </c>
      <c r="D945" s="5" t="s">
        <v>118</v>
      </c>
      <c r="E945" s="5" t="s">
        <v>2792</v>
      </c>
      <c r="F945" s="5" t="s">
        <v>2762</v>
      </c>
      <c r="G945" s="5">
        <v>1</v>
      </c>
      <c r="H945" s="5" t="s">
        <v>2854</v>
      </c>
      <c r="I945" s="5" t="str">
        <f>IF(INDEX(Manual_Review!$V$6:$V$238,U945)="","",INDEX(Manual_Review!$V$6:$V$238,U945))</f>
        <v/>
      </c>
      <c r="J945" s="5" t="str">
        <f t="shared" si="28"/>
        <v>AI provisional</v>
      </c>
      <c r="K945" s="5" t="str">
        <f t="shared" si="29"/>
        <v>Y</v>
      </c>
      <c r="L945" s="5" t="s">
        <v>768</v>
      </c>
      <c r="M945" s="5" t="s">
        <v>4841</v>
      </c>
      <c r="N945" s="5" t="s">
        <v>4819</v>
      </c>
      <c r="O945" s="5" t="s">
        <v>3152</v>
      </c>
      <c r="P945" s="5" t="s">
        <v>2858</v>
      </c>
      <c r="Q945" s="11">
        <v>46306.5</v>
      </c>
      <c r="R945" s="6"/>
      <c r="S945" s="6"/>
      <c r="T945" s="6"/>
      <c r="U945" s="5">
        <f>MATCH(B945,Manual_Review!$A$6:$A$238,0)</f>
        <v>59</v>
      </c>
      <c r="V945" s="5" t="str">
        <f>IF(INDEX(Manual_Review!$G$6:$G$238,U945)="","",INDEX(Manual_Review!$G$6:$G$238,U945))</f>
        <v/>
      </c>
      <c r="W945" s="11" t="str">
        <f>IF(INDEX(Manual_Review!$H$6:$H$238,U945)="","",INDEX(Manual_Review!$H$6:$H$238,U945))</f>
        <v/>
      </c>
      <c r="X945" s="5" t="str">
        <f>IF(INDEX(Manual_Review!$I$6:$I$238,U945)="","",INDEX(Manual_Review!$I$6:$I$238,U945))</f>
        <v/>
      </c>
      <c r="Y945" s="5" t="s">
        <v>2859</v>
      </c>
    </row>
    <row r="946" spans="1:25" ht="25.5">
      <c r="A946" s="5" t="s">
        <v>4842</v>
      </c>
      <c r="B946" s="5" t="s">
        <v>759</v>
      </c>
      <c r="C946" s="5" t="s">
        <v>760</v>
      </c>
      <c r="D946" s="5" t="s">
        <v>118</v>
      </c>
      <c r="E946" s="5" t="s">
        <v>2793</v>
      </c>
      <c r="F946" s="5" t="s">
        <v>2762</v>
      </c>
      <c r="G946" s="5">
        <v>1</v>
      </c>
      <c r="H946" s="5" t="s">
        <v>2854</v>
      </c>
      <c r="I946" s="5" t="str">
        <f>IF(INDEX(Manual_Review!$W$6:$W$238,U946)="","",INDEX(Manual_Review!$W$6:$W$238,U946))</f>
        <v/>
      </c>
      <c r="J946" s="5" t="str">
        <f t="shared" si="28"/>
        <v>AI provisional</v>
      </c>
      <c r="K946" s="5" t="str">
        <f t="shared" si="29"/>
        <v>Y</v>
      </c>
      <c r="L946" s="5" t="s">
        <v>768</v>
      </c>
      <c r="M946" s="5" t="s">
        <v>4843</v>
      </c>
      <c r="N946" s="5" t="s">
        <v>4819</v>
      </c>
      <c r="O946" s="5" t="s">
        <v>3077</v>
      </c>
      <c r="P946" s="5" t="s">
        <v>2858</v>
      </c>
      <c r="Q946" s="11">
        <v>46306.5</v>
      </c>
      <c r="R946" s="6"/>
      <c r="S946" s="6"/>
      <c r="T946" s="6"/>
      <c r="U946" s="5">
        <f>MATCH(B946,Manual_Review!$A$6:$A$238,0)</f>
        <v>59</v>
      </c>
      <c r="V946" s="5" t="str">
        <f>IF(INDEX(Manual_Review!$G$6:$G$238,U946)="","",INDEX(Manual_Review!$G$6:$G$238,U946))</f>
        <v/>
      </c>
      <c r="W946" s="11" t="str">
        <f>IF(INDEX(Manual_Review!$H$6:$H$238,U946)="","",INDEX(Manual_Review!$H$6:$H$238,U946))</f>
        <v/>
      </c>
      <c r="X946" s="5" t="str">
        <f>IF(INDEX(Manual_Review!$I$6:$I$238,U946)="","",INDEX(Manual_Review!$I$6:$I$238,U946))</f>
        <v/>
      </c>
      <c r="Y946" s="5" t="s">
        <v>2859</v>
      </c>
    </row>
    <row r="947" spans="1:25" ht="25.5">
      <c r="A947" s="5" t="s">
        <v>4844</v>
      </c>
      <c r="B947" s="5" t="s">
        <v>759</v>
      </c>
      <c r="C947" s="5" t="s">
        <v>760</v>
      </c>
      <c r="D947" s="5" t="s">
        <v>118</v>
      </c>
      <c r="E947" s="5" t="s">
        <v>2794</v>
      </c>
      <c r="F947" s="5" t="s">
        <v>2764</v>
      </c>
      <c r="G947" s="5">
        <v>1</v>
      </c>
      <c r="H947" s="5" t="s">
        <v>2854</v>
      </c>
      <c r="I947" s="5" t="str">
        <f>IF(INDEX(Manual_Review!$X$6:$X$238,U947)="","",INDEX(Manual_Review!$X$6:$X$238,U947))</f>
        <v/>
      </c>
      <c r="J947" s="5" t="str">
        <f t="shared" si="28"/>
        <v>AI provisional</v>
      </c>
      <c r="K947" s="5" t="str">
        <f t="shared" si="29"/>
        <v>Y</v>
      </c>
      <c r="L947" s="5" t="s">
        <v>768</v>
      </c>
      <c r="M947" s="5" t="s">
        <v>4845</v>
      </c>
      <c r="N947" s="5" t="s">
        <v>4819</v>
      </c>
      <c r="O947" s="5" t="s">
        <v>2984</v>
      </c>
      <c r="P947" s="5" t="s">
        <v>2858</v>
      </c>
      <c r="Q947" s="11">
        <v>46306.5</v>
      </c>
      <c r="R947" s="6"/>
      <c r="S947" s="6"/>
      <c r="T947" s="6"/>
      <c r="U947" s="5">
        <f>MATCH(B947,Manual_Review!$A$6:$A$238,0)</f>
        <v>59</v>
      </c>
      <c r="V947" s="5" t="str">
        <f>IF(INDEX(Manual_Review!$G$6:$G$238,U947)="","",INDEX(Manual_Review!$G$6:$G$238,U947))</f>
        <v/>
      </c>
      <c r="W947" s="11" t="str">
        <f>IF(INDEX(Manual_Review!$H$6:$H$238,U947)="","",INDEX(Manual_Review!$H$6:$H$238,U947))</f>
        <v/>
      </c>
      <c r="X947" s="5" t="str">
        <f>IF(INDEX(Manual_Review!$I$6:$I$238,U947)="","",INDEX(Manual_Review!$I$6:$I$238,U947))</f>
        <v/>
      </c>
      <c r="Y947" s="5" t="s">
        <v>2859</v>
      </c>
    </row>
    <row r="948" spans="1:25" ht="25.5">
      <c r="A948" s="5" t="s">
        <v>4846</v>
      </c>
      <c r="B948" s="5" t="s">
        <v>759</v>
      </c>
      <c r="C948" s="5" t="s">
        <v>760</v>
      </c>
      <c r="D948" s="5" t="s">
        <v>118</v>
      </c>
      <c r="E948" s="5" t="s">
        <v>2795</v>
      </c>
      <c r="F948" s="5" t="s">
        <v>2764</v>
      </c>
      <c r="G948" s="5">
        <v>1</v>
      </c>
      <c r="H948" s="5" t="s">
        <v>2864</v>
      </c>
      <c r="I948" s="5" t="str">
        <f>IF(INDEX(Manual_Review!$Y$6:$Y$238,U948)="","",INDEX(Manual_Review!$Y$6:$Y$238,U948))</f>
        <v/>
      </c>
      <c r="J948" s="5" t="str">
        <f t="shared" si="28"/>
        <v>AI provisional</v>
      </c>
      <c r="K948" s="5" t="str">
        <f t="shared" si="29"/>
        <v>U</v>
      </c>
      <c r="L948" s="5" t="s">
        <v>768</v>
      </c>
      <c r="M948" s="5" t="s">
        <v>4847</v>
      </c>
      <c r="N948" s="5" t="s">
        <v>4819</v>
      </c>
      <c r="O948" s="5" t="s">
        <v>2897</v>
      </c>
      <c r="P948" s="5" t="s">
        <v>2858</v>
      </c>
      <c r="Q948" s="11">
        <v>46306.5</v>
      </c>
      <c r="R948" s="6"/>
      <c r="S948" s="6"/>
      <c r="T948" s="6"/>
      <c r="U948" s="5">
        <f>MATCH(B948,Manual_Review!$A$6:$A$238,0)</f>
        <v>59</v>
      </c>
      <c r="V948" s="5" t="str">
        <f>IF(INDEX(Manual_Review!$G$6:$G$238,U948)="","",INDEX(Manual_Review!$G$6:$G$238,U948))</f>
        <v/>
      </c>
      <c r="W948" s="11" t="str">
        <f>IF(INDEX(Manual_Review!$H$6:$H$238,U948)="","",INDEX(Manual_Review!$H$6:$H$238,U948))</f>
        <v/>
      </c>
      <c r="X948" s="5" t="str">
        <f>IF(INDEX(Manual_Review!$I$6:$I$238,U948)="","",INDEX(Manual_Review!$I$6:$I$238,U948))</f>
        <v/>
      </c>
      <c r="Y948" s="5" t="s">
        <v>2859</v>
      </c>
    </row>
    <row r="949" spans="1:25" ht="25.5">
      <c r="A949" s="5" t="s">
        <v>4848</v>
      </c>
      <c r="B949" s="5" t="s">
        <v>759</v>
      </c>
      <c r="C949" s="5" t="s">
        <v>760</v>
      </c>
      <c r="D949" s="5" t="s">
        <v>118</v>
      </c>
      <c r="E949" s="5" t="s">
        <v>2796</v>
      </c>
      <c r="F949" s="5" t="s">
        <v>2764</v>
      </c>
      <c r="G949" s="5">
        <v>1</v>
      </c>
      <c r="H949" s="5" t="s">
        <v>2854</v>
      </c>
      <c r="I949" s="5" t="str">
        <f>IF(INDEX(Manual_Review!$Z$6:$Z$238,U949)="","",INDEX(Manual_Review!$Z$6:$Z$238,U949))</f>
        <v/>
      </c>
      <c r="J949" s="5" t="str">
        <f t="shared" si="28"/>
        <v>AI provisional</v>
      </c>
      <c r="K949" s="5" t="str">
        <f t="shared" si="29"/>
        <v>Y</v>
      </c>
      <c r="L949" s="5" t="s">
        <v>768</v>
      </c>
      <c r="M949" s="5" t="s">
        <v>4849</v>
      </c>
      <c r="N949" s="5" t="s">
        <v>4819</v>
      </c>
      <c r="O949" s="5" t="s">
        <v>3085</v>
      </c>
      <c r="P949" s="5" t="s">
        <v>2858</v>
      </c>
      <c r="Q949" s="11">
        <v>46306.5</v>
      </c>
      <c r="R949" s="6"/>
      <c r="S949" s="6"/>
      <c r="T949" s="6"/>
      <c r="U949" s="5">
        <f>MATCH(B949,Manual_Review!$A$6:$A$238,0)</f>
        <v>59</v>
      </c>
      <c r="V949" s="5" t="str">
        <f>IF(INDEX(Manual_Review!$G$6:$G$238,U949)="","",INDEX(Manual_Review!$G$6:$G$238,U949))</f>
        <v/>
      </c>
      <c r="W949" s="11" t="str">
        <f>IF(INDEX(Manual_Review!$H$6:$H$238,U949)="","",INDEX(Manual_Review!$H$6:$H$238,U949))</f>
        <v/>
      </c>
      <c r="X949" s="5" t="str">
        <f>IF(INDEX(Manual_Review!$I$6:$I$238,U949)="","",INDEX(Manual_Review!$I$6:$I$238,U949))</f>
        <v/>
      </c>
      <c r="Y949" s="5" t="s">
        <v>2859</v>
      </c>
    </row>
    <row r="950" spans="1:25" ht="25.5">
      <c r="A950" s="5" t="s">
        <v>4850</v>
      </c>
      <c r="B950" s="5" t="s">
        <v>770</v>
      </c>
      <c r="C950" s="5" t="s">
        <v>771</v>
      </c>
      <c r="D950" s="5" t="s">
        <v>118</v>
      </c>
      <c r="E950" s="5" t="s">
        <v>2781</v>
      </c>
      <c r="F950" s="5" t="s">
        <v>2754</v>
      </c>
      <c r="G950" s="5">
        <v>1</v>
      </c>
      <c r="H950" s="5" t="s">
        <v>2854</v>
      </c>
      <c r="I950" s="5" t="str">
        <f>IF(INDEX(Manual_Review!$K$6:$K$238,U950)="","",INDEX(Manual_Review!$K$6:$K$238,U950))</f>
        <v/>
      </c>
      <c r="J950" s="5" t="str">
        <f t="shared" si="28"/>
        <v>AI provisional</v>
      </c>
      <c r="K950" s="5" t="str">
        <f t="shared" si="29"/>
        <v>Y</v>
      </c>
      <c r="L950" s="5" t="s">
        <v>775</v>
      </c>
      <c r="M950" s="5" t="s">
        <v>4851</v>
      </c>
      <c r="N950" s="5" t="s">
        <v>4852</v>
      </c>
      <c r="O950" s="5" t="s">
        <v>2857</v>
      </c>
      <c r="P950" s="5" t="s">
        <v>2858</v>
      </c>
      <c r="Q950" s="11">
        <v>46306.5</v>
      </c>
      <c r="R950" s="6"/>
      <c r="S950" s="6"/>
      <c r="T950" s="6"/>
      <c r="U950" s="5">
        <f>MATCH(B950,Manual_Review!$A$6:$A$238,0)</f>
        <v>60</v>
      </c>
      <c r="V950" s="5" t="str">
        <f>IF(INDEX(Manual_Review!$G$6:$G$238,U950)="","",INDEX(Manual_Review!$G$6:$G$238,U950))</f>
        <v/>
      </c>
      <c r="W950" s="11" t="str">
        <f>IF(INDEX(Manual_Review!$H$6:$H$238,U950)="","",INDEX(Manual_Review!$H$6:$H$238,U950))</f>
        <v/>
      </c>
      <c r="X950" s="5" t="str">
        <f>IF(INDEX(Manual_Review!$I$6:$I$238,U950)="","",INDEX(Manual_Review!$I$6:$I$238,U950))</f>
        <v/>
      </c>
      <c r="Y950" s="5" t="s">
        <v>2859</v>
      </c>
    </row>
    <row r="951" spans="1:25" ht="25.5">
      <c r="A951" s="5" t="s">
        <v>4853</v>
      </c>
      <c r="B951" s="5" t="s">
        <v>770</v>
      </c>
      <c r="C951" s="5" t="s">
        <v>771</v>
      </c>
      <c r="D951" s="5" t="s">
        <v>118</v>
      </c>
      <c r="E951" s="5" t="s">
        <v>2782</v>
      </c>
      <c r="F951" s="5" t="s">
        <v>2754</v>
      </c>
      <c r="G951" s="5">
        <v>1</v>
      </c>
      <c r="H951" s="5" t="s">
        <v>2854</v>
      </c>
      <c r="I951" s="5" t="str">
        <f>IF(INDEX(Manual_Review!$L$6:$L$238,U951)="","",INDEX(Manual_Review!$L$6:$L$238,U951))</f>
        <v/>
      </c>
      <c r="J951" s="5" t="str">
        <f t="shared" si="28"/>
        <v>AI provisional</v>
      </c>
      <c r="K951" s="5" t="str">
        <f t="shared" si="29"/>
        <v>Y</v>
      </c>
      <c r="L951" s="5" t="s">
        <v>775</v>
      </c>
      <c r="M951" s="5" t="s">
        <v>4854</v>
      </c>
      <c r="N951" s="5" t="s">
        <v>4852</v>
      </c>
      <c r="O951" s="5" t="s">
        <v>2862</v>
      </c>
      <c r="P951" s="5" t="s">
        <v>2858</v>
      </c>
      <c r="Q951" s="11">
        <v>46306.5</v>
      </c>
      <c r="R951" s="6"/>
      <c r="S951" s="6"/>
      <c r="T951" s="6"/>
      <c r="U951" s="5">
        <f>MATCH(B951,Manual_Review!$A$6:$A$238,0)</f>
        <v>60</v>
      </c>
      <c r="V951" s="5" t="str">
        <f>IF(INDEX(Manual_Review!$G$6:$G$238,U951)="","",INDEX(Manual_Review!$G$6:$G$238,U951))</f>
        <v/>
      </c>
      <c r="W951" s="11" t="str">
        <f>IF(INDEX(Manual_Review!$H$6:$H$238,U951)="","",INDEX(Manual_Review!$H$6:$H$238,U951))</f>
        <v/>
      </c>
      <c r="X951" s="5" t="str">
        <f>IF(INDEX(Manual_Review!$I$6:$I$238,U951)="","",INDEX(Manual_Review!$I$6:$I$238,U951))</f>
        <v/>
      </c>
      <c r="Y951" s="5" t="s">
        <v>2859</v>
      </c>
    </row>
    <row r="952" spans="1:25" ht="25.5">
      <c r="A952" s="5" t="s">
        <v>4855</v>
      </c>
      <c r="B952" s="5" t="s">
        <v>770</v>
      </c>
      <c r="C952" s="5" t="s">
        <v>771</v>
      </c>
      <c r="D952" s="5" t="s">
        <v>118</v>
      </c>
      <c r="E952" s="5" t="s">
        <v>2783</v>
      </c>
      <c r="F952" s="5" t="s">
        <v>2754</v>
      </c>
      <c r="G952" s="5">
        <v>1</v>
      </c>
      <c r="H952" s="5" t="s">
        <v>2854</v>
      </c>
      <c r="I952" s="5" t="str">
        <f>IF(INDEX(Manual_Review!$M$6:$M$238,U952)="","",INDEX(Manual_Review!$M$6:$M$238,U952))</f>
        <v/>
      </c>
      <c r="J952" s="5" t="str">
        <f t="shared" si="28"/>
        <v>AI provisional</v>
      </c>
      <c r="K952" s="5" t="str">
        <f t="shared" si="29"/>
        <v>Y</v>
      </c>
      <c r="L952" s="5" t="s">
        <v>775</v>
      </c>
      <c r="M952" s="5" t="s">
        <v>4856</v>
      </c>
      <c r="N952" s="5" t="s">
        <v>4852</v>
      </c>
      <c r="O952" s="5" t="s">
        <v>3133</v>
      </c>
      <c r="P952" s="5" t="s">
        <v>2858</v>
      </c>
      <c r="Q952" s="11">
        <v>46306.5</v>
      </c>
      <c r="R952" s="6"/>
      <c r="S952" s="6"/>
      <c r="T952" s="6"/>
      <c r="U952" s="5">
        <f>MATCH(B952,Manual_Review!$A$6:$A$238,0)</f>
        <v>60</v>
      </c>
      <c r="V952" s="5" t="str">
        <f>IF(INDEX(Manual_Review!$G$6:$G$238,U952)="","",INDEX(Manual_Review!$G$6:$G$238,U952))</f>
        <v/>
      </c>
      <c r="W952" s="11" t="str">
        <f>IF(INDEX(Manual_Review!$H$6:$H$238,U952)="","",INDEX(Manual_Review!$H$6:$H$238,U952))</f>
        <v/>
      </c>
      <c r="X952" s="5" t="str">
        <f>IF(INDEX(Manual_Review!$I$6:$I$238,U952)="","",INDEX(Manual_Review!$I$6:$I$238,U952))</f>
        <v/>
      </c>
      <c r="Y952" s="5" t="s">
        <v>2859</v>
      </c>
    </row>
    <row r="953" spans="1:25" ht="25.5">
      <c r="A953" s="5" t="s">
        <v>4857</v>
      </c>
      <c r="B953" s="5" t="s">
        <v>770</v>
      </c>
      <c r="C953" s="5" t="s">
        <v>771</v>
      </c>
      <c r="D953" s="5" t="s">
        <v>118</v>
      </c>
      <c r="E953" s="5" t="s">
        <v>2784</v>
      </c>
      <c r="F953" s="5" t="s">
        <v>2756</v>
      </c>
      <c r="G953" s="5">
        <v>1</v>
      </c>
      <c r="H953" s="5" t="s">
        <v>2854</v>
      </c>
      <c r="I953" s="5" t="str">
        <f>IF(INDEX(Manual_Review!$N$6:$N$238,U953)="","",INDEX(Manual_Review!$N$6:$N$238,U953))</f>
        <v/>
      </c>
      <c r="J953" s="5" t="str">
        <f t="shared" si="28"/>
        <v>AI provisional</v>
      </c>
      <c r="K953" s="5" t="str">
        <f t="shared" si="29"/>
        <v>Y</v>
      </c>
      <c r="L953" s="5" t="s">
        <v>775</v>
      </c>
      <c r="M953" s="5" t="s">
        <v>4858</v>
      </c>
      <c r="N953" s="5" t="s">
        <v>4852</v>
      </c>
      <c r="O953" s="5" t="s">
        <v>2963</v>
      </c>
      <c r="P953" s="5" t="s">
        <v>2858</v>
      </c>
      <c r="Q953" s="11">
        <v>46306.5</v>
      </c>
      <c r="R953" s="6"/>
      <c r="S953" s="6"/>
      <c r="T953" s="6"/>
      <c r="U953" s="5">
        <f>MATCH(B953,Manual_Review!$A$6:$A$238,0)</f>
        <v>60</v>
      </c>
      <c r="V953" s="5" t="str">
        <f>IF(INDEX(Manual_Review!$G$6:$G$238,U953)="","",INDEX(Manual_Review!$G$6:$G$238,U953))</f>
        <v/>
      </c>
      <c r="W953" s="11" t="str">
        <f>IF(INDEX(Manual_Review!$H$6:$H$238,U953)="","",INDEX(Manual_Review!$H$6:$H$238,U953))</f>
        <v/>
      </c>
      <c r="X953" s="5" t="str">
        <f>IF(INDEX(Manual_Review!$I$6:$I$238,U953)="","",INDEX(Manual_Review!$I$6:$I$238,U953))</f>
        <v/>
      </c>
      <c r="Y953" s="5" t="s">
        <v>2859</v>
      </c>
    </row>
    <row r="954" spans="1:25" ht="25.5">
      <c r="A954" s="5" t="s">
        <v>4859</v>
      </c>
      <c r="B954" s="5" t="s">
        <v>770</v>
      </c>
      <c r="C954" s="5" t="s">
        <v>771</v>
      </c>
      <c r="D954" s="5" t="s">
        <v>118</v>
      </c>
      <c r="E954" s="5" t="s">
        <v>2785</v>
      </c>
      <c r="F954" s="5" t="s">
        <v>2756</v>
      </c>
      <c r="G954" s="5">
        <v>1</v>
      </c>
      <c r="H954" s="5" t="s">
        <v>2854</v>
      </c>
      <c r="I954" s="5" t="str">
        <f>IF(INDEX(Manual_Review!$O$6:$O$238,U954)="","",INDEX(Manual_Review!$O$6:$O$238,U954))</f>
        <v/>
      </c>
      <c r="J954" s="5" t="str">
        <f t="shared" si="28"/>
        <v>AI provisional</v>
      </c>
      <c r="K954" s="5" t="str">
        <f t="shared" si="29"/>
        <v>Y</v>
      </c>
      <c r="L954" s="5" t="s">
        <v>775</v>
      </c>
      <c r="M954" s="5" t="s">
        <v>4860</v>
      </c>
      <c r="N954" s="5" t="s">
        <v>4852</v>
      </c>
      <c r="O954" s="5" t="s">
        <v>3138</v>
      </c>
      <c r="P954" s="5" t="s">
        <v>2858</v>
      </c>
      <c r="Q954" s="11">
        <v>46306.5</v>
      </c>
      <c r="R954" s="6"/>
      <c r="S954" s="6"/>
      <c r="T954" s="6"/>
      <c r="U954" s="5">
        <f>MATCH(B954,Manual_Review!$A$6:$A$238,0)</f>
        <v>60</v>
      </c>
      <c r="V954" s="5" t="str">
        <f>IF(INDEX(Manual_Review!$G$6:$G$238,U954)="","",INDEX(Manual_Review!$G$6:$G$238,U954))</f>
        <v/>
      </c>
      <c r="W954" s="11" t="str">
        <f>IF(INDEX(Manual_Review!$H$6:$H$238,U954)="","",INDEX(Manual_Review!$H$6:$H$238,U954))</f>
        <v/>
      </c>
      <c r="X954" s="5" t="str">
        <f>IF(INDEX(Manual_Review!$I$6:$I$238,U954)="","",INDEX(Manual_Review!$I$6:$I$238,U954))</f>
        <v/>
      </c>
      <c r="Y954" s="5" t="s">
        <v>2859</v>
      </c>
    </row>
    <row r="955" spans="1:25" ht="25.5">
      <c r="A955" s="5" t="s">
        <v>4861</v>
      </c>
      <c r="B955" s="5" t="s">
        <v>770</v>
      </c>
      <c r="C955" s="5" t="s">
        <v>771</v>
      </c>
      <c r="D955" s="5" t="s">
        <v>118</v>
      </c>
      <c r="E955" s="5" t="s">
        <v>2786</v>
      </c>
      <c r="F955" s="5" t="s">
        <v>2756</v>
      </c>
      <c r="G955" s="5">
        <v>1</v>
      </c>
      <c r="H955" s="5" t="s">
        <v>2864</v>
      </c>
      <c r="I955" s="5" t="str">
        <f>IF(INDEX(Manual_Review!$P$6:$P$238,U955)="","",INDEX(Manual_Review!$P$6:$P$238,U955))</f>
        <v/>
      </c>
      <c r="J955" s="5" t="str">
        <f t="shared" si="28"/>
        <v>AI provisional</v>
      </c>
      <c r="K955" s="5" t="str">
        <f t="shared" si="29"/>
        <v>U</v>
      </c>
      <c r="L955" s="5" t="s">
        <v>775</v>
      </c>
      <c r="M955" s="5" t="s">
        <v>4862</v>
      </c>
      <c r="N955" s="5" t="s">
        <v>4852</v>
      </c>
      <c r="O955" s="5" t="s">
        <v>2874</v>
      </c>
      <c r="P955" s="5" t="s">
        <v>2858</v>
      </c>
      <c r="Q955" s="11">
        <v>46306.5</v>
      </c>
      <c r="R955" s="6"/>
      <c r="S955" s="6"/>
      <c r="T955" s="6"/>
      <c r="U955" s="5">
        <f>MATCH(B955,Manual_Review!$A$6:$A$238,0)</f>
        <v>60</v>
      </c>
      <c r="V955" s="5" t="str">
        <f>IF(INDEX(Manual_Review!$G$6:$G$238,U955)="","",INDEX(Manual_Review!$G$6:$G$238,U955))</f>
        <v/>
      </c>
      <c r="W955" s="11" t="str">
        <f>IF(INDEX(Manual_Review!$H$6:$H$238,U955)="","",INDEX(Manual_Review!$H$6:$H$238,U955))</f>
        <v/>
      </c>
      <c r="X955" s="5" t="str">
        <f>IF(INDEX(Manual_Review!$I$6:$I$238,U955)="","",INDEX(Manual_Review!$I$6:$I$238,U955))</f>
        <v/>
      </c>
      <c r="Y955" s="5" t="s">
        <v>2859</v>
      </c>
    </row>
    <row r="956" spans="1:25" ht="25.5">
      <c r="A956" s="5" t="s">
        <v>4863</v>
      </c>
      <c r="B956" s="5" t="s">
        <v>770</v>
      </c>
      <c r="C956" s="5" t="s">
        <v>771</v>
      </c>
      <c r="D956" s="5" t="s">
        <v>118</v>
      </c>
      <c r="E956" s="5" t="s">
        <v>2787</v>
      </c>
      <c r="F956" s="5" t="s">
        <v>2758</v>
      </c>
      <c r="G956" s="5">
        <v>1</v>
      </c>
      <c r="H956" s="5" t="s">
        <v>2854</v>
      </c>
      <c r="I956" s="5" t="str">
        <f>IF(INDEX(Manual_Review!$Q$6:$Q$238,U956)="","",INDEX(Manual_Review!$Q$6:$Q$238,U956))</f>
        <v/>
      </c>
      <c r="J956" s="5" t="str">
        <f t="shared" si="28"/>
        <v>AI provisional</v>
      </c>
      <c r="K956" s="5" t="str">
        <f t="shared" si="29"/>
        <v>Y</v>
      </c>
      <c r="L956" s="5" t="s">
        <v>775</v>
      </c>
      <c r="M956" s="5" t="s">
        <v>4864</v>
      </c>
      <c r="N956" s="5" t="s">
        <v>4852</v>
      </c>
      <c r="O956" s="5" t="s">
        <v>2969</v>
      </c>
      <c r="P956" s="5" t="s">
        <v>2858</v>
      </c>
      <c r="Q956" s="11">
        <v>46306.5</v>
      </c>
      <c r="R956" s="6"/>
      <c r="S956" s="6"/>
      <c r="T956" s="6"/>
      <c r="U956" s="5">
        <f>MATCH(B956,Manual_Review!$A$6:$A$238,0)</f>
        <v>60</v>
      </c>
      <c r="V956" s="5" t="str">
        <f>IF(INDEX(Manual_Review!$G$6:$G$238,U956)="","",INDEX(Manual_Review!$G$6:$G$238,U956))</f>
        <v/>
      </c>
      <c r="W956" s="11" t="str">
        <f>IF(INDEX(Manual_Review!$H$6:$H$238,U956)="","",INDEX(Manual_Review!$H$6:$H$238,U956))</f>
        <v/>
      </c>
      <c r="X956" s="5" t="str">
        <f>IF(INDEX(Manual_Review!$I$6:$I$238,U956)="","",INDEX(Manual_Review!$I$6:$I$238,U956))</f>
        <v/>
      </c>
      <c r="Y956" s="5" t="s">
        <v>2859</v>
      </c>
    </row>
    <row r="957" spans="1:25" ht="25.5">
      <c r="A957" s="5" t="s">
        <v>4865</v>
      </c>
      <c r="B957" s="5" t="s">
        <v>770</v>
      </c>
      <c r="C957" s="5" t="s">
        <v>771</v>
      </c>
      <c r="D957" s="5" t="s">
        <v>118</v>
      </c>
      <c r="E957" s="5" t="s">
        <v>2788</v>
      </c>
      <c r="F957" s="5" t="s">
        <v>2758</v>
      </c>
      <c r="G957" s="5">
        <v>1</v>
      </c>
      <c r="H957" s="5" t="s">
        <v>2854</v>
      </c>
      <c r="I957" s="5" t="str">
        <f>IF(INDEX(Manual_Review!$R$6:$R$238,U957)="","",INDEX(Manual_Review!$R$6:$R$238,U957))</f>
        <v/>
      </c>
      <c r="J957" s="5" t="str">
        <f t="shared" si="28"/>
        <v>AI provisional</v>
      </c>
      <c r="K957" s="5" t="str">
        <f t="shared" si="29"/>
        <v>Y</v>
      </c>
      <c r="L957" s="5" t="s">
        <v>775</v>
      </c>
      <c r="M957" s="5" t="s">
        <v>4866</v>
      </c>
      <c r="N957" s="5" t="s">
        <v>4852</v>
      </c>
      <c r="O957" s="5" t="s">
        <v>3067</v>
      </c>
      <c r="P957" s="5" t="s">
        <v>2858</v>
      </c>
      <c r="Q957" s="11">
        <v>46306.5</v>
      </c>
      <c r="R957" s="6"/>
      <c r="S957" s="6"/>
      <c r="T957" s="6"/>
      <c r="U957" s="5">
        <f>MATCH(B957,Manual_Review!$A$6:$A$238,0)</f>
        <v>60</v>
      </c>
      <c r="V957" s="5" t="str">
        <f>IF(INDEX(Manual_Review!$G$6:$G$238,U957)="","",INDEX(Manual_Review!$G$6:$G$238,U957))</f>
        <v/>
      </c>
      <c r="W957" s="11" t="str">
        <f>IF(INDEX(Manual_Review!$H$6:$H$238,U957)="","",INDEX(Manual_Review!$H$6:$H$238,U957))</f>
        <v/>
      </c>
      <c r="X957" s="5" t="str">
        <f>IF(INDEX(Manual_Review!$I$6:$I$238,U957)="","",INDEX(Manual_Review!$I$6:$I$238,U957))</f>
        <v/>
      </c>
      <c r="Y957" s="5" t="s">
        <v>2859</v>
      </c>
    </row>
    <row r="958" spans="1:25" ht="25.5">
      <c r="A958" s="5" t="s">
        <v>4867</v>
      </c>
      <c r="B958" s="5" t="s">
        <v>770</v>
      </c>
      <c r="C958" s="5" t="s">
        <v>771</v>
      </c>
      <c r="D958" s="5" t="s">
        <v>118</v>
      </c>
      <c r="E958" s="5" t="s">
        <v>2789</v>
      </c>
      <c r="F958" s="5" t="s">
        <v>2758</v>
      </c>
      <c r="G958" s="5">
        <v>1</v>
      </c>
      <c r="H958" s="5" t="s">
        <v>2854</v>
      </c>
      <c r="I958" s="5" t="str">
        <f>IF(INDEX(Manual_Review!$S$6:$S$238,U958)="","",INDEX(Manual_Review!$S$6:$S$238,U958))</f>
        <v/>
      </c>
      <c r="J958" s="5" t="str">
        <f t="shared" si="28"/>
        <v>AI provisional</v>
      </c>
      <c r="K958" s="5" t="str">
        <f t="shared" si="29"/>
        <v>Y</v>
      </c>
      <c r="L958" s="5" t="s">
        <v>775</v>
      </c>
      <c r="M958" s="5" t="s">
        <v>4868</v>
      </c>
      <c r="N958" s="5" t="s">
        <v>4852</v>
      </c>
      <c r="O958" s="5" t="s">
        <v>3178</v>
      </c>
      <c r="P958" s="5" t="s">
        <v>2858</v>
      </c>
      <c r="Q958" s="11">
        <v>46306.5</v>
      </c>
      <c r="R958" s="6"/>
      <c r="S958" s="6"/>
      <c r="T958" s="6"/>
      <c r="U958" s="5">
        <f>MATCH(B958,Manual_Review!$A$6:$A$238,0)</f>
        <v>60</v>
      </c>
      <c r="V958" s="5" t="str">
        <f>IF(INDEX(Manual_Review!$G$6:$G$238,U958)="","",INDEX(Manual_Review!$G$6:$G$238,U958))</f>
        <v/>
      </c>
      <c r="W958" s="11" t="str">
        <f>IF(INDEX(Manual_Review!$H$6:$H$238,U958)="","",INDEX(Manual_Review!$H$6:$H$238,U958))</f>
        <v/>
      </c>
      <c r="X958" s="5" t="str">
        <f>IF(INDEX(Manual_Review!$I$6:$I$238,U958)="","",INDEX(Manual_Review!$I$6:$I$238,U958))</f>
        <v/>
      </c>
      <c r="Y958" s="5" t="s">
        <v>2859</v>
      </c>
    </row>
    <row r="959" spans="1:25" ht="25.5">
      <c r="A959" s="5" t="s">
        <v>4869</v>
      </c>
      <c r="B959" s="5" t="s">
        <v>770</v>
      </c>
      <c r="C959" s="5" t="s">
        <v>771</v>
      </c>
      <c r="D959" s="5" t="s">
        <v>118</v>
      </c>
      <c r="E959" s="5" t="s">
        <v>2790</v>
      </c>
      <c r="F959" s="5" t="s">
        <v>2760</v>
      </c>
      <c r="G959" s="5">
        <v>1</v>
      </c>
      <c r="H959" s="5" t="s">
        <v>2854</v>
      </c>
      <c r="I959" s="5" t="str">
        <f>IF(INDEX(Manual_Review!$T$6:$T$238,U959)="","",INDEX(Manual_Review!$T$6:$T$238,U959))</f>
        <v/>
      </c>
      <c r="J959" s="5" t="str">
        <f t="shared" si="28"/>
        <v>AI provisional</v>
      </c>
      <c r="K959" s="5" t="str">
        <f t="shared" si="29"/>
        <v>Y</v>
      </c>
      <c r="L959" s="5" t="s">
        <v>775</v>
      </c>
      <c r="M959" s="5" t="s">
        <v>4870</v>
      </c>
      <c r="N959" s="5" t="s">
        <v>4852</v>
      </c>
      <c r="O959" s="5" t="s">
        <v>2976</v>
      </c>
      <c r="P959" s="5" t="s">
        <v>2858</v>
      </c>
      <c r="Q959" s="11">
        <v>46306.5</v>
      </c>
      <c r="R959" s="6"/>
      <c r="S959" s="6"/>
      <c r="T959" s="6"/>
      <c r="U959" s="5">
        <f>MATCH(B959,Manual_Review!$A$6:$A$238,0)</f>
        <v>60</v>
      </c>
      <c r="V959" s="5" t="str">
        <f>IF(INDEX(Manual_Review!$G$6:$G$238,U959)="","",INDEX(Manual_Review!$G$6:$G$238,U959))</f>
        <v/>
      </c>
      <c r="W959" s="11" t="str">
        <f>IF(INDEX(Manual_Review!$H$6:$H$238,U959)="","",INDEX(Manual_Review!$H$6:$H$238,U959))</f>
        <v/>
      </c>
      <c r="X959" s="5" t="str">
        <f>IF(INDEX(Manual_Review!$I$6:$I$238,U959)="","",INDEX(Manual_Review!$I$6:$I$238,U959))</f>
        <v/>
      </c>
      <c r="Y959" s="5" t="s">
        <v>2859</v>
      </c>
    </row>
    <row r="960" spans="1:25" ht="25.5">
      <c r="A960" s="5" t="s">
        <v>4871</v>
      </c>
      <c r="B960" s="5" t="s">
        <v>770</v>
      </c>
      <c r="C960" s="5" t="s">
        <v>771</v>
      </c>
      <c r="D960" s="5" t="s">
        <v>118</v>
      </c>
      <c r="E960" s="5" t="s">
        <v>2791</v>
      </c>
      <c r="F960" s="5" t="s">
        <v>2760</v>
      </c>
      <c r="G960" s="5">
        <v>1</v>
      </c>
      <c r="H960" s="5" t="s">
        <v>2854</v>
      </c>
      <c r="I960" s="5" t="str">
        <f>IF(INDEX(Manual_Review!$U$6:$U$238,U960)="","",INDEX(Manual_Review!$U$6:$U$238,U960))</f>
        <v/>
      </c>
      <c r="J960" s="5" t="str">
        <f t="shared" si="28"/>
        <v>AI provisional</v>
      </c>
      <c r="K960" s="5" t="str">
        <f t="shared" si="29"/>
        <v>Y</v>
      </c>
      <c r="L960" s="5" t="s">
        <v>775</v>
      </c>
      <c r="M960" s="5" t="s">
        <v>4872</v>
      </c>
      <c r="N960" s="5" t="s">
        <v>4852</v>
      </c>
      <c r="O960" s="5" t="s">
        <v>3380</v>
      </c>
      <c r="P960" s="5" t="s">
        <v>2858</v>
      </c>
      <c r="Q960" s="11">
        <v>46306.5</v>
      </c>
      <c r="R960" s="6"/>
      <c r="S960" s="6"/>
      <c r="T960" s="6"/>
      <c r="U960" s="5">
        <f>MATCH(B960,Manual_Review!$A$6:$A$238,0)</f>
        <v>60</v>
      </c>
      <c r="V960" s="5" t="str">
        <f>IF(INDEX(Manual_Review!$G$6:$G$238,U960)="","",INDEX(Manual_Review!$G$6:$G$238,U960))</f>
        <v/>
      </c>
      <c r="W960" s="11" t="str">
        <f>IF(INDEX(Manual_Review!$H$6:$H$238,U960)="","",INDEX(Manual_Review!$H$6:$H$238,U960))</f>
        <v/>
      </c>
      <c r="X960" s="5" t="str">
        <f>IF(INDEX(Manual_Review!$I$6:$I$238,U960)="","",INDEX(Manual_Review!$I$6:$I$238,U960))</f>
        <v/>
      </c>
      <c r="Y960" s="5" t="s">
        <v>2859</v>
      </c>
    </row>
    <row r="961" spans="1:25" ht="25.5">
      <c r="A961" s="5" t="s">
        <v>4873</v>
      </c>
      <c r="B961" s="5" t="s">
        <v>770</v>
      </c>
      <c r="C961" s="5" t="s">
        <v>771</v>
      </c>
      <c r="D961" s="5" t="s">
        <v>118</v>
      </c>
      <c r="E961" s="5" t="s">
        <v>2792</v>
      </c>
      <c r="F961" s="5" t="s">
        <v>2762</v>
      </c>
      <c r="G961" s="5">
        <v>1</v>
      </c>
      <c r="H961" s="5" t="s">
        <v>2854</v>
      </c>
      <c r="I961" s="5" t="str">
        <f>IF(INDEX(Manual_Review!$V$6:$V$238,U961)="","",INDEX(Manual_Review!$V$6:$V$238,U961))</f>
        <v/>
      </c>
      <c r="J961" s="5" t="str">
        <f t="shared" si="28"/>
        <v>AI provisional</v>
      </c>
      <c r="K961" s="5" t="str">
        <f t="shared" si="29"/>
        <v>Y</v>
      </c>
      <c r="L961" s="5" t="s">
        <v>775</v>
      </c>
      <c r="M961" s="5" t="s">
        <v>4874</v>
      </c>
      <c r="N961" s="5" t="s">
        <v>4852</v>
      </c>
      <c r="O961" s="5" t="s">
        <v>3152</v>
      </c>
      <c r="P961" s="5" t="s">
        <v>2858</v>
      </c>
      <c r="Q961" s="11">
        <v>46306.5</v>
      </c>
      <c r="R961" s="6"/>
      <c r="S961" s="6"/>
      <c r="T961" s="6"/>
      <c r="U961" s="5">
        <f>MATCH(B961,Manual_Review!$A$6:$A$238,0)</f>
        <v>60</v>
      </c>
      <c r="V961" s="5" t="str">
        <f>IF(INDEX(Manual_Review!$G$6:$G$238,U961)="","",INDEX(Manual_Review!$G$6:$G$238,U961))</f>
        <v/>
      </c>
      <c r="W961" s="11" t="str">
        <f>IF(INDEX(Manual_Review!$H$6:$H$238,U961)="","",INDEX(Manual_Review!$H$6:$H$238,U961))</f>
        <v/>
      </c>
      <c r="X961" s="5" t="str">
        <f>IF(INDEX(Manual_Review!$I$6:$I$238,U961)="","",INDEX(Manual_Review!$I$6:$I$238,U961))</f>
        <v/>
      </c>
      <c r="Y961" s="5" t="s">
        <v>2859</v>
      </c>
    </row>
    <row r="962" spans="1:25" ht="25.5">
      <c r="A962" s="5" t="s">
        <v>4875</v>
      </c>
      <c r="B962" s="5" t="s">
        <v>770</v>
      </c>
      <c r="C962" s="5" t="s">
        <v>771</v>
      </c>
      <c r="D962" s="5" t="s">
        <v>118</v>
      </c>
      <c r="E962" s="5" t="s">
        <v>2793</v>
      </c>
      <c r="F962" s="5" t="s">
        <v>2762</v>
      </c>
      <c r="G962" s="5">
        <v>1</v>
      </c>
      <c r="H962" s="5" t="s">
        <v>2854</v>
      </c>
      <c r="I962" s="5" t="str">
        <f>IF(INDEX(Manual_Review!$W$6:$W$238,U962)="","",INDEX(Manual_Review!$W$6:$W$238,U962))</f>
        <v/>
      </c>
      <c r="J962" s="5" t="str">
        <f t="shared" si="28"/>
        <v>AI provisional</v>
      </c>
      <c r="K962" s="5" t="str">
        <f t="shared" si="29"/>
        <v>Y</v>
      </c>
      <c r="L962" s="5" t="s">
        <v>775</v>
      </c>
      <c r="M962" s="5" t="s">
        <v>4876</v>
      </c>
      <c r="N962" s="5" t="s">
        <v>4852</v>
      </c>
      <c r="O962" s="5" t="s">
        <v>3077</v>
      </c>
      <c r="P962" s="5" t="s">
        <v>2858</v>
      </c>
      <c r="Q962" s="11">
        <v>46306.5</v>
      </c>
      <c r="R962" s="6"/>
      <c r="S962" s="6"/>
      <c r="T962" s="6"/>
      <c r="U962" s="5">
        <f>MATCH(B962,Manual_Review!$A$6:$A$238,0)</f>
        <v>60</v>
      </c>
      <c r="V962" s="5" t="str">
        <f>IF(INDEX(Manual_Review!$G$6:$G$238,U962)="","",INDEX(Manual_Review!$G$6:$G$238,U962))</f>
        <v/>
      </c>
      <c r="W962" s="11" t="str">
        <f>IF(INDEX(Manual_Review!$H$6:$H$238,U962)="","",INDEX(Manual_Review!$H$6:$H$238,U962))</f>
        <v/>
      </c>
      <c r="X962" s="5" t="str">
        <f>IF(INDEX(Manual_Review!$I$6:$I$238,U962)="","",INDEX(Manual_Review!$I$6:$I$238,U962))</f>
        <v/>
      </c>
      <c r="Y962" s="5" t="s">
        <v>2859</v>
      </c>
    </row>
    <row r="963" spans="1:25" ht="25.5">
      <c r="A963" s="5" t="s">
        <v>4877</v>
      </c>
      <c r="B963" s="5" t="s">
        <v>770</v>
      </c>
      <c r="C963" s="5" t="s">
        <v>771</v>
      </c>
      <c r="D963" s="5" t="s">
        <v>118</v>
      </c>
      <c r="E963" s="5" t="s">
        <v>2794</v>
      </c>
      <c r="F963" s="5" t="s">
        <v>2764</v>
      </c>
      <c r="G963" s="5">
        <v>1</v>
      </c>
      <c r="H963" s="5" t="s">
        <v>2854</v>
      </c>
      <c r="I963" s="5" t="str">
        <f>IF(INDEX(Manual_Review!$X$6:$X$238,U963)="","",INDEX(Manual_Review!$X$6:$X$238,U963))</f>
        <v/>
      </c>
      <c r="J963" s="5" t="str">
        <f t="shared" si="28"/>
        <v>AI provisional</v>
      </c>
      <c r="K963" s="5" t="str">
        <f t="shared" si="29"/>
        <v>Y</v>
      </c>
      <c r="L963" s="5" t="s">
        <v>775</v>
      </c>
      <c r="M963" s="5" t="s">
        <v>4878</v>
      </c>
      <c r="N963" s="5" t="s">
        <v>4852</v>
      </c>
      <c r="O963" s="5" t="s">
        <v>2984</v>
      </c>
      <c r="P963" s="5" t="s">
        <v>2858</v>
      </c>
      <c r="Q963" s="11">
        <v>46306.5</v>
      </c>
      <c r="R963" s="6"/>
      <c r="S963" s="6"/>
      <c r="T963" s="6"/>
      <c r="U963" s="5">
        <f>MATCH(B963,Manual_Review!$A$6:$A$238,0)</f>
        <v>60</v>
      </c>
      <c r="V963" s="5" t="str">
        <f>IF(INDEX(Manual_Review!$G$6:$G$238,U963)="","",INDEX(Manual_Review!$G$6:$G$238,U963))</f>
        <v/>
      </c>
      <c r="W963" s="11" t="str">
        <f>IF(INDEX(Manual_Review!$H$6:$H$238,U963)="","",INDEX(Manual_Review!$H$6:$H$238,U963))</f>
        <v/>
      </c>
      <c r="X963" s="5" t="str">
        <f>IF(INDEX(Manual_Review!$I$6:$I$238,U963)="","",INDEX(Manual_Review!$I$6:$I$238,U963))</f>
        <v/>
      </c>
      <c r="Y963" s="5" t="s">
        <v>2859</v>
      </c>
    </row>
    <row r="964" spans="1:25" ht="25.5">
      <c r="A964" s="5" t="s">
        <v>4879</v>
      </c>
      <c r="B964" s="5" t="s">
        <v>770</v>
      </c>
      <c r="C964" s="5" t="s">
        <v>771</v>
      </c>
      <c r="D964" s="5" t="s">
        <v>118</v>
      </c>
      <c r="E964" s="5" t="s">
        <v>2795</v>
      </c>
      <c r="F964" s="5" t="s">
        <v>2764</v>
      </c>
      <c r="G964" s="5">
        <v>1</v>
      </c>
      <c r="H964" s="5" t="s">
        <v>2864</v>
      </c>
      <c r="I964" s="5" t="str">
        <f>IF(INDEX(Manual_Review!$Y$6:$Y$238,U964)="","",INDEX(Manual_Review!$Y$6:$Y$238,U964))</f>
        <v/>
      </c>
      <c r="J964" s="5" t="str">
        <f t="shared" si="28"/>
        <v>AI provisional</v>
      </c>
      <c r="K964" s="5" t="str">
        <f t="shared" si="29"/>
        <v>U</v>
      </c>
      <c r="L964" s="5" t="s">
        <v>775</v>
      </c>
      <c r="M964" s="5" t="s">
        <v>4880</v>
      </c>
      <c r="N964" s="5" t="s">
        <v>4852</v>
      </c>
      <c r="O964" s="5" t="s">
        <v>2897</v>
      </c>
      <c r="P964" s="5" t="s">
        <v>2858</v>
      </c>
      <c r="Q964" s="11">
        <v>46306.5</v>
      </c>
      <c r="R964" s="6"/>
      <c r="S964" s="6"/>
      <c r="T964" s="6"/>
      <c r="U964" s="5">
        <f>MATCH(B964,Manual_Review!$A$6:$A$238,0)</f>
        <v>60</v>
      </c>
      <c r="V964" s="5" t="str">
        <f>IF(INDEX(Manual_Review!$G$6:$G$238,U964)="","",INDEX(Manual_Review!$G$6:$G$238,U964))</f>
        <v/>
      </c>
      <c r="W964" s="11" t="str">
        <f>IF(INDEX(Manual_Review!$H$6:$H$238,U964)="","",INDEX(Manual_Review!$H$6:$H$238,U964))</f>
        <v/>
      </c>
      <c r="X964" s="5" t="str">
        <f>IF(INDEX(Manual_Review!$I$6:$I$238,U964)="","",INDEX(Manual_Review!$I$6:$I$238,U964))</f>
        <v/>
      </c>
      <c r="Y964" s="5" t="s">
        <v>2859</v>
      </c>
    </row>
    <row r="965" spans="1:25" ht="25.5">
      <c r="A965" s="5" t="s">
        <v>4881</v>
      </c>
      <c r="B965" s="5" t="s">
        <v>770</v>
      </c>
      <c r="C965" s="5" t="s">
        <v>771</v>
      </c>
      <c r="D965" s="5" t="s">
        <v>118</v>
      </c>
      <c r="E965" s="5" t="s">
        <v>2796</v>
      </c>
      <c r="F965" s="5" t="s">
        <v>2764</v>
      </c>
      <c r="G965" s="5">
        <v>1</v>
      </c>
      <c r="H965" s="5" t="s">
        <v>2854</v>
      </c>
      <c r="I965" s="5" t="str">
        <f>IF(INDEX(Manual_Review!$Z$6:$Z$238,U965)="","",INDEX(Manual_Review!$Z$6:$Z$238,U965))</f>
        <v/>
      </c>
      <c r="J965" s="5" t="str">
        <f t="shared" si="28"/>
        <v>AI provisional</v>
      </c>
      <c r="K965" s="5" t="str">
        <f t="shared" si="29"/>
        <v>Y</v>
      </c>
      <c r="L965" s="5" t="s">
        <v>775</v>
      </c>
      <c r="M965" s="5" t="s">
        <v>4882</v>
      </c>
      <c r="N965" s="5" t="s">
        <v>4852</v>
      </c>
      <c r="O965" s="5" t="s">
        <v>3085</v>
      </c>
      <c r="P965" s="5" t="s">
        <v>2858</v>
      </c>
      <c r="Q965" s="11">
        <v>46306.5</v>
      </c>
      <c r="R965" s="6"/>
      <c r="S965" s="6"/>
      <c r="T965" s="6"/>
      <c r="U965" s="5">
        <f>MATCH(B965,Manual_Review!$A$6:$A$238,0)</f>
        <v>60</v>
      </c>
      <c r="V965" s="5" t="str">
        <f>IF(INDEX(Manual_Review!$G$6:$G$238,U965)="","",INDEX(Manual_Review!$G$6:$G$238,U965))</f>
        <v/>
      </c>
      <c r="W965" s="11" t="str">
        <f>IF(INDEX(Manual_Review!$H$6:$H$238,U965)="","",INDEX(Manual_Review!$H$6:$H$238,U965))</f>
        <v/>
      </c>
      <c r="X965" s="5" t="str">
        <f>IF(INDEX(Manual_Review!$I$6:$I$238,U965)="","",INDEX(Manual_Review!$I$6:$I$238,U965))</f>
        <v/>
      </c>
      <c r="Y965" s="5" t="s">
        <v>2859</v>
      </c>
    </row>
    <row r="966" spans="1:25" ht="38.25">
      <c r="A966" s="5" t="s">
        <v>4883</v>
      </c>
      <c r="B966" s="5" t="s">
        <v>777</v>
      </c>
      <c r="C966" s="5" t="s">
        <v>778</v>
      </c>
      <c r="D966" s="5" t="s">
        <v>118</v>
      </c>
      <c r="E966" s="5" t="s">
        <v>2781</v>
      </c>
      <c r="F966" s="5" t="s">
        <v>2754</v>
      </c>
      <c r="G966" s="5">
        <v>1</v>
      </c>
      <c r="H966" s="5" t="s">
        <v>2854</v>
      </c>
      <c r="I966" s="5" t="str">
        <f>IF(INDEX(Manual_Review!$K$6:$K$238,U966)="","",INDEX(Manual_Review!$K$6:$K$238,U966))</f>
        <v/>
      </c>
      <c r="J966" s="5" t="str">
        <f t="shared" ref="J966:J1029" si="30">IF(G966=0,"Not applicable",IF(I966="","AI provisional",IF(AND(OR(I966="Y",I966="N",I966="U",I966="X"),V966&lt;&gt;"",ISNUMBER(W966),W966&gt;0,X966="Confirmed",R966&lt;&gt;"",S966&lt;&gt;"",T966&lt;&gt;""),"Human valid","Evidence needed")))</f>
        <v>AI provisional</v>
      </c>
      <c r="K966" s="5" t="str">
        <f t="shared" ref="K966:K1029" si="31">IF(G966=0,"N/A",IF(I966="",H966,IF(J966="Human valid",I966,"U")))</f>
        <v>Y</v>
      </c>
      <c r="L966" s="5" t="s">
        <v>790</v>
      </c>
      <c r="M966" s="5" t="s">
        <v>4884</v>
      </c>
      <c r="N966" s="5" t="s">
        <v>4885</v>
      </c>
      <c r="O966" s="5" t="s">
        <v>2857</v>
      </c>
      <c r="P966" s="5" t="s">
        <v>2858</v>
      </c>
      <c r="Q966" s="11">
        <v>46306.5</v>
      </c>
      <c r="R966" s="6"/>
      <c r="S966" s="6"/>
      <c r="T966" s="6"/>
      <c r="U966" s="5">
        <f>MATCH(B966,Manual_Review!$A$6:$A$238,0)</f>
        <v>61</v>
      </c>
      <c r="V966" s="5" t="str">
        <f>IF(INDEX(Manual_Review!$G$6:$G$238,U966)="","",INDEX(Manual_Review!$G$6:$G$238,U966))</f>
        <v/>
      </c>
      <c r="W966" s="11" t="str">
        <f>IF(INDEX(Manual_Review!$H$6:$H$238,U966)="","",INDEX(Manual_Review!$H$6:$H$238,U966))</f>
        <v/>
      </c>
      <c r="X966" s="5" t="str">
        <f>IF(INDEX(Manual_Review!$I$6:$I$238,U966)="","",INDEX(Manual_Review!$I$6:$I$238,U966))</f>
        <v/>
      </c>
      <c r="Y966" s="5" t="s">
        <v>2859</v>
      </c>
    </row>
    <row r="967" spans="1:25" ht="38.25">
      <c r="A967" s="5" t="s">
        <v>4886</v>
      </c>
      <c r="B967" s="5" t="s">
        <v>777</v>
      </c>
      <c r="C967" s="5" t="s">
        <v>778</v>
      </c>
      <c r="D967" s="5" t="s">
        <v>118</v>
      </c>
      <c r="E967" s="5" t="s">
        <v>2782</v>
      </c>
      <c r="F967" s="5" t="s">
        <v>2754</v>
      </c>
      <c r="G967" s="5">
        <v>1</v>
      </c>
      <c r="H967" s="5" t="s">
        <v>2854</v>
      </c>
      <c r="I967" s="5" t="str">
        <f>IF(INDEX(Manual_Review!$L$6:$L$238,U967)="","",INDEX(Manual_Review!$L$6:$L$238,U967))</f>
        <v/>
      </c>
      <c r="J967" s="5" t="str">
        <f t="shared" si="30"/>
        <v>AI provisional</v>
      </c>
      <c r="K967" s="5" t="str">
        <f t="shared" si="31"/>
        <v>Y</v>
      </c>
      <c r="L967" s="5" t="s">
        <v>790</v>
      </c>
      <c r="M967" s="5" t="s">
        <v>4887</v>
      </c>
      <c r="N967" s="5" t="s">
        <v>4885</v>
      </c>
      <c r="O967" s="5" t="s">
        <v>2862</v>
      </c>
      <c r="P967" s="5" t="s">
        <v>2858</v>
      </c>
      <c r="Q967" s="11">
        <v>46306.5</v>
      </c>
      <c r="R967" s="6"/>
      <c r="S967" s="6"/>
      <c r="T967" s="6"/>
      <c r="U967" s="5">
        <f>MATCH(B967,Manual_Review!$A$6:$A$238,0)</f>
        <v>61</v>
      </c>
      <c r="V967" s="5" t="str">
        <f>IF(INDEX(Manual_Review!$G$6:$G$238,U967)="","",INDEX(Manual_Review!$G$6:$G$238,U967))</f>
        <v/>
      </c>
      <c r="W967" s="11" t="str">
        <f>IF(INDEX(Manual_Review!$H$6:$H$238,U967)="","",INDEX(Manual_Review!$H$6:$H$238,U967))</f>
        <v/>
      </c>
      <c r="X967" s="5" t="str">
        <f>IF(INDEX(Manual_Review!$I$6:$I$238,U967)="","",INDEX(Manual_Review!$I$6:$I$238,U967))</f>
        <v/>
      </c>
      <c r="Y967" s="5" t="s">
        <v>2859</v>
      </c>
    </row>
    <row r="968" spans="1:25" ht="38.25">
      <c r="A968" s="5" t="s">
        <v>4888</v>
      </c>
      <c r="B968" s="5" t="s">
        <v>777</v>
      </c>
      <c r="C968" s="5" t="s">
        <v>778</v>
      </c>
      <c r="D968" s="5" t="s">
        <v>118</v>
      </c>
      <c r="E968" s="5" t="s">
        <v>2783</v>
      </c>
      <c r="F968" s="5" t="s">
        <v>2754</v>
      </c>
      <c r="G968" s="5">
        <v>1</v>
      </c>
      <c r="H968" s="5" t="s">
        <v>2908</v>
      </c>
      <c r="I968" s="5" t="str">
        <f>IF(INDEX(Manual_Review!$M$6:$M$238,U968)="","",INDEX(Manual_Review!$M$6:$M$238,U968))</f>
        <v/>
      </c>
      <c r="J968" s="5" t="str">
        <f t="shared" si="30"/>
        <v>AI provisional</v>
      </c>
      <c r="K968" s="5" t="str">
        <f t="shared" si="31"/>
        <v>X</v>
      </c>
      <c r="L968" s="5" t="s">
        <v>790</v>
      </c>
      <c r="M968" s="5" t="s">
        <v>4889</v>
      </c>
      <c r="N968" s="5" t="s">
        <v>4885</v>
      </c>
      <c r="O968" s="5" t="s">
        <v>4890</v>
      </c>
      <c r="P968" s="5" t="s">
        <v>2858</v>
      </c>
      <c r="Q968" s="11">
        <v>46306.5</v>
      </c>
      <c r="R968" s="6"/>
      <c r="S968" s="6"/>
      <c r="T968" s="6"/>
      <c r="U968" s="5">
        <f>MATCH(B968,Manual_Review!$A$6:$A$238,0)</f>
        <v>61</v>
      </c>
      <c r="V968" s="5" t="str">
        <f>IF(INDEX(Manual_Review!$G$6:$G$238,U968)="","",INDEX(Manual_Review!$G$6:$G$238,U968))</f>
        <v/>
      </c>
      <c r="W968" s="11" t="str">
        <f>IF(INDEX(Manual_Review!$H$6:$H$238,U968)="","",INDEX(Manual_Review!$H$6:$H$238,U968))</f>
        <v/>
      </c>
      <c r="X968" s="5" t="str">
        <f>IF(INDEX(Manual_Review!$I$6:$I$238,U968)="","",INDEX(Manual_Review!$I$6:$I$238,U968))</f>
        <v/>
      </c>
      <c r="Y968" s="5" t="s">
        <v>2859</v>
      </c>
    </row>
    <row r="969" spans="1:25" ht="38.25">
      <c r="A969" s="5" t="s">
        <v>4891</v>
      </c>
      <c r="B969" s="5" t="s">
        <v>777</v>
      </c>
      <c r="C969" s="5" t="s">
        <v>778</v>
      </c>
      <c r="D969" s="5" t="s">
        <v>118</v>
      </c>
      <c r="E969" s="5" t="s">
        <v>2784</v>
      </c>
      <c r="F969" s="5" t="s">
        <v>2756</v>
      </c>
      <c r="G969" s="5">
        <v>1</v>
      </c>
      <c r="H969" s="5" t="s">
        <v>2854</v>
      </c>
      <c r="I969" s="5" t="str">
        <f>IF(INDEX(Manual_Review!$N$6:$N$238,U969)="","",INDEX(Manual_Review!$N$6:$N$238,U969))</f>
        <v/>
      </c>
      <c r="J969" s="5" t="str">
        <f t="shared" si="30"/>
        <v>AI provisional</v>
      </c>
      <c r="K969" s="5" t="str">
        <f t="shared" si="31"/>
        <v>Y</v>
      </c>
      <c r="L969" s="5" t="s">
        <v>790</v>
      </c>
      <c r="M969" s="5" t="s">
        <v>4892</v>
      </c>
      <c r="N969" s="5" t="s">
        <v>4885</v>
      </c>
      <c r="O969" s="5" t="s">
        <v>2963</v>
      </c>
      <c r="P969" s="5" t="s">
        <v>2858</v>
      </c>
      <c r="Q969" s="11">
        <v>46306.5</v>
      </c>
      <c r="R969" s="6"/>
      <c r="S969" s="6"/>
      <c r="T969" s="6"/>
      <c r="U969" s="5">
        <f>MATCH(B969,Manual_Review!$A$6:$A$238,0)</f>
        <v>61</v>
      </c>
      <c r="V969" s="5" t="str">
        <f>IF(INDEX(Manual_Review!$G$6:$G$238,U969)="","",INDEX(Manual_Review!$G$6:$G$238,U969))</f>
        <v/>
      </c>
      <c r="W969" s="11" t="str">
        <f>IF(INDEX(Manual_Review!$H$6:$H$238,U969)="","",INDEX(Manual_Review!$H$6:$H$238,U969))</f>
        <v/>
      </c>
      <c r="X969" s="5" t="str">
        <f>IF(INDEX(Manual_Review!$I$6:$I$238,U969)="","",INDEX(Manual_Review!$I$6:$I$238,U969))</f>
        <v/>
      </c>
      <c r="Y969" s="5" t="s">
        <v>2859</v>
      </c>
    </row>
    <row r="970" spans="1:25" ht="38.25">
      <c r="A970" s="5" t="s">
        <v>4893</v>
      </c>
      <c r="B970" s="5" t="s">
        <v>777</v>
      </c>
      <c r="C970" s="5" t="s">
        <v>778</v>
      </c>
      <c r="D970" s="5" t="s">
        <v>118</v>
      </c>
      <c r="E970" s="5" t="s">
        <v>2785</v>
      </c>
      <c r="F970" s="5" t="s">
        <v>2756</v>
      </c>
      <c r="G970" s="5">
        <v>1</v>
      </c>
      <c r="H970" s="5" t="s">
        <v>2854</v>
      </c>
      <c r="I970" s="5" t="str">
        <f>IF(INDEX(Manual_Review!$O$6:$O$238,U970)="","",INDEX(Manual_Review!$O$6:$O$238,U970))</f>
        <v/>
      </c>
      <c r="J970" s="5" t="str">
        <f t="shared" si="30"/>
        <v>AI provisional</v>
      </c>
      <c r="K970" s="5" t="str">
        <f t="shared" si="31"/>
        <v>Y</v>
      </c>
      <c r="L970" s="5" t="s">
        <v>790</v>
      </c>
      <c r="M970" s="5" t="s">
        <v>4894</v>
      </c>
      <c r="N970" s="5" t="s">
        <v>4885</v>
      </c>
      <c r="O970" s="5" t="s">
        <v>3138</v>
      </c>
      <c r="P970" s="5" t="s">
        <v>2858</v>
      </c>
      <c r="Q970" s="11">
        <v>46306.5</v>
      </c>
      <c r="R970" s="6"/>
      <c r="S970" s="6"/>
      <c r="T970" s="6"/>
      <c r="U970" s="5">
        <f>MATCH(B970,Manual_Review!$A$6:$A$238,0)</f>
        <v>61</v>
      </c>
      <c r="V970" s="5" t="str">
        <f>IF(INDEX(Manual_Review!$G$6:$G$238,U970)="","",INDEX(Manual_Review!$G$6:$G$238,U970))</f>
        <v/>
      </c>
      <c r="W970" s="11" t="str">
        <f>IF(INDEX(Manual_Review!$H$6:$H$238,U970)="","",INDEX(Manual_Review!$H$6:$H$238,U970))</f>
        <v/>
      </c>
      <c r="X970" s="5" t="str">
        <f>IF(INDEX(Manual_Review!$I$6:$I$238,U970)="","",INDEX(Manual_Review!$I$6:$I$238,U970))</f>
        <v/>
      </c>
      <c r="Y970" s="5" t="s">
        <v>2859</v>
      </c>
    </row>
    <row r="971" spans="1:25" ht="38.25">
      <c r="A971" s="5" t="s">
        <v>4895</v>
      </c>
      <c r="B971" s="5" t="s">
        <v>777</v>
      </c>
      <c r="C971" s="5" t="s">
        <v>778</v>
      </c>
      <c r="D971" s="5" t="s">
        <v>118</v>
      </c>
      <c r="E971" s="5" t="s">
        <v>2786</v>
      </c>
      <c r="F971" s="5" t="s">
        <v>2756</v>
      </c>
      <c r="G971" s="5">
        <v>1</v>
      </c>
      <c r="H971" s="5" t="s">
        <v>2864</v>
      </c>
      <c r="I971" s="5" t="str">
        <f>IF(INDEX(Manual_Review!$P$6:$P$238,U971)="","",INDEX(Manual_Review!$P$6:$P$238,U971))</f>
        <v/>
      </c>
      <c r="J971" s="5" t="str">
        <f t="shared" si="30"/>
        <v>AI provisional</v>
      </c>
      <c r="K971" s="5" t="str">
        <f t="shared" si="31"/>
        <v>U</v>
      </c>
      <c r="L971" s="5" t="s">
        <v>790</v>
      </c>
      <c r="M971" s="5" t="s">
        <v>4896</v>
      </c>
      <c r="N971" s="5" t="s">
        <v>4885</v>
      </c>
      <c r="O971" s="5" t="s">
        <v>2874</v>
      </c>
      <c r="P971" s="5" t="s">
        <v>2858</v>
      </c>
      <c r="Q971" s="11">
        <v>46306.5</v>
      </c>
      <c r="R971" s="6"/>
      <c r="S971" s="6"/>
      <c r="T971" s="6"/>
      <c r="U971" s="5">
        <f>MATCH(B971,Manual_Review!$A$6:$A$238,0)</f>
        <v>61</v>
      </c>
      <c r="V971" s="5" t="str">
        <f>IF(INDEX(Manual_Review!$G$6:$G$238,U971)="","",INDEX(Manual_Review!$G$6:$G$238,U971))</f>
        <v/>
      </c>
      <c r="W971" s="11" t="str">
        <f>IF(INDEX(Manual_Review!$H$6:$H$238,U971)="","",INDEX(Manual_Review!$H$6:$H$238,U971))</f>
        <v/>
      </c>
      <c r="X971" s="5" t="str">
        <f>IF(INDEX(Manual_Review!$I$6:$I$238,U971)="","",INDEX(Manual_Review!$I$6:$I$238,U971))</f>
        <v/>
      </c>
      <c r="Y971" s="5" t="s">
        <v>2859</v>
      </c>
    </row>
    <row r="972" spans="1:25" ht="38.25">
      <c r="A972" s="5" t="s">
        <v>4897</v>
      </c>
      <c r="B972" s="5" t="s">
        <v>777</v>
      </c>
      <c r="C972" s="5" t="s">
        <v>778</v>
      </c>
      <c r="D972" s="5" t="s">
        <v>118</v>
      </c>
      <c r="E972" s="5" t="s">
        <v>2787</v>
      </c>
      <c r="F972" s="5" t="s">
        <v>2758</v>
      </c>
      <c r="G972" s="5">
        <v>1</v>
      </c>
      <c r="H972" s="5" t="s">
        <v>2854</v>
      </c>
      <c r="I972" s="5" t="str">
        <f>IF(INDEX(Manual_Review!$Q$6:$Q$238,U972)="","",INDEX(Manual_Review!$Q$6:$Q$238,U972))</f>
        <v/>
      </c>
      <c r="J972" s="5" t="str">
        <f t="shared" si="30"/>
        <v>AI provisional</v>
      </c>
      <c r="K972" s="5" t="str">
        <f t="shared" si="31"/>
        <v>Y</v>
      </c>
      <c r="L972" s="5" t="s">
        <v>790</v>
      </c>
      <c r="M972" s="5" t="s">
        <v>4898</v>
      </c>
      <c r="N972" s="5" t="s">
        <v>4885</v>
      </c>
      <c r="O972" s="5" t="s">
        <v>2969</v>
      </c>
      <c r="P972" s="5" t="s">
        <v>2858</v>
      </c>
      <c r="Q972" s="11">
        <v>46306.5</v>
      </c>
      <c r="R972" s="6"/>
      <c r="S972" s="6"/>
      <c r="T972" s="6"/>
      <c r="U972" s="5">
        <f>MATCH(B972,Manual_Review!$A$6:$A$238,0)</f>
        <v>61</v>
      </c>
      <c r="V972" s="5" t="str">
        <f>IF(INDEX(Manual_Review!$G$6:$G$238,U972)="","",INDEX(Manual_Review!$G$6:$G$238,U972))</f>
        <v/>
      </c>
      <c r="W972" s="11" t="str">
        <f>IF(INDEX(Manual_Review!$H$6:$H$238,U972)="","",INDEX(Manual_Review!$H$6:$H$238,U972))</f>
        <v/>
      </c>
      <c r="X972" s="5" t="str">
        <f>IF(INDEX(Manual_Review!$I$6:$I$238,U972)="","",INDEX(Manual_Review!$I$6:$I$238,U972))</f>
        <v/>
      </c>
      <c r="Y972" s="5" t="s">
        <v>2859</v>
      </c>
    </row>
    <row r="973" spans="1:25" ht="38.25">
      <c r="A973" s="5" t="s">
        <v>4899</v>
      </c>
      <c r="B973" s="5" t="s">
        <v>777</v>
      </c>
      <c r="C973" s="5" t="s">
        <v>778</v>
      </c>
      <c r="D973" s="5" t="s">
        <v>118</v>
      </c>
      <c r="E973" s="5" t="s">
        <v>2788</v>
      </c>
      <c r="F973" s="5" t="s">
        <v>2758</v>
      </c>
      <c r="G973" s="5">
        <v>1</v>
      </c>
      <c r="H973" s="5" t="s">
        <v>2854</v>
      </c>
      <c r="I973" s="5" t="str">
        <f>IF(INDEX(Manual_Review!$R$6:$R$238,U973)="","",INDEX(Manual_Review!$R$6:$R$238,U973))</f>
        <v/>
      </c>
      <c r="J973" s="5" t="str">
        <f t="shared" si="30"/>
        <v>AI provisional</v>
      </c>
      <c r="K973" s="5" t="str">
        <f t="shared" si="31"/>
        <v>Y</v>
      </c>
      <c r="L973" s="5" t="s">
        <v>790</v>
      </c>
      <c r="M973" s="5" t="s">
        <v>4900</v>
      </c>
      <c r="N973" s="5" t="s">
        <v>4885</v>
      </c>
      <c r="O973" s="5" t="s">
        <v>3067</v>
      </c>
      <c r="P973" s="5" t="s">
        <v>2858</v>
      </c>
      <c r="Q973" s="11">
        <v>46306.5</v>
      </c>
      <c r="R973" s="6"/>
      <c r="S973" s="6"/>
      <c r="T973" s="6"/>
      <c r="U973" s="5">
        <f>MATCH(B973,Manual_Review!$A$6:$A$238,0)</f>
        <v>61</v>
      </c>
      <c r="V973" s="5" t="str">
        <f>IF(INDEX(Manual_Review!$G$6:$G$238,U973)="","",INDEX(Manual_Review!$G$6:$G$238,U973))</f>
        <v/>
      </c>
      <c r="W973" s="11" t="str">
        <f>IF(INDEX(Manual_Review!$H$6:$H$238,U973)="","",INDEX(Manual_Review!$H$6:$H$238,U973))</f>
        <v/>
      </c>
      <c r="X973" s="5" t="str">
        <f>IF(INDEX(Manual_Review!$I$6:$I$238,U973)="","",INDEX(Manual_Review!$I$6:$I$238,U973))</f>
        <v/>
      </c>
      <c r="Y973" s="5" t="s">
        <v>2859</v>
      </c>
    </row>
    <row r="974" spans="1:25" ht="38.25">
      <c r="A974" s="5" t="s">
        <v>4901</v>
      </c>
      <c r="B974" s="5" t="s">
        <v>777</v>
      </c>
      <c r="C974" s="5" t="s">
        <v>778</v>
      </c>
      <c r="D974" s="5" t="s">
        <v>118</v>
      </c>
      <c r="E974" s="5" t="s">
        <v>2789</v>
      </c>
      <c r="F974" s="5" t="s">
        <v>2758</v>
      </c>
      <c r="G974" s="5">
        <v>1</v>
      </c>
      <c r="H974" s="5" t="s">
        <v>2864</v>
      </c>
      <c r="I974" s="5" t="str">
        <f>IF(INDEX(Manual_Review!$S$6:$S$238,U974)="","",INDEX(Manual_Review!$S$6:$S$238,U974))</f>
        <v/>
      </c>
      <c r="J974" s="5" t="str">
        <f t="shared" si="30"/>
        <v>AI provisional</v>
      </c>
      <c r="K974" s="5" t="str">
        <f t="shared" si="31"/>
        <v>U</v>
      </c>
      <c r="L974" s="5" t="s">
        <v>790</v>
      </c>
      <c r="M974" s="5" t="s">
        <v>4902</v>
      </c>
      <c r="N974" s="5" t="s">
        <v>4885</v>
      </c>
      <c r="O974" s="5" t="s">
        <v>2883</v>
      </c>
      <c r="P974" s="5" t="s">
        <v>2858</v>
      </c>
      <c r="Q974" s="11">
        <v>46306.5</v>
      </c>
      <c r="R974" s="6"/>
      <c r="S974" s="6"/>
      <c r="T974" s="6"/>
      <c r="U974" s="5">
        <f>MATCH(B974,Manual_Review!$A$6:$A$238,0)</f>
        <v>61</v>
      </c>
      <c r="V974" s="5" t="str">
        <f>IF(INDEX(Manual_Review!$G$6:$G$238,U974)="","",INDEX(Manual_Review!$G$6:$G$238,U974))</f>
        <v/>
      </c>
      <c r="W974" s="11" t="str">
        <f>IF(INDEX(Manual_Review!$H$6:$H$238,U974)="","",INDEX(Manual_Review!$H$6:$H$238,U974))</f>
        <v/>
      </c>
      <c r="X974" s="5" t="str">
        <f>IF(INDEX(Manual_Review!$I$6:$I$238,U974)="","",INDEX(Manual_Review!$I$6:$I$238,U974))</f>
        <v/>
      </c>
      <c r="Y974" s="5" t="s">
        <v>2859</v>
      </c>
    </row>
    <row r="975" spans="1:25" ht="38.25">
      <c r="A975" s="5" t="s">
        <v>4903</v>
      </c>
      <c r="B975" s="5" t="s">
        <v>777</v>
      </c>
      <c r="C975" s="5" t="s">
        <v>778</v>
      </c>
      <c r="D975" s="5" t="s">
        <v>118</v>
      </c>
      <c r="E975" s="5" t="s">
        <v>2790</v>
      </c>
      <c r="F975" s="5" t="s">
        <v>2760</v>
      </c>
      <c r="G975" s="5">
        <v>1</v>
      </c>
      <c r="H975" s="5" t="s">
        <v>2854</v>
      </c>
      <c r="I975" s="5" t="str">
        <f>IF(INDEX(Manual_Review!$T$6:$T$238,U975)="","",INDEX(Manual_Review!$T$6:$T$238,U975))</f>
        <v/>
      </c>
      <c r="J975" s="5" t="str">
        <f t="shared" si="30"/>
        <v>AI provisional</v>
      </c>
      <c r="K975" s="5" t="str">
        <f t="shared" si="31"/>
        <v>Y</v>
      </c>
      <c r="L975" s="5" t="s">
        <v>790</v>
      </c>
      <c r="M975" s="5" t="s">
        <v>4904</v>
      </c>
      <c r="N975" s="5" t="s">
        <v>4885</v>
      </c>
      <c r="O975" s="5" t="s">
        <v>2976</v>
      </c>
      <c r="P975" s="5" t="s">
        <v>2858</v>
      </c>
      <c r="Q975" s="11">
        <v>46306.5</v>
      </c>
      <c r="R975" s="6"/>
      <c r="S975" s="6"/>
      <c r="T975" s="6"/>
      <c r="U975" s="5">
        <f>MATCH(B975,Manual_Review!$A$6:$A$238,0)</f>
        <v>61</v>
      </c>
      <c r="V975" s="5" t="str">
        <f>IF(INDEX(Manual_Review!$G$6:$G$238,U975)="","",INDEX(Manual_Review!$G$6:$G$238,U975))</f>
        <v/>
      </c>
      <c r="W975" s="11" t="str">
        <f>IF(INDEX(Manual_Review!$H$6:$H$238,U975)="","",INDEX(Manual_Review!$H$6:$H$238,U975))</f>
        <v/>
      </c>
      <c r="X975" s="5" t="str">
        <f>IF(INDEX(Manual_Review!$I$6:$I$238,U975)="","",INDEX(Manual_Review!$I$6:$I$238,U975))</f>
        <v/>
      </c>
      <c r="Y975" s="5" t="s">
        <v>2859</v>
      </c>
    </row>
    <row r="976" spans="1:25" ht="38.25">
      <c r="A976" s="5" t="s">
        <v>4905</v>
      </c>
      <c r="B976" s="5" t="s">
        <v>777</v>
      </c>
      <c r="C976" s="5" t="s">
        <v>778</v>
      </c>
      <c r="D976" s="5" t="s">
        <v>118</v>
      </c>
      <c r="E976" s="5" t="s">
        <v>2791</v>
      </c>
      <c r="F976" s="5" t="s">
        <v>2760</v>
      </c>
      <c r="G976" s="5">
        <v>1</v>
      </c>
      <c r="H976" s="5" t="s">
        <v>2864</v>
      </c>
      <c r="I976" s="5" t="str">
        <f>IF(INDEX(Manual_Review!$U$6:$U$238,U976)="","",INDEX(Manual_Review!$U$6:$U$238,U976))</f>
        <v/>
      </c>
      <c r="J976" s="5" t="str">
        <f t="shared" si="30"/>
        <v>AI provisional</v>
      </c>
      <c r="K976" s="5" t="str">
        <f t="shared" si="31"/>
        <v>U</v>
      </c>
      <c r="L976" s="5" t="s">
        <v>790</v>
      </c>
      <c r="M976" s="5" t="s">
        <v>4906</v>
      </c>
      <c r="N976" s="5" t="s">
        <v>4885</v>
      </c>
      <c r="O976" s="5" t="s">
        <v>2888</v>
      </c>
      <c r="P976" s="5" t="s">
        <v>2858</v>
      </c>
      <c r="Q976" s="11">
        <v>46306.5</v>
      </c>
      <c r="R976" s="6"/>
      <c r="S976" s="6"/>
      <c r="T976" s="6"/>
      <c r="U976" s="5">
        <f>MATCH(B976,Manual_Review!$A$6:$A$238,0)</f>
        <v>61</v>
      </c>
      <c r="V976" s="5" t="str">
        <f>IF(INDEX(Manual_Review!$G$6:$G$238,U976)="","",INDEX(Manual_Review!$G$6:$G$238,U976))</f>
        <v/>
      </c>
      <c r="W976" s="11" t="str">
        <f>IF(INDEX(Manual_Review!$H$6:$H$238,U976)="","",INDEX(Manual_Review!$H$6:$H$238,U976))</f>
        <v/>
      </c>
      <c r="X976" s="5" t="str">
        <f>IF(INDEX(Manual_Review!$I$6:$I$238,U976)="","",INDEX(Manual_Review!$I$6:$I$238,U976))</f>
        <v/>
      </c>
      <c r="Y976" s="5" t="s">
        <v>2859</v>
      </c>
    </row>
    <row r="977" spans="1:25" ht="38.25">
      <c r="A977" s="5" t="s">
        <v>4907</v>
      </c>
      <c r="B977" s="5" t="s">
        <v>777</v>
      </c>
      <c r="C977" s="5" t="s">
        <v>778</v>
      </c>
      <c r="D977" s="5" t="s">
        <v>118</v>
      </c>
      <c r="E977" s="5" t="s">
        <v>2792</v>
      </c>
      <c r="F977" s="5" t="s">
        <v>2762</v>
      </c>
      <c r="G977" s="5">
        <v>1</v>
      </c>
      <c r="H977" s="5" t="s">
        <v>2854</v>
      </c>
      <c r="I977" s="5" t="str">
        <f>IF(INDEX(Manual_Review!$V$6:$V$238,U977)="","",INDEX(Manual_Review!$V$6:$V$238,U977))</f>
        <v/>
      </c>
      <c r="J977" s="5" t="str">
        <f t="shared" si="30"/>
        <v>AI provisional</v>
      </c>
      <c r="K977" s="5" t="str">
        <f t="shared" si="31"/>
        <v>Y</v>
      </c>
      <c r="L977" s="5" t="s">
        <v>790</v>
      </c>
      <c r="M977" s="5" t="s">
        <v>4908</v>
      </c>
      <c r="N977" s="5" t="s">
        <v>4885</v>
      </c>
      <c r="O977" s="5" t="s">
        <v>3152</v>
      </c>
      <c r="P977" s="5" t="s">
        <v>2858</v>
      </c>
      <c r="Q977" s="11">
        <v>46306.5</v>
      </c>
      <c r="R977" s="6"/>
      <c r="S977" s="6"/>
      <c r="T977" s="6"/>
      <c r="U977" s="5">
        <f>MATCH(B977,Manual_Review!$A$6:$A$238,0)</f>
        <v>61</v>
      </c>
      <c r="V977" s="5" t="str">
        <f>IF(INDEX(Manual_Review!$G$6:$G$238,U977)="","",INDEX(Manual_Review!$G$6:$G$238,U977))</f>
        <v/>
      </c>
      <c r="W977" s="11" t="str">
        <f>IF(INDEX(Manual_Review!$H$6:$H$238,U977)="","",INDEX(Manual_Review!$H$6:$H$238,U977))</f>
        <v/>
      </c>
      <c r="X977" s="5" t="str">
        <f>IF(INDEX(Manual_Review!$I$6:$I$238,U977)="","",INDEX(Manual_Review!$I$6:$I$238,U977))</f>
        <v/>
      </c>
      <c r="Y977" s="5" t="s">
        <v>2859</v>
      </c>
    </row>
    <row r="978" spans="1:25" ht="38.25">
      <c r="A978" s="5" t="s">
        <v>4909</v>
      </c>
      <c r="B978" s="5" t="s">
        <v>777</v>
      </c>
      <c r="C978" s="5" t="s">
        <v>778</v>
      </c>
      <c r="D978" s="5" t="s">
        <v>118</v>
      </c>
      <c r="E978" s="5" t="s">
        <v>2793</v>
      </c>
      <c r="F978" s="5" t="s">
        <v>2762</v>
      </c>
      <c r="G978" s="5">
        <v>1</v>
      </c>
      <c r="H978" s="5" t="s">
        <v>2854</v>
      </c>
      <c r="I978" s="5" t="str">
        <f>IF(INDEX(Manual_Review!$W$6:$W$238,U978)="","",INDEX(Manual_Review!$W$6:$W$238,U978))</f>
        <v/>
      </c>
      <c r="J978" s="5" t="str">
        <f t="shared" si="30"/>
        <v>AI provisional</v>
      </c>
      <c r="K978" s="5" t="str">
        <f t="shared" si="31"/>
        <v>Y</v>
      </c>
      <c r="L978" s="5" t="s">
        <v>790</v>
      </c>
      <c r="M978" s="5" t="s">
        <v>4910</v>
      </c>
      <c r="N978" s="5" t="s">
        <v>4885</v>
      </c>
      <c r="O978" s="5" t="s">
        <v>3077</v>
      </c>
      <c r="P978" s="5" t="s">
        <v>2858</v>
      </c>
      <c r="Q978" s="11">
        <v>46306.5</v>
      </c>
      <c r="R978" s="6"/>
      <c r="S978" s="6"/>
      <c r="T978" s="6"/>
      <c r="U978" s="5">
        <f>MATCH(B978,Manual_Review!$A$6:$A$238,0)</f>
        <v>61</v>
      </c>
      <c r="V978" s="5" t="str">
        <f>IF(INDEX(Manual_Review!$G$6:$G$238,U978)="","",INDEX(Manual_Review!$G$6:$G$238,U978))</f>
        <v/>
      </c>
      <c r="W978" s="11" t="str">
        <f>IF(INDEX(Manual_Review!$H$6:$H$238,U978)="","",INDEX(Manual_Review!$H$6:$H$238,U978))</f>
        <v/>
      </c>
      <c r="X978" s="5" t="str">
        <f>IF(INDEX(Manual_Review!$I$6:$I$238,U978)="","",INDEX(Manual_Review!$I$6:$I$238,U978))</f>
        <v/>
      </c>
      <c r="Y978" s="5" t="s">
        <v>2859</v>
      </c>
    </row>
    <row r="979" spans="1:25" ht="38.25">
      <c r="A979" s="5" t="s">
        <v>4911</v>
      </c>
      <c r="B979" s="5" t="s">
        <v>777</v>
      </c>
      <c r="C979" s="5" t="s">
        <v>778</v>
      </c>
      <c r="D979" s="5" t="s">
        <v>118</v>
      </c>
      <c r="E979" s="5" t="s">
        <v>2794</v>
      </c>
      <c r="F979" s="5" t="s">
        <v>2764</v>
      </c>
      <c r="G979" s="5">
        <v>1</v>
      </c>
      <c r="H979" s="5" t="s">
        <v>2854</v>
      </c>
      <c r="I979" s="5" t="str">
        <f>IF(INDEX(Manual_Review!$X$6:$X$238,U979)="","",INDEX(Manual_Review!$X$6:$X$238,U979))</f>
        <v/>
      </c>
      <c r="J979" s="5" t="str">
        <f t="shared" si="30"/>
        <v>AI provisional</v>
      </c>
      <c r="K979" s="5" t="str">
        <f t="shared" si="31"/>
        <v>Y</v>
      </c>
      <c r="L979" s="5" t="s">
        <v>790</v>
      </c>
      <c r="M979" s="5" t="s">
        <v>4912</v>
      </c>
      <c r="N979" s="5" t="s">
        <v>4885</v>
      </c>
      <c r="O979" s="5" t="s">
        <v>2984</v>
      </c>
      <c r="P979" s="5" t="s">
        <v>2858</v>
      </c>
      <c r="Q979" s="11">
        <v>46306.5</v>
      </c>
      <c r="R979" s="6"/>
      <c r="S979" s="6"/>
      <c r="T979" s="6"/>
      <c r="U979" s="5">
        <f>MATCH(B979,Manual_Review!$A$6:$A$238,0)</f>
        <v>61</v>
      </c>
      <c r="V979" s="5" t="str">
        <f>IF(INDEX(Manual_Review!$G$6:$G$238,U979)="","",INDEX(Manual_Review!$G$6:$G$238,U979))</f>
        <v/>
      </c>
      <c r="W979" s="11" t="str">
        <f>IF(INDEX(Manual_Review!$H$6:$H$238,U979)="","",INDEX(Manual_Review!$H$6:$H$238,U979))</f>
        <v/>
      </c>
      <c r="X979" s="5" t="str">
        <f>IF(INDEX(Manual_Review!$I$6:$I$238,U979)="","",INDEX(Manual_Review!$I$6:$I$238,U979))</f>
        <v/>
      </c>
      <c r="Y979" s="5" t="s">
        <v>2859</v>
      </c>
    </row>
    <row r="980" spans="1:25" ht="38.25">
      <c r="A980" s="5" t="s">
        <v>4913</v>
      </c>
      <c r="B980" s="5" t="s">
        <v>777</v>
      </c>
      <c r="C980" s="5" t="s">
        <v>778</v>
      </c>
      <c r="D980" s="5" t="s">
        <v>118</v>
      </c>
      <c r="E980" s="5" t="s">
        <v>2795</v>
      </c>
      <c r="F980" s="5" t="s">
        <v>2764</v>
      </c>
      <c r="G980" s="5">
        <v>1</v>
      </c>
      <c r="H980" s="5" t="s">
        <v>2854</v>
      </c>
      <c r="I980" s="5" t="str">
        <f>IF(INDEX(Manual_Review!$Y$6:$Y$238,U980)="","",INDEX(Manual_Review!$Y$6:$Y$238,U980))</f>
        <v/>
      </c>
      <c r="J980" s="5" t="str">
        <f t="shared" si="30"/>
        <v>AI provisional</v>
      </c>
      <c r="K980" s="5" t="str">
        <f t="shared" si="31"/>
        <v>Y</v>
      </c>
      <c r="L980" s="5" t="s">
        <v>790</v>
      </c>
      <c r="M980" s="5" t="s">
        <v>4914</v>
      </c>
      <c r="N980" s="5" t="s">
        <v>4885</v>
      </c>
      <c r="O980" s="5" t="s">
        <v>3082</v>
      </c>
      <c r="P980" s="5" t="s">
        <v>2858</v>
      </c>
      <c r="Q980" s="11">
        <v>46306.5</v>
      </c>
      <c r="R980" s="6"/>
      <c r="S980" s="6"/>
      <c r="T980" s="6"/>
      <c r="U980" s="5">
        <f>MATCH(B980,Manual_Review!$A$6:$A$238,0)</f>
        <v>61</v>
      </c>
      <c r="V980" s="5" t="str">
        <f>IF(INDEX(Manual_Review!$G$6:$G$238,U980)="","",INDEX(Manual_Review!$G$6:$G$238,U980))</f>
        <v/>
      </c>
      <c r="W980" s="11" t="str">
        <f>IF(INDEX(Manual_Review!$H$6:$H$238,U980)="","",INDEX(Manual_Review!$H$6:$H$238,U980))</f>
        <v/>
      </c>
      <c r="X980" s="5" t="str">
        <f>IF(INDEX(Manual_Review!$I$6:$I$238,U980)="","",INDEX(Manual_Review!$I$6:$I$238,U980))</f>
        <v/>
      </c>
      <c r="Y980" s="5" t="s">
        <v>2859</v>
      </c>
    </row>
    <row r="981" spans="1:25" ht="38.25">
      <c r="A981" s="5" t="s">
        <v>4915</v>
      </c>
      <c r="B981" s="5" t="s">
        <v>777</v>
      </c>
      <c r="C981" s="5" t="s">
        <v>778</v>
      </c>
      <c r="D981" s="5" t="s">
        <v>118</v>
      </c>
      <c r="E981" s="5" t="s">
        <v>2796</v>
      </c>
      <c r="F981" s="5" t="s">
        <v>2764</v>
      </c>
      <c r="G981" s="5">
        <v>1</v>
      </c>
      <c r="H981" s="5" t="s">
        <v>2854</v>
      </c>
      <c r="I981" s="5" t="str">
        <f>IF(INDEX(Manual_Review!$Z$6:$Z$238,U981)="","",INDEX(Manual_Review!$Z$6:$Z$238,U981))</f>
        <v/>
      </c>
      <c r="J981" s="5" t="str">
        <f t="shared" si="30"/>
        <v>AI provisional</v>
      </c>
      <c r="K981" s="5" t="str">
        <f t="shared" si="31"/>
        <v>Y</v>
      </c>
      <c r="L981" s="5" t="s">
        <v>790</v>
      </c>
      <c r="M981" s="5" t="s">
        <v>4916</v>
      </c>
      <c r="N981" s="5" t="s">
        <v>4885</v>
      </c>
      <c r="O981" s="5" t="s">
        <v>3085</v>
      </c>
      <c r="P981" s="5" t="s">
        <v>2858</v>
      </c>
      <c r="Q981" s="11">
        <v>46306.5</v>
      </c>
      <c r="R981" s="6"/>
      <c r="S981" s="6"/>
      <c r="T981" s="6"/>
      <c r="U981" s="5">
        <f>MATCH(B981,Manual_Review!$A$6:$A$238,0)</f>
        <v>61</v>
      </c>
      <c r="V981" s="5" t="str">
        <f>IF(INDEX(Manual_Review!$G$6:$G$238,U981)="","",INDEX(Manual_Review!$G$6:$G$238,U981))</f>
        <v/>
      </c>
      <c r="W981" s="11" t="str">
        <f>IF(INDEX(Manual_Review!$H$6:$H$238,U981)="","",INDEX(Manual_Review!$H$6:$H$238,U981))</f>
        <v/>
      </c>
      <c r="X981" s="5" t="str">
        <f>IF(INDEX(Manual_Review!$I$6:$I$238,U981)="","",INDEX(Manual_Review!$I$6:$I$238,U981))</f>
        <v/>
      </c>
      <c r="Y981" s="5" t="s">
        <v>2859</v>
      </c>
    </row>
    <row r="982" spans="1:25" ht="38.25">
      <c r="A982" s="5" t="s">
        <v>4917</v>
      </c>
      <c r="B982" s="5" t="s">
        <v>792</v>
      </c>
      <c r="C982" s="5" t="s">
        <v>793</v>
      </c>
      <c r="D982" s="5" t="s">
        <v>118</v>
      </c>
      <c r="E982" s="5" t="s">
        <v>2781</v>
      </c>
      <c r="F982" s="5" t="s">
        <v>2754</v>
      </c>
      <c r="G982" s="5">
        <v>1</v>
      </c>
      <c r="H982" s="5" t="s">
        <v>2854</v>
      </c>
      <c r="I982" s="5" t="str">
        <f>IF(INDEX(Manual_Review!$K$6:$K$238,U982)="","",INDEX(Manual_Review!$K$6:$K$238,U982))</f>
        <v/>
      </c>
      <c r="J982" s="5" t="str">
        <f t="shared" si="30"/>
        <v>AI provisional</v>
      </c>
      <c r="K982" s="5" t="str">
        <f t="shared" si="31"/>
        <v>Y</v>
      </c>
      <c r="L982" s="5" t="s">
        <v>801</v>
      </c>
      <c r="M982" s="5" t="s">
        <v>4918</v>
      </c>
      <c r="N982" s="5" t="s">
        <v>4919</v>
      </c>
      <c r="O982" s="5" t="s">
        <v>2857</v>
      </c>
      <c r="P982" s="5" t="s">
        <v>2858</v>
      </c>
      <c r="Q982" s="11">
        <v>46306.5</v>
      </c>
      <c r="R982" s="6"/>
      <c r="S982" s="6"/>
      <c r="T982" s="6"/>
      <c r="U982" s="5">
        <f>MATCH(B982,Manual_Review!$A$6:$A$238,0)</f>
        <v>62</v>
      </c>
      <c r="V982" s="5" t="str">
        <f>IF(INDEX(Manual_Review!$G$6:$G$238,U982)="","",INDEX(Manual_Review!$G$6:$G$238,U982))</f>
        <v/>
      </c>
      <c r="W982" s="11" t="str">
        <f>IF(INDEX(Manual_Review!$H$6:$H$238,U982)="","",INDEX(Manual_Review!$H$6:$H$238,U982))</f>
        <v/>
      </c>
      <c r="X982" s="5" t="str">
        <f>IF(INDEX(Manual_Review!$I$6:$I$238,U982)="","",INDEX(Manual_Review!$I$6:$I$238,U982))</f>
        <v/>
      </c>
      <c r="Y982" s="5" t="s">
        <v>2859</v>
      </c>
    </row>
    <row r="983" spans="1:25" ht="38.25">
      <c r="A983" s="5" t="s">
        <v>4920</v>
      </c>
      <c r="B983" s="5" t="s">
        <v>792</v>
      </c>
      <c r="C983" s="5" t="s">
        <v>793</v>
      </c>
      <c r="D983" s="5" t="s">
        <v>118</v>
      </c>
      <c r="E983" s="5" t="s">
        <v>2782</v>
      </c>
      <c r="F983" s="5" t="s">
        <v>2754</v>
      </c>
      <c r="G983" s="5">
        <v>1</v>
      </c>
      <c r="H983" s="5" t="s">
        <v>2854</v>
      </c>
      <c r="I983" s="5" t="str">
        <f>IF(INDEX(Manual_Review!$L$6:$L$238,U983)="","",INDEX(Manual_Review!$L$6:$L$238,U983))</f>
        <v/>
      </c>
      <c r="J983" s="5" t="str">
        <f t="shared" si="30"/>
        <v>AI provisional</v>
      </c>
      <c r="K983" s="5" t="str">
        <f t="shared" si="31"/>
        <v>Y</v>
      </c>
      <c r="L983" s="5" t="s">
        <v>801</v>
      </c>
      <c r="M983" s="5" t="s">
        <v>4921</v>
      </c>
      <c r="N983" s="5" t="s">
        <v>4919</v>
      </c>
      <c r="O983" s="5" t="s">
        <v>2862</v>
      </c>
      <c r="P983" s="5" t="s">
        <v>2858</v>
      </c>
      <c r="Q983" s="11">
        <v>46306.5</v>
      </c>
      <c r="R983" s="6"/>
      <c r="S983" s="6"/>
      <c r="T983" s="6"/>
      <c r="U983" s="5">
        <f>MATCH(B983,Manual_Review!$A$6:$A$238,0)</f>
        <v>62</v>
      </c>
      <c r="V983" s="5" t="str">
        <f>IF(INDEX(Manual_Review!$G$6:$G$238,U983)="","",INDEX(Manual_Review!$G$6:$G$238,U983))</f>
        <v/>
      </c>
      <c r="W983" s="11" t="str">
        <f>IF(INDEX(Manual_Review!$H$6:$H$238,U983)="","",INDEX(Manual_Review!$H$6:$H$238,U983))</f>
        <v/>
      </c>
      <c r="X983" s="5" t="str">
        <f>IF(INDEX(Manual_Review!$I$6:$I$238,U983)="","",INDEX(Manual_Review!$I$6:$I$238,U983))</f>
        <v/>
      </c>
      <c r="Y983" s="5" t="s">
        <v>2859</v>
      </c>
    </row>
    <row r="984" spans="1:25" ht="38.25">
      <c r="A984" s="5" t="s">
        <v>4922</v>
      </c>
      <c r="B984" s="5" t="s">
        <v>792</v>
      </c>
      <c r="C984" s="5" t="s">
        <v>793</v>
      </c>
      <c r="D984" s="5" t="s">
        <v>118</v>
      </c>
      <c r="E984" s="5" t="s">
        <v>2783</v>
      </c>
      <c r="F984" s="5" t="s">
        <v>2754</v>
      </c>
      <c r="G984" s="5">
        <v>1</v>
      </c>
      <c r="H984" s="5" t="s">
        <v>2854</v>
      </c>
      <c r="I984" s="5" t="str">
        <f>IF(INDEX(Manual_Review!$M$6:$M$238,U984)="","",INDEX(Manual_Review!$M$6:$M$238,U984))</f>
        <v/>
      </c>
      <c r="J984" s="5" t="str">
        <f t="shared" si="30"/>
        <v>AI provisional</v>
      </c>
      <c r="K984" s="5" t="str">
        <f t="shared" si="31"/>
        <v>Y</v>
      </c>
      <c r="L984" s="5" t="s">
        <v>801</v>
      </c>
      <c r="M984" s="5" t="s">
        <v>4923</v>
      </c>
      <c r="N984" s="5" t="s">
        <v>4919</v>
      </c>
      <c r="O984" s="5" t="s">
        <v>3133</v>
      </c>
      <c r="P984" s="5" t="s">
        <v>2858</v>
      </c>
      <c r="Q984" s="11">
        <v>46306.5</v>
      </c>
      <c r="R984" s="6"/>
      <c r="S984" s="6"/>
      <c r="T984" s="6"/>
      <c r="U984" s="5">
        <f>MATCH(B984,Manual_Review!$A$6:$A$238,0)</f>
        <v>62</v>
      </c>
      <c r="V984" s="5" t="str">
        <f>IF(INDEX(Manual_Review!$G$6:$G$238,U984)="","",INDEX(Manual_Review!$G$6:$G$238,U984))</f>
        <v/>
      </c>
      <c r="W984" s="11" t="str">
        <f>IF(INDEX(Manual_Review!$H$6:$H$238,U984)="","",INDEX(Manual_Review!$H$6:$H$238,U984))</f>
        <v/>
      </c>
      <c r="X984" s="5" t="str">
        <f>IF(INDEX(Manual_Review!$I$6:$I$238,U984)="","",INDEX(Manual_Review!$I$6:$I$238,U984))</f>
        <v/>
      </c>
      <c r="Y984" s="5" t="s">
        <v>2859</v>
      </c>
    </row>
    <row r="985" spans="1:25" ht="38.25">
      <c r="A985" s="5" t="s">
        <v>4924</v>
      </c>
      <c r="B985" s="5" t="s">
        <v>792</v>
      </c>
      <c r="C985" s="5" t="s">
        <v>793</v>
      </c>
      <c r="D985" s="5" t="s">
        <v>118</v>
      </c>
      <c r="E985" s="5" t="s">
        <v>2784</v>
      </c>
      <c r="F985" s="5" t="s">
        <v>2756</v>
      </c>
      <c r="G985" s="5">
        <v>1</v>
      </c>
      <c r="H985" s="5" t="s">
        <v>2854</v>
      </c>
      <c r="I985" s="5" t="str">
        <f>IF(INDEX(Manual_Review!$N$6:$N$238,U985)="","",INDEX(Manual_Review!$N$6:$N$238,U985))</f>
        <v/>
      </c>
      <c r="J985" s="5" t="str">
        <f t="shared" si="30"/>
        <v>AI provisional</v>
      </c>
      <c r="K985" s="5" t="str">
        <f t="shared" si="31"/>
        <v>Y</v>
      </c>
      <c r="L985" s="5" t="s">
        <v>801</v>
      </c>
      <c r="M985" s="5" t="s">
        <v>4925</v>
      </c>
      <c r="N985" s="5" t="s">
        <v>4919</v>
      </c>
      <c r="O985" s="5" t="s">
        <v>2963</v>
      </c>
      <c r="P985" s="5" t="s">
        <v>2858</v>
      </c>
      <c r="Q985" s="11">
        <v>46306.5</v>
      </c>
      <c r="R985" s="6"/>
      <c r="S985" s="6"/>
      <c r="T985" s="6"/>
      <c r="U985" s="5">
        <f>MATCH(B985,Manual_Review!$A$6:$A$238,0)</f>
        <v>62</v>
      </c>
      <c r="V985" s="5" t="str">
        <f>IF(INDEX(Manual_Review!$G$6:$G$238,U985)="","",INDEX(Manual_Review!$G$6:$G$238,U985))</f>
        <v/>
      </c>
      <c r="W985" s="11" t="str">
        <f>IF(INDEX(Manual_Review!$H$6:$H$238,U985)="","",INDEX(Manual_Review!$H$6:$H$238,U985))</f>
        <v/>
      </c>
      <c r="X985" s="5" t="str">
        <f>IF(INDEX(Manual_Review!$I$6:$I$238,U985)="","",INDEX(Manual_Review!$I$6:$I$238,U985))</f>
        <v/>
      </c>
      <c r="Y985" s="5" t="s">
        <v>2859</v>
      </c>
    </row>
    <row r="986" spans="1:25" ht="38.25">
      <c r="A986" s="5" t="s">
        <v>4926</v>
      </c>
      <c r="B986" s="5" t="s">
        <v>792</v>
      </c>
      <c r="C986" s="5" t="s">
        <v>793</v>
      </c>
      <c r="D986" s="5" t="s">
        <v>118</v>
      </c>
      <c r="E986" s="5" t="s">
        <v>2785</v>
      </c>
      <c r="F986" s="5" t="s">
        <v>2756</v>
      </c>
      <c r="G986" s="5">
        <v>1</v>
      </c>
      <c r="H986" s="5" t="s">
        <v>2854</v>
      </c>
      <c r="I986" s="5" t="str">
        <f>IF(INDEX(Manual_Review!$O$6:$O$238,U986)="","",INDEX(Manual_Review!$O$6:$O$238,U986))</f>
        <v/>
      </c>
      <c r="J986" s="5" t="str">
        <f t="shared" si="30"/>
        <v>AI provisional</v>
      </c>
      <c r="K986" s="5" t="str">
        <f t="shared" si="31"/>
        <v>Y</v>
      </c>
      <c r="L986" s="5" t="s">
        <v>801</v>
      </c>
      <c r="M986" s="5" t="s">
        <v>4927</v>
      </c>
      <c r="N986" s="5" t="s">
        <v>4919</v>
      </c>
      <c r="O986" s="5" t="s">
        <v>3138</v>
      </c>
      <c r="P986" s="5" t="s">
        <v>2858</v>
      </c>
      <c r="Q986" s="11">
        <v>46306.5</v>
      </c>
      <c r="R986" s="6"/>
      <c r="S986" s="6"/>
      <c r="T986" s="6"/>
      <c r="U986" s="5">
        <f>MATCH(B986,Manual_Review!$A$6:$A$238,0)</f>
        <v>62</v>
      </c>
      <c r="V986" s="5" t="str">
        <f>IF(INDEX(Manual_Review!$G$6:$G$238,U986)="","",INDEX(Manual_Review!$G$6:$G$238,U986))</f>
        <v/>
      </c>
      <c r="W986" s="11" t="str">
        <f>IF(INDEX(Manual_Review!$H$6:$H$238,U986)="","",INDEX(Manual_Review!$H$6:$H$238,U986))</f>
        <v/>
      </c>
      <c r="X986" s="5" t="str">
        <f>IF(INDEX(Manual_Review!$I$6:$I$238,U986)="","",INDEX(Manual_Review!$I$6:$I$238,U986))</f>
        <v/>
      </c>
      <c r="Y986" s="5" t="s">
        <v>2859</v>
      </c>
    </row>
    <row r="987" spans="1:25" ht="38.25">
      <c r="A987" s="5" t="s">
        <v>4928</v>
      </c>
      <c r="B987" s="5" t="s">
        <v>792</v>
      </c>
      <c r="C987" s="5" t="s">
        <v>793</v>
      </c>
      <c r="D987" s="5" t="s">
        <v>118</v>
      </c>
      <c r="E987" s="5" t="s">
        <v>2786</v>
      </c>
      <c r="F987" s="5" t="s">
        <v>2756</v>
      </c>
      <c r="G987" s="5">
        <v>1</v>
      </c>
      <c r="H987" s="5" t="s">
        <v>2864</v>
      </c>
      <c r="I987" s="5" t="str">
        <f>IF(INDEX(Manual_Review!$P$6:$P$238,U987)="","",INDEX(Manual_Review!$P$6:$P$238,U987))</f>
        <v/>
      </c>
      <c r="J987" s="5" t="str">
        <f t="shared" si="30"/>
        <v>AI provisional</v>
      </c>
      <c r="K987" s="5" t="str">
        <f t="shared" si="31"/>
        <v>U</v>
      </c>
      <c r="L987" s="5" t="s">
        <v>801</v>
      </c>
      <c r="M987" s="5" t="s">
        <v>4929</v>
      </c>
      <c r="N987" s="5" t="s">
        <v>4919</v>
      </c>
      <c r="O987" s="5" t="s">
        <v>2874</v>
      </c>
      <c r="P987" s="5" t="s">
        <v>2858</v>
      </c>
      <c r="Q987" s="11">
        <v>46306.5</v>
      </c>
      <c r="R987" s="6"/>
      <c r="S987" s="6"/>
      <c r="T987" s="6"/>
      <c r="U987" s="5">
        <f>MATCH(B987,Manual_Review!$A$6:$A$238,0)</f>
        <v>62</v>
      </c>
      <c r="V987" s="5" t="str">
        <f>IF(INDEX(Manual_Review!$G$6:$G$238,U987)="","",INDEX(Manual_Review!$G$6:$G$238,U987))</f>
        <v/>
      </c>
      <c r="W987" s="11" t="str">
        <f>IF(INDEX(Manual_Review!$H$6:$H$238,U987)="","",INDEX(Manual_Review!$H$6:$H$238,U987))</f>
        <v/>
      </c>
      <c r="X987" s="5" t="str">
        <f>IF(INDEX(Manual_Review!$I$6:$I$238,U987)="","",INDEX(Manual_Review!$I$6:$I$238,U987))</f>
        <v/>
      </c>
      <c r="Y987" s="5" t="s">
        <v>2859</v>
      </c>
    </row>
    <row r="988" spans="1:25" ht="38.25">
      <c r="A988" s="5" t="s">
        <v>4930</v>
      </c>
      <c r="B988" s="5" t="s">
        <v>792</v>
      </c>
      <c r="C988" s="5" t="s">
        <v>793</v>
      </c>
      <c r="D988" s="5" t="s">
        <v>118</v>
      </c>
      <c r="E988" s="5" t="s">
        <v>2787</v>
      </c>
      <c r="F988" s="5" t="s">
        <v>2758</v>
      </c>
      <c r="G988" s="5">
        <v>1</v>
      </c>
      <c r="H988" s="5" t="s">
        <v>2854</v>
      </c>
      <c r="I988" s="5" t="str">
        <f>IF(INDEX(Manual_Review!$Q$6:$Q$238,U988)="","",INDEX(Manual_Review!$Q$6:$Q$238,U988))</f>
        <v/>
      </c>
      <c r="J988" s="5" t="str">
        <f t="shared" si="30"/>
        <v>AI provisional</v>
      </c>
      <c r="K988" s="5" t="str">
        <f t="shared" si="31"/>
        <v>Y</v>
      </c>
      <c r="L988" s="5" t="s">
        <v>801</v>
      </c>
      <c r="M988" s="5" t="s">
        <v>4931</v>
      </c>
      <c r="N988" s="5" t="s">
        <v>4919</v>
      </c>
      <c r="O988" s="5" t="s">
        <v>2969</v>
      </c>
      <c r="P988" s="5" t="s">
        <v>2858</v>
      </c>
      <c r="Q988" s="11">
        <v>46306.5</v>
      </c>
      <c r="R988" s="6"/>
      <c r="S988" s="6"/>
      <c r="T988" s="6"/>
      <c r="U988" s="5">
        <f>MATCH(B988,Manual_Review!$A$6:$A$238,0)</f>
        <v>62</v>
      </c>
      <c r="V988" s="5" t="str">
        <f>IF(INDEX(Manual_Review!$G$6:$G$238,U988)="","",INDEX(Manual_Review!$G$6:$G$238,U988))</f>
        <v/>
      </c>
      <c r="W988" s="11" t="str">
        <f>IF(INDEX(Manual_Review!$H$6:$H$238,U988)="","",INDEX(Manual_Review!$H$6:$H$238,U988))</f>
        <v/>
      </c>
      <c r="X988" s="5" t="str">
        <f>IF(INDEX(Manual_Review!$I$6:$I$238,U988)="","",INDEX(Manual_Review!$I$6:$I$238,U988))</f>
        <v/>
      </c>
      <c r="Y988" s="5" t="s">
        <v>2859</v>
      </c>
    </row>
    <row r="989" spans="1:25" ht="38.25">
      <c r="A989" s="5" t="s">
        <v>4932</v>
      </c>
      <c r="B989" s="5" t="s">
        <v>792</v>
      </c>
      <c r="C989" s="5" t="s">
        <v>793</v>
      </c>
      <c r="D989" s="5" t="s">
        <v>118</v>
      </c>
      <c r="E989" s="5" t="s">
        <v>2788</v>
      </c>
      <c r="F989" s="5" t="s">
        <v>2758</v>
      </c>
      <c r="G989" s="5">
        <v>1</v>
      </c>
      <c r="H989" s="5" t="s">
        <v>2854</v>
      </c>
      <c r="I989" s="5" t="str">
        <f>IF(INDEX(Manual_Review!$R$6:$R$238,U989)="","",INDEX(Manual_Review!$R$6:$R$238,U989))</f>
        <v/>
      </c>
      <c r="J989" s="5" t="str">
        <f t="shared" si="30"/>
        <v>AI provisional</v>
      </c>
      <c r="K989" s="5" t="str">
        <f t="shared" si="31"/>
        <v>Y</v>
      </c>
      <c r="L989" s="5" t="s">
        <v>801</v>
      </c>
      <c r="M989" s="5" t="s">
        <v>4933</v>
      </c>
      <c r="N989" s="5" t="s">
        <v>4919</v>
      </c>
      <c r="O989" s="5" t="s">
        <v>3067</v>
      </c>
      <c r="P989" s="5" t="s">
        <v>2858</v>
      </c>
      <c r="Q989" s="11">
        <v>46306.5</v>
      </c>
      <c r="R989" s="6"/>
      <c r="S989" s="6"/>
      <c r="T989" s="6"/>
      <c r="U989" s="5">
        <f>MATCH(B989,Manual_Review!$A$6:$A$238,0)</f>
        <v>62</v>
      </c>
      <c r="V989" s="5" t="str">
        <f>IF(INDEX(Manual_Review!$G$6:$G$238,U989)="","",INDEX(Manual_Review!$G$6:$G$238,U989))</f>
        <v/>
      </c>
      <c r="W989" s="11" t="str">
        <f>IF(INDEX(Manual_Review!$H$6:$H$238,U989)="","",INDEX(Manual_Review!$H$6:$H$238,U989))</f>
        <v/>
      </c>
      <c r="X989" s="5" t="str">
        <f>IF(INDEX(Manual_Review!$I$6:$I$238,U989)="","",INDEX(Manual_Review!$I$6:$I$238,U989))</f>
        <v/>
      </c>
      <c r="Y989" s="5" t="s">
        <v>2859</v>
      </c>
    </row>
    <row r="990" spans="1:25" ht="38.25">
      <c r="A990" s="5" t="s">
        <v>4934</v>
      </c>
      <c r="B990" s="5" t="s">
        <v>792</v>
      </c>
      <c r="C990" s="5" t="s">
        <v>793</v>
      </c>
      <c r="D990" s="5" t="s">
        <v>118</v>
      </c>
      <c r="E990" s="5" t="s">
        <v>2789</v>
      </c>
      <c r="F990" s="5" t="s">
        <v>2758</v>
      </c>
      <c r="G990" s="5">
        <v>1</v>
      </c>
      <c r="H990" s="5" t="s">
        <v>2854</v>
      </c>
      <c r="I990" s="5" t="str">
        <f>IF(INDEX(Manual_Review!$S$6:$S$238,U990)="","",INDEX(Manual_Review!$S$6:$S$238,U990))</f>
        <v/>
      </c>
      <c r="J990" s="5" t="str">
        <f t="shared" si="30"/>
        <v>AI provisional</v>
      </c>
      <c r="K990" s="5" t="str">
        <f t="shared" si="31"/>
        <v>Y</v>
      </c>
      <c r="L990" s="5" t="s">
        <v>801</v>
      </c>
      <c r="M990" s="5" t="s">
        <v>4935</v>
      </c>
      <c r="N990" s="5" t="s">
        <v>4919</v>
      </c>
      <c r="O990" s="5" t="s">
        <v>3178</v>
      </c>
      <c r="P990" s="5" t="s">
        <v>2858</v>
      </c>
      <c r="Q990" s="11">
        <v>46306.5</v>
      </c>
      <c r="R990" s="6"/>
      <c r="S990" s="6"/>
      <c r="T990" s="6"/>
      <c r="U990" s="5">
        <f>MATCH(B990,Manual_Review!$A$6:$A$238,0)</f>
        <v>62</v>
      </c>
      <c r="V990" s="5" t="str">
        <f>IF(INDEX(Manual_Review!$G$6:$G$238,U990)="","",INDEX(Manual_Review!$G$6:$G$238,U990))</f>
        <v/>
      </c>
      <c r="W990" s="11" t="str">
        <f>IF(INDEX(Manual_Review!$H$6:$H$238,U990)="","",INDEX(Manual_Review!$H$6:$H$238,U990))</f>
        <v/>
      </c>
      <c r="X990" s="5" t="str">
        <f>IF(INDEX(Manual_Review!$I$6:$I$238,U990)="","",INDEX(Manual_Review!$I$6:$I$238,U990))</f>
        <v/>
      </c>
      <c r="Y990" s="5" t="s">
        <v>2859</v>
      </c>
    </row>
    <row r="991" spans="1:25" ht="38.25">
      <c r="A991" s="5" t="s">
        <v>4936</v>
      </c>
      <c r="B991" s="5" t="s">
        <v>792</v>
      </c>
      <c r="C991" s="5" t="s">
        <v>793</v>
      </c>
      <c r="D991" s="5" t="s">
        <v>118</v>
      </c>
      <c r="E991" s="5" t="s">
        <v>2790</v>
      </c>
      <c r="F991" s="5" t="s">
        <v>2760</v>
      </c>
      <c r="G991" s="5">
        <v>1</v>
      </c>
      <c r="H991" s="5" t="s">
        <v>2864</v>
      </c>
      <c r="I991" s="5" t="str">
        <f>IF(INDEX(Manual_Review!$T$6:$T$238,U991)="","",INDEX(Manual_Review!$T$6:$T$238,U991))</f>
        <v/>
      </c>
      <c r="J991" s="5" t="str">
        <f t="shared" si="30"/>
        <v>AI provisional</v>
      </c>
      <c r="K991" s="5" t="str">
        <f t="shared" si="31"/>
        <v>U</v>
      </c>
      <c r="L991" s="5" t="s">
        <v>801</v>
      </c>
      <c r="M991" s="5" t="s">
        <v>4937</v>
      </c>
      <c r="N991" s="5" t="s">
        <v>4919</v>
      </c>
      <c r="O991" s="5" t="s">
        <v>2885</v>
      </c>
      <c r="P991" s="5" t="s">
        <v>2858</v>
      </c>
      <c r="Q991" s="11">
        <v>46306.5</v>
      </c>
      <c r="R991" s="6"/>
      <c r="S991" s="6"/>
      <c r="T991" s="6"/>
      <c r="U991" s="5">
        <f>MATCH(B991,Manual_Review!$A$6:$A$238,0)</f>
        <v>62</v>
      </c>
      <c r="V991" s="5" t="str">
        <f>IF(INDEX(Manual_Review!$G$6:$G$238,U991)="","",INDEX(Manual_Review!$G$6:$G$238,U991))</f>
        <v/>
      </c>
      <c r="W991" s="11" t="str">
        <f>IF(INDEX(Manual_Review!$H$6:$H$238,U991)="","",INDEX(Manual_Review!$H$6:$H$238,U991))</f>
        <v/>
      </c>
      <c r="X991" s="5" t="str">
        <f>IF(INDEX(Manual_Review!$I$6:$I$238,U991)="","",INDEX(Manual_Review!$I$6:$I$238,U991))</f>
        <v/>
      </c>
      <c r="Y991" s="5" t="s">
        <v>2859</v>
      </c>
    </row>
    <row r="992" spans="1:25" ht="38.25">
      <c r="A992" s="5" t="s">
        <v>4938</v>
      </c>
      <c r="B992" s="5" t="s">
        <v>792</v>
      </c>
      <c r="C992" s="5" t="s">
        <v>793</v>
      </c>
      <c r="D992" s="5" t="s">
        <v>118</v>
      </c>
      <c r="E992" s="5" t="s">
        <v>2791</v>
      </c>
      <c r="F992" s="5" t="s">
        <v>2760</v>
      </c>
      <c r="G992" s="5">
        <v>1</v>
      </c>
      <c r="H992" s="5" t="s">
        <v>2854</v>
      </c>
      <c r="I992" s="5" t="str">
        <f>IF(INDEX(Manual_Review!$U$6:$U$238,U992)="","",INDEX(Manual_Review!$U$6:$U$238,U992))</f>
        <v/>
      </c>
      <c r="J992" s="5" t="str">
        <f t="shared" si="30"/>
        <v>AI provisional</v>
      </c>
      <c r="K992" s="5" t="str">
        <f t="shared" si="31"/>
        <v>Y</v>
      </c>
      <c r="L992" s="5" t="s">
        <v>801</v>
      </c>
      <c r="M992" s="5" t="s">
        <v>4939</v>
      </c>
      <c r="N992" s="5" t="s">
        <v>4919</v>
      </c>
      <c r="O992" s="5" t="s">
        <v>3380</v>
      </c>
      <c r="P992" s="5" t="s">
        <v>2858</v>
      </c>
      <c r="Q992" s="11">
        <v>46306.5</v>
      </c>
      <c r="R992" s="6"/>
      <c r="S992" s="6"/>
      <c r="T992" s="6"/>
      <c r="U992" s="5">
        <f>MATCH(B992,Manual_Review!$A$6:$A$238,0)</f>
        <v>62</v>
      </c>
      <c r="V992" s="5" t="str">
        <f>IF(INDEX(Manual_Review!$G$6:$G$238,U992)="","",INDEX(Manual_Review!$G$6:$G$238,U992))</f>
        <v/>
      </c>
      <c r="W992" s="11" t="str">
        <f>IF(INDEX(Manual_Review!$H$6:$H$238,U992)="","",INDEX(Manual_Review!$H$6:$H$238,U992))</f>
        <v/>
      </c>
      <c r="X992" s="5" t="str">
        <f>IF(INDEX(Manual_Review!$I$6:$I$238,U992)="","",INDEX(Manual_Review!$I$6:$I$238,U992))</f>
        <v/>
      </c>
      <c r="Y992" s="5" t="s">
        <v>2859</v>
      </c>
    </row>
    <row r="993" spans="1:25" ht="38.25">
      <c r="A993" s="5" t="s">
        <v>4940</v>
      </c>
      <c r="B993" s="5" t="s">
        <v>792</v>
      </c>
      <c r="C993" s="5" t="s">
        <v>793</v>
      </c>
      <c r="D993" s="5" t="s">
        <v>118</v>
      </c>
      <c r="E993" s="5" t="s">
        <v>2792</v>
      </c>
      <c r="F993" s="5" t="s">
        <v>2762</v>
      </c>
      <c r="G993" s="5">
        <v>1</v>
      </c>
      <c r="H993" s="5" t="s">
        <v>2864</v>
      </c>
      <c r="I993" s="5" t="str">
        <f>IF(INDEX(Manual_Review!$V$6:$V$238,U993)="","",INDEX(Manual_Review!$V$6:$V$238,U993))</f>
        <v/>
      </c>
      <c r="J993" s="5" t="str">
        <f t="shared" si="30"/>
        <v>AI provisional</v>
      </c>
      <c r="K993" s="5" t="str">
        <f t="shared" si="31"/>
        <v>U</v>
      </c>
      <c r="L993" s="5" t="s">
        <v>801</v>
      </c>
      <c r="M993" s="5" t="s">
        <v>4937</v>
      </c>
      <c r="N993" s="5" t="s">
        <v>4919</v>
      </c>
      <c r="O993" s="5" t="s">
        <v>2891</v>
      </c>
      <c r="P993" s="5" t="s">
        <v>2858</v>
      </c>
      <c r="Q993" s="11">
        <v>46306.5</v>
      </c>
      <c r="R993" s="6"/>
      <c r="S993" s="6"/>
      <c r="T993" s="6"/>
      <c r="U993" s="5">
        <f>MATCH(B993,Manual_Review!$A$6:$A$238,0)</f>
        <v>62</v>
      </c>
      <c r="V993" s="5" t="str">
        <f>IF(INDEX(Manual_Review!$G$6:$G$238,U993)="","",INDEX(Manual_Review!$G$6:$G$238,U993))</f>
        <v/>
      </c>
      <c r="W993" s="11" t="str">
        <f>IF(INDEX(Manual_Review!$H$6:$H$238,U993)="","",INDEX(Manual_Review!$H$6:$H$238,U993))</f>
        <v/>
      </c>
      <c r="X993" s="5" t="str">
        <f>IF(INDEX(Manual_Review!$I$6:$I$238,U993)="","",INDEX(Manual_Review!$I$6:$I$238,U993))</f>
        <v/>
      </c>
      <c r="Y993" s="5" t="s">
        <v>2859</v>
      </c>
    </row>
    <row r="994" spans="1:25" ht="38.25">
      <c r="A994" s="5" t="s">
        <v>4941</v>
      </c>
      <c r="B994" s="5" t="s">
        <v>792</v>
      </c>
      <c r="C994" s="5" t="s">
        <v>793</v>
      </c>
      <c r="D994" s="5" t="s">
        <v>118</v>
      </c>
      <c r="E994" s="5" t="s">
        <v>2793</v>
      </c>
      <c r="F994" s="5" t="s">
        <v>2762</v>
      </c>
      <c r="G994" s="5">
        <v>1</v>
      </c>
      <c r="H994" s="5" t="s">
        <v>2864</v>
      </c>
      <c r="I994" s="5" t="str">
        <f>IF(INDEX(Manual_Review!$W$6:$W$238,U994)="","",INDEX(Manual_Review!$W$6:$W$238,U994))</f>
        <v/>
      </c>
      <c r="J994" s="5" t="str">
        <f t="shared" si="30"/>
        <v>AI provisional</v>
      </c>
      <c r="K994" s="5" t="str">
        <f t="shared" si="31"/>
        <v>U</v>
      </c>
      <c r="L994" s="5" t="s">
        <v>801</v>
      </c>
      <c r="M994" s="5" t="s">
        <v>4937</v>
      </c>
      <c r="N994" s="5" t="s">
        <v>4919</v>
      </c>
      <c r="O994" s="5" t="s">
        <v>2893</v>
      </c>
      <c r="P994" s="5" t="s">
        <v>2858</v>
      </c>
      <c r="Q994" s="11">
        <v>46306.5</v>
      </c>
      <c r="R994" s="6"/>
      <c r="S994" s="6"/>
      <c r="T994" s="6"/>
      <c r="U994" s="5">
        <f>MATCH(B994,Manual_Review!$A$6:$A$238,0)</f>
        <v>62</v>
      </c>
      <c r="V994" s="5" t="str">
        <f>IF(INDEX(Manual_Review!$G$6:$G$238,U994)="","",INDEX(Manual_Review!$G$6:$G$238,U994))</f>
        <v/>
      </c>
      <c r="W994" s="11" t="str">
        <f>IF(INDEX(Manual_Review!$H$6:$H$238,U994)="","",INDEX(Manual_Review!$H$6:$H$238,U994))</f>
        <v/>
      </c>
      <c r="X994" s="5" t="str">
        <f>IF(INDEX(Manual_Review!$I$6:$I$238,U994)="","",INDEX(Manual_Review!$I$6:$I$238,U994))</f>
        <v/>
      </c>
      <c r="Y994" s="5" t="s">
        <v>2859</v>
      </c>
    </row>
    <row r="995" spans="1:25" ht="38.25">
      <c r="A995" s="5" t="s">
        <v>4942</v>
      </c>
      <c r="B995" s="5" t="s">
        <v>792</v>
      </c>
      <c r="C995" s="5" t="s">
        <v>793</v>
      </c>
      <c r="D995" s="5" t="s">
        <v>118</v>
      </c>
      <c r="E995" s="5" t="s">
        <v>2794</v>
      </c>
      <c r="F995" s="5" t="s">
        <v>2764</v>
      </c>
      <c r="G995" s="5">
        <v>1</v>
      </c>
      <c r="H995" s="5" t="s">
        <v>2864</v>
      </c>
      <c r="I995" s="5" t="str">
        <f>IF(INDEX(Manual_Review!$X$6:$X$238,U995)="","",INDEX(Manual_Review!$X$6:$X$238,U995))</f>
        <v/>
      </c>
      <c r="J995" s="5" t="str">
        <f t="shared" si="30"/>
        <v>AI provisional</v>
      </c>
      <c r="K995" s="5" t="str">
        <f t="shared" si="31"/>
        <v>U</v>
      </c>
      <c r="L995" s="5" t="s">
        <v>801</v>
      </c>
      <c r="M995" s="5" t="s">
        <v>4937</v>
      </c>
      <c r="N995" s="5" t="s">
        <v>4919</v>
      </c>
      <c r="O995" s="5" t="s">
        <v>2895</v>
      </c>
      <c r="P995" s="5" t="s">
        <v>2858</v>
      </c>
      <c r="Q995" s="11">
        <v>46306.5</v>
      </c>
      <c r="R995" s="6"/>
      <c r="S995" s="6"/>
      <c r="T995" s="6"/>
      <c r="U995" s="5">
        <f>MATCH(B995,Manual_Review!$A$6:$A$238,0)</f>
        <v>62</v>
      </c>
      <c r="V995" s="5" t="str">
        <f>IF(INDEX(Manual_Review!$G$6:$G$238,U995)="","",INDEX(Manual_Review!$G$6:$G$238,U995))</f>
        <v/>
      </c>
      <c r="W995" s="11" t="str">
        <f>IF(INDEX(Manual_Review!$H$6:$H$238,U995)="","",INDEX(Manual_Review!$H$6:$H$238,U995))</f>
        <v/>
      </c>
      <c r="X995" s="5" t="str">
        <f>IF(INDEX(Manual_Review!$I$6:$I$238,U995)="","",INDEX(Manual_Review!$I$6:$I$238,U995))</f>
        <v/>
      </c>
      <c r="Y995" s="5" t="s">
        <v>2859</v>
      </c>
    </row>
    <row r="996" spans="1:25" ht="38.25">
      <c r="A996" s="5" t="s">
        <v>4943</v>
      </c>
      <c r="B996" s="5" t="s">
        <v>792</v>
      </c>
      <c r="C996" s="5" t="s">
        <v>793</v>
      </c>
      <c r="D996" s="5" t="s">
        <v>118</v>
      </c>
      <c r="E996" s="5" t="s">
        <v>2795</v>
      </c>
      <c r="F996" s="5" t="s">
        <v>2764</v>
      </c>
      <c r="G996" s="5">
        <v>1</v>
      </c>
      <c r="H996" s="5" t="s">
        <v>2864</v>
      </c>
      <c r="I996" s="5" t="str">
        <f>IF(INDEX(Manual_Review!$Y$6:$Y$238,U996)="","",INDEX(Manual_Review!$Y$6:$Y$238,U996))</f>
        <v/>
      </c>
      <c r="J996" s="5" t="str">
        <f t="shared" si="30"/>
        <v>AI provisional</v>
      </c>
      <c r="K996" s="5" t="str">
        <f t="shared" si="31"/>
        <v>U</v>
      </c>
      <c r="L996" s="5" t="s">
        <v>801</v>
      </c>
      <c r="M996" s="5" t="s">
        <v>4937</v>
      </c>
      <c r="N996" s="5" t="s">
        <v>4919</v>
      </c>
      <c r="O996" s="5" t="s">
        <v>2897</v>
      </c>
      <c r="P996" s="5" t="s">
        <v>2858</v>
      </c>
      <c r="Q996" s="11">
        <v>46306.5</v>
      </c>
      <c r="R996" s="6"/>
      <c r="S996" s="6"/>
      <c r="T996" s="6"/>
      <c r="U996" s="5">
        <f>MATCH(B996,Manual_Review!$A$6:$A$238,0)</f>
        <v>62</v>
      </c>
      <c r="V996" s="5" t="str">
        <f>IF(INDEX(Manual_Review!$G$6:$G$238,U996)="","",INDEX(Manual_Review!$G$6:$G$238,U996))</f>
        <v/>
      </c>
      <c r="W996" s="11" t="str">
        <f>IF(INDEX(Manual_Review!$H$6:$H$238,U996)="","",INDEX(Manual_Review!$H$6:$H$238,U996))</f>
        <v/>
      </c>
      <c r="X996" s="5" t="str">
        <f>IF(INDEX(Manual_Review!$I$6:$I$238,U996)="","",INDEX(Manual_Review!$I$6:$I$238,U996))</f>
        <v/>
      </c>
      <c r="Y996" s="5" t="s">
        <v>2859</v>
      </c>
    </row>
    <row r="997" spans="1:25" ht="38.25">
      <c r="A997" s="5" t="s">
        <v>4944</v>
      </c>
      <c r="B997" s="5" t="s">
        <v>792</v>
      </c>
      <c r="C997" s="5" t="s">
        <v>793</v>
      </c>
      <c r="D997" s="5" t="s">
        <v>118</v>
      </c>
      <c r="E997" s="5" t="s">
        <v>2796</v>
      </c>
      <c r="F997" s="5" t="s">
        <v>2764</v>
      </c>
      <c r="G997" s="5">
        <v>1</v>
      </c>
      <c r="H997" s="5" t="s">
        <v>2854</v>
      </c>
      <c r="I997" s="5" t="str">
        <f>IF(INDEX(Manual_Review!$Z$6:$Z$238,U997)="","",INDEX(Manual_Review!$Z$6:$Z$238,U997))</f>
        <v/>
      </c>
      <c r="J997" s="5" t="str">
        <f t="shared" si="30"/>
        <v>AI provisional</v>
      </c>
      <c r="K997" s="5" t="str">
        <f t="shared" si="31"/>
        <v>Y</v>
      </c>
      <c r="L997" s="5" t="s">
        <v>801</v>
      </c>
      <c r="M997" s="5" t="s">
        <v>4945</v>
      </c>
      <c r="N997" s="5" t="s">
        <v>4919</v>
      </c>
      <c r="O997" s="5" t="s">
        <v>3085</v>
      </c>
      <c r="P997" s="5" t="s">
        <v>2858</v>
      </c>
      <c r="Q997" s="11">
        <v>46306.5</v>
      </c>
      <c r="R997" s="6"/>
      <c r="S997" s="6"/>
      <c r="T997" s="6"/>
      <c r="U997" s="5">
        <f>MATCH(B997,Manual_Review!$A$6:$A$238,0)</f>
        <v>62</v>
      </c>
      <c r="V997" s="5" t="str">
        <f>IF(INDEX(Manual_Review!$G$6:$G$238,U997)="","",INDEX(Manual_Review!$G$6:$G$238,U997))</f>
        <v/>
      </c>
      <c r="W997" s="11" t="str">
        <f>IF(INDEX(Manual_Review!$H$6:$H$238,U997)="","",INDEX(Manual_Review!$H$6:$H$238,U997))</f>
        <v/>
      </c>
      <c r="X997" s="5" t="str">
        <f>IF(INDEX(Manual_Review!$I$6:$I$238,U997)="","",INDEX(Manual_Review!$I$6:$I$238,U997))</f>
        <v/>
      </c>
      <c r="Y997" s="5" t="s">
        <v>2859</v>
      </c>
    </row>
    <row r="998" spans="1:25" ht="25.5">
      <c r="A998" s="5" t="s">
        <v>4946</v>
      </c>
      <c r="B998" s="5" t="s">
        <v>803</v>
      </c>
      <c r="C998" s="5" t="s">
        <v>804</v>
      </c>
      <c r="D998" s="5" t="s">
        <v>118</v>
      </c>
      <c r="E998" s="5" t="s">
        <v>2781</v>
      </c>
      <c r="F998" s="5" t="s">
        <v>2754</v>
      </c>
      <c r="G998" s="5">
        <v>1</v>
      </c>
      <c r="H998" s="5" t="s">
        <v>2854</v>
      </c>
      <c r="I998" s="5" t="str">
        <f>IF(INDEX(Manual_Review!$K$6:$K$238,U998)="","",INDEX(Manual_Review!$K$6:$K$238,U998))</f>
        <v/>
      </c>
      <c r="J998" s="5" t="str">
        <f t="shared" si="30"/>
        <v>AI provisional</v>
      </c>
      <c r="K998" s="5" t="str">
        <f t="shared" si="31"/>
        <v>Y</v>
      </c>
      <c r="L998" s="5" t="s">
        <v>810</v>
      </c>
      <c r="M998" s="5" t="s">
        <v>4947</v>
      </c>
      <c r="N998" s="5" t="s">
        <v>4948</v>
      </c>
      <c r="O998" s="5" t="s">
        <v>2857</v>
      </c>
      <c r="P998" s="5" t="s">
        <v>2858</v>
      </c>
      <c r="Q998" s="11">
        <v>46306.5</v>
      </c>
      <c r="R998" s="6"/>
      <c r="S998" s="6"/>
      <c r="T998" s="6"/>
      <c r="U998" s="5">
        <f>MATCH(B998,Manual_Review!$A$6:$A$238,0)</f>
        <v>63</v>
      </c>
      <c r="V998" s="5" t="str">
        <f>IF(INDEX(Manual_Review!$G$6:$G$238,U998)="","",INDEX(Manual_Review!$G$6:$G$238,U998))</f>
        <v/>
      </c>
      <c r="W998" s="11" t="str">
        <f>IF(INDEX(Manual_Review!$H$6:$H$238,U998)="","",INDEX(Manual_Review!$H$6:$H$238,U998))</f>
        <v/>
      </c>
      <c r="X998" s="5" t="str">
        <f>IF(INDEX(Manual_Review!$I$6:$I$238,U998)="","",INDEX(Manual_Review!$I$6:$I$238,U998))</f>
        <v/>
      </c>
      <c r="Y998" s="5" t="s">
        <v>2859</v>
      </c>
    </row>
    <row r="999" spans="1:25" ht="25.5">
      <c r="A999" s="5" t="s">
        <v>4949</v>
      </c>
      <c r="B999" s="5" t="s">
        <v>803</v>
      </c>
      <c r="C999" s="5" t="s">
        <v>804</v>
      </c>
      <c r="D999" s="5" t="s">
        <v>118</v>
      </c>
      <c r="E999" s="5" t="s">
        <v>2782</v>
      </c>
      <c r="F999" s="5" t="s">
        <v>2754</v>
      </c>
      <c r="G999" s="5">
        <v>1</v>
      </c>
      <c r="H999" s="5" t="s">
        <v>2854</v>
      </c>
      <c r="I999" s="5" t="str">
        <f>IF(INDEX(Manual_Review!$L$6:$L$238,U999)="","",INDEX(Manual_Review!$L$6:$L$238,U999))</f>
        <v/>
      </c>
      <c r="J999" s="5" t="str">
        <f t="shared" si="30"/>
        <v>AI provisional</v>
      </c>
      <c r="K999" s="5" t="str">
        <f t="shared" si="31"/>
        <v>Y</v>
      </c>
      <c r="L999" s="5" t="s">
        <v>810</v>
      </c>
      <c r="M999" s="5" t="s">
        <v>4950</v>
      </c>
      <c r="N999" s="5" t="s">
        <v>4948</v>
      </c>
      <c r="O999" s="5" t="s">
        <v>2862</v>
      </c>
      <c r="P999" s="5" t="s">
        <v>2858</v>
      </c>
      <c r="Q999" s="11">
        <v>46306.5</v>
      </c>
      <c r="R999" s="6"/>
      <c r="S999" s="6"/>
      <c r="T999" s="6"/>
      <c r="U999" s="5">
        <f>MATCH(B999,Manual_Review!$A$6:$A$238,0)</f>
        <v>63</v>
      </c>
      <c r="V999" s="5" t="str">
        <f>IF(INDEX(Manual_Review!$G$6:$G$238,U999)="","",INDEX(Manual_Review!$G$6:$G$238,U999))</f>
        <v/>
      </c>
      <c r="W999" s="11" t="str">
        <f>IF(INDEX(Manual_Review!$H$6:$H$238,U999)="","",INDEX(Manual_Review!$H$6:$H$238,U999))</f>
        <v/>
      </c>
      <c r="X999" s="5" t="str">
        <f>IF(INDEX(Manual_Review!$I$6:$I$238,U999)="","",INDEX(Manual_Review!$I$6:$I$238,U999))</f>
        <v/>
      </c>
      <c r="Y999" s="5" t="s">
        <v>2859</v>
      </c>
    </row>
    <row r="1000" spans="1:25" ht="25.5">
      <c r="A1000" s="5" t="s">
        <v>4951</v>
      </c>
      <c r="B1000" s="5" t="s">
        <v>803</v>
      </c>
      <c r="C1000" s="5" t="s">
        <v>804</v>
      </c>
      <c r="D1000" s="5" t="s">
        <v>118</v>
      </c>
      <c r="E1000" s="5" t="s">
        <v>2783</v>
      </c>
      <c r="F1000" s="5" t="s">
        <v>2754</v>
      </c>
      <c r="G1000" s="5">
        <v>1</v>
      </c>
      <c r="H1000" s="5" t="s">
        <v>2854</v>
      </c>
      <c r="I1000" s="5" t="str">
        <f>IF(INDEX(Manual_Review!$M$6:$M$238,U1000)="","",INDEX(Manual_Review!$M$6:$M$238,U1000))</f>
        <v/>
      </c>
      <c r="J1000" s="5" t="str">
        <f t="shared" si="30"/>
        <v>AI provisional</v>
      </c>
      <c r="K1000" s="5" t="str">
        <f t="shared" si="31"/>
        <v>Y</v>
      </c>
      <c r="L1000" s="5" t="s">
        <v>810</v>
      </c>
      <c r="M1000" s="5" t="s">
        <v>4952</v>
      </c>
      <c r="N1000" s="5" t="s">
        <v>4948</v>
      </c>
      <c r="O1000" s="5" t="s">
        <v>3133</v>
      </c>
      <c r="P1000" s="5" t="s">
        <v>2858</v>
      </c>
      <c r="Q1000" s="11">
        <v>46306.5</v>
      </c>
      <c r="R1000" s="6"/>
      <c r="S1000" s="6"/>
      <c r="T1000" s="6"/>
      <c r="U1000" s="5">
        <f>MATCH(B1000,Manual_Review!$A$6:$A$238,0)</f>
        <v>63</v>
      </c>
      <c r="V1000" s="5" t="str">
        <f>IF(INDEX(Manual_Review!$G$6:$G$238,U1000)="","",INDEX(Manual_Review!$G$6:$G$238,U1000))</f>
        <v/>
      </c>
      <c r="W1000" s="11" t="str">
        <f>IF(INDEX(Manual_Review!$H$6:$H$238,U1000)="","",INDEX(Manual_Review!$H$6:$H$238,U1000))</f>
        <v/>
      </c>
      <c r="X1000" s="5" t="str">
        <f>IF(INDEX(Manual_Review!$I$6:$I$238,U1000)="","",INDEX(Manual_Review!$I$6:$I$238,U1000))</f>
        <v/>
      </c>
      <c r="Y1000" s="5" t="s">
        <v>2859</v>
      </c>
    </row>
    <row r="1001" spans="1:25" ht="25.5">
      <c r="A1001" s="5" t="s">
        <v>4953</v>
      </c>
      <c r="B1001" s="5" t="s">
        <v>803</v>
      </c>
      <c r="C1001" s="5" t="s">
        <v>804</v>
      </c>
      <c r="D1001" s="5" t="s">
        <v>118</v>
      </c>
      <c r="E1001" s="5" t="s">
        <v>2784</v>
      </c>
      <c r="F1001" s="5" t="s">
        <v>2756</v>
      </c>
      <c r="G1001" s="5">
        <v>1</v>
      </c>
      <c r="H1001" s="5" t="s">
        <v>2854</v>
      </c>
      <c r="I1001" s="5" t="str">
        <f>IF(INDEX(Manual_Review!$N$6:$N$238,U1001)="","",INDEX(Manual_Review!$N$6:$N$238,U1001))</f>
        <v/>
      </c>
      <c r="J1001" s="5" t="str">
        <f t="shared" si="30"/>
        <v>AI provisional</v>
      </c>
      <c r="K1001" s="5" t="str">
        <f t="shared" si="31"/>
        <v>Y</v>
      </c>
      <c r="L1001" s="5" t="s">
        <v>810</v>
      </c>
      <c r="M1001" s="5" t="s">
        <v>4954</v>
      </c>
      <c r="N1001" s="5" t="s">
        <v>4948</v>
      </c>
      <c r="O1001" s="5" t="s">
        <v>2963</v>
      </c>
      <c r="P1001" s="5" t="s">
        <v>2858</v>
      </c>
      <c r="Q1001" s="11">
        <v>46306.5</v>
      </c>
      <c r="R1001" s="6"/>
      <c r="S1001" s="6"/>
      <c r="T1001" s="6"/>
      <c r="U1001" s="5">
        <f>MATCH(B1001,Manual_Review!$A$6:$A$238,0)</f>
        <v>63</v>
      </c>
      <c r="V1001" s="5" t="str">
        <f>IF(INDEX(Manual_Review!$G$6:$G$238,U1001)="","",INDEX(Manual_Review!$G$6:$G$238,U1001))</f>
        <v/>
      </c>
      <c r="W1001" s="11" t="str">
        <f>IF(INDEX(Manual_Review!$H$6:$H$238,U1001)="","",INDEX(Manual_Review!$H$6:$H$238,U1001))</f>
        <v/>
      </c>
      <c r="X1001" s="5" t="str">
        <f>IF(INDEX(Manual_Review!$I$6:$I$238,U1001)="","",INDEX(Manual_Review!$I$6:$I$238,U1001))</f>
        <v/>
      </c>
      <c r="Y1001" s="5" t="s">
        <v>2859</v>
      </c>
    </row>
    <row r="1002" spans="1:25" ht="25.5">
      <c r="A1002" s="5" t="s">
        <v>4955</v>
      </c>
      <c r="B1002" s="5" t="s">
        <v>803</v>
      </c>
      <c r="C1002" s="5" t="s">
        <v>804</v>
      </c>
      <c r="D1002" s="5" t="s">
        <v>118</v>
      </c>
      <c r="E1002" s="5" t="s">
        <v>2785</v>
      </c>
      <c r="F1002" s="5" t="s">
        <v>2756</v>
      </c>
      <c r="G1002" s="5">
        <v>1</v>
      </c>
      <c r="H1002" s="5" t="s">
        <v>2864</v>
      </c>
      <c r="I1002" s="5" t="str">
        <f>IF(INDEX(Manual_Review!$O$6:$O$238,U1002)="","",INDEX(Manual_Review!$O$6:$O$238,U1002))</f>
        <v/>
      </c>
      <c r="J1002" s="5" t="str">
        <f t="shared" si="30"/>
        <v>AI provisional</v>
      </c>
      <c r="K1002" s="5" t="str">
        <f t="shared" si="31"/>
        <v>U</v>
      </c>
      <c r="L1002" s="5" t="s">
        <v>810</v>
      </c>
      <c r="M1002" s="5" t="s">
        <v>4956</v>
      </c>
      <c r="N1002" s="5" t="s">
        <v>4948</v>
      </c>
      <c r="O1002" s="5" t="s">
        <v>2872</v>
      </c>
      <c r="P1002" s="5" t="s">
        <v>2858</v>
      </c>
      <c r="Q1002" s="11">
        <v>46306.5</v>
      </c>
      <c r="R1002" s="6"/>
      <c r="S1002" s="6"/>
      <c r="T1002" s="6"/>
      <c r="U1002" s="5">
        <f>MATCH(B1002,Manual_Review!$A$6:$A$238,0)</f>
        <v>63</v>
      </c>
      <c r="V1002" s="5" t="str">
        <f>IF(INDEX(Manual_Review!$G$6:$G$238,U1002)="","",INDEX(Manual_Review!$G$6:$G$238,U1002))</f>
        <v/>
      </c>
      <c r="W1002" s="11" t="str">
        <f>IF(INDEX(Manual_Review!$H$6:$H$238,U1002)="","",INDEX(Manual_Review!$H$6:$H$238,U1002))</f>
        <v/>
      </c>
      <c r="X1002" s="5" t="str">
        <f>IF(INDEX(Manual_Review!$I$6:$I$238,U1002)="","",INDEX(Manual_Review!$I$6:$I$238,U1002))</f>
        <v/>
      </c>
      <c r="Y1002" s="5" t="s">
        <v>2859</v>
      </c>
    </row>
    <row r="1003" spans="1:25" ht="25.5">
      <c r="A1003" s="5" t="s">
        <v>4957</v>
      </c>
      <c r="B1003" s="5" t="s">
        <v>803</v>
      </c>
      <c r="C1003" s="5" t="s">
        <v>804</v>
      </c>
      <c r="D1003" s="5" t="s">
        <v>118</v>
      </c>
      <c r="E1003" s="5" t="s">
        <v>2786</v>
      </c>
      <c r="F1003" s="5" t="s">
        <v>2756</v>
      </c>
      <c r="G1003" s="5">
        <v>1</v>
      </c>
      <c r="H1003" s="5" t="s">
        <v>2864</v>
      </c>
      <c r="I1003" s="5" t="str">
        <f>IF(INDEX(Manual_Review!$P$6:$P$238,U1003)="","",INDEX(Manual_Review!$P$6:$P$238,U1003))</f>
        <v/>
      </c>
      <c r="J1003" s="5" t="str">
        <f t="shared" si="30"/>
        <v>AI provisional</v>
      </c>
      <c r="K1003" s="5" t="str">
        <f t="shared" si="31"/>
        <v>U</v>
      </c>
      <c r="L1003" s="5" t="s">
        <v>810</v>
      </c>
      <c r="M1003" s="5" t="s">
        <v>4958</v>
      </c>
      <c r="N1003" s="5" t="s">
        <v>4948</v>
      </c>
      <c r="O1003" s="5" t="s">
        <v>2874</v>
      </c>
      <c r="P1003" s="5" t="s">
        <v>2858</v>
      </c>
      <c r="Q1003" s="11">
        <v>46306.5</v>
      </c>
      <c r="R1003" s="6"/>
      <c r="S1003" s="6"/>
      <c r="T1003" s="6"/>
      <c r="U1003" s="5">
        <f>MATCH(B1003,Manual_Review!$A$6:$A$238,0)</f>
        <v>63</v>
      </c>
      <c r="V1003" s="5" t="str">
        <f>IF(INDEX(Manual_Review!$G$6:$G$238,U1003)="","",INDEX(Manual_Review!$G$6:$G$238,U1003))</f>
        <v/>
      </c>
      <c r="W1003" s="11" t="str">
        <f>IF(INDEX(Manual_Review!$H$6:$H$238,U1003)="","",INDEX(Manual_Review!$H$6:$H$238,U1003))</f>
        <v/>
      </c>
      <c r="X1003" s="5" t="str">
        <f>IF(INDEX(Manual_Review!$I$6:$I$238,U1003)="","",INDEX(Manual_Review!$I$6:$I$238,U1003))</f>
        <v/>
      </c>
      <c r="Y1003" s="5" t="s">
        <v>2859</v>
      </c>
    </row>
    <row r="1004" spans="1:25" ht="25.5">
      <c r="A1004" s="5" t="s">
        <v>4959</v>
      </c>
      <c r="B1004" s="5" t="s">
        <v>803</v>
      </c>
      <c r="C1004" s="5" t="s">
        <v>804</v>
      </c>
      <c r="D1004" s="5" t="s">
        <v>118</v>
      </c>
      <c r="E1004" s="5" t="s">
        <v>2787</v>
      </c>
      <c r="F1004" s="5" t="s">
        <v>2758</v>
      </c>
      <c r="G1004" s="5">
        <v>1</v>
      </c>
      <c r="H1004" s="5" t="s">
        <v>2864</v>
      </c>
      <c r="I1004" s="5" t="str">
        <f>IF(INDEX(Manual_Review!$Q$6:$Q$238,U1004)="","",INDEX(Manual_Review!$Q$6:$Q$238,U1004))</f>
        <v/>
      </c>
      <c r="J1004" s="5" t="str">
        <f t="shared" si="30"/>
        <v>AI provisional</v>
      </c>
      <c r="K1004" s="5" t="str">
        <f t="shared" si="31"/>
        <v>U</v>
      </c>
      <c r="L1004" s="5" t="s">
        <v>810</v>
      </c>
      <c r="M1004" s="5" t="s">
        <v>4960</v>
      </c>
      <c r="N1004" s="5" t="s">
        <v>4948</v>
      </c>
      <c r="O1004" s="5" t="s">
        <v>2877</v>
      </c>
      <c r="P1004" s="5" t="s">
        <v>2858</v>
      </c>
      <c r="Q1004" s="11">
        <v>46306.5</v>
      </c>
      <c r="R1004" s="6"/>
      <c r="S1004" s="6"/>
      <c r="T1004" s="6"/>
      <c r="U1004" s="5">
        <f>MATCH(B1004,Manual_Review!$A$6:$A$238,0)</f>
        <v>63</v>
      </c>
      <c r="V1004" s="5" t="str">
        <f>IF(INDEX(Manual_Review!$G$6:$G$238,U1004)="","",INDEX(Manual_Review!$G$6:$G$238,U1004))</f>
        <v/>
      </c>
      <c r="W1004" s="11" t="str">
        <f>IF(INDEX(Manual_Review!$H$6:$H$238,U1004)="","",INDEX(Manual_Review!$H$6:$H$238,U1004))</f>
        <v/>
      </c>
      <c r="X1004" s="5" t="str">
        <f>IF(INDEX(Manual_Review!$I$6:$I$238,U1004)="","",INDEX(Manual_Review!$I$6:$I$238,U1004))</f>
        <v/>
      </c>
      <c r="Y1004" s="5" t="s">
        <v>2859</v>
      </c>
    </row>
    <row r="1005" spans="1:25" ht="25.5">
      <c r="A1005" s="5" t="s">
        <v>4961</v>
      </c>
      <c r="B1005" s="5" t="s">
        <v>803</v>
      </c>
      <c r="C1005" s="5" t="s">
        <v>804</v>
      </c>
      <c r="D1005" s="5" t="s">
        <v>118</v>
      </c>
      <c r="E1005" s="5" t="s">
        <v>2788</v>
      </c>
      <c r="F1005" s="5" t="s">
        <v>2758</v>
      </c>
      <c r="G1005" s="5">
        <v>1</v>
      </c>
      <c r="H1005" s="5" t="s">
        <v>2854</v>
      </c>
      <c r="I1005" s="5" t="str">
        <f>IF(INDEX(Manual_Review!$R$6:$R$238,U1005)="","",INDEX(Manual_Review!$R$6:$R$238,U1005))</f>
        <v/>
      </c>
      <c r="J1005" s="5" t="str">
        <f t="shared" si="30"/>
        <v>AI provisional</v>
      </c>
      <c r="K1005" s="5" t="str">
        <f t="shared" si="31"/>
        <v>Y</v>
      </c>
      <c r="L1005" s="5" t="s">
        <v>810</v>
      </c>
      <c r="M1005" s="5" t="s">
        <v>4962</v>
      </c>
      <c r="N1005" s="5" t="s">
        <v>4948</v>
      </c>
      <c r="O1005" s="5" t="s">
        <v>3067</v>
      </c>
      <c r="P1005" s="5" t="s">
        <v>2858</v>
      </c>
      <c r="Q1005" s="11">
        <v>46306.5</v>
      </c>
      <c r="R1005" s="6"/>
      <c r="S1005" s="6"/>
      <c r="T1005" s="6"/>
      <c r="U1005" s="5">
        <f>MATCH(B1005,Manual_Review!$A$6:$A$238,0)</f>
        <v>63</v>
      </c>
      <c r="V1005" s="5" t="str">
        <f>IF(INDEX(Manual_Review!$G$6:$G$238,U1005)="","",INDEX(Manual_Review!$G$6:$G$238,U1005))</f>
        <v/>
      </c>
      <c r="W1005" s="11" t="str">
        <f>IF(INDEX(Manual_Review!$H$6:$H$238,U1005)="","",INDEX(Manual_Review!$H$6:$H$238,U1005))</f>
        <v/>
      </c>
      <c r="X1005" s="5" t="str">
        <f>IF(INDEX(Manual_Review!$I$6:$I$238,U1005)="","",INDEX(Manual_Review!$I$6:$I$238,U1005))</f>
        <v/>
      </c>
      <c r="Y1005" s="5" t="s">
        <v>2859</v>
      </c>
    </row>
    <row r="1006" spans="1:25" ht="25.5">
      <c r="A1006" s="5" t="s">
        <v>4963</v>
      </c>
      <c r="B1006" s="5" t="s">
        <v>803</v>
      </c>
      <c r="C1006" s="5" t="s">
        <v>804</v>
      </c>
      <c r="D1006" s="5" t="s">
        <v>118</v>
      </c>
      <c r="E1006" s="5" t="s">
        <v>2789</v>
      </c>
      <c r="F1006" s="5" t="s">
        <v>2758</v>
      </c>
      <c r="G1006" s="5">
        <v>1</v>
      </c>
      <c r="H1006" s="5" t="s">
        <v>2854</v>
      </c>
      <c r="I1006" s="5" t="str">
        <f>IF(INDEX(Manual_Review!$S$6:$S$238,U1006)="","",INDEX(Manual_Review!$S$6:$S$238,U1006))</f>
        <v/>
      </c>
      <c r="J1006" s="5" t="str">
        <f t="shared" si="30"/>
        <v>AI provisional</v>
      </c>
      <c r="K1006" s="5" t="str">
        <f t="shared" si="31"/>
        <v>Y</v>
      </c>
      <c r="L1006" s="5" t="s">
        <v>810</v>
      </c>
      <c r="M1006" s="5" t="s">
        <v>4964</v>
      </c>
      <c r="N1006" s="5" t="s">
        <v>4948</v>
      </c>
      <c r="O1006" s="5" t="s">
        <v>3178</v>
      </c>
      <c r="P1006" s="5" t="s">
        <v>2858</v>
      </c>
      <c r="Q1006" s="11">
        <v>46306.5</v>
      </c>
      <c r="R1006" s="6"/>
      <c r="S1006" s="6"/>
      <c r="T1006" s="6"/>
      <c r="U1006" s="5">
        <f>MATCH(B1006,Manual_Review!$A$6:$A$238,0)</f>
        <v>63</v>
      </c>
      <c r="V1006" s="5" t="str">
        <f>IF(INDEX(Manual_Review!$G$6:$G$238,U1006)="","",INDEX(Manual_Review!$G$6:$G$238,U1006))</f>
        <v/>
      </c>
      <c r="W1006" s="11" t="str">
        <f>IF(INDEX(Manual_Review!$H$6:$H$238,U1006)="","",INDEX(Manual_Review!$H$6:$H$238,U1006))</f>
        <v/>
      </c>
      <c r="X1006" s="5" t="str">
        <f>IF(INDEX(Manual_Review!$I$6:$I$238,U1006)="","",INDEX(Manual_Review!$I$6:$I$238,U1006))</f>
        <v/>
      </c>
      <c r="Y1006" s="5" t="s">
        <v>2859</v>
      </c>
    </row>
    <row r="1007" spans="1:25" ht="25.5">
      <c r="A1007" s="5" t="s">
        <v>4965</v>
      </c>
      <c r="B1007" s="5" t="s">
        <v>803</v>
      </c>
      <c r="C1007" s="5" t="s">
        <v>804</v>
      </c>
      <c r="D1007" s="5" t="s">
        <v>118</v>
      </c>
      <c r="E1007" s="5" t="s">
        <v>2790</v>
      </c>
      <c r="F1007" s="5" t="s">
        <v>2760</v>
      </c>
      <c r="G1007" s="5">
        <v>1</v>
      </c>
      <c r="H1007" s="5" t="s">
        <v>2854</v>
      </c>
      <c r="I1007" s="5" t="str">
        <f>IF(INDEX(Manual_Review!$T$6:$T$238,U1007)="","",INDEX(Manual_Review!$T$6:$T$238,U1007))</f>
        <v/>
      </c>
      <c r="J1007" s="5" t="str">
        <f t="shared" si="30"/>
        <v>AI provisional</v>
      </c>
      <c r="K1007" s="5" t="str">
        <f t="shared" si="31"/>
        <v>Y</v>
      </c>
      <c r="L1007" s="5" t="s">
        <v>810</v>
      </c>
      <c r="M1007" s="5" t="s">
        <v>4966</v>
      </c>
      <c r="N1007" s="5" t="s">
        <v>4948</v>
      </c>
      <c r="O1007" s="5" t="s">
        <v>2976</v>
      </c>
      <c r="P1007" s="5" t="s">
        <v>2858</v>
      </c>
      <c r="Q1007" s="11">
        <v>46306.5</v>
      </c>
      <c r="R1007" s="6"/>
      <c r="S1007" s="6"/>
      <c r="T1007" s="6"/>
      <c r="U1007" s="5">
        <f>MATCH(B1007,Manual_Review!$A$6:$A$238,0)</f>
        <v>63</v>
      </c>
      <c r="V1007" s="5" t="str">
        <f>IF(INDEX(Manual_Review!$G$6:$G$238,U1007)="","",INDEX(Manual_Review!$G$6:$G$238,U1007))</f>
        <v/>
      </c>
      <c r="W1007" s="11" t="str">
        <f>IF(INDEX(Manual_Review!$H$6:$H$238,U1007)="","",INDEX(Manual_Review!$H$6:$H$238,U1007))</f>
        <v/>
      </c>
      <c r="X1007" s="5" t="str">
        <f>IF(INDEX(Manual_Review!$I$6:$I$238,U1007)="","",INDEX(Manual_Review!$I$6:$I$238,U1007))</f>
        <v/>
      </c>
      <c r="Y1007" s="5" t="s">
        <v>2859</v>
      </c>
    </row>
    <row r="1008" spans="1:25" ht="25.5">
      <c r="A1008" s="5" t="s">
        <v>4967</v>
      </c>
      <c r="B1008" s="5" t="s">
        <v>803</v>
      </c>
      <c r="C1008" s="5" t="s">
        <v>804</v>
      </c>
      <c r="D1008" s="5" t="s">
        <v>118</v>
      </c>
      <c r="E1008" s="5" t="s">
        <v>2791</v>
      </c>
      <c r="F1008" s="5" t="s">
        <v>2760</v>
      </c>
      <c r="G1008" s="5">
        <v>1</v>
      </c>
      <c r="H1008" s="5" t="s">
        <v>2864</v>
      </c>
      <c r="I1008" s="5" t="str">
        <f>IF(INDEX(Manual_Review!$U$6:$U$238,U1008)="","",INDEX(Manual_Review!$U$6:$U$238,U1008))</f>
        <v/>
      </c>
      <c r="J1008" s="5" t="str">
        <f t="shared" si="30"/>
        <v>AI provisional</v>
      </c>
      <c r="K1008" s="5" t="str">
        <f t="shared" si="31"/>
        <v>U</v>
      </c>
      <c r="L1008" s="5" t="s">
        <v>810</v>
      </c>
      <c r="M1008" s="5" t="s">
        <v>4968</v>
      </c>
      <c r="N1008" s="5" t="s">
        <v>4948</v>
      </c>
      <c r="O1008" s="5" t="s">
        <v>2888</v>
      </c>
      <c r="P1008" s="5" t="s">
        <v>2858</v>
      </c>
      <c r="Q1008" s="11">
        <v>46306.5</v>
      </c>
      <c r="R1008" s="6"/>
      <c r="S1008" s="6"/>
      <c r="T1008" s="6"/>
      <c r="U1008" s="5">
        <f>MATCH(B1008,Manual_Review!$A$6:$A$238,0)</f>
        <v>63</v>
      </c>
      <c r="V1008" s="5" t="str">
        <f>IF(INDEX(Manual_Review!$G$6:$G$238,U1008)="","",INDEX(Manual_Review!$G$6:$G$238,U1008))</f>
        <v/>
      </c>
      <c r="W1008" s="11" t="str">
        <f>IF(INDEX(Manual_Review!$H$6:$H$238,U1008)="","",INDEX(Manual_Review!$H$6:$H$238,U1008))</f>
        <v/>
      </c>
      <c r="X1008" s="5" t="str">
        <f>IF(INDEX(Manual_Review!$I$6:$I$238,U1008)="","",INDEX(Manual_Review!$I$6:$I$238,U1008))</f>
        <v/>
      </c>
      <c r="Y1008" s="5" t="s">
        <v>2859</v>
      </c>
    </row>
    <row r="1009" spans="1:25" ht="25.5">
      <c r="A1009" s="5" t="s">
        <v>4969</v>
      </c>
      <c r="B1009" s="5" t="s">
        <v>803</v>
      </c>
      <c r="C1009" s="5" t="s">
        <v>804</v>
      </c>
      <c r="D1009" s="5" t="s">
        <v>118</v>
      </c>
      <c r="E1009" s="5" t="s">
        <v>2792</v>
      </c>
      <c r="F1009" s="5" t="s">
        <v>2762</v>
      </c>
      <c r="G1009" s="5">
        <v>1</v>
      </c>
      <c r="H1009" s="5" t="s">
        <v>2854</v>
      </c>
      <c r="I1009" s="5" t="str">
        <f>IF(INDEX(Manual_Review!$V$6:$V$238,U1009)="","",INDEX(Manual_Review!$V$6:$V$238,U1009))</f>
        <v/>
      </c>
      <c r="J1009" s="5" t="str">
        <f t="shared" si="30"/>
        <v>AI provisional</v>
      </c>
      <c r="K1009" s="5" t="str">
        <f t="shared" si="31"/>
        <v>Y</v>
      </c>
      <c r="L1009" s="5" t="s">
        <v>810</v>
      </c>
      <c r="M1009" s="5" t="s">
        <v>4970</v>
      </c>
      <c r="N1009" s="5" t="s">
        <v>4948</v>
      </c>
      <c r="O1009" s="5" t="s">
        <v>3152</v>
      </c>
      <c r="P1009" s="5" t="s">
        <v>2858</v>
      </c>
      <c r="Q1009" s="11">
        <v>46306.5</v>
      </c>
      <c r="R1009" s="6"/>
      <c r="S1009" s="6"/>
      <c r="T1009" s="6"/>
      <c r="U1009" s="5">
        <f>MATCH(B1009,Manual_Review!$A$6:$A$238,0)</f>
        <v>63</v>
      </c>
      <c r="V1009" s="5" t="str">
        <f>IF(INDEX(Manual_Review!$G$6:$G$238,U1009)="","",INDEX(Manual_Review!$G$6:$G$238,U1009))</f>
        <v/>
      </c>
      <c r="W1009" s="11" t="str">
        <f>IF(INDEX(Manual_Review!$H$6:$H$238,U1009)="","",INDEX(Manual_Review!$H$6:$H$238,U1009))</f>
        <v/>
      </c>
      <c r="X1009" s="5" t="str">
        <f>IF(INDEX(Manual_Review!$I$6:$I$238,U1009)="","",INDEX(Manual_Review!$I$6:$I$238,U1009))</f>
        <v/>
      </c>
      <c r="Y1009" s="5" t="s">
        <v>2859</v>
      </c>
    </row>
    <row r="1010" spans="1:25" ht="25.5">
      <c r="A1010" s="5" t="s">
        <v>4971</v>
      </c>
      <c r="B1010" s="5" t="s">
        <v>803</v>
      </c>
      <c r="C1010" s="5" t="s">
        <v>804</v>
      </c>
      <c r="D1010" s="5" t="s">
        <v>118</v>
      </c>
      <c r="E1010" s="5" t="s">
        <v>2793</v>
      </c>
      <c r="F1010" s="5" t="s">
        <v>2762</v>
      </c>
      <c r="G1010" s="5">
        <v>1</v>
      </c>
      <c r="H1010" s="5" t="s">
        <v>2854</v>
      </c>
      <c r="I1010" s="5" t="str">
        <f>IF(INDEX(Manual_Review!$W$6:$W$238,U1010)="","",INDEX(Manual_Review!$W$6:$W$238,U1010))</f>
        <v/>
      </c>
      <c r="J1010" s="5" t="str">
        <f t="shared" si="30"/>
        <v>AI provisional</v>
      </c>
      <c r="K1010" s="5" t="str">
        <f t="shared" si="31"/>
        <v>Y</v>
      </c>
      <c r="L1010" s="5" t="s">
        <v>810</v>
      </c>
      <c r="M1010" s="5" t="s">
        <v>4972</v>
      </c>
      <c r="N1010" s="5" t="s">
        <v>4948</v>
      </c>
      <c r="O1010" s="5" t="s">
        <v>3077</v>
      </c>
      <c r="P1010" s="5" t="s">
        <v>2858</v>
      </c>
      <c r="Q1010" s="11">
        <v>46306.5</v>
      </c>
      <c r="R1010" s="6"/>
      <c r="S1010" s="6"/>
      <c r="T1010" s="6"/>
      <c r="U1010" s="5">
        <f>MATCH(B1010,Manual_Review!$A$6:$A$238,0)</f>
        <v>63</v>
      </c>
      <c r="V1010" s="5" t="str">
        <f>IF(INDEX(Manual_Review!$G$6:$G$238,U1010)="","",INDEX(Manual_Review!$G$6:$G$238,U1010))</f>
        <v/>
      </c>
      <c r="W1010" s="11" t="str">
        <f>IF(INDEX(Manual_Review!$H$6:$H$238,U1010)="","",INDEX(Manual_Review!$H$6:$H$238,U1010))</f>
        <v/>
      </c>
      <c r="X1010" s="5" t="str">
        <f>IF(INDEX(Manual_Review!$I$6:$I$238,U1010)="","",INDEX(Manual_Review!$I$6:$I$238,U1010))</f>
        <v/>
      </c>
      <c r="Y1010" s="5" t="s">
        <v>2859</v>
      </c>
    </row>
    <row r="1011" spans="1:25" ht="25.5">
      <c r="A1011" s="5" t="s">
        <v>4973</v>
      </c>
      <c r="B1011" s="5" t="s">
        <v>803</v>
      </c>
      <c r="C1011" s="5" t="s">
        <v>804</v>
      </c>
      <c r="D1011" s="5" t="s">
        <v>118</v>
      </c>
      <c r="E1011" s="5" t="s">
        <v>2794</v>
      </c>
      <c r="F1011" s="5" t="s">
        <v>2764</v>
      </c>
      <c r="G1011" s="5">
        <v>1</v>
      </c>
      <c r="H1011" s="5" t="s">
        <v>2854</v>
      </c>
      <c r="I1011" s="5" t="str">
        <f>IF(INDEX(Manual_Review!$X$6:$X$238,U1011)="","",INDEX(Manual_Review!$X$6:$X$238,U1011))</f>
        <v/>
      </c>
      <c r="J1011" s="5" t="str">
        <f t="shared" si="30"/>
        <v>AI provisional</v>
      </c>
      <c r="K1011" s="5" t="str">
        <f t="shared" si="31"/>
        <v>Y</v>
      </c>
      <c r="L1011" s="5" t="s">
        <v>810</v>
      </c>
      <c r="M1011" s="5" t="s">
        <v>4974</v>
      </c>
      <c r="N1011" s="5" t="s">
        <v>4948</v>
      </c>
      <c r="O1011" s="5" t="s">
        <v>2984</v>
      </c>
      <c r="P1011" s="5" t="s">
        <v>2858</v>
      </c>
      <c r="Q1011" s="11">
        <v>46306.5</v>
      </c>
      <c r="R1011" s="6"/>
      <c r="S1011" s="6"/>
      <c r="T1011" s="6"/>
      <c r="U1011" s="5">
        <f>MATCH(B1011,Manual_Review!$A$6:$A$238,0)</f>
        <v>63</v>
      </c>
      <c r="V1011" s="5" t="str">
        <f>IF(INDEX(Manual_Review!$G$6:$G$238,U1011)="","",INDEX(Manual_Review!$G$6:$G$238,U1011))</f>
        <v/>
      </c>
      <c r="W1011" s="11" t="str">
        <f>IF(INDEX(Manual_Review!$H$6:$H$238,U1011)="","",INDEX(Manual_Review!$H$6:$H$238,U1011))</f>
        <v/>
      </c>
      <c r="X1011" s="5" t="str">
        <f>IF(INDEX(Manual_Review!$I$6:$I$238,U1011)="","",INDEX(Manual_Review!$I$6:$I$238,U1011))</f>
        <v/>
      </c>
      <c r="Y1011" s="5" t="s">
        <v>2859</v>
      </c>
    </row>
    <row r="1012" spans="1:25" ht="25.5">
      <c r="A1012" s="5" t="s">
        <v>4975</v>
      </c>
      <c r="B1012" s="5" t="s">
        <v>803</v>
      </c>
      <c r="C1012" s="5" t="s">
        <v>804</v>
      </c>
      <c r="D1012" s="5" t="s">
        <v>118</v>
      </c>
      <c r="E1012" s="5" t="s">
        <v>2795</v>
      </c>
      <c r="F1012" s="5" t="s">
        <v>2764</v>
      </c>
      <c r="G1012" s="5">
        <v>1</v>
      </c>
      <c r="H1012" s="5" t="s">
        <v>2854</v>
      </c>
      <c r="I1012" s="5" t="str">
        <f>IF(INDEX(Manual_Review!$Y$6:$Y$238,U1012)="","",INDEX(Manual_Review!$Y$6:$Y$238,U1012))</f>
        <v/>
      </c>
      <c r="J1012" s="5" t="str">
        <f t="shared" si="30"/>
        <v>AI provisional</v>
      </c>
      <c r="K1012" s="5" t="str">
        <f t="shared" si="31"/>
        <v>Y</v>
      </c>
      <c r="L1012" s="5" t="s">
        <v>810</v>
      </c>
      <c r="M1012" s="5" t="s">
        <v>4976</v>
      </c>
      <c r="N1012" s="5" t="s">
        <v>4948</v>
      </c>
      <c r="O1012" s="5" t="s">
        <v>3082</v>
      </c>
      <c r="P1012" s="5" t="s">
        <v>2858</v>
      </c>
      <c r="Q1012" s="11">
        <v>46306.5</v>
      </c>
      <c r="R1012" s="6"/>
      <c r="S1012" s="6"/>
      <c r="T1012" s="6"/>
      <c r="U1012" s="5">
        <f>MATCH(B1012,Manual_Review!$A$6:$A$238,0)</f>
        <v>63</v>
      </c>
      <c r="V1012" s="5" t="str">
        <f>IF(INDEX(Manual_Review!$G$6:$G$238,U1012)="","",INDEX(Manual_Review!$G$6:$G$238,U1012))</f>
        <v/>
      </c>
      <c r="W1012" s="11" t="str">
        <f>IF(INDEX(Manual_Review!$H$6:$H$238,U1012)="","",INDEX(Manual_Review!$H$6:$H$238,U1012))</f>
        <v/>
      </c>
      <c r="X1012" s="5" t="str">
        <f>IF(INDEX(Manual_Review!$I$6:$I$238,U1012)="","",INDEX(Manual_Review!$I$6:$I$238,U1012))</f>
        <v/>
      </c>
      <c r="Y1012" s="5" t="s">
        <v>2859</v>
      </c>
    </row>
    <row r="1013" spans="1:25" ht="25.5">
      <c r="A1013" s="5" t="s">
        <v>4977</v>
      </c>
      <c r="B1013" s="5" t="s">
        <v>803</v>
      </c>
      <c r="C1013" s="5" t="s">
        <v>804</v>
      </c>
      <c r="D1013" s="5" t="s">
        <v>118</v>
      </c>
      <c r="E1013" s="5" t="s">
        <v>2796</v>
      </c>
      <c r="F1013" s="5" t="s">
        <v>2764</v>
      </c>
      <c r="G1013" s="5">
        <v>1</v>
      </c>
      <c r="H1013" s="5" t="s">
        <v>2854</v>
      </c>
      <c r="I1013" s="5" t="str">
        <f>IF(INDEX(Manual_Review!$Z$6:$Z$238,U1013)="","",INDEX(Manual_Review!$Z$6:$Z$238,U1013))</f>
        <v/>
      </c>
      <c r="J1013" s="5" t="str">
        <f t="shared" si="30"/>
        <v>AI provisional</v>
      </c>
      <c r="K1013" s="5" t="str">
        <f t="shared" si="31"/>
        <v>Y</v>
      </c>
      <c r="L1013" s="5" t="s">
        <v>810</v>
      </c>
      <c r="M1013" s="5" t="s">
        <v>4978</v>
      </c>
      <c r="N1013" s="5" t="s">
        <v>4948</v>
      </c>
      <c r="O1013" s="5" t="s">
        <v>3085</v>
      </c>
      <c r="P1013" s="5" t="s">
        <v>2858</v>
      </c>
      <c r="Q1013" s="11">
        <v>46306.5</v>
      </c>
      <c r="R1013" s="6"/>
      <c r="S1013" s="6"/>
      <c r="T1013" s="6"/>
      <c r="U1013" s="5">
        <f>MATCH(B1013,Manual_Review!$A$6:$A$238,0)</f>
        <v>63</v>
      </c>
      <c r="V1013" s="5" t="str">
        <f>IF(INDEX(Manual_Review!$G$6:$G$238,U1013)="","",INDEX(Manual_Review!$G$6:$G$238,U1013))</f>
        <v/>
      </c>
      <c r="W1013" s="11" t="str">
        <f>IF(INDEX(Manual_Review!$H$6:$H$238,U1013)="","",INDEX(Manual_Review!$H$6:$H$238,U1013))</f>
        <v/>
      </c>
      <c r="X1013" s="5" t="str">
        <f>IF(INDEX(Manual_Review!$I$6:$I$238,U1013)="","",INDEX(Manual_Review!$I$6:$I$238,U1013))</f>
        <v/>
      </c>
      <c r="Y1013" s="5" t="s">
        <v>2859</v>
      </c>
    </row>
    <row r="1014" spans="1:25" ht="38.25">
      <c r="A1014" s="5" t="s">
        <v>4979</v>
      </c>
      <c r="B1014" s="5" t="s">
        <v>812</v>
      </c>
      <c r="C1014" s="5" t="s">
        <v>813</v>
      </c>
      <c r="D1014" s="5" t="s">
        <v>118</v>
      </c>
      <c r="E1014" s="5" t="s">
        <v>2781</v>
      </c>
      <c r="F1014" s="5" t="s">
        <v>2754</v>
      </c>
      <c r="G1014" s="5">
        <v>1</v>
      </c>
      <c r="H1014" s="5" t="s">
        <v>2854</v>
      </c>
      <c r="I1014" s="5" t="str">
        <f>IF(INDEX(Manual_Review!$K$6:$K$238,U1014)="","",INDEX(Manual_Review!$K$6:$K$238,U1014))</f>
        <v/>
      </c>
      <c r="J1014" s="5" t="str">
        <f t="shared" si="30"/>
        <v>AI provisional</v>
      </c>
      <c r="K1014" s="5" t="str">
        <f t="shared" si="31"/>
        <v>Y</v>
      </c>
      <c r="L1014" s="5" t="s">
        <v>822</v>
      </c>
      <c r="M1014" s="5" t="s">
        <v>4980</v>
      </c>
      <c r="N1014" s="5" t="s">
        <v>4981</v>
      </c>
      <c r="O1014" s="5" t="s">
        <v>2857</v>
      </c>
      <c r="P1014" s="5" t="s">
        <v>2858</v>
      </c>
      <c r="Q1014" s="11">
        <v>46306.5</v>
      </c>
      <c r="R1014" s="6"/>
      <c r="S1014" s="6"/>
      <c r="T1014" s="6"/>
      <c r="U1014" s="5">
        <f>MATCH(B1014,Manual_Review!$A$6:$A$238,0)</f>
        <v>64</v>
      </c>
      <c r="V1014" s="5" t="str">
        <f>IF(INDEX(Manual_Review!$G$6:$G$238,U1014)="","",INDEX(Manual_Review!$G$6:$G$238,U1014))</f>
        <v/>
      </c>
      <c r="W1014" s="11" t="str">
        <f>IF(INDEX(Manual_Review!$H$6:$H$238,U1014)="","",INDEX(Manual_Review!$H$6:$H$238,U1014))</f>
        <v/>
      </c>
      <c r="X1014" s="5" t="str">
        <f>IF(INDEX(Manual_Review!$I$6:$I$238,U1014)="","",INDEX(Manual_Review!$I$6:$I$238,U1014))</f>
        <v/>
      </c>
      <c r="Y1014" s="5" t="s">
        <v>2859</v>
      </c>
    </row>
    <row r="1015" spans="1:25" ht="38.25">
      <c r="A1015" s="5" t="s">
        <v>4982</v>
      </c>
      <c r="B1015" s="5" t="s">
        <v>812</v>
      </c>
      <c r="C1015" s="5" t="s">
        <v>813</v>
      </c>
      <c r="D1015" s="5" t="s">
        <v>118</v>
      </c>
      <c r="E1015" s="5" t="s">
        <v>2782</v>
      </c>
      <c r="F1015" s="5" t="s">
        <v>2754</v>
      </c>
      <c r="G1015" s="5">
        <v>1</v>
      </c>
      <c r="H1015" s="5" t="s">
        <v>2854</v>
      </c>
      <c r="I1015" s="5" t="str">
        <f>IF(INDEX(Manual_Review!$L$6:$L$238,U1015)="","",INDEX(Manual_Review!$L$6:$L$238,U1015))</f>
        <v/>
      </c>
      <c r="J1015" s="5" t="str">
        <f t="shared" si="30"/>
        <v>AI provisional</v>
      </c>
      <c r="K1015" s="5" t="str">
        <f t="shared" si="31"/>
        <v>Y</v>
      </c>
      <c r="L1015" s="5" t="s">
        <v>822</v>
      </c>
      <c r="M1015" s="5" t="s">
        <v>4983</v>
      </c>
      <c r="N1015" s="5" t="s">
        <v>4981</v>
      </c>
      <c r="O1015" s="5" t="s">
        <v>2862</v>
      </c>
      <c r="P1015" s="5" t="s">
        <v>2858</v>
      </c>
      <c r="Q1015" s="11">
        <v>46306.5</v>
      </c>
      <c r="R1015" s="6"/>
      <c r="S1015" s="6"/>
      <c r="T1015" s="6"/>
      <c r="U1015" s="5">
        <f>MATCH(B1015,Manual_Review!$A$6:$A$238,0)</f>
        <v>64</v>
      </c>
      <c r="V1015" s="5" t="str">
        <f>IF(INDEX(Manual_Review!$G$6:$G$238,U1015)="","",INDEX(Manual_Review!$G$6:$G$238,U1015))</f>
        <v/>
      </c>
      <c r="W1015" s="11" t="str">
        <f>IF(INDEX(Manual_Review!$H$6:$H$238,U1015)="","",INDEX(Manual_Review!$H$6:$H$238,U1015))</f>
        <v/>
      </c>
      <c r="X1015" s="5" t="str">
        <f>IF(INDEX(Manual_Review!$I$6:$I$238,U1015)="","",INDEX(Manual_Review!$I$6:$I$238,U1015))</f>
        <v/>
      </c>
      <c r="Y1015" s="5" t="s">
        <v>2859</v>
      </c>
    </row>
    <row r="1016" spans="1:25" ht="38.25">
      <c r="A1016" s="5" t="s">
        <v>4984</v>
      </c>
      <c r="B1016" s="5" t="s">
        <v>812</v>
      </c>
      <c r="C1016" s="5" t="s">
        <v>813</v>
      </c>
      <c r="D1016" s="5" t="s">
        <v>118</v>
      </c>
      <c r="E1016" s="5" t="s">
        <v>2783</v>
      </c>
      <c r="F1016" s="5" t="s">
        <v>2754</v>
      </c>
      <c r="G1016" s="5">
        <v>1</v>
      </c>
      <c r="H1016" s="5" t="s">
        <v>2908</v>
      </c>
      <c r="I1016" s="5" t="str">
        <f>IF(INDEX(Manual_Review!$M$6:$M$238,U1016)="","",INDEX(Manual_Review!$M$6:$M$238,U1016))</f>
        <v/>
      </c>
      <c r="J1016" s="5" t="str">
        <f t="shared" si="30"/>
        <v>AI provisional</v>
      </c>
      <c r="K1016" s="5" t="str">
        <f t="shared" si="31"/>
        <v>X</v>
      </c>
      <c r="L1016" s="5" t="s">
        <v>822</v>
      </c>
      <c r="M1016" s="5" t="s">
        <v>4985</v>
      </c>
      <c r="N1016" s="5" t="s">
        <v>4981</v>
      </c>
      <c r="O1016" s="5" t="s">
        <v>4986</v>
      </c>
      <c r="P1016" s="5" t="s">
        <v>2858</v>
      </c>
      <c r="Q1016" s="11">
        <v>46306.5</v>
      </c>
      <c r="R1016" s="6"/>
      <c r="S1016" s="6"/>
      <c r="T1016" s="6"/>
      <c r="U1016" s="5">
        <f>MATCH(B1016,Manual_Review!$A$6:$A$238,0)</f>
        <v>64</v>
      </c>
      <c r="V1016" s="5" t="str">
        <f>IF(INDEX(Manual_Review!$G$6:$G$238,U1016)="","",INDEX(Manual_Review!$G$6:$G$238,U1016))</f>
        <v/>
      </c>
      <c r="W1016" s="11" t="str">
        <f>IF(INDEX(Manual_Review!$H$6:$H$238,U1016)="","",INDEX(Manual_Review!$H$6:$H$238,U1016))</f>
        <v/>
      </c>
      <c r="X1016" s="5" t="str">
        <f>IF(INDEX(Manual_Review!$I$6:$I$238,U1016)="","",INDEX(Manual_Review!$I$6:$I$238,U1016))</f>
        <v/>
      </c>
      <c r="Y1016" s="5" t="s">
        <v>2859</v>
      </c>
    </row>
    <row r="1017" spans="1:25" ht="38.25">
      <c r="A1017" s="5" t="s">
        <v>4987</v>
      </c>
      <c r="B1017" s="5" t="s">
        <v>812</v>
      </c>
      <c r="C1017" s="5" t="s">
        <v>813</v>
      </c>
      <c r="D1017" s="5" t="s">
        <v>118</v>
      </c>
      <c r="E1017" s="5" t="s">
        <v>2784</v>
      </c>
      <c r="F1017" s="5" t="s">
        <v>2756</v>
      </c>
      <c r="G1017" s="5">
        <v>1</v>
      </c>
      <c r="H1017" s="5" t="s">
        <v>2864</v>
      </c>
      <c r="I1017" s="5" t="str">
        <f>IF(INDEX(Manual_Review!$N$6:$N$238,U1017)="","",INDEX(Manual_Review!$N$6:$N$238,U1017))</f>
        <v/>
      </c>
      <c r="J1017" s="5" t="str">
        <f t="shared" si="30"/>
        <v>AI provisional</v>
      </c>
      <c r="K1017" s="5" t="str">
        <f t="shared" si="31"/>
        <v>U</v>
      </c>
      <c r="L1017" s="5" t="s">
        <v>822</v>
      </c>
      <c r="M1017" s="5" t="s">
        <v>4988</v>
      </c>
      <c r="N1017" s="5" t="s">
        <v>4981</v>
      </c>
      <c r="O1017" s="5" t="s">
        <v>2869</v>
      </c>
      <c r="P1017" s="5" t="s">
        <v>2858</v>
      </c>
      <c r="Q1017" s="11">
        <v>46306.5</v>
      </c>
      <c r="R1017" s="6"/>
      <c r="S1017" s="6"/>
      <c r="T1017" s="6"/>
      <c r="U1017" s="5">
        <f>MATCH(B1017,Manual_Review!$A$6:$A$238,0)</f>
        <v>64</v>
      </c>
      <c r="V1017" s="5" t="str">
        <f>IF(INDEX(Manual_Review!$G$6:$G$238,U1017)="","",INDEX(Manual_Review!$G$6:$G$238,U1017))</f>
        <v/>
      </c>
      <c r="W1017" s="11" t="str">
        <f>IF(INDEX(Manual_Review!$H$6:$H$238,U1017)="","",INDEX(Manual_Review!$H$6:$H$238,U1017))</f>
        <v/>
      </c>
      <c r="X1017" s="5" t="str">
        <f>IF(INDEX(Manual_Review!$I$6:$I$238,U1017)="","",INDEX(Manual_Review!$I$6:$I$238,U1017))</f>
        <v/>
      </c>
      <c r="Y1017" s="5" t="s">
        <v>2859</v>
      </c>
    </row>
    <row r="1018" spans="1:25" ht="38.25">
      <c r="A1018" s="5" t="s">
        <v>4989</v>
      </c>
      <c r="B1018" s="5" t="s">
        <v>812</v>
      </c>
      <c r="C1018" s="5" t="s">
        <v>813</v>
      </c>
      <c r="D1018" s="5" t="s">
        <v>118</v>
      </c>
      <c r="E1018" s="5" t="s">
        <v>2785</v>
      </c>
      <c r="F1018" s="5" t="s">
        <v>2756</v>
      </c>
      <c r="G1018" s="5">
        <v>1</v>
      </c>
      <c r="H1018" s="5" t="s">
        <v>2864</v>
      </c>
      <c r="I1018" s="5" t="str">
        <f>IF(INDEX(Manual_Review!$O$6:$O$238,U1018)="","",INDEX(Manual_Review!$O$6:$O$238,U1018))</f>
        <v/>
      </c>
      <c r="J1018" s="5" t="str">
        <f t="shared" si="30"/>
        <v>AI provisional</v>
      </c>
      <c r="K1018" s="5" t="str">
        <f t="shared" si="31"/>
        <v>U</v>
      </c>
      <c r="L1018" s="5" t="s">
        <v>822</v>
      </c>
      <c r="M1018" s="5" t="s">
        <v>4990</v>
      </c>
      <c r="N1018" s="5" t="s">
        <v>4981</v>
      </c>
      <c r="O1018" s="5" t="s">
        <v>2872</v>
      </c>
      <c r="P1018" s="5" t="s">
        <v>2858</v>
      </c>
      <c r="Q1018" s="11">
        <v>46306.5</v>
      </c>
      <c r="R1018" s="6"/>
      <c r="S1018" s="6"/>
      <c r="T1018" s="6"/>
      <c r="U1018" s="5">
        <f>MATCH(B1018,Manual_Review!$A$6:$A$238,0)</f>
        <v>64</v>
      </c>
      <c r="V1018" s="5" t="str">
        <f>IF(INDEX(Manual_Review!$G$6:$G$238,U1018)="","",INDEX(Manual_Review!$G$6:$G$238,U1018))</f>
        <v/>
      </c>
      <c r="W1018" s="11" t="str">
        <f>IF(INDEX(Manual_Review!$H$6:$H$238,U1018)="","",INDEX(Manual_Review!$H$6:$H$238,U1018))</f>
        <v/>
      </c>
      <c r="X1018" s="5" t="str">
        <f>IF(INDEX(Manual_Review!$I$6:$I$238,U1018)="","",INDEX(Manual_Review!$I$6:$I$238,U1018))</f>
        <v/>
      </c>
      <c r="Y1018" s="5" t="s">
        <v>2859</v>
      </c>
    </row>
    <row r="1019" spans="1:25" ht="38.25">
      <c r="A1019" s="5" t="s">
        <v>4991</v>
      </c>
      <c r="B1019" s="5" t="s">
        <v>812</v>
      </c>
      <c r="C1019" s="5" t="s">
        <v>813</v>
      </c>
      <c r="D1019" s="5" t="s">
        <v>118</v>
      </c>
      <c r="E1019" s="5" t="s">
        <v>2786</v>
      </c>
      <c r="F1019" s="5" t="s">
        <v>2756</v>
      </c>
      <c r="G1019" s="5">
        <v>1</v>
      </c>
      <c r="H1019" s="5" t="s">
        <v>2864</v>
      </c>
      <c r="I1019" s="5" t="str">
        <f>IF(INDEX(Manual_Review!$P$6:$P$238,U1019)="","",INDEX(Manual_Review!$P$6:$P$238,U1019))</f>
        <v/>
      </c>
      <c r="J1019" s="5" t="str">
        <f t="shared" si="30"/>
        <v>AI provisional</v>
      </c>
      <c r="K1019" s="5" t="str">
        <f t="shared" si="31"/>
        <v>U</v>
      </c>
      <c r="L1019" s="5" t="s">
        <v>822</v>
      </c>
      <c r="M1019" s="5" t="s">
        <v>4992</v>
      </c>
      <c r="N1019" s="5" t="s">
        <v>4981</v>
      </c>
      <c r="O1019" s="5" t="s">
        <v>2874</v>
      </c>
      <c r="P1019" s="5" t="s">
        <v>2858</v>
      </c>
      <c r="Q1019" s="11">
        <v>46306.5</v>
      </c>
      <c r="R1019" s="6"/>
      <c r="S1019" s="6"/>
      <c r="T1019" s="6"/>
      <c r="U1019" s="5">
        <f>MATCH(B1019,Manual_Review!$A$6:$A$238,0)</f>
        <v>64</v>
      </c>
      <c r="V1019" s="5" t="str">
        <f>IF(INDEX(Manual_Review!$G$6:$G$238,U1019)="","",INDEX(Manual_Review!$G$6:$G$238,U1019))</f>
        <v/>
      </c>
      <c r="W1019" s="11" t="str">
        <f>IF(INDEX(Manual_Review!$H$6:$H$238,U1019)="","",INDEX(Manual_Review!$H$6:$H$238,U1019))</f>
        <v/>
      </c>
      <c r="X1019" s="5" t="str">
        <f>IF(INDEX(Manual_Review!$I$6:$I$238,U1019)="","",INDEX(Manual_Review!$I$6:$I$238,U1019))</f>
        <v/>
      </c>
      <c r="Y1019" s="5" t="s">
        <v>2859</v>
      </c>
    </row>
    <row r="1020" spans="1:25" ht="38.25">
      <c r="A1020" s="5" t="s">
        <v>4993</v>
      </c>
      <c r="B1020" s="5" t="s">
        <v>812</v>
      </c>
      <c r="C1020" s="5" t="s">
        <v>813</v>
      </c>
      <c r="D1020" s="5" t="s">
        <v>118</v>
      </c>
      <c r="E1020" s="5" t="s">
        <v>2787</v>
      </c>
      <c r="F1020" s="5" t="s">
        <v>2758</v>
      </c>
      <c r="G1020" s="5">
        <v>1</v>
      </c>
      <c r="H1020" s="5" t="s">
        <v>2864</v>
      </c>
      <c r="I1020" s="5" t="str">
        <f>IF(INDEX(Manual_Review!$Q$6:$Q$238,U1020)="","",INDEX(Manual_Review!$Q$6:$Q$238,U1020))</f>
        <v/>
      </c>
      <c r="J1020" s="5" t="str">
        <f t="shared" si="30"/>
        <v>AI provisional</v>
      </c>
      <c r="K1020" s="5" t="str">
        <f t="shared" si="31"/>
        <v>U</v>
      </c>
      <c r="L1020" s="5" t="s">
        <v>822</v>
      </c>
      <c r="M1020" s="5" t="s">
        <v>4994</v>
      </c>
      <c r="N1020" s="5" t="s">
        <v>4981</v>
      </c>
      <c r="O1020" s="5" t="s">
        <v>2877</v>
      </c>
      <c r="P1020" s="5" t="s">
        <v>2858</v>
      </c>
      <c r="Q1020" s="11">
        <v>46306.5</v>
      </c>
      <c r="R1020" s="6"/>
      <c r="S1020" s="6"/>
      <c r="T1020" s="6"/>
      <c r="U1020" s="5">
        <f>MATCH(B1020,Manual_Review!$A$6:$A$238,0)</f>
        <v>64</v>
      </c>
      <c r="V1020" s="5" t="str">
        <f>IF(INDEX(Manual_Review!$G$6:$G$238,U1020)="","",INDEX(Manual_Review!$G$6:$G$238,U1020))</f>
        <v/>
      </c>
      <c r="W1020" s="11" t="str">
        <f>IF(INDEX(Manual_Review!$H$6:$H$238,U1020)="","",INDEX(Manual_Review!$H$6:$H$238,U1020))</f>
        <v/>
      </c>
      <c r="X1020" s="5" t="str">
        <f>IF(INDEX(Manual_Review!$I$6:$I$238,U1020)="","",INDEX(Manual_Review!$I$6:$I$238,U1020))</f>
        <v/>
      </c>
      <c r="Y1020" s="5" t="s">
        <v>2859</v>
      </c>
    </row>
    <row r="1021" spans="1:25" ht="38.25">
      <c r="A1021" s="5" t="s">
        <v>4995</v>
      </c>
      <c r="B1021" s="5" t="s">
        <v>812</v>
      </c>
      <c r="C1021" s="5" t="s">
        <v>813</v>
      </c>
      <c r="D1021" s="5" t="s">
        <v>118</v>
      </c>
      <c r="E1021" s="5" t="s">
        <v>2788</v>
      </c>
      <c r="F1021" s="5" t="s">
        <v>2758</v>
      </c>
      <c r="G1021" s="5">
        <v>1</v>
      </c>
      <c r="H1021" s="5" t="s">
        <v>2854</v>
      </c>
      <c r="I1021" s="5" t="str">
        <f>IF(INDEX(Manual_Review!$R$6:$R$238,U1021)="","",INDEX(Manual_Review!$R$6:$R$238,U1021))</f>
        <v/>
      </c>
      <c r="J1021" s="5" t="str">
        <f t="shared" si="30"/>
        <v>AI provisional</v>
      </c>
      <c r="K1021" s="5" t="str">
        <f t="shared" si="31"/>
        <v>Y</v>
      </c>
      <c r="L1021" s="5" t="s">
        <v>822</v>
      </c>
      <c r="M1021" s="5" t="s">
        <v>4996</v>
      </c>
      <c r="N1021" s="5" t="s">
        <v>4981</v>
      </c>
      <c r="O1021" s="5" t="s">
        <v>3067</v>
      </c>
      <c r="P1021" s="5" t="s">
        <v>2858</v>
      </c>
      <c r="Q1021" s="11">
        <v>46306.5</v>
      </c>
      <c r="R1021" s="6"/>
      <c r="S1021" s="6"/>
      <c r="T1021" s="6"/>
      <c r="U1021" s="5">
        <f>MATCH(B1021,Manual_Review!$A$6:$A$238,0)</f>
        <v>64</v>
      </c>
      <c r="V1021" s="5" t="str">
        <f>IF(INDEX(Manual_Review!$G$6:$G$238,U1021)="","",INDEX(Manual_Review!$G$6:$G$238,U1021))</f>
        <v/>
      </c>
      <c r="W1021" s="11" t="str">
        <f>IF(INDEX(Manual_Review!$H$6:$H$238,U1021)="","",INDEX(Manual_Review!$H$6:$H$238,U1021))</f>
        <v/>
      </c>
      <c r="X1021" s="5" t="str">
        <f>IF(INDEX(Manual_Review!$I$6:$I$238,U1021)="","",INDEX(Manual_Review!$I$6:$I$238,U1021))</f>
        <v/>
      </c>
      <c r="Y1021" s="5" t="s">
        <v>2859</v>
      </c>
    </row>
    <row r="1022" spans="1:25" ht="38.25">
      <c r="A1022" s="5" t="s">
        <v>4997</v>
      </c>
      <c r="B1022" s="5" t="s">
        <v>812</v>
      </c>
      <c r="C1022" s="5" t="s">
        <v>813</v>
      </c>
      <c r="D1022" s="5" t="s">
        <v>118</v>
      </c>
      <c r="E1022" s="5" t="s">
        <v>2789</v>
      </c>
      <c r="F1022" s="5" t="s">
        <v>2758</v>
      </c>
      <c r="G1022" s="5">
        <v>1</v>
      </c>
      <c r="H1022" s="5" t="s">
        <v>2864</v>
      </c>
      <c r="I1022" s="5" t="str">
        <f>IF(INDEX(Manual_Review!$S$6:$S$238,U1022)="","",INDEX(Manual_Review!$S$6:$S$238,U1022))</f>
        <v/>
      </c>
      <c r="J1022" s="5" t="str">
        <f t="shared" si="30"/>
        <v>AI provisional</v>
      </c>
      <c r="K1022" s="5" t="str">
        <f t="shared" si="31"/>
        <v>U</v>
      </c>
      <c r="L1022" s="5" t="s">
        <v>822</v>
      </c>
      <c r="M1022" s="5" t="s">
        <v>4998</v>
      </c>
      <c r="N1022" s="5" t="s">
        <v>4981</v>
      </c>
      <c r="O1022" s="5" t="s">
        <v>2883</v>
      </c>
      <c r="P1022" s="5" t="s">
        <v>2858</v>
      </c>
      <c r="Q1022" s="11">
        <v>46306.5</v>
      </c>
      <c r="R1022" s="6"/>
      <c r="S1022" s="6"/>
      <c r="T1022" s="6"/>
      <c r="U1022" s="5">
        <f>MATCH(B1022,Manual_Review!$A$6:$A$238,0)</f>
        <v>64</v>
      </c>
      <c r="V1022" s="5" t="str">
        <f>IF(INDEX(Manual_Review!$G$6:$G$238,U1022)="","",INDEX(Manual_Review!$G$6:$G$238,U1022))</f>
        <v/>
      </c>
      <c r="W1022" s="11" t="str">
        <f>IF(INDEX(Manual_Review!$H$6:$H$238,U1022)="","",INDEX(Manual_Review!$H$6:$H$238,U1022))</f>
        <v/>
      </c>
      <c r="X1022" s="5" t="str">
        <f>IF(INDEX(Manual_Review!$I$6:$I$238,U1022)="","",INDEX(Manual_Review!$I$6:$I$238,U1022))</f>
        <v/>
      </c>
      <c r="Y1022" s="5" t="s">
        <v>2859</v>
      </c>
    </row>
    <row r="1023" spans="1:25" ht="38.25">
      <c r="A1023" s="5" t="s">
        <v>4999</v>
      </c>
      <c r="B1023" s="5" t="s">
        <v>812</v>
      </c>
      <c r="C1023" s="5" t="s">
        <v>813</v>
      </c>
      <c r="D1023" s="5" t="s">
        <v>118</v>
      </c>
      <c r="E1023" s="5" t="s">
        <v>2790</v>
      </c>
      <c r="F1023" s="5" t="s">
        <v>2760</v>
      </c>
      <c r="G1023" s="5">
        <v>1</v>
      </c>
      <c r="H1023" s="5" t="s">
        <v>2854</v>
      </c>
      <c r="I1023" s="5" t="str">
        <f>IF(INDEX(Manual_Review!$T$6:$T$238,U1023)="","",INDEX(Manual_Review!$T$6:$T$238,U1023))</f>
        <v/>
      </c>
      <c r="J1023" s="5" t="str">
        <f t="shared" si="30"/>
        <v>AI provisional</v>
      </c>
      <c r="K1023" s="5" t="str">
        <f t="shared" si="31"/>
        <v>Y</v>
      </c>
      <c r="L1023" s="5" t="s">
        <v>822</v>
      </c>
      <c r="M1023" s="5" t="s">
        <v>5000</v>
      </c>
      <c r="N1023" s="5" t="s">
        <v>4981</v>
      </c>
      <c r="O1023" s="5" t="s">
        <v>2976</v>
      </c>
      <c r="P1023" s="5" t="s">
        <v>2858</v>
      </c>
      <c r="Q1023" s="11">
        <v>46306.5</v>
      </c>
      <c r="R1023" s="6"/>
      <c r="S1023" s="6"/>
      <c r="T1023" s="6"/>
      <c r="U1023" s="5">
        <f>MATCH(B1023,Manual_Review!$A$6:$A$238,0)</f>
        <v>64</v>
      </c>
      <c r="V1023" s="5" t="str">
        <f>IF(INDEX(Manual_Review!$G$6:$G$238,U1023)="","",INDEX(Manual_Review!$G$6:$G$238,U1023))</f>
        <v/>
      </c>
      <c r="W1023" s="11" t="str">
        <f>IF(INDEX(Manual_Review!$H$6:$H$238,U1023)="","",INDEX(Manual_Review!$H$6:$H$238,U1023))</f>
        <v/>
      </c>
      <c r="X1023" s="5" t="str">
        <f>IF(INDEX(Manual_Review!$I$6:$I$238,U1023)="","",INDEX(Manual_Review!$I$6:$I$238,U1023))</f>
        <v/>
      </c>
      <c r="Y1023" s="5" t="s">
        <v>2859</v>
      </c>
    </row>
    <row r="1024" spans="1:25" ht="38.25">
      <c r="A1024" s="5" t="s">
        <v>5001</v>
      </c>
      <c r="B1024" s="5" t="s">
        <v>812</v>
      </c>
      <c r="C1024" s="5" t="s">
        <v>813</v>
      </c>
      <c r="D1024" s="5" t="s">
        <v>118</v>
      </c>
      <c r="E1024" s="5" t="s">
        <v>2791</v>
      </c>
      <c r="F1024" s="5" t="s">
        <v>2760</v>
      </c>
      <c r="G1024" s="5">
        <v>1</v>
      </c>
      <c r="H1024" s="5" t="s">
        <v>2864</v>
      </c>
      <c r="I1024" s="5" t="str">
        <f>IF(INDEX(Manual_Review!$U$6:$U$238,U1024)="","",INDEX(Manual_Review!$U$6:$U$238,U1024))</f>
        <v/>
      </c>
      <c r="J1024" s="5" t="str">
        <f t="shared" si="30"/>
        <v>AI provisional</v>
      </c>
      <c r="K1024" s="5" t="str">
        <f t="shared" si="31"/>
        <v>U</v>
      </c>
      <c r="L1024" s="5" t="s">
        <v>822</v>
      </c>
      <c r="M1024" s="5" t="s">
        <v>4994</v>
      </c>
      <c r="N1024" s="5" t="s">
        <v>4981</v>
      </c>
      <c r="O1024" s="5" t="s">
        <v>2888</v>
      </c>
      <c r="P1024" s="5" t="s">
        <v>2858</v>
      </c>
      <c r="Q1024" s="11">
        <v>46306.5</v>
      </c>
      <c r="R1024" s="6"/>
      <c r="S1024" s="6"/>
      <c r="T1024" s="6"/>
      <c r="U1024" s="5">
        <f>MATCH(B1024,Manual_Review!$A$6:$A$238,0)</f>
        <v>64</v>
      </c>
      <c r="V1024" s="5" t="str">
        <f>IF(INDEX(Manual_Review!$G$6:$G$238,U1024)="","",INDEX(Manual_Review!$G$6:$G$238,U1024))</f>
        <v/>
      </c>
      <c r="W1024" s="11" t="str">
        <f>IF(INDEX(Manual_Review!$H$6:$H$238,U1024)="","",INDEX(Manual_Review!$H$6:$H$238,U1024))</f>
        <v/>
      </c>
      <c r="X1024" s="5" t="str">
        <f>IF(INDEX(Manual_Review!$I$6:$I$238,U1024)="","",INDEX(Manual_Review!$I$6:$I$238,U1024))</f>
        <v/>
      </c>
      <c r="Y1024" s="5" t="s">
        <v>2859</v>
      </c>
    </row>
    <row r="1025" spans="1:25" ht="38.25">
      <c r="A1025" s="5" t="s">
        <v>5002</v>
      </c>
      <c r="B1025" s="5" t="s">
        <v>812</v>
      </c>
      <c r="C1025" s="5" t="s">
        <v>813</v>
      </c>
      <c r="D1025" s="5" t="s">
        <v>118</v>
      </c>
      <c r="E1025" s="5" t="s">
        <v>2792</v>
      </c>
      <c r="F1025" s="5" t="s">
        <v>2762</v>
      </c>
      <c r="G1025" s="5">
        <v>1</v>
      </c>
      <c r="H1025" s="5" t="s">
        <v>2854</v>
      </c>
      <c r="I1025" s="5" t="str">
        <f>IF(INDEX(Manual_Review!$V$6:$V$238,U1025)="","",INDEX(Manual_Review!$V$6:$V$238,U1025))</f>
        <v/>
      </c>
      <c r="J1025" s="5" t="str">
        <f t="shared" si="30"/>
        <v>AI provisional</v>
      </c>
      <c r="K1025" s="5" t="str">
        <f t="shared" si="31"/>
        <v>Y</v>
      </c>
      <c r="L1025" s="5" t="s">
        <v>822</v>
      </c>
      <c r="M1025" s="5" t="s">
        <v>5003</v>
      </c>
      <c r="N1025" s="5" t="s">
        <v>4981</v>
      </c>
      <c r="O1025" s="5" t="s">
        <v>3152</v>
      </c>
      <c r="P1025" s="5" t="s">
        <v>2858</v>
      </c>
      <c r="Q1025" s="11">
        <v>46306.5</v>
      </c>
      <c r="R1025" s="6"/>
      <c r="S1025" s="6"/>
      <c r="T1025" s="6"/>
      <c r="U1025" s="5">
        <f>MATCH(B1025,Manual_Review!$A$6:$A$238,0)</f>
        <v>64</v>
      </c>
      <c r="V1025" s="5" t="str">
        <f>IF(INDEX(Manual_Review!$G$6:$G$238,U1025)="","",INDEX(Manual_Review!$G$6:$G$238,U1025))</f>
        <v/>
      </c>
      <c r="W1025" s="11" t="str">
        <f>IF(INDEX(Manual_Review!$H$6:$H$238,U1025)="","",INDEX(Manual_Review!$H$6:$H$238,U1025))</f>
        <v/>
      </c>
      <c r="X1025" s="5" t="str">
        <f>IF(INDEX(Manual_Review!$I$6:$I$238,U1025)="","",INDEX(Manual_Review!$I$6:$I$238,U1025))</f>
        <v/>
      </c>
      <c r="Y1025" s="5" t="s">
        <v>2859</v>
      </c>
    </row>
    <row r="1026" spans="1:25" ht="38.25">
      <c r="A1026" s="5" t="s">
        <v>5004</v>
      </c>
      <c r="B1026" s="5" t="s">
        <v>812</v>
      </c>
      <c r="C1026" s="5" t="s">
        <v>813</v>
      </c>
      <c r="D1026" s="5" t="s">
        <v>118</v>
      </c>
      <c r="E1026" s="5" t="s">
        <v>2793</v>
      </c>
      <c r="F1026" s="5" t="s">
        <v>2762</v>
      </c>
      <c r="G1026" s="5">
        <v>1</v>
      </c>
      <c r="H1026" s="5" t="s">
        <v>2854</v>
      </c>
      <c r="I1026" s="5" t="str">
        <f>IF(INDEX(Manual_Review!$W$6:$W$238,U1026)="","",INDEX(Manual_Review!$W$6:$W$238,U1026))</f>
        <v/>
      </c>
      <c r="J1026" s="5" t="str">
        <f t="shared" si="30"/>
        <v>AI provisional</v>
      </c>
      <c r="K1026" s="5" t="str">
        <f t="shared" si="31"/>
        <v>Y</v>
      </c>
      <c r="L1026" s="5" t="s">
        <v>822</v>
      </c>
      <c r="M1026" s="5" t="s">
        <v>5005</v>
      </c>
      <c r="N1026" s="5" t="s">
        <v>4981</v>
      </c>
      <c r="O1026" s="5" t="s">
        <v>3077</v>
      </c>
      <c r="P1026" s="5" t="s">
        <v>2858</v>
      </c>
      <c r="Q1026" s="11">
        <v>46306.5</v>
      </c>
      <c r="R1026" s="6"/>
      <c r="S1026" s="6"/>
      <c r="T1026" s="6"/>
      <c r="U1026" s="5">
        <f>MATCH(B1026,Manual_Review!$A$6:$A$238,0)</f>
        <v>64</v>
      </c>
      <c r="V1026" s="5" t="str">
        <f>IF(INDEX(Manual_Review!$G$6:$G$238,U1026)="","",INDEX(Manual_Review!$G$6:$G$238,U1026))</f>
        <v/>
      </c>
      <c r="W1026" s="11" t="str">
        <f>IF(INDEX(Manual_Review!$H$6:$H$238,U1026)="","",INDEX(Manual_Review!$H$6:$H$238,U1026))</f>
        <v/>
      </c>
      <c r="X1026" s="5" t="str">
        <f>IF(INDEX(Manual_Review!$I$6:$I$238,U1026)="","",INDEX(Manual_Review!$I$6:$I$238,U1026))</f>
        <v/>
      </c>
      <c r="Y1026" s="5" t="s">
        <v>2859</v>
      </c>
    </row>
    <row r="1027" spans="1:25" ht="38.25">
      <c r="A1027" s="5" t="s">
        <v>5006</v>
      </c>
      <c r="B1027" s="5" t="s">
        <v>812</v>
      </c>
      <c r="C1027" s="5" t="s">
        <v>813</v>
      </c>
      <c r="D1027" s="5" t="s">
        <v>118</v>
      </c>
      <c r="E1027" s="5" t="s">
        <v>2794</v>
      </c>
      <c r="F1027" s="5" t="s">
        <v>2764</v>
      </c>
      <c r="G1027" s="5">
        <v>1</v>
      </c>
      <c r="H1027" s="5" t="s">
        <v>2854</v>
      </c>
      <c r="I1027" s="5" t="str">
        <f>IF(INDEX(Manual_Review!$X$6:$X$238,U1027)="","",INDEX(Manual_Review!$X$6:$X$238,U1027))</f>
        <v/>
      </c>
      <c r="J1027" s="5" t="str">
        <f t="shared" si="30"/>
        <v>AI provisional</v>
      </c>
      <c r="K1027" s="5" t="str">
        <f t="shared" si="31"/>
        <v>Y</v>
      </c>
      <c r="L1027" s="5" t="s">
        <v>822</v>
      </c>
      <c r="M1027" s="5" t="s">
        <v>5007</v>
      </c>
      <c r="N1027" s="5" t="s">
        <v>4981</v>
      </c>
      <c r="O1027" s="5" t="s">
        <v>2984</v>
      </c>
      <c r="P1027" s="5" t="s">
        <v>2858</v>
      </c>
      <c r="Q1027" s="11">
        <v>46306.5</v>
      </c>
      <c r="R1027" s="6"/>
      <c r="S1027" s="6"/>
      <c r="T1027" s="6"/>
      <c r="U1027" s="5">
        <f>MATCH(B1027,Manual_Review!$A$6:$A$238,0)</f>
        <v>64</v>
      </c>
      <c r="V1027" s="5" t="str">
        <f>IF(INDEX(Manual_Review!$G$6:$G$238,U1027)="","",INDEX(Manual_Review!$G$6:$G$238,U1027))</f>
        <v/>
      </c>
      <c r="W1027" s="11" t="str">
        <f>IF(INDEX(Manual_Review!$H$6:$H$238,U1027)="","",INDEX(Manual_Review!$H$6:$H$238,U1027))</f>
        <v/>
      </c>
      <c r="X1027" s="5" t="str">
        <f>IF(INDEX(Manual_Review!$I$6:$I$238,U1027)="","",INDEX(Manual_Review!$I$6:$I$238,U1027))</f>
        <v/>
      </c>
      <c r="Y1027" s="5" t="s">
        <v>2859</v>
      </c>
    </row>
    <row r="1028" spans="1:25" ht="38.25">
      <c r="A1028" s="5" t="s">
        <v>5008</v>
      </c>
      <c r="B1028" s="5" t="s">
        <v>812</v>
      </c>
      <c r="C1028" s="5" t="s">
        <v>813</v>
      </c>
      <c r="D1028" s="5" t="s">
        <v>118</v>
      </c>
      <c r="E1028" s="5" t="s">
        <v>2795</v>
      </c>
      <c r="F1028" s="5" t="s">
        <v>2764</v>
      </c>
      <c r="G1028" s="5">
        <v>1</v>
      </c>
      <c r="H1028" s="5" t="s">
        <v>2854</v>
      </c>
      <c r="I1028" s="5" t="str">
        <f>IF(INDEX(Manual_Review!$Y$6:$Y$238,U1028)="","",INDEX(Manual_Review!$Y$6:$Y$238,U1028))</f>
        <v/>
      </c>
      <c r="J1028" s="5" t="str">
        <f t="shared" si="30"/>
        <v>AI provisional</v>
      </c>
      <c r="K1028" s="5" t="str">
        <f t="shared" si="31"/>
        <v>Y</v>
      </c>
      <c r="L1028" s="5" t="s">
        <v>822</v>
      </c>
      <c r="M1028" s="5" t="s">
        <v>5009</v>
      </c>
      <c r="N1028" s="5" t="s">
        <v>4981</v>
      </c>
      <c r="O1028" s="5" t="s">
        <v>3082</v>
      </c>
      <c r="P1028" s="5" t="s">
        <v>2858</v>
      </c>
      <c r="Q1028" s="11">
        <v>46306.5</v>
      </c>
      <c r="R1028" s="6"/>
      <c r="S1028" s="6"/>
      <c r="T1028" s="6"/>
      <c r="U1028" s="5">
        <f>MATCH(B1028,Manual_Review!$A$6:$A$238,0)</f>
        <v>64</v>
      </c>
      <c r="V1028" s="5" t="str">
        <f>IF(INDEX(Manual_Review!$G$6:$G$238,U1028)="","",INDEX(Manual_Review!$G$6:$G$238,U1028))</f>
        <v/>
      </c>
      <c r="W1028" s="11" t="str">
        <f>IF(INDEX(Manual_Review!$H$6:$H$238,U1028)="","",INDEX(Manual_Review!$H$6:$H$238,U1028))</f>
        <v/>
      </c>
      <c r="X1028" s="5" t="str">
        <f>IF(INDEX(Manual_Review!$I$6:$I$238,U1028)="","",INDEX(Manual_Review!$I$6:$I$238,U1028))</f>
        <v/>
      </c>
      <c r="Y1028" s="5" t="s">
        <v>2859</v>
      </c>
    </row>
    <row r="1029" spans="1:25" ht="38.25">
      <c r="A1029" s="5" t="s">
        <v>5010</v>
      </c>
      <c r="B1029" s="5" t="s">
        <v>812</v>
      </c>
      <c r="C1029" s="5" t="s">
        <v>813</v>
      </c>
      <c r="D1029" s="5" t="s">
        <v>118</v>
      </c>
      <c r="E1029" s="5" t="s">
        <v>2796</v>
      </c>
      <c r="F1029" s="5" t="s">
        <v>2764</v>
      </c>
      <c r="G1029" s="5">
        <v>1</v>
      </c>
      <c r="H1029" s="5" t="s">
        <v>2864</v>
      </c>
      <c r="I1029" s="5" t="str">
        <f>IF(INDEX(Manual_Review!$Z$6:$Z$238,U1029)="","",INDEX(Manual_Review!$Z$6:$Z$238,U1029))</f>
        <v/>
      </c>
      <c r="J1029" s="5" t="str">
        <f t="shared" si="30"/>
        <v>AI provisional</v>
      </c>
      <c r="K1029" s="5" t="str">
        <f t="shared" si="31"/>
        <v>U</v>
      </c>
      <c r="L1029" s="5" t="s">
        <v>822</v>
      </c>
      <c r="M1029" s="5" t="s">
        <v>5011</v>
      </c>
      <c r="N1029" s="5" t="s">
        <v>4981</v>
      </c>
      <c r="O1029" s="5" t="s">
        <v>2899</v>
      </c>
      <c r="P1029" s="5" t="s">
        <v>2858</v>
      </c>
      <c r="Q1029" s="11">
        <v>46306.5</v>
      </c>
      <c r="R1029" s="6"/>
      <c r="S1029" s="6"/>
      <c r="T1029" s="6"/>
      <c r="U1029" s="5">
        <f>MATCH(B1029,Manual_Review!$A$6:$A$238,0)</f>
        <v>64</v>
      </c>
      <c r="V1029" s="5" t="str">
        <f>IF(INDEX(Manual_Review!$G$6:$G$238,U1029)="","",INDEX(Manual_Review!$G$6:$G$238,U1029))</f>
        <v/>
      </c>
      <c r="W1029" s="11" t="str">
        <f>IF(INDEX(Manual_Review!$H$6:$H$238,U1029)="","",INDEX(Manual_Review!$H$6:$H$238,U1029))</f>
        <v/>
      </c>
      <c r="X1029" s="5" t="str">
        <f>IF(INDEX(Manual_Review!$I$6:$I$238,U1029)="","",INDEX(Manual_Review!$I$6:$I$238,U1029))</f>
        <v/>
      </c>
      <c r="Y1029" s="5" t="s">
        <v>2859</v>
      </c>
    </row>
    <row r="1030" spans="1:25" ht="25.5">
      <c r="A1030" s="5" t="s">
        <v>5012</v>
      </c>
      <c r="B1030" s="5" t="s">
        <v>824</v>
      </c>
      <c r="C1030" s="5" t="s">
        <v>825</v>
      </c>
      <c r="D1030" s="5" t="s">
        <v>118</v>
      </c>
      <c r="E1030" s="5" t="s">
        <v>2781</v>
      </c>
      <c r="F1030" s="5" t="s">
        <v>2754</v>
      </c>
      <c r="G1030" s="5">
        <v>1</v>
      </c>
      <c r="H1030" s="5" t="s">
        <v>2854</v>
      </c>
      <c r="I1030" s="5" t="str">
        <f>IF(INDEX(Manual_Review!$K$6:$K$238,U1030)="","",INDEX(Manual_Review!$K$6:$K$238,U1030))</f>
        <v/>
      </c>
      <c r="J1030" s="5" t="str">
        <f t="shared" ref="J1030:J1093" si="32">IF(G1030=0,"Not applicable",IF(I1030="","AI provisional",IF(AND(OR(I1030="Y",I1030="N",I1030="U",I1030="X"),V1030&lt;&gt;"",ISNUMBER(W1030),W1030&gt;0,X1030="Confirmed",R1030&lt;&gt;"",S1030&lt;&gt;"",T1030&lt;&gt;""),"Human valid","Evidence needed")))</f>
        <v>AI provisional</v>
      </c>
      <c r="K1030" s="5" t="str">
        <f t="shared" ref="K1030:K1093" si="33">IF(G1030=0,"N/A",IF(I1030="",H1030,IF(J1030="Human valid",I1030,"U")))</f>
        <v>Y</v>
      </c>
      <c r="L1030" s="5" t="s">
        <v>5013</v>
      </c>
      <c r="M1030" s="5" t="s">
        <v>5014</v>
      </c>
      <c r="N1030" s="5" t="s">
        <v>5015</v>
      </c>
      <c r="O1030" s="5" t="s">
        <v>2991</v>
      </c>
      <c r="P1030" s="5" t="s">
        <v>2992</v>
      </c>
      <c r="Q1030" s="11">
        <v>46306.5</v>
      </c>
      <c r="R1030" s="6"/>
      <c r="S1030" s="6"/>
      <c r="T1030" s="6"/>
      <c r="U1030" s="5">
        <f>MATCH(B1030,Manual_Review!$A$6:$A$238,0)</f>
        <v>65</v>
      </c>
      <c r="V1030" s="5" t="str">
        <f>IF(INDEX(Manual_Review!$G$6:$G$238,U1030)="","",INDEX(Manual_Review!$G$6:$G$238,U1030))</f>
        <v/>
      </c>
      <c r="W1030" s="11" t="str">
        <f>IF(INDEX(Manual_Review!$H$6:$H$238,U1030)="","",INDEX(Manual_Review!$H$6:$H$238,U1030))</f>
        <v/>
      </c>
      <c r="X1030" s="5" t="str">
        <f>IF(INDEX(Manual_Review!$I$6:$I$238,U1030)="","",INDEX(Manual_Review!$I$6:$I$238,U1030))</f>
        <v/>
      </c>
      <c r="Y1030" s="5" t="s">
        <v>2859</v>
      </c>
    </row>
    <row r="1031" spans="1:25" ht="25.5">
      <c r="A1031" s="5" t="s">
        <v>5016</v>
      </c>
      <c r="B1031" s="5" t="s">
        <v>824</v>
      </c>
      <c r="C1031" s="5" t="s">
        <v>825</v>
      </c>
      <c r="D1031" s="5" t="s">
        <v>118</v>
      </c>
      <c r="E1031" s="5" t="s">
        <v>2782</v>
      </c>
      <c r="F1031" s="5" t="s">
        <v>2754</v>
      </c>
      <c r="G1031" s="5">
        <v>1</v>
      </c>
      <c r="H1031" s="5" t="s">
        <v>2854</v>
      </c>
      <c r="I1031" s="5" t="str">
        <f>IF(INDEX(Manual_Review!$L$6:$L$238,U1031)="","",INDEX(Manual_Review!$L$6:$L$238,U1031))</f>
        <v/>
      </c>
      <c r="J1031" s="5" t="str">
        <f t="shared" si="32"/>
        <v>AI provisional</v>
      </c>
      <c r="K1031" s="5" t="str">
        <f t="shared" si="33"/>
        <v>Y</v>
      </c>
      <c r="L1031" s="5" t="s">
        <v>5013</v>
      </c>
      <c r="M1031" s="5" t="s">
        <v>5017</v>
      </c>
      <c r="N1031" s="5" t="s">
        <v>5018</v>
      </c>
      <c r="O1031" s="5" t="s">
        <v>2996</v>
      </c>
      <c r="P1031" s="5" t="s">
        <v>2992</v>
      </c>
      <c r="Q1031" s="11">
        <v>46306.5</v>
      </c>
      <c r="R1031" s="6"/>
      <c r="S1031" s="6"/>
      <c r="T1031" s="6"/>
      <c r="U1031" s="5">
        <f>MATCH(B1031,Manual_Review!$A$6:$A$238,0)</f>
        <v>65</v>
      </c>
      <c r="V1031" s="5" t="str">
        <f>IF(INDEX(Manual_Review!$G$6:$G$238,U1031)="","",INDEX(Manual_Review!$G$6:$G$238,U1031))</f>
        <v/>
      </c>
      <c r="W1031" s="11" t="str">
        <f>IF(INDEX(Manual_Review!$H$6:$H$238,U1031)="","",INDEX(Manual_Review!$H$6:$H$238,U1031))</f>
        <v/>
      </c>
      <c r="X1031" s="5" t="str">
        <f>IF(INDEX(Manual_Review!$I$6:$I$238,U1031)="","",INDEX(Manual_Review!$I$6:$I$238,U1031))</f>
        <v/>
      </c>
      <c r="Y1031" s="5" t="s">
        <v>2859</v>
      </c>
    </row>
    <row r="1032" spans="1:25" ht="25.5">
      <c r="A1032" s="5" t="s">
        <v>5019</v>
      </c>
      <c r="B1032" s="5" t="s">
        <v>824</v>
      </c>
      <c r="C1032" s="5" t="s">
        <v>825</v>
      </c>
      <c r="D1032" s="5" t="s">
        <v>118</v>
      </c>
      <c r="E1032" s="5" t="s">
        <v>2783</v>
      </c>
      <c r="F1032" s="5" t="s">
        <v>2754</v>
      </c>
      <c r="G1032" s="5">
        <v>1</v>
      </c>
      <c r="H1032" s="5" t="s">
        <v>2854</v>
      </c>
      <c r="I1032" s="5" t="str">
        <f>IF(INDEX(Manual_Review!$M$6:$M$238,U1032)="","",INDEX(Manual_Review!$M$6:$M$238,U1032))</f>
        <v/>
      </c>
      <c r="J1032" s="5" t="str">
        <f t="shared" si="32"/>
        <v>AI provisional</v>
      </c>
      <c r="K1032" s="5" t="str">
        <f t="shared" si="33"/>
        <v>Y</v>
      </c>
      <c r="L1032" s="5" t="s">
        <v>5013</v>
      </c>
      <c r="M1032" s="5" t="s">
        <v>5020</v>
      </c>
      <c r="N1032" s="5" t="s">
        <v>5021</v>
      </c>
      <c r="O1032" s="5" t="s">
        <v>3000</v>
      </c>
      <c r="P1032" s="5" t="s">
        <v>2992</v>
      </c>
      <c r="Q1032" s="11">
        <v>46306.5</v>
      </c>
      <c r="R1032" s="6"/>
      <c r="S1032" s="6"/>
      <c r="T1032" s="6"/>
      <c r="U1032" s="5">
        <f>MATCH(B1032,Manual_Review!$A$6:$A$238,0)</f>
        <v>65</v>
      </c>
      <c r="V1032" s="5" t="str">
        <f>IF(INDEX(Manual_Review!$G$6:$G$238,U1032)="","",INDEX(Manual_Review!$G$6:$G$238,U1032))</f>
        <v/>
      </c>
      <c r="W1032" s="11" t="str">
        <f>IF(INDEX(Manual_Review!$H$6:$H$238,U1032)="","",INDEX(Manual_Review!$H$6:$H$238,U1032))</f>
        <v/>
      </c>
      <c r="X1032" s="5" t="str">
        <f>IF(INDEX(Manual_Review!$I$6:$I$238,U1032)="","",INDEX(Manual_Review!$I$6:$I$238,U1032))</f>
        <v/>
      </c>
      <c r="Y1032" s="5" t="s">
        <v>2859</v>
      </c>
    </row>
    <row r="1033" spans="1:25" ht="25.5">
      <c r="A1033" s="5" t="s">
        <v>5022</v>
      </c>
      <c r="B1033" s="5" t="s">
        <v>824</v>
      </c>
      <c r="C1033" s="5" t="s">
        <v>825</v>
      </c>
      <c r="D1033" s="5" t="s">
        <v>118</v>
      </c>
      <c r="E1033" s="5" t="s">
        <v>2784</v>
      </c>
      <c r="F1033" s="5" t="s">
        <v>2756</v>
      </c>
      <c r="G1033" s="5">
        <v>1</v>
      </c>
      <c r="H1033" s="5" t="s">
        <v>2854</v>
      </c>
      <c r="I1033" s="5" t="str">
        <f>IF(INDEX(Manual_Review!$N$6:$N$238,U1033)="","",INDEX(Manual_Review!$N$6:$N$238,U1033))</f>
        <v/>
      </c>
      <c r="J1033" s="5" t="str">
        <f t="shared" si="32"/>
        <v>AI provisional</v>
      </c>
      <c r="K1033" s="5" t="str">
        <f t="shared" si="33"/>
        <v>Y</v>
      </c>
      <c r="L1033" s="5" t="s">
        <v>5013</v>
      </c>
      <c r="M1033" s="5" t="s">
        <v>5023</v>
      </c>
      <c r="N1033" s="5" t="s">
        <v>5024</v>
      </c>
      <c r="O1033" s="5" t="s">
        <v>3004</v>
      </c>
      <c r="P1033" s="5" t="s">
        <v>2992</v>
      </c>
      <c r="Q1033" s="11">
        <v>46306.5</v>
      </c>
      <c r="R1033" s="6"/>
      <c r="S1033" s="6"/>
      <c r="T1033" s="6"/>
      <c r="U1033" s="5">
        <f>MATCH(B1033,Manual_Review!$A$6:$A$238,0)</f>
        <v>65</v>
      </c>
      <c r="V1033" s="5" t="str">
        <f>IF(INDEX(Manual_Review!$G$6:$G$238,U1033)="","",INDEX(Manual_Review!$G$6:$G$238,U1033))</f>
        <v/>
      </c>
      <c r="W1033" s="11" t="str">
        <f>IF(INDEX(Manual_Review!$H$6:$H$238,U1033)="","",INDEX(Manual_Review!$H$6:$H$238,U1033))</f>
        <v/>
      </c>
      <c r="X1033" s="5" t="str">
        <f>IF(INDEX(Manual_Review!$I$6:$I$238,U1033)="","",INDEX(Manual_Review!$I$6:$I$238,U1033))</f>
        <v/>
      </c>
      <c r="Y1033" s="5" t="s">
        <v>2859</v>
      </c>
    </row>
    <row r="1034" spans="1:25" ht="25.5">
      <c r="A1034" s="5" t="s">
        <v>5025</v>
      </c>
      <c r="B1034" s="5" t="s">
        <v>824</v>
      </c>
      <c r="C1034" s="5" t="s">
        <v>825</v>
      </c>
      <c r="D1034" s="5" t="s">
        <v>118</v>
      </c>
      <c r="E1034" s="5" t="s">
        <v>2785</v>
      </c>
      <c r="F1034" s="5" t="s">
        <v>2756</v>
      </c>
      <c r="G1034" s="5">
        <v>1</v>
      </c>
      <c r="H1034" s="5" t="s">
        <v>2864</v>
      </c>
      <c r="I1034" s="5" t="str">
        <f>IF(INDEX(Manual_Review!$O$6:$O$238,U1034)="","",INDEX(Manual_Review!$O$6:$O$238,U1034))</f>
        <v/>
      </c>
      <c r="J1034" s="5" t="str">
        <f t="shared" si="32"/>
        <v>AI provisional</v>
      </c>
      <c r="K1034" s="5" t="str">
        <f t="shared" si="33"/>
        <v>U</v>
      </c>
      <c r="L1034" s="5" t="s">
        <v>5013</v>
      </c>
      <c r="M1034" s="5" t="s">
        <v>5023</v>
      </c>
      <c r="N1034" s="5" t="s">
        <v>5024</v>
      </c>
      <c r="O1034" s="5" t="s">
        <v>3006</v>
      </c>
      <c r="P1034" s="5" t="s">
        <v>2992</v>
      </c>
      <c r="Q1034" s="11">
        <v>46306.5</v>
      </c>
      <c r="R1034" s="6"/>
      <c r="S1034" s="6"/>
      <c r="T1034" s="6"/>
      <c r="U1034" s="5">
        <f>MATCH(B1034,Manual_Review!$A$6:$A$238,0)</f>
        <v>65</v>
      </c>
      <c r="V1034" s="5" t="str">
        <f>IF(INDEX(Manual_Review!$G$6:$G$238,U1034)="","",INDEX(Manual_Review!$G$6:$G$238,U1034))</f>
        <v/>
      </c>
      <c r="W1034" s="11" t="str">
        <f>IF(INDEX(Manual_Review!$H$6:$H$238,U1034)="","",INDEX(Manual_Review!$H$6:$H$238,U1034))</f>
        <v/>
      </c>
      <c r="X1034" s="5" t="str">
        <f>IF(INDEX(Manual_Review!$I$6:$I$238,U1034)="","",INDEX(Manual_Review!$I$6:$I$238,U1034))</f>
        <v/>
      </c>
      <c r="Y1034" s="5" t="s">
        <v>2859</v>
      </c>
    </row>
    <row r="1035" spans="1:25" ht="38.25">
      <c r="A1035" s="5" t="s">
        <v>5026</v>
      </c>
      <c r="B1035" s="5" t="s">
        <v>824</v>
      </c>
      <c r="C1035" s="5" t="s">
        <v>825</v>
      </c>
      <c r="D1035" s="5" t="s">
        <v>118</v>
      </c>
      <c r="E1035" s="5" t="s">
        <v>2786</v>
      </c>
      <c r="F1035" s="5" t="s">
        <v>2756</v>
      </c>
      <c r="G1035" s="5">
        <v>1</v>
      </c>
      <c r="H1035" s="5" t="s">
        <v>2864</v>
      </c>
      <c r="I1035" s="5" t="str">
        <f>IF(INDEX(Manual_Review!$P$6:$P$238,U1035)="","",INDEX(Manual_Review!$P$6:$P$238,U1035))</f>
        <v/>
      </c>
      <c r="J1035" s="5" t="str">
        <f t="shared" si="32"/>
        <v>AI provisional</v>
      </c>
      <c r="K1035" s="5" t="str">
        <f t="shared" si="33"/>
        <v>U</v>
      </c>
      <c r="L1035" s="5" t="s">
        <v>5013</v>
      </c>
      <c r="M1035" s="5" t="s">
        <v>5027</v>
      </c>
      <c r="N1035" s="5" t="s">
        <v>5028</v>
      </c>
      <c r="O1035" s="5" t="s">
        <v>3010</v>
      </c>
      <c r="P1035" s="5" t="s">
        <v>2992</v>
      </c>
      <c r="Q1035" s="11">
        <v>46306.5</v>
      </c>
      <c r="R1035" s="6"/>
      <c r="S1035" s="6"/>
      <c r="T1035" s="6"/>
      <c r="U1035" s="5">
        <f>MATCH(B1035,Manual_Review!$A$6:$A$238,0)</f>
        <v>65</v>
      </c>
      <c r="V1035" s="5" t="str">
        <f>IF(INDEX(Manual_Review!$G$6:$G$238,U1035)="","",INDEX(Manual_Review!$G$6:$G$238,U1035))</f>
        <v/>
      </c>
      <c r="W1035" s="11" t="str">
        <f>IF(INDEX(Manual_Review!$H$6:$H$238,U1035)="","",INDEX(Manual_Review!$H$6:$H$238,U1035))</f>
        <v/>
      </c>
      <c r="X1035" s="5" t="str">
        <f>IF(INDEX(Manual_Review!$I$6:$I$238,U1035)="","",INDEX(Manual_Review!$I$6:$I$238,U1035))</f>
        <v/>
      </c>
      <c r="Y1035" s="5" t="s">
        <v>2859</v>
      </c>
    </row>
    <row r="1036" spans="1:25" ht="25.5">
      <c r="A1036" s="5" t="s">
        <v>5029</v>
      </c>
      <c r="B1036" s="5" t="s">
        <v>824</v>
      </c>
      <c r="C1036" s="5" t="s">
        <v>825</v>
      </c>
      <c r="D1036" s="5" t="s">
        <v>118</v>
      </c>
      <c r="E1036" s="5" t="s">
        <v>2787</v>
      </c>
      <c r="F1036" s="5" t="s">
        <v>2758</v>
      </c>
      <c r="G1036" s="5">
        <v>1</v>
      </c>
      <c r="H1036" s="5" t="s">
        <v>2864</v>
      </c>
      <c r="I1036" s="5" t="str">
        <f>IF(INDEX(Manual_Review!$Q$6:$Q$238,U1036)="","",INDEX(Manual_Review!$Q$6:$Q$238,U1036))</f>
        <v/>
      </c>
      <c r="J1036" s="5" t="str">
        <f t="shared" si="32"/>
        <v>AI provisional</v>
      </c>
      <c r="K1036" s="5" t="str">
        <f t="shared" si="33"/>
        <v>U</v>
      </c>
      <c r="L1036" s="5" t="s">
        <v>5013</v>
      </c>
      <c r="M1036" s="5" t="s">
        <v>5030</v>
      </c>
      <c r="N1036" s="5" t="s">
        <v>5031</v>
      </c>
      <c r="O1036" s="5" t="s">
        <v>3014</v>
      </c>
      <c r="P1036" s="5" t="s">
        <v>2992</v>
      </c>
      <c r="Q1036" s="11">
        <v>46306.5</v>
      </c>
      <c r="R1036" s="6"/>
      <c r="S1036" s="6"/>
      <c r="T1036" s="6"/>
      <c r="U1036" s="5">
        <f>MATCH(B1036,Manual_Review!$A$6:$A$238,0)</f>
        <v>65</v>
      </c>
      <c r="V1036" s="5" t="str">
        <f>IF(INDEX(Manual_Review!$G$6:$G$238,U1036)="","",INDEX(Manual_Review!$G$6:$G$238,U1036))</f>
        <v/>
      </c>
      <c r="W1036" s="11" t="str">
        <f>IF(INDEX(Manual_Review!$H$6:$H$238,U1036)="","",INDEX(Manual_Review!$H$6:$H$238,U1036))</f>
        <v/>
      </c>
      <c r="X1036" s="5" t="str">
        <f>IF(INDEX(Manual_Review!$I$6:$I$238,U1036)="","",INDEX(Manual_Review!$I$6:$I$238,U1036))</f>
        <v/>
      </c>
      <c r="Y1036" s="5" t="s">
        <v>2859</v>
      </c>
    </row>
    <row r="1037" spans="1:25" ht="38.25">
      <c r="A1037" s="5" t="s">
        <v>5032</v>
      </c>
      <c r="B1037" s="5" t="s">
        <v>824</v>
      </c>
      <c r="C1037" s="5" t="s">
        <v>825</v>
      </c>
      <c r="D1037" s="5" t="s">
        <v>118</v>
      </c>
      <c r="E1037" s="5" t="s">
        <v>2788</v>
      </c>
      <c r="F1037" s="5" t="s">
        <v>2758</v>
      </c>
      <c r="G1037" s="5">
        <v>1</v>
      </c>
      <c r="H1037" s="5" t="s">
        <v>2854</v>
      </c>
      <c r="I1037" s="5" t="str">
        <f>IF(INDEX(Manual_Review!$R$6:$R$238,U1037)="","",INDEX(Manual_Review!$R$6:$R$238,U1037))</f>
        <v/>
      </c>
      <c r="J1037" s="5" t="str">
        <f t="shared" si="32"/>
        <v>AI provisional</v>
      </c>
      <c r="K1037" s="5" t="str">
        <f t="shared" si="33"/>
        <v>Y</v>
      </c>
      <c r="L1037" s="5" t="s">
        <v>5013</v>
      </c>
      <c r="M1037" s="5" t="s">
        <v>5033</v>
      </c>
      <c r="N1037" s="5" t="s">
        <v>5034</v>
      </c>
      <c r="O1037" s="5" t="s">
        <v>3018</v>
      </c>
      <c r="P1037" s="5" t="s">
        <v>2992</v>
      </c>
      <c r="Q1037" s="11">
        <v>46306.5</v>
      </c>
      <c r="R1037" s="6"/>
      <c r="S1037" s="6"/>
      <c r="T1037" s="6"/>
      <c r="U1037" s="5">
        <f>MATCH(B1037,Manual_Review!$A$6:$A$238,0)</f>
        <v>65</v>
      </c>
      <c r="V1037" s="5" t="str">
        <f>IF(INDEX(Manual_Review!$G$6:$G$238,U1037)="","",INDEX(Manual_Review!$G$6:$G$238,U1037))</f>
        <v/>
      </c>
      <c r="W1037" s="11" t="str">
        <f>IF(INDEX(Manual_Review!$H$6:$H$238,U1037)="","",INDEX(Manual_Review!$H$6:$H$238,U1037))</f>
        <v/>
      </c>
      <c r="X1037" s="5" t="str">
        <f>IF(INDEX(Manual_Review!$I$6:$I$238,U1037)="","",INDEX(Manual_Review!$I$6:$I$238,U1037))</f>
        <v/>
      </c>
      <c r="Y1037" s="5" t="s">
        <v>2859</v>
      </c>
    </row>
    <row r="1038" spans="1:25" ht="38.25">
      <c r="A1038" s="5" t="s">
        <v>5035</v>
      </c>
      <c r="B1038" s="5" t="s">
        <v>824</v>
      </c>
      <c r="C1038" s="5" t="s">
        <v>825</v>
      </c>
      <c r="D1038" s="5" t="s">
        <v>118</v>
      </c>
      <c r="E1038" s="5" t="s">
        <v>2789</v>
      </c>
      <c r="F1038" s="5" t="s">
        <v>2758</v>
      </c>
      <c r="G1038" s="5">
        <v>1</v>
      </c>
      <c r="H1038" s="5" t="s">
        <v>2854</v>
      </c>
      <c r="I1038" s="5" t="str">
        <f>IF(INDEX(Manual_Review!$S$6:$S$238,U1038)="","",INDEX(Manual_Review!$S$6:$S$238,U1038))</f>
        <v/>
      </c>
      <c r="J1038" s="5" t="str">
        <f t="shared" si="32"/>
        <v>AI provisional</v>
      </c>
      <c r="K1038" s="5" t="str">
        <f t="shared" si="33"/>
        <v>Y</v>
      </c>
      <c r="L1038" s="5" t="s">
        <v>5013</v>
      </c>
      <c r="M1038" s="5" t="s">
        <v>5036</v>
      </c>
      <c r="N1038" s="5" t="s">
        <v>5037</v>
      </c>
      <c r="O1038" s="5" t="s">
        <v>3022</v>
      </c>
      <c r="P1038" s="5" t="s">
        <v>2992</v>
      </c>
      <c r="Q1038" s="11">
        <v>46306.5</v>
      </c>
      <c r="R1038" s="6"/>
      <c r="S1038" s="6"/>
      <c r="T1038" s="6"/>
      <c r="U1038" s="5">
        <f>MATCH(B1038,Manual_Review!$A$6:$A$238,0)</f>
        <v>65</v>
      </c>
      <c r="V1038" s="5" t="str">
        <f>IF(INDEX(Manual_Review!$G$6:$G$238,U1038)="","",INDEX(Manual_Review!$G$6:$G$238,U1038))</f>
        <v/>
      </c>
      <c r="W1038" s="11" t="str">
        <f>IF(INDEX(Manual_Review!$H$6:$H$238,U1038)="","",INDEX(Manual_Review!$H$6:$H$238,U1038))</f>
        <v/>
      </c>
      <c r="X1038" s="5" t="str">
        <f>IF(INDEX(Manual_Review!$I$6:$I$238,U1038)="","",INDEX(Manual_Review!$I$6:$I$238,U1038))</f>
        <v/>
      </c>
      <c r="Y1038" s="5" t="s">
        <v>2859</v>
      </c>
    </row>
    <row r="1039" spans="1:25" ht="25.5">
      <c r="A1039" s="5" t="s">
        <v>5038</v>
      </c>
      <c r="B1039" s="5" t="s">
        <v>824</v>
      </c>
      <c r="C1039" s="5" t="s">
        <v>825</v>
      </c>
      <c r="D1039" s="5" t="s">
        <v>118</v>
      </c>
      <c r="E1039" s="5" t="s">
        <v>2790</v>
      </c>
      <c r="F1039" s="5" t="s">
        <v>2760</v>
      </c>
      <c r="G1039" s="5">
        <v>1</v>
      </c>
      <c r="H1039" s="5" t="s">
        <v>2908</v>
      </c>
      <c r="I1039" s="5" t="str">
        <f>IF(INDEX(Manual_Review!$T$6:$T$238,U1039)="","",INDEX(Manual_Review!$T$6:$T$238,U1039))</f>
        <v/>
      </c>
      <c r="J1039" s="5" t="str">
        <f t="shared" si="32"/>
        <v>AI provisional</v>
      </c>
      <c r="K1039" s="5" t="str">
        <f t="shared" si="33"/>
        <v>X</v>
      </c>
      <c r="L1039" s="5" t="s">
        <v>5013</v>
      </c>
      <c r="M1039" s="5" t="s">
        <v>5039</v>
      </c>
      <c r="N1039" s="5" t="s">
        <v>5040</v>
      </c>
      <c r="O1039" s="5" t="s">
        <v>5041</v>
      </c>
      <c r="P1039" s="5" t="s">
        <v>2992</v>
      </c>
      <c r="Q1039" s="11">
        <v>46306.5</v>
      </c>
      <c r="R1039" s="6"/>
      <c r="S1039" s="6"/>
      <c r="T1039" s="6"/>
      <c r="U1039" s="5">
        <f>MATCH(B1039,Manual_Review!$A$6:$A$238,0)</f>
        <v>65</v>
      </c>
      <c r="V1039" s="5" t="str">
        <f>IF(INDEX(Manual_Review!$G$6:$G$238,U1039)="","",INDEX(Manual_Review!$G$6:$G$238,U1039))</f>
        <v/>
      </c>
      <c r="W1039" s="11" t="str">
        <f>IF(INDEX(Manual_Review!$H$6:$H$238,U1039)="","",INDEX(Manual_Review!$H$6:$H$238,U1039))</f>
        <v/>
      </c>
      <c r="X1039" s="5" t="str">
        <f>IF(INDEX(Manual_Review!$I$6:$I$238,U1039)="","",INDEX(Manual_Review!$I$6:$I$238,U1039))</f>
        <v/>
      </c>
      <c r="Y1039" s="5" t="s">
        <v>2859</v>
      </c>
    </row>
    <row r="1040" spans="1:25" ht="25.5">
      <c r="A1040" s="5" t="s">
        <v>5042</v>
      </c>
      <c r="B1040" s="5" t="s">
        <v>824</v>
      </c>
      <c r="C1040" s="5" t="s">
        <v>825</v>
      </c>
      <c r="D1040" s="5" t="s">
        <v>118</v>
      </c>
      <c r="E1040" s="5" t="s">
        <v>2791</v>
      </c>
      <c r="F1040" s="5" t="s">
        <v>2760</v>
      </c>
      <c r="G1040" s="5">
        <v>1</v>
      </c>
      <c r="H1040" s="5" t="s">
        <v>2854</v>
      </c>
      <c r="I1040" s="5" t="str">
        <f>IF(INDEX(Manual_Review!$U$6:$U$238,U1040)="","",INDEX(Manual_Review!$U$6:$U$238,U1040))</f>
        <v/>
      </c>
      <c r="J1040" s="5" t="str">
        <f t="shared" si="32"/>
        <v>AI provisional</v>
      </c>
      <c r="K1040" s="5" t="str">
        <f t="shared" si="33"/>
        <v>Y</v>
      </c>
      <c r="L1040" s="5" t="s">
        <v>5013</v>
      </c>
      <c r="M1040" s="5" t="s">
        <v>5043</v>
      </c>
      <c r="N1040" s="5" t="s">
        <v>5044</v>
      </c>
      <c r="O1040" s="5" t="s">
        <v>3832</v>
      </c>
      <c r="P1040" s="5" t="s">
        <v>2992</v>
      </c>
      <c r="Q1040" s="11">
        <v>46306.5</v>
      </c>
      <c r="R1040" s="6"/>
      <c r="S1040" s="6"/>
      <c r="T1040" s="6"/>
      <c r="U1040" s="5">
        <f>MATCH(B1040,Manual_Review!$A$6:$A$238,0)</f>
        <v>65</v>
      </c>
      <c r="V1040" s="5" t="str">
        <f>IF(INDEX(Manual_Review!$G$6:$G$238,U1040)="","",INDEX(Manual_Review!$G$6:$G$238,U1040))</f>
        <v/>
      </c>
      <c r="W1040" s="11" t="str">
        <f>IF(INDEX(Manual_Review!$H$6:$H$238,U1040)="","",INDEX(Manual_Review!$H$6:$H$238,U1040))</f>
        <v/>
      </c>
      <c r="X1040" s="5" t="str">
        <f>IF(INDEX(Manual_Review!$I$6:$I$238,U1040)="","",INDEX(Manual_Review!$I$6:$I$238,U1040))</f>
        <v/>
      </c>
      <c r="Y1040" s="5" t="s">
        <v>2859</v>
      </c>
    </row>
    <row r="1041" spans="1:25" ht="25.5">
      <c r="A1041" s="5" t="s">
        <v>5045</v>
      </c>
      <c r="B1041" s="5" t="s">
        <v>824</v>
      </c>
      <c r="C1041" s="5" t="s">
        <v>825</v>
      </c>
      <c r="D1041" s="5" t="s">
        <v>118</v>
      </c>
      <c r="E1041" s="5" t="s">
        <v>2792</v>
      </c>
      <c r="F1041" s="5" t="s">
        <v>2762</v>
      </c>
      <c r="G1041" s="5">
        <v>1</v>
      </c>
      <c r="H1041" s="5" t="s">
        <v>2854</v>
      </c>
      <c r="I1041" s="5" t="str">
        <f>IF(INDEX(Manual_Review!$V$6:$V$238,U1041)="","",INDEX(Manual_Review!$V$6:$V$238,U1041))</f>
        <v/>
      </c>
      <c r="J1041" s="5" t="str">
        <f t="shared" si="32"/>
        <v>AI provisional</v>
      </c>
      <c r="K1041" s="5" t="str">
        <f t="shared" si="33"/>
        <v>Y</v>
      </c>
      <c r="L1041" s="5" t="s">
        <v>5013</v>
      </c>
      <c r="M1041" s="5" t="s">
        <v>5046</v>
      </c>
      <c r="N1041" s="5" t="s">
        <v>5047</v>
      </c>
      <c r="O1041" s="5" t="s">
        <v>3034</v>
      </c>
      <c r="P1041" s="5" t="s">
        <v>2992</v>
      </c>
      <c r="Q1041" s="11">
        <v>46306.5</v>
      </c>
      <c r="R1041" s="6"/>
      <c r="S1041" s="6"/>
      <c r="T1041" s="6"/>
      <c r="U1041" s="5">
        <f>MATCH(B1041,Manual_Review!$A$6:$A$238,0)</f>
        <v>65</v>
      </c>
      <c r="V1041" s="5" t="str">
        <f>IF(INDEX(Manual_Review!$G$6:$G$238,U1041)="","",INDEX(Manual_Review!$G$6:$G$238,U1041))</f>
        <v/>
      </c>
      <c r="W1041" s="11" t="str">
        <f>IF(INDEX(Manual_Review!$H$6:$H$238,U1041)="","",INDEX(Manual_Review!$H$6:$H$238,U1041))</f>
        <v/>
      </c>
      <c r="X1041" s="5" t="str">
        <f>IF(INDEX(Manual_Review!$I$6:$I$238,U1041)="","",INDEX(Manual_Review!$I$6:$I$238,U1041))</f>
        <v/>
      </c>
      <c r="Y1041" s="5" t="s">
        <v>2859</v>
      </c>
    </row>
    <row r="1042" spans="1:25" ht="38.25">
      <c r="A1042" s="5" t="s">
        <v>5048</v>
      </c>
      <c r="B1042" s="5" t="s">
        <v>824</v>
      </c>
      <c r="C1042" s="5" t="s">
        <v>825</v>
      </c>
      <c r="D1042" s="5" t="s">
        <v>118</v>
      </c>
      <c r="E1042" s="5" t="s">
        <v>2793</v>
      </c>
      <c r="F1042" s="5" t="s">
        <v>2762</v>
      </c>
      <c r="G1042" s="5">
        <v>1</v>
      </c>
      <c r="H1042" s="5" t="s">
        <v>2854</v>
      </c>
      <c r="I1042" s="5" t="str">
        <f>IF(INDEX(Manual_Review!$W$6:$W$238,U1042)="","",INDEX(Manual_Review!$W$6:$W$238,U1042))</f>
        <v/>
      </c>
      <c r="J1042" s="5" t="str">
        <f t="shared" si="32"/>
        <v>AI provisional</v>
      </c>
      <c r="K1042" s="5" t="str">
        <f t="shared" si="33"/>
        <v>Y</v>
      </c>
      <c r="L1042" s="5" t="s">
        <v>5013</v>
      </c>
      <c r="M1042" s="5" t="s">
        <v>5049</v>
      </c>
      <c r="N1042" s="5" t="s">
        <v>5050</v>
      </c>
      <c r="O1042" s="5" t="s">
        <v>3038</v>
      </c>
      <c r="P1042" s="5" t="s">
        <v>2992</v>
      </c>
      <c r="Q1042" s="11">
        <v>46306.5</v>
      </c>
      <c r="R1042" s="6"/>
      <c r="S1042" s="6"/>
      <c r="T1042" s="6"/>
      <c r="U1042" s="5">
        <f>MATCH(B1042,Manual_Review!$A$6:$A$238,0)</f>
        <v>65</v>
      </c>
      <c r="V1042" s="5" t="str">
        <f>IF(INDEX(Manual_Review!$G$6:$G$238,U1042)="","",INDEX(Manual_Review!$G$6:$G$238,U1042))</f>
        <v/>
      </c>
      <c r="W1042" s="11" t="str">
        <f>IF(INDEX(Manual_Review!$H$6:$H$238,U1042)="","",INDEX(Manual_Review!$H$6:$H$238,U1042))</f>
        <v/>
      </c>
      <c r="X1042" s="5" t="str">
        <f>IF(INDEX(Manual_Review!$I$6:$I$238,U1042)="","",INDEX(Manual_Review!$I$6:$I$238,U1042))</f>
        <v/>
      </c>
      <c r="Y1042" s="5" t="s">
        <v>2859</v>
      </c>
    </row>
    <row r="1043" spans="1:25" ht="25.5">
      <c r="A1043" s="5" t="s">
        <v>5051</v>
      </c>
      <c r="B1043" s="5" t="s">
        <v>824</v>
      </c>
      <c r="C1043" s="5" t="s">
        <v>825</v>
      </c>
      <c r="D1043" s="5" t="s">
        <v>118</v>
      </c>
      <c r="E1043" s="5" t="s">
        <v>2794</v>
      </c>
      <c r="F1043" s="5" t="s">
        <v>2764</v>
      </c>
      <c r="G1043" s="5">
        <v>1</v>
      </c>
      <c r="H1043" s="5" t="s">
        <v>2854</v>
      </c>
      <c r="I1043" s="5" t="str">
        <f>IF(INDEX(Manual_Review!$X$6:$X$238,U1043)="","",INDEX(Manual_Review!$X$6:$X$238,U1043))</f>
        <v/>
      </c>
      <c r="J1043" s="5" t="str">
        <f t="shared" si="32"/>
        <v>AI provisional</v>
      </c>
      <c r="K1043" s="5" t="str">
        <f t="shared" si="33"/>
        <v>Y</v>
      </c>
      <c r="L1043" s="5" t="s">
        <v>5013</v>
      </c>
      <c r="M1043" s="5" t="s">
        <v>5052</v>
      </c>
      <c r="N1043" s="5" t="s">
        <v>5053</v>
      </c>
      <c r="O1043" s="5" t="s">
        <v>3042</v>
      </c>
      <c r="P1043" s="5" t="s">
        <v>2992</v>
      </c>
      <c r="Q1043" s="11">
        <v>46306.5</v>
      </c>
      <c r="R1043" s="6"/>
      <c r="S1043" s="6"/>
      <c r="T1043" s="6"/>
      <c r="U1043" s="5">
        <f>MATCH(B1043,Manual_Review!$A$6:$A$238,0)</f>
        <v>65</v>
      </c>
      <c r="V1043" s="5" t="str">
        <f>IF(INDEX(Manual_Review!$G$6:$G$238,U1043)="","",INDEX(Manual_Review!$G$6:$G$238,U1043))</f>
        <v/>
      </c>
      <c r="W1043" s="11" t="str">
        <f>IF(INDEX(Manual_Review!$H$6:$H$238,U1043)="","",INDEX(Manual_Review!$H$6:$H$238,U1043))</f>
        <v/>
      </c>
      <c r="X1043" s="5" t="str">
        <f>IF(INDEX(Manual_Review!$I$6:$I$238,U1043)="","",INDEX(Manual_Review!$I$6:$I$238,U1043))</f>
        <v/>
      </c>
      <c r="Y1043" s="5" t="s">
        <v>2859</v>
      </c>
    </row>
    <row r="1044" spans="1:25" ht="25.5">
      <c r="A1044" s="5" t="s">
        <v>5054</v>
      </c>
      <c r="B1044" s="5" t="s">
        <v>824</v>
      </c>
      <c r="C1044" s="5" t="s">
        <v>825</v>
      </c>
      <c r="D1044" s="5" t="s">
        <v>118</v>
      </c>
      <c r="E1044" s="5" t="s">
        <v>2795</v>
      </c>
      <c r="F1044" s="5" t="s">
        <v>2764</v>
      </c>
      <c r="G1044" s="5">
        <v>1</v>
      </c>
      <c r="H1044" s="5" t="s">
        <v>2864</v>
      </c>
      <c r="I1044" s="5" t="str">
        <f>IF(INDEX(Manual_Review!$Y$6:$Y$238,U1044)="","",INDEX(Manual_Review!$Y$6:$Y$238,U1044))</f>
        <v/>
      </c>
      <c r="J1044" s="5" t="str">
        <f t="shared" si="32"/>
        <v>AI provisional</v>
      </c>
      <c r="K1044" s="5" t="str">
        <f t="shared" si="33"/>
        <v>U</v>
      </c>
      <c r="L1044" s="5" t="s">
        <v>5013</v>
      </c>
      <c r="M1044" s="5" t="s">
        <v>5055</v>
      </c>
      <c r="N1044" s="5" t="s">
        <v>5056</v>
      </c>
      <c r="O1044" s="5" t="s">
        <v>3469</v>
      </c>
      <c r="P1044" s="5" t="s">
        <v>2992</v>
      </c>
      <c r="Q1044" s="11">
        <v>46306.5</v>
      </c>
      <c r="R1044" s="6"/>
      <c r="S1044" s="6"/>
      <c r="T1044" s="6"/>
      <c r="U1044" s="5">
        <f>MATCH(B1044,Manual_Review!$A$6:$A$238,0)</f>
        <v>65</v>
      </c>
      <c r="V1044" s="5" t="str">
        <f>IF(INDEX(Manual_Review!$G$6:$G$238,U1044)="","",INDEX(Manual_Review!$G$6:$G$238,U1044))</f>
        <v/>
      </c>
      <c r="W1044" s="11" t="str">
        <f>IF(INDEX(Manual_Review!$H$6:$H$238,U1044)="","",INDEX(Manual_Review!$H$6:$H$238,U1044))</f>
        <v/>
      </c>
      <c r="X1044" s="5" t="str">
        <f>IF(INDEX(Manual_Review!$I$6:$I$238,U1044)="","",INDEX(Manual_Review!$I$6:$I$238,U1044))</f>
        <v/>
      </c>
      <c r="Y1044" s="5" t="s">
        <v>2859</v>
      </c>
    </row>
    <row r="1045" spans="1:25" ht="38.25">
      <c r="A1045" s="5" t="s">
        <v>5057</v>
      </c>
      <c r="B1045" s="5" t="s">
        <v>824</v>
      </c>
      <c r="C1045" s="5" t="s">
        <v>825</v>
      </c>
      <c r="D1045" s="5" t="s">
        <v>118</v>
      </c>
      <c r="E1045" s="5" t="s">
        <v>2796</v>
      </c>
      <c r="F1045" s="5" t="s">
        <v>2764</v>
      </c>
      <c r="G1045" s="5">
        <v>1</v>
      </c>
      <c r="H1045" s="5" t="s">
        <v>2854</v>
      </c>
      <c r="I1045" s="5" t="str">
        <f>IF(INDEX(Manual_Review!$Z$6:$Z$238,U1045)="","",INDEX(Manual_Review!$Z$6:$Z$238,U1045))</f>
        <v/>
      </c>
      <c r="J1045" s="5" t="str">
        <f t="shared" si="32"/>
        <v>AI provisional</v>
      </c>
      <c r="K1045" s="5" t="str">
        <f t="shared" si="33"/>
        <v>Y</v>
      </c>
      <c r="L1045" s="5" t="s">
        <v>5013</v>
      </c>
      <c r="M1045" s="5" t="s">
        <v>5058</v>
      </c>
      <c r="N1045" s="5" t="s">
        <v>5059</v>
      </c>
      <c r="O1045" s="5" t="s">
        <v>3960</v>
      </c>
      <c r="P1045" s="5" t="s">
        <v>2992</v>
      </c>
      <c r="Q1045" s="11">
        <v>46306.5</v>
      </c>
      <c r="R1045" s="6"/>
      <c r="S1045" s="6"/>
      <c r="T1045" s="6"/>
      <c r="U1045" s="5">
        <f>MATCH(B1045,Manual_Review!$A$6:$A$238,0)</f>
        <v>65</v>
      </c>
      <c r="V1045" s="5" t="str">
        <f>IF(INDEX(Manual_Review!$G$6:$G$238,U1045)="","",INDEX(Manual_Review!$G$6:$G$238,U1045))</f>
        <v/>
      </c>
      <c r="W1045" s="11" t="str">
        <f>IF(INDEX(Manual_Review!$H$6:$H$238,U1045)="","",INDEX(Manual_Review!$H$6:$H$238,U1045))</f>
        <v/>
      </c>
      <c r="X1045" s="5" t="str">
        <f>IF(INDEX(Manual_Review!$I$6:$I$238,U1045)="","",INDEX(Manual_Review!$I$6:$I$238,U1045))</f>
        <v/>
      </c>
      <c r="Y1045" s="5" t="s">
        <v>2859</v>
      </c>
    </row>
    <row r="1046" spans="1:25" ht="38.25">
      <c r="A1046" s="5" t="s">
        <v>5060</v>
      </c>
      <c r="B1046" s="5" t="s">
        <v>837</v>
      </c>
      <c r="C1046" s="5" t="s">
        <v>838</v>
      </c>
      <c r="D1046" s="5" t="s">
        <v>118</v>
      </c>
      <c r="E1046" s="5" t="s">
        <v>2781</v>
      </c>
      <c r="F1046" s="5" t="s">
        <v>2754</v>
      </c>
      <c r="G1046" s="5">
        <v>1</v>
      </c>
      <c r="H1046" s="5" t="s">
        <v>2854</v>
      </c>
      <c r="I1046" s="5" t="str">
        <f>IF(INDEX(Manual_Review!$K$6:$K$238,U1046)="","",INDEX(Manual_Review!$K$6:$K$238,U1046))</f>
        <v/>
      </c>
      <c r="J1046" s="5" t="str">
        <f t="shared" si="32"/>
        <v>AI provisional</v>
      </c>
      <c r="K1046" s="5" t="str">
        <f t="shared" si="33"/>
        <v>Y</v>
      </c>
      <c r="L1046" s="5" t="s">
        <v>845</v>
      </c>
      <c r="M1046" s="5" t="s">
        <v>5061</v>
      </c>
      <c r="N1046" s="5" t="s">
        <v>5062</v>
      </c>
      <c r="O1046" s="5" t="s">
        <v>2857</v>
      </c>
      <c r="P1046" s="5" t="s">
        <v>2858</v>
      </c>
      <c r="Q1046" s="11">
        <v>46306.5</v>
      </c>
      <c r="R1046" s="6"/>
      <c r="S1046" s="6"/>
      <c r="T1046" s="6"/>
      <c r="U1046" s="5">
        <f>MATCH(B1046,Manual_Review!$A$6:$A$238,0)</f>
        <v>66</v>
      </c>
      <c r="V1046" s="5" t="str">
        <f>IF(INDEX(Manual_Review!$G$6:$G$238,U1046)="","",INDEX(Manual_Review!$G$6:$G$238,U1046))</f>
        <v/>
      </c>
      <c r="W1046" s="11" t="str">
        <f>IF(INDEX(Manual_Review!$H$6:$H$238,U1046)="","",INDEX(Manual_Review!$H$6:$H$238,U1046))</f>
        <v/>
      </c>
      <c r="X1046" s="5" t="str">
        <f>IF(INDEX(Manual_Review!$I$6:$I$238,U1046)="","",INDEX(Manual_Review!$I$6:$I$238,U1046))</f>
        <v/>
      </c>
      <c r="Y1046" s="5" t="s">
        <v>2859</v>
      </c>
    </row>
    <row r="1047" spans="1:25" ht="38.25">
      <c r="A1047" s="5" t="s">
        <v>5063</v>
      </c>
      <c r="B1047" s="5" t="s">
        <v>837</v>
      </c>
      <c r="C1047" s="5" t="s">
        <v>838</v>
      </c>
      <c r="D1047" s="5" t="s">
        <v>118</v>
      </c>
      <c r="E1047" s="5" t="s">
        <v>2782</v>
      </c>
      <c r="F1047" s="5" t="s">
        <v>2754</v>
      </c>
      <c r="G1047" s="5">
        <v>1</v>
      </c>
      <c r="H1047" s="5" t="s">
        <v>2854</v>
      </c>
      <c r="I1047" s="5" t="str">
        <f>IF(INDEX(Manual_Review!$L$6:$L$238,U1047)="","",INDEX(Manual_Review!$L$6:$L$238,U1047))</f>
        <v/>
      </c>
      <c r="J1047" s="5" t="str">
        <f t="shared" si="32"/>
        <v>AI provisional</v>
      </c>
      <c r="K1047" s="5" t="str">
        <f t="shared" si="33"/>
        <v>Y</v>
      </c>
      <c r="L1047" s="5" t="s">
        <v>845</v>
      </c>
      <c r="M1047" s="5" t="s">
        <v>5064</v>
      </c>
      <c r="N1047" s="5" t="s">
        <v>5062</v>
      </c>
      <c r="O1047" s="5" t="s">
        <v>2862</v>
      </c>
      <c r="P1047" s="5" t="s">
        <v>2858</v>
      </c>
      <c r="Q1047" s="11">
        <v>46306.5</v>
      </c>
      <c r="R1047" s="6"/>
      <c r="S1047" s="6"/>
      <c r="T1047" s="6"/>
      <c r="U1047" s="5">
        <f>MATCH(B1047,Manual_Review!$A$6:$A$238,0)</f>
        <v>66</v>
      </c>
      <c r="V1047" s="5" t="str">
        <f>IF(INDEX(Manual_Review!$G$6:$G$238,U1047)="","",INDEX(Manual_Review!$G$6:$G$238,U1047))</f>
        <v/>
      </c>
      <c r="W1047" s="11" t="str">
        <f>IF(INDEX(Manual_Review!$H$6:$H$238,U1047)="","",INDEX(Manual_Review!$H$6:$H$238,U1047))</f>
        <v/>
      </c>
      <c r="X1047" s="5" t="str">
        <f>IF(INDEX(Manual_Review!$I$6:$I$238,U1047)="","",INDEX(Manual_Review!$I$6:$I$238,U1047))</f>
        <v/>
      </c>
      <c r="Y1047" s="5" t="s">
        <v>2859</v>
      </c>
    </row>
    <row r="1048" spans="1:25" ht="38.25">
      <c r="A1048" s="5" t="s">
        <v>5065</v>
      </c>
      <c r="B1048" s="5" t="s">
        <v>837</v>
      </c>
      <c r="C1048" s="5" t="s">
        <v>838</v>
      </c>
      <c r="D1048" s="5" t="s">
        <v>118</v>
      </c>
      <c r="E1048" s="5" t="s">
        <v>2783</v>
      </c>
      <c r="F1048" s="5" t="s">
        <v>2754</v>
      </c>
      <c r="G1048" s="5">
        <v>1</v>
      </c>
      <c r="H1048" s="5" t="s">
        <v>2854</v>
      </c>
      <c r="I1048" s="5" t="str">
        <f>IF(INDEX(Manual_Review!$M$6:$M$238,U1048)="","",INDEX(Manual_Review!$M$6:$M$238,U1048))</f>
        <v/>
      </c>
      <c r="J1048" s="5" t="str">
        <f t="shared" si="32"/>
        <v>AI provisional</v>
      </c>
      <c r="K1048" s="5" t="str">
        <f t="shared" si="33"/>
        <v>Y</v>
      </c>
      <c r="L1048" s="5" t="s">
        <v>845</v>
      </c>
      <c r="M1048" s="5" t="s">
        <v>5066</v>
      </c>
      <c r="N1048" s="5" t="s">
        <v>5062</v>
      </c>
      <c r="O1048" s="5" t="s">
        <v>3133</v>
      </c>
      <c r="P1048" s="5" t="s">
        <v>2858</v>
      </c>
      <c r="Q1048" s="11">
        <v>46306.5</v>
      </c>
      <c r="R1048" s="6"/>
      <c r="S1048" s="6"/>
      <c r="T1048" s="6"/>
      <c r="U1048" s="5">
        <f>MATCH(B1048,Manual_Review!$A$6:$A$238,0)</f>
        <v>66</v>
      </c>
      <c r="V1048" s="5" t="str">
        <f>IF(INDEX(Manual_Review!$G$6:$G$238,U1048)="","",INDEX(Manual_Review!$G$6:$G$238,U1048))</f>
        <v/>
      </c>
      <c r="W1048" s="11" t="str">
        <f>IF(INDEX(Manual_Review!$H$6:$H$238,U1048)="","",INDEX(Manual_Review!$H$6:$H$238,U1048))</f>
        <v/>
      </c>
      <c r="X1048" s="5" t="str">
        <f>IF(INDEX(Manual_Review!$I$6:$I$238,U1048)="","",INDEX(Manual_Review!$I$6:$I$238,U1048))</f>
        <v/>
      </c>
      <c r="Y1048" s="5" t="s">
        <v>2859</v>
      </c>
    </row>
    <row r="1049" spans="1:25" ht="38.25">
      <c r="A1049" s="5" t="s">
        <v>5067</v>
      </c>
      <c r="B1049" s="5" t="s">
        <v>837</v>
      </c>
      <c r="C1049" s="5" t="s">
        <v>838</v>
      </c>
      <c r="D1049" s="5" t="s">
        <v>118</v>
      </c>
      <c r="E1049" s="5" t="s">
        <v>2784</v>
      </c>
      <c r="F1049" s="5" t="s">
        <v>2756</v>
      </c>
      <c r="G1049" s="5">
        <v>1</v>
      </c>
      <c r="H1049" s="5" t="s">
        <v>2854</v>
      </c>
      <c r="I1049" s="5" t="str">
        <f>IF(INDEX(Manual_Review!$N$6:$N$238,U1049)="","",INDEX(Manual_Review!$N$6:$N$238,U1049))</f>
        <v/>
      </c>
      <c r="J1049" s="5" t="str">
        <f t="shared" si="32"/>
        <v>AI provisional</v>
      </c>
      <c r="K1049" s="5" t="str">
        <f t="shared" si="33"/>
        <v>Y</v>
      </c>
      <c r="L1049" s="5" t="s">
        <v>845</v>
      </c>
      <c r="M1049" s="5" t="s">
        <v>5068</v>
      </c>
      <c r="N1049" s="5" t="s">
        <v>5062</v>
      </c>
      <c r="O1049" s="5" t="s">
        <v>2963</v>
      </c>
      <c r="P1049" s="5" t="s">
        <v>2858</v>
      </c>
      <c r="Q1049" s="11">
        <v>46306.5</v>
      </c>
      <c r="R1049" s="6"/>
      <c r="S1049" s="6"/>
      <c r="T1049" s="6"/>
      <c r="U1049" s="5">
        <f>MATCH(B1049,Manual_Review!$A$6:$A$238,0)</f>
        <v>66</v>
      </c>
      <c r="V1049" s="5" t="str">
        <f>IF(INDEX(Manual_Review!$G$6:$G$238,U1049)="","",INDEX(Manual_Review!$G$6:$G$238,U1049))</f>
        <v/>
      </c>
      <c r="W1049" s="11" t="str">
        <f>IF(INDEX(Manual_Review!$H$6:$H$238,U1049)="","",INDEX(Manual_Review!$H$6:$H$238,U1049))</f>
        <v/>
      </c>
      <c r="X1049" s="5" t="str">
        <f>IF(INDEX(Manual_Review!$I$6:$I$238,U1049)="","",INDEX(Manual_Review!$I$6:$I$238,U1049))</f>
        <v/>
      </c>
      <c r="Y1049" s="5" t="s">
        <v>2859</v>
      </c>
    </row>
    <row r="1050" spans="1:25" ht="38.25">
      <c r="A1050" s="5" t="s">
        <v>5069</v>
      </c>
      <c r="B1050" s="5" t="s">
        <v>837</v>
      </c>
      <c r="C1050" s="5" t="s">
        <v>838</v>
      </c>
      <c r="D1050" s="5" t="s">
        <v>118</v>
      </c>
      <c r="E1050" s="5" t="s">
        <v>2785</v>
      </c>
      <c r="F1050" s="5" t="s">
        <v>2756</v>
      </c>
      <c r="G1050" s="5">
        <v>1</v>
      </c>
      <c r="H1050" s="5" t="s">
        <v>2854</v>
      </c>
      <c r="I1050" s="5" t="str">
        <f>IF(INDEX(Manual_Review!$O$6:$O$238,U1050)="","",INDEX(Manual_Review!$O$6:$O$238,U1050))</f>
        <v/>
      </c>
      <c r="J1050" s="5" t="str">
        <f t="shared" si="32"/>
        <v>AI provisional</v>
      </c>
      <c r="K1050" s="5" t="str">
        <f t="shared" si="33"/>
        <v>Y</v>
      </c>
      <c r="L1050" s="5" t="s">
        <v>845</v>
      </c>
      <c r="M1050" s="5" t="s">
        <v>5070</v>
      </c>
      <c r="N1050" s="5" t="s">
        <v>5062</v>
      </c>
      <c r="O1050" s="5" t="s">
        <v>3138</v>
      </c>
      <c r="P1050" s="5" t="s">
        <v>2858</v>
      </c>
      <c r="Q1050" s="11">
        <v>46306.5</v>
      </c>
      <c r="R1050" s="6"/>
      <c r="S1050" s="6"/>
      <c r="T1050" s="6"/>
      <c r="U1050" s="5">
        <f>MATCH(B1050,Manual_Review!$A$6:$A$238,0)</f>
        <v>66</v>
      </c>
      <c r="V1050" s="5" t="str">
        <f>IF(INDEX(Manual_Review!$G$6:$G$238,U1050)="","",INDEX(Manual_Review!$G$6:$G$238,U1050))</f>
        <v/>
      </c>
      <c r="W1050" s="11" t="str">
        <f>IF(INDEX(Manual_Review!$H$6:$H$238,U1050)="","",INDEX(Manual_Review!$H$6:$H$238,U1050))</f>
        <v/>
      </c>
      <c r="X1050" s="5" t="str">
        <f>IF(INDEX(Manual_Review!$I$6:$I$238,U1050)="","",INDEX(Manual_Review!$I$6:$I$238,U1050))</f>
        <v/>
      </c>
      <c r="Y1050" s="5" t="s">
        <v>2859</v>
      </c>
    </row>
    <row r="1051" spans="1:25" ht="38.25">
      <c r="A1051" s="5" t="s">
        <v>5071</v>
      </c>
      <c r="B1051" s="5" t="s">
        <v>837</v>
      </c>
      <c r="C1051" s="5" t="s">
        <v>838</v>
      </c>
      <c r="D1051" s="5" t="s">
        <v>118</v>
      </c>
      <c r="E1051" s="5" t="s">
        <v>2786</v>
      </c>
      <c r="F1051" s="5" t="s">
        <v>2756</v>
      </c>
      <c r="G1051" s="5">
        <v>1</v>
      </c>
      <c r="H1051" s="5" t="s">
        <v>2864</v>
      </c>
      <c r="I1051" s="5" t="str">
        <f>IF(INDEX(Manual_Review!$P$6:$P$238,U1051)="","",INDEX(Manual_Review!$P$6:$P$238,U1051))</f>
        <v/>
      </c>
      <c r="J1051" s="5" t="str">
        <f t="shared" si="32"/>
        <v>AI provisional</v>
      </c>
      <c r="K1051" s="5" t="str">
        <f t="shared" si="33"/>
        <v>U</v>
      </c>
      <c r="L1051" s="5" t="s">
        <v>845</v>
      </c>
      <c r="M1051" s="5" t="s">
        <v>5072</v>
      </c>
      <c r="N1051" s="5" t="s">
        <v>5062</v>
      </c>
      <c r="O1051" s="5" t="s">
        <v>2874</v>
      </c>
      <c r="P1051" s="5" t="s">
        <v>2858</v>
      </c>
      <c r="Q1051" s="11">
        <v>46306.5</v>
      </c>
      <c r="R1051" s="6"/>
      <c r="S1051" s="6"/>
      <c r="T1051" s="6"/>
      <c r="U1051" s="5">
        <f>MATCH(B1051,Manual_Review!$A$6:$A$238,0)</f>
        <v>66</v>
      </c>
      <c r="V1051" s="5" t="str">
        <f>IF(INDEX(Manual_Review!$G$6:$G$238,U1051)="","",INDEX(Manual_Review!$G$6:$G$238,U1051))</f>
        <v/>
      </c>
      <c r="W1051" s="11" t="str">
        <f>IF(INDEX(Manual_Review!$H$6:$H$238,U1051)="","",INDEX(Manual_Review!$H$6:$H$238,U1051))</f>
        <v/>
      </c>
      <c r="X1051" s="5" t="str">
        <f>IF(INDEX(Manual_Review!$I$6:$I$238,U1051)="","",INDEX(Manual_Review!$I$6:$I$238,U1051))</f>
        <v/>
      </c>
      <c r="Y1051" s="5" t="s">
        <v>2859</v>
      </c>
    </row>
    <row r="1052" spans="1:25" ht="38.25">
      <c r="A1052" s="5" t="s">
        <v>5073</v>
      </c>
      <c r="B1052" s="5" t="s">
        <v>837</v>
      </c>
      <c r="C1052" s="5" t="s">
        <v>838</v>
      </c>
      <c r="D1052" s="5" t="s">
        <v>118</v>
      </c>
      <c r="E1052" s="5" t="s">
        <v>2787</v>
      </c>
      <c r="F1052" s="5" t="s">
        <v>2758</v>
      </c>
      <c r="G1052" s="5">
        <v>1</v>
      </c>
      <c r="H1052" s="5" t="s">
        <v>2864</v>
      </c>
      <c r="I1052" s="5" t="str">
        <f>IF(INDEX(Manual_Review!$Q$6:$Q$238,U1052)="","",INDEX(Manual_Review!$Q$6:$Q$238,U1052))</f>
        <v/>
      </c>
      <c r="J1052" s="5" t="str">
        <f t="shared" si="32"/>
        <v>AI provisional</v>
      </c>
      <c r="K1052" s="5" t="str">
        <f t="shared" si="33"/>
        <v>U</v>
      </c>
      <c r="L1052" s="5" t="s">
        <v>845</v>
      </c>
      <c r="M1052" s="5" t="s">
        <v>5074</v>
      </c>
      <c r="N1052" s="5" t="s">
        <v>5062</v>
      </c>
      <c r="O1052" s="5" t="s">
        <v>2877</v>
      </c>
      <c r="P1052" s="5" t="s">
        <v>2858</v>
      </c>
      <c r="Q1052" s="11">
        <v>46306.5</v>
      </c>
      <c r="R1052" s="6"/>
      <c r="S1052" s="6"/>
      <c r="T1052" s="6"/>
      <c r="U1052" s="5">
        <f>MATCH(B1052,Manual_Review!$A$6:$A$238,0)</f>
        <v>66</v>
      </c>
      <c r="V1052" s="5" t="str">
        <f>IF(INDEX(Manual_Review!$G$6:$G$238,U1052)="","",INDEX(Manual_Review!$G$6:$G$238,U1052))</f>
        <v/>
      </c>
      <c r="W1052" s="11" t="str">
        <f>IF(INDEX(Manual_Review!$H$6:$H$238,U1052)="","",INDEX(Manual_Review!$H$6:$H$238,U1052))</f>
        <v/>
      </c>
      <c r="X1052" s="5" t="str">
        <f>IF(INDEX(Manual_Review!$I$6:$I$238,U1052)="","",INDEX(Manual_Review!$I$6:$I$238,U1052))</f>
        <v/>
      </c>
      <c r="Y1052" s="5" t="s">
        <v>2859</v>
      </c>
    </row>
    <row r="1053" spans="1:25" ht="38.25">
      <c r="A1053" s="5" t="s">
        <v>5075</v>
      </c>
      <c r="B1053" s="5" t="s">
        <v>837</v>
      </c>
      <c r="C1053" s="5" t="s">
        <v>838</v>
      </c>
      <c r="D1053" s="5" t="s">
        <v>118</v>
      </c>
      <c r="E1053" s="5" t="s">
        <v>2788</v>
      </c>
      <c r="F1053" s="5" t="s">
        <v>2758</v>
      </c>
      <c r="G1053" s="5">
        <v>1</v>
      </c>
      <c r="H1053" s="5" t="s">
        <v>2854</v>
      </c>
      <c r="I1053" s="5" t="str">
        <f>IF(INDEX(Manual_Review!$R$6:$R$238,U1053)="","",INDEX(Manual_Review!$R$6:$R$238,U1053))</f>
        <v/>
      </c>
      <c r="J1053" s="5" t="str">
        <f t="shared" si="32"/>
        <v>AI provisional</v>
      </c>
      <c r="K1053" s="5" t="str">
        <f t="shared" si="33"/>
        <v>Y</v>
      </c>
      <c r="L1053" s="5" t="s">
        <v>845</v>
      </c>
      <c r="M1053" s="5" t="s">
        <v>5076</v>
      </c>
      <c r="N1053" s="5" t="s">
        <v>5062</v>
      </c>
      <c r="O1053" s="5" t="s">
        <v>3067</v>
      </c>
      <c r="P1053" s="5" t="s">
        <v>2858</v>
      </c>
      <c r="Q1053" s="11">
        <v>46306.5</v>
      </c>
      <c r="R1053" s="6"/>
      <c r="S1053" s="6"/>
      <c r="T1053" s="6"/>
      <c r="U1053" s="5">
        <f>MATCH(B1053,Manual_Review!$A$6:$A$238,0)</f>
        <v>66</v>
      </c>
      <c r="V1053" s="5" t="str">
        <f>IF(INDEX(Manual_Review!$G$6:$G$238,U1053)="","",INDEX(Manual_Review!$G$6:$G$238,U1053))</f>
        <v/>
      </c>
      <c r="W1053" s="11" t="str">
        <f>IF(INDEX(Manual_Review!$H$6:$H$238,U1053)="","",INDEX(Manual_Review!$H$6:$H$238,U1053))</f>
        <v/>
      </c>
      <c r="X1053" s="5" t="str">
        <f>IF(INDEX(Manual_Review!$I$6:$I$238,U1053)="","",INDEX(Manual_Review!$I$6:$I$238,U1053))</f>
        <v/>
      </c>
      <c r="Y1053" s="5" t="s">
        <v>2859</v>
      </c>
    </row>
    <row r="1054" spans="1:25" ht="38.25">
      <c r="A1054" s="5" t="s">
        <v>5077</v>
      </c>
      <c r="B1054" s="5" t="s">
        <v>837</v>
      </c>
      <c r="C1054" s="5" t="s">
        <v>838</v>
      </c>
      <c r="D1054" s="5" t="s">
        <v>118</v>
      </c>
      <c r="E1054" s="5" t="s">
        <v>2789</v>
      </c>
      <c r="F1054" s="5" t="s">
        <v>2758</v>
      </c>
      <c r="G1054" s="5">
        <v>1</v>
      </c>
      <c r="H1054" s="5" t="s">
        <v>2854</v>
      </c>
      <c r="I1054" s="5" t="str">
        <f>IF(INDEX(Manual_Review!$S$6:$S$238,U1054)="","",INDEX(Manual_Review!$S$6:$S$238,U1054))</f>
        <v/>
      </c>
      <c r="J1054" s="5" t="str">
        <f t="shared" si="32"/>
        <v>AI provisional</v>
      </c>
      <c r="K1054" s="5" t="str">
        <f t="shared" si="33"/>
        <v>Y</v>
      </c>
      <c r="L1054" s="5" t="s">
        <v>845</v>
      </c>
      <c r="M1054" s="5" t="s">
        <v>5078</v>
      </c>
      <c r="N1054" s="5" t="s">
        <v>5062</v>
      </c>
      <c r="O1054" s="5" t="s">
        <v>3178</v>
      </c>
      <c r="P1054" s="5" t="s">
        <v>2858</v>
      </c>
      <c r="Q1054" s="11">
        <v>46306.5</v>
      </c>
      <c r="R1054" s="6"/>
      <c r="S1054" s="6"/>
      <c r="T1054" s="6"/>
      <c r="U1054" s="5">
        <f>MATCH(B1054,Manual_Review!$A$6:$A$238,0)</f>
        <v>66</v>
      </c>
      <c r="V1054" s="5" t="str">
        <f>IF(INDEX(Manual_Review!$G$6:$G$238,U1054)="","",INDEX(Manual_Review!$G$6:$G$238,U1054))</f>
        <v/>
      </c>
      <c r="W1054" s="11" t="str">
        <f>IF(INDEX(Manual_Review!$H$6:$H$238,U1054)="","",INDEX(Manual_Review!$H$6:$H$238,U1054))</f>
        <v/>
      </c>
      <c r="X1054" s="5" t="str">
        <f>IF(INDEX(Manual_Review!$I$6:$I$238,U1054)="","",INDEX(Manual_Review!$I$6:$I$238,U1054))</f>
        <v/>
      </c>
      <c r="Y1054" s="5" t="s">
        <v>2859</v>
      </c>
    </row>
    <row r="1055" spans="1:25" ht="38.25">
      <c r="A1055" s="5" t="s">
        <v>5079</v>
      </c>
      <c r="B1055" s="5" t="s">
        <v>837</v>
      </c>
      <c r="C1055" s="5" t="s">
        <v>838</v>
      </c>
      <c r="D1055" s="5" t="s">
        <v>118</v>
      </c>
      <c r="E1055" s="5" t="s">
        <v>2790</v>
      </c>
      <c r="F1055" s="5" t="s">
        <v>2760</v>
      </c>
      <c r="G1055" s="5">
        <v>1</v>
      </c>
      <c r="H1055" s="5" t="s">
        <v>2854</v>
      </c>
      <c r="I1055" s="5" t="str">
        <f>IF(INDEX(Manual_Review!$T$6:$T$238,U1055)="","",INDEX(Manual_Review!$T$6:$T$238,U1055))</f>
        <v/>
      </c>
      <c r="J1055" s="5" t="str">
        <f t="shared" si="32"/>
        <v>AI provisional</v>
      </c>
      <c r="K1055" s="5" t="str">
        <f t="shared" si="33"/>
        <v>Y</v>
      </c>
      <c r="L1055" s="5" t="s">
        <v>845</v>
      </c>
      <c r="M1055" s="5" t="s">
        <v>5080</v>
      </c>
      <c r="N1055" s="5" t="s">
        <v>5062</v>
      </c>
      <c r="O1055" s="5" t="s">
        <v>2976</v>
      </c>
      <c r="P1055" s="5" t="s">
        <v>2858</v>
      </c>
      <c r="Q1055" s="11">
        <v>46306.5</v>
      </c>
      <c r="R1055" s="6"/>
      <c r="S1055" s="6"/>
      <c r="T1055" s="6"/>
      <c r="U1055" s="5">
        <f>MATCH(B1055,Manual_Review!$A$6:$A$238,0)</f>
        <v>66</v>
      </c>
      <c r="V1055" s="5" t="str">
        <f>IF(INDEX(Manual_Review!$G$6:$G$238,U1055)="","",INDEX(Manual_Review!$G$6:$G$238,U1055))</f>
        <v/>
      </c>
      <c r="W1055" s="11" t="str">
        <f>IF(INDEX(Manual_Review!$H$6:$H$238,U1055)="","",INDEX(Manual_Review!$H$6:$H$238,U1055))</f>
        <v/>
      </c>
      <c r="X1055" s="5" t="str">
        <f>IF(INDEX(Manual_Review!$I$6:$I$238,U1055)="","",INDEX(Manual_Review!$I$6:$I$238,U1055))</f>
        <v/>
      </c>
      <c r="Y1055" s="5" t="s">
        <v>2859</v>
      </c>
    </row>
    <row r="1056" spans="1:25" ht="38.25">
      <c r="A1056" s="5" t="s">
        <v>5081</v>
      </c>
      <c r="B1056" s="5" t="s">
        <v>837</v>
      </c>
      <c r="C1056" s="5" t="s">
        <v>838</v>
      </c>
      <c r="D1056" s="5" t="s">
        <v>118</v>
      </c>
      <c r="E1056" s="5" t="s">
        <v>2791</v>
      </c>
      <c r="F1056" s="5" t="s">
        <v>2760</v>
      </c>
      <c r="G1056" s="5">
        <v>1</v>
      </c>
      <c r="H1056" s="5" t="s">
        <v>2854</v>
      </c>
      <c r="I1056" s="5" t="str">
        <f>IF(INDEX(Manual_Review!$U$6:$U$238,U1056)="","",INDEX(Manual_Review!$U$6:$U$238,U1056))</f>
        <v/>
      </c>
      <c r="J1056" s="5" t="str">
        <f t="shared" si="32"/>
        <v>AI provisional</v>
      </c>
      <c r="K1056" s="5" t="str">
        <f t="shared" si="33"/>
        <v>Y</v>
      </c>
      <c r="L1056" s="5" t="s">
        <v>845</v>
      </c>
      <c r="M1056" s="5" t="s">
        <v>5082</v>
      </c>
      <c r="N1056" s="5" t="s">
        <v>5062</v>
      </c>
      <c r="O1056" s="5" t="s">
        <v>3380</v>
      </c>
      <c r="P1056" s="5" t="s">
        <v>2858</v>
      </c>
      <c r="Q1056" s="11">
        <v>46306.5</v>
      </c>
      <c r="R1056" s="6"/>
      <c r="S1056" s="6"/>
      <c r="T1056" s="6"/>
      <c r="U1056" s="5">
        <f>MATCH(B1056,Manual_Review!$A$6:$A$238,0)</f>
        <v>66</v>
      </c>
      <c r="V1056" s="5" t="str">
        <f>IF(INDEX(Manual_Review!$G$6:$G$238,U1056)="","",INDEX(Manual_Review!$G$6:$G$238,U1056))</f>
        <v/>
      </c>
      <c r="W1056" s="11" t="str">
        <f>IF(INDEX(Manual_Review!$H$6:$H$238,U1056)="","",INDEX(Manual_Review!$H$6:$H$238,U1056))</f>
        <v/>
      </c>
      <c r="X1056" s="5" t="str">
        <f>IF(INDEX(Manual_Review!$I$6:$I$238,U1056)="","",INDEX(Manual_Review!$I$6:$I$238,U1056))</f>
        <v/>
      </c>
      <c r="Y1056" s="5" t="s">
        <v>2859</v>
      </c>
    </row>
    <row r="1057" spans="1:25" ht="38.25">
      <c r="A1057" s="5" t="s">
        <v>5083</v>
      </c>
      <c r="B1057" s="5" t="s">
        <v>837</v>
      </c>
      <c r="C1057" s="5" t="s">
        <v>838</v>
      </c>
      <c r="D1057" s="5" t="s">
        <v>118</v>
      </c>
      <c r="E1057" s="5" t="s">
        <v>2792</v>
      </c>
      <c r="F1057" s="5" t="s">
        <v>2762</v>
      </c>
      <c r="G1057" s="5">
        <v>1</v>
      </c>
      <c r="H1057" s="5" t="s">
        <v>2854</v>
      </c>
      <c r="I1057" s="5" t="str">
        <f>IF(INDEX(Manual_Review!$V$6:$V$238,U1057)="","",INDEX(Manual_Review!$V$6:$V$238,U1057))</f>
        <v/>
      </c>
      <c r="J1057" s="5" t="str">
        <f t="shared" si="32"/>
        <v>AI provisional</v>
      </c>
      <c r="K1057" s="5" t="str">
        <f t="shared" si="33"/>
        <v>Y</v>
      </c>
      <c r="L1057" s="5" t="s">
        <v>845</v>
      </c>
      <c r="M1057" s="5" t="s">
        <v>5084</v>
      </c>
      <c r="N1057" s="5" t="s">
        <v>5062</v>
      </c>
      <c r="O1057" s="5" t="s">
        <v>3152</v>
      </c>
      <c r="P1057" s="5" t="s">
        <v>2858</v>
      </c>
      <c r="Q1057" s="11">
        <v>46306.5</v>
      </c>
      <c r="R1057" s="6"/>
      <c r="S1057" s="6"/>
      <c r="T1057" s="6"/>
      <c r="U1057" s="5">
        <f>MATCH(B1057,Manual_Review!$A$6:$A$238,0)</f>
        <v>66</v>
      </c>
      <c r="V1057" s="5" t="str">
        <f>IF(INDEX(Manual_Review!$G$6:$G$238,U1057)="","",INDEX(Manual_Review!$G$6:$G$238,U1057))</f>
        <v/>
      </c>
      <c r="W1057" s="11" t="str">
        <f>IF(INDEX(Manual_Review!$H$6:$H$238,U1057)="","",INDEX(Manual_Review!$H$6:$H$238,U1057))</f>
        <v/>
      </c>
      <c r="X1057" s="5" t="str">
        <f>IF(INDEX(Manual_Review!$I$6:$I$238,U1057)="","",INDEX(Manual_Review!$I$6:$I$238,U1057))</f>
        <v/>
      </c>
      <c r="Y1057" s="5" t="s">
        <v>2859</v>
      </c>
    </row>
    <row r="1058" spans="1:25" ht="38.25">
      <c r="A1058" s="5" t="s">
        <v>5085</v>
      </c>
      <c r="B1058" s="5" t="s">
        <v>837</v>
      </c>
      <c r="C1058" s="5" t="s">
        <v>838</v>
      </c>
      <c r="D1058" s="5" t="s">
        <v>118</v>
      </c>
      <c r="E1058" s="5" t="s">
        <v>2793</v>
      </c>
      <c r="F1058" s="5" t="s">
        <v>2762</v>
      </c>
      <c r="G1058" s="5">
        <v>1</v>
      </c>
      <c r="H1058" s="5" t="s">
        <v>2854</v>
      </c>
      <c r="I1058" s="5" t="str">
        <f>IF(INDEX(Manual_Review!$W$6:$W$238,U1058)="","",INDEX(Manual_Review!$W$6:$W$238,U1058))</f>
        <v/>
      </c>
      <c r="J1058" s="5" t="str">
        <f t="shared" si="32"/>
        <v>AI provisional</v>
      </c>
      <c r="K1058" s="5" t="str">
        <f t="shared" si="33"/>
        <v>Y</v>
      </c>
      <c r="L1058" s="5" t="s">
        <v>845</v>
      </c>
      <c r="M1058" s="5" t="s">
        <v>5086</v>
      </c>
      <c r="N1058" s="5" t="s">
        <v>5062</v>
      </c>
      <c r="O1058" s="5" t="s">
        <v>3077</v>
      </c>
      <c r="P1058" s="5" t="s">
        <v>2858</v>
      </c>
      <c r="Q1058" s="11">
        <v>46306.5</v>
      </c>
      <c r="R1058" s="6"/>
      <c r="S1058" s="6"/>
      <c r="T1058" s="6"/>
      <c r="U1058" s="5">
        <f>MATCH(B1058,Manual_Review!$A$6:$A$238,0)</f>
        <v>66</v>
      </c>
      <c r="V1058" s="5" t="str">
        <f>IF(INDEX(Manual_Review!$G$6:$G$238,U1058)="","",INDEX(Manual_Review!$G$6:$G$238,U1058))</f>
        <v/>
      </c>
      <c r="W1058" s="11" t="str">
        <f>IF(INDEX(Manual_Review!$H$6:$H$238,U1058)="","",INDEX(Manual_Review!$H$6:$H$238,U1058))</f>
        <v/>
      </c>
      <c r="X1058" s="5" t="str">
        <f>IF(INDEX(Manual_Review!$I$6:$I$238,U1058)="","",INDEX(Manual_Review!$I$6:$I$238,U1058))</f>
        <v/>
      </c>
      <c r="Y1058" s="5" t="s">
        <v>2859</v>
      </c>
    </row>
    <row r="1059" spans="1:25" ht="38.25">
      <c r="A1059" s="5" t="s">
        <v>5087</v>
      </c>
      <c r="B1059" s="5" t="s">
        <v>837</v>
      </c>
      <c r="C1059" s="5" t="s">
        <v>838</v>
      </c>
      <c r="D1059" s="5" t="s">
        <v>118</v>
      </c>
      <c r="E1059" s="5" t="s">
        <v>2794</v>
      </c>
      <c r="F1059" s="5" t="s">
        <v>2764</v>
      </c>
      <c r="G1059" s="5">
        <v>1</v>
      </c>
      <c r="H1059" s="5" t="s">
        <v>2854</v>
      </c>
      <c r="I1059" s="5" t="str">
        <f>IF(INDEX(Manual_Review!$X$6:$X$238,U1059)="","",INDEX(Manual_Review!$X$6:$X$238,U1059))</f>
        <v/>
      </c>
      <c r="J1059" s="5" t="str">
        <f t="shared" si="32"/>
        <v>AI provisional</v>
      </c>
      <c r="K1059" s="5" t="str">
        <f t="shared" si="33"/>
        <v>Y</v>
      </c>
      <c r="L1059" s="5" t="s">
        <v>845</v>
      </c>
      <c r="M1059" s="5" t="s">
        <v>5088</v>
      </c>
      <c r="N1059" s="5" t="s">
        <v>5062</v>
      </c>
      <c r="O1059" s="5" t="s">
        <v>2984</v>
      </c>
      <c r="P1059" s="5" t="s">
        <v>2858</v>
      </c>
      <c r="Q1059" s="11">
        <v>46306.5</v>
      </c>
      <c r="R1059" s="6"/>
      <c r="S1059" s="6"/>
      <c r="T1059" s="6"/>
      <c r="U1059" s="5">
        <f>MATCH(B1059,Manual_Review!$A$6:$A$238,0)</f>
        <v>66</v>
      </c>
      <c r="V1059" s="5" t="str">
        <f>IF(INDEX(Manual_Review!$G$6:$G$238,U1059)="","",INDEX(Manual_Review!$G$6:$G$238,U1059))</f>
        <v/>
      </c>
      <c r="W1059" s="11" t="str">
        <f>IF(INDEX(Manual_Review!$H$6:$H$238,U1059)="","",INDEX(Manual_Review!$H$6:$H$238,U1059))</f>
        <v/>
      </c>
      <c r="X1059" s="5" t="str">
        <f>IF(INDEX(Manual_Review!$I$6:$I$238,U1059)="","",INDEX(Manual_Review!$I$6:$I$238,U1059))</f>
        <v/>
      </c>
      <c r="Y1059" s="5" t="s">
        <v>2859</v>
      </c>
    </row>
    <row r="1060" spans="1:25" ht="38.25">
      <c r="A1060" s="5" t="s">
        <v>5089</v>
      </c>
      <c r="B1060" s="5" t="s">
        <v>837</v>
      </c>
      <c r="C1060" s="5" t="s">
        <v>838</v>
      </c>
      <c r="D1060" s="5" t="s">
        <v>118</v>
      </c>
      <c r="E1060" s="5" t="s">
        <v>2795</v>
      </c>
      <c r="F1060" s="5" t="s">
        <v>2764</v>
      </c>
      <c r="G1060" s="5">
        <v>1</v>
      </c>
      <c r="H1060" s="5" t="s">
        <v>2864</v>
      </c>
      <c r="I1060" s="5" t="str">
        <f>IF(INDEX(Manual_Review!$Y$6:$Y$238,U1060)="","",INDEX(Manual_Review!$Y$6:$Y$238,U1060))</f>
        <v/>
      </c>
      <c r="J1060" s="5" t="str">
        <f t="shared" si="32"/>
        <v>AI provisional</v>
      </c>
      <c r="K1060" s="5" t="str">
        <f t="shared" si="33"/>
        <v>U</v>
      </c>
      <c r="L1060" s="5" t="s">
        <v>845</v>
      </c>
      <c r="M1060" s="5" t="s">
        <v>5090</v>
      </c>
      <c r="N1060" s="5" t="s">
        <v>5062</v>
      </c>
      <c r="O1060" s="5" t="s">
        <v>2897</v>
      </c>
      <c r="P1060" s="5" t="s">
        <v>2858</v>
      </c>
      <c r="Q1060" s="11">
        <v>46306.5</v>
      </c>
      <c r="R1060" s="6"/>
      <c r="S1060" s="6"/>
      <c r="T1060" s="6"/>
      <c r="U1060" s="5">
        <f>MATCH(B1060,Manual_Review!$A$6:$A$238,0)</f>
        <v>66</v>
      </c>
      <c r="V1060" s="5" t="str">
        <f>IF(INDEX(Manual_Review!$G$6:$G$238,U1060)="","",INDEX(Manual_Review!$G$6:$G$238,U1060))</f>
        <v/>
      </c>
      <c r="W1060" s="11" t="str">
        <f>IF(INDEX(Manual_Review!$H$6:$H$238,U1060)="","",INDEX(Manual_Review!$H$6:$H$238,U1060))</f>
        <v/>
      </c>
      <c r="X1060" s="5" t="str">
        <f>IF(INDEX(Manual_Review!$I$6:$I$238,U1060)="","",INDEX(Manual_Review!$I$6:$I$238,U1060))</f>
        <v/>
      </c>
      <c r="Y1060" s="5" t="s">
        <v>2859</v>
      </c>
    </row>
    <row r="1061" spans="1:25" ht="38.25">
      <c r="A1061" s="5" t="s">
        <v>5091</v>
      </c>
      <c r="B1061" s="5" t="s">
        <v>837</v>
      </c>
      <c r="C1061" s="5" t="s">
        <v>838</v>
      </c>
      <c r="D1061" s="5" t="s">
        <v>118</v>
      </c>
      <c r="E1061" s="5" t="s">
        <v>2796</v>
      </c>
      <c r="F1061" s="5" t="s">
        <v>2764</v>
      </c>
      <c r="G1061" s="5">
        <v>1</v>
      </c>
      <c r="H1061" s="5" t="s">
        <v>2864</v>
      </c>
      <c r="I1061" s="5" t="str">
        <f>IF(INDEX(Manual_Review!$Z$6:$Z$238,U1061)="","",INDEX(Manual_Review!$Z$6:$Z$238,U1061))</f>
        <v/>
      </c>
      <c r="J1061" s="5" t="str">
        <f t="shared" si="32"/>
        <v>AI provisional</v>
      </c>
      <c r="K1061" s="5" t="str">
        <f t="shared" si="33"/>
        <v>U</v>
      </c>
      <c r="L1061" s="5" t="s">
        <v>845</v>
      </c>
      <c r="M1061" s="5" t="s">
        <v>5092</v>
      </c>
      <c r="N1061" s="5" t="s">
        <v>5062</v>
      </c>
      <c r="O1061" s="5" t="s">
        <v>2899</v>
      </c>
      <c r="P1061" s="5" t="s">
        <v>2858</v>
      </c>
      <c r="Q1061" s="11">
        <v>46306.5</v>
      </c>
      <c r="R1061" s="6"/>
      <c r="S1061" s="6"/>
      <c r="T1061" s="6"/>
      <c r="U1061" s="5">
        <f>MATCH(B1061,Manual_Review!$A$6:$A$238,0)</f>
        <v>66</v>
      </c>
      <c r="V1061" s="5" t="str">
        <f>IF(INDEX(Manual_Review!$G$6:$G$238,U1061)="","",INDEX(Manual_Review!$G$6:$G$238,U1061))</f>
        <v/>
      </c>
      <c r="W1061" s="11" t="str">
        <f>IF(INDEX(Manual_Review!$H$6:$H$238,U1061)="","",INDEX(Manual_Review!$H$6:$H$238,U1061))</f>
        <v/>
      </c>
      <c r="X1061" s="5" t="str">
        <f>IF(INDEX(Manual_Review!$I$6:$I$238,U1061)="","",INDEX(Manual_Review!$I$6:$I$238,U1061))</f>
        <v/>
      </c>
      <c r="Y1061" s="5" t="s">
        <v>2859</v>
      </c>
    </row>
    <row r="1062" spans="1:25" ht="25.5">
      <c r="A1062" s="5" t="s">
        <v>5093</v>
      </c>
      <c r="B1062" s="5" t="s">
        <v>847</v>
      </c>
      <c r="C1062" s="5" t="s">
        <v>848</v>
      </c>
      <c r="D1062" s="5" t="s">
        <v>118</v>
      </c>
      <c r="E1062" s="5" t="s">
        <v>2781</v>
      </c>
      <c r="F1062" s="5" t="s">
        <v>2754</v>
      </c>
      <c r="G1062" s="5">
        <v>1</v>
      </c>
      <c r="H1062" s="5" t="s">
        <v>2854</v>
      </c>
      <c r="I1062" s="5" t="str">
        <f>IF(INDEX(Manual_Review!$K$6:$K$238,U1062)="","",INDEX(Manual_Review!$K$6:$K$238,U1062))</f>
        <v/>
      </c>
      <c r="J1062" s="5" t="str">
        <f t="shared" si="32"/>
        <v>AI provisional</v>
      </c>
      <c r="K1062" s="5" t="str">
        <f t="shared" si="33"/>
        <v>Y</v>
      </c>
      <c r="L1062" s="5" t="s">
        <v>856</v>
      </c>
      <c r="M1062" s="5" t="s">
        <v>5094</v>
      </c>
      <c r="N1062" s="5" t="s">
        <v>5095</v>
      </c>
      <c r="O1062" s="5" t="s">
        <v>2857</v>
      </c>
      <c r="P1062" s="5" t="s">
        <v>2858</v>
      </c>
      <c r="Q1062" s="11">
        <v>46306.5</v>
      </c>
      <c r="R1062" s="6"/>
      <c r="S1062" s="6"/>
      <c r="T1062" s="6"/>
      <c r="U1062" s="5">
        <f>MATCH(B1062,Manual_Review!$A$6:$A$238,0)</f>
        <v>67</v>
      </c>
      <c r="V1062" s="5" t="str">
        <f>IF(INDEX(Manual_Review!$G$6:$G$238,U1062)="","",INDEX(Manual_Review!$G$6:$G$238,U1062))</f>
        <v/>
      </c>
      <c r="W1062" s="11" t="str">
        <f>IF(INDEX(Manual_Review!$H$6:$H$238,U1062)="","",INDEX(Manual_Review!$H$6:$H$238,U1062))</f>
        <v/>
      </c>
      <c r="X1062" s="5" t="str">
        <f>IF(INDEX(Manual_Review!$I$6:$I$238,U1062)="","",INDEX(Manual_Review!$I$6:$I$238,U1062))</f>
        <v/>
      </c>
      <c r="Y1062" s="5" t="s">
        <v>2859</v>
      </c>
    </row>
    <row r="1063" spans="1:25" ht="25.5">
      <c r="A1063" s="5" t="s">
        <v>5096</v>
      </c>
      <c r="B1063" s="5" t="s">
        <v>847</v>
      </c>
      <c r="C1063" s="5" t="s">
        <v>848</v>
      </c>
      <c r="D1063" s="5" t="s">
        <v>118</v>
      </c>
      <c r="E1063" s="5" t="s">
        <v>2782</v>
      </c>
      <c r="F1063" s="5" t="s">
        <v>2754</v>
      </c>
      <c r="G1063" s="5">
        <v>1</v>
      </c>
      <c r="H1063" s="5" t="s">
        <v>2854</v>
      </c>
      <c r="I1063" s="5" t="str">
        <f>IF(INDEX(Manual_Review!$L$6:$L$238,U1063)="","",INDEX(Manual_Review!$L$6:$L$238,U1063))</f>
        <v/>
      </c>
      <c r="J1063" s="5" t="str">
        <f t="shared" si="32"/>
        <v>AI provisional</v>
      </c>
      <c r="K1063" s="5" t="str">
        <f t="shared" si="33"/>
        <v>Y</v>
      </c>
      <c r="L1063" s="5" t="s">
        <v>856</v>
      </c>
      <c r="M1063" s="5" t="s">
        <v>5097</v>
      </c>
      <c r="N1063" s="5" t="s">
        <v>5095</v>
      </c>
      <c r="O1063" s="5" t="s">
        <v>2862</v>
      </c>
      <c r="P1063" s="5" t="s">
        <v>2858</v>
      </c>
      <c r="Q1063" s="11">
        <v>46306.5</v>
      </c>
      <c r="R1063" s="6"/>
      <c r="S1063" s="6"/>
      <c r="T1063" s="6"/>
      <c r="U1063" s="5">
        <f>MATCH(B1063,Manual_Review!$A$6:$A$238,0)</f>
        <v>67</v>
      </c>
      <c r="V1063" s="5" t="str">
        <f>IF(INDEX(Manual_Review!$G$6:$G$238,U1063)="","",INDEX(Manual_Review!$G$6:$G$238,U1063))</f>
        <v/>
      </c>
      <c r="W1063" s="11" t="str">
        <f>IF(INDEX(Manual_Review!$H$6:$H$238,U1063)="","",INDEX(Manual_Review!$H$6:$H$238,U1063))</f>
        <v/>
      </c>
      <c r="X1063" s="5" t="str">
        <f>IF(INDEX(Manual_Review!$I$6:$I$238,U1063)="","",INDEX(Manual_Review!$I$6:$I$238,U1063))</f>
        <v/>
      </c>
      <c r="Y1063" s="5" t="s">
        <v>2859</v>
      </c>
    </row>
    <row r="1064" spans="1:25" ht="25.5">
      <c r="A1064" s="5" t="s">
        <v>5098</v>
      </c>
      <c r="B1064" s="5" t="s">
        <v>847</v>
      </c>
      <c r="C1064" s="5" t="s">
        <v>848</v>
      </c>
      <c r="D1064" s="5" t="s">
        <v>118</v>
      </c>
      <c r="E1064" s="5" t="s">
        <v>2783</v>
      </c>
      <c r="F1064" s="5" t="s">
        <v>2754</v>
      </c>
      <c r="G1064" s="5">
        <v>1</v>
      </c>
      <c r="H1064" s="5" t="s">
        <v>2854</v>
      </c>
      <c r="I1064" s="5" t="str">
        <f>IF(INDEX(Manual_Review!$M$6:$M$238,U1064)="","",INDEX(Manual_Review!$M$6:$M$238,U1064))</f>
        <v/>
      </c>
      <c r="J1064" s="5" t="str">
        <f t="shared" si="32"/>
        <v>AI provisional</v>
      </c>
      <c r="K1064" s="5" t="str">
        <f t="shared" si="33"/>
        <v>Y</v>
      </c>
      <c r="L1064" s="5" t="s">
        <v>856</v>
      </c>
      <c r="M1064" s="5" t="s">
        <v>5099</v>
      </c>
      <c r="N1064" s="5" t="s">
        <v>5095</v>
      </c>
      <c r="O1064" s="5" t="s">
        <v>3133</v>
      </c>
      <c r="P1064" s="5" t="s">
        <v>2858</v>
      </c>
      <c r="Q1064" s="11">
        <v>46306.5</v>
      </c>
      <c r="R1064" s="6"/>
      <c r="S1064" s="6"/>
      <c r="T1064" s="6"/>
      <c r="U1064" s="5">
        <f>MATCH(B1064,Manual_Review!$A$6:$A$238,0)</f>
        <v>67</v>
      </c>
      <c r="V1064" s="5" t="str">
        <f>IF(INDEX(Manual_Review!$G$6:$G$238,U1064)="","",INDEX(Manual_Review!$G$6:$G$238,U1064))</f>
        <v/>
      </c>
      <c r="W1064" s="11" t="str">
        <f>IF(INDEX(Manual_Review!$H$6:$H$238,U1064)="","",INDEX(Manual_Review!$H$6:$H$238,U1064))</f>
        <v/>
      </c>
      <c r="X1064" s="5" t="str">
        <f>IF(INDEX(Manual_Review!$I$6:$I$238,U1064)="","",INDEX(Manual_Review!$I$6:$I$238,U1064))</f>
        <v/>
      </c>
      <c r="Y1064" s="5" t="s">
        <v>2859</v>
      </c>
    </row>
    <row r="1065" spans="1:25" ht="25.5">
      <c r="A1065" s="5" t="s">
        <v>5100</v>
      </c>
      <c r="B1065" s="5" t="s">
        <v>847</v>
      </c>
      <c r="C1065" s="5" t="s">
        <v>848</v>
      </c>
      <c r="D1065" s="5" t="s">
        <v>118</v>
      </c>
      <c r="E1065" s="5" t="s">
        <v>2784</v>
      </c>
      <c r="F1065" s="5" t="s">
        <v>2756</v>
      </c>
      <c r="G1065" s="5">
        <v>1</v>
      </c>
      <c r="H1065" s="5" t="s">
        <v>2854</v>
      </c>
      <c r="I1065" s="5" t="str">
        <f>IF(INDEX(Manual_Review!$N$6:$N$238,U1065)="","",INDEX(Manual_Review!$N$6:$N$238,U1065))</f>
        <v/>
      </c>
      <c r="J1065" s="5" t="str">
        <f t="shared" si="32"/>
        <v>AI provisional</v>
      </c>
      <c r="K1065" s="5" t="str">
        <f t="shared" si="33"/>
        <v>Y</v>
      </c>
      <c r="L1065" s="5" t="s">
        <v>856</v>
      </c>
      <c r="M1065" s="5" t="s">
        <v>5101</v>
      </c>
      <c r="N1065" s="5" t="s">
        <v>5095</v>
      </c>
      <c r="O1065" s="5" t="s">
        <v>2963</v>
      </c>
      <c r="P1065" s="5" t="s">
        <v>2858</v>
      </c>
      <c r="Q1065" s="11">
        <v>46306.5</v>
      </c>
      <c r="R1065" s="6"/>
      <c r="S1065" s="6"/>
      <c r="T1065" s="6"/>
      <c r="U1065" s="5">
        <f>MATCH(B1065,Manual_Review!$A$6:$A$238,0)</f>
        <v>67</v>
      </c>
      <c r="V1065" s="5" t="str">
        <f>IF(INDEX(Manual_Review!$G$6:$G$238,U1065)="","",INDEX(Manual_Review!$G$6:$G$238,U1065))</f>
        <v/>
      </c>
      <c r="W1065" s="11" t="str">
        <f>IF(INDEX(Manual_Review!$H$6:$H$238,U1065)="","",INDEX(Manual_Review!$H$6:$H$238,U1065))</f>
        <v/>
      </c>
      <c r="X1065" s="5" t="str">
        <f>IF(INDEX(Manual_Review!$I$6:$I$238,U1065)="","",INDEX(Manual_Review!$I$6:$I$238,U1065))</f>
        <v/>
      </c>
      <c r="Y1065" s="5" t="s">
        <v>2859</v>
      </c>
    </row>
    <row r="1066" spans="1:25" ht="25.5">
      <c r="A1066" s="5" t="s">
        <v>5102</v>
      </c>
      <c r="B1066" s="5" t="s">
        <v>847</v>
      </c>
      <c r="C1066" s="5" t="s">
        <v>848</v>
      </c>
      <c r="D1066" s="5" t="s">
        <v>118</v>
      </c>
      <c r="E1066" s="5" t="s">
        <v>2785</v>
      </c>
      <c r="F1066" s="5" t="s">
        <v>2756</v>
      </c>
      <c r="G1066" s="5">
        <v>1</v>
      </c>
      <c r="H1066" s="5" t="s">
        <v>2854</v>
      </c>
      <c r="I1066" s="5" t="str">
        <f>IF(INDEX(Manual_Review!$O$6:$O$238,U1066)="","",INDEX(Manual_Review!$O$6:$O$238,U1066))</f>
        <v/>
      </c>
      <c r="J1066" s="5" t="str">
        <f t="shared" si="32"/>
        <v>AI provisional</v>
      </c>
      <c r="K1066" s="5" t="str">
        <f t="shared" si="33"/>
        <v>Y</v>
      </c>
      <c r="L1066" s="5" t="s">
        <v>856</v>
      </c>
      <c r="M1066" s="5" t="s">
        <v>5103</v>
      </c>
      <c r="N1066" s="5" t="s">
        <v>5095</v>
      </c>
      <c r="O1066" s="5" t="s">
        <v>3138</v>
      </c>
      <c r="P1066" s="5" t="s">
        <v>2858</v>
      </c>
      <c r="Q1066" s="11">
        <v>46306.5</v>
      </c>
      <c r="R1066" s="6"/>
      <c r="S1066" s="6"/>
      <c r="T1066" s="6"/>
      <c r="U1066" s="5">
        <f>MATCH(B1066,Manual_Review!$A$6:$A$238,0)</f>
        <v>67</v>
      </c>
      <c r="V1066" s="5" t="str">
        <f>IF(INDEX(Manual_Review!$G$6:$G$238,U1066)="","",INDEX(Manual_Review!$G$6:$G$238,U1066))</f>
        <v/>
      </c>
      <c r="W1066" s="11" t="str">
        <f>IF(INDEX(Manual_Review!$H$6:$H$238,U1066)="","",INDEX(Manual_Review!$H$6:$H$238,U1066))</f>
        <v/>
      </c>
      <c r="X1066" s="5" t="str">
        <f>IF(INDEX(Manual_Review!$I$6:$I$238,U1066)="","",INDEX(Manual_Review!$I$6:$I$238,U1066))</f>
        <v/>
      </c>
      <c r="Y1066" s="5" t="s">
        <v>2859</v>
      </c>
    </row>
    <row r="1067" spans="1:25" ht="25.5">
      <c r="A1067" s="5" t="s">
        <v>5104</v>
      </c>
      <c r="B1067" s="5" t="s">
        <v>847</v>
      </c>
      <c r="C1067" s="5" t="s">
        <v>848</v>
      </c>
      <c r="D1067" s="5" t="s">
        <v>118</v>
      </c>
      <c r="E1067" s="5" t="s">
        <v>2786</v>
      </c>
      <c r="F1067" s="5" t="s">
        <v>2756</v>
      </c>
      <c r="G1067" s="5">
        <v>1</v>
      </c>
      <c r="H1067" s="5" t="s">
        <v>2854</v>
      </c>
      <c r="I1067" s="5" t="str">
        <f>IF(INDEX(Manual_Review!$P$6:$P$238,U1067)="","",INDEX(Manual_Review!$P$6:$P$238,U1067))</f>
        <v/>
      </c>
      <c r="J1067" s="5" t="str">
        <f t="shared" si="32"/>
        <v>AI provisional</v>
      </c>
      <c r="K1067" s="5" t="str">
        <f t="shared" si="33"/>
        <v>Y</v>
      </c>
      <c r="L1067" s="5" t="s">
        <v>856</v>
      </c>
      <c r="M1067" s="5" t="s">
        <v>5105</v>
      </c>
      <c r="N1067" s="5" t="s">
        <v>5095</v>
      </c>
      <c r="O1067" s="5" t="s">
        <v>5106</v>
      </c>
      <c r="P1067" s="5" t="s">
        <v>2858</v>
      </c>
      <c r="Q1067" s="11">
        <v>46306.5</v>
      </c>
      <c r="R1067" s="6"/>
      <c r="S1067" s="6"/>
      <c r="T1067" s="6"/>
      <c r="U1067" s="5">
        <f>MATCH(B1067,Manual_Review!$A$6:$A$238,0)</f>
        <v>67</v>
      </c>
      <c r="V1067" s="5" t="str">
        <f>IF(INDEX(Manual_Review!$G$6:$G$238,U1067)="","",INDEX(Manual_Review!$G$6:$G$238,U1067))</f>
        <v/>
      </c>
      <c r="W1067" s="11" t="str">
        <f>IF(INDEX(Manual_Review!$H$6:$H$238,U1067)="","",INDEX(Manual_Review!$H$6:$H$238,U1067))</f>
        <v/>
      </c>
      <c r="X1067" s="5" t="str">
        <f>IF(INDEX(Manual_Review!$I$6:$I$238,U1067)="","",INDEX(Manual_Review!$I$6:$I$238,U1067))</f>
        <v/>
      </c>
      <c r="Y1067" s="5" t="s">
        <v>2859</v>
      </c>
    </row>
    <row r="1068" spans="1:25" ht="25.5">
      <c r="A1068" s="5" t="s">
        <v>5107</v>
      </c>
      <c r="B1068" s="5" t="s">
        <v>847</v>
      </c>
      <c r="C1068" s="5" t="s">
        <v>848</v>
      </c>
      <c r="D1068" s="5" t="s">
        <v>118</v>
      </c>
      <c r="E1068" s="5" t="s">
        <v>2787</v>
      </c>
      <c r="F1068" s="5" t="s">
        <v>2758</v>
      </c>
      <c r="G1068" s="5">
        <v>1</v>
      </c>
      <c r="H1068" s="5" t="s">
        <v>2854</v>
      </c>
      <c r="I1068" s="5" t="str">
        <f>IF(INDEX(Manual_Review!$Q$6:$Q$238,U1068)="","",INDEX(Manual_Review!$Q$6:$Q$238,U1068))</f>
        <v/>
      </c>
      <c r="J1068" s="5" t="str">
        <f t="shared" si="32"/>
        <v>AI provisional</v>
      </c>
      <c r="K1068" s="5" t="str">
        <f t="shared" si="33"/>
        <v>Y</v>
      </c>
      <c r="L1068" s="5" t="s">
        <v>856</v>
      </c>
      <c r="M1068" s="5" t="s">
        <v>5108</v>
      </c>
      <c r="N1068" s="5" t="s">
        <v>5095</v>
      </c>
      <c r="O1068" s="5" t="s">
        <v>2969</v>
      </c>
      <c r="P1068" s="5" t="s">
        <v>2858</v>
      </c>
      <c r="Q1068" s="11">
        <v>46306.5</v>
      </c>
      <c r="R1068" s="6"/>
      <c r="S1068" s="6"/>
      <c r="T1068" s="6"/>
      <c r="U1068" s="5">
        <f>MATCH(B1068,Manual_Review!$A$6:$A$238,0)</f>
        <v>67</v>
      </c>
      <c r="V1068" s="5" t="str">
        <f>IF(INDEX(Manual_Review!$G$6:$G$238,U1068)="","",INDEX(Manual_Review!$G$6:$G$238,U1068))</f>
        <v/>
      </c>
      <c r="W1068" s="11" t="str">
        <f>IF(INDEX(Manual_Review!$H$6:$H$238,U1068)="","",INDEX(Manual_Review!$H$6:$H$238,U1068))</f>
        <v/>
      </c>
      <c r="X1068" s="5" t="str">
        <f>IF(INDEX(Manual_Review!$I$6:$I$238,U1068)="","",INDEX(Manual_Review!$I$6:$I$238,U1068))</f>
        <v/>
      </c>
      <c r="Y1068" s="5" t="s">
        <v>2859</v>
      </c>
    </row>
    <row r="1069" spans="1:25" ht="25.5">
      <c r="A1069" s="5" t="s">
        <v>5109</v>
      </c>
      <c r="B1069" s="5" t="s">
        <v>847</v>
      </c>
      <c r="C1069" s="5" t="s">
        <v>848</v>
      </c>
      <c r="D1069" s="5" t="s">
        <v>118</v>
      </c>
      <c r="E1069" s="5" t="s">
        <v>2788</v>
      </c>
      <c r="F1069" s="5" t="s">
        <v>2758</v>
      </c>
      <c r="G1069" s="5">
        <v>1</v>
      </c>
      <c r="H1069" s="5" t="s">
        <v>2854</v>
      </c>
      <c r="I1069" s="5" t="str">
        <f>IF(INDEX(Manual_Review!$R$6:$R$238,U1069)="","",INDEX(Manual_Review!$R$6:$R$238,U1069))</f>
        <v/>
      </c>
      <c r="J1069" s="5" t="str">
        <f t="shared" si="32"/>
        <v>AI provisional</v>
      </c>
      <c r="K1069" s="5" t="str">
        <f t="shared" si="33"/>
        <v>Y</v>
      </c>
      <c r="L1069" s="5" t="s">
        <v>856</v>
      </c>
      <c r="M1069" s="5" t="s">
        <v>5110</v>
      </c>
      <c r="N1069" s="5" t="s">
        <v>5095</v>
      </c>
      <c r="O1069" s="5" t="s">
        <v>3067</v>
      </c>
      <c r="P1069" s="5" t="s">
        <v>2858</v>
      </c>
      <c r="Q1069" s="11">
        <v>46306.5</v>
      </c>
      <c r="R1069" s="6"/>
      <c r="S1069" s="6"/>
      <c r="T1069" s="6"/>
      <c r="U1069" s="5">
        <f>MATCH(B1069,Manual_Review!$A$6:$A$238,0)</f>
        <v>67</v>
      </c>
      <c r="V1069" s="5" t="str">
        <f>IF(INDEX(Manual_Review!$G$6:$G$238,U1069)="","",INDEX(Manual_Review!$G$6:$G$238,U1069))</f>
        <v/>
      </c>
      <c r="W1069" s="11" t="str">
        <f>IF(INDEX(Manual_Review!$H$6:$H$238,U1069)="","",INDEX(Manual_Review!$H$6:$H$238,U1069))</f>
        <v/>
      </c>
      <c r="X1069" s="5" t="str">
        <f>IF(INDEX(Manual_Review!$I$6:$I$238,U1069)="","",INDEX(Manual_Review!$I$6:$I$238,U1069))</f>
        <v/>
      </c>
      <c r="Y1069" s="5" t="s">
        <v>2859</v>
      </c>
    </row>
    <row r="1070" spans="1:25" ht="25.5">
      <c r="A1070" s="5" t="s">
        <v>5111</v>
      </c>
      <c r="B1070" s="5" t="s">
        <v>847</v>
      </c>
      <c r="C1070" s="5" t="s">
        <v>848</v>
      </c>
      <c r="D1070" s="5" t="s">
        <v>118</v>
      </c>
      <c r="E1070" s="5" t="s">
        <v>2789</v>
      </c>
      <c r="F1070" s="5" t="s">
        <v>2758</v>
      </c>
      <c r="G1070" s="5">
        <v>1</v>
      </c>
      <c r="H1070" s="5" t="s">
        <v>2854</v>
      </c>
      <c r="I1070" s="5" t="str">
        <f>IF(INDEX(Manual_Review!$S$6:$S$238,U1070)="","",INDEX(Manual_Review!$S$6:$S$238,U1070))</f>
        <v/>
      </c>
      <c r="J1070" s="5" t="str">
        <f t="shared" si="32"/>
        <v>AI provisional</v>
      </c>
      <c r="K1070" s="5" t="str">
        <f t="shared" si="33"/>
        <v>Y</v>
      </c>
      <c r="L1070" s="5" t="s">
        <v>856</v>
      </c>
      <c r="M1070" s="5" t="s">
        <v>5112</v>
      </c>
      <c r="N1070" s="5" t="s">
        <v>5095</v>
      </c>
      <c r="O1070" s="5" t="s">
        <v>3178</v>
      </c>
      <c r="P1070" s="5" t="s">
        <v>2858</v>
      </c>
      <c r="Q1070" s="11">
        <v>46306.5</v>
      </c>
      <c r="R1070" s="6"/>
      <c r="S1070" s="6"/>
      <c r="T1070" s="6"/>
      <c r="U1070" s="5">
        <f>MATCH(B1070,Manual_Review!$A$6:$A$238,0)</f>
        <v>67</v>
      </c>
      <c r="V1070" s="5" t="str">
        <f>IF(INDEX(Manual_Review!$G$6:$G$238,U1070)="","",INDEX(Manual_Review!$G$6:$G$238,U1070))</f>
        <v/>
      </c>
      <c r="W1070" s="11" t="str">
        <f>IF(INDEX(Manual_Review!$H$6:$H$238,U1070)="","",INDEX(Manual_Review!$H$6:$H$238,U1070))</f>
        <v/>
      </c>
      <c r="X1070" s="5" t="str">
        <f>IF(INDEX(Manual_Review!$I$6:$I$238,U1070)="","",INDEX(Manual_Review!$I$6:$I$238,U1070))</f>
        <v/>
      </c>
      <c r="Y1070" s="5" t="s">
        <v>2859</v>
      </c>
    </row>
    <row r="1071" spans="1:25" ht="25.5">
      <c r="A1071" s="5" t="s">
        <v>5113</v>
      </c>
      <c r="B1071" s="5" t="s">
        <v>847</v>
      </c>
      <c r="C1071" s="5" t="s">
        <v>848</v>
      </c>
      <c r="D1071" s="5" t="s">
        <v>118</v>
      </c>
      <c r="E1071" s="5" t="s">
        <v>2790</v>
      </c>
      <c r="F1071" s="5" t="s">
        <v>2760</v>
      </c>
      <c r="G1071" s="5">
        <v>1</v>
      </c>
      <c r="H1071" s="5" t="s">
        <v>2854</v>
      </c>
      <c r="I1071" s="5" t="str">
        <f>IF(INDEX(Manual_Review!$T$6:$T$238,U1071)="","",INDEX(Manual_Review!$T$6:$T$238,U1071))</f>
        <v/>
      </c>
      <c r="J1071" s="5" t="str">
        <f t="shared" si="32"/>
        <v>AI provisional</v>
      </c>
      <c r="K1071" s="5" t="str">
        <f t="shared" si="33"/>
        <v>Y</v>
      </c>
      <c r="L1071" s="5" t="s">
        <v>856</v>
      </c>
      <c r="M1071" s="5" t="s">
        <v>5114</v>
      </c>
      <c r="N1071" s="5" t="s">
        <v>5095</v>
      </c>
      <c r="O1071" s="5" t="s">
        <v>2976</v>
      </c>
      <c r="P1071" s="5" t="s">
        <v>2858</v>
      </c>
      <c r="Q1071" s="11">
        <v>46306.5</v>
      </c>
      <c r="R1071" s="6"/>
      <c r="S1071" s="6"/>
      <c r="T1071" s="6"/>
      <c r="U1071" s="5">
        <f>MATCH(B1071,Manual_Review!$A$6:$A$238,0)</f>
        <v>67</v>
      </c>
      <c r="V1071" s="5" t="str">
        <f>IF(INDEX(Manual_Review!$G$6:$G$238,U1071)="","",INDEX(Manual_Review!$G$6:$G$238,U1071))</f>
        <v/>
      </c>
      <c r="W1071" s="11" t="str">
        <f>IF(INDEX(Manual_Review!$H$6:$H$238,U1071)="","",INDEX(Manual_Review!$H$6:$H$238,U1071))</f>
        <v/>
      </c>
      <c r="X1071" s="5" t="str">
        <f>IF(INDEX(Manual_Review!$I$6:$I$238,U1071)="","",INDEX(Manual_Review!$I$6:$I$238,U1071))</f>
        <v/>
      </c>
      <c r="Y1071" s="5" t="s">
        <v>2859</v>
      </c>
    </row>
    <row r="1072" spans="1:25" ht="25.5">
      <c r="A1072" s="5" t="s">
        <v>5115</v>
      </c>
      <c r="B1072" s="5" t="s">
        <v>847</v>
      </c>
      <c r="C1072" s="5" t="s">
        <v>848</v>
      </c>
      <c r="D1072" s="5" t="s">
        <v>118</v>
      </c>
      <c r="E1072" s="5" t="s">
        <v>2791</v>
      </c>
      <c r="F1072" s="5" t="s">
        <v>2760</v>
      </c>
      <c r="G1072" s="5">
        <v>1</v>
      </c>
      <c r="H1072" s="5" t="s">
        <v>2854</v>
      </c>
      <c r="I1072" s="5" t="str">
        <f>IF(INDEX(Manual_Review!$U$6:$U$238,U1072)="","",INDEX(Manual_Review!$U$6:$U$238,U1072))</f>
        <v/>
      </c>
      <c r="J1072" s="5" t="str">
        <f t="shared" si="32"/>
        <v>AI provisional</v>
      </c>
      <c r="K1072" s="5" t="str">
        <f t="shared" si="33"/>
        <v>Y</v>
      </c>
      <c r="L1072" s="5" t="s">
        <v>856</v>
      </c>
      <c r="M1072" s="5" t="s">
        <v>5116</v>
      </c>
      <c r="N1072" s="5" t="s">
        <v>5095</v>
      </c>
      <c r="O1072" s="5" t="s">
        <v>3380</v>
      </c>
      <c r="P1072" s="5" t="s">
        <v>2858</v>
      </c>
      <c r="Q1072" s="11">
        <v>46306.5</v>
      </c>
      <c r="R1072" s="6"/>
      <c r="S1072" s="6"/>
      <c r="T1072" s="6"/>
      <c r="U1072" s="5">
        <f>MATCH(B1072,Manual_Review!$A$6:$A$238,0)</f>
        <v>67</v>
      </c>
      <c r="V1072" s="5" t="str">
        <f>IF(INDEX(Manual_Review!$G$6:$G$238,U1072)="","",INDEX(Manual_Review!$G$6:$G$238,U1072))</f>
        <v/>
      </c>
      <c r="W1072" s="11" t="str">
        <f>IF(INDEX(Manual_Review!$H$6:$H$238,U1072)="","",INDEX(Manual_Review!$H$6:$H$238,U1072))</f>
        <v/>
      </c>
      <c r="X1072" s="5" t="str">
        <f>IF(INDEX(Manual_Review!$I$6:$I$238,U1072)="","",INDEX(Manual_Review!$I$6:$I$238,U1072))</f>
        <v/>
      </c>
      <c r="Y1072" s="5" t="s">
        <v>2859</v>
      </c>
    </row>
    <row r="1073" spans="1:25" ht="25.5">
      <c r="A1073" s="5" t="s">
        <v>5117</v>
      </c>
      <c r="B1073" s="5" t="s">
        <v>847</v>
      </c>
      <c r="C1073" s="5" t="s">
        <v>848</v>
      </c>
      <c r="D1073" s="5" t="s">
        <v>118</v>
      </c>
      <c r="E1073" s="5" t="s">
        <v>2792</v>
      </c>
      <c r="F1073" s="5" t="s">
        <v>2762</v>
      </c>
      <c r="G1073" s="5">
        <v>1</v>
      </c>
      <c r="H1073" s="5" t="s">
        <v>2854</v>
      </c>
      <c r="I1073" s="5" t="str">
        <f>IF(INDEX(Manual_Review!$V$6:$V$238,U1073)="","",INDEX(Manual_Review!$V$6:$V$238,U1073))</f>
        <v/>
      </c>
      <c r="J1073" s="5" t="str">
        <f t="shared" si="32"/>
        <v>AI provisional</v>
      </c>
      <c r="K1073" s="5" t="str">
        <f t="shared" si="33"/>
        <v>Y</v>
      </c>
      <c r="L1073" s="5" t="s">
        <v>856</v>
      </c>
      <c r="M1073" s="5" t="s">
        <v>5118</v>
      </c>
      <c r="N1073" s="5" t="s">
        <v>5095</v>
      </c>
      <c r="O1073" s="5" t="s">
        <v>3152</v>
      </c>
      <c r="P1073" s="5" t="s">
        <v>2858</v>
      </c>
      <c r="Q1073" s="11">
        <v>46306.5</v>
      </c>
      <c r="R1073" s="6"/>
      <c r="S1073" s="6"/>
      <c r="T1073" s="6"/>
      <c r="U1073" s="5">
        <f>MATCH(B1073,Manual_Review!$A$6:$A$238,0)</f>
        <v>67</v>
      </c>
      <c r="V1073" s="5" t="str">
        <f>IF(INDEX(Manual_Review!$G$6:$G$238,U1073)="","",INDEX(Manual_Review!$G$6:$G$238,U1073))</f>
        <v/>
      </c>
      <c r="W1073" s="11" t="str">
        <f>IF(INDEX(Manual_Review!$H$6:$H$238,U1073)="","",INDEX(Manual_Review!$H$6:$H$238,U1073))</f>
        <v/>
      </c>
      <c r="X1073" s="5" t="str">
        <f>IF(INDEX(Manual_Review!$I$6:$I$238,U1073)="","",INDEX(Manual_Review!$I$6:$I$238,U1073))</f>
        <v/>
      </c>
      <c r="Y1073" s="5" t="s">
        <v>2859</v>
      </c>
    </row>
    <row r="1074" spans="1:25" ht="25.5">
      <c r="A1074" s="5" t="s">
        <v>5119</v>
      </c>
      <c r="B1074" s="5" t="s">
        <v>847</v>
      </c>
      <c r="C1074" s="5" t="s">
        <v>848</v>
      </c>
      <c r="D1074" s="5" t="s">
        <v>118</v>
      </c>
      <c r="E1074" s="5" t="s">
        <v>2793</v>
      </c>
      <c r="F1074" s="5" t="s">
        <v>2762</v>
      </c>
      <c r="G1074" s="5">
        <v>1</v>
      </c>
      <c r="H1074" s="5" t="s">
        <v>2854</v>
      </c>
      <c r="I1074" s="5" t="str">
        <f>IF(INDEX(Manual_Review!$W$6:$W$238,U1074)="","",INDEX(Manual_Review!$W$6:$W$238,U1074))</f>
        <v/>
      </c>
      <c r="J1074" s="5" t="str">
        <f t="shared" si="32"/>
        <v>AI provisional</v>
      </c>
      <c r="K1074" s="5" t="str">
        <f t="shared" si="33"/>
        <v>Y</v>
      </c>
      <c r="L1074" s="5" t="s">
        <v>856</v>
      </c>
      <c r="M1074" s="5" t="s">
        <v>5120</v>
      </c>
      <c r="N1074" s="5" t="s">
        <v>5095</v>
      </c>
      <c r="O1074" s="5" t="s">
        <v>3077</v>
      </c>
      <c r="P1074" s="5" t="s">
        <v>2858</v>
      </c>
      <c r="Q1074" s="11">
        <v>46306.5</v>
      </c>
      <c r="R1074" s="6"/>
      <c r="S1074" s="6"/>
      <c r="T1074" s="6"/>
      <c r="U1074" s="5">
        <f>MATCH(B1074,Manual_Review!$A$6:$A$238,0)</f>
        <v>67</v>
      </c>
      <c r="V1074" s="5" t="str">
        <f>IF(INDEX(Manual_Review!$G$6:$G$238,U1074)="","",INDEX(Manual_Review!$G$6:$G$238,U1074))</f>
        <v/>
      </c>
      <c r="W1074" s="11" t="str">
        <f>IF(INDEX(Manual_Review!$H$6:$H$238,U1074)="","",INDEX(Manual_Review!$H$6:$H$238,U1074))</f>
        <v/>
      </c>
      <c r="X1074" s="5" t="str">
        <f>IF(INDEX(Manual_Review!$I$6:$I$238,U1074)="","",INDEX(Manual_Review!$I$6:$I$238,U1074))</f>
        <v/>
      </c>
      <c r="Y1074" s="5" t="s">
        <v>2859</v>
      </c>
    </row>
    <row r="1075" spans="1:25" ht="25.5">
      <c r="A1075" s="5" t="s">
        <v>5121</v>
      </c>
      <c r="B1075" s="5" t="s">
        <v>847</v>
      </c>
      <c r="C1075" s="5" t="s">
        <v>848</v>
      </c>
      <c r="D1075" s="5" t="s">
        <v>118</v>
      </c>
      <c r="E1075" s="5" t="s">
        <v>2794</v>
      </c>
      <c r="F1075" s="5" t="s">
        <v>2764</v>
      </c>
      <c r="G1075" s="5">
        <v>1</v>
      </c>
      <c r="H1075" s="5" t="s">
        <v>2854</v>
      </c>
      <c r="I1075" s="5" t="str">
        <f>IF(INDEX(Manual_Review!$X$6:$X$238,U1075)="","",INDEX(Manual_Review!$X$6:$X$238,U1075))</f>
        <v/>
      </c>
      <c r="J1075" s="5" t="str">
        <f t="shared" si="32"/>
        <v>AI provisional</v>
      </c>
      <c r="K1075" s="5" t="str">
        <f t="shared" si="33"/>
        <v>Y</v>
      </c>
      <c r="L1075" s="5" t="s">
        <v>856</v>
      </c>
      <c r="M1075" s="5" t="s">
        <v>5122</v>
      </c>
      <c r="N1075" s="5" t="s">
        <v>5095</v>
      </c>
      <c r="O1075" s="5" t="s">
        <v>2984</v>
      </c>
      <c r="P1075" s="5" t="s">
        <v>2858</v>
      </c>
      <c r="Q1075" s="11">
        <v>46306.5</v>
      </c>
      <c r="R1075" s="6"/>
      <c r="S1075" s="6"/>
      <c r="T1075" s="6"/>
      <c r="U1075" s="5">
        <f>MATCH(B1075,Manual_Review!$A$6:$A$238,0)</f>
        <v>67</v>
      </c>
      <c r="V1075" s="5" t="str">
        <f>IF(INDEX(Manual_Review!$G$6:$G$238,U1075)="","",INDEX(Manual_Review!$G$6:$G$238,U1075))</f>
        <v/>
      </c>
      <c r="W1075" s="11" t="str">
        <f>IF(INDEX(Manual_Review!$H$6:$H$238,U1075)="","",INDEX(Manual_Review!$H$6:$H$238,U1075))</f>
        <v/>
      </c>
      <c r="X1075" s="5" t="str">
        <f>IF(INDEX(Manual_Review!$I$6:$I$238,U1075)="","",INDEX(Manual_Review!$I$6:$I$238,U1075))</f>
        <v/>
      </c>
      <c r="Y1075" s="5" t="s">
        <v>2859</v>
      </c>
    </row>
    <row r="1076" spans="1:25" ht="25.5">
      <c r="A1076" s="5" t="s">
        <v>5123</v>
      </c>
      <c r="B1076" s="5" t="s">
        <v>847</v>
      </c>
      <c r="C1076" s="5" t="s">
        <v>848</v>
      </c>
      <c r="D1076" s="5" t="s">
        <v>118</v>
      </c>
      <c r="E1076" s="5" t="s">
        <v>2795</v>
      </c>
      <c r="F1076" s="5" t="s">
        <v>2764</v>
      </c>
      <c r="G1076" s="5">
        <v>1</v>
      </c>
      <c r="H1076" s="5" t="s">
        <v>2854</v>
      </c>
      <c r="I1076" s="5" t="str">
        <f>IF(INDEX(Manual_Review!$Y$6:$Y$238,U1076)="","",INDEX(Manual_Review!$Y$6:$Y$238,U1076))</f>
        <v/>
      </c>
      <c r="J1076" s="5" t="str">
        <f t="shared" si="32"/>
        <v>AI provisional</v>
      </c>
      <c r="K1076" s="5" t="str">
        <f t="shared" si="33"/>
        <v>Y</v>
      </c>
      <c r="L1076" s="5" t="s">
        <v>856</v>
      </c>
      <c r="M1076" s="5" t="s">
        <v>5124</v>
      </c>
      <c r="N1076" s="5" t="s">
        <v>5095</v>
      </c>
      <c r="O1076" s="5" t="s">
        <v>3082</v>
      </c>
      <c r="P1076" s="5" t="s">
        <v>2858</v>
      </c>
      <c r="Q1076" s="11">
        <v>46306.5</v>
      </c>
      <c r="R1076" s="6"/>
      <c r="S1076" s="6"/>
      <c r="T1076" s="6"/>
      <c r="U1076" s="5">
        <f>MATCH(B1076,Manual_Review!$A$6:$A$238,0)</f>
        <v>67</v>
      </c>
      <c r="V1076" s="5" t="str">
        <f>IF(INDEX(Manual_Review!$G$6:$G$238,U1076)="","",INDEX(Manual_Review!$G$6:$G$238,U1076))</f>
        <v/>
      </c>
      <c r="W1076" s="11" t="str">
        <f>IF(INDEX(Manual_Review!$H$6:$H$238,U1076)="","",INDEX(Manual_Review!$H$6:$H$238,U1076))</f>
        <v/>
      </c>
      <c r="X1076" s="5" t="str">
        <f>IF(INDEX(Manual_Review!$I$6:$I$238,U1076)="","",INDEX(Manual_Review!$I$6:$I$238,U1076))</f>
        <v/>
      </c>
      <c r="Y1076" s="5" t="s">
        <v>2859</v>
      </c>
    </row>
    <row r="1077" spans="1:25" ht="25.5">
      <c r="A1077" s="5" t="s">
        <v>5125</v>
      </c>
      <c r="B1077" s="5" t="s">
        <v>847</v>
      </c>
      <c r="C1077" s="5" t="s">
        <v>848</v>
      </c>
      <c r="D1077" s="5" t="s">
        <v>118</v>
      </c>
      <c r="E1077" s="5" t="s">
        <v>2796</v>
      </c>
      <c r="F1077" s="5" t="s">
        <v>2764</v>
      </c>
      <c r="G1077" s="5">
        <v>1</v>
      </c>
      <c r="H1077" s="5" t="s">
        <v>2854</v>
      </c>
      <c r="I1077" s="5" t="str">
        <f>IF(INDEX(Manual_Review!$Z$6:$Z$238,U1077)="","",INDEX(Manual_Review!$Z$6:$Z$238,U1077))</f>
        <v/>
      </c>
      <c r="J1077" s="5" t="str">
        <f t="shared" si="32"/>
        <v>AI provisional</v>
      </c>
      <c r="K1077" s="5" t="str">
        <f t="shared" si="33"/>
        <v>Y</v>
      </c>
      <c r="L1077" s="5" t="s">
        <v>856</v>
      </c>
      <c r="M1077" s="5" t="s">
        <v>5126</v>
      </c>
      <c r="N1077" s="5" t="s">
        <v>5095</v>
      </c>
      <c r="O1077" s="5" t="s">
        <v>3085</v>
      </c>
      <c r="P1077" s="5" t="s">
        <v>2858</v>
      </c>
      <c r="Q1077" s="11">
        <v>46306.5</v>
      </c>
      <c r="R1077" s="6"/>
      <c r="S1077" s="6"/>
      <c r="T1077" s="6"/>
      <c r="U1077" s="5">
        <f>MATCH(B1077,Manual_Review!$A$6:$A$238,0)</f>
        <v>67</v>
      </c>
      <c r="V1077" s="5" t="str">
        <f>IF(INDEX(Manual_Review!$G$6:$G$238,U1077)="","",INDEX(Manual_Review!$G$6:$G$238,U1077))</f>
        <v/>
      </c>
      <c r="W1077" s="11" t="str">
        <f>IF(INDEX(Manual_Review!$H$6:$H$238,U1077)="","",INDEX(Manual_Review!$H$6:$H$238,U1077))</f>
        <v/>
      </c>
      <c r="X1077" s="5" t="str">
        <f>IF(INDEX(Manual_Review!$I$6:$I$238,U1077)="","",INDEX(Manual_Review!$I$6:$I$238,U1077))</f>
        <v/>
      </c>
      <c r="Y1077" s="5" t="s">
        <v>2859</v>
      </c>
    </row>
    <row r="1078" spans="1:25" ht="25.5">
      <c r="A1078" s="5" t="s">
        <v>5127</v>
      </c>
      <c r="B1078" s="5" t="s">
        <v>858</v>
      </c>
      <c r="C1078" s="5" t="s">
        <v>859</v>
      </c>
      <c r="D1078" s="5" t="s">
        <v>118</v>
      </c>
      <c r="E1078" s="5" t="s">
        <v>2781</v>
      </c>
      <c r="F1078" s="5" t="s">
        <v>2754</v>
      </c>
      <c r="G1078" s="5">
        <v>1</v>
      </c>
      <c r="H1078" s="5" t="s">
        <v>2854</v>
      </c>
      <c r="I1078" s="5" t="str">
        <f>IF(INDEX(Manual_Review!$K$6:$K$238,U1078)="","",INDEX(Manual_Review!$K$6:$K$238,U1078))</f>
        <v/>
      </c>
      <c r="J1078" s="5" t="str">
        <f t="shared" si="32"/>
        <v>AI provisional</v>
      </c>
      <c r="K1078" s="5" t="str">
        <f t="shared" si="33"/>
        <v>Y</v>
      </c>
      <c r="L1078" s="5" t="s">
        <v>863</v>
      </c>
      <c r="M1078" s="5" t="s">
        <v>5128</v>
      </c>
      <c r="N1078" s="5" t="s">
        <v>5129</v>
      </c>
      <c r="O1078" s="5" t="s">
        <v>2857</v>
      </c>
      <c r="P1078" s="5" t="s">
        <v>2858</v>
      </c>
      <c r="Q1078" s="11">
        <v>46306.5</v>
      </c>
      <c r="R1078" s="6"/>
      <c r="S1078" s="6"/>
      <c r="T1078" s="6"/>
      <c r="U1078" s="5">
        <f>MATCH(B1078,Manual_Review!$A$6:$A$238,0)</f>
        <v>68</v>
      </c>
      <c r="V1078" s="5" t="str">
        <f>IF(INDEX(Manual_Review!$G$6:$G$238,U1078)="","",INDEX(Manual_Review!$G$6:$G$238,U1078))</f>
        <v/>
      </c>
      <c r="W1078" s="11" t="str">
        <f>IF(INDEX(Manual_Review!$H$6:$H$238,U1078)="","",INDEX(Manual_Review!$H$6:$H$238,U1078))</f>
        <v/>
      </c>
      <c r="X1078" s="5" t="str">
        <f>IF(INDEX(Manual_Review!$I$6:$I$238,U1078)="","",INDEX(Manual_Review!$I$6:$I$238,U1078))</f>
        <v/>
      </c>
      <c r="Y1078" s="5" t="s">
        <v>2859</v>
      </c>
    </row>
    <row r="1079" spans="1:25" ht="25.5">
      <c r="A1079" s="5" t="s">
        <v>5130</v>
      </c>
      <c r="B1079" s="5" t="s">
        <v>858</v>
      </c>
      <c r="C1079" s="5" t="s">
        <v>859</v>
      </c>
      <c r="D1079" s="5" t="s">
        <v>118</v>
      </c>
      <c r="E1079" s="5" t="s">
        <v>2782</v>
      </c>
      <c r="F1079" s="5" t="s">
        <v>2754</v>
      </c>
      <c r="G1079" s="5">
        <v>1</v>
      </c>
      <c r="H1079" s="5" t="s">
        <v>2854</v>
      </c>
      <c r="I1079" s="5" t="str">
        <f>IF(INDEX(Manual_Review!$L$6:$L$238,U1079)="","",INDEX(Manual_Review!$L$6:$L$238,U1079))</f>
        <v/>
      </c>
      <c r="J1079" s="5" t="str">
        <f t="shared" si="32"/>
        <v>AI provisional</v>
      </c>
      <c r="K1079" s="5" t="str">
        <f t="shared" si="33"/>
        <v>Y</v>
      </c>
      <c r="L1079" s="5" t="s">
        <v>863</v>
      </c>
      <c r="M1079" s="5" t="s">
        <v>5131</v>
      </c>
      <c r="N1079" s="5" t="s">
        <v>5129</v>
      </c>
      <c r="O1079" s="5" t="s">
        <v>2862</v>
      </c>
      <c r="P1079" s="5" t="s">
        <v>2858</v>
      </c>
      <c r="Q1079" s="11">
        <v>46306.5</v>
      </c>
      <c r="R1079" s="6"/>
      <c r="S1079" s="6"/>
      <c r="T1079" s="6"/>
      <c r="U1079" s="5">
        <f>MATCH(B1079,Manual_Review!$A$6:$A$238,0)</f>
        <v>68</v>
      </c>
      <c r="V1079" s="5" t="str">
        <f>IF(INDEX(Manual_Review!$G$6:$G$238,U1079)="","",INDEX(Manual_Review!$G$6:$G$238,U1079))</f>
        <v/>
      </c>
      <c r="W1079" s="11" t="str">
        <f>IF(INDEX(Manual_Review!$H$6:$H$238,U1079)="","",INDEX(Manual_Review!$H$6:$H$238,U1079))</f>
        <v/>
      </c>
      <c r="X1079" s="5" t="str">
        <f>IF(INDEX(Manual_Review!$I$6:$I$238,U1079)="","",INDEX(Manual_Review!$I$6:$I$238,U1079))</f>
        <v/>
      </c>
      <c r="Y1079" s="5" t="s">
        <v>2859</v>
      </c>
    </row>
    <row r="1080" spans="1:25" ht="25.5">
      <c r="A1080" s="5" t="s">
        <v>5132</v>
      </c>
      <c r="B1080" s="5" t="s">
        <v>858</v>
      </c>
      <c r="C1080" s="5" t="s">
        <v>859</v>
      </c>
      <c r="D1080" s="5" t="s">
        <v>118</v>
      </c>
      <c r="E1080" s="5" t="s">
        <v>2783</v>
      </c>
      <c r="F1080" s="5" t="s">
        <v>2754</v>
      </c>
      <c r="G1080" s="5">
        <v>1</v>
      </c>
      <c r="H1080" s="5" t="s">
        <v>2854</v>
      </c>
      <c r="I1080" s="5" t="str">
        <f>IF(INDEX(Manual_Review!$M$6:$M$238,U1080)="","",INDEX(Manual_Review!$M$6:$M$238,U1080))</f>
        <v/>
      </c>
      <c r="J1080" s="5" t="str">
        <f t="shared" si="32"/>
        <v>AI provisional</v>
      </c>
      <c r="K1080" s="5" t="str">
        <f t="shared" si="33"/>
        <v>Y</v>
      </c>
      <c r="L1080" s="5" t="s">
        <v>863</v>
      </c>
      <c r="M1080" s="5" t="s">
        <v>5133</v>
      </c>
      <c r="N1080" s="5" t="s">
        <v>5129</v>
      </c>
      <c r="O1080" s="5" t="s">
        <v>3133</v>
      </c>
      <c r="P1080" s="5" t="s">
        <v>2858</v>
      </c>
      <c r="Q1080" s="11">
        <v>46306.5</v>
      </c>
      <c r="R1080" s="6"/>
      <c r="S1080" s="6"/>
      <c r="T1080" s="6"/>
      <c r="U1080" s="5">
        <f>MATCH(B1080,Manual_Review!$A$6:$A$238,0)</f>
        <v>68</v>
      </c>
      <c r="V1080" s="5" t="str">
        <f>IF(INDEX(Manual_Review!$G$6:$G$238,U1080)="","",INDEX(Manual_Review!$G$6:$G$238,U1080))</f>
        <v/>
      </c>
      <c r="W1080" s="11" t="str">
        <f>IF(INDEX(Manual_Review!$H$6:$H$238,U1080)="","",INDEX(Manual_Review!$H$6:$H$238,U1080))</f>
        <v/>
      </c>
      <c r="X1080" s="5" t="str">
        <f>IF(INDEX(Manual_Review!$I$6:$I$238,U1080)="","",INDEX(Manual_Review!$I$6:$I$238,U1080))</f>
        <v/>
      </c>
      <c r="Y1080" s="5" t="s">
        <v>2859</v>
      </c>
    </row>
    <row r="1081" spans="1:25" ht="25.5">
      <c r="A1081" s="5" t="s">
        <v>5134</v>
      </c>
      <c r="B1081" s="5" t="s">
        <v>858</v>
      </c>
      <c r="C1081" s="5" t="s">
        <v>859</v>
      </c>
      <c r="D1081" s="5" t="s">
        <v>118</v>
      </c>
      <c r="E1081" s="5" t="s">
        <v>2784</v>
      </c>
      <c r="F1081" s="5" t="s">
        <v>2756</v>
      </c>
      <c r="G1081" s="5">
        <v>1</v>
      </c>
      <c r="H1081" s="5" t="s">
        <v>2854</v>
      </c>
      <c r="I1081" s="5" t="str">
        <f>IF(INDEX(Manual_Review!$N$6:$N$238,U1081)="","",INDEX(Manual_Review!$N$6:$N$238,U1081))</f>
        <v/>
      </c>
      <c r="J1081" s="5" t="str">
        <f t="shared" si="32"/>
        <v>AI provisional</v>
      </c>
      <c r="K1081" s="5" t="str">
        <f t="shared" si="33"/>
        <v>Y</v>
      </c>
      <c r="L1081" s="5" t="s">
        <v>863</v>
      </c>
      <c r="M1081" s="5" t="s">
        <v>5135</v>
      </c>
      <c r="N1081" s="5" t="s">
        <v>5129</v>
      </c>
      <c r="O1081" s="5" t="s">
        <v>2963</v>
      </c>
      <c r="P1081" s="5" t="s">
        <v>2858</v>
      </c>
      <c r="Q1081" s="11">
        <v>46306.5</v>
      </c>
      <c r="R1081" s="6"/>
      <c r="S1081" s="6"/>
      <c r="T1081" s="6"/>
      <c r="U1081" s="5">
        <f>MATCH(B1081,Manual_Review!$A$6:$A$238,0)</f>
        <v>68</v>
      </c>
      <c r="V1081" s="5" t="str">
        <f>IF(INDEX(Manual_Review!$G$6:$G$238,U1081)="","",INDEX(Manual_Review!$G$6:$G$238,U1081))</f>
        <v/>
      </c>
      <c r="W1081" s="11" t="str">
        <f>IF(INDEX(Manual_Review!$H$6:$H$238,U1081)="","",INDEX(Manual_Review!$H$6:$H$238,U1081))</f>
        <v/>
      </c>
      <c r="X1081" s="5" t="str">
        <f>IF(INDEX(Manual_Review!$I$6:$I$238,U1081)="","",INDEX(Manual_Review!$I$6:$I$238,U1081))</f>
        <v/>
      </c>
      <c r="Y1081" s="5" t="s">
        <v>2859</v>
      </c>
    </row>
    <row r="1082" spans="1:25" ht="25.5">
      <c r="A1082" s="5" t="s">
        <v>5136</v>
      </c>
      <c r="B1082" s="5" t="s">
        <v>858</v>
      </c>
      <c r="C1082" s="5" t="s">
        <v>859</v>
      </c>
      <c r="D1082" s="5" t="s">
        <v>118</v>
      </c>
      <c r="E1082" s="5" t="s">
        <v>2785</v>
      </c>
      <c r="F1082" s="5" t="s">
        <v>2756</v>
      </c>
      <c r="G1082" s="5">
        <v>1</v>
      </c>
      <c r="H1082" s="5" t="s">
        <v>2864</v>
      </c>
      <c r="I1082" s="5" t="str">
        <f>IF(INDEX(Manual_Review!$O$6:$O$238,U1082)="","",INDEX(Manual_Review!$O$6:$O$238,U1082))</f>
        <v/>
      </c>
      <c r="J1082" s="5" t="str">
        <f t="shared" si="32"/>
        <v>AI provisional</v>
      </c>
      <c r="K1082" s="5" t="str">
        <f t="shared" si="33"/>
        <v>U</v>
      </c>
      <c r="L1082" s="5" t="s">
        <v>863</v>
      </c>
      <c r="M1082" s="5" t="s">
        <v>5137</v>
      </c>
      <c r="N1082" s="5" t="s">
        <v>5129</v>
      </c>
      <c r="O1082" s="5" t="s">
        <v>2872</v>
      </c>
      <c r="P1082" s="5" t="s">
        <v>2858</v>
      </c>
      <c r="Q1082" s="11">
        <v>46306.5</v>
      </c>
      <c r="R1082" s="6"/>
      <c r="S1082" s="6"/>
      <c r="T1082" s="6"/>
      <c r="U1082" s="5">
        <f>MATCH(B1082,Manual_Review!$A$6:$A$238,0)</f>
        <v>68</v>
      </c>
      <c r="V1082" s="5" t="str">
        <f>IF(INDEX(Manual_Review!$G$6:$G$238,U1082)="","",INDEX(Manual_Review!$G$6:$G$238,U1082))</f>
        <v/>
      </c>
      <c r="W1082" s="11" t="str">
        <f>IF(INDEX(Manual_Review!$H$6:$H$238,U1082)="","",INDEX(Manual_Review!$H$6:$H$238,U1082))</f>
        <v/>
      </c>
      <c r="X1082" s="5" t="str">
        <f>IF(INDEX(Manual_Review!$I$6:$I$238,U1082)="","",INDEX(Manual_Review!$I$6:$I$238,U1082))</f>
        <v/>
      </c>
      <c r="Y1082" s="5" t="s">
        <v>2859</v>
      </c>
    </row>
    <row r="1083" spans="1:25" ht="25.5">
      <c r="A1083" s="5" t="s">
        <v>5138</v>
      </c>
      <c r="B1083" s="5" t="s">
        <v>858</v>
      </c>
      <c r="C1083" s="5" t="s">
        <v>859</v>
      </c>
      <c r="D1083" s="5" t="s">
        <v>118</v>
      </c>
      <c r="E1083" s="5" t="s">
        <v>2786</v>
      </c>
      <c r="F1083" s="5" t="s">
        <v>2756</v>
      </c>
      <c r="G1083" s="5">
        <v>1</v>
      </c>
      <c r="H1083" s="5" t="s">
        <v>2854</v>
      </c>
      <c r="I1083" s="5" t="str">
        <f>IF(INDEX(Manual_Review!$P$6:$P$238,U1083)="","",INDEX(Manual_Review!$P$6:$P$238,U1083))</f>
        <v/>
      </c>
      <c r="J1083" s="5" t="str">
        <f t="shared" si="32"/>
        <v>AI provisional</v>
      </c>
      <c r="K1083" s="5" t="str">
        <f t="shared" si="33"/>
        <v>Y</v>
      </c>
      <c r="L1083" s="5" t="s">
        <v>863</v>
      </c>
      <c r="M1083" s="5" t="s">
        <v>5139</v>
      </c>
      <c r="N1083" s="5" t="s">
        <v>5129</v>
      </c>
      <c r="O1083" s="5" t="s">
        <v>5140</v>
      </c>
      <c r="P1083" s="5" t="s">
        <v>2858</v>
      </c>
      <c r="Q1083" s="11">
        <v>46306.5</v>
      </c>
      <c r="R1083" s="6"/>
      <c r="S1083" s="6"/>
      <c r="T1083" s="6"/>
      <c r="U1083" s="5">
        <f>MATCH(B1083,Manual_Review!$A$6:$A$238,0)</f>
        <v>68</v>
      </c>
      <c r="V1083" s="5" t="str">
        <f>IF(INDEX(Manual_Review!$G$6:$G$238,U1083)="","",INDEX(Manual_Review!$G$6:$G$238,U1083))</f>
        <v/>
      </c>
      <c r="W1083" s="11" t="str">
        <f>IF(INDEX(Manual_Review!$H$6:$H$238,U1083)="","",INDEX(Manual_Review!$H$6:$H$238,U1083))</f>
        <v/>
      </c>
      <c r="X1083" s="5" t="str">
        <f>IF(INDEX(Manual_Review!$I$6:$I$238,U1083)="","",INDEX(Manual_Review!$I$6:$I$238,U1083))</f>
        <v/>
      </c>
      <c r="Y1083" s="5" t="s">
        <v>2859</v>
      </c>
    </row>
    <row r="1084" spans="1:25" ht="25.5">
      <c r="A1084" s="5" t="s">
        <v>5141</v>
      </c>
      <c r="B1084" s="5" t="s">
        <v>858</v>
      </c>
      <c r="C1084" s="5" t="s">
        <v>859</v>
      </c>
      <c r="D1084" s="5" t="s">
        <v>118</v>
      </c>
      <c r="E1084" s="5" t="s">
        <v>2787</v>
      </c>
      <c r="F1084" s="5" t="s">
        <v>2758</v>
      </c>
      <c r="G1084" s="5">
        <v>1</v>
      </c>
      <c r="H1084" s="5" t="s">
        <v>2864</v>
      </c>
      <c r="I1084" s="5" t="str">
        <f>IF(INDEX(Manual_Review!$Q$6:$Q$238,U1084)="","",INDEX(Manual_Review!$Q$6:$Q$238,U1084))</f>
        <v/>
      </c>
      <c r="J1084" s="5" t="str">
        <f t="shared" si="32"/>
        <v>AI provisional</v>
      </c>
      <c r="K1084" s="5" t="str">
        <f t="shared" si="33"/>
        <v>U</v>
      </c>
      <c r="L1084" s="5" t="s">
        <v>863</v>
      </c>
      <c r="M1084" s="5" t="s">
        <v>5137</v>
      </c>
      <c r="N1084" s="5" t="s">
        <v>5129</v>
      </c>
      <c r="O1084" s="5" t="s">
        <v>2877</v>
      </c>
      <c r="P1084" s="5" t="s">
        <v>2858</v>
      </c>
      <c r="Q1084" s="11">
        <v>46306.5</v>
      </c>
      <c r="R1084" s="6"/>
      <c r="S1084" s="6"/>
      <c r="T1084" s="6"/>
      <c r="U1084" s="5">
        <f>MATCH(B1084,Manual_Review!$A$6:$A$238,0)</f>
        <v>68</v>
      </c>
      <c r="V1084" s="5" t="str">
        <f>IF(INDEX(Manual_Review!$G$6:$G$238,U1084)="","",INDEX(Manual_Review!$G$6:$G$238,U1084))</f>
        <v/>
      </c>
      <c r="W1084" s="11" t="str">
        <f>IF(INDEX(Manual_Review!$H$6:$H$238,U1084)="","",INDEX(Manual_Review!$H$6:$H$238,U1084))</f>
        <v/>
      </c>
      <c r="X1084" s="5" t="str">
        <f>IF(INDEX(Manual_Review!$I$6:$I$238,U1084)="","",INDEX(Manual_Review!$I$6:$I$238,U1084))</f>
        <v/>
      </c>
      <c r="Y1084" s="5" t="s">
        <v>2859</v>
      </c>
    </row>
    <row r="1085" spans="1:25" ht="25.5">
      <c r="A1085" s="5" t="s">
        <v>5142</v>
      </c>
      <c r="B1085" s="5" t="s">
        <v>858</v>
      </c>
      <c r="C1085" s="5" t="s">
        <v>859</v>
      </c>
      <c r="D1085" s="5" t="s">
        <v>118</v>
      </c>
      <c r="E1085" s="5" t="s">
        <v>2788</v>
      </c>
      <c r="F1085" s="5" t="s">
        <v>2758</v>
      </c>
      <c r="G1085" s="5">
        <v>1</v>
      </c>
      <c r="H1085" s="5" t="s">
        <v>2854</v>
      </c>
      <c r="I1085" s="5" t="str">
        <f>IF(INDEX(Manual_Review!$R$6:$R$238,U1085)="","",INDEX(Manual_Review!$R$6:$R$238,U1085))</f>
        <v/>
      </c>
      <c r="J1085" s="5" t="str">
        <f t="shared" si="32"/>
        <v>AI provisional</v>
      </c>
      <c r="K1085" s="5" t="str">
        <f t="shared" si="33"/>
        <v>Y</v>
      </c>
      <c r="L1085" s="5" t="s">
        <v>863</v>
      </c>
      <c r="M1085" s="5" t="s">
        <v>5143</v>
      </c>
      <c r="N1085" s="5" t="s">
        <v>5129</v>
      </c>
      <c r="O1085" s="5" t="s">
        <v>3067</v>
      </c>
      <c r="P1085" s="5" t="s">
        <v>2858</v>
      </c>
      <c r="Q1085" s="11">
        <v>46306.5</v>
      </c>
      <c r="R1085" s="6"/>
      <c r="S1085" s="6"/>
      <c r="T1085" s="6"/>
      <c r="U1085" s="5">
        <f>MATCH(B1085,Manual_Review!$A$6:$A$238,0)</f>
        <v>68</v>
      </c>
      <c r="V1085" s="5" t="str">
        <f>IF(INDEX(Manual_Review!$G$6:$G$238,U1085)="","",INDEX(Manual_Review!$G$6:$G$238,U1085))</f>
        <v/>
      </c>
      <c r="W1085" s="11" t="str">
        <f>IF(INDEX(Manual_Review!$H$6:$H$238,U1085)="","",INDEX(Manual_Review!$H$6:$H$238,U1085))</f>
        <v/>
      </c>
      <c r="X1085" s="5" t="str">
        <f>IF(INDEX(Manual_Review!$I$6:$I$238,U1085)="","",INDEX(Manual_Review!$I$6:$I$238,U1085))</f>
        <v/>
      </c>
      <c r="Y1085" s="5" t="s">
        <v>2859</v>
      </c>
    </row>
    <row r="1086" spans="1:25" ht="25.5">
      <c r="A1086" s="5" t="s">
        <v>5144</v>
      </c>
      <c r="B1086" s="5" t="s">
        <v>858</v>
      </c>
      <c r="C1086" s="5" t="s">
        <v>859</v>
      </c>
      <c r="D1086" s="5" t="s">
        <v>118</v>
      </c>
      <c r="E1086" s="5" t="s">
        <v>2789</v>
      </c>
      <c r="F1086" s="5" t="s">
        <v>2758</v>
      </c>
      <c r="G1086" s="5">
        <v>1</v>
      </c>
      <c r="H1086" s="5" t="s">
        <v>2864</v>
      </c>
      <c r="I1086" s="5" t="str">
        <f>IF(INDEX(Manual_Review!$S$6:$S$238,U1086)="","",INDEX(Manual_Review!$S$6:$S$238,U1086))</f>
        <v/>
      </c>
      <c r="J1086" s="5" t="str">
        <f t="shared" si="32"/>
        <v>AI provisional</v>
      </c>
      <c r="K1086" s="5" t="str">
        <f t="shared" si="33"/>
        <v>U</v>
      </c>
      <c r="L1086" s="5" t="s">
        <v>863</v>
      </c>
      <c r="M1086" s="5" t="s">
        <v>5145</v>
      </c>
      <c r="N1086" s="5" t="s">
        <v>5129</v>
      </c>
      <c r="O1086" s="5" t="s">
        <v>2883</v>
      </c>
      <c r="P1086" s="5" t="s">
        <v>2858</v>
      </c>
      <c r="Q1086" s="11">
        <v>46306.5</v>
      </c>
      <c r="R1086" s="6"/>
      <c r="S1086" s="6"/>
      <c r="T1086" s="6"/>
      <c r="U1086" s="5">
        <f>MATCH(B1086,Manual_Review!$A$6:$A$238,0)</f>
        <v>68</v>
      </c>
      <c r="V1086" s="5" t="str">
        <f>IF(INDEX(Manual_Review!$G$6:$G$238,U1086)="","",INDEX(Manual_Review!$G$6:$G$238,U1086))</f>
        <v/>
      </c>
      <c r="W1086" s="11" t="str">
        <f>IF(INDEX(Manual_Review!$H$6:$H$238,U1086)="","",INDEX(Manual_Review!$H$6:$H$238,U1086))</f>
        <v/>
      </c>
      <c r="X1086" s="5" t="str">
        <f>IF(INDEX(Manual_Review!$I$6:$I$238,U1086)="","",INDEX(Manual_Review!$I$6:$I$238,U1086))</f>
        <v/>
      </c>
      <c r="Y1086" s="5" t="s">
        <v>2859</v>
      </c>
    </row>
    <row r="1087" spans="1:25" ht="25.5">
      <c r="A1087" s="5" t="s">
        <v>5146</v>
      </c>
      <c r="B1087" s="5" t="s">
        <v>858</v>
      </c>
      <c r="C1087" s="5" t="s">
        <v>859</v>
      </c>
      <c r="D1087" s="5" t="s">
        <v>118</v>
      </c>
      <c r="E1087" s="5" t="s">
        <v>2790</v>
      </c>
      <c r="F1087" s="5" t="s">
        <v>2760</v>
      </c>
      <c r="G1087" s="5">
        <v>1</v>
      </c>
      <c r="H1087" s="5" t="s">
        <v>2864</v>
      </c>
      <c r="I1087" s="5" t="str">
        <f>IF(INDEX(Manual_Review!$T$6:$T$238,U1087)="","",INDEX(Manual_Review!$T$6:$T$238,U1087))</f>
        <v/>
      </c>
      <c r="J1087" s="5" t="str">
        <f t="shared" si="32"/>
        <v>AI provisional</v>
      </c>
      <c r="K1087" s="5" t="str">
        <f t="shared" si="33"/>
        <v>U</v>
      </c>
      <c r="L1087" s="5" t="s">
        <v>863</v>
      </c>
      <c r="M1087" s="5" t="s">
        <v>5139</v>
      </c>
      <c r="N1087" s="5" t="s">
        <v>5129</v>
      </c>
      <c r="O1087" s="5" t="s">
        <v>2885</v>
      </c>
      <c r="P1087" s="5" t="s">
        <v>2858</v>
      </c>
      <c r="Q1087" s="11">
        <v>46306.5</v>
      </c>
      <c r="R1087" s="6"/>
      <c r="S1087" s="6"/>
      <c r="T1087" s="6"/>
      <c r="U1087" s="5">
        <f>MATCH(B1087,Manual_Review!$A$6:$A$238,0)</f>
        <v>68</v>
      </c>
      <c r="V1087" s="5" t="str">
        <f>IF(INDEX(Manual_Review!$G$6:$G$238,U1087)="","",INDEX(Manual_Review!$G$6:$G$238,U1087))</f>
        <v/>
      </c>
      <c r="W1087" s="11" t="str">
        <f>IF(INDEX(Manual_Review!$H$6:$H$238,U1087)="","",INDEX(Manual_Review!$H$6:$H$238,U1087))</f>
        <v/>
      </c>
      <c r="X1087" s="5" t="str">
        <f>IF(INDEX(Manual_Review!$I$6:$I$238,U1087)="","",INDEX(Manual_Review!$I$6:$I$238,U1087))</f>
        <v/>
      </c>
      <c r="Y1087" s="5" t="s">
        <v>2859</v>
      </c>
    </row>
    <row r="1088" spans="1:25" ht="25.5">
      <c r="A1088" s="5" t="s">
        <v>5147</v>
      </c>
      <c r="B1088" s="5" t="s">
        <v>858</v>
      </c>
      <c r="C1088" s="5" t="s">
        <v>859</v>
      </c>
      <c r="D1088" s="5" t="s">
        <v>118</v>
      </c>
      <c r="E1088" s="5" t="s">
        <v>2791</v>
      </c>
      <c r="F1088" s="5" t="s">
        <v>2760</v>
      </c>
      <c r="G1088" s="5">
        <v>1</v>
      </c>
      <c r="H1088" s="5" t="s">
        <v>2864</v>
      </c>
      <c r="I1088" s="5" t="str">
        <f>IF(INDEX(Manual_Review!$U$6:$U$238,U1088)="","",INDEX(Manual_Review!$U$6:$U$238,U1088))</f>
        <v/>
      </c>
      <c r="J1088" s="5" t="str">
        <f t="shared" si="32"/>
        <v>AI provisional</v>
      </c>
      <c r="K1088" s="5" t="str">
        <f t="shared" si="33"/>
        <v>U</v>
      </c>
      <c r="L1088" s="5" t="s">
        <v>863</v>
      </c>
      <c r="M1088" s="5" t="s">
        <v>5137</v>
      </c>
      <c r="N1088" s="5" t="s">
        <v>5129</v>
      </c>
      <c r="O1088" s="5" t="s">
        <v>2888</v>
      </c>
      <c r="P1088" s="5" t="s">
        <v>2858</v>
      </c>
      <c r="Q1088" s="11">
        <v>46306.5</v>
      </c>
      <c r="R1088" s="6"/>
      <c r="S1088" s="6"/>
      <c r="T1088" s="6"/>
      <c r="U1088" s="5">
        <f>MATCH(B1088,Manual_Review!$A$6:$A$238,0)</f>
        <v>68</v>
      </c>
      <c r="V1088" s="5" t="str">
        <f>IF(INDEX(Manual_Review!$G$6:$G$238,U1088)="","",INDEX(Manual_Review!$G$6:$G$238,U1088))</f>
        <v/>
      </c>
      <c r="W1088" s="11" t="str">
        <f>IF(INDEX(Manual_Review!$H$6:$H$238,U1088)="","",INDEX(Manual_Review!$H$6:$H$238,U1088))</f>
        <v/>
      </c>
      <c r="X1088" s="5" t="str">
        <f>IF(INDEX(Manual_Review!$I$6:$I$238,U1088)="","",INDEX(Manual_Review!$I$6:$I$238,U1088))</f>
        <v/>
      </c>
      <c r="Y1088" s="5" t="s">
        <v>2859</v>
      </c>
    </row>
    <row r="1089" spans="1:25" ht="25.5">
      <c r="A1089" s="5" t="s">
        <v>5148</v>
      </c>
      <c r="B1089" s="5" t="s">
        <v>858</v>
      </c>
      <c r="C1089" s="5" t="s">
        <v>859</v>
      </c>
      <c r="D1089" s="5" t="s">
        <v>118</v>
      </c>
      <c r="E1089" s="5" t="s">
        <v>2792</v>
      </c>
      <c r="F1089" s="5" t="s">
        <v>2762</v>
      </c>
      <c r="G1089" s="5">
        <v>1</v>
      </c>
      <c r="H1089" s="5" t="s">
        <v>2854</v>
      </c>
      <c r="I1089" s="5" t="str">
        <f>IF(INDEX(Manual_Review!$V$6:$V$238,U1089)="","",INDEX(Manual_Review!$V$6:$V$238,U1089))</f>
        <v/>
      </c>
      <c r="J1089" s="5" t="str">
        <f t="shared" si="32"/>
        <v>AI provisional</v>
      </c>
      <c r="K1089" s="5" t="str">
        <f t="shared" si="33"/>
        <v>Y</v>
      </c>
      <c r="L1089" s="5" t="s">
        <v>863</v>
      </c>
      <c r="M1089" s="5" t="s">
        <v>5149</v>
      </c>
      <c r="N1089" s="5" t="s">
        <v>5129</v>
      </c>
      <c r="O1089" s="5" t="s">
        <v>3152</v>
      </c>
      <c r="P1089" s="5" t="s">
        <v>2858</v>
      </c>
      <c r="Q1089" s="11">
        <v>46306.5</v>
      </c>
      <c r="R1089" s="6"/>
      <c r="S1089" s="6"/>
      <c r="T1089" s="6"/>
      <c r="U1089" s="5">
        <f>MATCH(B1089,Manual_Review!$A$6:$A$238,0)</f>
        <v>68</v>
      </c>
      <c r="V1089" s="5" t="str">
        <f>IF(INDEX(Manual_Review!$G$6:$G$238,U1089)="","",INDEX(Manual_Review!$G$6:$G$238,U1089))</f>
        <v/>
      </c>
      <c r="W1089" s="11" t="str">
        <f>IF(INDEX(Manual_Review!$H$6:$H$238,U1089)="","",INDEX(Manual_Review!$H$6:$H$238,U1089))</f>
        <v/>
      </c>
      <c r="X1089" s="5" t="str">
        <f>IF(INDEX(Manual_Review!$I$6:$I$238,U1089)="","",INDEX(Manual_Review!$I$6:$I$238,U1089))</f>
        <v/>
      </c>
      <c r="Y1089" s="5" t="s">
        <v>2859</v>
      </c>
    </row>
    <row r="1090" spans="1:25" ht="25.5">
      <c r="A1090" s="5" t="s">
        <v>5150</v>
      </c>
      <c r="B1090" s="5" t="s">
        <v>858</v>
      </c>
      <c r="C1090" s="5" t="s">
        <v>859</v>
      </c>
      <c r="D1090" s="5" t="s">
        <v>118</v>
      </c>
      <c r="E1090" s="5" t="s">
        <v>2793</v>
      </c>
      <c r="F1090" s="5" t="s">
        <v>2762</v>
      </c>
      <c r="G1090" s="5">
        <v>1</v>
      </c>
      <c r="H1090" s="5" t="s">
        <v>2854</v>
      </c>
      <c r="I1090" s="5" t="str">
        <f>IF(INDEX(Manual_Review!$W$6:$W$238,U1090)="","",INDEX(Manual_Review!$W$6:$W$238,U1090))</f>
        <v/>
      </c>
      <c r="J1090" s="5" t="str">
        <f t="shared" si="32"/>
        <v>AI provisional</v>
      </c>
      <c r="K1090" s="5" t="str">
        <f t="shared" si="33"/>
        <v>Y</v>
      </c>
      <c r="L1090" s="5" t="s">
        <v>863</v>
      </c>
      <c r="M1090" s="5" t="s">
        <v>5151</v>
      </c>
      <c r="N1090" s="5" t="s">
        <v>5129</v>
      </c>
      <c r="O1090" s="5" t="s">
        <v>3077</v>
      </c>
      <c r="P1090" s="5" t="s">
        <v>2858</v>
      </c>
      <c r="Q1090" s="11">
        <v>46306.5</v>
      </c>
      <c r="R1090" s="6"/>
      <c r="S1090" s="6"/>
      <c r="T1090" s="6"/>
      <c r="U1090" s="5">
        <f>MATCH(B1090,Manual_Review!$A$6:$A$238,0)</f>
        <v>68</v>
      </c>
      <c r="V1090" s="5" t="str">
        <f>IF(INDEX(Manual_Review!$G$6:$G$238,U1090)="","",INDEX(Manual_Review!$G$6:$G$238,U1090))</f>
        <v/>
      </c>
      <c r="W1090" s="11" t="str">
        <f>IF(INDEX(Manual_Review!$H$6:$H$238,U1090)="","",INDEX(Manual_Review!$H$6:$H$238,U1090))</f>
        <v/>
      </c>
      <c r="X1090" s="5" t="str">
        <f>IF(INDEX(Manual_Review!$I$6:$I$238,U1090)="","",INDEX(Manual_Review!$I$6:$I$238,U1090))</f>
        <v/>
      </c>
      <c r="Y1090" s="5" t="s">
        <v>2859</v>
      </c>
    </row>
    <row r="1091" spans="1:25" ht="25.5">
      <c r="A1091" s="5" t="s">
        <v>5152</v>
      </c>
      <c r="B1091" s="5" t="s">
        <v>858</v>
      </c>
      <c r="C1091" s="5" t="s">
        <v>859</v>
      </c>
      <c r="D1091" s="5" t="s">
        <v>118</v>
      </c>
      <c r="E1091" s="5" t="s">
        <v>2794</v>
      </c>
      <c r="F1091" s="5" t="s">
        <v>2764</v>
      </c>
      <c r="G1091" s="5">
        <v>1</v>
      </c>
      <c r="H1091" s="5" t="s">
        <v>2854</v>
      </c>
      <c r="I1091" s="5" t="str">
        <f>IF(INDEX(Manual_Review!$X$6:$X$238,U1091)="","",INDEX(Manual_Review!$X$6:$X$238,U1091))</f>
        <v/>
      </c>
      <c r="J1091" s="5" t="str">
        <f t="shared" si="32"/>
        <v>AI provisional</v>
      </c>
      <c r="K1091" s="5" t="str">
        <f t="shared" si="33"/>
        <v>Y</v>
      </c>
      <c r="L1091" s="5" t="s">
        <v>863</v>
      </c>
      <c r="M1091" s="5" t="s">
        <v>5153</v>
      </c>
      <c r="N1091" s="5" t="s">
        <v>5129</v>
      </c>
      <c r="O1091" s="5" t="s">
        <v>2984</v>
      </c>
      <c r="P1091" s="5" t="s">
        <v>2858</v>
      </c>
      <c r="Q1091" s="11">
        <v>46306.5</v>
      </c>
      <c r="R1091" s="6"/>
      <c r="S1091" s="6"/>
      <c r="T1091" s="6"/>
      <c r="U1091" s="5">
        <f>MATCH(B1091,Manual_Review!$A$6:$A$238,0)</f>
        <v>68</v>
      </c>
      <c r="V1091" s="5" t="str">
        <f>IF(INDEX(Manual_Review!$G$6:$G$238,U1091)="","",INDEX(Manual_Review!$G$6:$G$238,U1091))</f>
        <v/>
      </c>
      <c r="W1091" s="11" t="str">
        <f>IF(INDEX(Manual_Review!$H$6:$H$238,U1091)="","",INDEX(Manual_Review!$H$6:$H$238,U1091))</f>
        <v/>
      </c>
      <c r="X1091" s="5" t="str">
        <f>IF(INDEX(Manual_Review!$I$6:$I$238,U1091)="","",INDEX(Manual_Review!$I$6:$I$238,U1091))</f>
        <v/>
      </c>
      <c r="Y1091" s="5" t="s">
        <v>2859</v>
      </c>
    </row>
    <row r="1092" spans="1:25" ht="25.5">
      <c r="A1092" s="5" t="s">
        <v>5154</v>
      </c>
      <c r="B1092" s="5" t="s">
        <v>858</v>
      </c>
      <c r="C1092" s="5" t="s">
        <v>859</v>
      </c>
      <c r="D1092" s="5" t="s">
        <v>118</v>
      </c>
      <c r="E1092" s="5" t="s">
        <v>2795</v>
      </c>
      <c r="F1092" s="5" t="s">
        <v>2764</v>
      </c>
      <c r="G1092" s="5">
        <v>1</v>
      </c>
      <c r="H1092" s="5" t="s">
        <v>2864</v>
      </c>
      <c r="I1092" s="5" t="str">
        <f>IF(INDEX(Manual_Review!$Y$6:$Y$238,U1092)="","",INDEX(Manual_Review!$Y$6:$Y$238,U1092))</f>
        <v/>
      </c>
      <c r="J1092" s="5" t="str">
        <f t="shared" si="32"/>
        <v>AI provisional</v>
      </c>
      <c r="K1092" s="5" t="str">
        <f t="shared" si="33"/>
        <v>U</v>
      </c>
      <c r="L1092" s="5" t="s">
        <v>863</v>
      </c>
      <c r="M1092" s="5" t="s">
        <v>5139</v>
      </c>
      <c r="N1092" s="5" t="s">
        <v>5129</v>
      </c>
      <c r="O1092" s="5" t="s">
        <v>2897</v>
      </c>
      <c r="P1092" s="5" t="s">
        <v>2858</v>
      </c>
      <c r="Q1092" s="11">
        <v>46306.5</v>
      </c>
      <c r="R1092" s="6"/>
      <c r="S1092" s="6"/>
      <c r="T1092" s="6"/>
      <c r="U1092" s="5">
        <f>MATCH(B1092,Manual_Review!$A$6:$A$238,0)</f>
        <v>68</v>
      </c>
      <c r="V1092" s="5" t="str">
        <f>IF(INDEX(Manual_Review!$G$6:$G$238,U1092)="","",INDEX(Manual_Review!$G$6:$G$238,U1092))</f>
        <v/>
      </c>
      <c r="W1092" s="11" t="str">
        <f>IF(INDEX(Manual_Review!$H$6:$H$238,U1092)="","",INDEX(Manual_Review!$H$6:$H$238,U1092))</f>
        <v/>
      </c>
      <c r="X1092" s="5" t="str">
        <f>IF(INDEX(Manual_Review!$I$6:$I$238,U1092)="","",INDEX(Manual_Review!$I$6:$I$238,U1092))</f>
        <v/>
      </c>
      <c r="Y1092" s="5" t="s">
        <v>2859</v>
      </c>
    </row>
    <row r="1093" spans="1:25" ht="25.5">
      <c r="A1093" s="5" t="s">
        <v>5155</v>
      </c>
      <c r="B1093" s="5" t="s">
        <v>858</v>
      </c>
      <c r="C1093" s="5" t="s">
        <v>859</v>
      </c>
      <c r="D1093" s="5" t="s">
        <v>118</v>
      </c>
      <c r="E1093" s="5" t="s">
        <v>2796</v>
      </c>
      <c r="F1093" s="5" t="s">
        <v>2764</v>
      </c>
      <c r="G1093" s="5">
        <v>1</v>
      </c>
      <c r="H1093" s="5" t="s">
        <v>2864</v>
      </c>
      <c r="I1093" s="5" t="str">
        <f>IF(INDEX(Manual_Review!$Z$6:$Z$238,U1093)="","",INDEX(Manual_Review!$Z$6:$Z$238,U1093))</f>
        <v/>
      </c>
      <c r="J1093" s="5" t="str">
        <f t="shared" si="32"/>
        <v>AI provisional</v>
      </c>
      <c r="K1093" s="5" t="str">
        <f t="shared" si="33"/>
        <v>U</v>
      </c>
      <c r="L1093" s="5" t="s">
        <v>863</v>
      </c>
      <c r="M1093" s="5" t="s">
        <v>5145</v>
      </c>
      <c r="N1093" s="5" t="s">
        <v>5129</v>
      </c>
      <c r="O1093" s="5" t="s">
        <v>2899</v>
      </c>
      <c r="P1093" s="5" t="s">
        <v>2858</v>
      </c>
      <c r="Q1093" s="11">
        <v>46306.5</v>
      </c>
      <c r="R1093" s="6"/>
      <c r="S1093" s="6"/>
      <c r="T1093" s="6"/>
      <c r="U1093" s="5">
        <f>MATCH(B1093,Manual_Review!$A$6:$A$238,0)</f>
        <v>68</v>
      </c>
      <c r="V1093" s="5" t="str">
        <f>IF(INDEX(Manual_Review!$G$6:$G$238,U1093)="","",INDEX(Manual_Review!$G$6:$G$238,U1093))</f>
        <v/>
      </c>
      <c r="W1093" s="11" t="str">
        <f>IF(INDEX(Manual_Review!$H$6:$H$238,U1093)="","",INDEX(Manual_Review!$H$6:$H$238,U1093))</f>
        <v/>
      </c>
      <c r="X1093" s="5" t="str">
        <f>IF(INDEX(Manual_Review!$I$6:$I$238,U1093)="","",INDEX(Manual_Review!$I$6:$I$238,U1093))</f>
        <v/>
      </c>
      <c r="Y1093" s="5" t="s">
        <v>2859</v>
      </c>
    </row>
    <row r="1094" spans="1:25" ht="25.5">
      <c r="A1094" s="5" t="s">
        <v>5156</v>
      </c>
      <c r="B1094" s="5" t="s">
        <v>865</v>
      </c>
      <c r="C1094" s="5" t="s">
        <v>866</v>
      </c>
      <c r="D1094" s="5" t="s">
        <v>118</v>
      </c>
      <c r="E1094" s="5" t="s">
        <v>2781</v>
      </c>
      <c r="F1094" s="5" t="s">
        <v>2754</v>
      </c>
      <c r="G1094" s="5">
        <v>1</v>
      </c>
      <c r="H1094" s="5" t="s">
        <v>2854</v>
      </c>
      <c r="I1094" s="5" t="str">
        <f>IF(INDEX(Manual_Review!$K$6:$K$238,U1094)="","",INDEX(Manual_Review!$K$6:$K$238,U1094))</f>
        <v/>
      </c>
      <c r="J1094" s="5" t="str">
        <f t="shared" ref="J1094:J1157" si="34">IF(G1094=0,"Not applicable",IF(I1094="","AI provisional",IF(AND(OR(I1094="Y",I1094="N",I1094="U",I1094="X"),V1094&lt;&gt;"",ISNUMBER(W1094),W1094&gt;0,X1094="Confirmed",R1094&lt;&gt;"",S1094&lt;&gt;"",T1094&lt;&gt;""),"Human valid","Evidence needed")))</f>
        <v>AI provisional</v>
      </c>
      <c r="K1094" s="5" t="str">
        <f t="shared" ref="K1094:K1157" si="35">IF(G1094=0,"N/A",IF(I1094="",H1094,IF(J1094="Human valid",I1094,"U")))</f>
        <v>Y</v>
      </c>
      <c r="L1094" s="5" t="s">
        <v>874</v>
      </c>
      <c r="M1094" s="5" t="s">
        <v>5157</v>
      </c>
      <c r="N1094" s="5" t="s">
        <v>5158</v>
      </c>
      <c r="O1094" s="5" t="s">
        <v>2857</v>
      </c>
      <c r="P1094" s="5" t="s">
        <v>2858</v>
      </c>
      <c r="Q1094" s="11">
        <v>46306.5</v>
      </c>
      <c r="R1094" s="6"/>
      <c r="S1094" s="6"/>
      <c r="T1094" s="6"/>
      <c r="U1094" s="5">
        <f>MATCH(B1094,Manual_Review!$A$6:$A$238,0)</f>
        <v>69</v>
      </c>
      <c r="V1094" s="5" t="str">
        <f>IF(INDEX(Manual_Review!$G$6:$G$238,U1094)="","",INDEX(Manual_Review!$G$6:$G$238,U1094))</f>
        <v/>
      </c>
      <c r="W1094" s="11" t="str">
        <f>IF(INDEX(Manual_Review!$H$6:$H$238,U1094)="","",INDEX(Manual_Review!$H$6:$H$238,U1094))</f>
        <v/>
      </c>
      <c r="X1094" s="5" t="str">
        <f>IF(INDEX(Manual_Review!$I$6:$I$238,U1094)="","",INDEX(Manual_Review!$I$6:$I$238,U1094))</f>
        <v/>
      </c>
      <c r="Y1094" s="5" t="s">
        <v>2859</v>
      </c>
    </row>
    <row r="1095" spans="1:25" ht="25.5">
      <c r="A1095" s="5" t="s">
        <v>5159</v>
      </c>
      <c r="B1095" s="5" t="s">
        <v>865</v>
      </c>
      <c r="C1095" s="5" t="s">
        <v>866</v>
      </c>
      <c r="D1095" s="5" t="s">
        <v>118</v>
      </c>
      <c r="E1095" s="5" t="s">
        <v>2782</v>
      </c>
      <c r="F1095" s="5" t="s">
        <v>2754</v>
      </c>
      <c r="G1095" s="5">
        <v>1</v>
      </c>
      <c r="H1095" s="5" t="s">
        <v>2854</v>
      </c>
      <c r="I1095" s="5" t="str">
        <f>IF(INDEX(Manual_Review!$L$6:$L$238,U1095)="","",INDEX(Manual_Review!$L$6:$L$238,U1095))</f>
        <v/>
      </c>
      <c r="J1095" s="5" t="str">
        <f t="shared" si="34"/>
        <v>AI provisional</v>
      </c>
      <c r="K1095" s="5" t="str">
        <f t="shared" si="35"/>
        <v>Y</v>
      </c>
      <c r="L1095" s="5" t="s">
        <v>874</v>
      </c>
      <c r="M1095" s="5" t="s">
        <v>5160</v>
      </c>
      <c r="N1095" s="5" t="s">
        <v>5158</v>
      </c>
      <c r="O1095" s="5" t="s">
        <v>2862</v>
      </c>
      <c r="P1095" s="5" t="s">
        <v>2858</v>
      </c>
      <c r="Q1095" s="11">
        <v>46306.5</v>
      </c>
      <c r="R1095" s="6"/>
      <c r="S1095" s="6"/>
      <c r="T1095" s="6"/>
      <c r="U1095" s="5">
        <f>MATCH(B1095,Manual_Review!$A$6:$A$238,0)</f>
        <v>69</v>
      </c>
      <c r="V1095" s="5" t="str">
        <f>IF(INDEX(Manual_Review!$G$6:$G$238,U1095)="","",INDEX(Manual_Review!$G$6:$G$238,U1095))</f>
        <v/>
      </c>
      <c r="W1095" s="11" t="str">
        <f>IF(INDEX(Manual_Review!$H$6:$H$238,U1095)="","",INDEX(Manual_Review!$H$6:$H$238,U1095))</f>
        <v/>
      </c>
      <c r="X1095" s="5" t="str">
        <f>IF(INDEX(Manual_Review!$I$6:$I$238,U1095)="","",INDEX(Manual_Review!$I$6:$I$238,U1095))</f>
        <v/>
      </c>
      <c r="Y1095" s="5" t="s">
        <v>2859</v>
      </c>
    </row>
    <row r="1096" spans="1:25" ht="25.5">
      <c r="A1096" s="5" t="s">
        <v>5161</v>
      </c>
      <c r="B1096" s="5" t="s">
        <v>865</v>
      </c>
      <c r="C1096" s="5" t="s">
        <v>866</v>
      </c>
      <c r="D1096" s="5" t="s">
        <v>118</v>
      </c>
      <c r="E1096" s="5" t="s">
        <v>2783</v>
      </c>
      <c r="F1096" s="5" t="s">
        <v>2754</v>
      </c>
      <c r="G1096" s="5">
        <v>1</v>
      </c>
      <c r="H1096" s="5" t="s">
        <v>2908</v>
      </c>
      <c r="I1096" s="5" t="str">
        <f>IF(INDEX(Manual_Review!$M$6:$M$238,U1096)="","",INDEX(Manual_Review!$M$6:$M$238,U1096))</f>
        <v/>
      </c>
      <c r="J1096" s="5" t="str">
        <f t="shared" si="34"/>
        <v>AI provisional</v>
      </c>
      <c r="K1096" s="5" t="str">
        <f t="shared" si="35"/>
        <v>X</v>
      </c>
      <c r="L1096" s="5" t="s">
        <v>874</v>
      </c>
      <c r="M1096" s="5" t="s">
        <v>5162</v>
      </c>
      <c r="N1096" s="5" t="s">
        <v>5158</v>
      </c>
      <c r="O1096" s="5" t="s">
        <v>5163</v>
      </c>
      <c r="P1096" s="5" t="s">
        <v>2858</v>
      </c>
      <c r="Q1096" s="11">
        <v>46306.5</v>
      </c>
      <c r="R1096" s="6"/>
      <c r="S1096" s="6"/>
      <c r="T1096" s="6"/>
      <c r="U1096" s="5">
        <f>MATCH(B1096,Manual_Review!$A$6:$A$238,0)</f>
        <v>69</v>
      </c>
      <c r="V1096" s="5" t="str">
        <f>IF(INDEX(Manual_Review!$G$6:$G$238,U1096)="","",INDEX(Manual_Review!$G$6:$G$238,U1096))</f>
        <v/>
      </c>
      <c r="W1096" s="11" t="str">
        <f>IF(INDEX(Manual_Review!$H$6:$H$238,U1096)="","",INDEX(Manual_Review!$H$6:$H$238,U1096))</f>
        <v/>
      </c>
      <c r="X1096" s="5" t="str">
        <f>IF(INDEX(Manual_Review!$I$6:$I$238,U1096)="","",INDEX(Manual_Review!$I$6:$I$238,U1096))</f>
        <v/>
      </c>
      <c r="Y1096" s="5" t="s">
        <v>2859</v>
      </c>
    </row>
    <row r="1097" spans="1:25" ht="25.5">
      <c r="A1097" s="5" t="s">
        <v>5164</v>
      </c>
      <c r="B1097" s="5" t="s">
        <v>865</v>
      </c>
      <c r="C1097" s="5" t="s">
        <v>866</v>
      </c>
      <c r="D1097" s="5" t="s">
        <v>118</v>
      </c>
      <c r="E1097" s="5" t="s">
        <v>2784</v>
      </c>
      <c r="F1097" s="5" t="s">
        <v>2756</v>
      </c>
      <c r="G1097" s="5">
        <v>1</v>
      </c>
      <c r="H1097" s="5" t="s">
        <v>2854</v>
      </c>
      <c r="I1097" s="5" t="str">
        <f>IF(INDEX(Manual_Review!$N$6:$N$238,U1097)="","",INDEX(Manual_Review!$N$6:$N$238,U1097))</f>
        <v/>
      </c>
      <c r="J1097" s="5" t="str">
        <f t="shared" si="34"/>
        <v>AI provisional</v>
      </c>
      <c r="K1097" s="5" t="str">
        <f t="shared" si="35"/>
        <v>Y</v>
      </c>
      <c r="L1097" s="5" t="s">
        <v>874</v>
      </c>
      <c r="M1097" s="5" t="s">
        <v>5165</v>
      </c>
      <c r="N1097" s="5" t="s">
        <v>5158</v>
      </c>
      <c r="O1097" s="5" t="s">
        <v>2963</v>
      </c>
      <c r="P1097" s="5" t="s">
        <v>2858</v>
      </c>
      <c r="Q1097" s="11">
        <v>46306.5</v>
      </c>
      <c r="R1097" s="6"/>
      <c r="S1097" s="6"/>
      <c r="T1097" s="6"/>
      <c r="U1097" s="5">
        <f>MATCH(B1097,Manual_Review!$A$6:$A$238,0)</f>
        <v>69</v>
      </c>
      <c r="V1097" s="5" t="str">
        <f>IF(INDEX(Manual_Review!$G$6:$G$238,U1097)="","",INDEX(Manual_Review!$G$6:$G$238,U1097))</f>
        <v/>
      </c>
      <c r="W1097" s="11" t="str">
        <f>IF(INDEX(Manual_Review!$H$6:$H$238,U1097)="","",INDEX(Manual_Review!$H$6:$H$238,U1097))</f>
        <v/>
      </c>
      <c r="X1097" s="5" t="str">
        <f>IF(INDEX(Manual_Review!$I$6:$I$238,U1097)="","",INDEX(Manual_Review!$I$6:$I$238,U1097))</f>
        <v/>
      </c>
      <c r="Y1097" s="5" t="s">
        <v>2859</v>
      </c>
    </row>
    <row r="1098" spans="1:25" ht="25.5">
      <c r="A1098" s="5" t="s">
        <v>5166</v>
      </c>
      <c r="B1098" s="5" t="s">
        <v>865</v>
      </c>
      <c r="C1098" s="5" t="s">
        <v>866</v>
      </c>
      <c r="D1098" s="5" t="s">
        <v>118</v>
      </c>
      <c r="E1098" s="5" t="s">
        <v>2785</v>
      </c>
      <c r="F1098" s="5" t="s">
        <v>2756</v>
      </c>
      <c r="G1098" s="5">
        <v>1</v>
      </c>
      <c r="H1098" s="5" t="s">
        <v>2864</v>
      </c>
      <c r="I1098" s="5" t="str">
        <f>IF(INDEX(Manual_Review!$O$6:$O$238,U1098)="","",INDEX(Manual_Review!$O$6:$O$238,U1098))</f>
        <v/>
      </c>
      <c r="J1098" s="5" t="str">
        <f t="shared" si="34"/>
        <v>AI provisional</v>
      </c>
      <c r="K1098" s="5" t="str">
        <f t="shared" si="35"/>
        <v>U</v>
      </c>
      <c r="L1098" s="5" t="s">
        <v>874</v>
      </c>
      <c r="M1098" s="5" t="s">
        <v>5167</v>
      </c>
      <c r="N1098" s="5" t="s">
        <v>5158</v>
      </c>
      <c r="O1098" s="5" t="s">
        <v>2872</v>
      </c>
      <c r="P1098" s="5" t="s">
        <v>2858</v>
      </c>
      <c r="Q1098" s="11">
        <v>46306.5</v>
      </c>
      <c r="R1098" s="6"/>
      <c r="S1098" s="6"/>
      <c r="T1098" s="6"/>
      <c r="U1098" s="5">
        <f>MATCH(B1098,Manual_Review!$A$6:$A$238,0)</f>
        <v>69</v>
      </c>
      <c r="V1098" s="5" t="str">
        <f>IF(INDEX(Manual_Review!$G$6:$G$238,U1098)="","",INDEX(Manual_Review!$G$6:$G$238,U1098))</f>
        <v/>
      </c>
      <c r="W1098" s="11" t="str">
        <f>IF(INDEX(Manual_Review!$H$6:$H$238,U1098)="","",INDEX(Manual_Review!$H$6:$H$238,U1098))</f>
        <v/>
      </c>
      <c r="X1098" s="5" t="str">
        <f>IF(INDEX(Manual_Review!$I$6:$I$238,U1098)="","",INDEX(Manual_Review!$I$6:$I$238,U1098))</f>
        <v/>
      </c>
      <c r="Y1098" s="5" t="s">
        <v>2859</v>
      </c>
    </row>
    <row r="1099" spans="1:25" ht="25.5">
      <c r="A1099" s="5" t="s">
        <v>5168</v>
      </c>
      <c r="B1099" s="5" t="s">
        <v>865</v>
      </c>
      <c r="C1099" s="5" t="s">
        <v>866</v>
      </c>
      <c r="D1099" s="5" t="s">
        <v>118</v>
      </c>
      <c r="E1099" s="5" t="s">
        <v>2786</v>
      </c>
      <c r="F1099" s="5" t="s">
        <v>2756</v>
      </c>
      <c r="G1099" s="5">
        <v>1</v>
      </c>
      <c r="H1099" s="5" t="s">
        <v>2864</v>
      </c>
      <c r="I1099" s="5" t="str">
        <f>IF(INDEX(Manual_Review!$P$6:$P$238,U1099)="","",INDEX(Manual_Review!$P$6:$P$238,U1099))</f>
        <v/>
      </c>
      <c r="J1099" s="5" t="str">
        <f t="shared" si="34"/>
        <v>AI provisional</v>
      </c>
      <c r="K1099" s="5" t="str">
        <f t="shared" si="35"/>
        <v>U</v>
      </c>
      <c r="L1099" s="5" t="s">
        <v>874</v>
      </c>
      <c r="M1099" s="5" t="s">
        <v>5169</v>
      </c>
      <c r="N1099" s="5" t="s">
        <v>5158</v>
      </c>
      <c r="O1099" s="5" t="s">
        <v>2874</v>
      </c>
      <c r="P1099" s="5" t="s">
        <v>2858</v>
      </c>
      <c r="Q1099" s="11">
        <v>46306.5</v>
      </c>
      <c r="R1099" s="6"/>
      <c r="S1099" s="6"/>
      <c r="T1099" s="6"/>
      <c r="U1099" s="5">
        <f>MATCH(B1099,Manual_Review!$A$6:$A$238,0)</f>
        <v>69</v>
      </c>
      <c r="V1099" s="5" t="str">
        <f>IF(INDEX(Manual_Review!$G$6:$G$238,U1099)="","",INDEX(Manual_Review!$G$6:$G$238,U1099))</f>
        <v/>
      </c>
      <c r="W1099" s="11" t="str">
        <f>IF(INDEX(Manual_Review!$H$6:$H$238,U1099)="","",INDEX(Manual_Review!$H$6:$H$238,U1099))</f>
        <v/>
      </c>
      <c r="X1099" s="5" t="str">
        <f>IF(INDEX(Manual_Review!$I$6:$I$238,U1099)="","",INDEX(Manual_Review!$I$6:$I$238,U1099))</f>
        <v/>
      </c>
      <c r="Y1099" s="5" t="s">
        <v>2859</v>
      </c>
    </row>
    <row r="1100" spans="1:25" ht="25.5">
      <c r="A1100" s="5" t="s">
        <v>5170</v>
      </c>
      <c r="B1100" s="5" t="s">
        <v>865</v>
      </c>
      <c r="C1100" s="5" t="s">
        <v>866</v>
      </c>
      <c r="D1100" s="5" t="s">
        <v>118</v>
      </c>
      <c r="E1100" s="5" t="s">
        <v>2787</v>
      </c>
      <c r="F1100" s="5" t="s">
        <v>2758</v>
      </c>
      <c r="G1100" s="5">
        <v>1</v>
      </c>
      <c r="H1100" s="5" t="s">
        <v>2864</v>
      </c>
      <c r="I1100" s="5" t="str">
        <f>IF(INDEX(Manual_Review!$Q$6:$Q$238,U1100)="","",INDEX(Manual_Review!$Q$6:$Q$238,U1100))</f>
        <v/>
      </c>
      <c r="J1100" s="5" t="str">
        <f t="shared" si="34"/>
        <v>AI provisional</v>
      </c>
      <c r="K1100" s="5" t="str">
        <f t="shared" si="35"/>
        <v>U</v>
      </c>
      <c r="L1100" s="5" t="s">
        <v>874</v>
      </c>
      <c r="M1100" s="5" t="s">
        <v>5171</v>
      </c>
      <c r="N1100" s="5" t="s">
        <v>5158</v>
      </c>
      <c r="O1100" s="5" t="s">
        <v>2877</v>
      </c>
      <c r="P1100" s="5" t="s">
        <v>2858</v>
      </c>
      <c r="Q1100" s="11">
        <v>46306.5</v>
      </c>
      <c r="R1100" s="6"/>
      <c r="S1100" s="6"/>
      <c r="T1100" s="6"/>
      <c r="U1100" s="5">
        <f>MATCH(B1100,Manual_Review!$A$6:$A$238,0)</f>
        <v>69</v>
      </c>
      <c r="V1100" s="5" t="str">
        <f>IF(INDEX(Manual_Review!$G$6:$G$238,U1100)="","",INDEX(Manual_Review!$G$6:$G$238,U1100))</f>
        <v/>
      </c>
      <c r="W1100" s="11" t="str">
        <f>IF(INDEX(Manual_Review!$H$6:$H$238,U1100)="","",INDEX(Manual_Review!$H$6:$H$238,U1100))</f>
        <v/>
      </c>
      <c r="X1100" s="5" t="str">
        <f>IF(INDEX(Manual_Review!$I$6:$I$238,U1100)="","",INDEX(Manual_Review!$I$6:$I$238,U1100))</f>
        <v/>
      </c>
      <c r="Y1100" s="5" t="s">
        <v>2859</v>
      </c>
    </row>
    <row r="1101" spans="1:25" ht="25.5">
      <c r="A1101" s="5" t="s">
        <v>5172</v>
      </c>
      <c r="B1101" s="5" t="s">
        <v>865</v>
      </c>
      <c r="C1101" s="5" t="s">
        <v>866</v>
      </c>
      <c r="D1101" s="5" t="s">
        <v>118</v>
      </c>
      <c r="E1101" s="5" t="s">
        <v>2788</v>
      </c>
      <c r="F1101" s="5" t="s">
        <v>2758</v>
      </c>
      <c r="G1101" s="5">
        <v>1</v>
      </c>
      <c r="H1101" s="5" t="s">
        <v>2864</v>
      </c>
      <c r="I1101" s="5" t="str">
        <f>IF(INDEX(Manual_Review!$R$6:$R$238,U1101)="","",INDEX(Manual_Review!$R$6:$R$238,U1101))</f>
        <v/>
      </c>
      <c r="J1101" s="5" t="str">
        <f t="shared" si="34"/>
        <v>AI provisional</v>
      </c>
      <c r="K1101" s="5" t="str">
        <f t="shared" si="35"/>
        <v>U</v>
      </c>
      <c r="L1101" s="5" t="s">
        <v>874</v>
      </c>
      <c r="M1101" s="5" t="s">
        <v>5173</v>
      </c>
      <c r="N1101" s="5" t="s">
        <v>5158</v>
      </c>
      <c r="O1101" s="5" t="s">
        <v>2880</v>
      </c>
      <c r="P1101" s="5" t="s">
        <v>2858</v>
      </c>
      <c r="Q1101" s="11">
        <v>46306.5</v>
      </c>
      <c r="R1101" s="6"/>
      <c r="S1101" s="6"/>
      <c r="T1101" s="6"/>
      <c r="U1101" s="5">
        <f>MATCH(B1101,Manual_Review!$A$6:$A$238,0)</f>
        <v>69</v>
      </c>
      <c r="V1101" s="5" t="str">
        <f>IF(INDEX(Manual_Review!$G$6:$G$238,U1101)="","",INDEX(Manual_Review!$G$6:$G$238,U1101))</f>
        <v/>
      </c>
      <c r="W1101" s="11" t="str">
        <f>IF(INDEX(Manual_Review!$H$6:$H$238,U1101)="","",INDEX(Manual_Review!$H$6:$H$238,U1101))</f>
        <v/>
      </c>
      <c r="X1101" s="5" t="str">
        <f>IF(INDEX(Manual_Review!$I$6:$I$238,U1101)="","",INDEX(Manual_Review!$I$6:$I$238,U1101))</f>
        <v/>
      </c>
      <c r="Y1101" s="5" t="s">
        <v>2859</v>
      </c>
    </row>
    <row r="1102" spans="1:25" ht="25.5">
      <c r="A1102" s="5" t="s">
        <v>5174</v>
      </c>
      <c r="B1102" s="5" t="s">
        <v>865</v>
      </c>
      <c r="C1102" s="5" t="s">
        <v>866</v>
      </c>
      <c r="D1102" s="5" t="s">
        <v>118</v>
      </c>
      <c r="E1102" s="5" t="s">
        <v>2789</v>
      </c>
      <c r="F1102" s="5" t="s">
        <v>2758</v>
      </c>
      <c r="G1102" s="5">
        <v>1</v>
      </c>
      <c r="H1102" s="5" t="s">
        <v>2864</v>
      </c>
      <c r="I1102" s="5" t="str">
        <f>IF(INDEX(Manual_Review!$S$6:$S$238,U1102)="","",INDEX(Manual_Review!$S$6:$S$238,U1102))</f>
        <v/>
      </c>
      <c r="J1102" s="5" t="str">
        <f t="shared" si="34"/>
        <v>AI provisional</v>
      </c>
      <c r="K1102" s="5" t="str">
        <f t="shared" si="35"/>
        <v>U</v>
      </c>
      <c r="L1102" s="5" t="s">
        <v>874</v>
      </c>
      <c r="M1102" s="5" t="s">
        <v>5175</v>
      </c>
      <c r="N1102" s="5" t="s">
        <v>5158</v>
      </c>
      <c r="O1102" s="5" t="s">
        <v>2883</v>
      </c>
      <c r="P1102" s="5" t="s">
        <v>2858</v>
      </c>
      <c r="Q1102" s="11">
        <v>46306.5</v>
      </c>
      <c r="R1102" s="6"/>
      <c r="S1102" s="6"/>
      <c r="T1102" s="6"/>
      <c r="U1102" s="5">
        <f>MATCH(B1102,Manual_Review!$A$6:$A$238,0)</f>
        <v>69</v>
      </c>
      <c r="V1102" s="5" t="str">
        <f>IF(INDEX(Manual_Review!$G$6:$G$238,U1102)="","",INDEX(Manual_Review!$G$6:$G$238,U1102))</f>
        <v/>
      </c>
      <c r="W1102" s="11" t="str">
        <f>IF(INDEX(Manual_Review!$H$6:$H$238,U1102)="","",INDEX(Manual_Review!$H$6:$H$238,U1102))</f>
        <v/>
      </c>
      <c r="X1102" s="5" t="str">
        <f>IF(INDEX(Manual_Review!$I$6:$I$238,U1102)="","",INDEX(Manual_Review!$I$6:$I$238,U1102))</f>
        <v/>
      </c>
      <c r="Y1102" s="5" t="s">
        <v>2859</v>
      </c>
    </row>
    <row r="1103" spans="1:25" ht="25.5">
      <c r="A1103" s="5" t="s">
        <v>5176</v>
      </c>
      <c r="B1103" s="5" t="s">
        <v>865</v>
      </c>
      <c r="C1103" s="5" t="s">
        <v>866</v>
      </c>
      <c r="D1103" s="5" t="s">
        <v>118</v>
      </c>
      <c r="E1103" s="5" t="s">
        <v>2790</v>
      </c>
      <c r="F1103" s="5" t="s">
        <v>2760</v>
      </c>
      <c r="G1103" s="5">
        <v>1</v>
      </c>
      <c r="H1103" s="5" t="s">
        <v>2864</v>
      </c>
      <c r="I1103" s="5" t="str">
        <f>IF(INDEX(Manual_Review!$T$6:$T$238,U1103)="","",INDEX(Manual_Review!$T$6:$T$238,U1103))</f>
        <v/>
      </c>
      <c r="J1103" s="5" t="str">
        <f t="shared" si="34"/>
        <v>AI provisional</v>
      </c>
      <c r="K1103" s="5" t="str">
        <f t="shared" si="35"/>
        <v>U</v>
      </c>
      <c r="L1103" s="5" t="s">
        <v>874</v>
      </c>
      <c r="M1103" s="5" t="s">
        <v>5169</v>
      </c>
      <c r="N1103" s="5" t="s">
        <v>5158</v>
      </c>
      <c r="O1103" s="5" t="s">
        <v>2885</v>
      </c>
      <c r="P1103" s="5" t="s">
        <v>2858</v>
      </c>
      <c r="Q1103" s="11">
        <v>46306.5</v>
      </c>
      <c r="R1103" s="6"/>
      <c r="S1103" s="6"/>
      <c r="T1103" s="6"/>
      <c r="U1103" s="5">
        <f>MATCH(B1103,Manual_Review!$A$6:$A$238,0)</f>
        <v>69</v>
      </c>
      <c r="V1103" s="5" t="str">
        <f>IF(INDEX(Manual_Review!$G$6:$G$238,U1103)="","",INDEX(Manual_Review!$G$6:$G$238,U1103))</f>
        <v/>
      </c>
      <c r="W1103" s="11" t="str">
        <f>IF(INDEX(Manual_Review!$H$6:$H$238,U1103)="","",INDEX(Manual_Review!$H$6:$H$238,U1103))</f>
        <v/>
      </c>
      <c r="X1103" s="5" t="str">
        <f>IF(INDEX(Manual_Review!$I$6:$I$238,U1103)="","",INDEX(Manual_Review!$I$6:$I$238,U1103))</f>
        <v/>
      </c>
      <c r="Y1103" s="5" t="s">
        <v>2859</v>
      </c>
    </row>
    <row r="1104" spans="1:25" ht="25.5">
      <c r="A1104" s="5" t="s">
        <v>5177</v>
      </c>
      <c r="B1104" s="5" t="s">
        <v>865</v>
      </c>
      <c r="C1104" s="5" t="s">
        <v>866</v>
      </c>
      <c r="D1104" s="5" t="s">
        <v>118</v>
      </c>
      <c r="E1104" s="5" t="s">
        <v>2791</v>
      </c>
      <c r="F1104" s="5" t="s">
        <v>2760</v>
      </c>
      <c r="G1104" s="5">
        <v>1</v>
      </c>
      <c r="H1104" s="5" t="s">
        <v>2864</v>
      </c>
      <c r="I1104" s="5" t="str">
        <f>IF(INDEX(Manual_Review!$U$6:$U$238,U1104)="","",INDEX(Manual_Review!$U$6:$U$238,U1104))</f>
        <v/>
      </c>
      <c r="J1104" s="5" t="str">
        <f t="shared" si="34"/>
        <v>AI provisional</v>
      </c>
      <c r="K1104" s="5" t="str">
        <f t="shared" si="35"/>
        <v>U</v>
      </c>
      <c r="L1104" s="5" t="s">
        <v>874</v>
      </c>
      <c r="M1104" s="5" t="s">
        <v>5171</v>
      </c>
      <c r="N1104" s="5" t="s">
        <v>5158</v>
      </c>
      <c r="O1104" s="5" t="s">
        <v>2888</v>
      </c>
      <c r="P1104" s="5" t="s">
        <v>2858</v>
      </c>
      <c r="Q1104" s="11">
        <v>46306.5</v>
      </c>
      <c r="R1104" s="6"/>
      <c r="S1104" s="6"/>
      <c r="T1104" s="6"/>
      <c r="U1104" s="5">
        <f>MATCH(B1104,Manual_Review!$A$6:$A$238,0)</f>
        <v>69</v>
      </c>
      <c r="V1104" s="5" t="str">
        <f>IF(INDEX(Manual_Review!$G$6:$G$238,U1104)="","",INDEX(Manual_Review!$G$6:$G$238,U1104))</f>
        <v/>
      </c>
      <c r="W1104" s="11" t="str">
        <f>IF(INDEX(Manual_Review!$H$6:$H$238,U1104)="","",INDEX(Manual_Review!$H$6:$H$238,U1104))</f>
        <v/>
      </c>
      <c r="X1104" s="5" t="str">
        <f>IF(INDEX(Manual_Review!$I$6:$I$238,U1104)="","",INDEX(Manual_Review!$I$6:$I$238,U1104))</f>
        <v/>
      </c>
      <c r="Y1104" s="5" t="s">
        <v>2859</v>
      </c>
    </row>
    <row r="1105" spans="1:25" ht="25.5">
      <c r="A1105" s="5" t="s">
        <v>5178</v>
      </c>
      <c r="B1105" s="5" t="s">
        <v>865</v>
      </c>
      <c r="C1105" s="5" t="s">
        <v>866</v>
      </c>
      <c r="D1105" s="5" t="s">
        <v>118</v>
      </c>
      <c r="E1105" s="5" t="s">
        <v>2792</v>
      </c>
      <c r="F1105" s="5" t="s">
        <v>2762</v>
      </c>
      <c r="G1105" s="5">
        <v>1</v>
      </c>
      <c r="H1105" s="5" t="s">
        <v>2864</v>
      </c>
      <c r="I1105" s="5" t="str">
        <f>IF(INDEX(Manual_Review!$V$6:$V$238,U1105)="","",INDEX(Manual_Review!$V$6:$V$238,U1105))</f>
        <v/>
      </c>
      <c r="J1105" s="5" t="str">
        <f t="shared" si="34"/>
        <v>AI provisional</v>
      </c>
      <c r="K1105" s="5" t="str">
        <f t="shared" si="35"/>
        <v>U</v>
      </c>
      <c r="L1105" s="5" t="s">
        <v>874</v>
      </c>
      <c r="M1105" s="5" t="s">
        <v>5169</v>
      </c>
      <c r="N1105" s="5" t="s">
        <v>5158</v>
      </c>
      <c r="O1105" s="5" t="s">
        <v>2891</v>
      </c>
      <c r="P1105" s="5" t="s">
        <v>2858</v>
      </c>
      <c r="Q1105" s="11">
        <v>46306.5</v>
      </c>
      <c r="R1105" s="6"/>
      <c r="S1105" s="6"/>
      <c r="T1105" s="6"/>
      <c r="U1105" s="5">
        <f>MATCH(B1105,Manual_Review!$A$6:$A$238,0)</f>
        <v>69</v>
      </c>
      <c r="V1105" s="5" t="str">
        <f>IF(INDEX(Manual_Review!$G$6:$G$238,U1105)="","",INDEX(Manual_Review!$G$6:$G$238,U1105))</f>
        <v/>
      </c>
      <c r="W1105" s="11" t="str">
        <f>IF(INDEX(Manual_Review!$H$6:$H$238,U1105)="","",INDEX(Manual_Review!$H$6:$H$238,U1105))</f>
        <v/>
      </c>
      <c r="X1105" s="5" t="str">
        <f>IF(INDEX(Manual_Review!$I$6:$I$238,U1105)="","",INDEX(Manual_Review!$I$6:$I$238,U1105))</f>
        <v/>
      </c>
      <c r="Y1105" s="5" t="s">
        <v>2859</v>
      </c>
    </row>
    <row r="1106" spans="1:25" ht="25.5">
      <c r="A1106" s="5" t="s">
        <v>5179</v>
      </c>
      <c r="B1106" s="5" t="s">
        <v>865</v>
      </c>
      <c r="C1106" s="5" t="s">
        <v>866</v>
      </c>
      <c r="D1106" s="5" t="s">
        <v>118</v>
      </c>
      <c r="E1106" s="5" t="s">
        <v>2793</v>
      </c>
      <c r="F1106" s="5" t="s">
        <v>2762</v>
      </c>
      <c r="G1106" s="5">
        <v>1</v>
      </c>
      <c r="H1106" s="5" t="s">
        <v>2854</v>
      </c>
      <c r="I1106" s="5" t="str">
        <f>IF(INDEX(Manual_Review!$W$6:$W$238,U1106)="","",INDEX(Manual_Review!$W$6:$W$238,U1106))</f>
        <v/>
      </c>
      <c r="J1106" s="5" t="str">
        <f t="shared" si="34"/>
        <v>AI provisional</v>
      </c>
      <c r="K1106" s="5" t="str">
        <f t="shared" si="35"/>
        <v>Y</v>
      </c>
      <c r="L1106" s="5" t="s">
        <v>874</v>
      </c>
      <c r="M1106" s="5" t="s">
        <v>5180</v>
      </c>
      <c r="N1106" s="5" t="s">
        <v>5158</v>
      </c>
      <c r="O1106" s="5" t="s">
        <v>3077</v>
      </c>
      <c r="P1106" s="5" t="s">
        <v>2858</v>
      </c>
      <c r="Q1106" s="11">
        <v>46306.5</v>
      </c>
      <c r="R1106" s="6"/>
      <c r="S1106" s="6"/>
      <c r="T1106" s="6"/>
      <c r="U1106" s="5">
        <f>MATCH(B1106,Manual_Review!$A$6:$A$238,0)</f>
        <v>69</v>
      </c>
      <c r="V1106" s="5" t="str">
        <f>IF(INDEX(Manual_Review!$G$6:$G$238,U1106)="","",INDEX(Manual_Review!$G$6:$G$238,U1106))</f>
        <v/>
      </c>
      <c r="W1106" s="11" t="str">
        <f>IF(INDEX(Manual_Review!$H$6:$H$238,U1106)="","",INDEX(Manual_Review!$H$6:$H$238,U1106))</f>
        <v/>
      </c>
      <c r="X1106" s="5" t="str">
        <f>IF(INDEX(Manual_Review!$I$6:$I$238,U1106)="","",INDEX(Manual_Review!$I$6:$I$238,U1106))</f>
        <v/>
      </c>
      <c r="Y1106" s="5" t="s">
        <v>2859</v>
      </c>
    </row>
    <row r="1107" spans="1:25" ht="25.5">
      <c r="A1107" s="5" t="s">
        <v>5181</v>
      </c>
      <c r="B1107" s="5" t="s">
        <v>865</v>
      </c>
      <c r="C1107" s="5" t="s">
        <v>866</v>
      </c>
      <c r="D1107" s="5" t="s">
        <v>118</v>
      </c>
      <c r="E1107" s="5" t="s">
        <v>2794</v>
      </c>
      <c r="F1107" s="5" t="s">
        <v>2764</v>
      </c>
      <c r="G1107" s="5">
        <v>1</v>
      </c>
      <c r="H1107" s="5" t="s">
        <v>2864</v>
      </c>
      <c r="I1107" s="5" t="str">
        <f>IF(INDEX(Manual_Review!$X$6:$X$238,U1107)="","",INDEX(Manual_Review!$X$6:$X$238,U1107))</f>
        <v/>
      </c>
      <c r="J1107" s="5" t="str">
        <f t="shared" si="34"/>
        <v>AI provisional</v>
      </c>
      <c r="K1107" s="5" t="str">
        <f t="shared" si="35"/>
        <v>U</v>
      </c>
      <c r="L1107" s="5" t="s">
        <v>874</v>
      </c>
      <c r="M1107" s="5" t="s">
        <v>5169</v>
      </c>
      <c r="N1107" s="5" t="s">
        <v>5158</v>
      </c>
      <c r="O1107" s="5" t="s">
        <v>2895</v>
      </c>
      <c r="P1107" s="5" t="s">
        <v>2858</v>
      </c>
      <c r="Q1107" s="11">
        <v>46306.5</v>
      </c>
      <c r="R1107" s="6"/>
      <c r="S1107" s="6"/>
      <c r="T1107" s="6"/>
      <c r="U1107" s="5">
        <f>MATCH(B1107,Manual_Review!$A$6:$A$238,0)</f>
        <v>69</v>
      </c>
      <c r="V1107" s="5" t="str">
        <f>IF(INDEX(Manual_Review!$G$6:$G$238,U1107)="","",INDEX(Manual_Review!$G$6:$G$238,U1107))</f>
        <v/>
      </c>
      <c r="W1107" s="11" t="str">
        <f>IF(INDEX(Manual_Review!$H$6:$H$238,U1107)="","",INDEX(Manual_Review!$H$6:$H$238,U1107))</f>
        <v/>
      </c>
      <c r="X1107" s="5" t="str">
        <f>IF(INDEX(Manual_Review!$I$6:$I$238,U1107)="","",INDEX(Manual_Review!$I$6:$I$238,U1107))</f>
        <v/>
      </c>
      <c r="Y1107" s="5" t="s">
        <v>2859</v>
      </c>
    </row>
    <row r="1108" spans="1:25" ht="25.5">
      <c r="A1108" s="5" t="s">
        <v>5182</v>
      </c>
      <c r="B1108" s="5" t="s">
        <v>865</v>
      </c>
      <c r="C1108" s="5" t="s">
        <v>866</v>
      </c>
      <c r="D1108" s="5" t="s">
        <v>118</v>
      </c>
      <c r="E1108" s="5" t="s">
        <v>2795</v>
      </c>
      <c r="F1108" s="5" t="s">
        <v>2764</v>
      </c>
      <c r="G1108" s="5">
        <v>1</v>
      </c>
      <c r="H1108" s="5" t="s">
        <v>2864</v>
      </c>
      <c r="I1108" s="5" t="str">
        <f>IF(INDEX(Manual_Review!$Y$6:$Y$238,U1108)="","",INDEX(Manual_Review!$Y$6:$Y$238,U1108))</f>
        <v/>
      </c>
      <c r="J1108" s="5" t="str">
        <f t="shared" si="34"/>
        <v>AI provisional</v>
      </c>
      <c r="K1108" s="5" t="str">
        <f t="shared" si="35"/>
        <v>U</v>
      </c>
      <c r="L1108" s="5" t="s">
        <v>874</v>
      </c>
      <c r="M1108" s="5" t="s">
        <v>5169</v>
      </c>
      <c r="N1108" s="5" t="s">
        <v>5158</v>
      </c>
      <c r="O1108" s="5" t="s">
        <v>2897</v>
      </c>
      <c r="P1108" s="5" t="s">
        <v>2858</v>
      </c>
      <c r="Q1108" s="11">
        <v>46306.5</v>
      </c>
      <c r="R1108" s="6"/>
      <c r="S1108" s="6"/>
      <c r="T1108" s="6"/>
      <c r="U1108" s="5">
        <f>MATCH(B1108,Manual_Review!$A$6:$A$238,0)</f>
        <v>69</v>
      </c>
      <c r="V1108" s="5" t="str">
        <f>IF(INDEX(Manual_Review!$G$6:$G$238,U1108)="","",INDEX(Manual_Review!$G$6:$G$238,U1108))</f>
        <v/>
      </c>
      <c r="W1108" s="11" t="str">
        <f>IF(INDEX(Manual_Review!$H$6:$H$238,U1108)="","",INDEX(Manual_Review!$H$6:$H$238,U1108))</f>
        <v/>
      </c>
      <c r="X1108" s="5" t="str">
        <f>IF(INDEX(Manual_Review!$I$6:$I$238,U1108)="","",INDEX(Manual_Review!$I$6:$I$238,U1108))</f>
        <v/>
      </c>
      <c r="Y1108" s="5" t="s">
        <v>2859</v>
      </c>
    </row>
    <row r="1109" spans="1:25" ht="25.5">
      <c r="A1109" s="5" t="s">
        <v>5183</v>
      </c>
      <c r="B1109" s="5" t="s">
        <v>865</v>
      </c>
      <c r="C1109" s="5" t="s">
        <v>866</v>
      </c>
      <c r="D1109" s="5" t="s">
        <v>118</v>
      </c>
      <c r="E1109" s="5" t="s">
        <v>2796</v>
      </c>
      <c r="F1109" s="5" t="s">
        <v>2764</v>
      </c>
      <c r="G1109" s="5">
        <v>1</v>
      </c>
      <c r="H1109" s="5" t="s">
        <v>2854</v>
      </c>
      <c r="I1109" s="5" t="str">
        <f>IF(INDEX(Manual_Review!$Z$6:$Z$238,U1109)="","",INDEX(Manual_Review!$Z$6:$Z$238,U1109))</f>
        <v/>
      </c>
      <c r="J1109" s="5" t="str">
        <f t="shared" si="34"/>
        <v>AI provisional</v>
      </c>
      <c r="K1109" s="5" t="str">
        <f t="shared" si="35"/>
        <v>Y</v>
      </c>
      <c r="L1109" s="5" t="s">
        <v>874</v>
      </c>
      <c r="M1109" s="5" t="s">
        <v>5184</v>
      </c>
      <c r="N1109" s="5" t="s">
        <v>5158</v>
      </c>
      <c r="O1109" s="5" t="s">
        <v>3085</v>
      </c>
      <c r="P1109" s="5" t="s">
        <v>2858</v>
      </c>
      <c r="Q1109" s="11">
        <v>46306.5</v>
      </c>
      <c r="R1109" s="6"/>
      <c r="S1109" s="6"/>
      <c r="T1109" s="6"/>
      <c r="U1109" s="5">
        <f>MATCH(B1109,Manual_Review!$A$6:$A$238,0)</f>
        <v>69</v>
      </c>
      <c r="V1109" s="5" t="str">
        <f>IF(INDEX(Manual_Review!$G$6:$G$238,U1109)="","",INDEX(Manual_Review!$G$6:$G$238,U1109))</f>
        <v/>
      </c>
      <c r="W1109" s="11" t="str">
        <f>IF(INDEX(Manual_Review!$H$6:$H$238,U1109)="","",INDEX(Manual_Review!$H$6:$H$238,U1109))</f>
        <v/>
      </c>
      <c r="X1109" s="5" t="str">
        <f>IF(INDEX(Manual_Review!$I$6:$I$238,U1109)="","",INDEX(Manual_Review!$I$6:$I$238,U1109))</f>
        <v/>
      </c>
      <c r="Y1109" s="5" t="s">
        <v>2859</v>
      </c>
    </row>
    <row r="1110" spans="1:25" ht="25.5">
      <c r="A1110" s="5" t="s">
        <v>5185</v>
      </c>
      <c r="B1110" s="5" t="s">
        <v>876</v>
      </c>
      <c r="C1110" s="5" t="s">
        <v>877</v>
      </c>
      <c r="D1110" s="5" t="s">
        <v>118</v>
      </c>
      <c r="E1110" s="5" t="s">
        <v>2781</v>
      </c>
      <c r="F1110" s="5" t="s">
        <v>2754</v>
      </c>
      <c r="G1110" s="5">
        <v>1</v>
      </c>
      <c r="H1110" s="5" t="s">
        <v>2854</v>
      </c>
      <c r="I1110" s="5" t="str">
        <f>IF(INDEX(Manual_Review!$K$6:$K$238,U1110)="","",INDEX(Manual_Review!$K$6:$K$238,U1110))</f>
        <v/>
      </c>
      <c r="J1110" s="5" t="str">
        <f t="shared" si="34"/>
        <v>AI provisional</v>
      </c>
      <c r="K1110" s="5" t="str">
        <f t="shared" si="35"/>
        <v>Y</v>
      </c>
      <c r="L1110" s="5" t="s">
        <v>881</v>
      </c>
      <c r="M1110" s="5" t="s">
        <v>5186</v>
      </c>
      <c r="N1110" s="5" t="s">
        <v>5187</v>
      </c>
      <c r="O1110" s="5" t="s">
        <v>2857</v>
      </c>
      <c r="P1110" s="5" t="s">
        <v>2858</v>
      </c>
      <c r="Q1110" s="11">
        <v>46306.5</v>
      </c>
      <c r="R1110" s="6"/>
      <c r="S1110" s="6"/>
      <c r="T1110" s="6"/>
      <c r="U1110" s="5">
        <f>MATCH(B1110,Manual_Review!$A$6:$A$238,0)</f>
        <v>70</v>
      </c>
      <c r="V1110" s="5" t="str">
        <f>IF(INDEX(Manual_Review!$G$6:$G$238,U1110)="","",INDEX(Manual_Review!$G$6:$G$238,U1110))</f>
        <v/>
      </c>
      <c r="W1110" s="11" t="str">
        <f>IF(INDEX(Manual_Review!$H$6:$H$238,U1110)="","",INDEX(Manual_Review!$H$6:$H$238,U1110))</f>
        <v/>
      </c>
      <c r="X1110" s="5" t="str">
        <f>IF(INDEX(Manual_Review!$I$6:$I$238,U1110)="","",INDEX(Manual_Review!$I$6:$I$238,U1110))</f>
        <v/>
      </c>
      <c r="Y1110" s="5" t="s">
        <v>2859</v>
      </c>
    </row>
    <row r="1111" spans="1:25" ht="25.5">
      <c r="A1111" s="5" t="s">
        <v>5188</v>
      </c>
      <c r="B1111" s="5" t="s">
        <v>876</v>
      </c>
      <c r="C1111" s="5" t="s">
        <v>877</v>
      </c>
      <c r="D1111" s="5" t="s">
        <v>118</v>
      </c>
      <c r="E1111" s="5" t="s">
        <v>2782</v>
      </c>
      <c r="F1111" s="5" t="s">
        <v>2754</v>
      </c>
      <c r="G1111" s="5">
        <v>1</v>
      </c>
      <c r="H1111" s="5" t="s">
        <v>2854</v>
      </c>
      <c r="I1111" s="5" t="str">
        <f>IF(INDEX(Manual_Review!$L$6:$L$238,U1111)="","",INDEX(Manual_Review!$L$6:$L$238,U1111))</f>
        <v/>
      </c>
      <c r="J1111" s="5" t="str">
        <f t="shared" si="34"/>
        <v>AI provisional</v>
      </c>
      <c r="K1111" s="5" t="str">
        <f t="shared" si="35"/>
        <v>Y</v>
      </c>
      <c r="L1111" s="5" t="s">
        <v>881</v>
      </c>
      <c r="M1111" s="5" t="s">
        <v>5189</v>
      </c>
      <c r="N1111" s="5" t="s">
        <v>5187</v>
      </c>
      <c r="O1111" s="5" t="s">
        <v>2862</v>
      </c>
      <c r="P1111" s="5" t="s">
        <v>2858</v>
      </c>
      <c r="Q1111" s="11">
        <v>46306.5</v>
      </c>
      <c r="R1111" s="6"/>
      <c r="S1111" s="6"/>
      <c r="T1111" s="6"/>
      <c r="U1111" s="5">
        <f>MATCH(B1111,Manual_Review!$A$6:$A$238,0)</f>
        <v>70</v>
      </c>
      <c r="V1111" s="5" t="str">
        <f>IF(INDEX(Manual_Review!$G$6:$G$238,U1111)="","",INDEX(Manual_Review!$G$6:$G$238,U1111))</f>
        <v/>
      </c>
      <c r="W1111" s="11" t="str">
        <f>IF(INDEX(Manual_Review!$H$6:$H$238,U1111)="","",INDEX(Manual_Review!$H$6:$H$238,U1111))</f>
        <v/>
      </c>
      <c r="X1111" s="5" t="str">
        <f>IF(INDEX(Manual_Review!$I$6:$I$238,U1111)="","",INDEX(Manual_Review!$I$6:$I$238,U1111))</f>
        <v/>
      </c>
      <c r="Y1111" s="5" t="s">
        <v>2859</v>
      </c>
    </row>
    <row r="1112" spans="1:25" ht="25.5">
      <c r="A1112" s="5" t="s">
        <v>5190</v>
      </c>
      <c r="B1112" s="5" t="s">
        <v>876</v>
      </c>
      <c r="C1112" s="5" t="s">
        <v>877</v>
      </c>
      <c r="D1112" s="5" t="s">
        <v>118</v>
      </c>
      <c r="E1112" s="5" t="s">
        <v>2783</v>
      </c>
      <c r="F1112" s="5" t="s">
        <v>2754</v>
      </c>
      <c r="G1112" s="5">
        <v>1</v>
      </c>
      <c r="H1112" s="5" t="s">
        <v>2854</v>
      </c>
      <c r="I1112" s="5" t="str">
        <f>IF(INDEX(Manual_Review!$M$6:$M$238,U1112)="","",INDEX(Manual_Review!$M$6:$M$238,U1112))</f>
        <v/>
      </c>
      <c r="J1112" s="5" t="str">
        <f t="shared" si="34"/>
        <v>AI provisional</v>
      </c>
      <c r="K1112" s="5" t="str">
        <f t="shared" si="35"/>
        <v>Y</v>
      </c>
      <c r="L1112" s="5" t="s">
        <v>881</v>
      </c>
      <c r="M1112" s="5" t="s">
        <v>5191</v>
      </c>
      <c r="N1112" s="5" t="s">
        <v>5187</v>
      </c>
      <c r="O1112" s="5" t="s">
        <v>3133</v>
      </c>
      <c r="P1112" s="5" t="s">
        <v>2858</v>
      </c>
      <c r="Q1112" s="11">
        <v>46306.5</v>
      </c>
      <c r="R1112" s="6"/>
      <c r="S1112" s="6"/>
      <c r="T1112" s="6"/>
      <c r="U1112" s="5">
        <f>MATCH(B1112,Manual_Review!$A$6:$A$238,0)</f>
        <v>70</v>
      </c>
      <c r="V1112" s="5" t="str">
        <f>IF(INDEX(Manual_Review!$G$6:$G$238,U1112)="","",INDEX(Manual_Review!$G$6:$G$238,U1112))</f>
        <v/>
      </c>
      <c r="W1112" s="11" t="str">
        <f>IF(INDEX(Manual_Review!$H$6:$H$238,U1112)="","",INDEX(Manual_Review!$H$6:$H$238,U1112))</f>
        <v/>
      </c>
      <c r="X1112" s="5" t="str">
        <f>IF(INDEX(Manual_Review!$I$6:$I$238,U1112)="","",INDEX(Manual_Review!$I$6:$I$238,U1112))</f>
        <v/>
      </c>
      <c r="Y1112" s="5" t="s">
        <v>2859</v>
      </c>
    </row>
    <row r="1113" spans="1:25" ht="25.5">
      <c r="A1113" s="5" t="s">
        <v>5192</v>
      </c>
      <c r="B1113" s="5" t="s">
        <v>876</v>
      </c>
      <c r="C1113" s="5" t="s">
        <v>877</v>
      </c>
      <c r="D1113" s="5" t="s">
        <v>118</v>
      </c>
      <c r="E1113" s="5" t="s">
        <v>2784</v>
      </c>
      <c r="F1113" s="5" t="s">
        <v>2756</v>
      </c>
      <c r="G1113" s="5">
        <v>1</v>
      </c>
      <c r="H1113" s="5" t="s">
        <v>2854</v>
      </c>
      <c r="I1113" s="5" t="str">
        <f>IF(INDEX(Manual_Review!$N$6:$N$238,U1113)="","",INDEX(Manual_Review!$N$6:$N$238,U1113))</f>
        <v/>
      </c>
      <c r="J1113" s="5" t="str">
        <f t="shared" si="34"/>
        <v>AI provisional</v>
      </c>
      <c r="K1113" s="5" t="str">
        <f t="shared" si="35"/>
        <v>Y</v>
      </c>
      <c r="L1113" s="5" t="s">
        <v>881</v>
      </c>
      <c r="M1113" s="5" t="s">
        <v>5193</v>
      </c>
      <c r="N1113" s="5" t="s">
        <v>5187</v>
      </c>
      <c r="O1113" s="5" t="s">
        <v>2963</v>
      </c>
      <c r="P1113" s="5" t="s">
        <v>2858</v>
      </c>
      <c r="Q1113" s="11">
        <v>46306.5</v>
      </c>
      <c r="R1113" s="6"/>
      <c r="S1113" s="6"/>
      <c r="T1113" s="6"/>
      <c r="U1113" s="5">
        <f>MATCH(B1113,Manual_Review!$A$6:$A$238,0)</f>
        <v>70</v>
      </c>
      <c r="V1113" s="5" t="str">
        <f>IF(INDEX(Manual_Review!$G$6:$G$238,U1113)="","",INDEX(Manual_Review!$G$6:$G$238,U1113))</f>
        <v/>
      </c>
      <c r="W1113" s="11" t="str">
        <f>IF(INDEX(Manual_Review!$H$6:$H$238,U1113)="","",INDEX(Manual_Review!$H$6:$H$238,U1113))</f>
        <v/>
      </c>
      <c r="X1113" s="5" t="str">
        <f>IF(INDEX(Manual_Review!$I$6:$I$238,U1113)="","",INDEX(Manual_Review!$I$6:$I$238,U1113))</f>
        <v/>
      </c>
      <c r="Y1113" s="5" t="s">
        <v>2859</v>
      </c>
    </row>
    <row r="1114" spans="1:25" ht="25.5">
      <c r="A1114" s="5" t="s">
        <v>5194</v>
      </c>
      <c r="B1114" s="5" t="s">
        <v>876</v>
      </c>
      <c r="C1114" s="5" t="s">
        <v>877</v>
      </c>
      <c r="D1114" s="5" t="s">
        <v>118</v>
      </c>
      <c r="E1114" s="5" t="s">
        <v>2785</v>
      </c>
      <c r="F1114" s="5" t="s">
        <v>2756</v>
      </c>
      <c r="G1114" s="5">
        <v>1</v>
      </c>
      <c r="H1114" s="5" t="s">
        <v>2864</v>
      </c>
      <c r="I1114" s="5" t="str">
        <f>IF(INDEX(Manual_Review!$O$6:$O$238,U1114)="","",INDEX(Manual_Review!$O$6:$O$238,U1114))</f>
        <v/>
      </c>
      <c r="J1114" s="5" t="str">
        <f t="shared" si="34"/>
        <v>AI provisional</v>
      </c>
      <c r="K1114" s="5" t="str">
        <f t="shared" si="35"/>
        <v>U</v>
      </c>
      <c r="L1114" s="5" t="s">
        <v>881</v>
      </c>
      <c r="M1114" s="5" t="s">
        <v>5195</v>
      </c>
      <c r="N1114" s="5" t="s">
        <v>5187</v>
      </c>
      <c r="O1114" s="5" t="s">
        <v>2872</v>
      </c>
      <c r="P1114" s="5" t="s">
        <v>2858</v>
      </c>
      <c r="Q1114" s="11">
        <v>46306.5</v>
      </c>
      <c r="R1114" s="6"/>
      <c r="S1114" s="6"/>
      <c r="T1114" s="6"/>
      <c r="U1114" s="5">
        <f>MATCH(B1114,Manual_Review!$A$6:$A$238,0)</f>
        <v>70</v>
      </c>
      <c r="V1114" s="5" t="str">
        <f>IF(INDEX(Manual_Review!$G$6:$G$238,U1114)="","",INDEX(Manual_Review!$G$6:$G$238,U1114))</f>
        <v/>
      </c>
      <c r="W1114" s="11" t="str">
        <f>IF(INDEX(Manual_Review!$H$6:$H$238,U1114)="","",INDEX(Manual_Review!$H$6:$H$238,U1114))</f>
        <v/>
      </c>
      <c r="X1114" s="5" t="str">
        <f>IF(INDEX(Manual_Review!$I$6:$I$238,U1114)="","",INDEX(Manual_Review!$I$6:$I$238,U1114))</f>
        <v/>
      </c>
      <c r="Y1114" s="5" t="s">
        <v>2859</v>
      </c>
    </row>
    <row r="1115" spans="1:25" ht="25.5">
      <c r="A1115" s="5" t="s">
        <v>5196</v>
      </c>
      <c r="B1115" s="5" t="s">
        <v>876</v>
      </c>
      <c r="C1115" s="5" t="s">
        <v>877</v>
      </c>
      <c r="D1115" s="5" t="s">
        <v>118</v>
      </c>
      <c r="E1115" s="5" t="s">
        <v>2786</v>
      </c>
      <c r="F1115" s="5" t="s">
        <v>2756</v>
      </c>
      <c r="G1115" s="5">
        <v>1</v>
      </c>
      <c r="H1115" s="5" t="s">
        <v>2864</v>
      </c>
      <c r="I1115" s="5" t="str">
        <f>IF(INDEX(Manual_Review!$P$6:$P$238,U1115)="","",INDEX(Manual_Review!$P$6:$P$238,U1115))</f>
        <v/>
      </c>
      <c r="J1115" s="5" t="str">
        <f t="shared" si="34"/>
        <v>AI provisional</v>
      </c>
      <c r="K1115" s="5" t="str">
        <f t="shared" si="35"/>
        <v>U</v>
      </c>
      <c r="L1115" s="5" t="s">
        <v>881</v>
      </c>
      <c r="M1115" s="5" t="s">
        <v>5197</v>
      </c>
      <c r="N1115" s="5" t="s">
        <v>5187</v>
      </c>
      <c r="O1115" s="5" t="s">
        <v>2874</v>
      </c>
      <c r="P1115" s="5" t="s">
        <v>2858</v>
      </c>
      <c r="Q1115" s="11">
        <v>46306.5</v>
      </c>
      <c r="R1115" s="6"/>
      <c r="S1115" s="6"/>
      <c r="T1115" s="6"/>
      <c r="U1115" s="5">
        <f>MATCH(B1115,Manual_Review!$A$6:$A$238,0)</f>
        <v>70</v>
      </c>
      <c r="V1115" s="5" t="str">
        <f>IF(INDEX(Manual_Review!$G$6:$G$238,U1115)="","",INDEX(Manual_Review!$G$6:$G$238,U1115))</f>
        <v/>
      </c>
      <c r="W1115" s="11" t="str">
        <f>IF(INDEX(Manual_Review!$H$6:$H$238,U1115)="","",INDEX(Manual_Review!$H$6:$H$238,U1115))</f>
        <v/>
      </c>
      <c r="X1115" s="5" t="str">
        <f>IF(INDEX(Manual_Review!$I$6:$I$238,U1115)="","",INDEX(Manual_Review!$I$6:$I$238,U1115))</f>
        <v/>
      </c>
      <c r="Y1115" s="5" t="s">
        <v>2859</v>
      </c>
    </row>
    <row r="1116" spans="1:25" ht="25.5">
      <c r="A1116" s="5" t="s">
        <v>5198</v>
      </c>
      <c r="B1116" s="5" t="s">
        <v>876</v>
      </c>
      <c r="C1116" s="5" t="s">
        <v>877</v>
      </c>
      <c r="D1116" s="5" t="s">
        <v>118</v>
      </c>
      <c r="E1116" s="5" t="s">
        <v>2787</v>
      </c>
      <c r="F1116" s="5" t="s">
        <v>2758</v>
      </c>
      <c r="G1116" s="5">
        <v>1</v>
      </c>
      <c r="H1116" s="5" t="s">
        <v>2854</v>
      </c>
      <c r="I1116" s="5" t="str">
        <f>IF(INDEX(Manual_Review!$Q$6:$Q$238,U1116)="","",INDEX(Manual_Review!$Q$6:$Q$238,U1116))</f>
        <v/>
      </c>
      <c r="J1116" s="5" t="str">
        <f t="shared" si="34"/>
        <v>AI provisional</v>
      </c>
      <c r="K1116" s="5" t="str">
        <f t="shared" si="35"/>
        <v>Y</v>
      </c>
      <c r="L1116" s="5" t="s">
        <v>881</v>
      </c>
      <c r="M1116" s="5" t="s">
        <v>5199</v>
      </c>
      <c r="N1116" s="5" t="s">
        <v>5187</v>
      </c>
      <c r="O1116" s="5" t="s">
        <v>2969</v>
      </c>
      <c r="P1116" s="5" t="s">
        <v>2858</v>
      </c>
      <c r="Q1116" s="11">
        <v>46306.5</v>
      </c>
      <c r="R1116" s="6"/>
      <c r="S1116" s="6"/>
      <c r="T1116" s="6"/>
      <c r="U1116" s="5">
        <f>MATCH(B1116,Manual_Review!$A$6:$A$238,0)</f>
        <v>70</v>
      </c>
      <c r="V1116" s="5" t="str">
        <f>IF(INDEX(Manual_Review!$G$6:$G$238,U1116)="","",INDEX(Manual_Review!$G$6:$G$238,U1116))</f>
        <v/>
      </c>
      <c r="W1116" s="11" t="str">
        <f>IF(INDEX(Manual_Review!$H$6:$H$238,U1116)="","",INDEX(Manual_Review!$H$6:$H$238,U1116))</f>
        <v/>
      </c>
      <c r="X1116" s="5" t="str">
        <f>IF(INDEX(Manual_Review!$I$6:$I$238,U1116)="","",INDEX(Manual_Review!$I$6:$I$238,U1116))</f>
        <v/>
      </c>
      <c r="Y1116" s="5" t="s">
        <v>2859</v>
      </c>
    </row>
    <row r="1117" spans="1:25" ht="25.5">
      <c r="A1117" s="5" t="s">
        <v>5200</v>
      </c>
      <c r="B1117" s="5" t="s">
        <v>876</v>
      </c>
      <c r="C1117" s="5" t="s">
        <v>877</v>
      </c>
      <c r="D1117" s="5" t="s">
        <v>118</v>
      </c>
      <c r="E1117" s="5" t="s">
        <v>2788</v>
      </c>
      <c r="F1117" s="5" t="s">
        <v>2758</v>
      </c>
      <c r="G1117" s="5">
        <v>1</v>
      </c>
      <c r="H1117" s="5" t="s">
        <v>2864</v>
      </c>
      <c r="I1117" s="5" t="str">
        <f>IF(INDEX(Manual_Review!$R$6:$R$238,U1117)="","",INDEX(Manual_Review!$R$6:$R$238,U1117))</f>
        <v/>
      </c>
      <c r="J1117" s="5" t="str">
        <f t="shared" si="34"/>
        <v>AI provisional</v>
      </c>
      <c r="K1117" s="5" t="str">
        <f t="shared" si="35"/>
        <v>U</v>
      </c>
      <c r="L1117" s="5" t="s">
        <v>881</v>
      </c>
      <c r="M1117" s="5" t="s">
        <v>5201</v>
      </c>
      <c r="N1117" s="5" t="s">
        <v>5187</v>
      </c>
      <c r="O1117" s="5" t="s">
        <v>2880</v>
      </c>
      <c r="P1117" s="5" t="s">
        <v>2858</v>
      </c>
      <c r="Q1117" s="11">
        <v>46306.5</v>
      </c>
      <c r="R1117" s="6"/>
      <c r="S1117" s="6"/>
      <c r="T1117" s="6"/>
      <c r="U1117" s="5">
        <f>MATCH(B1117,Manual_Review!$A$6:$A$238,0)</f>
        <v>70</v>
      </c>
      <c r="V1117" s="5" t="str">
        <f>IF(INDEX(Manual_Review!$G$6:$G$238,U1117)="","",INDEX(Manual_Review!$G$6:$G$238,U1117))</f>
        <v/>
      </c>
      <c r="W1117" s="11" t="str">
        <f>IF(INDEX(Manual_Review!$H$6:$H$238,U1117)="","",INDEX(Manual_Review!$H$6:$H$238,U1117))</f>
        <v/>
      </c>
      <c r="X1117" s="5" t="str">
        <f>IF(INDEX(Manual_Review!$I$6:$I$238,U1117)="","",INDEX(Manual_Review!$I$6:$I$238,U1117))</f>
        <v/>
      </c>
      <c r="Y1117" s="5" t="s">
        <v>2859</v>
      </c>
    </row>
    <row r="1118" spans="1:25" ht="25.5">
      <c r="A1118" s="5" t="s">
        <v>5202</v>
      </c>
      <c r="B1118" s="5" t="s">
        <v>876</v>
      </c>
      <c r="C1118" s="5" t="s">
        <v>877</v>
      </c>
      <c r="D1118" s="5" t="s">
        <v>118</v>
      </c>
      <c r="E1118" s="5" t="s">
        <v>2789</v>
      </c>
      <c r="F1118" s="5" t="s">
        <v>2758</v>
      </c>
      <c r="G1118" s="5">
        <v>1</v>
      </c>
      <c r="H1118" s="5" t="s">
        <v>2864</v>
      </c>
      <c r="I1118" s="5" t="str">
        <f>IF(INDEX(Manual_Review!$S$6:$S$238,U1118)="","",INDEX(Manual_Review!$S$6:$S$238,U1118))</f>
        <v/>
      </c>
      <c r="J1118" s="5" t="str">
        <f t="shared" si="34"/>
        <v>AI provisional</v>
      </c>
      <c r="K1118" s="5" t="str">
        <f t="shared" si="35"/>
        <v>U</v>
      </c>
      <c r="L1118" s="5" t="s">
        <v>881</v>
      </c>
      <c r="M1118" s="5" t="s">
        <v>5203</v>
      </c>
      <c r="N1118" s="5" t="s">
        <v>5187</v>
      </c>
      <c r="O1118" s="5" t="s">
        <v>2883</v>
      </c>
      <c r="P1118" s="5" t="s">
        <v>2858</v>
      </c>
      <c r="Q1118" s="11">
        <v>46306.5</v>
      </c>
      <c r="R1118" s="6"/>
      <c r="S1118" s="6"/>
      <c r="T1118" s="6"/>
      <c r="U1118" s="5">
        <f>MATCH(B1118,Manual_Review!$A$6:$A$238,0)</f>
        <v>70</v>
      </c>
      <c r="V1118" s="5" t="str">
        <f>IF(INDEX(Manual_Review!$G$6:$G$238,U1118)="","",INDEX(Manual_Review!$G$6:$G$238,U1118))</f>
        <v/>
      </c>
      <c r="W1118" s="11" t="str">
        <f>IF(INDEX(Manual_Review!$H$6:$H$238,U1118)="","",INDEX(Manual_Review!$H$6:$H$238,U1118))</f>
        <v/>
      </c>
      <c r="X1118" s="5" t="str">
        <f>IF(INDEX(Manual_Review!$I$6:$I$238,U1118)="","",INDEX(Manual_Review!$I$6:$I$238,U1118))</f>
        <v/>
      </c>
      <c r="Y1118" s="5" t="s">
        <v>2859</v>
      </c>
    </row>
    <row r="1119" spans="1:25" ht="25.5">
      <c r="A1119" s="5" t="s">
        <v>5204</v>
      </c>
      <c r="B1119" s="5" t="s">
        <v>876</v>
      </c>
      <c r="C1119" s="5" t="s">
        <v>877</v>
      </c>
      <c r="D1119" s="5" t="s">
        <v>118</v>
      </c>
      <c r="E1119" s="5" t="s">
        <v>2790</v>
      </c>
      <c r="F1119" s="5" t="s">
        <v>2760</v>
      </c>
      <c r="G1119" s="5">
        <v>1</v>
      </c>
      <c r="H1119" s="5" t="s">
        <v>2854</v>
      </c>
      <c r="I1119" s="5" t="str">
        <f>IF(INDEX(Manual_Review!$T$6:$T$238,U1119)="","",INDEX(Manual_Review!$T$6:$T$238,U1119))</f>
        <v/>
      </c>
      <c r="J1119" s="5" t="str">
        <f t="shared" si="34"/>
        <v>AI provisional</v>
      </c>
      <c r="K1119" s="5" t="str">
        <f t="shared" si="35"/>
        <v>Y</v>
      </c>
      <c r="L1119" s="5" t="s">
        <v>881</v>
      </c>
      <c r="M1119" s="5" t="s">
        <v>5205</v>
      </c>
      <c r="N1119" s="5" t="s">
        <v>5187</v>
      </c>
      <c r="O1119" s="5" t="s">
        <v>2976</v>
      </c>
      <c r="P1119" s="5" t="s">
        <v>2858</v>
      </c>
      <c r="Q1119" s="11">
        <v>46306.5</v>
      </c>
      <c r="R1119" s="6"/>
      <c r="S1119" s="6"/>
      <c r="T1119" s="6"/>
      <c r="U1119" s="5">
        <f>MATCH(B1119,Manual_Review!$A$6:$A$238,0)</f>
        <v>70</v>
      </c>
      <c r="V1119" s="5" t="str">
        <f>IF(INDEX(Manual_Review!$G$6:$G$238,U1119)="","",INDEX(Manual_Review!$G$6:$G$238,U1119))</f>
        <v/>
      </c>
      <c r="W1119" s="11" t="str">
        <f>IF(INDEX(Manual_Review!$H$6:$H$238,U1119)="","",INDEX(Manual_Review!$H$6:$H$238,U1119))</f>
        <v/>
      </c>
      <c r="X1119" s="5" t="str">
        <f>IF(INDEX(Manual_Review!$I$6:$I$238,U1119)="","",INDEX(Manual_Review!$I$6:$I$238,U1119))</f>
        <v/>
      </c>
      <c r="Y1119" s="5" t="s">
        <v>2859</v>
      </c>
    </row>
    <row r="1120" spans="1:25" ht="25.5">
      <c r="A1120" s="5" t="s">
        <v>5206</v>
      </c>
      <c r="B1120" s="5" t="s">
        <v>876</v>
      </c>
      <c r="C1120" s="5" t="s">
        <v>877</v>
      </c>
      <c r="D1120" s="5" t="s">
        <v>118</v>
      </c>
      <c r="E1120" s="5" t="s">
        <v>2791</v>
      </c>
      <c r="F1120" s="5" t="s">
        <v>2760</v>
      </c>
      <c r="G1120" s="5">
        <v>1</v>
      </c>
      <c r="H1120" s="5" t="s">
        <v>2854</v>
      </c>
      <c r="I1120" s="5" t="str">
        <f>IF(INDEX(Manual_Review!$U$6:$U$238,U1120)="","",INDEX(Manual_Review!$U$6:$U$238,U1120))</f>
        <v/>
      </c>
      <c r="J1120" s="5" t="str">
        <f t="shared" si="34"/>
        <v>AI provisional</v>
      </c>
      <c r="K1120" s="5" t="str">
        <f t="shared" si="35"/>
        <v>Y</v>
      </c>
      <c r="L1120" s="5" t="s">
        <v>881</v>
      </c>
      <c r="M1120" s="5" t="s">
        <v>5207</v>
      </c>
      <c r="N1120" s="5" t="s">
        <v>5187</v>
      </c>
      <c r="O1120" s="5" t="s">
        <v>3380</v>
      </c>
      <c r="P1120" s="5" t="s">
        <v>2858</v>
      </c>
      <c r="Q1120" s="11">
        <v>46306.5</v>
      </c>
      <c r="R1120" s="6"/>
      <c r="S1120" s="6"/>
      <c r="T1120" s="6"/>
      <c r="U1120" s="5">
        <f>MATCH(B1120,Manual_Review!$A$6:$A$238,0)</f>
        <v>70</v>
      </c>
      <c r="V1120" s="5" t="str">
        <f>IF(INDEX(Manual_Review!$G$6:$G$238,U1120)="","",INDEX(Manual_Review!$G$6:$G$238,U1120))</f>
        <v/>
      </c>
      <c r="W1120" s="11" t="str">
        <f>IF(INDEX(Manual_Review!$H$6:$H$238,U1120)="","",INDEX(Manual_Review!$H$6:$H$238,U1120))</f>
        <v/>
      </c>
      <c r="X1120" s="5" t="str">
        <f>IF(INDEX(Manual_Review!$I$6:$I$238,U1120)="","",INDEX(Manual_Review!$I$6:$I$238,U1120))</f>
        <v/>
      </c>
      <c r="Y1120" s="5" t="s">
        <v>2859</v>
      </c>
    </row>
    <row r="1121" spans="1:25" ht="25.5">
      <c r="A1121" s="5" t="s">
        <v>5208</v>
      </c>
      <c r="B1121" s="5" t="s">
        <v>876</v>
      </c>
      <c r="C1121" s="5" t="s">
        <v>877</v>
      </c>
      <c r="D1121" s="5" t="s">
        <v>118</v>
      </c>
      <c r="E1121" s="5" t="s">
        <v>2792</v>
      </c>
      <c r="F1121" s="5" t="s">
        <v>2762</v>
      </c>
      <c r="G1121" s="5">
        <v>1</v>
      </c>
      <c r="H1121" s="5" t="s">
        <v>2864</v>
      </c>
      <c r="I1121" s="5" t="str">
        <f>IF(INDEX(Manual_Review!$V$6:$V$238,U1121)="","",INDEX(Manual_Review!$V$6:$V$238,U1121))</f>
        <v/>
      </c>
      <c r="J1121" s="5" t="str">
        <f t="shared" si="34"/>
        <v>AI provisional</v>
      </c>
      <c r="K1121" s="5" t="str">
        <f t="shared" si="35"/>
        <v>U</v>
      </c>
      <c r="L1121" s="5" t="s">
        <v>881</v>
      </c>
      <c r="M1121" s="5" t="s">
        <v>5197</v>
      </c>
      <c r="N1121" s="5" t="s">
        <v>5187</v>
      </c>
      <c r="O1121" s="5" t="s">
        <v>2891</v>
      </c>
      <c r="P1121" s="5" t="s">
        <v>2858</v>
      </c>
      <c r="Q1121" s="11">
        <v>46306.5</v>
      </c>
      <c r="R1121" s="6"/>
      <c r="S1121" s="6"/>
      <c r="T1121" s="6"/>
      <c r="U1121" s="5">
        <f>MATCH(B1121,Manual_Review!$A$6:$A$238,0)</f>
        <v>70</v>
      </c>
      <c r="V1121" s="5" t="str">
        <f>IF(INDEX(Manual_Review!$G$6:$G$238,U1121)="","",INDEX(Manual_Review!$G$6:$G$238,U1121))</f>
        <v/>
      </c>
      <c r="W1121" s="11" t="str">
        <f>IF(INDEX(Manual_Review!$H$6:$H$238,U1121)="","",INDEX(Manual_Review!$H$6:$H$238,U1121))</f>
        <v/>
      </c>
      <c r="X1121" s="5" t="str">
        <f>IF(INDEX(Manual_Review!$I$6:$I$238,U1121)="","",INDEX(Manual_Review!$I$6:$I$238,U1121))</f>
        <v/>
      </c>
      <c r="Y1121" s="5" t="s">
        <v>2859</v>
      </c>
    </row>
    <row r="1122" spans="1:25" ht="25.5">
      <c r="A1122" s="5" t="s">
        <v>5209</v>
      </c>
      <c r="B1122" s="5" t="s">
        <v>876</v>
      </c>
      <c r="C1122" s="5" t="s">
        <v>877</v>
      </c>
      <c r="D1122" s="5" t="s">
        <v>118</v>
      </c>
      <c r="E1122" s="5" t="s">
        <v>2793</v>
      </c>
      <c r="F1122" s="5" t="s">
        <v>2762</v>
      </c>
      <c r="G1122" s="5">
        <v>1</v>
      </c>
      <c r="H1122" s="5" t="s">
        <v>2864</v>
      </c>
      <c r="I1122" s="5" t="str">
        <f>IF(INDEX(Manual_Review!$W$6:$W$238,U1122)="","",INDEX(Manual_Review!$W$6:$W$238,U1122))</f>
        <v/>
      </c>
      <c r="J1122" s="5" t="str">
        <f t="shared" si="34"/>
        <v>AI provisional</v>
      </c>
      <c r="K1122" s="5" t="str">
        <f t="shared" si="35"/>
        <v>U</v>
      </c>
      <c r="L1122" s="5" t="s">
        <v>881</v>
      </c>
      <c r="M1122" s="5" t="s">
        <v>5197</v>
      </c>
      <c r="N1122" s="5" t="s">
        <v>5187</v>
      </c>
      <c r="O1122" s="5" t="s">
        <v>2893</v>
      </c>
      <c r="P1122" s="5" t="s">
        <v>2858</v>
      </c>
      <c r="Q1122" s="11">
        <v>46306.5</v>
      </c>
      <c r="R1122" s="6"/>
      <c r="S1122" s="6"/>
      <c r="T1122" s="6"/>
      <c r="U1122" s="5">
        <f>MATCH(B1122,Manual_Review!$A$6:$A$238,0)</f>
        <v>70</v>
      </c>
      <c r="V1122" s="5" t="str">
        <f>IF(INDEX(Manual_Review!$G$6:$G$238,U1122)="","",INDEX(Manual_Review!$G$6:$G$238,U1122))</f>
        <v/>
      </c>
      <c r="W1122" s="11" t="str">
        <f>IF(INDEX(Manual_Review!$H$6:$H$238,U1122)="","",INDEX(Manual_Review!$H$6:$H$238,U1122))</f>
        <v/>
      </c>
      <c r="X1122" s="5" t="str">
        <f>IF(INDEX(Manual_Review!$I$6:$I$238,U1122)="","",INDEX(Manual_Review!$I$6:$I$238,U1122))</f>
        <v/>
      </c>
      <c r="Y1122" s="5" t="s">
        <v>2859</v>
      </c>
    </row>
    <row r="1123" spans="1:25" ht="25.5">
      <c r="A1123" s="5" t="s">
        <v>5210</v>
      </c>
      <c r="B1123" s="5" t="s">
        <v>876</v>
      </c>
      <c r="C1123" s="5" t="s">
        <v>877</v>
      </c>
      <c r="D1123" s="5" t="s">
        <v>118</v>
      </c>
      <c r="E1123" s="5" t="s">
        <v>2794</v>
      </c>
      <c r="F1123" s="5" t="s">
        <v>2764</v>
      </c>
      <c r="G1123" s="5">
        <v>1</v>
      </c>
      <c r="H1123" s="5" t="s">
        <v>2864</v>
      </c>
      <c r="I1123" s="5" t="str">
        <f>IF(INDEX(Manual_Review!$X$6:$X$238,U1123)="","",INDEX(Manual_Review!$X$6:$X$238,U1123))</f>
        <v/>
      </c>
      <c r="J1123" s="5" t="str">
        <f t="shared" si="34"/>
        <v>AI provisional</v>
      </c>
      <c r="K1123" s="5" t="str">
        <f t="shared" si="35"/>
        <v>U</v>
      </c>
      <c r="L1123" s="5" t="s">
        <v>881</v>
      </c>
      <c r="M1123" s="5" t="s">
        <v>5197</v>
      </c>
      <c r="N1123" s="5" t="s">
        <v>5187</v>
      </c>
      <c r="O1123" s="5" t="s">
        <v>2895</v>
      </c>
      <c r="P1123" s="5" t="s">
        <v>2858</v>
      </c>
      <c r="Q1123" s="11">
        <v>46306.5</v>
      </c>
      <c r="R1123" s="6"/>
      <c r="S1123" s="6"/>
      <c r="T1123" s="6"/>
      <c r="U1123" s="5">
        <f>MATCH(B1123,Manual_Review!$A$6:$A$238,0)</f>
        <v>70</v>
      </c>
      <c r="V1123" s="5" t="str">
        <f>IF(INDEX(Manual_Review!$G$6:$G$238,U1123)="","",INDEX(Manual_Review!$G$6:$G$238,U1123))</f>
        <v/>
      </c>
      <c r="W1123" s="11" t="str">
        <f>IF(INDEX(Manual_Review!$H$6:$H$238,U1123)="","",INDEX(Manual_Review!$H$6:$H$238,U1123))</f>
        <v/>
      </c>
      <c r="X1123" s="5" t="str">
        <f>IF(INDEX(Manual_Review!$I$6:$I$238,U1123)="","",INDEX(Manual_Review!$I$6:$I$238,U1123))</f>
        <v/>
      </c>
      <c r="Y1123" s="5" t="s">
        <v>2859</v>
      </c>
    </row>
    <row r="1124" spans="1:25" ht="25.5">
      <c r="A1124" s="5" t="s">
        <v>5211</v>
      </c>
      <c r="B1124" s="5" t="s">
        <v>876</v>
      </c>
      <c r="C1124" s="5" t="s">
        <v>877</v>
      </c>
      <c r="D1124" s="5" t="s">
        <v>118</v>
      </c>
      <c r="E1124" s="5" t="s">
        <v>2795</v>
      </c>
      <c r="F1124" s="5" t="s">
        <v>2764</v>
      </c>
      <c r="G1124" s="5">
        <v>1</v>
      </c>
      <c r="H1124" s="5" t="s">
        <v>2854</v>
      </c>
      <c r="I1124" s="5" t="str">
        <f>IF(INDEX(Manual_Review!$Y$6:$Y$238,U1124)="","",INDEX(Manual_Review!$Y$6:$Y$238,U1124))</f>
        <v/>
      </c>
      <c r="J1124" s="5" t="str">
        <f t="shared" si="34"/>
        <v>AI provisional</v>
      </c>
      <c r="K1124" s="5" t="str">
        <f t="shared" si="35"/>
        <v>Y</v>
      </c>
      <c r="L1124" s="5" t="s">
        <v>881</v>
      </c>
      <c r="M1124" s="5" t="s">
        <v>5212</v>
      </c>
      <c r="N1124" s="5" t="s">
        <v>5187</v>
      </c>
      <c r="O1124" s="5" t="s">
        <v>3082</v>
      </c>
      <c r="P1124" s="5" t="s">
        <v>2858</v>
      </c>
      <c r="Q1124" s="11">
        <v>46306.5</v>
      </c>
      <c r="R1124" s="6"/>
      <c r="S1124" s="6"/>
      <c r="T1124" s="6"/>
      <c r="U1124" s="5">
        <f>MATCH(B1124,Manual_Review!$A$6:$A$238,0)</f>
        <v>70</v>
      </c>
      <c r="V1124" s="5" t="str">
        <f>IF(INDEX(Manual_Review!$G$6:$G$238,U1124)="","",INDEX(Manual_Review!$G$6:$G$238,U1124))</f>
        <v/>
      </c>
      <c r="W1124" s="11" t="str">
        <f>IF(INDEX(Manual_Review!$H$6:$H$238,U1124)="","",INDEX(Manual_Review!$H$6:$H$238,U1124))</f>
        <v/>
      </c>
      <c r="X1124" s="5" t="str">
        <f>IF(INDEX(Manual_Review!$I$6:$I$238,U1124)="","",INDEX(Manual_Review!$I$6:$I$238,U1124))</f>
        <v/>
      </c>
      <c r="Y1124" s="5" t="s">
        <v>2859</v>
      </c>
    </row>
    <row r="1125" spans="1:25" ht="25.5">
      <c r="A1125" s="5" t="s">
        <v>5213</v>
      </c>
      <c r="B1125" s="5" t="s">
        <v>876</v>
      </c>
      <c r="C1125" s="5" t="s">
        <v>877</v>
      </c>
      <c r="D1125" s="5" t="s">
        <v>118</v>
      </c>
      <c r="E1125" s="5" t="s">
        <v>2796</v>
      </c>
      <c r="F1125" s="5" t="s">
        <v>2764</v>
      </c>
      <c r="G1125" s="5">
        <v>1</v>
      </c>
      <c r="H1125" s="5" t="s">
        <v>2854</v>
      </c>
      <c r="I1125" s="5" t="str">
        <f>IF(INDEX(Manual_Review!$Z$6:$Z$238,U1125)="","",INDEX(Manual_Review!$Z$6:$Z$238,U1125))</f>
        <v/>
      </c>
      <c r="J1125" s="5" t="str">
        <f t="shared" si="34"/>
        <v>AI provisional</v>
      </c>
      <c r="K1125" s="5" t="str">
        <f t="shared" si="35"/>
        <v>Y</v>
      </c>
      <c r="L1125" s="5" t="s">
        <v>881</v>
      </c>
      <c r="M1125" s="5" t="s">
        <v>5214</v>
      </c>
      <c r="N1125" s="5" t="s">
        <v>5187</v>
      </c>
      <c r="O1125" s="5" t="s">
        <v>3085</v>
      </c>
      <c r="P1125" s="5" t="s">
        <v>2858</v>
      </c>
      <c r="Q1125" s="11">
        <v>46306.5</v>
      </c>
      <c r="R1125" s="6"/>
      <c r="S1125" s="6"/>
      <c r="T1125" s="6"/>
      <c r="U1125" s="5">
        <f>MATCH(B1125,Manual_Review!$A$6:$A$238,0)</f>
        <v>70</v>
      </c>
      <c r="V1125" s="5" t="str">
        <f>IF(INDEX(Manual_Review!$G$6:$G$238,U1125)="","",INDEX(Manual_Review!$G$6:$G$238,U1125))</f>
        <v/>
      </c>
      <c r="W1125" s="11" t="str">
        <f>IF(INDEX(Manual_Review!$H$6:$H$238,U1125)="","",INDEX(Manual_Review!$H$6:$H$238,U1125))</f>
        <v/>
      </c>
      <c r="X1125" s="5" t="str">
        <f>IF(INDEX(Manual_Review!$I$6:$I$238,U1125)="","",INDEX(Manual_Review!$I$6:$I$238,U1125))</f>
        <v/>
      </c>
      <c r="Y1125" s="5" t="s">
        <v>2859</v>
      </c>
    </row>
    <row r="1126" spans="1:25" ht="38.25">
      <c r="A1126" s="5" t="s">
        <v>5215</v>
      </c>
      <c r="B1126" s="5" t="s">
        <v>883</v>
      </c>
      <c r="C1126" s="5" t="s">
        <v>884</v>
      </c>
      <c r="D1126" s="5" t="s">
        <v>118</v>
      </c>
      <c r="E1126" s="5" t="s">
        <v>2781</v>
      </c>
      <c r="F1126" s="5" t="s">
        <v>2754</v>
      </c>
      <c r="G1126" s="5">
        <v>1</v>
      </c>
      <c r="H1126" s="5" t="s">
        <v>2854</v>
      </c>
      <c r="I1126" s="5" t="str">
        <f>IF(INDEX(Manual_Review!$K$6:$K$238,U1126)="","",INDEX(Manual_Review!$K$6:$K$238,U1126))</f>
        <v/>
      </c>
      <c r="J1126" s="5" t="str">
        <f t="shared" si="34"/>
        <v>AI provisional</v>
      </c>
      <c r="K1126" s="5" t="str">
        <f t="shared" si="35"/>
        <v>Y</v>
      </c>
      <c r="L1126" s="5" t="s">
        <v>892</v>
      </c>
      <c r="M1126" s="5" t="s">
        <v>5216</v>
      </c>
      <c r="N1126" s="5" t="s">
        <v>5217</v>
      </c>
      <c r="O1126" s="5" t="s">
        <v>2857</v>
      </c>
      <c r="P1126" s="5" t="s">
        <v>2858</v>
      </c>
      <c r="Q1126" s="11">
        <v>46306.5</v>
      </c>
      <c r="R1126" s="6"/>
      <c r="S1126" s="6"/>
      <c r="T1126" s="6"/>
      <c r="U1126" s="5">
        <f>MATCH(B1126,Manual_Review!$A$6:$A$238,0)</f>
        <v>71</v>
      </c>
      <c r="V1126" s="5" t="str">
        <f>IF(INDEX(Manual_Review!$G$6:$G$238,U1126)="","",INDEX(Manual_Review!$G$6:$G$238,U1126))</f>
        <v/>
      </c>
      <c r="W1126" s="11" t="str">
        <f>IF(INDEX(Manual_Review!$H$6:$H$238,U1126)="","",INDEX(Manual_Review!$H$6:$H$238,U1126))</f>
        <v/>
      </c>
      <c r="X1126" s="5" t="str">
        <f>IF(INDEX(Manual_Review!$I$6:$I$238,U1126)="","",INDEX(Manual_Review!$I$6:$I$238,U1126))</f>
        <v/>
      </c>
      <c r="Y1126" s="5" t="s">
        <v>2859</v>
      </c>
    </row>
    <row r="1127" spans="1:25" ht="38.25">
      <c r="A1127" s="5" t="s">
        <v>5218</v>
      </c>
      <c r="B1127" s="5" t="s">
        <v>883</v>
      </c>
      <c r="C1127" s="5" t="s">
        <v>884</v>
      </c>
      <c r="D1127" s="5" t="s">
        <v>118</v>
      </c>
      <c r="E1127" s="5" t="s">
        <v>2782</v>
      </c>
      <c r="F1127" s="5" t="s">
        <v>2754</v>
      </c>
      <c r="G1127" s="5">
        <v>1</v>
      </c>
      <c r="H1127" s="5" t="s">
        <v>2854</v>
      </c>
      <c r="I1127" s="5" t="str">
        <f>IF(INDEX(Manual_Review!$L$6:$L$238,U1127)="","",INDEX(Manual_Review!$L$6:$L$238,U1127))</f>
        <v/>
      </c>
      <c r="J1127" s="5" t="str">
        <f t="shared" si="34"/>
        <v>AI provisional</v>
      </c>
      <c r="K1127" s="5" t="str">
        <f t="shared" si="35"/>
        <v>Y</v>
      </c>
      <c r="L1127" s="5" t="s">
        <v>892</v>
      </c>
      <c r="M1127" s="5" t="s">
        <v>5219</v>
      </c>
      <c r="N1127" s="5" t="s">
        <v>5217</v>
      </c>
      <c r="O1127" s="5" t="s">
        <v>2862</v>
      </c>
      <c r="P1127" s="5" t="s">
        <v>2858</v>
      </c>
      <c r="Q1127" s="11">
        <v>46306.5</v>
      </c>
      <c r="R1127" s="6"/>
      <c r="S1127" s="6"/>
      <c r="T1127" s="6"/>
      <c r="U1127" s="5">
        <f>MATCH(B1127,Manual_Review!$A$6:$A$238,0)</f>
        <v>71</v>
      </c>
      <c r="V1127" s="5" t="str">
        <f>IF(INDEX(Manual_Review!$G$6:$G$238,U1127)="","",INDEX(Manual_Review!$G$6:$G$238,U1127))</f>
        <v/>
      </c>
      <c r="W1127" s="11" t="str">
        <f>IF(INDEX(Manual_Review!$H$6:$H$238,U1127)="","",INDEX(Manual_Review!$H$6:$H$238,U1127))</f>
        <v/>
      </c>
      <c r="X1127" s="5" t="str">
        <f>IF(INDEX(Manual_Review!$I$6:$I$238,U1127)="","",INDEX(Manual_Review!$I$6:$I$238,U1127))</f>
        <v/>
      </c>
      <c r="Y1127" s="5" t="s">
        <v>2859</v>
      </c>
    </row>
    <row r="1128" spans="1:25" ht="38.25">
      <c r="A1128" s="5" t="s">
        <v>5220</v>
      </c>
      <c r="B1128" s="5" t="s">
        <v>883</v>
      </c>
      <c r="C1128" s="5" t="s">
        <v>884</v>
      </c>
      <c r="D1128" s="5" t="s">
        <v>118</v>
      </c>
      <c r="E1128" s="5" t="s">
        <v>2783</v>
      </c>
      <c r="F1128" s="5" t="s">
        <v>2754</v>
      </c>
      <c r="G1128" s="5">
        <v>1</v>
      </c>
      <c r="H1128" s="5" t="s">
        <v>2908</v>
      </c>
      <c r="I1128" s="5" t="str">
        <f>IF(INDEX(Manual_Review!$M$6:$M$238,U1128)="","",INDEX(Manual_Review!$M$6:$M$238,U1128))</f>
        <v/>
      </c>
      <c r="J1128" s="5" t="str">
        <f t="shared" si="34"/>
        <v>AI provisional</v>
      </c>
      <c r="K1128" s="5" t="str">
        <f t="shared" si="35"/>
        <v>X</v>
      </c>
      <c r="L1128" s="5" t="s">
        <v>892</v>
      </c>
      <c r="M1128" s="5" t="s">
        <v>5221</v>
      </c>
      <c r="N1128" s="5" t="s">
        <v>5217</v>
      </c>
      <c r="O1128" s="5" t="s">
        <v>5222</v>
      </c>
      <c r="P1128" s="5" t="s">
        <v>2858</v>
      </c>
      <c r="Q1128" s="11">
        <v>46306.5</v>
      </c>
      <c r="R1128" s="6"/>
      <c r="S1128" s="6"/>
      <c r="T1128" s="6"/>
      <c r="U1128" s="5">
        <f>MATCH(B1128,Manual_Review!$A$6:$A$238,0)</f>
        <v>71</v>
      </c>
      <c r="V1128" s="5" t="str">
        <f>IF(INDEX(Manual_Review!$G$6:$G$238,U1128)="","",INDEX(Manual_Review!$G$6:$G$238,U1128))</f>
        <v/>
      </c>
      <c r="W1128" s="11" t="str">
        <f>IF(INDEX(Manual_Review!$H$6:$H$238,U1128)="","",INDEX(Manual_Review!$H$6:$H$238,U1128))</f>
        <v/>
      </c>
      <c r="X1128" s="5" t="str">
        <f>IF(INDEX(Manual_Review!$I$6:$I$238,U1128)="","",INDEX(Manual_Review!$I$6:$I$238,U1128))</f>
        <v/>
      </c>
      <c r="Y1128" s="5" t="s">
        <v>2859</v>
      </c>
    </row>
    <row r="1129" spans="1:25" ht="38.25">
      <c r="A1129" s="5" t="s">
        <v>5223</v>
      </c>
      <c r="B1129" s="5" t="s">
        <v>883</v>
      </c>
      <c r="C1129" s="5" t="s">
        <v>884</v>
      </c>
      <c r="D1129" s="5" t="s">
        <v>118</v>
      </c>
      <c r="E1129" s="5" t="s">
        <v>2784</v>
      </c>
      <c r="F1129" s="5" t="s">
        <v>2756</v>
      </c>
      <c r="G1129" s="5">
        <v>1</v>
      </c>
      <c r="H1129" s="5" t="s">
        <v>2854</v>
      </c>
      <c r="I1129" s="5" t="str">
        <f>IF(INDEX(Manual_Review!$N$6:$N$238,U1129)="","",INDEX(Manual_Review!$N$6:$N$238,U1129))</f>
        <v/>
      </c>
      <c r="J1129" s="5" t="str">
        <f t="shared" si="34"/>
        <v>AI provisional</v>
      </c>
      <c r="K1129" s="5" t="str">
        <f t="shared" si="35"/>
        <v>Y</v>
      </c>
      <c r="L1129" s="5" t="s">
        <v>892</v>
      </c>
      <c r="M1129" s="5" t="s">
        <v>5224</v>
      </c>
      <c r="N1129" s="5" t="s">
        <v>5217</v>
      </c>
      <c r="O1129" s="5" t="s">
        <v>2963</v>
      </c>
      <c r="P1129" s="5" t="s">
        <v>2858</v>
      </c>
      <c r="Q1129" s="11">
        <v>46306.5</v>
      </c>
      <c r="R1129" s="6"/>
      <c r="S1129" s="6"/>
      <c r="T1129" s="6"/>
      <c r="U1129" s="5">
        <f>MATCH(B1129,Manual_Review!$A$6:$A$238,0)</f>
        <v>71</v>
      </c>
      <c r="V1129" s="5" t="str">
        <f>IF(INDEX(Manual_Review!$G$6:$G$238,U1129)="","",INDEX(Manual_Review!$G$6:$G$238,U1129))</f>
        <v/>
      </c>
      <c r="W1129" s="11" t="str">
        <f>IF(INDEX(Manual_Review!$H$6:$H$238,U1129)="","",INDEX(Manual_Review!$H$6:$H$238,U1129))</f>
        <v/>
      </c>
      <c r="X1129" s="5" t="str">
        <f>IF(INDEX(Manual_Review!$I$6:$I$238,U1129)="","",INDEX(Manual_Review!$I$6:$I$238,U1129))</f>
        <v/>
      </c>
      <c r="Y1129" s="5" t="s">
        <v>2859</v>
      </c>
    </row>
    <row r="1130" spans="1:25" ht="38.25">
      <c r="A1130" s="5" t="s">
        <v>5225</v>
      </c>
      <c r="B1130" s="5" t="s">
        <v>883</v>
      </c>
      <c r="C1130" s="5" t="s">
        <v>884</v>
      </c>
      <c r="D1130" s="5" t="s">
        <v>118</v>
      </c>
      <c r="E1130" s="5" t="s">
        <v>2785</v>
      </c>
      <c r="F1130" s="5" t="s">
        <v>2756</v>
      </c>
      <c r="G1130" s="5">
        <v>1</v>
      </c>
      <c r="H1130" s="5" t="s">
        <v>2864</v>
      </c>
      <c r="I1130" s="5" t="str">
        <f>IF(INDEX(Manual_Review!$O$6:$O$238,U1130)="","",INDEX(Manual_Review!$O$6:$O$238,U1130))</f>
        <v/>
      </c>
      <c r="J1130" s="5" t="str">
        <f t="shared" si="34"/>
        <v>AI provisional</v>
      </c>
      <c r="K1130" s="5" t="str">
        <f t="shared" si="35"/>
        <v>U</v>
      </c>
      <c r="L1130" s="5" t="s">
        <v>892</v>
      </c>
      <c r="M1130" s="5" t="s">
        <v>5226</v>
      </c>
      <c r="N1130" s="5" t="s">
        <v>5217</v>
      </c>
      <c r="O1130" s="5" t="s">
        <v>2872</v>
      </c>
      <c r="P1130" s="5" t="s">
        <v>2858</v>
      </c>
      <c r="Q1130" s="11">
        <v>46306.5</v>
      </c>
      <c r="R1130" s="6"/>
      <c r="S1130" s="6"/>
      <c r="T1130" s="6"/>
      <c r="U1130" s="5">
        <f>MATCH(B1130,Manual_Review!$A$6:$A$238,0)</f>
        <v>71</v>
      </c>
      <c r="V1130" s="5" t="str">
        <f>IF(INDEX(Manual_Review!$G$6:$G$238,U1130)="","",INDEX(Manual_Review!$G$6:$G$238,U1130))</f>
        <v/>
      </c>
      <c r="W1130" s="11" t="str">
        <f>IF(INDEX(Manual_Review!$H$6:$H$238,U1130)="","",INDEX(Manual_Review!$H$6:$H$238,U1130))</f>
        <v/>
      </c>
      <c r="X1130" s="5" t="str">
        <f>IF(INDEX(Manual_Review!$I$6:$I$238,U1130)="","",INDEX(Manual_Review!$I$6:$I$238,U1130))</f>
        <v/>
      </c>
      <c r="Y1130" s="5" t="s">
        <v>2859</v>
      </c>
    </row>
    <row r="1131" spans="1:25" ht="38.25">
      <c r="A1131" s="5" t="s">
        <v>5227</v>
      </c>
      <c r="B1131" s="5" t="s">
        <v>883</v>
      </c>
      <c r="C1131" s="5" t="s">
        <v>884</v>
      </c>
      <c r="D1131" s="5" t="s">
        <v>118</v>
      </c>
      <c r="E1131" s="5" t="s">
        <v>2786</v>
      </c>
      <c r="F1131" s="5" t="s">
        <v>2756</v>
      </c>
      <c r="G1131" s="5">
        <v>1</v>
      </c>
      <c r="H1131" s="5" t="s">
        <v>2864</v>
      </c>
      <c r="I1131" s="5" t="str">
        <f>IF(INDEX(Manual_Review!$P$6:$P$238,U1131)="","",INDEX(Manual_Review!$P$6:$P$238,U1131))</f>
        <v/>
      </c>
      <c r="J1131" s="5" t="str">
        <f t="shared" si="34"/>
        <v>AI provisional</v>
      </c>
      <c r="K1131" s="5" t="str">
        <f t="shared" si="35"/>
        <v>U</v>
      </c>
      <c r="L1131" s="5" t="s">
        <v>892</v>
      </c>
      <c r="M1131" s="5" t="s">
        <v>5228</v>
      </c>
      <c r="N1131" s="5" t="s">
        <v>5217</v>
      </c>
      <c r="O1131" s="5" t="s">
        <v>2874</v>
      </c>
      <c r="P1131" s="5" t="s">
        <v>2858</v>
      </c>
      <c r="Q1131" s="11">
        <v>46306.5</v>
      </c>
      <c r="R1131" s="6"/>
      <c r="S1131" s="6"/>
      <c r="T1131" s="6"/>
      <c r="U1131" s="5">
        <f>MATCH(B1131,Manual_Review!$A$6:$A$238,0)</f>
        <v>71</v>
      </c>
      <c r="V1131" s="5" t="str">
        <f>IF(INDEX(Manual_Review!$G$6:$G$238,U1131)="","",INDEX(Manual_Review!$G$6:$G$238,U1131))</f>
        <v/>
      </c>
      <c r="W1131" s="11" t="str">
        <f>IF(INDEX(Manual_Review!$H$6:$H$238,U1131)="","",INDEX(Manual_Review!$H$6:$H$238,U1131))</f>
        <v/>
      </c>
      <c r="X1131" s="5" t="str">
        <f>IF(INDEX(Manual_Review!$I$6:$I$238,U1131)="","",INDEX(Manual_Review!$I$6:$I$238,U1131))</f>
        <v/>
      </c>
      <c r="Y1131" s="5" t="s">
        <v>2859</v>
      </c>
    </row>
    <row r="1132" spans="1:25" ht="38.25">
      <c r="A1132" s="5" t="s">
        <v>5229</v>
      </c>
      <c r="B1132" s="5" t="s">
        <v>883</v>
      </c>
      <c r="C1132" s="5" t="s">
        <v>884</v>
      </c>
      <c r="D1132" s="5" t="s">
        <v>118</v>
      </c>
      <c r="E1132" s="5" t="s">
        <v>2787</v>
      </c>
      <c r="F1132" s="5" t="s">
        <v>2758</v>
      </c>
      <c r="G1132" s="5">
        <v>1</v>
      </c>
      <c r="H1132" s="5" t="s">
        <v>2864</v>
      </c>
      <c r="I1132" s="5" t="str">
        <f>IF(INDEX(Manual_Review!$Q$6:$Q$238,U1132)="","",INDEX(Manual_Review!$Q$6:$Q$238,U1132))</f>
        <v/>
      </c>
      <c r="J1132" s="5" t="str">
        <f t="shared" si="34"/>
        <v>AI provisional</v>
      </c>
      <c r="K1132" s="5" t="str">
        <f t="shared" si="35"/>
        <v>U</v>
      </c>
      <c r="L1132" s="5" t="s">
        <v>892</v>
      </c>
      <c r="M1132" s="5" t="s">
        <v>5226</v>
      </c>
      <c r="N1132" s="5" t="s">
        <v>5217</v>
      </c>
      <c r="O1132" s="5" t="s">
        <v>2877</v>
      </c>
      <c r="P1132" s="5" t="s">
        <v>2858</v>
      </c>
      <c r="Q1132" s="11">
        <v>46306.5</v>
      </c>
      <c r="R1132" s="6"/>
      <c r="S1132" s="6"/>
      <c r="T1132" s="6"/>
      <c r="U1132" s="5">
        <f>MATCH(B1132,Manual_Review!$A$6:$A$238,0)</f>
        <v>71</v>
      </c>
      <c r="V1132" s="5" t="str">
        <f>IF(INDEX(Manual_Review!$G$6:$G$238,U1132)="","",INDEX(Manual_Review!$G$6:$G$238,U1132))</f>
        <v/>
      </c>
      <c r="W1132" s="11" t="str">
        <f>IF(INDEX(Manual_Review!$H$6:$H$238,U1132)="","",INDEX(Manual_Review!$H$6:$H$238,U1132))</f>
        <v/>
      </c>
      <c r="X1132" s="5" t="str">
        <f>IF(INDEX(Manual_Review!$I$6:$I$238,U1132)="","",INDEX(Manual_Review!$I$6:$I$238,U1132))</f>
        <v/>
      </c>
      <c r="Y1132" s="5" t="s">
        <v>2859</v>
      </c>
    </row>
    <row r="1133" spans="1:25" ht="38.25">
      <c r="A1133" s="5" t="s">
        <v>5230</v>
      </c>
      <c r="B1133" s="5" t="s">
        <v>883</v>
      </c>
      <c r="C1133" s="5" t="s">
        <v>884</v>
      </c>
      <c r="D1133" s="5" t="s">
        <v>118</v>
      </c>
      <c r="E1133" s="5" t="s">
        <v>2788</v>
      </c>
      <c r="F1133" s="5" t="s">
        <v>2758</v>
      </c>
      <c r="G1133" s="5">
        <v>1</v>
      </c>
      <c r="H1133" s="5" t="s">
        <v>2864</v>
      </c>
      <c r="I1133" s="5" t="str">
        <f>IF(INDEX(Manual_Review!$R$6:$R$238,U1133)="","",INDEX(Manual_Review!$R$6:$R$238,U1133))</f>
        <v/>
      </c>
      <c r="J1133" s="5" t="str">
        <f t="shared" si="34"/>
        <v>AI provisional</v>
      </c>
      <c r="K1133" s="5" t="str">
        <f t="shared" si="35"/>
        <v>U</v>
      </c>
      <c r="L1133" s="5" t="s">
        <v>892</v>
      </c>
      <c r="M1133" s="5" t="s">
        <v>5231</v>
      </c>
      <c r="N1133" s="5" t="s">
        <v>5217</v>
      </c>
      <c r="O1133" s="5" t="s">
        <v>2880</v>
      </c>
      <c r="P1133" s="5" t="s">
        <v>2858</v>
      </c>
      <c r="Q1133" s="11">
        <v>46306.5</v>
      </c>
      <c r="R1133" s="6"/>
      <c r="S1133" s="6"/>
      <c r="T1133" s="6"/>
      <c r="U1133" s="5">
        <f>MATCH(B1133,Manual_Review!$A$6:$A$238,0)</f>
        <v>71</v>
      </c>
      <c r="V1133" s="5" t="str">
        <f>IF(INDEX(Manual_Review!$G$6:$G$238,U1133)="","",INDEX(Manual_Review!$G$6:$G$238,U1133))</f>
        <v/>
      </c>
      <c r="W1133" s="11" t="str">
        <f>IF(INDEX(Manual_Review!$H$6:$H$238,U1133)="","",INDEX(Manual_Review!$H$6:$H$238,U1133))</f>
        <v/>
      </c>
      <c r="X1133" s="5" t="str">
        <f>IF(INDEX(Manual_Review!$I$6:$I$238,U1133)="","",INDEX(Manual_Review!$I$6:$I$238,U1133))</f>
        <v/>
      </c>
      <c r="Y1133" s="5" t="s">
        <v>2859</v>
      </c>
    </row>
    <row r="1134" spans="1:25" ht="38.25">
      <c r="A1134" s="5" t="s">
        <v>5232</v>
      </c>
      <c r="B1134" s="5" t="s">
        <v>883</v>
      </c>
      <c r="C1134" s="5" t="s">
        <v>884</v>
      </c>
      <c r="D1134" s="5" t="s">
        <v>118</v>
      </c>
      <c r="E1134" s="5" t="s">
        <v>2789</v>
      </c>
      <c r="F1134" s="5" t="s">
        <v>2758</v>
      </c>
      <c r="G1134" s="5">
        <v>1</v>
      </c>
      <c r="H1134" s="5" t="s">
        <v>2854</v>
      </c>
      <c r="I1134" s="5" t="str">
        <f>IF(INDEX(Manual_Review!$S$6:$S$238,U1134)="","",INDEX(Manual_Review!$S$6:$S$238,U1134))</f>
        <v/>
      </c>
      <c r="J1134" s="5" t="str">
        <f t="shared" si="34"/>
        <v>AI provisional</v>
      </c>
      <c r="K1134" s="5" t="str">
        <f t="shared" si="35"/>
        <v>Y</v>
      </c>
      <c r="L1134" s="5" t="s">
        <v>892</v>
      </c>
      <c r="M1134" s="5" t="s">
        <v>5233</v>
      </c>
      <c r="N1134" s="5" t="s">
        <v>5217</v>
      </c>
      <c r="O1134" s="5" t="s">
        <v>3178</v>
      </c>
      <c r="P1134" s="5" t="s">
        <v>2858</v>
      </c>
      <c r="Q1134" s="11">
        <v>46306.5</v>
      </c>
      <c r="R1134" s="6"/>
      <c r="S1134" s="6"/>
      <c r="T1134" s="6"/>
      <c r="U1134" s="5">
        <f>MATCH(B1134,Manual_Review!$A$6:$A$238,0)</f>
        <v>71</v>
      </c>
      <c r="V1134" s="5" t="str">
        <f>IF(INDEX(Manual_Review!$G$6:$G$238,U1134)="","",INDEX(Manual_Review!$G$6:$G$238,U1134))</f>
        <v/>
      </c>
      <c r="W1134" s="11" t="str">
        <f>IF(INDEX(Manual_Review!$H$6:$H$238,U1134)="","",INDEX(Manual_Review!$H$6:$H$238,U1134))</f>
        <v/>
      </c>
      <c r="X1134" s="5" t="str">
        <f>IF(INDEX(Manual_Review!$I$6:$I$238,U1134)="","",INDEX(Manual_Review!$I$6:$I$238,U1134))</f>
        <v/>
      </c>
      <c r="Y1134" s="5" t="s">
        <v>2859</v>
      </c>
    </row>
    <row r="1135" spans="1:25" ht="38.25">
      <c r="A1135" s="5" t="s">
        <v>5234</v>
      </c>
      <c r="B1135" s="5" t="s">
        <v>883</v>
      </c>
      <c r="C1135" s="5" t="s">
        <v>884</v>
      </c>
      <c r="D1135" s="5" t="s">
        <v>118</v>
      </c>
      <c r="E1135" s="5" t="s">
        <v>2790</v>
      </c>
      <c r="F1135" s="5" t="s">
        <v>2760</v>
      </c>
      <c r="G1135" s="5">
        <v>1</v>
      </c>
      <c r="H1135" s="5" t="s">
        <v>2864</v>
      </c>
      <c r="I1135" s="5" t="str">
        <f>IF(INDEX(Manual_Review!$T$6:$T$238,U1135)="","",INDEX(Manual_Review!$T$6:$T$238,U1135))</f>
        <v/>
      </c>
      <c r="J1135" s="5" t="str">
        <f t="shared" si="34"/>
        <v>AI provisional</v>
      </c>
      <c r="K1135" s="5" t="str">
        <f t="shared" si="35"/>
        <v>U</v>
      </c>
      <c r="L1135" s="5" t="s">
        <v>892</v>
      </c>
      <c r="M1135" s="5" t="s">
        <v>5228</v>
      </c>
      <c r="N1135" s="5" t="s">
        <v>5217</v>
      </c>
      <c r="O1135" s="5" t="s">
        <v>2885</v>
      </c>
      <c r="P1135" s="5" t="s">
        <v>2858</v>
      </c>
      <c r="Q1135" s="11">
        <v>46306.5</v>
      </c>
      <c r="R1135" s="6"/>
      <c r="S1135" s="6"/>
      <c r="T1135" s="6"/>
      <c r="U1135" s="5">
        <f>MATCH(B1135,Manual_Review!$A$6:$A$238,0)</f>
        <v>71</v>
      </c>
      <c r="V1135" s="5" t="str">
        <f>IF(INDEX(Manual_Review!$G$6:$G$238,U1135)="","",INDEX(Manual_Review!$G$6:$G$238,U1135))</f>
        <v/>
      </c>
      <c r="W1135" s="11" t="str">
        <f>IF(INDEX(Manual_Review!$H$6:$H$238,U1135)="","",INDEX(Manual_Review!$H$6:$H$238,U1135))</f>
        <v/>
      </c>
      <c r="X1135" s="5" t="str">
        <f>IF(INDEX(Manual_Review!$I$6:$I$238,U1135)="","",INDEX(Manual_Review!$I$6:$I$238,U1135))</f>
        <v/>
      </c>
      <c r="Y1135" s="5" t="s">
        <v>2859</v>
      </c>
    </row>
    <row r="1136" spans="1:25" ht="38.25">
      <c r="A1136" s="5" t="s">
        <v>5235</v>
      </c>
      <c r="B1136" s="5" t="s">
        <v>883</v>
      </c>
      <c r="C1136" s="5" t="s">
        <v>884</v>
      </c>
      <c r="D1136" s="5" t="s">
        <v>118</v>
      </c>
      <c r="E1136" s="5" t="s">
        <v>2791</v>
      </c>
      <c r="F1136" s="5" t="s">
        <v>2760</v>
      </c>
      <c r="G1136" s="5">
        <v>1</v>
      </c>
      <c r="H1136" s="5" t="s">
        <v>2864</v>
      </c>
      <c r="I1136" s="5" t="str">
        <f>IF(INDEX(Manual_Review!$U$6:$U$238,U1136)="","",INDEX(Manual_Review!$U$6:$U$238,U1136))</f>
        <v/>
      </c>
      <c r="J1136" s="5" t="str">
        <f t="shared" si="34"/>
        <v>AI provisional</v>
      </c>
      <c r="K1136" s="5" t="str">
        <f t="shared" si="35"/>
        <v>U</v>
      </c>
      <c r="L1136" s="5" t="s">
        <v>892</v>
      </c>
      <c r="M1136" s="5" t="s">
        <v>5226</v>
      </c>
      <c r="N1136" s="5" t="s">
        <v>5217</v>
      </c>
      <c r="O1136" s="5" t="s">
        <v>2888</v>
      </c>
      <c r="P1136" s="5" t="s">
        <v>2858</v>
      </c>
      <c r="Q1136" s="11">
        <v>46306.5</v>
      </c>
      <c r="R1136" s="6"/>
      <c r="S1136" s="6"/>
      <c r="T1136" s="6"/>
      <c r="U1136" s="5">
        <f>MATCH(B1136,Manual_Review!$A$6:$A$238,0)</f>
        <v>71</v>
      </c>
      <c r="V1136" s="5" t="str">
        <f>IF(INDEX(Manual_Review!$G$6:$G$238,U1136)="","",INDEX(Manual_Review!$G$6:$G$238,U1136))</f>
        <v/>
      </c>
      <c r="W1136" s="11" t="str">
        <f>IF(INDEX(Manual_Review!$H$6:$H$238,U1136)="","",INDEX(Manual_Review!$H$6:$H$238,U1136))</f>
        <v/>
      </c>
      <c r="X1136" s="5" t="str">
        <f>IF(INDEX(Manual_Review!$I$6:$I$238,U1136)="","",INDEX(Manual_Review!$I$6:$I$238,U1136))</f>
        <v/>
      </c>
      <c r="Y1136" s="5" t="s">
        <v>2859</v>
      </c>
    </row>
    <row r="1137" spans="1:25" ht="38.25">
      <c r="A1137" s="5" t="s">
        <v>5236</v>
      </c>
      <c r="B1137" s="5" t="s">
        <v>883</v>
      </c>
      <c r="C1137" s="5" t="s">
        <v>884</v>
      </c>
      <c r="D1137" s="5" t="s">
        <v>118</v>
      </c>
      <c r="E1137" s="5" t="s">
        <v>2792</v>
      </c>
      <c r="F1137" s="5" t="s">
        <v>2762</v>
      </c>
      <c r="G1137" s="5">
        <v>1</v>
      </c>
      <c r="H1137" s="5" t="s">
        <v>2864</v>
      </c>
      <c r="I1137" s="5" t="str">
        <f>IF(INDEX(Manual_Review!$V$6:$V$238,U1137)="","",INDEX(Manual_Review!$V$6:$V$238,U1137))</f>
        <v/>
      </c>
      <c r="J1137" s="5" t="str">
        <f t="shared" si="34"/>
        <v>AI provisional</v>
      </c>
      <c r="K1137" s="5" t="str">
        <f t="shared" si="35"/>
        <v>U</v>
      </c>
      <c r="L1137" s="5" t="s">
        <v>892</v>
      </c>
      <c r="M1137" s="5" t="s">
        <v>5237</v>
      </c>
      <c r="N1137" s="5" t="s">
        <v>5217</v>
      </c>
      <c r="O1137" s="5" t="s">
        <v>2891</v>
      </c>
      <c r="P1137" s="5" t="s">
        <v>2858</v>
      </c>
      <c r="Q1137" s="11">
        <v>46306.5</v>
      </c>
      <c r="R1137" s="6"/>
      <c r="S1137" s="6"/>
      <c r="T1137" s="6"/>
      <c r="U1137" s="5">
        <f>MATCH(B1137,Manual_Review!$A$6:$A$238,0)</f>
        <v>71</v>
      </c>
      <c r="V1137" s="5" t="str">
        <f>IF(INDEX(Manual_Review!$G$6:$G$238,U1137)="","",INDEX(Manual_Review!$G$6:$G$238,U1137))</f>
        <v/>
      </c>
      <c r="W1137" s="11" t="str">
        <f>IF(INDEX(Manual_Review!$H$6:$H$238,U1137)="","",INDEX(Manual_Review!$H$6:$H$238,U1137))</f>
        <v/>
      </c>
      <c r="X1137" s="5" t="str">
        <f>IF(INDEX(Manual_Review!$I$6:$I$238,U1137)="","",INDEX(Manual_Review!$I$6:$I$238,U1137))</f>
        <v/>
      </c>
      <c r="Y1137" s="5" t="s">
        <v>2859</v>
      </c>
    </row>
    <row r="1138" spans="1:25" ht="38.25">
      <c r="A1138" s="5" t="s">
        <v>5238</v>
      </c>
      <c r="B1138" s="5" t="s">
        <v>883</v>
      </c>
      <c r="C1138" s="5" t="s">
        <v>884</v>
      </c>
      <c r="D1138" s="5" t="s">
        <v>118</v>
      </c>
      <c r="E1138" s="5" t="s">
        <v>2793</v>
      </c>
      <c r="F1138" s="5" t="s">
        <v>2762</v>
      </c>
      <c r="G1138" s="5">
        <v>1</v>
      </c>
      <c r="H1138" s="5" t="s">
        <v>2854</v>
      </c>
      <c r="I1138" s="5" t="str">
        <f>IF(INDEX(Manual_Review!$W$6:$W$238,U1138)="","",INDEX(Manual_Review!$W$6:$W$238,U1138))</f>
        <v/>
      </c>
      <c r="J1138" s="5" t="str">
        <f t="shared" si="34"/>
        <v>AI provisional</v>
      </c>
      <c r="K1138" s="5" t="str">
        <f t="shared" si="35"/>
        <v>Y</v>
      </c>
      <c r="L1138" s="5" t="s">
        <v>892</v>
      </c>
      <c r="M1138" s="5" t="s">
        <v>5239</v>
      </c>
      <c r="N1138" s="5" t="s">
        <v>5217</v>
      </c>
      <c r="O1138" s="5" t="s">
        <v>3077</v>
      </c>
      <c r="P1138" s="5" t="s">
        <v>2858</v>
      </c>
      <c r="Q1138" s="11">
        <v>46306.5</v>
      </c>
      <c r="R1138" s="6"/>
      <c r="S1138" s="6"/>
      <c r="T1138" s="6"/>
      <c r="U1138" s="5">
        <f>MATCH(B1138,Manual_Review!$A$6:$A$238,0)</f>
        <v>71</v>
      </c>
      <c r="V1138" s="5" t="str">
        <f>IF(INDEX(Manual_Review!$G$6:$G$238,U1138)="","",INDEX(Manual_Review!$G$6:$G$238,U1138))</f>
        <v/>
      </c>
      <c r="W1138" s="11" t="str">
        <f>IF(INDEX(Manual_Review!$H$6:$H$238,U1138)="","",INDEX(Manual_Review!$H$6:$H$238,U1138))</f>
        <v/>
      </c>
      <c r="X1138" s="5" t="str">
        <f>IF(INDEX(Manual_Review!$I$6:$I$238,U1138)="","",INDEX(Manual_Review!$I$6:$I$238,U1138))</f>
        <v/>
      </c>
      <c r="Y1138" s="5" t="s">
        <v>2859</v>
      </c>
    </row>
    <row r="1139" spans="1:25" ht="38.25">
      <c r="A1139" s="5" t="s">
        <v>5240</v>
      </c>
      <c r="B1139" s="5" t="s">
        <v>883</v>
      </c>
      <c r="C1139" s="5" t="s">
        <v>884</v>
      </c>
      <c r="D1139" s="5" t="s">
        <v>118</v>
      </c>
      <c r="E1139" s="5" t="s">
        <v>2794</v>
      </c>
      <c r="F1139" s="5" t="s">
        <v>2764</v>
      </c>
      <c r="G1139" s="5">
        <v>1</v>
      </c>
      <c r="H1139" s="5" t="s">
        <v>2854</v>
      </c>
      <c r="I1139" s="5" t="str">
        <f>IF(INDEX(Manual_Review!$X$6:$X$238,U1139)="","",INDEX(Manual_Review!$X$6:$X$238,U1139))</f>
        <v/>
      </c>
      <c r="J1139" s="5" t="str">
        <f t="shared" si="34"/>
        <v>AI provisional</v>
      </c>
      <c r="K1139" s="5" t="str">
        <f t="shared" si="35"/>
        <v>Y</v>
      </c>
      <c r="L1139" s="5" t="s">
        <v>892</v>
      </c>
      <c r="M1139" s="5" t="s">
        <v>5241</v>
      </c>
      <c r="N1139" s="5" t="s">
        <v>5217</v>
      </c>
      <c r="O1139" s="5" t="s">
        <v>2984</v>
      </c>
      <c r="P1139" s="5" t="s">
        <v>2858</v>
      </c>
      <c r="Q1139" s="11">
        <v>46306.5</v>
      </c>
      <c r="R1139" s="6"/>
      <c r="S1139" s="6"/>
      <c r="T1139" s="6"/>
      <c r="U1139" s="5">
        <f>MATCH(B1139,Manual_Review!$A$6:$A$238,0)</f>
        <v>71</v>
      </c>
      <c r="V1139" s="5" t="str">
        <f>IF(INDEX(Manual_Review!$G$6:$G$238,U1139)="","",INDEX(Manual_Review!$G$6:$G$238,U1139))</f>
        <v/>
      </c>
      <c r="W1139" s="11" t="str">
        <f>IF(INDEX(Manual_Review!$H$6:$H$238,U1139)="","",INDEX(Manual_Review!$H$6:$H$238,U1139))</f>
        <v/>
      </c>
      <c r="X1139" s="5" t="str">
        <f>IF(INDEX(Manual_Review!$I$6:$I$238,U1139)="","",INDEX(Manual_Review!$I$6:$I$238,U1139))</f>
        <v/>
      </c>
      <c r="Y1139" s="5" t="s">
        <v>2859</v>
      </c>
    </row>
    <row r="1140" spans="1:25" ht="38.25">
      <c r="A1140" s="5" t="s">
        <v>5242</v>
      </c>
      <c r="B1140" s="5" t="s">
        <v>883</v>
      </c>
      <c r="C1140" s="5" t="s">
        <v>884</v>
      </c>
      <c r="D1140" s="5" t="s">
        <v>118</v>
      </c>
      <c r="E1140" s="5" t="s">
        <v>2795</v>
      </c>
      <c r="F1140" s="5" t="s">
        <v>2764</v>
      </c>
      <c r="G1140" s="5">
        <v>1</v>
      </c>
      <c r="H1140" s="5" t="s">
        <v>2864</v>
      </c>
      <c r="I1140" s="5" t="str">
        <f>IF(INDEX(Manual_Review!$Y$6:$Y$238,U1140)="","",INDEX(Manual_Review!$Y$6:$Y$238,U1140))</f>
        <v/>
      </c>
      <c r="J1140" s="5" t="str">
        <f t="shared" si="34"/>
        <v>AI provisional</v>
      </c>
      <c r="K1140" s="5" t="str">
        <f t="shared" si="35"/>
        <v>U</v>
      </c>
      <c r="L1140" s="5" t="s">
        <v>892</v>
      </c>
      <c r="M1140" s="5" t="s">
        <v>5243</v>
      </c>
      <c r="N1140" s="5" t="s">
        <v>5217</v>
      </c>
      <c r="O1140" s="5" t="s">
        <v>2897</v>
      </c>
      <c r="P1140" s="5" t="s">
        <v>2858</v>
      </c>
      <c r="Q1140" s="11">
        <v>46306.5</v>
      </c>
      <c r="R1140" s="6"/>
      <c r="S1140" s="6"/>
      <c r="T1140" s="6"/>
      <c r="U1140" s="5">
        <f>MATCH(B1140,Manual_Review!$A$6:$A$238,0)</f>
        <v>71</v>
      </c>
      <c r="V1140" s="5" t="str">
        <f>IF(INDEX(Manual_Review!$G$6:$G$238,U1140)="","",INDEX(Manual_Review!$G$6:$G$238,U1140))</f>
        <v/>
      </c>
      <c r="W1140" s="11" t="str">
        <f>IF(INDEX(Manual_Review!$H$6:$H$238,U1140)="","",INDEX(Manual_Review!$H$6:$H$238,U1140))</f>
        <v/>
      </c>
      <c r="X1140" s="5" t="str">
        <f>IF(INDEX(Manual_Review!$I$6:$I$238,U1140)="","",INDEX(Manual_Review!$I$6:$I$238,U1140))</f>
        <v/>
      </c>
      <c r="Y1140" s="5" t="s">
        <v>2859</v>
      </c>
    </row>
    <row r="1141" spans="1:25" ht="38.25">
      <c r="A1141" s="5" t="s">
        <v>5244</v>
      </c>
      <c r="B1141" s="5" t="s">
        <v>883</v>
      </c>
      <c r="C1141" s="5" t="s">
        <v>884</v>
      </c>
      <c r="D1141" s="5" t="s">
        <v>118</v>
      </c>
      <c r="E1141" s="5" t="s">
        <v>2796</v>
      </c>
      <c r="F1141" s="5" t="s">
        <v>2764</v>
      </c>
      <c r="G1141" s="5">
        <v>1</v>
      </c>
      <c r="H1141" s="5" t="s">
        <v>2864</v>
      </c>
      <c r="I1141" s="5" t="str">
        <f>IF(INDEX(Manual_Review!$Z$6:$Z$238,U1141)="","",INDEX(Manual_Review!$Z$6:$Z$238,U1141))</f>
        <v/>
      </c>
      <c r="J1141" s="5" t="str">
        <f t="shared" si="34"/>
        <v>AI provisional</v>
      </c>
      <c r="K1141" s="5" t="str">
        <f t="shared" si="35"/>
        <v>U</v>
      </c>
      <c r="L1141" s="5" t="s">
        <v>892</v>
      </c>
      <c r="M1141" s="5" t="s">
        <v>5233</v>
      </c>
      <c r="N1141" s="5" t="s">
        <v>5217</v>
      </c>
      <c r="O1141" s="5" t="s">
        <v>2899</v>
      </c>
      <c r="P1141" s="5" t="s">
        <v>2858</v>
      </c>
      <c r="Q1141" s="11">
        <v>46306.5</v>
      </c>
      <c r="R1141" s="6"/>
      <c r="S1141" s="6"/>
      <c r="T1141" s="6"/>
      <c r="U1141" s="5">
        <f>MATCH(B1141,Manual_Review!$A$6:$A$238,0)</f>
        <v>71</v>
      </c>
      <c r="V1141" s="5" t="str">
        <f>IF(INDEX(Manual_Review!$G$6:$G$238,U1141)="","",INDEX(Manual_Review!$G$6:$G$238,U1141))</f>
        <v/>
      </c>
      <c r="W1141" s="11" t="str">
        <f>IF(INDEX(Manual_Review!$H$6:$H$238,U1141)="","",INDEX(Manual_Review!$H$6:$H$238,U1141))</f>
        <v/>
      </c>
      <c r="X1141" s="5" t="str">
        <f>IF(INDEX(Manual_Review!$I$6:$I$238,U1141)="","",INDEX(Manual_Review!$I$6:$I$238,U1141))</f>
        <v/>
      </c>
      <c r="Y1141" s="5" t="s">
        <v>2859</v>
      </c>
    </row>
    <row r="1142" spans="1:25" ht="25.5">
      <c r="A1142" s="5" t="s">
        <v>5245</v>
      </c>
      <c r="B1142" s="5" t="s">
        <v>894</v>
      </c>
      <c r="C1142" s="5" t="s">
        <v>895</v>
      </c>
      <c r="D1142" s="5" t="s">
        <v>118</v>
      </c>
      <c r="E1142" s="5" t="s">
        <v>2781</v>
      </c>
      <c r="F1142" s="5" t="s">
        <v>2754</v>
      </c>
      <c r="G1142" s="5">
        <v>1</v>
      </c>
      <c r="H1142" s="5" t="s">
        <v>2854</v>
      </c>
      <c r="I1142" s="5" t="str">
        <f>IF(INDEX(Manual_Review!$K$6:$K$238,U1142)="","",INDEX(Manual_Review!$K$6:$K$238,U1142))</f>
        <v/>
      </c>
      <c r="J1142" s="5" t="str">
        <f t="shared" si="34"/>
        <v>AI provisional</v>
      </c>
      <c r="K1142" s="5" t="str">
        <f t="shared" si="35"/>
        <v>Y</v>
      </c>
      <c r="L1142" s="5" t="s">
        <v>907</v>
      </c>
      <c r="M1142" s="5" t="s">
        <v>5246</v>
      </c>
      <c r="N1142" s="5" t="s">
        <v>5247</v>
      </c>
      <c r="O1142" s="5" t="s">
        <v>2991</v>
      </c>
      <c r="P1142" s="5" t="s">
        <v>2992</v>
      </c>
      <c r="Q1142" s="11">
        <v>46306.5</v>
      </c>
      <c r="R1142" s="6"/>
      <c r="S1142" s="6"/>
      <c r="T1142" s="6"/>
      <c r="U1142" s="5">
        <f>MATCH(B1142,Manual_Review!$A$6:$A$238,0)</f>
        <v>72</v>
      </c>
      <c r="V1142" s="5" t="str">
        <f>IF(INDEX(Manual_Review!$G$6:$G$238,U1142)="","",INDEX(Manual_Review!$G$6:$G$238,U1142))</f>
        <v/>
      </c>
      <c r="W1142" s="11" t="str">
        <f>IF(INDEX(Manual_Review!$H$6:$H$238,U1142)="","",INDEX(Manual_Review!$H$6:$H$238,U1142))</f>
        <v/>
      </c>
      <c r="X1142" s="5" t="str">
        <f>IF(INDEX(Manual_Review!$I$6:$I$238,U1142)="","",INDEX(Manual_Review!$I$6:$I$238,U1142))</f>
        <v/>
      </c>
      <c r="Y1142" s="5" t="s">
        <v>2859</v>
      </c>
    </row>
    <row r="1143" spans="1:25" ht="25.5">
      <c r="A1143" s="5" t="s">
        <v>5248</v>
      </c>
      <c r="B1143" s="5" t="s">
        <v>894</v>
      </c>
      <c r="C1143" s="5" t="s">
        <v>895</v>
      </c>
      <c r="D1143" s="5" t="s">
        <v>118</v>
      </c>
      <c r="E1143" s="5" t="s">
        <v>2782</v>
      </c>
      <c r="F1143" s="5" t="s">
        <v>2754</v>
      </c>
      <c r="G1143" s="5">
        <v>1</v>
      </c>
      <c r="H1143" s="5" t="s">
        <v>2854</v>
      </c>
      <c r="I1143" s="5" t="str">
        <f>IF(INDEX(Manual_Review!$L$6:$L$238,U1143)="","",INDEX(Manual_Review!$L$6:$L$238,U1143))</f>
        <v/>
      </c>
      <c r="J1143" s="5" t="str">
        <f t="shared" si="34"/>
        <v>AI provisional</v>
      </c>
      <c r="K1143" s="5" t="str">
        <f t="shared" si="35"/>
        <v>Y</v>
      </c>
      <c r="L1143" s="5" t="s">
        <v>907</v>
      </c>
      <c r="M1143" s="5" t="s">
        <v>5249</v>
      </c>
      <c r="N1143" s="5" t="s">
        <v>5250</v>
      </c>
      <c r="O1143" s="5" t="s">
        <v>2996</v>
      </c>
      <c r="P1143" s="5" t="s">
        <v>2992</v>
      </c>
      <c r="Q1143" s="11">
        <v>46306.5</v>
      </c>
      <c r="R1143" s="6"/>
      <c r="S1143" s="6"/>
      <c r="T1143" s="6"/>
      <c r="U1143" s="5">
        <f>MATCH(B1143,Manual_Review!$A$6:$A$238,0)</f>
        <v>72</v>
      </c>
      <c r="V1143" s="5" t="str">
        <f>IF(INDEX(Manual_Review!$G$6:$G$238,U1143)="","",INDEX(Manual_Review!$G$6:$G$238,U1143))</f>
        <v/>
      </c>
      <c r="W1143" s="11" t="str">
        <f>IF(INDEX(Manual_Review!$H$6:$H$238,U1143)="","",INDEX(Manual_Review!$H$6:$H$238,U1143))</f>
        <v/>
      </c>
      <c r="X1143" s="5" t="str">
        <f>IF(INDEX(Manual_Review!$I$6:$I$238,U1143)="","",INDEX(Manual_Review!$I$6:$I$238,U1143))</f>
        <v/>
      </c>
      <c r="Y1143" s="5" t="s">
        <v>2859</v>
      </c>
    </row>
    <row r="1144" spans="1:25" ht="25.5">
      <c r="A1144" s="5" t="s">
        <v>5251</v>
      </c>
      <c r="B1144" s="5" t="s">
        <v>894</v>
      </c>
      <c r="C1144" s="5" t="s">
        <v>895</v>
      </c>
      <c r="D1144" s="5" t="s">
        <v>118</v>
      </c>
      <c r="E1144" s="5" t="s">
        <v>2783</v>
      </c>
      <c r="F1144" s="5" t="s">
        <v>2754</v>
      </c>
      <c r="G1144" s="5">
        <v>1</v>
      </c>
      <c r="H1144" s="5" t="s">
        <v>2854</v>
      </c>
      <c r="I1144" s="5" t="str">
        <f>IF(INDEX(Manual_Review!$M$6:$M$238,U1144)="","",INDEX(Manual_Review!$M$6:$M$238,U1144))</f>
        <v/>
      </c>
      <c r="J1144" s="5" t="str">
        <f t="shared" si="34"/>
        <v>AI provisional</v>
      </c>
      <c r="K1144" s="5" t="str">
        <f t="shared" si="35"/>
        <v>Y</v>
      </c>
      <c r="L1144" s="5" t="s">
        <v>907</v>
      </c>
      <c r="M1144" s="5" t="s">
        <v>5252</v>
      </c>
      <c r="N1144" s="5" t="s">
        <v>5253</v>
      </c>
      <c r="O1144" s="5" t="s">
        <v>3000</v>
      </c>
      <c r="P1144" s="5" t="s">
        <v>2992</v>
      </c>
      <c r="Q1144" s="11">
        <v>46306.5</v>
      </c>
      <c r="R1144" s="6"/>
      <c r="S1144" s="6"/>
      <c r="T1144" s="6"/>
      <c r="U1144" s="5">
        <f>MATCH(B1144,Manual_Review!$A$6:$A$238,0)</f>
        <v>72</v>
      </c>
      <c r="V1144" s="5" t="str">
        <f>IF(INDEX(Manual_Review!$G$6:$G$238,U1144)="","",INDEX(Manual_Review!$G$6:$G$238,U1144))</f>
        <v/>
      </c>
      <c r="W1144" s="11" t="str">
        <f>IF(INDEX(Manual_Review!$H$6:$H$238,U1144)="","",INDEX(Manual_Review!$H$6:$H$238,U1144))</f>
        <v/>
      </c>
      <c r="X1144" s="5" t="str">
        <f>IF(INDEX(Manual_Review!$I$6:$I$238,U1144)="","",INDEX(Manual_Review!$I$6:$I$238,U1144))</f>
        <v/>
      </c>
      <c r="Y1144" s="5" t="s">
        <v>2859</v>
      </c>
    </row>
    <row r="1145" spans="1:25" ht="25.5">
      <c r="A1145" s="5" t="s">
        <v>5254</v>
      </c>
      <c r="B1145" s="5" t="s">
        <v>894</v>
      </c>
      <c r="C1145" s="5" t="s">
        <v>895</v>
      </c>
      <c r="D1145" s="5" t="s">
        <v>118</v>
      </c>
      <c r="E1145" s="5" t="s">
        <v>2784</v>
      </c>
      <c r="F1145" s="5" t="s">
        <v>2756</v>
      </c>
      <c r="G1145" s="5">
        <v>1</v>
      </c>
      <c r="H1145" s="5" t="s">
        <v>2854</v>
      </c>
      <c r="I1145" s="5" t="str">
        <f>IF(INDEX(Manual_Review!$N$6:$N$238,U1145)="","",INDEX(Manual_Review!$N$6:$N$238,U1145))</f>
        <v/>
      </c>
      <c r="J1145" s="5" t="str">
        <f t="shared" si="34"/>
        <v>AI provisional</v>
      </c>
      <c r="K1145" s="5" t="str">
        <f t="shared" si="35"/>
        <v>Y</v>
      </c>
      <c r="L1145" s="5" t="s">
        <v>907</v>
      </c>
      <c r="M1145" s="5" t="s">
        <v>5255</v>
      </c>
      <c r="N1145" s="5" t="s">
        <v>5256</v>
      </c>
      <c r="O1145" s="5" t="s">
        <v>3004</v>
      </c>
      <c r="P1145" s="5" t="s">
        <v>2992</v>
      </c>
      <c r="Q1145" s="11">
        <v>46306.5</v>
      </c>
      <c r="R1145" s="6"/>
      <c r="S1145" s="6"/>
      <c r="T1145" s="6"/>
      <c r="U1145" s="5">
        <f>MATCH(B1145,Manual_Review!$A$6:$A$238,0)</f>
        <v>72</v>
      </c>
      <c r="V1145" s="5" t="str">
        <f>IF(INDEX(Manual_Review!$G$6:$G$238,U1145)="","",INDEX(Manual_Review!$G$6:$G$238,U1145))</f>
        <v/>
      </c>
      <c r="W1145" s="11" t="str">
        <f>IF(INDEX(Manual_Review!$H$6:$H$238,U1145)="","",INDEX(Manual_Review!$H$6:$H$238,U1145))</f>
        <v/>
      </c>
      <c r="X1145" s="5" t="str">
        <f>IF(INDEX(Manual_Review!$I$6:$I$238,U1145)="","",INDEX(Manual_Review!$I$6:$I$238,U1145))</f>
        <v/>
      </c>
      <c r="Y1145" s="5" t="s">
        <v>2859</v>
      </c>
    </row>
    <row r="1146" spans="1:25" ht="25.5">
      <c r="A1146" s="5" t="s">
        <v>5257</v>
      </c>
      <c r="B1146" s="5" t="s">
        <v>894</v>
      </c>
      <c r="C1146" s="5" t="s">
        <v>895</v>
      </c>
      <c r="D1146" s="5" t="s">
        <v>118</v>
      </c>
      <c r="E1146" s="5" t="s">
        <v>2785</v>
      </c>
      <c r="F1146" s="5" t="s">
        <v>2756</v>
      </c>
      <c r="G1146" s="5">
        <v>1</v>
      </c>
      <c r="H1146" s="5" t="s">
        <v>2864</v>
      </c>
      <c r="I1146" s="5" t="str">
        <f>IF(INDEX(Manual_Review!$O$6:$O$238,U1146)="","",INDEX(Manual_Review!$O$6:$O$238,U1146))</f>
        <v/>
      </c>
      <c r="J1146" s="5" t="str">
        <f t="shared" si="34"/>
        <v>AI provisional</v>
      </c>
      <c r="K1146" s="5" t="str">
        <f t="shared" si="35"/>
        <v>U</v>
      </c>
      <c r="L1146" s="5" t="s">
        <v>907</v>
      </c>
      <c r="M1146" s="5" t="s">
        <v>5255</v>
      </c>
      <c r="N1146" s="5" t="s">
        <v>5256</v>
      </c>
      <c r="O1146" s="5" t="s">
        <v>3006</v>
      </c>
      <c r="P1146" s="5" t="s">
        <v>2992</v>
      </c>
      <c r="Q1146" s="11">
        <v>46306.5</v>
      </c>
      <c r="R1146" s="6"/>
      <c r="S1146" s="6"/>
      <c r="T1146" s="6"/>
      <c r="U1146" s="5">
        <f>MATCH(B1146,Manual_Review!$A$6:$A$238,0)</f>
        <v>72</v>
      </c>
      <c r="V1146" s="5" t="str">
        <f>IF(INDEX(Manual_Review!$G$6:$G$238,U1146)="","",INDEX(Manual_Review!$G$6:$G$238,U1146))</f>
        <v/>
      </c>
      <c r="W1146" s="11" t="str">
        <f>IF(INDEX(Manual_Review!$H$6:$H$238,U1146)="","",INDEX(Manual_Review!$H$6:$H$238,U1146))</f>
        <v/>
      </c>
      <c r="X1146" s="5" t="str">
        <f>IF(INDEX(Manual_Review!$I$6:$I$238,U1146)="","",INDEX(Manual_Review!$I$6:$I$238,U1146))</f>
        <v/>
      </c>
      <c r="Y1146" s="5" t="s">
        <v>2859</v>
      </c>
    </row>
    <row r="1147" spans="1:25" ht="25.5">
      <c r="A1147" s="5" t="s">
        <v>5258</v>
      </c>
      <c r="B1147" s="5" t="s">
        <v>894</v>
      </c>
      <c r="C1147" s="5" t="s">
        <v>895</v>
      </c>
      <c r="D1147" s="5" t="s">
        <v>118</v>
      </c>
      <c r="E1147" s="5" t="s">
        <v>2786</v>
      </c>
      <c r="F1147" s="5" t="s">
        <v>2756</v>
      </c>
      <c r="G1147" s="5">
        <v>1</v>
      </c>
      <c r="H1147" s="5" t="s">
        <v>2864</v>
      </c>
      <c r="I1147" s="5" t="str">
        <f>IF(INDEX(Manual_Review!$P$6:$P$238,U1147)="","",INDEX(Manual_Review!$P$6:$P$238,U1147))</f>
        <v/>
      </c>
      <c r="J1147" s="5" t="str">
        <f t="shared" si="34"/>
        <v>AI provisional</v>
      </c>
      <c r="K1147" s="5" t="str">
        <f t="shared" si="35"/>
        <v>U</v>
      </c>
      <c r="L1147" s="5" t="s">
        <v>907</v>
      </c>
      <c r="M1147" s="5" t="s">
        <v>5259</v>
      </c>
      <c r="N1147" s="5" t="s">
        <v>5260</v>
      </c>
      <c r="O1147" s="5" t="s">
        <v>3010</v>
      </c>
      <c r="P1147" s="5" t="s">
        <v>2992</v>
      </c>
      <c r="Q1147" s="11">
        <v>46306.5</v>
      </c>
      <c r="R1147" s="6"/>
      <c r="S1147" s="6"/>
      <c r="T1147" s="6"/>
      <c r="U1147" s="5">
        <f>MATCH(B1147,Manual_Review!$A$6:$A$238,0)</f>
        <v>72</v>
      </c>
      <c r="V1147" s="5" t="str">
        <f>IF(INDEX(Manual_Review!$G$6:$G$238,U1147)="","",INDEX(Manual_Review!$G$6:$G$238,U1147))</f>
        <v/>
      </c>
      <c r="W1147" s="11" t="str">
        <f>IF(INDEX(Manual_Review!$H$6:$H$238,U1147)="","",INDEX(Manual_Review!$H$6:$H$238,U1147))</f>
        <v/>
      </c>
      <c r="X1147" s="5" t="str">
        <f>IF(INDEX(Manual_Review!$I$6:$I$238,U1147)="","",INDEX(Manual_Review!$I$6:$I$238,U1147))</f>
        <v/>
      </c>
      <c r="Y1147" s="5" t="s">
        <v>2859</v>
      </c>
    </row>
    <row r="1148" spans="1:25" ht="25.5">
      <c r="A1148" s="5" t="s">
        <v>5261</v>
      </c>
      <c r="B1148" s="5" t="s">
        <v>894</v>
      </c>
      <c r="C1148" s="5" t="s">
        <v>895</v>
      </c>
      <c r="D1148" s="5" t="s">
        <v>118</v>
      </c>
      <c r="E1148" s="5" t="s">
        <v>2787</v>
      </c>
      <c r="F1148" s="5" t="s">
        <v>2758</v>
      </c>
      <c r="G1148" s="5">
        <v>1</v>
      </c>
      <c r="H1148" s="5" t="s">
        <v>2864</v>
      </c>
      <c r="I1148" s="5" t="str">
        <f>IF(INDEX(Manual_Review!$Q$6:$Q$238,U1148)="","",INDEX(Manual_Review!$Q$6:$Q$238,U1148))</f>
        <v/>
      </c>
      <c r="J1148" s="5" t="str">
        <f t="shared" si="34"/>
        <v>AI provisional</v>
      </c>
      <c r="K1148" s="5" t="str">
        <f t="shared" si="35"/>
        <v>U</v>
      </c>
      <c r="L1148" s="5" t="s">
        <v>907</v>
      </c>
      <c r="M1148" s="5" t="s">
        <v>5262</v>
      </c>
      <c r="N1148" s="5" t="s">
        <v>5263</v>
      </c>
      <c r="O1148" s="5" t="s">
        <v>3014</v>
      </c>
      <c r="P1148" s="5" t="s">
        <v>2992</v>
      </c>
      <c r="Q1148" s="11">
        <v>46306.5</v>
      </c>
      <c r="R1148" s="6"/>
      <c r="S1148" s="6"/>
      <c r="T1148" s="6"/>
      <c r="U1148" s="5">
        <f>MATCH(B1148,Manual_Review!$A$6:$A$238,0)</f>
        <v>72</v>
      </c>
      <c r="V1148" s="5" t="str">
        <f>IF(INDEX(Manual_Review!$G$6:$G$238,U1148)="","",INDEX(Manual_Review!$G$6:$G$238,U1148))</f>
        <v/>
      </c>
      <c r="W1148" s="11" t="str">
        <f>IF(INDEX(Manual_Review!$H$6:$H$238,U1148)="","",INDEX(Manual_Review!$H$6:$H$238,U1148))</f>
        <v/>
      </c>
      <c r="X1148" s="5" t="str">
        <f>IF(INDEX(Manual_Review!$I$6:$I$238,U1148)="","",INDEX(Manual_Review!$I$6:$I$238,U1148))</f>
        <v/>
      </c>
      <c r="Y1148" s="5" t="s">
        <v>2859</v>
      </c>
    </row>
    <row r="1149" spans="1:25" ht="51">
      <c r="A1149" s="5" t="s">
        <v>5264</v>
      </c>
      <c r="B1149" s="5" t="s">
        <v>894</v>
      </c>
      <c r="C1149" s="5" t="s">
        <v>895</v>
      </c>
      <c r="D1149" s="5" t="s">
        <v>118</v>
      </c>
      <c r="E1149" s="5" t="s">
        <v>2788</v>
      </c>
      <c r="F1149" s="5" t="s">
        <v>2758</v>
      </c>
      <c r="G1149" s="5">
        <v>1</v>
      </c>
      <c r="H1149" s="5" t="s">
        <v>2854</v>
      </c>
      <c r="I1149" s="5" t="str">
        <f>IF(INDEX(Manual_Review!$R$6:$R$238,U1149)="","",INDEX(Manual_Review!$R$6:$R$238,U1149))</f>
        <v/>
      </c>
      <c r="J1149" s="5" t="str">
        <f t="shared" si="34"/>
        <v>AI provisional</v>
      </c>
      <c r="K1149" s="5" t="str">
        <f t="shared" si="35"/>
        <v>Y</v>
      </c>
      <c r="L1149" s="5" t="s">
        <v>907</v>
      </c>
      <c r="M1149" s="5" t="s">
        <v>5265</v>
      </c>
      <c r="N1149" s="5" t="s">
        <v>5266</v>
      </c>
      <c r="O1149" s="5" t="s">
        <v>3018</v>
      </c>
      <c r="P1149" s="5" t="s">
        <v>2992</v>
      </c>
      <c r="Q1149" s="11">
        <v>46306.5</v>
      </c>
      <c r="R1149" s="6"/>
      <c r="S1149" s="6"/>
      <c r="T1149" s="6"/>
      <c r="U1149" s="5">
        <f>MATCH(B1149,Manual_Review!$A$6:$A$238,0)</f>
        <v>72</v>
      </c>
      <c r="V1149" s="5" t="str">
        <f>IF(INDEX(Manual_Review!$G$6:$G$238,U1149)="","",INDEX(Manual_Review!$G$6:$G$238,U1149))</f>
        <v/>
      </c>
      <c r="W1149" s="11" t="str">
        <f>IF(INDEX(Manual_Review!$H$6:$H$238,U1149)="","",INDEX(Manual_Review!$H$6:$H$238,U1149))</f>
        <v/>
      </c>
      <c r="X1149" s="5" t="str">
        <f>IF(INDEX(Manual_Review!$I$6:$I$238,U1149)="","",INDEX(Manual_Review!$I$6:$I$238,U1149))</f>
        <v/>
      </c>
      <c r="Y1149" s="5" t="s">
        <v>2859</v>
      </c>
    </row>
    <row r="1150" spans="1:25" ht="38.25">
      <c r="A1150" s="5" t="s">
        <v>5267</v>
      </c>
      <c r="B1150" s="5" t="s">
        <v>894</v>
      </c>
      <c r="C1150" s="5" t="s">
        <v>895</v>
      </c>
      <c r="D1150" s="5" t="s">
        <v>118</v>
      </c>
      <c r="E1150" s="5" t="s">
        <v>2789</v>
      </c>
      <c r="F1150" s="5" t="s">
        <v>2758</v>
      </c>
      <c r="G1150" s="5">
        <v>1</v>
      </c>
      <c r="H1150" s="5" t="s">
        <v>2854</v>
      </c>
      <c r="I1150" s="5" t="str">
        <f>IF(INDEX(Manual_Review!$S$6:$S$238,U1150)="","",INDEX(Manual_Review!$S$6:$S$238,U1150))</f>
        <v/>
      </c>
      <c r="J1150" s="5" t="str">
        <f t="shared" si="34"/>
        <v>AI provisional</v>
      </c>
      <c r="K1150" s="5" t="str">
        <f t="shared" si="35"/>
        <v>Y</v>
      </c>
      <c r="L1150" s="5" t="s">
        <v>907</v>
      </c>
      <c r="M1150" s="5" t="s">
        <v>5268</v>
      </c>
      <c r="N1150" s="5" t="s">
        <v>5269</v>
      </c>
      <c r="O1150" s="5" t="s">
        <v>3022</v>
      </c>
      <c r="P1150" s="5" t="s">
        <v>2992</v>
      </c>
      <c r="Q1150" s="11">
        <v>46306.5</v>
      </c>
      <c r="R1150" s="6"/>
      <c r="S1150" s="6"/>
      <c r="T1150" s="6"/>
      <c r="U1150" s="5">
        <f>MATCH(B1150,Manual_Review!$A$6:$A$238,0)</f>
        <v>72</v>
      </c>
      <c r="V1150" s="5" t="str">
        <f>IF(INDEX(Manual_Review!$G$6:$G$238,U1150)="","",INDEX(Manual_Review!$G$6:$G$238,U1150))</f>
        <v/>
      </c>
      <c r="W1150" s="11" t="str">
        <f>IF(INDEX(Manual_Review!$H$6:$H$238,U1150)="","",INDEX(Manual_Review!$H$6:$H$238,U1150))</f>
        <v/>
      </c>
      <c r="X1150" s="5" t="str">
        <f>IF(INDEX(Manual_Review!$I$6:$I$238,U1150)="","",INDEX(Manual_Review!$I$6:$I$238,U1150))</f>
        <v/>
      </c>
      <c r="Y1150" s="5" t="s">
        <v>2859</v>
      </c>
    </row>
    <row r="1151" spans="1:25" ht="25.5">
      <c r="A1151" s="5" t="s">
        <v>5270</v>
      </c>
      <c r="B1151" s="5" t="s">
        <v>894</v>
      </c>
      <c r="C1151" s="5" t="s">
        <v>895</v>
      </c>
      <c r="D1151" s="5" t="s">
        <v>118</v>
      </c>
      <c r="E1151" s="5" t="s">
        <v>2790</v>
      </c>
      <c r="F1151" s="5" t="s">
        <v>2760</v>
      </c>
      <c r="G1151" s="5">
        <v>1</v>
      </c>
      <c r="H1151" s="5" t="s">
        <v>2864</v>
      </c>
      <c r="I1151" s="5" t="str">
        <f>IF(INDEX(Manual_Review!$T$6:$T$238,U1151)="","",INDEX(Manual_Review!$T$6:$T$238,U1151))</f>
        <v/>
      </c>
      <c r="J1151" s="5" t="str">
        <f t="shared" si="34"/>
        <v>AI provisional</v>
      </c>
      <c r="K1151" s="5" t="str">
        <f t="shared" si="35"/>
        <v>U</v>
      </c>
      <c r="L1151" s="5" t="s">
        <v>907</v>
      </c>
      <c r="M1151" s="5" t="s">
        <v>5271</v>
      </c>
      <c r="N1151" s="5" t="s">
        <v>5272</v>
      </c>
      <c r="O1151" s="5" t="s">
        <v>5273</v>
      </c>
      <c r="P1151" s="5" t="s">
        <v>2992</v>
      </c>
      <c r="Q1151" s="11">
        <v>46306.5</v>
      </c>
      <c r="R1151" s="6"/>
      <c r="S1151" s="6"/>
      <c r="T1151" s="6"/>
      <c r="U1151" s="5">
        <f>MATCH(B1151,Manual_Review!$A$6:$A$238,0)</f>
        <v>72</v>
      </c>
      <c r="V1151" s="5" t="str">
        <f>IF(INDEX(Manual_Review!$G$6:$G$238,U1151)="","",INDEX(Manual_Review!$G$6:$G$238,U1151))</f>
        <v/>
      </c>
      <c r="W1151" s="11" t="str">
        <f>IF(INDEX(Manual_Review!$H$6:$H$238,U1151)="","",INDEX(Manual_Review!$H$6:$H$238,U1151))</f>
        <v/>
      </c>
      <c r="X1151" s="5" t="str">
        <f>IF(INDEX(Manual_Review!$I$6:$I$238,U1151)="","",INDEX(Manual_Review!$I$6:$I$238,U1151))</f>
        <v/>
      </c>
      <c r="Y1151" s="5" t="s">
        <v>2859</v>
      </c>
    </row>
    <row r="1152" spans="1:25" ht="25.5">
      <c r="A1152" s="5" t="s">
        <v>5274</v>
      </c>
      <c r="B1152" s="5" t="s">
        <v>894</v>
      </c>
      <c r="C1152" s="5" t="s">
        <v>895</v>
      </c>
      <c r="D1152" s="5" t="s">
        <v>118</v>
      </c>
      <c r="E1152" s="5" t="s">
        <v>2791</v>
      </c>
      <c r="F1152" s="5" t="s">
        <v>2760</v>
      </c>
      <c r="G1152" s="5">
        <v>1</v>
      </c>
      <c r="H1152" s="5" t="s">
        <v>2864</v>
      </c>
      <c r="I1152" s="5" t="str">
        <f>IF(INDEX(Manual_Review!$U$6:$U$238,U1152)="","",INDEX(Manual_Review!$U$6:$U$238,U1152))</f>
        <v/>
      </c>
      <c r="J1152" s="5" t="str">
        <f t="shared" si="34"/>
        <v>AI provisional</v>
      </c>
      <c r="K1152" s="5" t="str">
        <f t="shared" si="35"/>
        <v>U</v>
      </c>
      <c r="L1152" s="5" t="s">
        <v>907</v>
      </c>
      <c r="M1152" s="5" t="s">
        <v>5275</v>
      </c>
      <c r="N1152" s="5" t="s">
        <v>5276</v>
      </c>
      <c r="O1152" s="5" t="s">
        <v>3030</v>
      </c>
      <c r="P1152" s="5" t="s">
        <v>2992</v>
      </c>
      <c r="Q1152" s="11">
        <v>46306.5</v>
      </c>
      <c r="R1152" s="6"/>
      <c r="S1152" s="6"/>
      <c r="T1152" s="6"/>
      <c r="U1152" s="5">
        <f>MATCH(B1152,Manual_Review!$A$6:$A$238,0)</f>
        <v>72</v>
      </c>
      <c r="V1152" s="5" t="str">
        <f>IF(INDEX(Manual_Review!$G$6:$G$238,U1152)="","",INDEX(Manual_Review!$G$6:$G$238,U1152))</f>
        <v/>
      </c>
      <c r="W1152" s="11" t="str">
        <f>IF(INDEX(Manual_Review!$H$6:$H$238,U1152)="","",INDEX(Manual_Review!$H$6:$H$238,U1152))</f>
        <v/>
      </c>
      <c r="X1152" s="5" t="str">
        <f>IF(INDEX(Manual_Review!$I$6:$I$238,U1152)="","",INDEX(Manual_Review!$I$6:$I$238,U1152))</f>
        <v/>
      </c>
      <c r="Y1152" s="5" t="s">
        <v>2859</v>
      </c>
    </row>
    <row r="1153" spans="1:25" ht="25.5">
      <c r="A1153" s="5" t="s">
        <v>5277</v>
      </c>
      <c r="B1153" s="5" t="s">
        <v>894</v>
      </c>
      <c r="C1153" s="5" t="s">
        <v>895</v>
      </c>
      <c r="D1153" s="5" t="s">
        <v>118</v>
      </c>
      <c r="E1153" s="5" t="s">
        <v>2792</v>
      </c>
      <c r="F1153" s="5" t="s">
        <v>2762</v>
      </c>
      <c r="G1153" s="5">
        <v>1</v>
      </c>
      <c r="H1153" s="5" t="s">
        <v>2854</v>
      </c>
      <c r="I1153" s="5" t="str">
        <f>IF(INDEX(Manual_Review!$V$6:$V$238,U1153)="","",INDEX(Manual_Review!$V$6:$V$238,U1153))</f>
        <v/>
      </c>
      <c r="J1153" s="5" t="str">
        <f t="shared" si="34"/>
        <v>AI provisional</v>
      </c>
      <c r="K1153" s="5" t="str">
        <f t="shared" si="35"/>
        <v>Y</v>
      </c>
      <c r="L1153" s="5" t="s">
        <v>907</v>
      </c>
      <c r="M1153" s="5" t="s">
        <v>5278</v>
      </c>
      <c r="N1153" s="5" t="s">
        <v>5279</v>
      </c>
      <c r="O1153" s="5" t="s">
        <v>3034</v>
      </c>
      <c r="P1153" s="5" t="s">
        <v>2992</v>
      </c>
      <c r="Q1153" s="11">
        <v>46306.5</v>
      </c>
      <c r="R1153" s="6"/>
      <c r="S1153" s="6"/>
      <c r="T1153" s="6"/>
      <c r="U1153" s="5">
        <f>MATCH(B1153,Manual_Review!$A$6:$A$238,0)</f>
        <v>72</v>
      </c>
      <c r="V1153" s="5" t="str">
        <f>IF(INDEX(Manual_Review!$G$6:$G$238,U1153)="","",INDEX(Manual_Review!$G$6:$G$238,U1153))</f>
        <v/>
      </c>
      <c r="W1153" s="11" t="str">
        <f>IF(INDEX(Manual_Review!$H$6:$H$238,U1153)="","",INDEX(Manual_Review!$H$6:$H$238,U1153))</f>
        <v/>
      </c>
      <c r="X1153" s="5" t="str">
        <f>IF(INDEX(Manual_Review!$I$6:$I$238,U1153)="","",INDEX(Manual_Review!$I$6:$I$238,U1153))</f>
        <v/>
      </c>
      <c r="Y1153" s="5" t="s">
        <v>2859</v>
      </c>
    </row>
    <row r="1154" spans="1:25" ht="51">
      <c r="A1154" s="5" t="s">
        <v>5280</v>
      </c>
      <c r="B1154" s="5" t="s">
        <v>894</v>
      </c>
      <c r="C1154" s="5" t="s">
        <v>895</v>
      </c>
      <c r="D1154" s="5" t="s">
        <v>118</v>
      </c>
      <c r="E1154" s="5" t="s">
        <v>2793</v>
      </c>
      <c r="F1154" s="5" t="s">
        <v>2762</v>
      </c>
      <c r="G1154" s="5">
        <v>1</v>
      </c>
      <c r="H1154" s="5" t="s">
        <v>2864</v>
      </c>
      <c r="I1154" s="5" t="str">
        <f>IF(INDEX(Manual_Review!$W$6:$W$238,U1154)="","",INDEX(Manual_Review!$W$6:$W$238,U1154))</f>
        <v/>
      </c>
      <c r="J1154" s="5" t="str">
        <f t="shared" si="34"/>
        <v>AI provisional</v>
      </c>
      <c r="K1154" s="5" t="str">
        <f t="shared" si="35"/>
        <v>U</v>
      </c>
      <c r="L1154" s="5" t="s">
        <v>907</v>
      </c>
      <c r="M1154" s="5" t="s">
        <v>5281</v>
      </c>
      <c r="N1154" s="5" t="s">
        <v>5282</v>
      </c>
      <c r="O1154" s="5" t="s">
        <v>3461</v>
      </c>
      <c r="P1154" s="5" t="s">
        <v>2992</v>
      </c>
      <c r="Q1154" s="11">
        <v>46306.5</v>
      </c>
      <c r="R1154" s="6"/>
      <c r="S1154" s="6"/>
      <c r="T1154" s="6"/>
      <c r="U1154" s="5">
        <f>MATCH(B1154,Manual_Review!$A$6:$A$238,0)</f>
        <v>72</v>
      </c>
      <c r="V1154" s="5" t="str">
        <f>IF(INDEX(Manual_Review!$G$6:$G$238,U1154)="","",INDEX(Manual_Review!$G$6:$G$238,U1154))</f>
        <v/>
      </c>
      <c r="W1154" s="11" t="str">
        <f>IF(INDEX(Manual_Review!$H$6:$H$238,U1154)="","",INDEX(Manual_Review!$H$6:$H$238,U1154))</f>
        <v/>
      </c>
      <c r="X1154" s="5" t="str">
        <f>IF(INDEX(Manual_Review!$I$6:$I$238,U1154)="","",INDEX(Manual_Review!$I$6:$I$238,U1154))</f>
        <v/>
      </c>
      <c r="Y1154" s="5" t="s">
        <v>2859</v>
      </c>
    </row>
    <row r="1155" spans="1:25" ht="25.5">
      <c r="A1155" s="5" t="s">
        <v>5283</v>
      </c>
      <c r="B1155" s="5" t="s">
        <v>894</v>
      </c>
      <c r="C1155" s="5" t="s">
        <v>895</v>
      </c>
      <c r="D1155" s="5" t="s">
        <v>118</v>
      </c>
      <c r="E1155" s="5" t="s">
        <v>2794</v>
      </c>
      <c r="F1155" s="5" t="s">
        <v>2764</v>
      </c>
      <c r="G1155" s="5">
        <v>1</v>
      </c>
      <c r="H1155" s="5" t="s">
        <v>2854</v>
      </c>
      <c r="I1155" s="5" t="str">
        <f>IF(INDEX(Manual_Review!$X$6:$X$238,U1155)="","",INDEX(Manual_Review!$X$6:$X$238,U1155))</f>
        <v/>
      </c>
      <c r="J1155" s="5" t="str">
        <f t="shared" si="34"/>
        <v>AI provisional</v>
      </c>
      <c r="K1155" s="5" t="str">
        <f t="shared" si="35"/>
        <v>Y</v>
      </c>
      <c r="L1155" s="5" t="s">
        <v>907</v>
      </c>
      <c r="M1155" s="5" t="s">
        <v>5284</v>
      </c>
      <c r="N1155" s="5" t="s">
        <v>5285</v>
      </c>
      <c r="O1155" s="5" t="s">
        <v>3042</v>
      </c>
      <c r="P1155" s="5" t="s">
        <v>2992</v>
      </c>
      <c r="Q1155" s="11">
        <v>46306.5</v>
      </c>
      <c r="R1155" s="6"/>
      <c r="S1155" s="6"/>
      <c r="T1155" s="6"/>
      <c r="U1155" s="5">
        <f>MATCH(B1155,Manual_Review!$A$6:$A$238,0)</f>
        <v>72</v>
      </c>
      <c r="V1155" s="5" t="str">
        <f>IF(INDEX(Manual_Review!$G$6:$G$238,U1155)="","",INDEX(Manual_Review!$G$6:$G$238,U1155))</f>
        <v/>
      </c>
      <c r="W1155" s="11" t="str">
        <f>IF(INDEX(Manual_Review!$H$6:$H$238,U1155)="","",INDEX(Manual_Review!$H$6:$H$238,U1155))</f>
        <v/>
      </c>
      <c r="X1155" s="5" t="str">
        <f>IF(INDEX(Manual_Review!$I$6:$I$238,U1155)="","",INDEX(Manual_Review!$I$6:$I$238,U1155))</f>
        <v/>
      </c>
      <c r="Y1155" s="5" t="s">
        <v>2859</v>
      </c>
    </row>
    <row r="1156" spans="1:25" ht="25.5">
      <c r="A1156" s="5" t="s">
        <v>5286</v>
      </c>
      <c r="B1156" s="5" t="s">
        <v>894</v>
      </c>
      <c r="C1156" s="5" t="s">
        <v>895</v>
      </c>
      <c r="D1156" s="5" t="s">
        <v>118</v>
      </c>
      <c r="E1156" s="5" t="s">
        <v>2795</v>
      </c>
      <c r="F1156" s="5" t="s">
        <v>2764</v>
      </c>
      <c r="G1156" s="5">
        <v>1</v>
      </c>
      <c r="H1156" s="5" t="s">
        <v>2864</v>
      </c>
      <c r="I1156" s="5" t="str">
        <f>IF(INDEX(Manual_Review!$Y$6:$Y$238,U1156)="","",INDEX(Manual_Review!$Y$6:$Y$238,U1156))</f>
        <v/>
      </c>
      <c r="J1156" s="5" t="str">
        <f t="shared" si="34"/>
        <v>AI provisional</v>
      </c>
      <c r="K1156" s="5" t="str">
        <f t="shared" si="35"/>
        <v>U</v>
      </c>
      <c r="L1156" s="5" t="s">
        <v>907</v>
      </c>
      <c r="M1156" s="5" t="s">
        <v>5287</v>
      </c>
      <c r="N1156" s="5" t="s">
        <v>5288</v>
      </c>
      <c r="O1156" s="5" t="s">
        <v>3469</v>
      </c>
      <c r="P1156" s="5" t="s">
        <v>2992</v>
      </c>
      <c r="Q1156" s="11">
        <v>46306.5</v>
      </c>
      <c r="R1156" s="6"/>
      <c r="S1156" s="6"/>
      <c r="T1156" s="6"/>
      <c r="U1156" s="5">
        <f>MATCH(B1156,Manual_Review!$A$6:$A$238,0)</f>
        <v>72</v>
      </c>
      <c r="V1156" s="5" t="str">
        <f>IF(INDEX(Manual_Review!$G$6:$G$238,U1156)="","",INDEX(Manual_Review!$G$6:$G$238,U1156))</f>
        <v/>
      </c>
      <c r="W1156" s="11" t="str">
        <f>IF(INDEX(Manual_Review!$H$6:$H$238,U1156)="","",INDEX(Manual_Review!$H$6:$H$238,U1156))</f>
        <v/>
      </c>
      <c r="X1156" s="5" t="str">
        <f>IF(INDEX(Manual_Review!$I$6:$I$238,U1156)="","",INDEX(Manual_Review!$I$6:$I$238,U1156))</f>
        <v/>
      </c>
      <c r="Y1156" s="5" t="s">
        <v>2859</v>
      </c>
    </row>
    <row r="1157" spans="1:25" ht="38.25">
      <c r="A1157" s="5" t="s">
        <v>5289</v>
      </c>
      <c r="B1157" s="5" t="s">
        <v>894</v>
      </c>
      <c r="C1157" s="5" t="s">
        <v>895</v>
      </c>
      <c r="D1157" s="5" t="s">
        <v>118</v>
      </c>
      <c r="E1157" s="5" t="s">
        <v>2796</v>
      </c>
      <c r="F1157" s="5" t="s">
        <v>2764</v>
      </c>
      <c r="G1157" s="5">
        <v>1</v>
      </c>
      <c r="H1157" s="5" t="s">
        <v>2864</v>
      </c>
      <c r="I1157" s="5" t="str">
        <f>IF(INDEX(Manual_Review!$Z$6:$Z$238,U1157)="","",INDEX(Manual_Review!$Z$6:$Z$238,U1157))</f>
        <v/>
      </c>
      <c r="J1157" s="5" t="str">
        <f t="shared" si="34"/>
        <v>AI provisional</v>
      </c>
      <c r="K1157" s="5" t="str">
        <f t="shared" si="35"/>
        <v>U</v>
      </c>
      <c r="L1157" s="5" t="s">
        <v>907</v>
      </c>
      <c r="M1157" s="5" t="s">
        <v>5290</v>
      </c>
      <c r="N1157" s="5" t="s">
        <v>5291</v>
      </c>
      <c r="O1157" s="5" t="s">
        <v>3050</v>
      </c>
      <c r="P1157" s="5" t="s">
        <v>2992</v>
      </c>
      <c r="Q1157" s="11">
        <v>46306.5</v>
      </c>
      <c r="R1157" s="6"/>
      <c r="S1157" s="6"/>
      <c r="T1157" s="6"/>
      <c r="U1157" s="5">
        <f>MATCH(B1157,Manual_Review!$A$6:$A$238,0)</f>
        <v>72</v>
      </c>
      <c r="V1157" s="5" t="str">
        <f>IF(INDEX(Manual_Review!$G$6:$G$238,U1157)="","",INDEX(Manual_Review!$G$6:$G$238,U1157))</f>
        <v/>
      </c>
      <c r="W1157" s="11" t="str">
        <f>IF(INDEX(Manual_Review!$H$6:$H$238,U1157)="","",INDEX(Manual_Review!$H$6:$H$238,U1157))</f>
        <v/>
      </c>
      <c r="X1157" s="5" t="str">
        <f>IF(INDEX(Manual_Review!$I$6:$I$238,U1157)="","",INDEX(Manual_Review!$I$6:$I$238,U1157))</f>
        <v/>
      </c>
      <c r="Y1157" s="5" t="s">
        <v>2859</v>
      </c>
    </row>
    <row r="1158" spans="1:25" ht="25.5">
      <c r="A1158" s="5" t="s">
        <v>5292</v>
      </c>
      <c r="B1158" s="5" t="s">
        <v>909</v>
      </c>
      <c r="C1158" s="5" t="s">
        <v>910</v>
      </c>
      <c r="D1158" s="5" t="s">
        <v>118</v>
      </c>
      <c r="E1158" s="5" t="s">
        <v>2781</v>
      </c>
      <c r="F1158" s="5" t="s">
        <v>2754</v>
      </c>
      <c r="G1158" s="5">
        <v>1</v>
      </c>
      <c r="H1158" s="5" t="s">
        <v>2854</v>
      </c>
      <c r="I1158" s="5" t="str">
        <f>IF(INDEX(Manual_Review!$K$6:$K$238,U1158)="","",INDEX(Manual_Review!$K$6:$K$238,U1158))</f>
        <v/>
      </c>
      <c r="J1158" s="5" t="str">
        <f t="shared" ref="J1158:J1221" si="36">IF(G1158=0,"Not applicable",IF(I1158="","AI provisional",IF(AND(OR(I1158="Y",I1158="N",I1158="U",I1158="X"),V1158&lt;&gt;"",ISNUMBER(W1158),W1158&gt;0,X1158="Confirmed",R1158&lt;&gt;"",S1158&lt;&gt;"",T1158&lt;&gt;""),"Human valid","Evidence needed")))</f>
        <v>AI provisional</v>
      </c>
      <c r="K1158" s="5" t="str">
        <f t="shared" ref="K1158:K1221" si="37">IF(G1158=0,"N/A",IF(I1158="",H1158,IF(J1158="Human valid",I1158,"U")))</f>
        <v>Y</v>
      </c>
      <c r="L1158" s="5" t="s">
        <v>918</v>
      </c>
      <c r="M1158" s="5" t="s">
        <v>5293</v>
      </c>
      <c r="N1158" s="5" t="s">
        <v>5294</v>
      </c>
      <c r="O1158" s="5" t="s">
        <v>2857</v>
      </c>
      <c r="P1158" s="5" t="s">
        <v>2858</v>
      </c>
      <c r="Q1158" s="11">
        <v>46306.5</v>
      </c>
      <c r="R1158" s="6"/>
      <c r="S1158" s="6"/>
      <c r="T1158" s="6"/>
      <c r="U1158" s="5">
        <f>MATCH(B1158,Manual_Review!$A$6:$A$238,0)</f>
        <v>73</v>
      </c>
      <c r="V1158" s="5" t="str">
        <f>IF(INDEX(Manual_Review!$G$6:$G$238,U1158)="","",INDEX(Manual_Review!$G$6:$G$238,U1158))</f>
        <v/>
      </c>
      <c r="W1158" s="11" t="str">
        <f>IF(INDEX(Manual_Review!$H$6:$H$238,U1158)="","",INDEX(Manual_Review!$H$6:$H$238,U1158))</f>
        <v/>
      </c>
      <c r="X1158" s="5" t="str">
        <f>IF(INDEX(Manual_Review!$I$6:$I$238,U1158)="","",INDEX(Manual_Review!$I$6:$I$238,U1158))</f>
        <v/>
      </c>
      <c r="Y1158" s="5" t="s">
        <v>2859</v>
      </c>
    </row>
    <row r="1159" spans="1:25" ht="25.5">
      <c r="A1159" s="5" t="s">
        <v>5295</v>
      </c>
      <c r="B1159" s="5" t="s">
        <v>909</v>
      </c>
      <c r="C1159" s="5" t="s">
        <v>910</v>
      </c>
      <c r="D1159" s="5" t="s">
        <v>118</v>
      </c>
      <c r="E1159" s="5" t="s">
        <v>2782</v>
      </c>
      <c r="F1159" s="5" t="s">
        <v>2754</v>
      </c>
      <c r="G1159" s="5">
        <v>1</v>
      </c>
      <c r="H1159" s="5" t="s">
        <v>2854</v>
      </c>
      <c r="I1159" s="5" t="str">
        <f>IF(INDEX(Manual_Review!$L$6:$L$238,U1159)="","",INDEX(Manual_Review!$L$6:$L$238,U1159))</f>
        <v/>
      </c>
      <c r="J1159" s="5" t="str">
        <f t="shared" si="36"/>
        <v>AI provisional</v>
      </c>
      <c r="K1159" s="5" t="str">
        <f t="shared" si="37"/>
        <v>Y</v>
      </c>
      <c r="L1159" s="5" t="s">
        <v>918</v>
      </c>
      <c r="M1159" s="5" t="s">
        <v>5296</v>
      </c>
      <c r="N1159" s="5" t="s">
        <v>5294</v>
      </c>
      <c r="O1159" s="5" t="s">
        <v>2862</v>
      </c>
      <c r="P1159" s="5" t="s">
        <v>2858</v>
      </c>
      <c r="Q1159" s="11">
        <v>46306.5</v>
      </c>
      <c r="R1159" s="6"/>
      <c r="S1159" s="6"/>
      <c r="T1159" s="6"/>
      <c r="U1159" s="5">
        <f>MATCH(B1159,Manual_Review!$A$6:$A$238,0)</f>
        <v>73</v>
      </c>
      <c r="V1159" s="5" t="str">
        <f>IF(INDEX(Manual_Review!$G$6:$G$238,U1159)="","",INDEX(Manual_Review!$G$6:$G$238,U1159))</f>
        <v/>
      </c>
      <c r="W1159" s="11" t="str">
        <f>IF(INDEX(Manual_Review!$H$6:$H$238,U1159)="","",INDEX(Manual_Review!$H$6:$H$238,U1159))</f>
        <v/>
      </c>
      <c r="X1159" s="5" t="str">
        <f>IF(INDEX(Manual_Review!$I$6:$I$238,U1159)="","",INDEX(Manual_Review!$I$6:$I$238,U1159))</f>
        <v/>
      </c>
      <c r="Y1159" s="5" t="s">
        <v>2859</v>
      </c>
    </row>
    <row r="1160" spans="1:25" ht="25.5">
      <c r="A1160" s="5" t="s">
        <v>5297</v>
      </c>
      <c r="B1160" s="5" t="s">
        <v>909</v>
      </c>
      <c r="C1160" s="5" t="s">
        <v>910</v>
      </c>
      <c r="D1160" s="5" t="s">
        <v>118</v>
      </c>
      <c r="E1160" s="5" t="s">
        <v>2783</v>
      </c>
      <c r="F1160" s="5" t="s">
        <v>2754</v>
      </c>
      <c r="G1160" s="5">
        <v>1</v>
      </c>
      <c r="H1160" s="5" t="s">
        <v>2864</v>
      </c>
      <c r="I1160" s="5" t="str">
        <f>IF(INDEX(Manual_Review!$M$6:$M$238,U1160)="","",INDEX(Manual_Review!$M$6:$M$238,U1160))</f>
        <v/>
      </c>
      <c r="J1160" s="5" t="str">
        <f t="shared" si="36"/>
        <v>AI provisional</v>
      </c>
      <c r="K1160" s="5" t="str">
        <f t="shared" si="37"/>
        <v>U</v>
      </c>
      <c r="L1160" s="5" t="s">
        <v>918</v>
      </c>
      <c r="M1160" s="5" t="s">
        <v>5298</v>
      </c>
      <c r="N1160" s="5" t="s">
        <v>5294</v>
      </c>
      <c r="O1160" s="5" t="s">
        <v>2866</v>
      </c>
      <c r="P1160" s="5" t="s">
        <v>2858</v>
      </c>
      <c r="Q1160" s="11">
        <v>46306.5</v>
      </c>
      <c r="R1160" s="6"/>
      <c r="S1160" s="6"/>
      <c r="T1160" s="6"/>
      <c r="U1160" s="5">
        <f>MATCH(B1160,Manual_Review!$A$6:$A$238,0)</f>
        <v>73</v>
      </c>
      <c r="V1160" s="5" t="str">
        <f>IF(INDEX(Manual_Review!$G$6:$G$238,U1160)="","",INDEX(Manual_Review!$G$6:$G$238,U1160))</f>
        <v/>
      </c>
      <c r="W1160" s="11" t="str">
        <f>IF(INDEX(Manual_Review!$H$6:$H$238,U1160)="","",INDEX(Manual_Review!$H$6:$H$238,U1160))</f>
        <v/>
      </c>
      <c r="X1160" s="5" t="str">
        <f>IF(INDEX(Manual_Review!$I$6:$I$238,U1160)="","",INDEX(Manual_Review!$I$6:$I$238,U1160))</f>
        <v/>
      </c>
      <c r="Y1160" s="5" t="s">
        <v>2859</v>
      </c>
    </row>
    <row r="1161" spans="1:25" ht="25.5">
      <c r="A1161" s="5" t="s">
        <v>5299</v>
      </c>
      <c r="B1161" s="5" t="s">
        <v>909</v>
      </c>
      <c r="C1161" s="5" t="s">
        <v>910</v>
      </c>
      <c r="D1161" s="5" t="s">
        <v>118</v>
      </c>
      <c r="E1161" s="5" t="s">
        <v>2784</v>
      </c>
      <c r="F1161" s="5" t="s">
        <v>2756</v>
      </c>
      <c r="G1161" s="5">
        <v>1</v>
      </c>
      <c r="H1161" s="5" t="s">
        <v>2854</v>
      </c>
      <c r="I1161" s="5" t="str">
        <f>IF(INDEX(Manual_Review!$N$6:$N$238,U1161)="","",INDEX(Manual_Review!$N$6:$N$238,U1161))</f>
        <v/>
      </c>
      <c r="J1161" s="5" t="str">
        <f t="shared" si="36"/>
        <v>AI provisional</v>
      </c>
      <c r="K1161" s="5" t="str">
        <f t="shared" si="37"/>
        <v>Y</v>
      </c>
      <c r="L1161" s="5" t="s">
        <v>918</v>
      </c>
      <c r="M1161" s="5" t="s">
        <v>5300</v>
      </c>
      <c r="N1161" s="5" t="s">
        <v>5294</v>
      </c>
      <c r="O1161" s="5" t="s">
        <v>2963</v>
      </c>
      <c r="P1161" s="5" t="s">
        <v>2858</v>
      </c>
      <c r="Q1161" s="11">
        <v>46306.5</v>
      </c>
      <c r="R1161" s="6"/>
      <c r="S1161" s="6"/>
      <c r="T1161" s="6"/>
      <c r="U1161" s="5">
        <f>MATCH(B1161,Manual_Review!$A$6:$A$238,0)</f>
        <v>73</v>
      </c>
      <c r="V1161" s="5" t="str">
        <f>IF(INDEX(Manual_Review!$G$6:$G$238,U1161)="","",INDEX(Manual_Review!$G$6:$G$238,U1161))</f>
        <v/>
      </c>
      <c r="W1161" s="11" t="str">
        <f>IF(INDEX(Manual_Review!$H$6:$H$238,U1161)="","",INDEX(Manual_Review!$H$6:$H$238,U1161))</f>
        <v/>
      </c>
      <c r="X1161" s="5" t="str">
        <f>IF(INDEX(Manual_Review!$I$6:$I$238,U1161)="","",INDEX(Manual_Review!$I$6:$I$238,U1161))</f>
        <v/>
      </c>
      <c r="Y1161" s="5" t="s">
        <v>2859</v>
      </c>
    </row>
    <row r="1162" spans="1:25" ht="25.5">
      <c r="A1162" s="5" t="s">
        <v>5301</v>
      </c>
      <c r="B1162" s="5" t="s">
        <v>909</v>
      </c>
      <c r="C1162" s="5" t="s">
        <v>910</v>
      </c>
      <c r="D1162" s="5" t="s">
        <v>118</v>
      </c>
      <c r="E1162" s="5" t="s">
        <v>2785</v>
      </c>
      <c r="F1162" s="5" t="s">
        <v>2756</v>
      </c>
      <c r="G1162" s="5">
        <v>1</v>
      </c>
      <c r="H1162" s="5" t="s">
        <v>2864</v>
      </c>
      <c r="I1162" s="5" t="str">
        <f>IF(INDEX(Manual_Review!$O$6:$O$238,U1162)="","",INDEX(Manual_Review!$O$6:$O$238,U1162))</f>
        <v/>
      </c>
      <c r="J1162" s="5" t="str">
        <f t="shared" si="36"/>
        <v>AI provisional</v>
      </c>
      <c r="K1162" s="5" t="str">
        <f t="shared" si="37"/>
        <v>U</v>
      </c>
      <c r="L1162" s="5" t="s">
        <v>918</v>
      </c>
      <c r="M1162" s="5" t="s">
        <v>5302</v>
      </c>
      <c r="N1162" s="5" t="s">
        <v>5294</v>
      </c>
      <c r="O1162" s="5" t="s">
        <v>2872</v>
      </c>
      <c r="P1162" s="5" t="s">
        <v>2858</v>
      </c>
      <c r="Q1162" s="11">
        <v>46306.5</v>
      </c>
      <c r="R1162" s="6"/>
      <c r="S1162" s="6"/>
      <c r="T1162" s="6"/>
      <c r="U1162" s="5">
        <f>MATCH(B1162,Manual_Review!$A$6:$A$238,0)</f>
        <v>73</v>
      </c>
      <c r="V1162" s="5" t="str">
        <f>IF(INDEX(Manual_Review!$G$6:$G$238,U1162)="","",INDEX(Manual_Review!$G$6:$G$238,U1162))</f>
        <v/>
      </c>
      <c r="W1162" s="11" t="str">
        <f>IF(INDEX(Manual_Review!$H$6:$H$238,U1162)="","",INDEX(Manual_Review!$H$6:$H$238,U1162))</f>
        <v/>
      </c>
      <c r="X1162" s="5" t="str">
        <f>IF(INDEX(Manual_Review!$I$6:$I$238,U1162)="","",INDEX(Manual_Review!$I$6:$I$238,U1162))</f>
        <v/>
      </c>
      <c r="Y1162" s="5" t="s">
        <v>2859</v>
      </c>
    </row>
    <row r="1163" spans="1:25" ht="25.5">
      <c r="A1163" s="5" t="s">
        <v>5303</v>
      </c>
      <c r="B1163" s="5" t="s">
        <v>909</v>
      </c>
      <c r="C1163" s="5" t="s">
        <v>910</v>
      </c>
      <c r="D1163" s="5" t="s">
        <v>118</v>
      </c>
      <c r="E1163" s="5" t="s">
        <v>2786</v>
      </c>
      <c r="F1163" s="5" t="s">
        <v>2756</v>
      </c>
      <c r="G1163" s="5">
        <v>1</v>
      </c>
      <c r="H1163" s="5" t="s">
        <v>2864</v>
      </c>
      <c r="I1163" s="5" t="str">
        <f>IF(INDEX(Manual_Review!$P$6:$P$238,U1163)="","",INDEX(Manual_Review!$P$6:$P$238,U1163))</f>
        <v/>
      </c>
      <c r="J1163" s="5" t="str">
        <f t="shared" si="36"/>
        <v>AI provisional</v>
      </c>
      <c r="K1163" s="5" t="str">
        <f t="shared" si="37"/>
        <v>U</v>
      </c>
      <c r="L1163" s="5" t="s">
        <v>918</v>
      </c>
      <c r="M1163" s="5" t="s">
        <v>5304</v>
      </c>
      <c r="N1163" s="5" t="s">
        <v>5294</v>
      </c>
      <c r="O1163" s="5" t="s">
        <v>2874</v>
      </c>
      <c r="P1163" s="5" t="s">
        <v>2858</v>
      </c>
      <c r="Q1163" s="11">
        <v>46306.5</v>
      </c>
      <c r="R1163" s="6"/>
      <c r="S1163" s="6"/>
      <c r="T1163" s="6"/>
      <c r="U1163" s="5">
        <f>MATCH(B1163,Manual_Review!$A$6:$A$238,0)</f>
        <v>73</v>
      </c>
      <c r="V1163" s="5" t="str">
        <f>IF(INDEX(Manual_Review!$G$6:$G$238,U1163)="","",INDEX(Manual_Review!$G$6:$G$238,U1163))</f>
        <v/>
      </c>
      <c r="W1163" s="11" t="str">
        <f>IF(INDEX(Manual_Review!$H$6:$H$238,U1163)="","",INDEX(Manual_Review!$H$6:$H$238,U1163))</f>
        <v/>
      </c>
      <c r="X1163" s="5" t="str">
        <f>IF(INDEX(Manual_Review!$I$6:$I$238,U1163)="","",INDEX(Manual_Review!$I$6:$I$238,U1163))</f>
        <v/>
      </c>
      <c r="Y1163" s="5" t="s">
        <v>2859</v>
      </c>
    </row>
    <row r="1164" spans="1:25" ht="25.5">
      <c r="A1164" s="5" t="s">
        <v>5305</v>
      </c>
      <c r="B1164" s="5" t="s">
        <v>909</v>
      </c>
      <c r="C1164" s="5" t="s">
        <v>910</v>
      </c>
      <c r="D1164" s="5" t="s">
        <v>118</v>
      </c>
      <c r="E1164" s="5" t="s">
        <v>2787</v>
      </c>
      <c r="F1164" s="5" t="s">
        <v>2758</v>
      </c>
      <c r="G1164" s="5">
        <v>1</v>
      </c>
      <c r="H1164" s="5" t="s">
        <v>2864</v>
      </c>
      <c r="I1164" s="5" t="str">
        <f>IF(INDEX(Manual_Review!$Q$6:$Q$238,U1164)="","",INDEX(Manual_Review!$Q$6:$Q$238,U1164))</f>
        <v/>
      </c>
      <c r="J1164" s="5" t="str">
        <f t="shared" si="36"/>
        <v>AI provisional</v>
      </c>
      <c r="K1164" s="5" t="str">
        <f t="shared" si="37"/>
        <v>U</v>
      </c>
      <c r="L1164" s="5" t="s">
        <v>918</v>
      </c>
      <c r="M1164" s="5" t="s">
        <v>5306</v>
      </c>
      <c r="N1164" s="5" t="s">
        <v>5294</v>
      </c>
      <c r="O1164" s="5" t="s">
        <v>2877</v>
      </c>
      <c r="P1164" s="5" t="s">
        <v>2858</v>
      </c>
      <c r="Q1164" s="11">
        <v>46306.5</v>
      </c>
      <c r="R1164" s="6"/>
      <c r="S1164" s="6"/>
      <c r="T1164" s="6"/>
      <c r="U1164" s="5">
        <f>MATCH(B1164,Manual_Review!$A$6:$A$238,0)</f>
        <v>73</v>
      </c>
      <c r="V1164" s="5" t="str">
        <f>IF(INDEX(Manual_Review!$G$6:$G$238,U1164)="","",INDEX(Manual_Review!$G$6:$G$238,U1164))</f>
        <v/>
      </c>
      <c r="W1164" s="11" t="str">
        <f>IF(INDEX(Manual_Review!$H$6:$H$238,U1164)="","",INDEX(Manual_Review!$H$6:$H$238,U1164))</f>
        <v/>
      </c>
      <c r="X1164" s="5" t="str">
        <f>IF(INDEX(Manual_Review!$I$6:$I$238,U1164)="","",INDEX(Manual_Review!$I$6:$I$238,U1164))</f>
        <v/>
      </c>
      <c r="Y1164" s="5" t="s">
        <v>2859</v>
      </c>
    </row>
    <row r="1165" spans="1:25" ht="25.5">
      <c r="A1165" s="5" t="s">
        <v>5307</v>
      </c>
      <c r="B1165" s="5" t="s">
        <v>909</v>
      </c>
      <c r="C1165" s="5" t="s">
        <v>910</v>
      </c>
      <c r="D1165" s="5" t="s">
        <v>118</v>
      </c>
      <c r="E1165" s="5" t="s">
        <v>2788</v>
      </c>
      <c r="F1165" s="5" t="s">
        <v>2758</v>
      </c>
      <c r="G1165" s="5">
        <v>1</v>
      </c>
      <c r="H1165" s="5" t="s">
        <v>2854</v>
      </c>
      <c r="I1165" s="5" t="str">
        <f>IF(INDEX(Manual_Review!$R$6:$R$238,U1165)="","",INDEX(Manual_Review!$R$6:$R$238,U1165))</f>
        <v/>
      </c>
      <c r="J1165" s="5" t="str">
        <f t="shared" si="36"/>
        <v>AI provisional</v>
      </c>
      <c r="K1165" s="5" t="str">
        <f t="shared" si="37"/>
        <v>Y</v>
      </c>
      <c r="L1165" s="5" t="s">
        <v>918</v>
      </c>
      <c r="M1165" s="5" t="s">
        <v>5308</v>
      </c>
      <c r="N1165" s="5" t="s">
        <v>5294</v>
      </c>
      <c r="O1165" s="5" t="s">
        <v>3067</v>
      </c>
      <c r="P1165" s="5" t="s">
        <v>2858</v>
      </c>
      <c r="Q1165" s="11">
        <v>46306.5</v>
      </c>
      <c r="R1165" s="6"/>
      <c r="S1165" s="6"/>
      <c r="T1165" s="6"/>
      <c r="U1165" s="5">
        <f>MATCH(B1165,Manual_Review!$A$6:$A$238,0)</f>
        <v>73</v>
      </c>
      <c r="V1165" s="5" t="str">
        <f>IF(INDEX(Manual_Review!$G$6:$G$238,U1165)="","",INDEX(Manual_Review!$G$6:$G$238,U1165))</f>
        <v/>
      </c>
      <c r="W1165" s="11" t="str">
        <f>IF(INDEX(Manual_Review!$H$6:$H$238,U1165)="","",INDEX(Manual_Review!$H$6:$H$238,U1165))</f>
        <v/>
      </c>
      <c r="X1165" s="5" t="str">
        <f>IF(INDEX(Manual_Review!$I$6:$I$238,U1165)="","",INDEX(Manual_Review!$I$6:$I$238,U1165))</f>
        <v/>
      </c>
      <c r="Y1165" s="5" t="s">
        <v>2859</v>
      </c>
    </row>
    <row r="1166" spans="1:25" ht="25.5">
      <c r="A1166" s="5" t="s">
        <v>5309</v>
      </c>
      <c r="B1166" s="5" t="s">
        <v>909</v>
      </c>
      <c r="C1166" s="5" t="s">
        <v>910</v>
      </c>
      <c r="D1166" s="5" t="s">
        <v>118</v>
      </c>
      <c r="E1166" s="5" t="s">
        <v>2789</v>
      </c>
      <c r="F1166" s="5" t="s">
        <v>2758</v>
      </c>
      <c r="G1166" s="5">
        <v>1</v>
      </c>
      <c r="H1166" s="5" t="s">
        <v>2864</v>
      </c>
      <c r="I1166" s="5" t="str">
        <f>IF(INDEX(Manual_Review!$S$6:$S$238,U1166)="","",INDEX(Manual_Review!$S$6:$S$238,U1166))</f>
        <v/>
      </c>
      <c r="J1166" s="5" t="str">
        <f t="shared" si="36"/>
        <v>AI provisional</v>
      </c>
      <c r="K1166" s="5" t="str">
        <f t="shared" si="37"/>
        <v>U</v>
      </c>
      <c r="L1166" s="5" t="s">
        <v>918</v>
      </c>
      <c r="M1166" s="5" t="s">
        <v>5310</v>
      </c>
      <c r="N1166" s="5" t="s">
        <v>5294</v>
      </c>
      <c r="O1166" s="5" t="s">
        <v>2883</v>
      </c>
      <c r="P1166" s="5" t="s">
        <v>2858</v>
      </c>
      <c r="Q1166" s="11">
        <v>46306.5</v>
      </c>
      <c r="R1166" s="6"/>
      <c r="S1166" s="6"/>
      <c r="T1166" s="6"/>
      <c r="U1166" s="5">
        <f>MATCH(B1166,Manual_Review!$A$6:$A$238,0)</f>
        <v>73</v>
      </c>
      <c r="V1166" s="5" t="str">
        <f>IF(INDEX(Manual_Review!$G$6:$G$238,U1166)="","",INDEX(Manual_Review!$G$6:$G$238,U1166))</f>
        <v/>
      </c>
      <c r="W1166" s="11" t="str">
        <f>IF(INDEX(Manual_Review!$H$6:$H$238,U1166)="","",INDEX(Manual_Review!$H$6:$H$238,U1166))</f>
        <v/>
      </c>
      <c r="X1166" s="5" t="str">
        <f>IF(INDEX(Manual_Review!$I$6:$I$238,U1166)="","",INDEX(Manual_Review!$I$6:$I$238,U1166))</f>
        <v/>
      </c>
      <c r="Y1166" s="5" t="s">
        <v>2859</v>
      </c>
    </row>
    <row r="1167" spans="1:25" ht="25.5">
      <c r="A1167" s="5" t="s">
        <v>5311</v>
      </c>
      <c r="B1167" s="5" t="s">
        <v>909</v>
      </c>
      <c r="C1167" s="5" t="s">
        <v>910</v>
      </c>
      <c r="D1167" s="5" t="s">
        <v>118</v>
      </c>
      <c r="E1167" s="5" t="s">
        <v>2790</v>
      </c>
      <c r="F1167" s="5" t="s">
        <v>2760</v>
      </c>
      <c r="G1167" s="5">
        <v>1</v>
      </c>
      <c r="H1167" s="5" t="s">
        <v>2854</v>
      </c>
      <c r="I1167" s="5" t="str">
        <f>IF(INDEX(Manual_Review!$T$6:$T$238,U1167)="","",INDEX(Manual_Review!$T$6:$T$238,U1167))</f>
        <v/>
      </c>
      <c r="J1167" s="5" t="str">
        <f t="shared" si="36"/>
        <v>AI provisional</v>
      </c>
      <c r="K1167" s="5" t="str">
        <f t="shared" si="37"/>
        <v>Y</v>
      </c>
      <c r="L1167" s="5" t="s">
        <v>918</v>
      </c>
      <c r="M1167" s="5" t="s">
        <v>5312</v>
      </c>
      <c r="N1167" s="5" t="s">
        <v>5294</v>
      </c>
      <c r="O1167" s="5" t="s">
        <v>2976</v>
      </c>
      <c r="P1167" s="5" t="s">
        <v>2858</v>
      </c>
      <c r="Q1167" s="11">
        <v>46306.5</v>
      </c>
      <c r="R1167" s="6"/>
      <c r="S1167" s="6"/>
      <c r="T1167" s="6"/>
      <c r="U1167" s="5">
        <f>MATCH(B1167,Manual_Review!$A$6:$A$238,0)</f>
        <v>73</v>
      </c>
      <c r="V1167" s="5" t="str">
        <f>IF(INDEX(Manual_Review!$G$6:$G$238,U1167)="","",INDEX(Manual_Review!$G$6:$G$238,U1167))</f>
        <v/>
      </c>
      <c r="W1167" s="11" t="str">
        <f>IF(INDEX(Manual_Review!$H$6:$H$238,U1167)="","",INDEX(Manual_Review!$H$6:$H$238,U1167))</f>
        <v/>
      </c>
      <c r="X1167" s="5" t="str">
        <f>IF(INDEX(Manual_Review!$I$6:$I$238,U1167)="","",INDEX(Manual_Review!$I$6:$I$238,U1167))</f>
        <v/>
      </c>
      <c r="Y1167" s="5" t="s">
        <v>2859</v>
      </c>
    </row>
    <row r="1168" spans="1:25" ht="25.5">
      <c r="A1168" s="5" t="s">
        <v>5313</v>
      </c>
      <c r="B1168" s="5" t="s">
        <v>909</v>
      </c>
      <c r="C1168" s="5" t="s">
        <v>910</v>
      </c>
      <c r="D1168" s="5" t="s">
        <v>118</v>
      </c>
      <c r="E1168" s="5" t="s">
        <v>2791</v>
      </c>
      <c r="F1168" s="5" t="s">
        <v>2760</v>
      </c>
      <c r="G1168" s="5">
        <v>1</v>
      </c>
      <c r="H1168" s="5" t="s">
        <v>2864</v>
      </c>
      <c r="I1168" s="5" t="str">
        <f>IF(INDEX(Manual_Review!$U$6:$U$238,U1168)="","",INDEX(Manual_Review!$U$6:$U$238,U1168))</f>
        <v/>
      </c>
      <c r="J1168" s="5" t="str">
        <f t="shared" si="36"/>
        <v>AI provisional</v>
      </c>
      <c r="K1168" s="5" t="str">
        <f t="shared" si="37"/>
        <v>U</v>
      </c>
      <c r="L1168" s="5" t="s">
        <v>918</v>
      </c>
      <c r="M1168" s="5" t="s">
        <v>5314</v>
      </c>
      <c r="N1168" s="5" t="s">
        <v>5294</v>
      </c>
      <c r="O1168" s="5" t="s">
        <v>2888</v>
      </c>
      <c r="P1168" s="5" t="s">
        <v>2858</v>
      </c>
      <c r="Q1168" s="11">
        <v>46306.5</v>
      </c>
      <c r="R1168" s="6"/>
      <c r="S1168" s="6"/>
      <c r="T1168" s="6"/>
      <c r="U1168" s="5">
        <f>MATCH(B1168,Manual_Review!$A$6:$A$238,0)</f>
        <v>73</v>
      </c>
      <c r="V1168" s="5" t="str">
        <f>IF(INDEX(Manual_Review!$G$6:$G$238,U1168)="","",INDEX(Manual_Review!$G$6:$G$238,U1168))</f>
        <v/>
      </c>
      <c r="W1168" s="11" t="str">
        <f>IF(INDEX(Manual_Review!$H$6:$H$238,U1168)="","",INDEX(Manual_Review!$H$6:$H$238,U1168))</f>
        <v/>
      </c>
      <c r="X1168" s="5" t="str">
        <f>IF(INDEX(Manual_Review!$I$6:$I$238,U1168)="","",INDEX(Manual_Review!$I$6:$I$238,U1168))</f>
        <v/>
      </c>
      <c r="Y1168" s="5" t="s">
        <v>2859</v>
      </c>
    </row>
    <row r="1169" spans="1:25" ht="25.5">
      <c r="A1169" s="5" t="s">
        <v>5315</v>
      </c>
      <c r="B1169" s="5" t="s">
        <v>909</v>
      </c>
      <c r="C1169" s="5" t="s">
        <v>910</v>
      </c>
      <c r="D1169" s="5" t="s">
        <v>118</v>
      </c>
      <c r="E1169" s="5" t="s">
        <v>2792</v>
      </c>
      <c r="F1169" s="5" t="s">
        <v>2762</v>
      </c>
      <c r="G1169" s="5">
        <v>1</v>
      </c>
      <c r="H1169" s="5" t="s">
        <v>2854</v>
      </c>
      <c r="I1169" s="5" t="str">
        <f>IF(INDEX(Manual_Review!$V$6:$V$238,U1169)="","",INDEX(Manual_Review!$V$6:$V$238,U1169))</f>
        <v/>
      </c>
      <c r="J1169" s="5" t="str">
        <f t="shared" si="36"/>
        <v>AI provisional</v>
      </c>
      <c r="K1169" s="5" t="str">
        <f t="shared" si="37"/>
        <v>Y</v>
      </c>
      <c r="L1169" s="5" t="s">
        <v>918</v>
      </c>
      <c r="M1169" s="5" t="s">
        <v>5316</v>
      </c>
      <c r="N1169" s="5" t="s">
        <v>5294</v>
      </c>
      <c r="O1169" s="5" t="s">
        <v>3152</v>
      </c>
      <c r="P1169" s="5" t="s">
        <v>2858</v>
      </c>
      <c r="Q1169" s="11">
        <v>46306.5</v>
      </c>
      <c r="R1169" s="6"/>
      <c r="S1169" s="6"/>
      <c r="T1169" s="6"/>
      <c r="U1169" s="5">
        <f>MATCH(B1169,Manual_Review!$A$6:$A$238,0)</f>
        <v>73</v>
      </c>
      <c r="V1169" s="5" t="str">
        <f>IF(INDEX(Manual_Review!$G$6:$G$238,U1169)="","",INDEX(Manual_Review!$G$6:$G$238,U1169))</f>
        <v/>
      </c>
      <c r="W1169" s="11" t="str">
        <f>IF(INDEX(Manual_Review!$H$6:$H$238,U1169)="","",INDEX(Manual_Review!$H$6:$H$238,U1169))</f>
        <v/>
      </c>
      <c r="X1169" s="5" t="str">
        <f>IF(INDEX(Manual_Review!$I$6:$I$238,U1169)="","",INDEX(Manual_Review!$I$6:$I$238,U1169))</f>
        <v/>
      </c>
      <c r="Y1169" s="5" t="s">
        <v>2859</v>
      </c>
    </row>
    <row r="1170" spans="1:25" ht="25.5">
      <c r="A1170" s="5" t="s">
        <v>5317</v>
      </c>
      <c r="B1170" s="5" t="s">
        <v>909</v>
      </c>
      <c r="C1170" s="5" t="s">
        <v>910</v>
      </c>
      <c r="D1170" s="5" t="s">
        <v>118</v>
      </c>
      <c r="E1170" s="5" t="s">
        <v>2793</v>
      </c>
      <c r="F1170" s="5" t="s">
        <v>2762</v>
      </c>
      <c r="G1170" s="5">
        <v>1</v>
      </c>
      <c r="H1170" s="5" t="s">
        <v>2854</v>
      </c>
      <c r="I1170" s="5" t="str">
        <f>IF(INDEX(Manual_Review!$W$6:$W$238,U1170)="","",INDEX(Manual_Review!$W$6:$W$238,U1170))</f>
        <v/>
      </c>
      <c r="J1170" s="5" t="str">
        <f t="shared" si="36"/>
        <v>AI provisional</v>
      </c>
      <c r="K1170" s="5" t="str">
        <f t="shared" si="37"/>
        <v>Y</v>
      </c>
      <c r="L1170" s="5" t="s">
        <v>918</v>
      </c>
      <c r="M1170" s="5" t="s">
        <v>5318</v>
      </c>
      <c r="N1170" s="5" t="s">
        <v>5294</v>
      </c>
      <c r="O1170" s="5" t="s">
        <v>3077</v>
      </c>
      <c r="P1170" s="5" t="s">
        <v>2858</v>
      </c>
      <c r="Q1170" s="11">
        <v>46306.5</v>
      </c>
      <c r="R1170" s="6"/>
      <c r="S1170" s="6"/>
      <c r="T1170" s="6"/>
      <c r="U1170" s="5">
        <f>MATCH(B1170,Manual_Review!$A$6:$A$238,0)</f>
        <v>73</v>
      </c>
      <c r="V1170" s="5" t="str">
        <f>IF(INDEX(Manual_Review!$G$6:$G$238,U1170)="","",INDEX(Manual_Review!$G$6:$G$238,U1170))</f>
        <v/>
      </c>
      <c r="W1170" s="11" t="str">
        <f>IF(INDEX(Manual_Review!$H$6:$H$238,U1170)="","",INDEX(Manual_Review!$H$6:$H$238,U1170))</f>
        <v/>
      </c>
      <c r="X1170" s="5" t="str">
        <f>IF(INDEX(Manual_Review!$I$6:$I$238,U1170)="","",INDEX(Manual_Review!$I$6:$I$238,U1170))</f>
        <v/>
      </c>
      <c r="Y1170" s="5" t="s">
        <v>2859</v>
      </c>
    </row>
    <row r="1171" spans="1:25" ht="25.5">
      <c r="A1171" s="5" t="s">
        <v>5319</v>
      </c>
      <c r="B1171" s="5" t="s">
        <v>909</v>
      </c>
      <c r="C1171" s="5" t="s">
        <v>910</v>
      </c>
      <c r="D1171" s="5" t="s">
        <v>118</v>
      </c>
      <c r="E1171" s="5" t="s">
        <v>2794</v>
      </c>
      <c r="F1171" s="5" t="s">
        <v>2764</v>
      </c>
      <c r="G1171" s="5">
        <v>1</v>
      </c>
      <c r="H1171" s="5" t="s">
        <v>2854</v>
      </c>
      <c r="I1171" s="5" t="str">
        <f>IF(INDEX(Manual_Review!$X$6:$X$238,U1171)="","",INDEX(Manual_Review!$X$6:$X$238,U1171))</f>
        <v/>
      </c>
      <c r="J1171" s="5" t="str">
        <f t="shared" si="36"/>
        <v>AI provisional</v>
      </c>
      <c r="K1171" s="5" t="str">
        <f t="shared" si="37"/>
        <v>Y</v>
      </c>
      <c r="L1171" s="5" t="s">
        <v>918</v>
      </c>
      <c r="M1171" s="5" t="s">
        <v>5320</v>
      </c>
      <c r="N1171" s="5" t="s">
        <v>5294</v>
      </c>
      <c r="O1171" s="5" t="s">
        <v>2984</v>
      </c>
      <c r="P1171" s="5" t="s">
        <v>2858</v>
      </c>
      <c r="Q1171" s="11">
        <v>46306.5</v>
      </c>
      <c r="R1171" s="6"/>
      <c r="S1171" s="6"/>
      <c r="T1171" s="6"/>
      <c r="U1171" s="5">
        <f>MATCH(B1171,Manual_Review!$A$6:$A$238,0)</f>
        <v>73</v>
      </c>
      <c r="V1171" s="5" t="str">
        <f>IF(INDEX(Manual_Review!$G$6:$G$238,U1171)="","",INDEX(Manual_Review!$G$6:$G$238,U1171))</f>
        <v/>
      </c>
      <c r="W1171" s="11" t="str">
        <f>IF(INDEX(Manual_Review!$H$6:$H$238,U1171)="","",INDEX(Manual_Review!$H$6:$H$238,U1171))</f>
        <v/>
      </c>
      <c r="X1171" s="5" t="str">
        <f>IF(INDEX(Manual_Review!$I$6:$I$238,U1171)="","",INDEX(Manual_Review!$I$6:$I$238,U1171))</f>
        <v/>
      </c>
      <c r="Y1171" s="5" t="s">
        <v>2859</v>
      </c>
    </row>
    <row r="1172" spans="1:25" ht="25.5">
      <c r="A1172" s="5" t="s">
        <v>5321</v>
      </c>
      <c r="B1172" s="5" t="s">
        <v>909</v>
      </c>
      <c r="C1172" s="5" t="s">
        <v>910</v>
      </c>
      <c r="D1172" s="5" t="s">
        <v>118</v>
      </c>
      <c r="E1172" s="5" t="s">
        <v>2795</v>
      </c>
      <c r="F1172" s="5" t="s">
        <v>2764</v>
      </c>
      <c r="G1172" s="5">
        <v>1</v>
      </c>
      <c r="H1172" s="5" t="s">
        <v>2854</v>
      </c>
      <c r="I1172" s="5" t="str">
        <f>IF(INDEX(Manual_Review!$Y$6:$Y$238,U1172)="","",INDEX(Manual_Review!$Y$6:$Y$238,U1172))</f>
        <v/>
      </c>
      <c r="J1172" s="5" t="str">
        <f t="shared" si="36"/>
        <v>AI provisional</v>
      </c>
      <c r="K1172" s="5" t="str">
        <f t="shared" si="37"/>
        <v>Y</v>
      </c>
      <c r="L1172" s="5" t="s">
        <v>918</v>
      </c>
      <c r="M1172" s="5" t="s">
        <v>5322</v>
      </c>
      <c r="N1172" s="5" t="s">
        <v>5294</v>
      </c>
      <c r="O1172" s="5" t="s">
        <v>3082</v>
      </c>
      <c r="P1172" s="5" t="s">
        <v>2858</v>
      </c>
      <c r="Q1172" s="11">
        <v>46306.5</v>
      </c>
      <c r="R1172" s="6"/>
      <c r="S1172" s="6"/>
      <c r="T1172" s="6"/>
      <c r="U1172" s="5">
        <f>MATCH(B1172,Manual_Review!$A$6:$A$238,0)</f>
        <v>73</v>
      </c>
      <c r="V1172" s="5" t="str">
        <f>IF(INDEX(Manual_Review!$G$6:$G$238,U1172)="","",INDEX(Manual_Review!$G$6:$G$238,U1172))</f>
        <v/>
      </c>
      <c r="W1172" s="11" t="str">
        <f>IF(INDEX(Manual_Review!$H$6:$H$238,U1172)="","",INDEX(Manual_Review!$H$6:$H$238,U1172))</f>
        <v/>
      </c>
      <c r="X1172" s="5" t="str">
        <f>IF(INDEX(Manual_Review!$I$6:$I$238,U1172)="","",INDEX(Manual_Review!$I$6:$I$238,U1172))</f>
        <v/>
      </c>
      <c r="Y1172" s="5" t="s">
        <v>2859</v>
      </c>
    </row>
    <row r="1173" spans="1:25" ht="25.5">
      <c r="A1173" s="5" t="s">
        <v>5323</v>
      </c>
      <c r="B1173" s="5" t="s">
        <v>909</v>
      </c>
      <c r="C1173" s="5" t="s">
        <v>910</v>
      </c>
      <c r="D1173" s="5" t="s">
        <v>118</v>
      </c>
      <c r="E1173" s="5" t="s">
        <v>2796</v>
      </c>
      <c r="F1173" s="5" t="s">
        <v>2764</v>
      </c>
      <c r="G1173" s="5">
        <v>1</v>
      </c>
      <c r="H1173" s="5" t="s">
        <v>2854</v>
      </c>
      <c r="I1173" s="5" t="str">
        <f>IF(INDEX(Manual_Review!$Z$6:$Z$238,U1173)="","",INDEX(Manual_Review!$Z$6:$Z$238,U1173))</f>
        <v/>
      </c>
      <c r="J1173" s="5" t="str">
        <f t="shared" si="36"/>
        <v>AI provisional</v>
      </c>
      <c r="K1173" s="5" t="str">
        <f t="shared" si="37"/>
        <v>Y</v>
      </c>
      <c r="L1173" s="5" t="s">
        <v>918</v>
      </c>
      <c r="M1173" s="5" t="s">
        <v>5324</v>
      </c>
      <c r="N1173" s="5" t="s">
        <v>5294</v>
      </c>
      <c r="O1173" s="5" t="s">
        <v>3085</v>
      </c>
      <c r="P1173" s="5" t="s">
        <v>2858</v>
      </c>
      <c r="Q1173" s="11">
        <v>46306.5</v>
      </c>
      <c r="R1173" s="6"/>
      <c r="S1173" s="6"/>
      <c r="T1173" s="6"/>
      <c r="U1173" s="5">
        <f>MATCH(B1173,Manual_Review!$A$6:$A$238,0)</f>
        <v>73</v>
      </c>
      <c r="V1173" s="5" t="str">
        <f>IF(INDEX(Manual_Review!$G$6:$G$238,U1173)="","",INDEX(Manual_Review!$G$6:$G$238,U1173))</f>
        <v/>
      </c>
      <c r="W1173" s="11" t="str">
        <f>IF(INDEX(Manual_Review!$H$6:$H$238,U1173)="","",INDEX(Manual_Review!$H$6:$H$238,U1173))</f>
        <v/>
      </c>
      <c r="X1173" s="5" t="str">
        <f>IF(INDEX(Manual_Review!$I$6:$I$238,U1173)="","",INDEX(Manual_Review!$I$6:$I$238,U1173))</f>
        <v/>
      </c>
      <c r="Y1173" s="5" t="s">
        <v>2859</v>
      </c>
    </row>
    <row r="1174" spans="1:25" ht="25.5">
      <c r="A1174" s="5" t="s">
        <v>5325</v>
      </c>
      <c r="B1174" s="5" t="s">
        <v>920</v>
      </c>
      <c r="C1174" s="5" t="s">
        <v>921</v>
      </c>
      <c r="D1174" s="5" t="s">
        <v>118</v>
      </c>
      <c r="E1174" s="5" t="s">
        <v>2781</v>
      </c>
      <c r="F1174" s="5" t="s">
        <v>2754</v>
      </c>
      <c r="G1174" s="5">
        <v>1</v>
      </c>
      <c r="H1174" s="5" t="s">
        <v>2854</v>
      </c>
      <c r="I1174" s="5" t="str">
        <f>IF(INDEX(Manual_Review!$K$6:$K$238,U1174)="","",INDEX(Manual_Review!$K$6:$K$238,U1174))</f>
        <v/>
      </c>
      <c r="J1174" s="5" t="str">
        <f t="shared" si="36"/>
        <v>AI provisional</v>
      </c>
      <c r="K1174" s="5" t="str">
        <f t="shared" si="37"/>
        <v>Y</v>
      </c>
      <c r="L1174" s="5" t="s">
        <v>928</v>
      </c>
      <c r="M1174" s="5" t="s">
        <v>5326</v>
      </c>
      <c r="N1174" s="5" t="s">
        <v>5327</v>
      </c>
      <c r="O1174" s="5" t="s">
        <v>2857</v>
      </c>
      <c r="P1174" s="5" t="s">
        <v>2858</v>
      </c>
      <c r="Q1174" s="11">
        <v>46306.5</v>
      </c>
      <c r="R1174" s="6"/>
      <c r="S1174" s="6"/>
      <c r="T1174" s="6"/>
      <c r="U1174" s="5">
        <f>MATCH(B1174,Manual_Review!$A$6:$A$238,0)</f>
        <v>74</v>
      </c>
      <c r="V1174" s="5" t="str">
        <f>IF(INDEX(Manual_Review!$G$6:$G$238,U1174)="","",INDEX(Manual_Review!$G$6:$G$238,U1174))</f>
        <v/>
      </c>
      <c r="W1174" s="11" t="str">
        <f>IF(INDEX(Manual_Review!$H$6:$H$238,U1174)="","",INDEX(Manual_Review!$H$6:$H$238,U1174))</f>
        <v/>
      </c>
      <c r="X1174" s="5" t="str">
        <f>IF(INDEX(Manual_Review!$I$6:$I$238,U1174)="","",INDEX(Manual_Review!$I$6:$I$238,U1174))</f>
        <v/>
      </c>
      <c r="Y1174" s="5" t="s">
        <v>2859</v>
      </c>
    </row>
    <row r="1175" spans="1:25" ht="25.5">
      <c r="A1175" s="5" t="s">
        <v>5328</v>
      </c>
      <c r="B1175" s="5" t="s">
        <v>920</v>
      </c>
      <c r="C1175" s="5" t="s">
        <v>921</v>
      </c>
      <c r="D1175" s="5" t="s">
        <v>118</v>
      </c>
      <c r="E1175" s="5" t="s">
        <v>2782</v>
      </c>
      <c r="F1175" s="5" t="s">
        <v>2754</v>
      </c>
      <c r="G1175" s="5">
        <v>1</v>
      </c>
      <c r="H1175" s="5" t="s">
        <v>2854</v>
      </c>
      <c r="I1175" s="5" t="str">
        <f>IF(INDEX(Manual_Review!$L$6:$L$238,U1175)="","",INDEX(Manual_Review!$L$6:$L$238,U1175))</f>
        <v/>
      </c>
      <c r="J1175" s="5" t="str">
        <f t="shared" si="36"/>
        <v>AI provisional</v>
      </c>
      <c r="K1175" s="5" t="str">
        <f t="shared" si="37"/>
        <v>Y</v>
      </c>
      <c r="L1175" s="5" t="s">
        <v>928</v>
      </c>
      <c r="M1175" s="5" t="s">
        <v>5329</v>
      </c>
      <c r="N1175" s="5" t="s">
        <v>5327</v>
      </c>
      <c r="O1175" s="5" t="s">
        <v>2862</v>
      </c>
      <c r="P1175" s="5" t="s">
        <v>2858</v>
      </c>
      <c r="Q1175" s="11">
        <v>46306.5</v>
      </c>
      <c r="R1175" s="6"/>
      <c r="S1175" s="6"/>
      <c r="T1175" s="6"/>
      <c r="U1175" s="5">
        <f>MATCH(B1175,Manual_Review!$A$6:$A$238,0)</f>
        <v>74</v>
      </c>
      <c r="V1175" s="5" t="str">
        <f>IF(INDEX(Manual_Review!$G$6:$G$238,U1175)="","",INDEX(Manual_Review!$G$6:$G$238,U1175))</f>
        <v/>
      </c>
      <c r="W1175" s="11" t="str">
        <f>IF(INDEX(Manual_Review!$H$6:$H$238,U1175)="","",INDEX(Manual_Review!$H$6:$H$238,U1175))</f>
        <v/>
      </c>
      <c r="X1175" s="5" t="str">
        <f>IF(INDEX(Manual_Review!$I$6:$I$238,U1175)="","",INDEX(Manual_Review!$I$6:$I$238,U1175))</f>
        <v/>
      </c>
      <c r="Y1175" s="5" t="s">
        <v>2859</v>
      </c>
    </row>
    <row r="1176" spans="1:25" ht="25.5">
      <c r="A1176" s="5" t="s">
        <v>5330</v>
      </c>
      <c r="B1176" s="5" t="s">
        <v>920</v>
      </c>
      <c r="C1176" s="5" t="s">
        <v>921</v>
      </c>
      <c r="D1176" s="5" t="s">
        <v>118</v>
      </c>
      <c r="E1176" s="5" t="s">
        <v>2783</v>
      </c>
      <c r="F1176" s="5" t="s">
        <v>2754</v>
      </c>
      <c r="G1176" s="5">
        <v>1</v>
      </c>
      <c r="H1176" s="5" t="s">
        <v>2854</v>
      </c>
      <c r="I1176" s="5" t="str">
        <f>IF(INDEX(Manual_Review!$M$6:$M$238,U1176)="","",INDEX(Manual_Review!$M$6:$M$238,U1176))</f>
        <v/>
      </c>
      <c r="J1176" s="5" t="str">
        <f t="shared" si="36"/>
        <v>AI provisional</v>
      </c>
      <c r="K1176" s="5" t="str">
        <f t="shared" si="37"/>
        <v>Y</v>
      </c>
      <c r="L1176" s="5" t="s">
        <v>928</v>
      </c>
      <c r="M1176" s="5" t="s">
        <v>5331</v>
      </c>
      <c r="N1176" s="5" t="s">
        <v>5327</v>
      </c>
      <c r="O1176" s="5" t="s">
        <v>3133</v>
      </c>
      <c r="P1176" s="5" t="s">
        <v>2858</v>
      </c>
      <c r="Q1176" s="11">
        <v>46306.5</v>
      </c>
      <c r="R1176" s="6"/>
      <c r="S1176" s="6"/>
      <c r="T1176" s="6"/>
      <c r="U1176" s="5">
        <f>MATCH(B1176,Manual_Review!$A$6:$A$238,0)</f>
        <v>74</v>
      </c>
      <c r="V1176" s="5" t="str">
        <f>IF(INDEX(Manual_Review!$G$6:$G$238,U1176)="","",INDEX(Manual_Review!$G$6:$G$238,U1176))</f>
        <v/>
      </c>
      <c r="W1176" s="11" t="str">
        <f>IF(INDEX(Manual_Review!$H$6:$H$238,U1176)="","",INDEX(Manual_Review!$H$6:$H$238,U1176))</f>
        <v/>
      </c>
      <c r="X1176" s="5" t="str">
        <f>IF(INDEX(Manual_Review!$I$6:$I$238,U1176)="","",INDEX(Manual_Review!$I$6:$I$238,U1176))</f>
        <v/>
      </c>
      <c r="Y1176" s="5" t="s">
        <v>2859</v>
      </c>
    </row>
    <row r="1177" spans="1:25" ht="25.5">
      <c r="A1177" s="5" t="s">
        <v>5332</v>
      </c>
      <c r="B1177" s="5" t="s">
        <v>920</v>
      </c>
      <c r="C1177" s="5" t="s">
        <v>921</v>
      </c>
      <c r="D1177" s="5" t="s">
        <v>118</v>
      </c>
      <c r="E1177" s="5" t="s">
        <v>2784</v>
      </c>
      <c r="F1177" s="5" t="s">
        <v>2756</v>
      </c>
      <c r="G1177" s="5">
        <v>1</v>
      </c>
      <c r="H1177" s="5" t="s">
        <v>2854</v>
      </c>
      <c r="I1177" s="5" t="str">
        <f>IF(INDEX(Manual_Review!$N$6:$N$238,U1177)="","",INDEX(Manual_Review!$N$6:$N$238,U1177))</f>
        <v/>
      </c>
      <c r="J1177" s="5" t="str">
        <f t="shared" si="36"/>
        <v>AI provisional</v>
      </c>
      <c r="K1177" s="5" t="str">
        <f t="shared" si="37"/>
        <v>Y</v>
      </c>
      <c r="L1177" s="5" t="s">
        <v>928</v>
      </c>
      <c r="M1177" s="5" t="s">
        <v>5333</v>
      </c>
      <c r="N1177" s="5" t="s">
        <v>5327</v>
      </c>
      <c r="O1177" s="5" t="s">
        <v>2963</v>
      </c>
      <c r="P1177" s="5" t="s">
        <v>2858</v>
      </c>
      <c r="Q1177" s="11">
        <v>46306.5</v>
      </c>
      <c r="R1177" s="6"/>
      <c r="S1177" s="6"/>
      <c r="T1177" s="6"/>
      <c r="U1177" s="5">
        <f>MATCH(B1177,Manual_Review!$A$6:$A$238,0)</f>
        <v>74</v>
      </c>
      <c r="V1177" s="5" t="str">
        <f>IF(INDEX(Manual_Review!$G$6:$G$238,U1177)="","",INDEX(Manual_Review!$G$6:$G$238,U1177))</f>
        <v/>
      </c>
      <c r="W1177" s="11" t="str">
        <f>IF(INDEX(Manual_Review!$H$6:$H$238,U1177)="","",INDEX(Manual_Review!$H$6:$H$238,U1177))</f>
        <v/>
      </c>
      <c r="X1177" s="5" t="str">
        <f>IF(INDEX(Manual_Review!$I$6:$I$238,U1177)="","",INDEX(Manual_Review!$I$6:$I$238,U1177))</f>
        <v/>
      </c>
      <c r="Y1177" s="5" t="s">
        <v>2859</v>
      </c>
    </row>
    <row r="1178" spans="1:25" ht="25.5">
      <c r="A1178" s="5" t="s">
        <v>5334</v>
      </c>
      <c r="B1178" s="5" t="s">
        <v>920</v>
      </c>
      <c r="C1178" s="5" t="s">
        <v>921</v>
      </c>
      <c r="D1178" s="5" t="s">
        <v>118</v>
      </c>
      <c r="E1178" s="5" t="s">
        <v>2785</v>
      </c>
      <c r="F1178" s="5" t="s">
        <v>2756</v>
      </c>
      <c r="G1178" s="5">
        <v>1</v>
      </c>
      <c r="H1178" s="5" t="s">
        <v>2854</v>
      </c>
      <c r="I1178" s="5" t="str">
        <f>IF(INDEX(Manual_Review!$O$6:$O$238,U1178)="","",INDEX(Manual_Review!$O$6:$O$238,U1178))</f>
        <v/>
      </c>
      <c r="J1178" s="5" t="str">
        <f t="shared" si="36"/>
        <v>AI provisional</v>
      </c>
      <c r="K1178" s="5" t="str">
        <f t="shared" si="37"/>
        <v>Y</v>
      </c>
      <c r="L1178" s="5" t="s">
        <v>928</v>
      </c>
      <c r="M1178" s="5" t="s">
        <v>5335</v>
      </c>
      <c r="N1178" s="5" t="s">
        <v>5327</v>
      </c>
      <c r="O1178" s="5" t="s">
        <v>3138</v>
      </c>
      <c r="P1178" s="5" t="s">
        <v>2858</v>
      </c>
      <c r="Q1178" s="11">
        <v>46306.5</v>
      </c>
      <c r="R1178" s="6"/>
      <c r="S1178" s="6"/>
      <c r="T1178" s="6"/>
      <c r="U1178" s="5">
        <f>MATCH(B1178,Manual_Review!$A$6:$A$238,0)</f>
        <v>74</v>
      </c>
      <c r="V1178" s="5" t="str">
        <f>IF(INDEX(Manual_Review!$G$6:$G$238,U1178)="","",INDEX(Manual_Review!$G$6:$G$238,U1178))</f>
        <v/>
      </c>
      <c r="W1178" s="11" t="str">
        <f>IF(INDEX(Manual_Review!$H$6:$H$238,U1178)="","",INDEX(Manual_Review!$H$6:$H$238,U1178))</f>
        <v/>
      </c>
      <c r="X1178" s="5" t="str">
        <f>IF(INDEX(Manual_Review!$I$6:$I$238,U1178)="","",INDEX(Manual_Review!$I$6:$I$238,U1178))</f>
        <v/>
      </c>
      <c r="Y1178" s="5" t="s">
        <v>2859</v>
      </c>
    </row>
    <row r="1179" spans="1:25" ht="25.5">
      <c r="A1179" s="5" t="s">
        <v>5336</v>
      </c>
      <c r="B1179" s="5" t="s">
        <v>920</v>
      </c>
      <c r="C1179" s="5" t="s">
        <v>921</v>
      </c>
      <c r="D1179" s="5" t="s">
        <v>118</v>
      </c>
      <c r="E1179" s="5" t="s">
        <v>2786</v>
      </c>
      <c r="F1179" s="5" t="s">
        <v>2756</v>
      </c>
      <c r="G1179" s="5">
        <v>1</v>
      </c>
      <c r="H1179" s="5" t="s">
        <v>2864</v>
      </c>
      <c r="I1179" s="5" t="str">
        <f>IF(INDEX(Manual_Review!$P$6:$P$238,U1179)="","",INDEX(Manual_Review!$P$6:$P$238,U1179))</f>
        <v/>
      </c>
      <c r="J1179" s="5" t="str">
        <f t="shared" si="36"/>
        <v>AI provisional</v>
      </c>
      <c r="K1179" s="5" t="str">
        <f t="shared" si="37"/>
        <v>U</v>
      </c>
      <c r="L1179" s="5" t="s">
        <v>928</v>
      </c>
      <c r="M1179" s="5" t="s">
        <v>5337</v>
      </c>
      <c r="N1179" s="5" t="s">
        <v>5327</v>
      </c>
      <c r="O1179" s="5" t="s">
        <v>2874</v>
      </c>
      <c r="P1179" s="5" t="s">
        <v>2858</v>
      </c>
      <c r="Q1179" s="11">
        <v>46306.5</v>
      </c>
      <c r="R1179" s="6"/>
      <c r="S1179" s="6"/>
      <c r="T1179" s="6"/>
      <c r="U1179" s="5">
        <f>MATCH(B1179,Manual_Review!$A$6:$A$238,0)</f>
        <v>74</v>
      </c>
      <c r="V1179" s="5" t="str">
        <f>IF(INDEX(Manual_Review!$G$6:$G$238,U1179)="","",INDEX(Manual_Review!$G$6:$G$238,U1179))</f>
        <v/>
      </c>
      <c r="W1179" s="11" t="str">
        <f>IF(INDEX(Manual_Review!$H$6:$H$238,U1179)="","",INDEX(Manual_Review!$H$6:$H$238,U1179))</f>
        <v/>
      </c>
      <c r="X1179" s="5" t="str">
        <f>IF(INDEX(Manual_Review!$I$6:$I$238,U1179)="","",INDEX(Manual_Review!$I$6:$I$238,U1179))</f>
        <v/>
      </c>
      <c r="Y1179" s="5" t="s">
        <v>2859</v>
      </c>
    </row>
    <row r="1180" spans="1:25" ht="25.5">
      <c r="A1180" s="5" t="s">
        <v>5338</v>
      </c>
      <c r="B1180" s="5" t="s">
        <v>920</v>
      </c>
      <c r="C1180" s="5" t="s">
        <v>921</v>
      </c>
      <c r="D1180" s="5" t="s">
        <v>118</v>
      </c>
      <c r="E1180" s="5" t="s">
        <v>2787</v>
      </c>
      <c r="F1180" s="5" t="s">
        <v>2758</v>
      </c>
      <c r="G1180" s="5">
        <v>1</v>
      </c>
      <c r="H1180" s="5" t="s">
        <v>2854</v>
      </c>
      <c r="I1180" s="5" t="str">
        <f>IF(INDEX(Manual_Review!$Q$6:$Q$238,U1180)="","",INDEX(Manual_Review!$Q$6:$Q$238,U1180))</f>
        <v/>
      </c>
      <c r="J1180" s="5" t="str">
        <f t="shared" si="36"/>
        <v>AI provisional</v>
      </c>
      <c r="K1180" s="5" t="str">
        <f t="shared" si="37"/>
        <v>Y</v>
      </c>
      <c r="L1180" s="5" t="s">
        <v>928</v>
      </c>
      <c r="M1180" s="5" t="s">
        <v>5339</v>
      </c>
      <c r="N1180" s="5" t="s">
        <v>5327</v>
      </c>
      <c r="O1180" s="5" t="s">
        <v>2969</v>
      </c>
      <c r="P1180" s="5" t="s">
        <v>2858</v>
      </c>
      <c r="Q1180" s="11">
        <v>46306.5</v>
      </c>
      <c r="R1180" s="6"/>
      <c r="S1180" s="6"/>
      <c r="T1180" s="6"/>
      <c r="U1180" s="5">
        <f>MATCH(B1180,Manual_Review!$A$6:$A$238,0)</f>
        <v>74</v>
      </c>
      <c r="V1180" s="5" t="str">
        <f>IF(INDEX(Manual_Review!$G$6:$G$238,U1180)="","",INDEX(Manual_Review!$G$6:$G$238,U1180))</f>
        <v/>
      </c>
      <c r="W1180" s="11" t="str">
        <f>IF(INDEX(Manual_Review!$H$6:$H$238,U1180)="","",INDEX(Manual_Review!$H$6:$H$238,U1180))</f>
        <v/>
      </c>
      <c r="X1180" s="5" t="str">
        <f>IF(INDEX(Manual_Review!$I$6:$I$238,U1180)="","",INDEX(Manual_Review!$I$6:$I$238,U1180))</f>
        <v/>
      </c>
      <c r="Y1180" s="5" t="s">
        <v>2859</v>
      </c>
    </row>
    <row r="1181" spans="1:25" ht="25.5">
      <c r="A1181" s="5" t="s">
        <v>5340</v>
      </c>
      <c r="B1181" s="5" t="s">
        <v>920</v>
      </c>
      <c r="C1181" s="5" t="s">
        <v>921</v>
      </c>
      <c r="D1181" s="5" t="s">
        <v>118</v>
      </c>
      <c r="E1181" s="5" t="s">
        <v>2788</v>
      </c>
      <c r="F1181" s="5" t="s">
        <v>2758</v>
      </c>
      <c r="G1181" s="5">
        <v>1</v>
      </c>
      <c r="H1181" s="5" t="s">
        <v>2854</v>
      </c>
      <c r="I1181" s="5" t="str">
        <f>IF(INDEX(Manual_Review!$R$6:$R$238,U1181)="","",INDEX(Manual_Review!$R$6:$R$238,U1181))</f>
        <v/>
      </c>
      <c r="J1181" s="5" t="str">
        <f t="shared" si="36"/>
        <v>AI provisional</v>
      </c>
      <c r="K1181" s="5" t="str">
        <f t="shared" si="37"/>
        <v>Y</v>
      </c>
      <c r="L1181" s="5" t="s">
        <v>928</v>
      </c>
      <c r="M1181" s="5" t="s">
        <v>5341</v>
      </c>
      <c r="N1181" s="5" t="s">
        <v>5327</v>
      </c>
      <c r="O1181" s="5" t="s">
        <v>3067</v>
      </c>
      <c r="P1181" s="5" t="s">
        <v>2858</v>
      </c>
      <c r="Q1181" s="11">
        <v>46306.5</v>
      </c>
      <c r="R1181" s="6"/>
      <c r="S1181" s="6"/>
      <c r="T1181" s="6"/>
      <c r="U1181" s="5">
        <f>MATCH(B1181,Manual_Review!$A$6:$A$238,0)</f>
        <v>74</v>
      </c>
      <c r="V1181" s="5" t="str">
        <f>IF(INDEX(Manual_Review!$G$6:$G$238,U1181)="","",INDEX(Manual_Review!$G$6:$G$238,U1181))</f>
        <v/>
      </c>
      <c r="W1181" s="11" t="str">
        <f>IF(INDEX(Manual_Review!$H$6:$H$238,U1181)="","",INDEX(Manual_Review!$H$6:$H$238,U1181))</f>
        <v/>
      </c>
      <c r="X1181" s="5" t="str">
        <f>IF(INDEX(Manual_Review!$I$6:$I$238,U1181)="","",INDEX(Manual_Review!$I$6:$I$238,U1181))</f>
        <v/>
      </c>
      <c r="Y1181" s="5" t="s">
        <v>2859</v>
      </c>
    </row>
    <row r="1182" spans="1:25" ht="25.5">
      <c r="A1182" s="5" t="s">
        <v>5342</v>
      </c>
      <c r="B1182" s="5" t="s">
        <v>920</v>
      </c>
      <c r="C1182" s="5" t="s">
        <v>921</v>
      </c>
      <c r="D1182" s="5" t="s">
        <v>118</v>
      </c>
      <c r="E1182" s="5" t="s">
        <v>2789</v>
      </c>
      <c r="F1182" s="5" t="s">
        <v>2758</v>
      </c>
      <c r="G1182" s="5">
        <v>1</v>
      </c>
      <c r="H1182" s="5" t="s">
        <v>2854</v>
      </c>
      <c r="I1182" s="5" t="str">
        <f>IF(INDEX(Manual_Review!$S$6:$S$238,U1182)="","",INDEX(Manual_Review!$S$6:$S$238,U1182))</f>
        <v/>
      </c>
      <c r="J1182" s="5" t="str">
        <f t="shared" si="36"/>
        <v>AI provisional</v>
      </c>
      <c r="K1182" s="5" t="str">
        <f t="shared" si="37"/>
        <v>Y</v>
      </c>
      <c r="L1182" s="5" t="s">
        <v>928</v>
      </c>
      <c r="M1182" s="5" t="s">
        <v>5343</v>
      </c>
      <c r="N1182" s="5" t="s">
        <v>5327</v>
      </c>
      <c r="O1182" s="5" t="s">
        <v>3178</v>
      </c>
      <c r="P1182" s="5" t="s">
        <v>2858</v>
      </c>
      <c r="Q1182" s="11">
        <v>46306.5</v>
      </c>
      <c r="R1182" s="6"/>
      <c r="S1182" s="6"/>
      <c r="T1182" s="6"/>
      <c r="U1182" s="5">
        <f>MATCH(B1182,Manual_Review!$A$6:$A$238,0)</f>
        <v>74</v>
      </c>
      <c r="V1182" s="5" t="str">
        <f>IF(INDEX(Manual_Review!$G$6:$G$238,U1182)="","",INDEX(Manual_Review!$G$6:$G$238,U1182))</f>
        <v/>
      </c>
      <c r="W1182" s="11" t="str">
        <f>IF(INDEX(Manual_Review!$H$6:$H$238,U1182)="","",INDEX(Manual_Review!$H$6:$H$238,U1182))</f>
        <v/>
      </c>
      <c r="X1182" s="5" t="str">
        <f>IF(INDEX(Manual_Review!$I$6:$I$238,U1182)="","",INDEX(Manual_Review!$I$6:$I$238,U1182))</f>
        <v/>
      </c>
      <c r="Y1182" s="5" t="s">
        <v>2859</v>
      </c>
    </row>
    <row r="1183" spans="1:25" ht="25.5">
      <c r="A1183" s="5" t="s">
        <v>5344</v>
      </c>
      <c r="B1183" s="5" t="s">
        <v>920</v>
      </c>
      <c r="C1183" s="5" t="s">
        <v>921</v>
      </c>
      <c r="D1183" s="5" t="s">
        <v>118</v>
      </c>
      <c r="E1183" s="5" t="s">
        <v>2790</v>
      </c>
      <c r="F1183" s="5" t="s">
        <v>2760</v>
      </c>
      <c r="G1183" s="5">
        <v>1</v>
      </c>
      <c r="H1183" s="5" t="s">
        <v>2854</v>
      </c>
      <c r="I1183" s="5" t="str">
        <f>IF(INDEX(Manual_Review!$T$6:$T$238,U1183)="","",INDEX(Manual_Review!$T$6:$T$238,U1183))</f>
        <v/>
      </c>
      <c r="J1183" s="5" t="str">
        <f t="shared" si="36"/>
        <v>AI provisional</v>
      </c>
      <c r="K1183" s="5" t="str">
        <f t="shared" si="37"/>
        <v>Y</v>
      </c>
      <c r="L1183" s="5" t="s">
        <v>928</v>
      </c>
      <c r="M1183" s="5" t="s">
        <v>5345</v>
      </c>
      <c r="N1183" s="5" t="s">
        <v>5327</v>
      </c>
      <c r="O1183" s="5" t="s">
        <v>2976</v>
      </c>
      <c r="P1183" s="5" t="s">
        <v>2858</v>
      </c>
      <c r="Q1183" s="11">
        <v>46306.5</v>
      </c>
      <c r="R1183" s="6"/>
      <c r="S1183" s="6"/>
      <c r="T1183" s="6"/>
      <c r="U1183" s="5">
        <f>MATCH(B1183,Manual_Review!$A$6:$A$238,0)</f>
        <v>74</v>
      </c>
      <c r="V1183" s="5" t="str">
        <f>IF(INDEX(Manual_Review!$G$6:$G$238,U1183)="","",INDEX(Manual_Review!$G$6:$G$238,U1183))</f>
        <v/>
      </c>
      <c r="W1183" s="11" t="str">
        <f>IF(INDEX(Manual_Review!$H$6:$H$238,U1183)="","",INDEX(Manual_Review!$H$6:$H$238,U1183))</f>
        <v/>
      </c>
      <c r="X1183" s="5" t="str">
        <f>IF(INDEX(Manual_Review!$I$6:$I$238,U1183)="","",INDEX(Manual_Review!$I$6:$I$238,U1183))</f>
        <v/>
      </c>
      <c r="Y1183" s="5" t="s">
        <v>2859</v>
      </c>
    </row>
    <row r="1184" spans="1:25" ht="25.5">
      <c r="A1184" s="5" t="s">
        <v>5346</v>
      </c>
      <c r="B1184" s="5" t="s">
        <v>920</v>
      </c>
      <c r="C1184" s="5" t="s">
        <v>921</v>
      </c>
      <c r="D1184" s="5" t="s">
        <v>118</v>
      </c>
      <c r="E1184" s="5" t="s">
        <v>2791</v>
      </c>
      <c r="F1184" s="5" t="s">
        <v>2760</v>
      </c>
      <c r="G1184" s="5">
        <v>1</v>
      </c>
      <c r="H1184" s="5" t="s">
        <v>2854</v>
      </c>
      <c r="I1184" s="5" t="str">
        <f>IF(INDEX(Manual_Review!$U$6:$U$238,U1184)="","",INDEX(Manual_Review!$U$6:$U$238,U1184))</f>
        <v/>
      </c>
      <c r="J1184" s="5" t="str">
        <f t="shared" si="36"/>
        <v>AI provisional</v>
      </c>
      <c r="K1184" s="5" t="str">
        <f t="shared" si="37"/>
        <v>Y</v>
      </c>
      <c r="L1184" s="5" t="s">
        <v>928</v>
      </c>
      <c r="M1184" s="5" t="s">
        <v>5347</v>
      </c>
      <c r="N1184" s="5" t="s">
        <v>5327</v>
      </c>
      <c r="O1184" s="5" t="s">
        <v>3380</v>
      </c>
      <c r="P1184" s="5" t="s">
        <v>2858</v>
      </c>
      <c r="Q1184" s="11">
        <v>46306.5</v>
      </c>
      <c r="R1184" s="6"/>
      <c r="S1184" s="6"/>
      <c r="T1184" s="6"/>
      <c r="U1184" s="5">
        <f>MATCH(B1184,Manual_Review!$A$6:$A$238,0)</f>
        <v>74</v>
      </c>
      <c r="V1184" s="5" t="str">
        <f>IF(INDEX(Manual_Review!$G$6:$G$238,U1184)="","",INDEX(Manual_Review!$G$6:$G$238,U1184))</f>
        <v/>
      </c>
      <c r="W1184" s="11" t="str">
        <f>IF(INDEX(Manual_Review!$H$6:$H$238,U1184)="","",INDEX(Manual_Review!$H$6:$H$238,U1184))</f>
        <v/>
      </c>
      <c r="X1184" s="5" t="str">
        <f>IF(INDEX(Manual_Review!$I$6:$I$238,U1184)="","",INDEX(Manual_Review!$I$6:$I$238,U1184))</f>
        <v/>
      </c>
      <c r="Y1184" s="5" t="s">
        <v>2859</v>
      </c>
    </row>
    <row r="1185" spans="1:25" ht="25.5">
      <c r="A1185" s="5" t="s">
        <v>5348</v>
      </c>
      <c r="B1185" s="5" t="s">
        <v>920</v>
      </c>
      <c r="C1185" s="5" t="s">
        <v>921</v>
      </c>
      <c r="D1185" s="5" t="s">
        <v>118</v>
      </c>
      <c r="E1185" s="5" t="s">
        <v>2792</v>
      </c>
      <c r="F1185" s="5" t="s">
        <v>2762</v>
      </c>
      <c r="G1185" s="5">
        <v>1</v>
      </c>
      <c r="H1185" s="5" t="s">
        <v>2854</v>
      </c>
      <c r="I1185" s="5" t="str">
        <f>IF(INDEX(Manual_Review!$V$6:$V$238,U1185)="","",INDEX(Manual_Review!$V$6:$V$238,U1185))</f>
        <v/>
      </c>
      <c r="J1185" s="5" t="str">
        <f t="shared" si="36"/>
        <v>AI provisional</v>
      </c>
      <c r="K1185" s="5" t="str">
        <f t="shared" si="37"/>
        <v>Y</v>
      </c>
      <c r="L1185" s="5" t="s">
        <v>928</v>
      </c>
      <c r="M1185" s="5" t="s">
        <v>5349</v>
      </c>
      <c r="N1185" s="5" t="s">
        <v>5327</v>
      </c>
      <c r="O1185" s="5" t="s">
        <v>3152</v>
      </c>
      <c r="P1185" s="5" t="s">
        <v>2858</v>
      </c>
      <c r="Q1185" s="11">
        <v>46306.5</v>
      </c>
      <c r="R1185" s="6"/>
      <c r="S1185" s="6"/>
      <c r="T1185" s="6"/>
      <c r="U1185" s="5">
        <f>MATCH(B1185,Manual_Review!$A$6:$A$238,0)</f>
        <v>74</v>
      </c>
      <c r="V1185" s="5" t="str">
        <f>IF(INDEX(Manual_Review!$G$6:$G$238,U1185)="","",INDEX(Manual_Review!$G$6:$G$238,U1185))</f>
        <v/>
      </c>
      <c r="W1185" s="11" t="str">
        <f>IF(INDEX(Manual_Review!$H$6:$H$238,U1185)="","",INDEX(Manual_Review!$H$6:$H$238,U1185))</f>
        <v/>
      </c>
      <c r="X1185" s="5" t="str">
        <f>IF(INDEX(Manual_Review!$I$6:$I$238,U1185)="","",INDEX(Manual_Review!$I$6:$I$238,U1185))</f>
        <v/>
      </c>
      <c r="Y1185" s="5" t="s">
        <v>2859</v>
      </c>
    </row>
    <row r="1186" spans="1:25" ht="25.5">
      <c r="A1186" s="5" t="s">
        <v>5350</v>
      </c>
      <c r="B1186" s="5" t="s">
        <v>920</v>
      </c>
      <c r="C1186" s="5" t="s">
        <v>921</v>
      </c>
      <c r="D1186" s="5" t="s">
        <v>118</v>
      </c>
      <c r="E1186" s="5" t="s">
        <v>2793</v>
      </c>
      <c r="F1186" s="5" t="s">
        <v>2762</v>
      </c>
      <c r="G1186" s="5">
        <v>1</v>
      </c>
      <c r="H1186" s="5" t="s">
        <v>2854</v>
      </c>
      <c r="I1186" s="5" t="str">
        <f>IF(INDEX(Manual_Review!$W$6:$W$238,U1186)="","",INDEX(Manual_Review!$W$6:$W$238,U1186))</f>
        <v/>
      </c>
      <c r="J1186" s="5" t="str">
        <f t="shared" si="36"/>
        <v>AI provisional</v>
      </c>
      <c r="K1186" s="5" t="str">
        <f t="shared" si="37"/>
        <v>Y</v>
      </c>
      <c r="L1186" s="5" t="s">
        <v>928</v>
      </c>
      <c r="M1186" s="5" t="s">
        <v>5351</v>
      </c>
      <c r="N1186" s="5" t="s">
        <v>5327</v>
      </c>
      <c r="O1186" s="5" t="s">
        <v>3077</v>
      </c>
      <c r="P1186" s="5" t="s">
        <v>2858</v>
      </c>
      <c r="Q1186" s="11">
        <v>46306.5</v>
      </c>
      <c r="R1186" s="6"/>
      <c r="S1186" s="6"/>
      <c r="T1186" s="6"/>
      <c r="U1186" s="5">
        <f>MATCH(B1186,Manual_Review!$A$6:$A$238,0)</f>
        <v>74</v>
      </c>
      <c r="V1186" s="5" t="str">
        <f>IF(INDEX(Manual_Review!$G$6:$G$238,U1186)="","",INDEX(Manual_Review!$G$6:$G$238,U1186))</f>
        <v/>
      </c>
      <c r="W1186" s="11" t="str">
        <f>IF(INDEX(Manual_Review!$H$6:$H$238,U1186)="","",INDEX(Manual_Review!$H$6:$H$238,U1186))</f>
        <v/>
      </c>
      <c r="X1186" s="5" t="str">
        <f>IF(INDEX(Manual_Review!$I$6:$I$238,U1186)="","",INDEX(Manual_Review!$I$6:$I$238,U1186))</f>
        <v/>
      </c>
      <c r="Y1186" s="5" t="s">
        <v>2859</v>
      </c>
    </row>
    <row r="1187" spans="1:25" ht="25.5">
      <c r="A1187" s="5" t="s">
        <v>5352</v>
      </c>
      <c r="B1187" s="5" t="s">
        <v>920</v>
      </c>
      <c r="C1187" s="5" t="s">
        <v>921</v>
      </c>
      <c r="D1187" s="5" t="s">
        <v>118</v>
      </c>
      <c r="E1187" s="5" t="s">
        <v>2794</v>
      </c>
      <c r="F1187" s="5" t="s">
        <v>2764</v>
      </c>
      <c r="G1187" s="5">
        <v>1</v>
      </c>
      <c r="H1187" s="5" t="s">
        <v>2854</v>
      </c>
      <c r="I1187" s="5" t="str">
        <f>IF(INDEX(Manual_Review!$X$6:$X$238,U1187)="","",INDEX(Manual_Review!$X$6:$X$238,U1187))</f>
        <v/>
      </c>
      <c r="J1187" s="5" t="str">
        <f t="shared" si="36"/>
        <v>AI provisional</v>
      </c>
      <c r="K1187" s="5" t="str">
        <f t="shared" si="37"/>
        <v>Y</v>
      </c>
      <c r="L1187" s="5" t="s">
        <v>928</v>
      </c>
      <c r="M1187" s="5" t="s">
        <v>5353</v>
      </c>
      <c r="N1187" s="5" t="s">
        <v>5327</v>
      </c>
      <c r="O1187" s="5" t="s">
        <v>2984</v>
      </c>
      <c r="P1187" s="5" t="s">
        <v>2858</v>
      </c>
      <c r="Q1187" s="11">
        <v>46306.5</v>
      </c>
      <c r="R1187" s="6"/>
      <c r="S1187" s="6"/>
      <c r="T1187" s="6"/>
      <c r="U1187" s="5">
        <f>MATCH(B1187,Manual_Review!$A$6:$A$238,0)</f>
        <v>74</v>
      </c>
      <c r="V1187" s="5" t="str">
        <f>IF(INDEX(Manual_Review!$G$6:$G$238,U1187)="","",INDEX(Manual_Review!$G$6:$G$238,U1187))</f>
        <v/>
      </c>
      <c r="W1187" s="11" t="str">
        <f>IF(INDEX(Manual_Review!$H$6:$H$238,U1187)="","",INDEX(Manual_Review!$H$6:$H$238,U1187))</f>
        <v/>
      </c>
      <c r="X1187" s="5" t="str">
        <f>IF(INDEX(Manual_Review!$I$6:$I$238,U1187)="","",INDEX(Manual_Review!$I$6:$I$238,U1187))</f>
        <v/>
      </c>
      <c r="Y1187" s="5" t="s">
        <v>2859</v>
      </c>
    </row>
    <row r="1188" spans="1:25" ht="25.5">
      <c r="A1188" s="5" t="s">
        <v>5354</v>
      </c>
      <c r="B1188" s="5" t="s">
        <v>920</v>
      </c>
      <c r="C1188" s="5" t="s">
        <v>921</v>
      </c>
      <c r="D1188" s="5" t="s">
        <v>118</v>
      </c>
      <c r="E1188" s="5" t="s">
        <v>2795</v>
      </c>
      <c r="F1188" s="5" t="s">
        <v>2764</v>
      </c>
      <c r="G1188" s="5">
        <v>1</v>
      </c>
      <c r="H1188" s="5" t="s">
        <v>2854</v>
      </c>
      <c r="I1188" s="5" t="str">
        <f>IF(INDEX(Manual_Review!$Y$6:$Y$238,U1188)="","",INDEX(Manual_Review!$Y$6:$Y$238,U1188))</f>
        <v/>
      </c>
      <c r="J1188" s="5" t="str">
        <f t="shared" si="36"/>
        <v>AI provisional</v>
      </c>
      <c r="K1188" s="5" t="str">
        <f t="shared" si="37"/>
        <v>Y</v>
      </c>
      <c r="L1188" s="5" t="s">
        <v>928</v>
      </c>
      <c r="M1188" s="5" t="s">
        <v>5355</v>
      </c>
      <c r="N1188" s="5" t="s">
        <v>5327</v>
      </c>
      <c r="O1188" s="5" t="s">
        <v>3082</v>
      </c>
      <c r="P1188" s="5" t="s">
        <v>2858</v>
      </c>
      <c r="Q1188" s="11">
        <v>46306.5</v>
      </c>
      <c r="R1188" s="6"/>
      <c r="S1188" s="6"/>
      <c r="T1188" s="6"/>
      <c r="U1188" s="5">
        <f>MATCH(B1188,Manual_Review!$A$6:$A$238,0)</f>
        <v>74</v>
      </c>
      <c r="V1188" s="5" t="str">
        <f>IF(INDEX(Manual_Review!$G$6:$G$238,U1188)="","",INDEX(Manual_Review!$G$6:$G$238,U1188))</f>
        <v/>
      </c>
      <c r="W1188" s="11" t="str">
        <f>IF(INDEX(Manual_Review!$H$6:$H$238,U1188)="","",INDEX(Manual_Review!$H$6:$H$238,U1188))</f>
        <v/>
      </c>
      <c r="X1188" s="5" t="str">
        <f>IF(INDEX(Manual_Review!$I$6:$I$238,U1188)="","",INDEX(Manual_Review!$I$6:$I$238,U1188))</f>
        <v/>
      </c>
      <c r="Y1188" s="5" t="s">
        <v>2859</v>
      </c>
    </row>
    <row r="1189" spans="1:25" ht="25.5">
      <c r="A1189" s="5" t="s">
        <v>5356</v>
      </c>
      <c r="B1189" s="5" t="s">
        <v>920</v>
      </c>
      <c r="C1189" s="5" t="s">
        <v>921</v>
      </c>
      <c r="D1189" s="5" t="s">
        <v>118</v>
      </c>
      <c r="E1189" s="5" t="s">
        <v>2796</v>
      </c>
      <c r="F1189" s="5" t="s">
        <v>2764</v>
      </c>
      <c r="G1189" s="5">
        <v>1</v>
      </c>
      <c r="H1189" s="5" t="s">
        <v>2854</v>
      </c>
      <c r="I1189" s="5" t="str">
        <f>IF(INDEX(Manual_Review!$Z$6:$Z$238,U1189)="","",INDEX(Manual_Review!$Z$6:$Z$238,U1189))</f>
        <v/>
      </c>
      <c r="J1189" s="5" t="str">
        <f t="shared" si="36"/>
        <v>AI provisional</v>
      </c>
      <c r="K1189" s="5" t="str">
        <f t="shared" si="37"/>
        <v>Y</v>
      </c>
      <c r="L1189" s="5" t="s">
        <v>928</v>
      </c>
      <c r="M1189" s="5" t="s">
        <v>5357</v>
      </c>
      <c r="N1189" s="5" t="s">
        <v>5327</v>
      </c>
      <c r="O1189" s="5" t="s">
        <v>3085</v>
      </c>
      <c r="P1189" s="5" t="s">
        <v>2858</v>
      </c>
      <c r="Q1189" s="11">
        <v>46306.5</v>
      </c>
      <c r="R1189" s="6"/>
      <c r="S1189" s="6"/>
      <c r="T1189" s="6"/>
      <c r="U1189" s="5">
        <f>MATCH(B1189,Manual_Review!$A$6:$A$238,0)</f>
        <v>74</v>
      </c>
      <c r="V1189" s="5" t="str">
        <f>IF(INDEX(Manual_Review!$G$6:$G$238,U1189)="","",INDEX(Manual_Review!$G$6:$G$238,U1189))</f>
        <v/>
      </c>
      <c r="W1189" s="11" t="str">
        <f>IF(INDEX(Manual_Review!$H$6:$H$238,U1189)="","",INDEX(Manual_Review!$H$6:$H$238,U1189))</f>
        <v/>
      </c>
      <c r="X1189" s="5" t="str">
        <f>IF(INDEX(Manual_Review!$I$6:$I$238,U1189)="","",INDEX(Manual_Review!$I$6:$I$238,U1189))</f>
        <v/>
      </c>
      <c r="Y1189" s="5" t="s">
        <v>2859</v>
      </c>
    </row>
    <row r="1190" spans="1:25" ht="25.5">
      <c r="A1190" s="5" t="s">
        <v>5358</v>
      </c>
      <c r="B1190" s="5" t="s">
        <v>930</v>
      </c>
      <c r="C1190" s="5" t="s">
        <v>931</v>
      </c>
      <c r="D1190" s="5" t="s">
        <v>118</v>
      </c>
      <c r="E1190" s="5" t="s">
        <v>2781</v>
      </c>
      <c r="F1190" s="5" t="s">
        <v>2754</v>
      </c>
      <c r="G1190" s="5">
        <v>1</v>
      </c>
      <c r="H1190" s="5" t="s">
        <v>2854</v>
      </c>
      <c r="I1190" s="5" t="str">
        <f>IF(INDEX(Manual_Review!$K$6:$K$238,U1190)="","",INDEX(Manual_Review!$K$6:$K$238,U1190))</f>
        <v/>
      </c>
      <c r="J1190" s="5" t="str">
        <f t="shared" si="36"/>
        <v>AI provisional</v>
      </c>
      <c r="K1190" s="5" t="str">
        <f t="shared" si="37"/>
        <v>Y</v>
      </c>
      <c r="L1190" s="5" t="s">
        <v>938</v>
      </c>
      <c r="M1190" s="5" t="s">
        <v>5359</v>
      </c>
      <c r="N1190" s="5" t="s">
        <v>5360</v>
      </c>
      <c r="O1190" s="5" t="s">
        <v>2857</v>
      </c>
      <c r="P1190" s="5" t="s">
        <v>2858</v>
      </c>
      <c r="Q1190" s="11">
        <v>46306.5</v>
      </c>
      <c r="R1190" s="6"/>
      <c r="S1190" s="6"/>
      <c r="T1190" s="6"/>
      <c r="U1190" s="5">
        <f>MATCH(B1190,Manual_Review!$A$6:$A$238,0)</f>
        <v>75</v>
      </c>
      <c r="V1190" s="5" t="str">
        <f>IF(INDEX(Manual_Review!$G$6:$G$238,U1190)="","",INDEX(Manual_Review!$G$6:$G$238,U1190))</f>
        <v/>
      </c>
      <c r="W1190" s="11" t="str">
        <f>IF(INDEX(Manual_Review!$H$6:$H$238,U1190)="","",INDEX(Manual_Review!$H$6:$H$238,U1190))</f>
        <v/>
      </c>
      <c r="X1190" s="5" t="str">
        <f>IF(INDEX(Manual_Review!$I$6:$I$238,U1190)="","",INDEX(Manual_Review!$I$6:$I$238,U1190))</f>
        <v/>
      </c>
      <c r="Y1190" s="5" t="s">
        <v>2859</v>
      </c>
    </row>
    <row r="1191" spans="1:25" ht="25.5">
      <c r="A1191" s="5" t="s">
        <v>5361</v>
      </c>
      <c r="B1191" s="5" t="s">
        <v>930</v>
      </c>
      <c r="C1191" s="5" t="s">
        <v>931</v>
      </c>
      <c r="D1191" s="5" t="s">
        <v>118</v>
      </c>
      <c r="E1191" s="5" t="s">
        <v>2782</v>
      </c>
      <c r="F1191" s="5" t="s">
        <v>2754</v>
      </c>
      <c r="G1191" s="5">
        <v>1</v>
      </c>
      <c r="H1191" s="5" t="s">
        <v>2854</v>
      </c>
      <c r="I1191" s="5" t="str">
        <f>IF(INDEX(Manual_Review!$L$6:$L$238,U1191)="","",INDEX(Manual_Review!$L$6:$L$238,U1191))</f>
        <v/>
      </c>
      <c r="J1191" s="5" t="str">
        <f t="shared" si="36"/>
        <v>AI provisional</v>
      </c>
      <c r="K1191" s="5" t="str">
        <f t="shared" si="37"/>
        <v>Y</v>
      </c>
      <c r="L1191" s="5" t="s">
        <v>938</v>
      </c>
      <c r="M1191" s="5" t="s">
        <v>5362</v>
      </c>
      <c r="N1191" s="5" t="s">
        <v>5360</v>
      </c>
      <c r="O1191" s="5" t="s">
        <v>2862</v>
      </c>
      <c r="P1191" s="5" t="s">
        <v>2858</v>
      </c>
      <c r="Q1191" s="11">
        <v>46306.5</v>
      </c>
      <c r="R1191" s="6"/>
      <c r="S1191" s="6"/>
      <c r="T1191" s="6"/>
      <c r="U1191" s="5">
        <f>MATCH(B1191,Manual_Review!$A$6:$A$238,0)</f>
        <v>75</v>
      </c>
      <c r="V1191" s="5" t="str">
        <f>IF(INDEX(Manual_Review!$G$6:$G$238,U1191)="","",INDEX(Manual_Review!$G$6:$G$238,U1191))</f>
        <v/>
      </c>
      <c r="W1191" s="11" t="str">
        <f>IF(INDEX(Manual_Review!$H$6:$H$238,U1191)="","",INDEX(Manual_Review!$H$6:$H$238,U1191))</f>
        <v/>
      </c>
      <c r="X1191" s="5" t="str">
        <f>IF(INDEX(Manual_Review!$I$6:$I$238,U1191)="","",INDEX(Manual_Review!$I$6:$I$238,U1191))</f>
        <v/>
      </c>
      <c r="Y1191" s="5" t="s">
        <v>2859</v>
      </c>
    </row>
    <row r="1192" spans="1:25" ht="25.5">
      <c r="A1192" s="5" t="s">
        <v>5363</v>
      </c>
      <c r="B1192" s="5" t="s">
        <v>930</v>
      </c>
      <c r="C1192" s="5" t="s">
        <v>931</v>
      </c>
      <c r="D1192" s="5" t="s">
        <v>118</v>
      </c>
      <c r="E1192" s="5" t="s">
        <v>2783</v>
      </c>
      <c r="F1192" s="5" t="s">
        <v>2754</v>
      </c>
      <c r="G1192" s="5">
        <v>1</v>
      </c>
      <c r="H1192" s="5" t="s">
        <v>2854</v>
      </c>
      <c r="I1192" s="5" t="str">
        <f>IF(INDEX(Manual_Review!$M$6:$M$238,U1192)="","",INDEX(Manual_Review!$M$6:$M$238,U1192))</f>
        <v/>
      </c>
      <c r="J1192" s="5" t="str">
        <f t="shared" si="36"/>
        <v>AI provisional</v>
      </c>
      <c r="K1192" s="5" t="str">
        <f t="shared" si="37"/>
        <v>Y</v>
      </c>
      <c r="L1192" s="5" t="s">
        <v>938</v>
      </c>
      <c r="M1192" s="5" t="s">
        <v>5364</v>
      </c>
      <c r="N1192" s="5" t="s">
        <v>5360</v>
      </c>
      <c r="O1192" s="5" t="s">
        <v>3133</v>
      </c>
      <c r="P1192" s="5" t="s">
        <v>2858</v>
      </c>
      <c r="Q1192" s="11">
        <v>46306.5</v>
      </c>
      <c r="R1192" s="6"/>
      <c r="S1192" s="6"/>
      <c r="T1192" s="6"/>
      <c r="U1192" s="5">
        <f>MATCH(B1192,Manual_Review!$A$6:$A$238,0)</f>
        <v>75</v>
      </c>
      <c r="V1192" s="5" t="str">
        <f>IF(INDEX(Manual_Review!$G$6:$G$238,U1192)="","",INDEX(Manual_Review!$G$6:$G$238,U1192))</f>
        <v/>
      </c>
      <c r="W1192" s="11" t="str">
        <f>IF(INDEX(Manual_Review!$H$6:$H$238,U1192)="","",INDEX(Manual_Review!$H$6:$H$238,U1192))</f>
        <v/>
      </c>
      <c r="X1192" s="5" t="str">
        <f>IF(INDEX(Manual_Review!$I$6:$I$238,U1192)="","",INDEX(Manual_Review!$I$6:$I$238,U1192))</f>
        <v/>
      </c>
      <c r="Y1192" s="5" t="s">
        <v>2859</v>
      </c>
    </row>
    <row r="1193" spans="1:25" ht="25.5">
      <c r="A1193" s="5" t="s">
        <v>5365</v>
      </c>
      <c r="B1193" s="5" t="s">
        <v>930</v>
      </c>
      <c r="C1193" s="5" t="s">
        <v>931</v>
      </c>
      <c r="D1193" s="5" t="s">
        <v>118</v>
      </c>
      <c r="E1193" s="5" t="s">
        <v>2784</v>
      </c>
      <c r="F1193" s="5" t="s">
        <v>2756</v>
      </c>
      <c r="G1193" s="5">
        <v>1</v>
      </c>
      <c r="H1193" s="5" t="s">
        <v>2854</v>
      </c>
      <c r="I1193" s="5" t="str">
        <f>IF(INDEX(Manual_Review!$N$6:$N$238,U1193)="","",INDEX(Manual_Review!$N$6:$N$238,U1193))</f>
        <v/>
      </c>
      <c r="J1193" s="5" t="str">
        <f t="shared" si="36"/>
        <v>AI provisional</v>
      </c>
      <c r="K1193" s="5" t="str">
        <f t="shared" si="37"/>
        <v>Y</v>
      </c>
      <c r="L1193" s="5" t="s">
        <v>938</v>
      </c>
      <c r="M1193" s="5" t="s">
        <v>5366</v>
      </c>
      <c r="N1193" s="5" t="s">
        <v>5360</v>
      </c>
      <c r="O1193" s="5" t="s">
        <v>2963</v>
      </c>
      <c r="P1193" s="5" t="s">
        <v>2858</v>
      </c>
      <c r="Q1193" s="11">
        <v>46306.5</v>
      </c>
      <c r="R1193" s="6"/>
      <c r="S1193" s="6"/>
      <c r="T1193" s="6"/>
      <c r="U1193" s="5">
        <f>MATCH(B1193,Manual_Review!$A$6:$A$238,0)</f>
        <v>75</v>
      </c>
      <c r="V1193" s="5" t="str">
        <f>IF(INDEX(Manual_Review!$G$6:$G$238,U1193)="","",INDEX(Manual_Review!$G$6:$G$238,U1193))</f>
        <v/>
      </c>
      <c r="W1193" s="11" t="str">
        <f>IF(INDEX(Manual_Review!$H$6:$H$238,U1193)="","",INDEX(Manual_Review!$H$6:$H$238,U1193))</f>
        <v/>
      </c>
      <c r="X1193" s="5" t="str">
        <f>IF(INDEX(Manual_Review!$I$6:$I$238,U1193)="","",INDEX(Manual_Review!$I$6:$I$238,U1193))</f>
        <v/>
      </c>
      <c r="Y1193" s="5" t="s">
        <v>2859</v>
      </c>
    </row>
    <row r="1194" spans="1:25" ht="25.5">
      <c r="A1194" s="5" t="s">
        <v>5367</v>
      </c>
      <c r="B1194" s="5" t="s">
        <v>930</v>
      </c>
      <c r="C1194" s="5" t="s">
        <v>931</v>
      </c>
      <c r="D1194" s="5" t="s">
        <v>118</v>
      </c>
      <c r="E1194" s="5" t="s">
        <v>2785</v>
      </c>
      <c r="F1194" s="5" t="s">
        <v>2756</v>
      </c>
      <c r="G1194" s="5">
        <v>1</v>
      </c>
      <c r="H1194" s="5" t="s">
        <v>2864</v>
      </c>
      <c r="I1194" s="5" t="str">
        <f>IF(INDEX(Manual_Review!$O$6:$O$238,U1194)="","",INDEX(Manual_Review!$O$6:$O$238,U1194))</f>
        <v/>
      </c>
      <c r="J1194" s="5" t="str">
        <f t="shared" si="36"/>
        <v>AI provisional</v>
      </c>
      <c r="K1194" s="5" t="str">
        <f t="shared" si="37"/>
        <v>U</v>
      </c>
      <c r="L1194" s="5" t="s">
        <v>938</v>
      </c>
      <c r="M1194" s="5" t="s">
        <v>5368</v>
      </c>
      <c r="N1194" s="5" t="s">
        <v>5360</v>
      </c>
      <c r="O1194" s="5" t="s">
        <v>2872</v>
      </c>
      <c r="P1194" s="5" t="s">
        <v>2858</v>
      </c>
      <c r="Q1194" s="11">
        <v>46306.5</v>
      </c>
      <c r="R1194" s="6"/>
      <c r="S1194" s="6"/>
      <c r="T1194" s="6"/>
      <c r="U1194" s="5">
        <f>MATCH(B1194,Manual_Review!$A$6:$A$238,0)</f>
        <v>75</v>
      </c>
      <c r="V1194" s="5" t="str">
        <f>IF(INDEX(Manual_Review!$G$6:$G$238,U1194)="","",INDEX(Manual_Review!$G$6:$G$238,U1194))</f>
        <v/>
      </c>
      <c r="W1194" s="11" t="str">
        <f>IF(INDEX(Manual_Review!$H$6:$H$238,U1194)="","",INDEX(Manual_Review!$H$6:$H$238,U1194))</f>
        <v/>
      </c>
      <c r="X1194" s="5" t="str">
        <f>IF(INDEX(Manual_Review!$I$6:$I$238,U1194)="","",INDEX(Manual_Review!$I$6:$I$238,U1194))</f>
        <v/>
      </c>
      <c r="Y1194" s="5" t="s">
        <v>2859</v>
      </c>
    </row>
    <row r="1195" spans="1:25" ht="25.5">
      <c r="A1195" s="5" t="s">
        <v>5369</v>
      </c>
      <c r="B1195" s="5" t="s">
        <v>930</v>
      </c>
      <c r="C1195" s="5" t="s">
        <v>931</v>
      </c>
      <c r="D1195" s="5" t="s">
        <v>118</v>
      </c>
      <c r="E1195" s="5" t="s">
        <v>2786</v>
      </c>
      <c r="F1195" s="5" t="s">
        <v>2756</v>
      </c>
      <c r="G1195" s="5">
        <v>1</v>
      </c>
      <c r="H1195" s="5" t="s">
        <v>2864</v>
      </c>
      <c r="I1195" s="5" t="str">
        <f>IF(INDEX(Manual_Review!$P$6:$P$238,U1195)="","",INDEX(Manual_Review!$P$6:$P$238,U1195))</f>
        <v/>
      </c>
      <c r="J1195" s="5" t="str">
        <f t="shared" si="36"/>
        <v>AI provisional</v>
      </c>
      <c r="K1195" s="5" t="str">
        <f t="shared" si="37"/>
        <v>U</v>
      </c>
      <c r="L1195" s="5" t="s">
        <v>938</v>
      </c>
      <c r="M1195" s="5" t="s">
        <v>5370</v>
      </c>
      <c r="N1195" s="5" t="s">
        <v>5360</v>
      </c>
      <c r="O1195" s="5" t="s">
        <v>2874</v>
      </c>
      <c r="P1195" s="5" t="s">
        <v>2858</v>
      </c>
      <c r="Q1195" s="11">
        <v>46306.5</v>
      </c>
      <c r="R1195" s="6"/>
      <c r="S1195" s="6"/>
      <c r="T1195" s="6"/>
      <c r="U1195" s="5">
        <f>MATCH(B1195,Manual_Review!$A$6:$A$238,0)</f>
        <v>75</v>
      </c>
      <c r="V1195" s="5" t="str">
        <f>IF(INDEX(Manual_Review!$G$6:$G$238,U1195)="","",INDEX(Manual_Review!$G$6:$G$238,U1195))</f>
        <v/>
      </c>
      <c r="W1195" s="11" t="str">
        <f>IF(INDEX(Manual_Review!$H$6:$H$238,U1195)="","",INDEX(Manual_Review!$H$6:$H$238,U1195))</f>
        <v/>
      </c>
      <c r="X1195" s="5" t="str">
        <f>IF(INDEX(Manual_Review!$I$6:$I$238,U1195)="","",INDEX(Manual_Review!$I$6:$I$238,U1195))</f>
        <v/>
      </c>
      <c r="Y1195" s="5" t="s">
        <v>2859</v>
      </c>
    </row>
    <row r="1196" spans="1:25" ht="25.5">
      <c r="A1196" s="5" t="s">
        <v>5371</v>
      </c>
      <c r="B1196" s="5" t="s">
        <v>930</v>
      </c>
      <c r="C1196" s="5" t="s">
        <v>931</v>
      </c>
      <c r="D1196" s="5" t="s">
        <v>118</v>
      </c>
      <c r="E1196" s="5" t="s">
        <v>2787</v>
      </c>
      <c r="F1196" s="5" t="s">
        <v>2758</v>
      </c>
      <c r="G1196" s="5">
        <v>1</v>
      </c>
      <c r="H1196" s="5" t="s">
        <v>2864</v>
      </c>
      <c r="I1196" s="5" t="str">
        <f>IF(INDEX(Manual_Review!$Q$6:$Q$238,U1196)="","",INDEX(Manual_Review!$Q$6:$Q$238,U1196))</f>
        <v/>
      </c>
      <c r="J1196" s="5" t="str">
        <f t="shared" si="36"/>
        <v>AI provisional</v>
      </c>
      <c r="K1196" s="5" t="str">
        <f t="shared" si="37"/>
        <v>U</v>
      </c>
      <c r="L1196" s="5" t="s">
        <v>938</v>
      </c>
      <c r="M1196" s="5" t="s">
        <v>5372</v>
      </c>
      <c r="N1196" s="5" t="s">
        <v>5360</v>
      </c>
      <c r="O1196" s="5" t="s">
        <v>2877</v>
      </c>
      <c r="P1196" s="5" t="s">
        <v>2858</v>
      </c>
      <c r="Q1196" s="11">
        <v>46306.5</v>
      </c>
      <c r="R1196" s="6"/>
      <c r="S1196" s="6"/>
      <c r="T1196" s="6"/>
      <c r="U1196" s="5">
        <f>MATCH(B1196,Manual_Review!$A$6:$A$238,0)</f>
        <v>75</v>
      </c>
      <c r="V1196" s="5" t="str">
        <f>IF(INDEX(Manual_Review!$G$6:$G$238,U1196)="","",INDEX(Manual_Review!$G$6:$G$238,U1196))</f>
        <v/>
      </c>
      <c r="W1196" s="11" t="str">
        <f>IF(INDEX(Manual_Review!$H$6:$H$238,U1196)="","",INDEX(Manual_Review!$H$6:$H$238,U1196))</f>
        <v/>
      </c>
      <c r="X1196" s="5" t="str">
        <f>IF(INDEX(Manual_Review!$I$6:$I$238,U1196)="","",INDEX(Manual_Review!$I$6:$I$238,U1196))</f>
        <v/>
      </c>
      <c r="Y1196" s="5" t="s">
        <v>2859</v>
      </c>
    </row>
    <row r="1197" spans="1:25" ht="25.5">
      <c r="A1197" s="5" t="s">
        <v>5373</v>
      </c>
      <c r="B1197" s="5" t="s">
        <v>930</v>
      </c>
      <c r="C1197" s="5" t="s">
        <v>931</v>
      </c>
      <c r="D1197" s="5" t="s">
        <v>118</v>
      </c>
      <c r="E1197" s="5" t="s">
        <v>2788</v>
      </c>
      <c r="F1197" s="5" t="s">
        <v>2758</v>
      </c>
      <c r="G1197" s="5">
        <v>1</v>
      </c>
      <c r="H1197" s="5" t="s">
        <v>2854</v>
      </c>
      <c r="I1197" s="5" t="str">
        <f>IF(INDEX(Manual_Review!$R$6:$R$238,U1197)="","",INDEX(Manual_Review!$R$6:$R$238,U1197))</f>
        <v/>
      </c>
      <c r="J1197" s="5" t="str">
        <f t="shared" si="36"/>
        <v>AI provisional</v>
      </c>
      <c r="K1197" s="5" t="str">
        <f t="shared" si="37"/>
        <v>Y</v>
      </c>
      <c r="L1197" s="5" t="s">
        <v>938</v>
      </c>
      <c r="M1197" s="5" t="s">
        <v>5374</v>
      </c>
      <c r="N1197" s="5" t="s">
        <v>5360</v>
      </c>
      <c r="O1197" s="5" t="s">
        <v>3067</v>
      </c>
      <c r="P1197" s="5" t="s">
        <v>2858</v>
      </c>
      <c r="Q1197" s="11">
        <v>46306.5</v>
      </c>
      <c r="R1197" s="6"/>
      <c r="S1197" s="6"/>
      <c r="T1197" s="6"/>
      <c r="U1197" s="5">
        <f>MATCH(B1197,Manual_Review!$A$6:$A$238,0)</f>
        <v>75</v>
      </c>
      <c r="V1197" s="5" t="str">
        <f>IF(INDEX(Manual_Review!$G$6:$G$238,U1197)="","",INDEX(Manual_Review!$G$6:$G$238,U1197))</f>
        <v/>
      </c>
      <c r="W1197" s="11" t="str">
        <f>IF(INDEX(Manual_Review!$H$6:$H$238,U1197)="","",INDEX(Manual_Review!$H$6:$H$238,U1197))</f>
        <v/>
      </c>
      <c r="X1197" s="5" t="str">
        <f>IF(INDEX(Manual_Review!$I$6:$I$238,U1197)="","",INDEX(Manual_Review!$I$6:$I$238,U1197))</f>
        <v/>
      </c>
      <c r="Y1197" s="5" t="s">
        <v>2859</v>
      </c>
    </row>
    <row r="1198" spans="1:25" ht="25.5">
      <c r="A1198" s="5" t="s">
        <v>5375</v>
      </c>
      <c r="B1198" s="5" t="s">
        <v>930</v>
      </c>
      <c r="C1198" s="5" t="s">
        <v>931</v>
      </c>
      <c r="D1198" s="5" t="s">
        <v>118</v>
      </c>
      <c r="E1198" s="5" t="s">
        <v>2789</v>
      </c>
      <c r="F1198" s="5" t="s">
        <v>2758</v>
      </c>
      <c r="G1198" s="5">
        <v>1</v>
      </c>
      <c r="H1198" s="5" t="s">
        <v>2864</v>
      </c>
      <c r="I1198" s="5" t="str">
        <f>IF(INDEX(Manual_Review!$S$6:$S$238,U1198)="","",INDEX(Manual_Review!$S$6:$S$238,U1198))</f>
        <v/>
      </c>
      <c r="J1198" s="5" t="str">
        <f t="shared" si="36"/>
        <v>AI provisional</v>
      </c>
      <c r="K1198" s="5" t="str">
        <f t="shared" si="37"/>
        <v>U</v>
      </c>
      <c r="L1198" s="5" t="s">
        <v>938</v>
      </c>
      <c r="M1198" s="5" t="s">
        <v>5376</v>
      </c>
      <c r="N1198" s="5" t="s">
        <v>5360</v>
      </c>
      <c r="O1198" s="5" t="s">
        <v>2883</v>
      </c>
      <c r="P1198" s="5" t="s">
        <v>2858</v>
      </c>
      <c r="Q1198" s="11">
        <v>46306.5</v>
      </c>
      <c r="R1198" s="6"/>
      <c r="S1198" s="6"/>
      <c r="T1198" s="6"/>
      <c r="U1198" s="5">
        <f>MATCH(B1198,Manual_Review!$A$6:$A$238,0)</f>
        <v>75</v>
      </c>
      <c r="V1198" s="5" t="str">
        <f>IF(INDEX(Manual_Review!$G$6:$G$238,U1198)="","",INDEX(Manual_Review!$G$6:$G$238,U1198))</f>
        <v/>
      </c>
      <c r="W1198" s="11" t="str">
        <f>IF(INDEX(Manual_Review!$H$6:$H$238,U1198)="","",INDEX(Manual_Review!$H$6:$H$238,U1198))</f>
        <v/>
      </c>
      <c r="X1198" s="5" t="str">
        <f>IF(INDEX(Manual_Review!$I$6:$I$238,U1198)="","",INDEX(Manual_Review!$I$6:$I$238,U1198))</f>
        <v/>
      </c>
      <c r="Y1198" s="5" t="s">
        <v>2859</v>
      </c>
    </row>
    <row r="1199" spans="1:25" ht="25.5">
      <c r="A1199" s="5" t="s">
        <v>5377</v>
      </c>
      <c r="B1199" s="5" t="s">
        <v>930</v>
      </c>
      <c r="C1199" s="5" t="s">
        <v>931</v>
      </c>
      <c r="D1199" s="5" t="s">
        <v>118</v>
      </c>
      <c r="E1199" s="5" t="s">
        <v>2790</v>
      </c>
      <c r="F1199" s="5" t="s">
        <v>2760</v>
      </c>
      <c r="G1199" s="5">
        <v>1</v>
      </c>
      <c r="H1199" s="5" t="s">
        <v>2864</v>
      </c>
      <c r="I1199" s="5" t="str">
        <f>IF(INDEX(Manual_Review!$T$6:$T$238,U1199)="","",INDEX(Manual_Review!$T$6:$T$238,U1199))</f>
        <v/>
      </c>
      <c r="J1199" s="5" t="str">
        <f t="shared" si="36"/>
        <v>AI provisional</v>
      </c>
      <c r="K1199" s="5" t="str">
        <f t="shared" si="37"/>
        <v>U</v>
      </c>
      <c r="L1199" s="5" t="s">
        <v>938</v>
      </c>
      <c r="M1199" s="5" t="s">
        <v>5378</v>
      </c>
      <c r="N1199" s="5" t="s">
        <v>5360</v>
      </c>
      <c r="O1199" s="5" t="s">
        <v>2885</v>
      </c>
      <c r="P1199" s="5" t="s">
        <v>2858</v>
      </c>
      <c r="Q1199" s="11">
        <v>46306.5</v>
      </c>
      <c r="R1199" s="6"/>
      <c r="S1199" s="6"/>
      <c r="T1199" s="6"/>
      <c r="U1199" s="5">
        <f>MATCH(B1199,Manual_Review!$A$6:$A$238,0)</f>
        <v>75</v>
      </c>
      <c r="V1199" s="5" t="str">
        <f>IF(INDEX(Manual_Review!$G$6:$G$238,U1199)="","",INDEX(Manual_Review!$G$6:$G$238,U1199))</f>
        <v/>
      </c>
      <c r="W1199" s="11" t="str">
        <f>IF(INDEX(Manual_Review!$H$6:$H$238,U1199)="","",INDEX(Manual_Review!$H$6:$H$238,U1199))</f>
        <v/>
      </c>
      <c r="X1199" s="5" t="str">
        <f>IF(INDEX(Manual_Review!$I$6:$I$238,U1199)="","",INDEX(Manual_Review!$I$6:$I$238,U1199))</f>
        <v/>
      </c>
      <c r="Y1199" s="5" t="s">
        <v>2859</v>
      </c>
    </row>
    <row r="1200" spans="1:25" ht="25.5">
      <c r="A1200" s="5" t="s">
        <v>5379</v>
      </c>
      <c r="B1200" s="5" t="s">
        <v>930</v>
      </c>
      <c r="C1200" s="5" t="s">
        <v>931</v>
      </c>
      <c r="D1200" s="5" t="s">
        <v>118</v>
      </c>
      <c r="E1200" s="5" t="s">
        <v>2791</v>
      </c>
      <c r="F1200" s="5" t="s">
        <v>2760</v>
      </c>
      <c r="G1200" s="5">
        <v>1</v>
      </c>
      <c r="H1200" s="5" t="s">
        <v>2864</v>
      </c>
      <c r="I1200" s="5" t="str">
        <f>IF(INDEX(Manual_Review!$U$6:$U$238,U1200)="","",INDEX(Manual_Review!$U$6:$U$238,U1200))</f>
        <v/>
      </c>
      <c r="J1200" s="5" t="str">
        <f t="shared" si="36"/>
        <v>AI provisional</v>
      </c>
      <c r="K1200" s="5" t="str">
        <f t="shared" si="37"/>
        <v>U</v>
      </c>
      <c r="L1200" s="5" t="s">
        <v>938</v>
      </c>
      <c r="M1200" s="5" t="s">
        <v>5380</v>
      </c>
      <c r="N1200" s="5" t="s">
        <v>5360</v>
      </c>
      <c r="O1200" s="5" t="s">
        <v>2888</v>
      </c>
      <c r="P1200" s="5" t="s">
        <v>2858</v>
      </c>
      <c r="Q1200" s="11">
        <v>46306.5</v>
      </c>
      <c r="R1200" s="6"/>
      <c r="S1200" s="6"/>
      <c r="T1200" s="6"/>
      <c r="U1200" s="5">
        <f>MATCH(B1200,Manual_Review!$A$6:$A$238,0)</f>
        <v>75</v>
      </c>
      <c r="V1200" s="5" t="str">
        <f>IF(INDEX(Manual_Review!$G$6:$G$238,U1200)="","",INDEX(Manual_Review!$G$6:$G$238,U1200))</f>
        <v/>
      </c>
      <c r="W1200" s="11" t="str">
        <f>IF(INDEX(Manual_Review!$H$6:$H$238,U1200)="","",INDEX(Manual_Review!$H$6:$H$238,U1200))</f>
        <v/>
      </c>
      <c r="X1200" s="5" t="str">
        <f>IF(INDEX(Manual_Review!$I$6:$I$238,U1200)="","",INDEX(Manual_Review!$I$6:$I$238,U1200))</f>
        <v/>
      </c>
      <c r="Y1200" s="5" t="s">
        <v>2859</v>
      </c>
    </row>
    <row r="1201" spans="1:25" ht="25.5">
      <c r="A1201" s="5" t="s">
        <v>5381</v>
      </c>
      <c r="B1201" s="5" t="s">
        <v>930</v>
      </c>
      <c r="C1201" s="5" t="s">
        <v>931</v>
      </c>
      <c r="D1201" s="5" t="s">
        <v>118</v>
      </c>
      <c r="E1201" s="5" t="s">
        <v>2792</v>
      </c>
      <c r="F1201" s="5" t="s">
        <v>2762</v>
      </c>
      <c r="G1201" s="5">
        <v>1</v>
      </c>
      <c r="H1201" s="5" t="s">
        <v>2854</v>
      </c>
      <c r="I1201" s="5" t="str">
        <f>IF(INDEX(Manual_Review!$V$6:$V$238,U1201)="","",INDEX(Manual_Review!$V$6:$V$238,U1201))</f>
        <v/>
      </c>
      <c r="J1201" s="5" t="str">
        <f t="shared" si="36"/>
        <v>AI provisional</v>
      </c>
      <c r="K1201" s="5" t="str">
        <f t="shared" si="37"/>
        <v>Y</v>
      </c>
      <c r="L1201" s="5" t="s">
        <v>938</v>
      </c>
      <c r="M1201" s="5" t="s">
        <v>5382</v>
      </c>
      <c r="N1201" s="5" t="s">
        <v>5360</v>
      </c>
      <c r="O1201" s="5" t="s">
        <v>3152</v>
      </c>
      <c r="P1201" s="5" t="s">
        <v>2858</v>
      </c>
      <c r="Q1201" s="11">
        <v>46306.5</v>
      </c>
      <c r="R1201" s="6"/>
      <c r="S1201" s="6"/>
      <c r="T1201" s="6"/>
      <c r="U1201" s="5">
        <f>MATCH(B1201,Manual_Review!$A$6:$A$238,0)</f>
        <v>75</v>
      </c>
      <c r="V1201" s="5" t="str">
        <f>IF(INDEX(Manual_Review!$G$6:$G$238,U1201)="","",INDEX(Manual_Review!$G$6:$G$238,U1201))</f>
        <v/>
      </c>
      <c r="W1201" s="11" t="str">
        <f>IF(INDEX(Manual_Review!$H$6:$H$238,U1201)="","",INDEX(Manual_Review!$H$6:$H$238,U1201))</f>
        <v/>
      </c>
      <c r="X1201" s="5" t="str">
        <f>IF(INDEX(Manual_Review!$I$6:$I$238,U1201)="","",INDEX(Manual_Review!$I$6:$I$238,U1201))</f>
        <v/>
      </c>
      <c r="Y1201" s="5" t="s">
        <v>2859</v>
      </c>
    </row>
    <row r="1202" spans="1:25" ht="25.5">
      <c r="A1202" s="5" t="s">
        <v>5383</v>
      </c>
      <c r="B1202" s="5" t="s">
        <v>930</v>
      </c>
      <c r="C1202" s="5" t="s">
        <v>931</v>
      </c>
      <c r="D1202" s="5" t="s">
        <v>118</v>
      </c>
      <c r="E1202" s="5" t="s">
        <v>2793</v>
      </c>
      <c r="F1202" s="5" t="s">
        <v>2762</v>
      </c>
      <c r="G1202" s="5">
        <v>1</v>
      </c>
      <c r="H1202" s="5" t="s">
        <v>2854</v>
      </c>
      <c r="I1202" s="5" t="str">
        <f>IF(INDEX(Manual_Review!$W$6:$W$238,U1202)="","",INDEX(Manual_Review!$W$6:$W$238,U1202))</f>
        <v/>
      </c>
      <c r="J1202" s="5" t="str">
        <f t="shared" si="36"/>
        <v>AI provisional</v>
      </c>
      <c r="K1202" s="5" t="str">
        <f t="shared" si="37"/>
        <v>Y</v>
      </c>
      <c r="L1202" s="5" t="s">
        <v>938</v>
      </c>
      <c r="M1202" s="5" t="s">
        <v>5384</v>
      </c>
      <c r="N1202" s="5" t="s">
        <v>5360</v>
      </c>
      <c r="O1202" s="5" t="s">
        <v>3077</v>
      </c>
      <c r="P1202" s="5" t="s">
        <v>2858</v>
      </c>
      <c r="Q1202" s="11">
        <v>46306.5</v>
      </c>
      <c r="R1202" s="6"/>
      <c r="S1202" s="6"/>
      <c r="T1202" s="6"/>
      <c r="U1202" s="5">
        <f>MATCH(B1202,Manual_Review!$A$6:$A$238,0)</f>
        <v>75</v>
      </c>
      <c r="V1202" s="5" t="str">
        <f>IF(INDEX(Manual_Review!$G$6:$G$238,U1202)="","",INDEX(Manual_Review!$G$6:$G$238,U1202))</f>
        <v/>
      </c>
      <c r="W1202" s="11" t="str">
        <f>IF(INDEX(Manual_Review!$H$6:$H$238,U1202)="","",INDEX(Manual_Review!$H$6:$H$238,U1202))</f>
        <v/>
      </c>
      <c r="X1202" s="5" t="str">
        <f>IF(INDEX(Manual_Review!$I$6:$I$238,U1202)="","",INDEX(Manual_Review!$I$6:$I$238,U1202))</f>
        <v/>
      </c>
      <c r="Y1202" s="5" t="s">
        <v>2859</v>
      </c>
    </row>
    <row r="1203" spans="1:25" ht="25.5">
      <c r="A1203" s="5" t="s">
        <v>5385</v>
      </c>
      <c r="B1203" s="5" t="s">
        <v>930</v>
      </c>
      <c r="C1203" s="5" t="s">
        <v>931</v>
      </c>
      <c r="D1203" s="5" t="s">
        <v>118</v>
      </c>
      <c r="E1203" s="5" t="s">
        <v>2794</v>
      </c>
      <c r="F1203" s="5" t="s">
        <v>2764</v>
      </c>
      <c r="G1203" s="5">
        <v>1</v>
      </c>
      <c r="H1203" s="5" t="s">
        <v>2854</v>
      </c>
      <c r="I1203" s="5" t="str">
        <f>IF(INDEX(Manual_Review!$X$6:$X$238,U1203)="","",INDEX(Manual_Review!$X$6:$X$238,U1203))</f>
        <v/>
      </c>
      <c r="J1203" s="5" t="str">
        <f t="shared" si="36"/>
        <v>AI provisional</v>
      </c>
      <c r="K1203" s="5" t="str">
        <f t="shared" si="37"/>
        <v>Y</v>
      </c>
      <c r="L1203" s="5" t="s">
        <v>938</v>
      </c>
      <c r="M1203" s="5" t="s">
        <v>5386</v>
      </c>
      <c r="N1203" s="5" t="s">
        <v>5360</v>
      </c>
      <c r="O1203" s="5" t="s">
        <v>2984</v>
      </c>
      <c r="P1203" s="5" t="s">
        <v>2858</v>
      </c>
      <c r="Q1203" s="11">
        <v>46306.5</v>
      </c>
      <c r="R1203" s="6"/>
      <c r="S1203" s="6"/>
      <c r="T1203" s="6"/>
      <c r="U1203" s="5">
        <f>MATCH(B1203,Manual_Review!$A$6:$A$238,0)</f>
        <v>75</v>
      </c>
      <c r="V1203" s="5" t="str">
        <f>IF(INDEX(Manual_Review!$G$6:$G$238,U1203)="","",INDEX(Manual_Review!$G$6:$G$238,U1203))</f>
        <v/>
      </c>
      <c r="W1203" s="11" t="str">
        <f>IF(INDEX(Manual_Review!$H$6:$H$238,U1203)="","",INDEX(Manual_Review!$H$6:$H$238,U1203))</f>
        <v/>
      </c>
      <c r="X1203" s="5" t="str">
        <f>IF(INDEX(Manual_Review!$I$6:$I$238,U1203)="","",INDEX(Manual_Review!$I$6:$I$238,U1203))</f>
        <v/>
      </c>
      <c r="Y1203" s="5" t="s">
        <v>2859</v>
      </c>
    </row>
    <row r="1204" spans="1:25" ht="25.5">
      <c r="A1204" s="5" t="s">
        <v>5387</v>
      </c>
      <c r="B1204" s="5" t="s">
        <v>930</v>
      </c>
      <c r="C1204" s="5" t="s">
        <v>931</v>
      </c>
      <c r="D1204" s="5" t="s">
        <v>118</v>
      </c>
      <c r="E1204" s="5" t="s">
        <v>2795</v>
      </c>
      <c r="F1204" s="5" t="s">
        <v>2764</v>
      </c>
      <c r="G1204" s="5">
        <v>1</v>
      </c>
      <c r="H1204" s="5" t="s">
        <v>2854</v>
      </c>
      <c r="I1204" s="5" t="str">
        <f>IF(INDEX(Manual_Review!$Y$6:$Y$238,U1204)="","",INDEX(Manual_Review!$Y$6:$Y$238,U1204))</f>
        <v/>
      </c>
      <c r="J1204" s="5" t="str">
        <f t="shared" si="36"/>
        <v>AI provisional</v>
      </c>
      <c r="K1204" s="5" t="str">
        <f t="shared" si="37"/>
        <v>Y</v>
      </c>
      <c r="L1204" s="5" t="s">
        <v>938</v>
      </c>
      <c r="M1204" s="5" t="s">
        <v>5388</v>
      </c>
      <c r="N1204" s="5" t="s">
        <v>5360</v>
      </c>
      <c r="O1204" s="5" t="s">
        <v>3082</v>
      </c>
      <c r="P1204" s="5" t="s">
        <v>2858</v>
      </c>
      <c r="Q1204" s="11">
        <v>46306.5</v>
      </c>
      <c r="R1204" s="6"/>
      <c r="S1204" s="6"/>
      <c r="T1204" s="6"/>
      <c r="U1204" s="5">
        <f>MATCH(B1204,Manual_Review!$A$6:$A$238,0)</f>
        <v>75</v>
      </c>
      <c r="V1204" s="5" t="str">
        <f>IF(INDEX(Manual_Review!$G$6:$G$238,U1204)="","",INDEX(Manual_Review!$G$6:$G$238,U1204))</f>
        <v/>
      </c>
      <c r="W1204" s="11" t="str">
        <f>IF(INDEX(Manual_Review!$H$6:$H$238,U1204)="","",INDEX(Manual_Review!$H$6:$H$238,U1204))</f>
        <v/>
      </c>
      <c r="X1204" s="5" t="str">
        <f>IF(INDEX(Manual_Review!$I$6:$I$238,U1204)="","",INDEX(Manual_Review!$I$6:$I$238,U1204))</f>
        <v/>
      </c>
      <c r="Y1204" s="5" t="s">
        <v>2859</v>
      </c>
    </row>
    <row r="1205" spans="1:25" ht="25.5">
      <c r="A1205" s="5" t="s">
        <v>5389</v>
      </c>
      <c r="B1205" s="5" t="s">
        <v>930</v>
      </c>
      <c r="C1205" s="5" t="s">
        <v>931</v>
      </c>
      <c r="D1205" s="5" t="s">
        <v>118</v>
      </c>
      <c r="E1205" s="5" t="s">
        <v>2796</v>
      </c>
      <c r="F1205" s="5" t="s">
        <v>2764</v>
      </c>
      <c r="G1205" s="5">
        <v>1</v>
      </c>
      <c r="H1205" s="5" t="s">
        <v>2854</v>
      </c>
      <c r="I1205" s="5" t="str">
        <f>IF(INDEX(Manual_Review!$Z$6:$Z$238,U1205)="","",INDEX(Manual_Review!$Z$6:$Z$238,U1205))</f>
        <v/>
      </c>
      <c r="J1205" s="5" t="str">
        <f t="shared" si="36"/>
        <v>AI provisional</v>
      </c>
      <c r="K1205" s="5" t="str">
        <f t="shared" si="37"/>
        <v>Y</v>
      </c>
      <c r="L1205" s="5" t="s">
        <v>938</v>
      </c>
      <c r="M1205" s="5" t="s">
        <v>5390</v>
      </c>
      <c r="N1205" s="5" t="s">
        <v>5360</v>
      </c>
      <c r="O1205" s="5" t="s">
        <v>3085</v>
      </c>
      <c r="P1205" s="5" t="s">
        <v>2858</v>
      </c>
      <c r="Q1205" s="11">
        <v>46306.5</v>
      </c>
      <c r="R1205" s="6"/>
      <c r="S1205" s="6"/>
      <c r="T1205" s="6"/>
      <c r="U1205" s="5">
        <f>MATCH(B1205,Manual_Review!$A$6:$A$238,0)</f>
        <v>75</v>
      </c>
      <c r="V1205" s="5" t="str">
        <f>IF(INDEX(Manual_Review!$G$6:$G$238,U1205)="","",INDEX(Manual_Review!$G$6:$G$238,U1205))</f>
        <v/>
      </c>
      <c r="W1205" s="11" t="str">
        <f>IF(INDEX(Manual_Review!$H$6:$H$238,U1205)="","",INDEX(Manual_Review!$H$6:$H$238,U1205))</f>
        <v/>
      </c>
      <c r="X1205" s="5" t="str">
        <f>IF(INDEX(Manual_Review!$I$6:$I$238,U1205)="","",INDEX(Manual_Review!$I$6:$I$238,U1205))</f>
        <v/>
      </c>
      <c r="Y1205" s="5" t="s">
        <v>2859</v>
      </c>
    </row>
    <row r="1206" spans="1:25" ht="25.5">
      <c r="A1206" s="5" t="s">
        <v>5391</v>
      </c>
      <c r="B1206" s="5" t="s">
        <v>940</v>
      </c>
      <c r="C1206" s="5" t="s">
        <v>941</v>
      </c>
      <c r="D1206" s="5" t="s">
        <v>118</v>
      </c>
      <c r="E1206" s="5" t="s">
        <v>2781</v>
      </c>
      <c r="F1206" s="5" t="s">
        <v>2754</v>
      </c>
      <c r="G1206" s="5">
        <v>1</v>
      </c>
      <c r="H1206" s="5" t="s">
        <v>2854</v>
      </c>
      <c r="I1206" s="5" t="str">
        <f>IF(INDEX(Manual_Review!$K$6:$K$238,U1206)="","",INDEX(Manual_Review!$K$6:$K$238,U1206))</f>
        <v/>
      </c>
      <c r="J1206" s="5" t="str">
        <f t="shared" si="36"/>
        <v>AI provisional</v>
      </c>
      <c r="K1206" s="5" t="str">
        <f t="shared" si="37"/>
        <v>Y</v>
      </c>
      <c r="L1206" s="5" t="s">
        <v>945</v>
      </c>
      <c r="M1206" s="5" t="s">
        <v>5392</v>
      </c>
      <c r="N1206" s="5" t="s">
        <v>5393</v>
      </c>
      <c r="O1206" s="5" t="s">
        <v>2857</v>
      </c>
      <c r="P1206" s="5" t="s">
        <v>2858</v>
      </c>
      <c r="Q1206" s="11">
        <v>46306.5</v>
      </c>
      <c r="R1206" s="6"/>
      <c r="S1206" s="6"/>
      <c r="T1206" s="6"/>
      <c r="U1206" s="5">
        <f>MATCH(B1206,Manual_Review!$A$6:$A$238,0)</f>
        <v>76</v>
      </c>
      <c r="V1206" s="5" t="str">
        <f>IF(INDEX(Manual_Review!$G$6:$G$238,U1206)="","",INDEX(Manual_Review!$G$6:$G$238,U1206))</f>
        <v/>
      </c>
      <c r="W1206" s="11" t="str">
        <f>IF(INDEX(Manual_Review!$H$6:$H$238,U1206)="","",INDEX(Manual_Review!$H$6:$H$238,U1206))</f>
        <v/>
      </c>
      <c r="X1206" s="5" t="str">
        <f>IF(INDEX(Manual_Review!$I$6:$I$238,U1206)="","",INDEX(Manual_Review!$I$6:$I$238,U1206))</f>
        <v/>
      </c>
      <c r="Y1206" s="5" t="s">
        <v>2859</v>
      </c>
    </row>
    <row r="1207" spans="1:25" ht="25.5">
      <c r="A1207" s="5" t="s">
        <v>5394</v>
      </c>
      <c r="B1207" s="5" t="s">
        <v>940</v>
      </c>
      <c r="C1207" s="5" t="s">
        <v>941</v>
      </c>
      <c r="D1207" s="5" t="s">
        <v>118</v>
      </c>
      <c r="E1207" s="5" t="s">
        <v>2782</v>
      </c>
      <c r="F1207" s="5" t="s">
        <v>2754</v>
      </c>
      <c r="G1207" s="5">
        <v>1</v>
      </c>
      <c r="H1207" s="5" t="s">
        <v>2854</v>
      </c>
      <c r="I1207" s="5" t="str">
        <f>IF(INDEX(Manual_Review!$L$6:$L$238,U1207)="","",INDEX(Manual_Review!$L$6:$L$238,U1207))</f>
        <v/>
      </c>
      <c r="J1207" s="5" t="str">
        <f t="shared" si="36"/>
        <v>AI provisional</v>
      </c>
      <c r="K1207" s="5" t="str">
        <f t="shared" si="37"/>
        <v>Y</v>
      </c>
      <c r="L1207" s="5" t="s">
        <v>945</v>
      </c>
      <c r="M1207" s="5" t="s">
        <v>5395</v>
      </c>
      <c r="N1207" s="5" t="s">
        <v>5393</v>
      </c>
      <c r="O1207" s="5" t="s">
        <v>2862</v>
      </c>
      <c r="P1207" s="5" t="s">
        <v>2858</v>
      </c>
      <c r="Q1207" s="11">
        <v>46306.5</v>
      </c>
      <c r="R1207" s="6"/>
      <c r="S1207" s="6"/>
      <c r="T1207" s="6"/>
      <c r="U1207" s="5">
        <f>MATCH(B1207,Manual_Review!$A$6:$A$238,0)</f>
        <v>76</v>
      </c>
      <c r="V1207" s="5" t="str">
        <f>IF(INDEX(Manual_Review!$G$6:$G$238,U1207)="","",INDEX(Manual_Review!$G$6:$G$238,U1207))</f>
        <v/>
      </c>
      <c r="W1207" s="11" t="str">
        <f>IF(INDEX(Manual_Review!$H$6:$H$238,U1207)="","",INDEX(Manual_Review!$H$6:$H$238,U1207))</f>
        <v/>
      </c>
      <c r="X1207" s="5" t="str">
        <f>IF(INDEX(Manual_Review!$I$6:$I$238,U1207)="","",INDEX(Manual_Review!$I$6:$I$238,U1207))</f>
        <v/>
      </c>
      <c r="Y1207" s="5" t="s">
        <v>2859</v>
      </c>
    </row>
    <row r="1208" spans="1:25" ht="25.5">
      <c r="A1208" s="5" t="s">
        <v>5396</v>
      </c>
      <c r="B1208" s="5" t="s">
        <v>940</v>
      </c>
      <c r="C1208" s="5" t="s">
        <v>941</v>
      </c>
      <c r="D1208" s="5" t="s">
        <v>118</v>
      </c>
      <c r="E1208" s="5" t="s">
        <v>2783</v>
      </c>
      <c r="F1208" s="5" t="s">
        <v>2754</v>
      </c>
      <c r="G1208" s="5">
        <v>1</v>
      </c>
      <c r="H1208" s="5" t="s">
        <v>2854</v>
      </c>
      <c r="I1208" s="5" t="str">
        <f>IF(INDEX(Manual_Review!$M$6:$M$238,U1208)="","",INDEX(Manual_Review!$M$6:$M$238,U1208))</f>
        <v/>
      </c>
      <c r="J1208" s="5" t="str">
        <f t="shared" si="36"/>
        <v>AI provisional</v>
      </c>
      <c r="K1208" s="5" t="str">
        <f t="shared" si="37"/>
        <v>Y</v>
      </c>
      <c r="L1208" s="5" t="s">
        <v>945</v>
      </c>
      <c r="M1208" s="5" t="s">
        <v>5397</v>
      </c>
      <c r="N1208" s="5" t="s">
        <v>5393</v>
      </c>
      <c r="O1208" s="5" t="s">
        <v>3133</v>
      </c>
      <c r="P1208" s="5" t="s">
        <v>2858</v>
      </c>
      <c r="Q1208" s="11">
        <v>46306.5</v>
      </c>
      <c r="R1208" s="6"/>
      <c r="S1208" s="6"/>
      <c r="T1208" s="6"/>
      <c r="U1208" s="5">
        <f>MATCH(B1208,Manual_Review!$A$6:$A$238,0)</f>
        <v>76</v>
      </c>
      <c r="V1208" s="5" t="str">
        <f>IF(INDEX(Manual_Review!$G$6:$G$238,U1208)="","",INDEX(Manual_Review!$G$6:$G$238,U1208))</f>
        <v/>
      </c>
      <c r="W1208" s="11" t="str">
        <f>IF(INDEX(Manual_Review!$H$6:$H$238,U1208)="","",INDEX(Manual_Review!$H$6:$H$238,U1208))</f>
        <v/>
      </c>
      <c r="X1208" s="5" t="str">
        <f>IF(INDEX(Manual_Review!$I$6:$I$238,U1208)="","",INDEX(Manual_Review!$I$6:$I$238,U1208))</f>
        <v/>
      </c>
      <c r="Y1208" s="5" t="s">
        <v>2859</v>
      </c>
    </row>
    <row r="1209" spans="1:25" ht="25.5">
      <c r="A1209" s="5" t="s">
        <v>5398</v>
      </c>
      <c r="B1209" s="5" t="s">
        <v>940</v>
      </c>
      <c r="C1209" s="5" t="s">
        <v>941</v>
      </c>
      <c r="D1209" s="5" t="s">
        <v>118</v>
      </c>
      <c r="E1209" s="5" t="s">
        <v>2784</v>
      </c>
      <c r="F1209" s="5" t="s">
        <v>2756</v>
      </c>
      <c r="G1209" s="5">
        <v>1</v>
      </c>
      <c r="H1209" s="5" t="s">
        <v>2864</v>
      </c>
      <c r="I1209" s="5" t="str">
        <f>IF(INDEX(Manual_Review!$N$6:$N$238,U1209)="","",INDEX(Manual_Review!$N$6:$N$238,U1209))</f>
        <v/>
      </c>
      <c r="J1209" s="5" t="str">
        <f t="shared" si="36"/>
        <v>AI provisional</v>
      </c>
      <c r="K1209" s="5" t="str">
        <f t="shared" si="37"/>
        <v>U</v>
      </c>
      <c r="L1209" s="5" t="s">
        <v>945</v>
      </c>
      <c r="M1209" s="5" t="s">
        <v>5399</v>
      </c>
      <c r="N1209" s="5" t="s">
        <v>5393</v>
      </c>
      <c r="O1209" s="5" t="s">
        <v>2869</v>
      </c>
      <c r="P1209" s="5" t="s">
        <v>2858</v>
      </c>
      <c r="Q1209" s="11">
        <v>46306.5</v>
      </c>
      <c r="R1209" s="6"/>
      <c r="S1209" s="6"/>
      <c r="T1209" s="6"/>
      <c r="U1209" s="5">
        <f>MATCH(B1209,Manual_Review!$A$6:$A$238,0)</f>
        <v>76</v>
      </c>
      <c r="V1209" s="5" t="str">
        <f>IF(INDEX(Manual_Review!$G$6:$G$238,U1209)="","",INDEX(Manual_Review!$G$6:$G$238,U1209))</f>
        <v/>
      </c>
      <c r="W1209" s="11" t="str">
        <f>IF(INDEX(Manual_Review!$H$6:$H$238,U1209)="","",INDEX(Manual_Review!$H$6:$H$238,U1209))</f>
        <v/>
      </c>
      <c r="X1209" s="5" t="str">
        <f>IF(INDEX(Manual_Review!$I$6:$I$238,U1209)="","",INDEX(Manual_Review!$I$6:$I$238,U1209))</f>
        <v/>
      </c>
      <c r="Y1209" s="5" t="s">
        <v>2859</v>
      </c>
    </row>
    <row r="1210" spans="1:25" ht="25.5">
      <c r="A1210" s="5" t="s">
        <v>5400</v>
      </c>
      <c r="B1210" s="5" t="s">
        <v>940</v>
      </c>
      <c r="C1210" s="5" t="s">
        <v>941</v>
      </c>
      <c r="D1210" s="5" t="s">
        <v>118</v>
      </c>
      <c r="E1210" s="5" t="s">
        <v>2785</v>
      </c>
      <c r="F1210" s="5" t="s">
        <v>2756</v>
      </c>
      <c r="G1210" s="5">
        <v>1</v>
      </c>
      <c r="H1210" s="5" t="s">
        <v>2864</v>
      </c>
      <c r="I1210" s="5" t="str">
        <f>IF(INDEX(Manual_Review!$O$6:$O$238,U1210)="","",INDEX(Manual_Review!$O$6:$O$238,U1210))</f>
        <v/>
      </c>
      <c r="J1210" s="5" t="str">
        <f t="shared" si="36"/>
        <v>AI provisional</v>
      </c>
      <c r="K1210" s="5" t="str">
        <f t="shared" si="37"/>
        <v>U</v>
      </c>
      <c r="L1210" s="5" t="s">
        <v>945</v>
      </c>
      <c r="M1210" s="5" t="s">
        <v>5399</v>
      </c>
      <c r="N1210" s="5" t="s">
        <v>5393</v>
      </c>
      <c r="O1210" s="5" t="s">
        <v>2872</v>
      </c>
      <c r="P1210" s="5" t="s">
        <v>2858</v>
      </c>
      <c r="Q1210" s="11">
        <v>46306.5</v>
      </c>
      <c r="R1210" s="6"/>
      <c r="S1210" s="6"/>
      <c r="T1210" s="6"/>
      <c r="U1210" s="5">
        <f>MATCH(B1210,Manual_Review!$A$6:$A$238,0)</f>
        <v>76</v>
      </c>
      <c r="V1210" s="5" t="str">
        <f>IF(INDEX(Manual_Review!$G$6:$G$238,U1210)="","",INDEX(Manual_Review!$G$6:$G$238,U1210))</f>
        <v/>
      </c>
      <c r="W1210" s="11" t="str">
        <f>IF(INDEX(Manual_Review!$H$6:$H$238,U1210)="","",INDEX(Manual_Review!$H$6:$H$238,U1210))</f>
        <v/>
      </c>
      <c r="X1210" s="5" t="str">
        <f>IF(INDEX(Manual_Review!$I$6:$I$238,U1210)="","",INDEX(Manual_Review!$I$6:$I$238,U1210))</f>
        <v/>
      </c>
      <c r="Y1210" s="5" t="s">
        <v>2859</v>
      </c>
    </row>
    <row r="1211" spans="1:25" ht="25.5">
      <c r="A1211" s="5" t="s">
        <v>5401</v>
      </c>
      <c r="B1211" s="5" t="s">
        <v>940</v>
      </c>
      <c r="C1211" s="5" t="s">
        <v>941</v>
      </c>
      <c r="D1211" s="5" t="s">
        <v>118</v>
      </c>
      <c r="E1211" s="5" t="s">
        <v>2786</v>
      </c>
      <c r="F1211" s="5" t="s">
        <v>2756</v>
      </c>
      <c r="G1211" s="5">
        <v>1</v>
      </c>
      <c r="H1211" s="5" t="s">
        <v>2864</v>
      </c>
      <c r="I1211" s="5" t="str">
        <f>IF(INDEX(Manual_Review!$P$6:$P$238,U1211)="","",INDEX(Manual_Review!$P$6:$P$238,U1211))</f>
        <v/>
      </c>
      <c r="J1211" s="5" t="str">
        <f t="shared" si="36"/>
        <v>AI provisional</v>
      </c>
      <c r="K1211" s="5" t="str">
        <f t="shared" si="37"/>
        <v>U</v>
      </c>
      <c r="L1211" s="5" t="s">
        <v>945</v>
      </c>
      <c r="M1211" s="5" t="s">
        <v>5399</v>
      </c>
      <c r="N1211" s="5" t="s">
        <v>5393</v>
      </c>
      <c r="O1211" s="5" t="s">
        <v>2874</v>
      </c>
      <c r="P1211" s="5" t="s">
        <v>2858</v>
      </c>
      <c r="Q1211" s="11">
        <v>46306.5</v>
      </c>
      <c r="R1211" s="6"/>
      <c r="S1211" s="6"/>
      <c r="T1211" s="6"/>
      <c r="U1211" s="5">
        <f>MATCH(B1211,Manual_Review!$A$6:$A$238,0)</f>
        <v>76</v>
      </c>
      <c r="V1211" s="5" t="str">
        <f>IF(INDEX(Manual_Review!$G$6:$G$238,U1211)="","",INDEX(Manual_Review!$G$6:$G$238,U1211))</f>
        <v/>
      </c>
      <c r="W1211" s="11" t="str">
        <f>IF(INDEX(Manual_Review!$H$6:$H$238,U1211)="","",INDEX(Manual_Review!$H$6:$H$238,U1211))</f>
        <v/>
      </c>
      <c r="X1211" s="5" t="str">
        <f>IF(INDEX(Manual_Review!$I$6:$I$238,U1211)="","",INDEX(Manual_Review!$I$6:$I$238,U1211))</f>
        <v/>
      </c>
      <c r="Y1211" s="5" t="s">
        <v>2859</v>
      </c>
    </row>
    <row r="1212" spans="1:25" ht="25.5">
      <c r="A1212" s="5" t="s">
        <v>5402</v>
      </c>
      <c r="B1212" s="5" t="s">
        <v>940</v>
      </c>
      <c r="C1212" s="5" t="s">
        <v>941</v>
      </c>
      <c r="D1212" s="5" t="s">
        <v>118</v>
      </c>
      <c r="E1212" s="5" t="s">
        <v>2787</v>
      </c>
      <c r="F1212" s="5" t="s">
        <v>2758</v>
      </c>
      <c r="G1212" s="5">
        <v>1</v>
      </c>
      <c r="H1212" s="5" t="s">
        <v>2864</v>
      </c>
      <c r="I1212" s="5" t="str">
        <f>IF(INDEX(Manual_Review!$Q$6:$Q$238,U1212)="","",INDEX(Manual_Review!$Q$6:$Q$238,U1212))</f>
        <v/>
      </c>
      <c r="J1212" s="5" t="str">
        <f t="shared" si="36"/>
        <v>AI provisional</v>
      </c>
      <c r="K1212" s="5" t="str">
        <f t="shared" si="37"/>
        <v>U</v>
      </c>
      <c r="L1212" s="5" t="s">
        <v>945</v>
      </c>
      <c r="M1212" s="5" t="s">
        <v>5399</v>
      </c>
      <c r="N1212" s="5" t="s">
        <v>5393</v>
      </c>
      <c r="O1212" s="5" t="s">
        <v>2877</v>
      </c>
      <c r="P1212" s="5" t="s">
        <v>2858</v>
      </c>
      <c r="Q1212" s="11">
        <v>46306.5</v>
      </c>
      <c r="R1212" s="6"/>
      <c r="S1212" s="6"/>
      <c r="T1212" s="6"/>
      <c r="U1212" s="5">
        <f>MATCH(B1212,Manual_Review!$A$6:$A$238,0)</f>
        <v>76</v>
      </c>
      <c r="V1212" s="5" t="str">
        <f>IF(INDEX(Manual_Review!$G$6:$G$238,U1212)="","",INDEX(Manual_Review!$G$6:$G$238,U1212))</f>
        <v/>
      </c>
      <c r="W1212" s="11" t="str">
        <f>IF(INDEX(Manual_Review!$H$6:$H$238,U1212)="","",INDEX(Manual_Review!$H$6:$H$238,U1212))</f>
        <v/>
      </c>
      <c r="X1212" s="5" t="str">
        <f>IF(INDEX(Manual_Review!$I$6:$I$238,U1212)="","",INDEX(Manual_Review!$I$6:$I$238,U1212))</f>
        <v/>
      </c>
      <c r="Y1212" s="5" t="s">
        <v>2859</v>
      </c>
    </row>
    <row r="1213" spans="1:25" ht="25.5">
      <c r="A1213" s="5" t="s">
        <v>5403</v>
      </c>
      <c r="B1213" s="5" t="s">
        <v>940</v>
      </c>
      <c r="C1213" s="5" t="s">
        <v>941</v>
      </c>
      <c r="D1213" s="5" t="s">
        <v>118</v>
      </c>
      <c r="E1213" s="5" t="s">
        <v>2788</v>
      </c>
      <c r="F1213" s="5" t="s">
        <v>2758</v>
      </c>
      <c r="G1213" s="5">
        <v>1</v>
      </c>
      <c r="H1213" s="5" t="s">
        <v>2864</v>
      </c>
      <c r="I1213" s="5" t="str">
        <f>IF(INDEX(Manual_Review!$R$6:$R$238,U1213)="","",INDEX(Manual_Review!$R$6:$R$238,U1213))</f>
        <v/>
      </c>
      <c r="J1213" s="5" t="str">
        <f t="shared" si="36"/>
        <v>AI provisional</v>
      </c>
      <c r="K1213" s="5" t="str">
        <f t="shared" si="37"/>
        <v>U</v>
      </c>
      <c r="L1213" s="5" t="s">
        <v>945</v>
      </c>
      <c r="M1213" s="5" t="s">
        <v>5404</v>
      </c>
      <c r="N1213" s="5" t="s">
        <v>5393</v>
      </c>
      <c r="O1213" s="5" t="s">
        <v>2880</v>
      </c>
      <c r="P1213" s="5" t="s">
        <v>2858</v>
      </c>
      <c r="Q1213" s="11">
        <v>46306.5</v>
      </c>
      <c r="R1213" s="6"/>
      <c r="S1213" s="6"/>
      <c r="T1213" s="6"/>
      <c r="U1213" s="5">
        <f>MATCH(B1213,Manual_Review!$A$6:$A$238,0)</f>
        <v>76</v>
      </c>
      <c r="V1213" s="5" t="str">
        <f>IF(INDEX(Manual_Review!$G$6:$G$238,U1213)="","",INDEX(Manual_Review!$G$6:$G$238,U1213))</f>
        <v/>
      </c>
      <c r="W1213" s="11" t="str">
        <f>IF(INDEX(Manual_Review!$H$6:$H$238,U1213)="","",INDEX(Manual_Review!$H$6:$H$238,U1213))</f>
        <v/>
      </c>
      <c r="X1213" s="5" t="str">
        <f>IF(INDEX(Manual_Review!$I$6:$I$238,U1213)="","",INDEX(Manual_Review!$I$6:$I$238,U1213))</f>
        <v/>
      </c>
      <c r="Y1213" s="5" t="s">
        <v>2859</v>
      </c>
    </row>
    <row r="1214" spans="1:25" ht="25.5">
      <c r="A1214" s="5" t="s">
        <v>5405</v>
      </c>
      <c r="B1214" s="5" t="s">
        <v>940</v>
      </c>
      <c r="C1214" s="5" t="s">
        <v>941</v>
      </c>
      <c r="D1214" s="5" t="s">
        <v>118</v>
      </c>
      <c r="E1214" s="5" t="s">
        <v>2789</v>
      </c>
      <c r="F1214" s="5" t="s">
        <v>2758</v>
      </c>
      <c r="G1214" s="5">
        <v>1</v>
      </c>
      <c r="H1214" s="5" t="s">
        <v>2864</v>
      </c>
      <c r="I1214" s="5" t="str">
        <f>IF(INDEX(Manual_Review!$S$6:$S$238,U1214)="","",INDEX(Manual_Review!$S$6:$S$238,U1214))</f>
        <v/>
      </c>
      <c r="J1214" s="5" t="str">
        <f t="shared" si="36"/>
        <v>AI provisional</v>
      </c>
      <c r="K1214" s="5" t="str">
        <f t="shared" si="37"/>
        <v>U</v>
      </c>
      <c r="L1214" s="5" t="s">
        <v>945</v>
      </c>
      <c r="M1214" s="5" t="s">
        <v>5406</v>
      </c>
      <c r="N1214" s="5" t="s">
        <v>5393</v>
      </c>
      <c r="O1214" s="5" t="s">
        <v>2883</v>
      </c>
      <c r="P1214" s="5" t="s">
        <v>2858</v>
      </c>
      <c r="Q1214" s="11">
        <v>46306.5</v>
      </c>
      <c r="R1214" s="6"/>
      <c r="S1214" s="6"/>
      <c r="T1214" s="6"/>
      <c r="U1214" s="5">
        <f>MATCH(B1214,Manual_Review!$A$6:$A$238,0)</f>
        <v>76</v>
      </c>
      <c r="V1214" s="5" t="str">
        <f>IF(INDEX(Manual_Review!$G$6:$G$238,U1214)="","",INDEX(Manual_Review!$G$6:$G$238,U1214))</f>
        <v/>
      </c>
      <c r="W1214" s="11" t="str">
        <f>IF(INDEX(Manual_Review!$H$6:$H$238,U1214)="","",INDEX(Manual_Review!$H$6:$H$238,U1214))</f>
        <v/>
      </c>
      <c r="X1214" s="5" t="str">
        <f>IF(INDEX(Manual_Review!$I$6:$I$238,U1214)="","",INDEX(Manual_Review!$I$6:$I$238,U1214))</f>
        <v/>
      </c>
      <c r="Y1214" s="5" t="s">
        <v>2859</v>
      </c>
    </row>
    <row r="1215" spans="1:25" ht="25.5">
      <c r="A1215" s="5" t="s">
        <v>5407</v>
      </c>
      <c r="B1215" s="5" t="s">
        <v>940</v>
      </c>
      <c r="C1215" s="5" t="s">
        <v>941</v>
      </c>
      <c r="D1215" s="5" t="s">
        <v>118</v>
      </c>
      <c r="E1215" s="5" t="s">
        <v>2790</v>
      </c>
      <c r="F1215" s="5" t="s">
        <v>2760</v>
      </c>
      <c r="G1215" s="5">
        <v>1</v>
      </c>
      <c r="H1215" s="5" t="s">
        <v>2854</v>
      </c>
      <c r="I1215" s="5" t="str">
        <f>IF(INDEX(Manual_Review!$T$6:$T$238,U1215)="","",INDEX(Manual_Review!$T$6:$T$238,U1215))</f>
        <v/>
      </c>
      <c r="J1215" s="5" t="str">
        <f t="shared" si="36"/>
        <v>AI provisional</v>
      </c>
      <c r="K1215" s="5" t="str">
        <f t="shared" si="37"/>
        <v>Y</v>
      </c>
      <c r="L1215" s="5" t="s">
        <v>945</v>
      </c>
      <c r="M1215" s="5" t="s">
        <v>5408</v>
      </c>
      <c r="N1215" s="5" t="s">
        <v>5393</v>
      </c>
      <c r="O1215" s="5" t="s">
        <v>2976</v>
      </c>
      <c r="P1215" s="5" t="s">
        <v>2858</v>
      </c>
      <c r="Q1215" s="11">
        <v>46306.5</v>
      </c>
      <c r="R1215" s="6"/>
      <c r="S1215" s="6"/>
      <c r="T1215" s="6"/>
      <c r="U1215" s="5">
        <f>MATCH(B1215,Manual_Review!$A$6:$A$238,0)</f>
        <v>76</v>
      </c>
      <c r="V1215" s="5" t="str">
        <f>IF(INDEX(Manual_Review!$G$6:$G$238,U1215)="","",INDEX(Manual_Review!$G$6:$G$238,U1215))</f>
        <v/>
      </c>
      <c r="W1215" s="11" t="str">
        <f>IF(INDEX(Manual_Review!$H$6:$H$238,U1215)="","",INDEX(Manual_Review!$H$6:$H$238,U1215))</f>
        <v/>
      </c>
      <c r="X1215" s="5" t="str">
        <f>IF(INDEX(Manual_Review!$I$6:$I$238,U1215)="","",INDEX(Manual_Review!$I$6:$I$238,U1215))</f>
        <v/>
      </c>
      <c r="Y1215" s="5" t="s">
        <v>2859</v>
      </c>
    </row>
    <row r="1216" spans="1:25" ht="25.5">
      <c r="A1216" s="5" t="s">
        <v>5409</v>
      </c>
      <c r="B1216" s="5" t="s">
        <v>940</v>
      </c>
      <c r="C1216" s="5" t="s">
        <v>941</v>
      </c>
      <c r="D1216" s="5" t="s">
        <v>118</v>
      </c>
      <c r="E1216" s="5" t="s">
        <v>2791</v>
      </c>
      <c r="F1216" s="5" t="s">
        <v>2760</v>
      </c>
      <c r="G1216" s="5">
        <v>1</v>
      </c>
      <c r="H1216" s="5" t="s">
        <v>2854</v>
      </c>
      <c r="I1216" s="5" t="str">
        <f>IF(INDEX(Manual_Review!$U$6:$U$238,U1216)="","",INDEX(Manual_Review!$U$6:$U$238,U1216))</f>
        <v/>
      </c>
      <c r="J1216" s="5" t="str">
        <f t="shared" si="36"/>
        <v>AI provisional</v>
      </c>
      <c r="K1216" s="5" t="str">
        <f t="shared" si="37"/>
        <v>Y</v>
      </c>
      <c r="L1216" s="5" t="s">
        <v>945</v>
      </c>
      <c r="M1216" s="5" t="s">
        <v>5410</v>
      </c>
      <c r="N1216" s="5" t="s">
        <v>5393</v>
      </c>
      <c r="O1216" s="5" t="s">
        <v>3380</v>
      </c>
      <c r="P1216" s="5" t="s">
        <v>2858</v>
      </c>
      <c r="Q1216" s="11">
        <v>46306.5</v>
      </c>
      <c r="R1216" s="6"/>
      <c r="S1216" s="6"/>
      <c r="T1216" s="6"/>
      <c r="U1216" s="5">
        <f>MATCH(B1216,Manual_Review!$A$6:$A$238,0)</f>
        <v>76</v>
      </c>
      <c r="V1216" s="5" t="str">
        <f>IF(INDEX(Manual_Review!$G$6:$G$238,U1216)="","",INDEX(Manual_Review!$G$6:$G$238,U1216))</f>
        <v/>
      </c>
      <c r="W1216" s="11" t="str">
        <f>IF(INDEX(Manual_Review!$H$6:$H$238,U1216)="","",INDEX(Manual_Review!$H$6:$H$238,U1216))</f>
        <v/>
      </c>
      <c r="X1216" s="5" t="str">
        <f>IF(INDEX(Manual_Review!$I$6:$I$238,U1216)="","",INDEX(Manual_Review!$I$6:$I$238,U1216))</f>
        <v/>
      </c>
      <c r="Y1216" s="5" t="s">
        <v>2859</v>
      </c>
    </row>
    <row r="1217" spans="1:25" ht="25.5">
      <c r="A1217" s="5" t="s">
        <v>5411</v>
      </c>
      <c r="B1217" s="5" t="s">
        <v>940</v>
      </c>
      <c r="C1217" s="5" t="s">
        <v>941</v>
      </c>
      <c r="D1217" s="5" t="s">
        <v>118</v>
      </c>
      <c r="E1217" s="5" t="s">
        <v>2792</v>
      </c>
      <c r="F1217" s="5" t="s">
        <v>2762</v>
      </c>
      <c r="G1217" s="5">
        <v>1</v>
      </c>
      <c r="H1217" s="5" t="s">
        <v>2864</v>
      </c>
      <c r="I1217" s="5" t="str">
        <f>IF(INDEX(Manual_Review!$V$6:$V$238,U1217)="","",INDEX(Manual_Review!$V$6:$V$238,U1217))</f>
        <v/>
      </c>
      <c r="J1217" s="5" t="str">
        <f t="shared" si="36"/>
        <v>AI provisional</v>
      </c>
      <c r="K1217" s="5" t="str">
        <f t="shared" si="37"/>
        <v>U</v>
      </c>
      <c r="L1217" s="5" t="s">
        <v>945</v>
      </c>
      <c r="M1217" s="5" t="s">
        <v>5399</v>
      </c>
      <c r="N1217" s="5" t="s">
        <v>5393</v>
      </c>
      <c r="O1217" s="5" t="s">
        <v>2891</v>
      </c>
      <c r="P1217" s="5" t="s">
        <v>2858</v>
      </c>
      <c r="Q1217" s="11">
        <v>46306.5</v>
      </c>
      <c r="R1217" s="6"/>
      <c r="S1217" s="6"/>
      <c r="T1217" s="6"/>
      <c r="U1217" s="5">
        <f>MATCH(B1217,Manual_Review!$A$6:$A$238,0)</f>
        <v>76</v>
      </c>
      <c r="V1217" s="5" t="str">
        <f>IF(INDEX(Manual_Review!$G$6:$G$238,U1217)="","",INDEX(Manual_Review!$G$6:$G$238,U1217))</f>
        <v/>
      </c>
      <c r="W1217" s="11" t="str">
        <f>IF(INDEX(Manual_Review!$H$6:$H$238,U1217)="","",INDEX(Manual_Review!$H$6:$H$238,U1217))</f>
        <v/>
      </c>
      <c r="X1217" s="5" t="str">
        <f>IF(INDEX(Manual_Review!$I$6:$I$238,U1217)="","",INDEX(Manual_Review!$I$6:$I$238,U1217))</f>
        <v/>
      </c>
      <c r="Y1217" s="5" t="s">
        <v>2859</v>
      </c>
    </row>
    <row r="1218" spans="1:25" ht="25.5">
      <c r="A1218" s="5" t="s">
        <v>5412</v>
      </c>
      <c r="B1218" s="5" t="s">
        <v>940</v>
      </c>
      <c r="C1218" s="5" t="s">
        <v>941</v>
      </c>
      <c r="D1218" s="5" t="s">
        <v>118</v>
      </c>
      <c r="E1218" s="5" t="s">
        <v>2793</v>
      </c>
      <c r="F1218" s="5" t="s">
        <v>2762</v>
      </c>
      <c r="G1218" s="5">
        <v>1</v>
      </c>
      <c r="H1218" s="5" t="s">
        <v>2864</v>
      </c>
      <c r="I1218" s="5" t="str">
        <f>IF(INDEX(Manual_Review!$W$6:$W$238,U1218)="","",INDEX(Manual_Review!$W$6:$W$238,U1218))</f>
        <v/>
      </c>
      <c r="J1218" s="5" t="str">
        <f t="shared" si="36"/>
        <v>AI provisional</v>
      </c>
      <c r="K1218" s="5" t="str">
        <f t="shared" si="37"/>
        <v>U</v>
      </c>
      <c r="L1218" s="5" t="s">
        <v>945</v>
      </c>
      <c r="M1218" s="5" t="s">
        <v>5399</v>
      </c>
      <c r="N1218" s="5" t="s">
        <v>5393</v>
      </c>
      <c r="O1218" s="5" t="s">
        <v>2893</v>
      </c>
      <c r="P1218" s="5" t="s">
        <v>2858</v>
      </c>
      <c r="Q1218" s="11">
        <v>46306.5</v>
      </c>
      <c r="R1218" s="6"/>
      <c r="S1218" s="6"/>
      <c r="T1218" s="6"/>
      <c r="U1218" s="5">
        <f>MATCH(B1218,Manual_Review!$A$6:$A$238,0)</f>
        <v>76</v>
      </c>
      <c r="V1218" s="5" t="str">
        <f>IF(INDEX(Manual_Review!$G$6:$G$238,U1218)="","",INDEX(Manual_Review!$G$6:$G$238,U1218))</f>
        <v/>
      </c>
      <c r="W1218" s="11" t="str">
        <f>IF(INDEX(Manual_Review!$H$6:$H$238,U1218)="","",INDEX(Manual_Review!$H$6:$H$238,U1218))</f>
        <v/>
      </c>
      <c r="X1218" s="5" t="str">
        <f>IF(INDEX(Manual_Review!$I$6:$I$238,U1218)="","",INDEX(Manual_Review!$I$6:$I$238,U1218))</f>
        <v/>
      </c>
      <c r="Y1218" s="5" t="s">
        <v>2859</v>
      </c>
    </row>
    <row r="1219" spans="1:25" ht="25.5">
      <c r="A1219" s="5" t="s">
        <v>5413</v>
      </c>
      <c r="B1219" s="5" t="s">
        <v>940</v>
      </c>
      <c r="C1219" s="5" t="s">
        <v>941</v>
      </c>
      <c r="D1219" s="5" t="s">
        <v>118</v>
      </c>
      <c r="E1219" s="5" t="s">
        <v>2794</v>
      </c>
      <c r="F1219" s="5" t="s">
        <v>2764</v>
      </c>
      <c r="G1219" s="5">
        <v>1</v>
      </c>
      <c r="H1219" s="5" t="s">
        <v>2864</v>
      </c>
      <c r="I1219" s="5" t="str">
        <f>IF(INDEX(Manual_Review!$X$6:$X$238,U1219)="","",INDEX(Manual_Review!$X$6:$X$238,U1219))</f>
        <v/>
      </c>
      <c r="J1219" s="5" t="str">
        <f t="shared" si="36"/>
        <v>AI provisional</v>
      </c>
      <c r="K1219" s="5" t="str">
        <f t="shared" si="37"/>
        <v>U</v>
      </c>
      <c r="L1219" s="5" t="s">
        <v>945</v>
      </c>
      <c r="M1219" s="5" t="s">
        <v>5399</v>
      </c>
      <c r="N1219" s="5" t="s">
        <v>5393</v>
      </c>
      <c r="O1219" s="5" t="s">
        <v>2895</v>
      </c>
      <c r="P1219" s="5" t="s">
        <v>2858</v>
      </c>
      <c r="Q1219" s="11">
        <v>46306.5</v>
      </c>
      <c r="R1219" s="6"/>
      <c r="S1219" s="6"/>
      <c r="T1219" s="6"/>
      <c r="U1219" s="5">
        <f>MATCH(B1219,Manual_Review!$A$6:$A$238,0)</f>
        <v>76</v>
      </c>
      <c r="V1219" s="5" t="str">
        <f>IF(INDEX(Manual_Review!$G$6:$G$238,U1219)="","",INDEX(Manual_Review!$G$6:$G$238,U1219))</f>
        <v/>
      </c>
      <c r="W1219" s="11" t="str">
        <f>IF(INDEX(Manual_Review!$H$6:$H$238,U1219)="","",INDEX(Manual_Review!$H$6:$H$238,U1219))</f>
        <v/>
      </c>
      <c r="X1219" s="5" t="str">
        <f>IF(INDEX(Manual_Review!$I$6:$I$238,U1219)="","",INDEX(Manual_Review!$I$6:$I$238,U1219))</f>
        <v/>
      </c>
      <c r="Y1219" s="5" t="s">
        <v>2859</v>
      </c>
    </row>
    <row r="1220" spans="1:25" ht="25.5">
      <c r="A1220" s="5" t="s">
        <v>5414</v>
      </c>
      <c r="B1220" s="5" t="s">
        <v>940</v>
      </c>
      <c r="C1220" s="5" t="s">
        <v>941</v>
      </c>
      <c r="D1220" s="5" t="s">
        <v>118</v>
      </c>
      <c r="E1220" s="5" t="s">
        <v>2795</v>
      </c>
      <c r="F1220" s="5" t="s">
        <v>2764</v>
      </c>
      <c r="G1220" s="5">
        <v>1</v>
      </c>
      <c r="H1220" s="5" t="s">
        <v>2864</v>
      </c>
      <c r="I1220" s="5" t="str">
        <f>IF(INDEX(Manual_Review!$Y$6:$Y$238,U1220)="","",INDEX(Manual_Review!$Y$6:$Y$238,U1220))</f>
        <v/>
      </c>
      <c r="J1220" s="5" t="str">
        <f t="shared" si="36"/>
        <v>AI provisional</v>
      </c>
      <c r="K1220" s="5" t="str">
        <f t="shared" si="37"/>
        <v>U</v>
      </c>
      <c r="L1220" s="5" t="s">
        <v>945</v>
      </c>
      <c r="M1220" s="5" t="s">
        <v>5399</v>
      </c>
      <c r="N1220" s="5" t="s">
        <v>5393</v>
      </c>
      <c r="O1220" s="5" t="s">
        <v>2897</v>
      </c>
      <c r="P1220" s="5" t="s">
        <v>2858</v>
      </c>
      <c r="Q1220" s="11">
        <v>46306.5</v>
      </c>
      <c r="R1220" s="6"/>
      <c r="S1220" s="6"/>
      <c r="T1220" s="6"/>
      <c r="U1220" s="5">
        <f>MATCH(B1220,Manual_Review!$A$6:$A$238,0)</f>
        <v>76</v>
      </c>
      <c r="V1220" s="5" t="str">
        <f>IF(INDEX(Manual_Review!$G$6:$G$238,U1220)="","",INDEX(Manual_Review!$G$6:$G$238,U1220))</f>
        <v/>
      </c>
      <c r="W1220" s="11" t="str">
        <f>IF(INDEX(Manual_Review!$H$6:$H$238,U1220)="","",INDEX(Manual_Review!$H$6:$H$238,U1220))</f>
        <v/>
      </c>
      <c r="X1220" s="5" t="str">
        <f>IF(INDEX(Manual_Review!$I$6:$I$238,U1220)="","",INDEX(Manual_Review!$I$6:$I$238,U1220))</f>
        <v/>
      </c>
      <c r="Y1220" s="5" t="s">
        <v>2859</v>
      </c>
    </row>
    <row r="1221" spans="1:25" ht="25.5">
      <c r="A1221" s="5" t="s">
        <v>5415</v>
      </c>
      <c r="B1221" s="5" t="s">
        <v>940</v>
      </c>
      <c r="C1221" s="5" t="s">
        <v>941</v>
      </c>
      <c r="D1221" s="5" t="s">
        <v>118</v>
      </c>
      <c r="E1221" s="5" t="s">
        <v>2796</v>
      </c>
      <c r="F1221" s="5" t="s">
        <v>2764</v>
      </c>
      <c r="G1221" s="5">
        <v>1</v>
      </c>
      <c r="H1221" s="5" t="s">
        <v>2864</v>
      </c>
      <c r="I1221" s="5" t="str">
        <f>IF(INDEX(Manual_Review!$Z$6:$Z$238,U1221)="","",INDEX(Manual_Review!$Z$6:$Z$238,U1221))</f>
        <v/>
      </c>
      <c r="J1221" s="5" t="str">
        <f t="shared" si="36"/>
        <v>AI provisional</v>
      </c>
      <c r="K1221" s="5" t="str">
        <f t="shared" si="37"/>
        <v>U</v>
      </c>
      <c r="L1221" s="5" t="s">
        <v>945</v>
      </c>
      <c r="M1221" s="5" t="s">
        <v>5406</v>
      </c>
      <c r="N1221" s="5" t="s">
        <v>5393</v>
      </c>
      <c r="O1221" s="5" t="s">
        <v>2899</v>
      </c>
      <c r="P1221" s="5" t="s">
        <v>2858</v>
      </c>
      <c r="Q1221" s="11">
        <v>46306.5</v>
      </c>
      <c r="R1221" s="6"/>
      <c r="S1221" s="6"/>
      <c r="T1221" s="6"/>
      <c r="U1221" s="5">
        <f>MATCH(B1221,Manual_Review!$A$6:$A$238,0)</f>
        <v>76</v>
      </c>
      <c r="V1221" s="5" t="str">
        <f>IF(INDEX(Manual_Review!$G$6:$G$238,U1221)="","",INDEX(Manual_Review!$G$6:$G$238,U1221))</f>
        <v/>
      </c>
      <c r="W1221" s="11" t="str">
        <f>IF(INDEX(Manual_Review!$H$6:$H$238,U1221)="","",INDEX(Manual_Review!$H$6:$H$238,U1221))</f>
        <v/>
      </c>
      <c r="X1221" s="5" t="str">
        <f>IF(INDEX(Manual_Review!$I$6:$I$238,U1221)="","",INDEX(Manual_Review!$I$6:$I$238,U1221))</f>
        <v/>
      </c>
      <c r="Y1221" s="5" t="s">
        <v>2859</v>
      </c>
    </row>
    <row r="1222" spans="1:25" ht="25.5">
      <c r="A1222" s="5" t="s">
        <v>5416</v>
      </c>
      <c r="B1222" s="5" t="s">
        <v>947</v>
      </c>
      <c r="C1222" s="5" t="s">
        <v>948</v>
      </c>
      <c r="D1222" s="5" t="s">
        <v>118</v>
      </c>
      <c r="E1222" s="5" t="s">
        <v>2781</v>
      </c>
      <c r="F1222" s="5" t="s">
        <v>2754</v>
      </c>
      <c r="G1222" s="5">
        <v>1</v>
      </c>
      <c r="H1222" s="5" t="s">
        <v>2854</v>
      </c>
      <c r="I1222" s="5" t="str">
        <f>IF(INDEX(Manual_Review!$K$6:$K$238,U1222)="","",INDEX(Manual_Review!$K$6:$K$238,U1222))</f>
        <v/>
      </c>
      <c r="J1222" s="5" t="str">
        <f t="shared" ref="J1222:J1285" si="38">IF(G1222=0,"Not applicable",IF(I1222="","AI provisional",IF(AND(OR(I1222="Y",I1222="N",I1222="U",I1222="X"),V1222&lt;&gt;"",ISNUMBER(W1222),W1222&gt;0,X1222="Confirmed",R1222&lt;&gt;"",S1222&lt;&gt;"",T1222&lt;&gt;""),"Human valid","Evidence needed")))</f>
        <v>AI provisional</v>
      </c>
      <c r="K1222" s="5" t="str">
        <f t="shared" ref="K1222:K1285" si="39">IF(G1222=0,"N/A",IF(I1222="",H1222,IF(J1222="Human valid",I1222,"U")))</f>
        <v>Y</v>
      </c>
      <c r="L1222" s="5" t="s">
        <v>956</v>
      </c>
      <c r="M1222" s="5" t="s">
        <v>5417</v>
      </c>
      <c r="N1222" s="5" t="s">
        <v>5418</v>
      </c>
      <c r="O1222" s="5" t="s">
        <v>2857</v>
      </c>
      <c r="P1222" s="5" t="s">
        <v>2858</v>
      </c>
      <c r="Q1222" s="11">
        <v>46306.5</v>
      </c>
      <c r="R1222" s="6"/>
      <c r="S1222" s="6"/>
      <c r="T1222" s="6"/>
      <c r="U1222" s="5">
        <f>MATCH(B1222,Manual_Review!$A$6:$A$238,0)</f>
        <v>77</v>
      </c>
      <c r="V1222" s="5" t="str">
        <f>IF(INDEX(Manual_Review!$G$6:$G$238,U1222)="","",INDEX(Manual_Review!$G$6:$G$238,U1222))</f>
        <v/>
      </c>
      <c r="W1222" s="11" t="str">
        <f>IF(INDEX(Manual_Review!$H$6:$H$238,U1222)="","",INDEX(Manual_Review!$H$6:$H$238,U1222))</f>
        <v/>
      </c>
      <c r="X1222" s="5" t="str">
        <f>IF(INDEX(Manual_Review!$I$6:$I$238,U1222)="","",INDEX(Manual_Review!$I$6:$I$238,U1222))</f>
        <v/>
      </c>
      <c r="Y1222" s="5" t="s">
        <v>2859</v>
      </c>
    </row>
    <row r="1223" spans="1:25" ht="25.5">
      <c r="A1223" s="5" t="s">
        <v>5419</v>
      </c>
      <c r="B1223" s="5" t="s">
        <v>947</v>
      </c>
      <c r="C1223" s="5" t="s">
        <v>948</v>
      </c>
      <c r="D1223" s="5" t="s">
        <v>118</v>
      </c>
      <c r="E1223" s="5" t="s">
        <v>2782</v>
      </c>
      <c r="F1223" s="5" t="s">
        <v>2754</v>
      </c>
      <c r="G1223" s="5">
        <v>1</v>
      </c>
      <c r="H1223" s="5" t="s">
        <v>2854</v>
      </c>
      <c r="I1223" s="5" t="str">
        <f>IF(INDEX(Manual_Review!$L$6:$L$238,U1223)="","",INDEX(Manual_Review!$L$6:$L$238,U1223))</f>
        <v/>
      </c>
      <c r="J1223" s="5" t="str">
        <f t="shared" si="38"/>
        <v>AI provisional</v>
      </c>
      <c r="K1223" s="5" t="str">
        <f t="shared" si="39"/>
        <v>Y</v>
      </c>
      <c r="L1223" s="5" t="s">
        <v>956</v>
      </c>
      <c r="M1223" s="5" t="s">
        <v>5420</v>
      </c>
      <c r="N1223" s="5" t="s">
        <v>5418</v>
      </c>
      <c r="O1223" s="5" t="s">
        <v>2862</v>
      </c>
      <c r="P1223" s="5" t="s">
        <v>2858</v>
      </c>
      <c r="Q1223" s="11">
        <v>46306.5</v>
      </c>
      <c r="R1223" s="6"/>
      <c r="S1223" s="6"/>
      <c r="T1223" s="6"/>
      <c r="U1223" s="5">
        <f>MATCH(B1223,Manual_Review!$A$6:$A$238,0)</f>
        <v>77</v>
      </c>
      <c r="V1223" s="5" t="str">
        <f>IF(INDEX(Manual_Review!$G$6:$G$238,U1223)="","",INDEX(Manual_Review!$G$6:$G$238,U1223))</f>
        <v/>
      </c>
      <c r="W1223" s="11" t="str">
        <f>IF(INDEX(Manual_Review!$H$6:$H$238,U1223)="","",INDEX(Manual_Review!$H$6:$H$238,U1223))</f>
        <v/>
      </c>
      <c r="X1223" s="5" t="str">
        <f>IF(INDEX(Manual_Review!$I$6:$I$238,U1223)="","",INDEX(Manual_Review!$I$6:$I$238,U1223))</f>
        <v/>
      </c>
      <c r="Y1223" s="5" t="s">
        <v>2859</v>
      </c>
    </row>
    <row r="1224" spans="1:25" ht="25.5">
      <c r="A1224" s="5" t="s">
        <v>5421</v>
      </c>
      <c r="B1224" s="5" t="s">
        <v>947</v>
      </c>
      <c r="C1224" s="5" t="s">
        <v>948</v>
      </c>
      <c r="D1224" s="5" t="s">
        <v>118</v>
      </c>
      <c r="E1224" s="5" t="s">
        <v>2783</v>
      </c>
      <c r="F1224" s="5" t="s">
        <v>2754</v>
      </c>
      <c r="G1224" s="5">
        <v>1</v>
      </c>
      <c r="H1224" s="5" t="s">
        <v>2854</v>
      </c>
      <c r="I1224" s="5" t="str">
        <f>IF(INDEX(Manual_Review!$M$6:$M$238,U1224)="","",INDEX(Manual_Review!$M$6:$M$238,U1224))</f>
        <v/>
      </c>
      <c r="J1224" s="5" t="str">
        <f t="shared" si="38"/>
        <v>AI provisional</v>
      </c>
      <c r="K1224" s="5" t="str">
        <f t="shared" si="39"/>
        <v>Y</v>
      </c>
      <c r="L1224" s="5" t="s">
        <v>956</v>
      </c>
      <c r="M1224" s="5" t="s">
        <v>5422</v>
      </c>
      <c r="N1224" s="5" t="s">
        <v>5418</v>
      </c>
      <c r="O1224" s="5" t="s">
        <v>3133</v>
      </c>
      <c r="P1224" s="5" t="s">
        <v>2858</v>
      </c>
      <c r="Q1224" s="11">
        <v>46306.5</v>
      </c>
      <c r="R1224" s="6"/>
      <c r="S1224" s="6"/>
      <c r="T1224" s="6"/>
      <c r="U1224" s="5">
        <f>MATCH(B1224,Manual_Review!$A$6:$A$238,0)</f>
        <v>77</v>
      </c>
      <c r="V1224" s="5" t="str">
        <f>IF(INDEX(Manual_Review!$G$6:$G$238,U1224)="","",INDEX(Manual_Review!$G$6:$G$238,U1224))</f>
        <v/>
      </c>
      <c r="W1224" s="11" t="str">
        <f>IF(INDEX(Manual_Review!$H$6:$H$238,U1224)="","",INDEX(Manual_Review!$H$6:$H$238,U1224))</f>
        <v/>
      </c>
      <c r="X1224" s="5" t="str">
        <f>IF(INDEX(Manual_Review!$I$6:$I$238,U1224)="","",INDEX(Manual_Review!$I$6:$I$238,U1224))</f>
        <v/>
      </c>
      <c r="Y1224" s="5" t="s">
        <v>2859</v>
      </c>
    </row>
    <row r="1225" spans="1:25" ht="25.5">
      <c r="A1225" s="5" t="s">
        <v>5423</v>
      </c>
      <c r="B1225" s="5" t="s">
        <v>947</v>
      </c>
      <c r="C1225" s="5" t="s">
        <v>948</v>
      </c>
      <c r="D1225" s="5" t="s">
        <v>118</v>
      </c>
      <c r="E1225" s="5" t="s">
        <v>2784</v>
      </c>
      <c r="F1225" s="5" t="s">
        <v>2756</v>
      </c>
      <c r="G1225" s="5">
        <v>1</v>
      </c>
      <c r="H1225" s="5" t="s">
        <v>2854</v>
      </c>
      <c r="I1225" s="5" t="str">
        <f>IF(INDEX(Manual_Review!$N$6:$N$238,U1225)="","",INDEX(Manual_Review!$N$6:$N$238,U1225))</f>
        <v/>
      </c>
      <c r="J1225" s="5" t="str">
        <f t="shared" si="38"/>
        <v>AI provisional</v>
      </c>
      <c r="K1225" s="5" t="str">
        <f t="shared" si="39"/>
        <v>Y</v>
      </c>
      <c r="L1225" s="5" t="s">
        <v>956</v>
      </c>
      <c r="M1225" s="5" t="s">
        <v>5424</v>
      </c>
      <c r="N1225" s="5" t="s">
        <v>5418</v>
      </c>
      <c r="O1225" s="5" t="s">
        <v>2963</v>
      </c>
      <c r="P1225" s="5" t="s">
        <v>2858</v>
      </c>
      <c r="Q1225" s="11">
        <v>46306.5</v>
      </c>
      <c r="R1225" s="6"/>
      <c r="S1225" s="6"/>
      <c r="T1225" s="6"/>
      <c r="U1225" s="5">
        <f>MATCH(B1225,Manual_Review!$A$6:$A$238,0)</f>
        <v>77</v>
      </c>
      <c r="V1225" s="5" t="str">
        <f>IF(INDEX(Manual_Review!$G$6:$G$238,U1225)="","",INDEX(Manual_Review!$G$6:$G$238,U1225))</f>
        <v/>
      </c>
      <c r="W1225" s="11" t="str">
        <f>IF(INDEX(Manual_Review!$H$6:$H$238,U1225)="","",INDEX(Manual_Review!$H$6:$H$238,U1225))</f>
        <v/>
      </c>
      <c r="X1225" s="5" t="str">
        <f>IF(INDEX(Manual_Review!$I$6:$I$238,U1225)="","",INDEX(Manual_Review!$I$6:$I$238,U1225))</f>
        <v/>
      </c>
      <c r="Y1225" s="5" t="s">
        <v>2859</v>
      </c>
    </row>
    <row r="1226" spans="1:25" ht="25.5">
      <c r="A1226" s="5" t="s">
        <v>5425</v>
      </c>
      <c r="B1226" s="5" t="s">
        <v>947</v>
      </c>
      <c r="C1226" s="5" t="s">
        <v>948</v>
      </c>
      <c r="D1226" s="5" t="s">
        <v>118</v>
      </c>
      <c r="E1226" s="5" t="s">
        <v>2785</v>
      </c>
      <c r="F1226" s="5" t="s">
        <v>2756</v>
      </c>
      <c r="G1226" s="5">
        <v>1</v>
      </c>
      <c r="H1226" s="5" t="s">
        <v>2854</v>
      </c>
      <c r="I1226" s="5" t="str">
        <f>IF(INDEX(Manual_Review!$O$6:$O$238,U1226)="","",INDEX(Manual_Review!$O$6:$O$238,U1226))</f>
        <v/>
      </c>
      <c r="J1226" s="5" t="str">
        <f t="shared" si="38"/>
        <v>AI provisional</v>
      </c>
      <c r="K1226" s="5" t="str">
        <f t="shared" si="39"/>
        <v>Y</v>
      </c>
      <c r="L1226" s="5" t="s">
        <v>956</v>
      </c>
      <c r="M1226" s="5" t="s">
        <v>5426</v>
      </c>
      <c r="N1226" s="5" t="s">
        <v>5418</v>
      </c>
      <c r="O1226" s="5" t="s">
        <v>3138</v>
      </c>
      <c r="P1226" s="5" t="s">
        <v>2858</v>
      </c>
      <c r="Q1226" s="11">
        <v>46306.5</v>
      </c>
      <c r="R1226" s="6"/>
      <c r="S1226" s="6"/>
      <c r="T1226" s="6"/>
      <c r="U1226" s="5">
        <f>MATCH(B1226,Manual_Review!$A$6:$A$238,0)</f>
        <v>77</v>
      </c>
      <c r="V1226" s="5" t="str">
        <f>IF(INDEX(Manual_Review!$G$6:$G$238,U1226)="","",INDEX(Manual_Review!$G$6:$G$238,U1226))</f>
        <v/>
      </c>
      <c r="W1226" s="11" t="str">
        <f>IF(INDEX(Manual_Review!$H$6:$H$238,U1226)="","",INDEX(Manual_Review!$H$6:$H$238,U1226))</f>
        <v/>
      </c>
      <c r="X1226" s="5" t="str">
        <f>IF(INDEX(Manual_Review!$I$6:$I$238,U1226)="","",INDEX(Manual_Review!$I$6:$I$238,U1226))</f>
        <v/>
      </c>
      <c r="Y1226" s="5" t="s">
        <v>2859</v>
      </c>
    </row>
    <row r="1227" spans="1:25" ht="25.5">
      <c r="A1227" s="5" t="s">
        <v>5427</v>
      </c>
      <c r="B1227" s="5" t="s">
        <v>947</v>
      </c>
      <c r="C1227" s="5" t="s">
        <v>948</v>
      </c>
      <c r="D1227" s="5" t="s">
        <v>118</v>
      </c>
      <c r="E1227" s="5" t="s">
        <v>2786</v>
      </c>
      <c r="F1227" s="5" t="s">
        <v>2756</v>
      </c>
      <c r="G1227" s="5">
        <v>1</v>
      </c>
      <c r="H1227" s="5" t="s">
        <v>2864</v>
      </c>
      <c r="I1227" s="5" t="str">
        <f>IF(INDEX(Manual_Review!$P$6:$P$238,U1227)="","",INDEX(Manual_Review!$P$6:$P$238,U1227))</f>
        <v/>
      </c>
      <c r="J1227" s="5" t="str">
        <f t="shared" si="38"/>
        <v>AI provisional</v>
      </c>
      <c r="K1227" s="5" t="str">
        <f t="shared" si="39"/>
        <v>U</v>
      </c>
      <c r="L1227" s="5" t="s">
        <v>956</v>
      </c>
      <c r="M1227" s="5" t="s">
        <v>5428</v>
      </c>
      <c r="N1227" s="5" t="s">
        <v>5418</v>
      </c>
      <c r="O1227" s="5" t="s">
        <v>2874</v>
      </c>
      <c r="P1227" s="5" t="s">
        <v>2858</v>
      </c>
      <c r="Q1227" s="11">
        <v>46306.5</v>
      </c>
      <c r="R1227" s="6"/>
      <c r="S1227" s="6"/>
      <c r="T1227" s="6"/>
      <c r="U1227" s="5">
        <f>MATCH(B1227,Manual_Review!$A$6:$A$238,0)</f>
        <v>77</v>
      </c>
      <c r="V1227" s="5" t="str">
        <f>IF(INDEX(Manual_Review!$G$6:$G$238,U1227)="","",INDEX(Manual_Review!$G$6:$G$238,U1227))</f>
        <v/>
      </c>
      <c r="W1227" s="11" t="str">
        <f>IF(INDEX(Manual_Review!$H$6:$H$238,U1227)="","",INDEX(Manual_Review!$H$6:$H$238,U1227))</f>
        <v/>
      </c>
      <c r="X1227" s="5" t="str">
        <f>IF(INDEX(Manual_Review!$I$6:$I$238,U1227)="","",INDEX(Manual_Review!$I$6:$I$238,U1227))</f>
        <v/>
      </c>
      <c r="Y1227" s="5" t="s">
        <v>2859</v>
      </c>
    </row>
    <row r="1228" spans="1:25" ht="25.5">
      <c r="A1228" s="5" t="s">
        <v>5429</v>
      </c>
      <c r="B1228" s="5" t="s">
        <v>947</v>
      </c>
      <c r="C1228" s="5" t="s">
        <v>948</v>
      </c>
      <c r="D1228" s="5" t="s">
        <v>118</v>
      </c>
      <c r="E1228" s="5" t="s">
        <v>2787</v>
      </c>
      <c r="F1228" s="5" t="s">
        <v>2758</v>
      </c>
      <c r="G1228" s="5">
        <v>1</v>
      </c>
      <c r="H1228" s="5" t="s">
        <v>2854</v>
      </c>
      <c r="I1228" s="5" t="str">
        <f>IF(INDEX(Manual_Review!$Q$6:$Q$238,U1228)="","",INDEX(Manual_Review!$Q$6:$Q$238,U1228))</f>
        <v/>
      </c>
      <c r="J1228" s="5" t="str">
        <f t="shared" si="38"/>
        <v>AI provisional</v>
      </c>
      <c r="K1228" s="5" t="str">
        <f t="shared" si="39"/>
        <v>Y</v>
      </c>
      <c r="L1228" s="5" t="s">
        <v>956</v>
      </c>
      <c r="M1228" s="5" t="s">
        <v>5430</v>
      </c>
      <c r="N1228" s="5" t="s">
        <v>5418</v>
      </c>
      <c r="O1228" s="5" t="s">
        <v>2969</v>
      </c>
      <c r="P1228" s="5" t="s">
        <v>2858</v>
      </c>
      <c r="Q1228" s="11">
        <v>46306.5</v>
      </c>
      <c r="R1228" s="6"/>
      <c r="S1228" s="6"/>
      <c r="T1228" s="6"/>
      <c r="U1228" s="5">
        <f>MATCH(B1228,Manual_Review!$A$6:$A$238,0)</f>
        <v>77</v>
      </c>
      <c r="V1228" s="5" t="str">
        <f>IF(INDEX(Manual_Review!$G$6:$G$238,U1228)="","",INDEX(Manual_Review!$G$6:$G$238,U1228))</f>
        <v/>
      </c>
      <c r="W1228" s="11" t="str">
        <f>IF(INDEX(Manual_Review!$H$6:$H$238,U1228)="","",INDEX(Manual_Review!$H$6:$H$238,U1228))</f>
        <v/>
      </c>
      <c r="X1228" s="5" t="str">
        <f>IF(INDEX(Manual_Review!$I$6:$I$238,U1228)="","",INDEX(Manual_Review!$I$6:$I$238,U1228))</f>
        <v/>
      </c>
      <c r="Y1228" s="5" t="s">
        <v>2859</v>
      </c>
    </row>
    <row r="1229" spans="1:25" ht="25.5">
      <c r="A1229" s="5" t="s">
        <v>5431</v>
      </c>
      <c r="B1229" s="5" t="s">
        <v>947</v>
      </c>
      <c r="C1229" s="5" t="s">
        <v>948</v>
      </c>
      <c r="D1229" s="5" t="s">
        <v>118</v>
      </c>
      <c r="E1229" s="5" t="s">
        <v>2788</v>
      </c>
      <c r="F1229" s="5" t="s">
        <v>2758</v>
      </c>
      <c r="G1229" s="5">
        <v>1</v>
      </c>
      <c r="H1229" s="5" t="s">
        <v>2854</v>
      </c>
      <c r="I1229" s="5" t="str">
        <f>IF(INDEX(Manual_Review!$R$6:$R$238,U1229)="","",INDEX(Manual_Review!$R$6:$R$238,U1229))</f>
        <v/>
      </c>
      <c r="J1229" s="5" t="str">
        <f t="shared" si="38"/>
        <v>AI provisional</v>
      </c>
      <c r="K1229" s="5" t="str">
        <f t="shared" si="39"/>
        <v>Y</v>
      </c>
      <c r="L1229" s="5" t="s">
        <v>956</v>
      </c>
      <c r="M1229" s="5" t="s">
        <v>5432</v>
      </c>
      <c r="N1229" s="5" t="s">
        <v>5418</v>
      </c>
      <c r="O1229" s="5" t="s">
        <v>3067</v>
      </c>
      <c r="P1229" s="5" t="s">
        <v>2858</v>
      </c>
      <c r="Q1229" s="11">
        <v>46306.5</v>
      </c>
      <c r="R1229" s="6"/>
      <c r="S1229" s="6"/>
      <c r="T1229" s="6"/>
      <c r="U1229" s="5">
        <f>MATCH(B1229,Manual_Review!$A$6:$A$238,0)</f>
        <v>77</v>
      </c>
      <c r="V1229" s="5" t="str">
        <f>IF(INDEX(Manual_Review!$G$6:$G$238,U1229)="","",INDEX(Manual_Review!$G$6:$G$238,U1229))</f>
        <v/>
      </c>
      <c r="W1229" s="11" t="str">
        <f>IF(INDEX(Manual_Review!$H$6:$H$238,U1229)="","",INDEX(Manual_Review!$H$6:$H$238,U1229))</f>
        <v/>
      </c>
      <c r="X1229" s="5" t="str">
        <f>IF(INDEX(Manual_Review!$I$6:$I$238,U1229)="","",INDEX(Manual_Review!$I$6:$I$238,U1229))</f>
        <v/>
      </c>
      <c r="Y1229" s="5" t="s">
        <v>2859</v>
      </c>
    </row>
    <row r="1230" spans="1:25" ht="25.5">
      <c r="A1230" s="5" t="s">
        <v>5433</v>
      </c>
      <c r="B1230" s="5" t="s">
        <v>947</v>
      </c>
      <c r="C1230" s="5" t="s">
        <v>948</v>
      </c>
      <c r="D1230" s="5" t="s">
        <v>118</v>
      </c>
      <c r="E1230" s="5" t="s">
        <v>2789</v>
      </c>
      <c r="F1230" s="5" t="s">
        <v>2758</v>
      </c>
      <c r="G1230" s="5">
        <v>1</v>
      </c>
      <c r="H1230" s="5" t="s">
        <v>2864</v>
      </c>
      <c r="I1230" s="5" t="str">
        <f>IF(INDEX(Manual_Review!$S$6:$S$238,U1230)="","",INDEX(Manual_Review!$S$6:$S$238,U1230))</f>
        <v/>
      </c>
      <c r="J1230" s="5" t="str">
        <f t="shared" si="38"/>
        <v>AI provisional</v>
      </c>
      <c r="K1230" s="5" t="str">
        <f t="shared" si="39"/>
        <v>U</v>
      </c>
      <c r="L1230" s="5" t="s">
        <v>956</v>
      </c>
      <c r="M1230" s="5" t="s">
        <v>5434</v>
      </c>
      <c r="N1230" s="5" t="s">
        <v>5418</v>
      </c>
      <c r="O1230" s="5" t="s">
        <v>2883</v>
      </c>
      <c r="P1230" s="5" t="s">
        <v>2858</v>
      </c>
      <c r="Q1230" s="11">
        <v>46306.5</v>
      </c>
      <c r="R1230" s="6"/>
      <c r="S1230" s="6"/>
      <c r="T1230" s="6"/>
      <c r="U1230" s="5">
        <f>MATCH(B1230,Manual_Review!$A$6:$A$238,0)</f>
        <v>77</v>
      </c>
      <c r="V1230" s="5" t="str">
        <f>IF(INDEX(Manual_Review!$G$6:$G$238,U1230)="","",INDEX(Manual_Review!$G$6:$G$238,U1230))</f>
        <v/>
      </c>
      <c r="W1230" s="11" t="str">
        <f>IF(INDEX(Manual_Review!$H$6:$H$238,U1230)="","",INDEX(Manual_Review!$H$6:$H$238,U1230))</f>
        <v/>
      </c>
      <c r="X1230" s="5" t="str">
        <f>IF(INDEX(Manual_Review!$I$6:$I$238,U1230)="","",INDEX(Manual_Review!$I$6:$I$238,U1230))</f>
        <v/>
      </c>
      <c r="Y1230" s="5" t="s">
        <v>2859</v>
      </c>
    </row>
    <row r="1231" spans="1:25" ht="25.5">
      <c r="A1231" s="5" t="s">
        <v>5435</v>
      </c>
      <c r="B1231" s="5" t="s">
        <v>947</v>
      </c>
      <c r="C1231" s="5" t="s">
        <v>948</v>
      </c>
      <c r="D1231" s="5" t="s">
        <v>118</v>
      </c>
      <c r="E1231" s="5" t="s">
        <v>2790</v>
      </c>
      <c r="F1231" s="5" t="s">
        <v>2760</v>
      </c>
      <c r="G1231" s="5">
        <v>1</v>
      </c>
      <c r="H1231" s="5" t="s">
        <v>2864</v>
      </c>
      <c r="I1231" s="5" t="str">
        <f>IF(INDEX(Manual_Review!$T$6:$T$238,U1231)="","",INDEX(Manual_Review!$T$6:$T$238,U1231))</f>
        <v/>
      </c>
      <c r="J1231" s="5" t="str">
        <f t="shared" si="38"/>
        <v>AI provisional</v>
      </c>
      <c r="K1231" s="5" t="str">
        <f t="shared" si="39"/>
        <v>U</v>
      </c>
      <c r="L1231" s="5" t="s">
        <v>956</v>
      </c>
      <c r="M1231" s="5" t="s">
        <v>5428</v>
      </c>
      <c r="N1231" s="5" t="s">
        <v>5418</v>
      </c>
      <c r="O1231" s="5" t="s">
        <v>2885</v>
      </c>
      <c r="P1231" s="5" t="s">
        <v>2858</v>
      </c>
      <c r="Q1231" s="11">
        <v>46306.5</v>
      </c>
      <c r="R1231" s="6"/>
      <c r="S1231" s="6"/>
      <c r="T1231" s="6"/>
      <c r="U1231" s="5">
        <f>MATCH(B1231,Manual_Review!$A$6:$A$238,0)</f>
        <v>77</v>
      </c>
      <c r="V1231" s="5" t="str">
        <f>IF(INDEX(Manual_Review!$G$6:$G$238,U1231)="","",INDEX(Manual_Review!$G$6:$G$238,U1231))</f>
        <v/>
      </c>
      <c r="W1231" s="11" t="str">
        <f>IF(INDEX(Manual_Review!$H$6:$H$238,U1231)="","",INDEX(Manual_Review!$H$6:$H$238,U1231))</f>
        <v/>
      </c>
      <c r="X1231" s="5" t="str">
        <f>IF(INDEX(Manual_Review!$I$6:$I$238,U1231)="","",INDEX(Manual_Review!$I$6:$I$238,U1231))</f>
        <v/>
      </c>
      <c r="Y1231" s="5" t="s">
        <v>2859</v>
      </c>
    </row>
    <row r="1232" spans="1:25" ht="25.5">
      <c r="A1232" s="5" t="s">
        <v>5436</v>
      </c>
      <c r="B1232" s="5" t="s">
        <v>947</v>
      </c>
      <c r="C1232" s="5" t="s">
        <v>948</v>
      </c>
      <c r="D1232" s="5" t="s">
        <v>118</v>
      </c>
      <c r="E1232" s="5" t="s">
        <v>2791</v>
      </c>
      <c r="F1232" s="5" t="s">
        <v>2760</v>
      </c>
      <c r="G1232" s="5">
        <v>1</v>
      </c>
      <c r="H1232" s="5" t="s">
        <v>2864</v>
      </c>
      <c r="I1232" s="5" t="str">
        <f>IF(INDEX(Manual_Review!$U$6:$U$238,U1232)="","",INDEX(Manual_Review!$U$6:$U$238,U1232))</f>
        <v/>
      </c>
      <c r="J1232" s="5" t="str">
        <f t="shared" si="38"/>
        <v>AI provisional</v>
      </c>
      <c r="K1232" s="5" t="str">
        <f t="shared" si="39"/>
        <v>U</v>
      </c>
      <c r="L1232" s="5" t="s">
        <v>956</v>
      </c>
      <c r="M1232" s="5" t="s">
        <v>5437</v>
      </c>
      <c r="N1232" s="5" t="s">
        <v>5418</v>
      </c>
      <c r="O1232" s="5" t="s">
        <v>2888</v>
      </c>
      <c r="P1232" s="5" t="s">
        <v>2858</v>
      </c>
      <c r="Q1232" s="11">
        <v>46306.5</v>
      </c>
      <c r="R1232" s="6"/>
      <c r="S1232" s="6"/>
      <c r="T1232" s="6"/>
      <c r="U1232" s="5">
        <f>MATCH(B1232,Manual_Review!$A$6:$A$238,0)</f>
        <v>77</v>
      </c>
      <c r="V1232" s="5" t="str">
        <f>IF(INDEX(Manual_Review!$G$6:$G$238,U1232)="","",INDEX(Manual_Review!$G$6:$G$238,U1232))</f>
        <v/>
      </c>
      <c r="W1232" s="11" t="str">
        <f>IF(INDEX(Manual_Review!$H$6:$H$238,U1232)="","",INDEX(Manual_Review!$H$6:$H$238,U1232))</f>
        <v/>
      </c>
      <c r="X1232" s="5" t="str">
        <f>IF(INDEX(Manual_Review!$I$6:$I$238,U1232)="","",INDEX(Manual_Review!$I$6:$I$238,U1232))</f>
        <v/>
      </c>
      <c r="Y1232" s="5" t="s">
        <v>2859</v>
      </c>
    </row>
    <row r="1233" spans="1:25" ht="25.5">
      <c r="A1233" s="5" t="s">
        <v>5438</v>
      </c>
      <c r="B1233" s="5" t="s">
        <v>947</v>
      </c>
      <c r="C1233" s="5" t="s">
        <v>948</v>
      </c>
      <c r="D1233" s="5" t="s">
        <v>118</v>
      </c>
      <c r="E1233" s="5" t="s">
        <v>2792</v>
      </c>
      <c r="F1233" s="5" t="s">
        <v>2762</v>
      </c>
      <c r="G1233" s="5">
        <v>1</v>
      </c>
      <c r="H1233" s="5" t="s">
        <v>2854</v>
      </c>
      <c r="I1233" s="5" t="str">
        <f>IF(INDEX(Manual_Review!$V$6:$V$238,U1233)="","",INDEX(Manual_Review!$V$6:$V$238,U1233))</f>
        <v/>
      </c>
      <c r="J1233" s="5" t="str">
        <f t="shared" si="38"/>
        <v>AI provisional</v>
      </c>
      <c r="K1233" s="5" t="str">
        <f t="shared" si="39"/>
        <v>Y</v>
      </c>
      <c r="L1233" s="5" t="s">
        <v>956</v>
      </c>
      <c r="M1233" s="5" t="s">
        <v>5439</v>
      </c>
      <c r="N1233" s="5" t="s">
        <v>5418</v>
      </c>
      <c r="O1233" s="5" t="s">
        <v>3152</v>
      </c>
      <c r="P1233" s="5" t="s">
        <v>2858</v>
      </c>
      <c r="Q1233" s="11">
        <v>46306.5</v>
      </c>
      <c r="R1233" s="6"/>
      <c r="S1233" s="6"/>
      <c r="T1233" s="6"/>
      <c r="U1233" s="5">
        <f>MATCH(B1233,Manual_Review!$A$6:$A$238,0)</f>
        <v>77</v>
      </c>
      <c r="V1233" s="5" t="str">
        <f>IF(INDEX(Manual_Review!$G$6:$G$238,U1233)="","",INDEX(Manual_Review!$G$6:$G$238,U1233))</f>
        <v/>
      </c>
      <c r="W1233" s="11" t="str">
        <f>IF(INDEX(Manual_Review!$H$6:$H$238,U1233)="","",INDEX(Manual_Review!$H$6:$H$238,U1233))</f>
        <v/>
      </c>
      <c r="X1233" s="5" t="str">
        <f>IF(INDEX(Manual_Review!$I$6:$I$238,U1233)="","",INDEX(Manual_Review!$I$6:$I$238,U1233))</f>
        <v/>
      </c>
      <c r="Y1233" s="5" t="s">
        <v>2859</v>
      </c>
    </row>
    <row r="1234" spans="1:25" ht="25.5">
      <c r="A1234" s="5" t="s">
        <v>5440</v>
      </c>
      <c r="B1234" s="5" t="s">
        <v>947</v>
      </c>
      <c r="C1234" s="5" t="s">
        <v>948</v>
      </c>
      <c r="D1234" s="5" t="s">
        <v>118</v>
      </c>
      <c r="E1234" s="5" t="s">
        <v>2793</v>
      </c>
      <c r="F1234" s="5" t="s">
        <v>2762</v>
      </c>
      <c r="G1234" s="5">
        <v>1</v>
      </c>
      <c r="H1234" s="5" t="s">
        <v>2854</v>
      </c>
      <c r="I1234" s="5" t="str">
        <f>IF(INDEX(Manual_Review!$W$6:$W$238,U1234)="","",INDEX(Manual_Review!$W$6:$W$238,U1234))</f>
        <v/>
      </c>
      <c r="J1234" s="5" t="str">
        <f t="shared" si="38"/>
        <v>AI provisional</v>
      </c>
      <c r="K1234" s="5" t="str">
        <f t="shared" si="39"/>
        <v>Y</v>
      </c>
      <c r="L1234" s="5" t="s">
        <v>956</v>
      </c>
      <c r="M1234" s="5" t="s">
        <v>5441</v>
      </c>
      <c r="N1234" s="5" t="s">
        <v>5418</v>
      </c>
      <c r="O1234" s="5" t="s">
        <v>3077</v>
      </c>
      <c r="P1234" s="5" t="s">
        <v>2858</v>
      </c>
      <c r="Q1234" s="11">
        <v>46306.5</v>
      </c>
      <c r="R1234" s="6"/>
      <c r="S1234" s="6"/>
      <c r="T1234" s="6"/>
      <c r="U1234" s="5">
        <f>MATCH(B1234,Manual_Review!$A$6:$A$238,0)</f>
        <v>77</v>
      </c>
      <c r="V1234" s="5" t="str">
        <f>IF(INDEX(Manual_Review!$G$6:$G$238,U1234)="","",INDEX(Manual_Review!$G$6:$G$238,U1234))</f>
        <v/>
      </c>
      <c r="W1234" s="11" t="str">
        <f>IF(INDEX(Manual_Review!$H$6:$H$238,U1234)="","",INDEX(Manual_Review!$H$6:$H$238,U1234))</f>
        <v/>
      </c>
      <c r="X1234" s="5" t="str">
        <f>IF(INDEX(Manual_Review!$I$6:$I$238,U1234)="","",INDEX(Manual_Review!$I$6:$I$238,U1234))</f>
        <v/>
      </c>
      <c r="Y1234" s="5" t="s">
        <v>2859</v>
      </c>
    </row>
    <row r="1235" spans="1:25" ht="25.5">
      <c r="A1235" s="5" t="s">
        <v>5442</v>
      </c>
      <c r="B1235" s="5" t="s">
        <v>947</v>
      </c>
      <c r="C1235" s="5" t="s">
        <v>948</v>
      </c>
      <c r="D1235" s="5" t="s">
        <v>118</v>
      </c>
      <c r="E1235" s="5" t="s">
        <v>2794</v>
      </c>
      <c r="F1235" s="5" t="s">
        <v>2764</v>
      </c>
      <c r="G1235" s="5">
        <v>1</v>
      </c>
      <c r="H1235" s="5" t="s">
        <v>2854</v>
      </c>
      <c r="I1235" s="5" t="str">
        <f>IF(INDEX(Manual_Review!$X$6:$X$238,U1235)="","",INDEX(Manual_Review!$X$6:$X$238,U1235))</f>
        <v/>
      </c>
      <c r="J1235" s="5" t="str">
        <f t="shared" si="38"/>
        <v>AI provisional</v>
      </c>
      <c r="K1235" s="5" t="str">
        <f t="shared" si="39"/>
        <v>Y</v>
      </c>
      <c r="L1235" s="5" t="s">
        <v>956</v>
      </c>
      <c r="M1235" s="5" t="s">
        <v>5443</v>
      </c>
      <c r="N1235" s="5" t="s">
        <v>5418</v>
      </c>
      <c r="O1235" s="5" t="s">
        <v>2984</v>
      </c>
      <c r="P1235" s="5" t="s">
        <v>2858</v>
      </c>
      <c r="Q1235" s="11">
        <v>46306.5</v>
      </c>
      <c r="R1235" s="6"/>
      <c r="S1235" s="6"/>
      <c r="T1235" s="6"/>
      <c r="U1235" s="5">
        <f>MATCH(B1235,Manual_Review!$A$6:$A$238,0)</f>
        <v>77</v>
      </c>
      <c r="V1235" s="5" t="str">
        <f>IF(INDEX(Manual_Review!$G$6:$G$238,U1235)="","",INDEX(Manual_Review!$G$6:$G$238,U1235))</f>
        <v/>
      </c>
      <c r="W1235" s="11" t="str">
        <f>IF(INDEX(Manual_Review!$H$6:$H$238,U1235)="","",INDEX(Manual_Review!$H$6:$H$238,U1235))</f>
        <v/>
      </c>
      <c r="X1235" s="5" t="str">
        <f>IF(INDEX(Manual_Review!$I$6:$I$238,U1235)="","",INDEX(Manual_Review!$I$6:$I$238,U1235))</f>
        <v/>
      </c>
      <c r="Y1235" s="5" t="s">
        <v>2859</v>
      </c>
    </row>
    <row r="1236" spans="1:25" ht="25.5">
      <c r="A1236" s="5" t="s">
        <v>5444</v>
      </c>
      <c r="B1236" s="5" t="s">
        <v>947</v>
      </c>
      <c r="C1236" s="5" t="s">
        <v>948</v>
      </c>
      <c r="D1236" s="5" t="s">
        <v>118</v>
      </c>
      <c r="E1236" s="5" t="s">
        <v>2795</v>
      </c>
      <c r="F1236" s="5" t="s">
        <v>2764</v>
      </c>
      <c r="G1236" s="5">
        <v>1</v>
      </c>
      <c r="H1236" s="5" t="s">
        <v>2854</v>
      </c>
      <c r="I1236" s="5" t="str">
        <f>IF(INDEX(Manual_Review!$Y$6:$Y$238,U1236)="","",INDEX(Manual_Review!$Y$6:$Y$238,U1236))</f>
        <v/>
      </c>
      <c r="J1236" s="5" t="str">
        <f t="shared" si="38"/>
        <v>AI provisional</v>
      </c>
      <c r="K1236" s="5" t="str">
        <f t="shared" si="39"/>
        <v>Y</v>
      </c>
      <c r="L1236" s="5" t="s">
        <v>956</v>
      </c>
      <c r="M1236" s="5" t="s">
        <v>5445</v>
      </c>
      <c r="N1236" s="5" t="s">
        <v>5418</v>
      </c>
      <c r="O1236" s="5" t="s">
        <v>3082</v>
      </c>
      <c r="P1236" s="5" t="s">
        <v>2858</v>
      </c>
      <c r="Q1236" s="11">
        <v>46306.5</v>
      </c>
      <c r="R1236" s="6"/>
      <c r="S1236" s="6"/>
      <c r="T1236" s="6"/>
      <c r="U1236" s="5">
        <f>MATCH(B1236,Manual_Review!$A$6:$A$238,0)</f>
        <v>77</v>
      </c>
      <c r="V1236" s="5" t="str">
        <f>IF(INDEX(Manual_Review!$G$6:$G$238,U1236)="","",INDEX(Manual_Review!$G$6:$G$238,U1236))</f>
        <v/>
      </c>
      <c r="W1236" s="11" t="str">
        <f>IF(INDEX(Manual_Review!$H$6:$H$238,U1236)="","",INDEX(Manual_Review!$H$6:$H$238,U1236))</f>
        <v/>
      </c>
      <c r="X1236" s="5" t="str">
        <f>IF(INDEX(Manual_Review!$I$6:$I$238,U1236)="","",INDEX(Manual_Review!$I$6:$I$238,U1236))</f>
        <v/>
      </c>
      <c r="Y1236" s="5" t="s">
        <v>2859</v>
      </c>
    </row>
    <row r="1237" spans="1:25" ht="25.5">
      <c r="A1237" s="5" t="s">
        <v>5446</v>
      </c>
      <c r="B1237" s="5" t="s">
        <v>947</v>
      </c>
      <c r="C1237" s="5" t="s">
        <v>948</v>
      </c>
      <c r="D1237" s="5" t="s">
        <v>118</v>
      </c>
      <c r="E1237" s="5" t="s">
        <v>2796</v>
      </c>
      <c r="F1237" s="5" t="s">
        <v>2764</v>
      </c>
      <c r="G1237" s="5">
        <v>1</v>
      </c>
      <c r="H1237" s="5" t="s">
        <v>2864</v>
      </c>
      <c r="I1237" s="5" t="str">
        <f>IF(INDEX(Manual_Review!$Z$6:$Z$238,U1237)="","",INDEX(Manual_Review!$Z$6:$Z$238,U1237))</f>
        <v/>
      </c>
      <c r="J1237" s="5" t="str">
        <f t="shared" si="38"/>
        <v>AI provisional</v>
      </c>
      <c r="K1237" s="5" t="str">
        <f t="shared" si="39"/>
        <v>U</v>
      </c>
      <c r="L1237" s="5" t="s">
        <v>956</v>
      </c>
      <c r="M1237" s="5" t="s">
        <v>5447</v>
      </c>
      <c r="N1237" s="5" t="s">
        <v>5418</v>
      </c>
      <c r="O1237" s="5" t="s">
        <v>2899</v>
      </c>
      <c r="P1237" s="5" t="s">
        <v>2858</v>
      </c>
      <c r="Q1237" s="11">
        <v>46306.5</v>
      </c>
      <c r="R1237" s="6"/>
      <c r="S1237" s="6"/>
      <c r="T1237" s="6"/>
      <c r="U1237" s="5">
        <f>MATCH(B1237,Manual_Review!$A$6:$A$238,0)</f>
        <v>77</v>
      </c>
      <c r="V1237" s="5" t="str">
        <f>IF(INDEX(Manual_Review!$G$6:$G$238,U1237)="","",INDEX(Manual_Review!$G$6:$G$238,U1237))</f>
        <v/>
      </c>
      <c r="W1237" s="11" t="str">
        <f>IF(INDEX(Manual_Review!$H$6:$H$238,U1237)="","",INDEX(Manual_Review!$H$6:$H$238,U1237))</f>
        <v/>
      </c>
      <c r="X1237" s="5" t="str">
        <f>IF(INDEX(Manual_Review!$I$6:$I$238,U1237)="","",INDEX(Manual_Review!$I$6:$I$238,U1237))</f>
        <v/>
      </c>
      <c r="Y1237" s="5" t="s">
        <v>2859</v>
      </c>
    </row>
    <row r="1238" spans="1:25" ht="38.25">
      <c r="A1238" s="5" t="s">
        <v>5448</v>
      </c>
      <c r="B1238" s="5" t="s">
        <v>958</v>
      </c>
      <c r="C1238" s="5" t="s">
        <v>959</v>
      </c>
      <c r="D1238" s="5" t="s">
        <v>118</v>
      </c>
      <c r="E1238" s="5" t="s">
        <v>2781</v>
      </c>
      <c r="F1238" s="5" t="s">
        <v>2754</v>
      </c>
      <c r="G1238" s="5">
        <v>1</v>
      </c>
      <c r="H1238" s="5" t="s">
        <v>2854</v>
      </c>
      <c r="I1238" s="5" t="str">
        <f>IF(INDEX(Manual_Review!$K$6:$K$238,U1238)="","",INDEX(Manual_Review!$K$6:$K$238,U1238))</f>
        <v/>
      </c>
      <c r="J1238" s="5" t="str">
        <f t="shared" si="38"/>
        <v>AI provisional</v>
      </c>
      <c r="K1238" s="5" t="str">
        <f t="shared" si="39"/>
        <v>Y</v>
      </c>
      <c r="L1238" s="5" t="s">
        <v>967</v>
      </c>
      <c r="M1238" s="5" t="s">
        <v>5449</v>
      </c>
      <c r="N1238" s="5" t="s">
        <v>5450</v>
      </c>
      <c r="O1238" s="5" t="s">
        <v>2857</v>
      </c>
      <c r="P1238" s="5" t="s">
        <v>2858</v>
      </c>
      <c r="Q1238" s="11">
        <v>46306.5</v>
      </c>
      <c r="R1238" s="6"/>
      <c r="S1238" s="6"/>
      <c r="T1238" s="6"/>
      <c r="U1238" s="5">
        <f>MATCH(B1238,Manual_Review!$A$6:$A$238,0)</f>
        <v>78</v>
      </c>
      <c r="V1238" s="5" t="str">
        <f>IF(INDEX(Manual_Review!$G$6:$G$238,U1238)="","",INDEX(Manual_Review!$G$6:$G$238,U1238))</f>
        <v/>
      </c>
      <c r="W1238" s="11" t="str">
        <f>IF(INDEX(Manual_Review!$H$6:$H$238,U1238)="","",INDEX(Manual_Review!$H$6:$H$238,U1238))</f>
        <v/>
      </c>
      <c r="X1238" s="5" t="str">
        <f>IF(INDEX(Manual_Review!$I$6:$I$238,U1238)="","",INDEX(Manual_Review!$I$6:$I$238,U1238))</f>
        <v/>
      </c>
      <c r="Y1238" s="5" t="s">
        <v>2859</v>
      </c>
    </row>
    <row r="1239" spans="1:25" ht="38.25">
      <c r="A1239" s="5" t="s">
        <v>5451</v>
      </c>
      <c r="B1239" s="5" t="s">
        <v>958</v>
      </c>
      <c r="C1239" s="5" t="s">
        <v>959</v>
      </c>
      <c r="D1239" s="5" t="s">
        <v>118</v>
      </c>
      <c r="E1239" s="5" t="s">
        <v>2782</v>
      </c>
      <c r="F1239" s="5" t="s">
        <v>2754</v>
      </c>
      <c r="G1239" s="5">
        <v>1</v>
      </c>
      <c r="H1239" s="5" t="s">
        <v>2854</v>
      </c>
      <c r="I1239" s="5" t="str">
        <f>IF(INDEX(Manual_Review!$L$6:$L$238,U1239)="","",INDEX(Manual_Review!$L$6:$L$238,U1239))</f>
        <v/>
      </c>
      <c r="J1239" s="5" t="str">
        <f t="shared" si="38"/>
        <v>AI provisional</v>
      </c>
      <c r="K1239" s="5" t="str">
        <f t="shared" si="39"/>
        <v>Y</v>
      </c>
      <c r="L1239" s="5" t="s">
        <v>967</v>
      </c>
      <c r="M1239" s="5" t="s">
        <v>5452</v>
      </c>
      <c r="N1239" s="5" t="s">
        <v>5450</v>
      </c>
      <c r="O1239" s="5" t="s">
        <v>2862</v>
      </c>
      <c r="P1239" s="5" t="s">
        <v>2858</v>
      </c>
      <c r="Q1239" s="11">
        <v>46306.5</v>
      </c>
      <c r="R1239" s="6"/>
      <c r="S1239" s="6"/>
      <c r="T1239" s="6"/>
      <c r="U1239" s="5">
        <f>MATCH(B1239,Manual_Review!$A$6:$A$238,0)</f>
        <v>78</v>
      </c>
      <c r="V1239" s="5" t="str">
        <f>IF(INDEX(Manual_Review!$G$6:$G$238,U1239)="","",INDEX(Manual_Review!$G$6:$G$238,U1239))</f>
        <v/>
      </c>
      <c r="W1239" s="11" t="str">
        <f>IF(INDEX(Manual_Review!$H$6:$H$238,U1239)="","",INDEX(Manual_Review!$H$6:$H$238,U1239))</f>
        <v/>
      </c>
      <c r="X1239" s="5" t="str">
        <f>IF(INDEX(Manual_Review!$I$6:$I$238,U1239)="","",INDEX(Manual_Review!$I$6:$I$238,U1239))</f>
        <v/>
      </c>
      <c r="Y1239" s="5" t="s">
        <v>2859</v>
      </c>
    </row>
    <row r="1240" spans="1:25" ht="38.25">
      <c r="A1240" s="5" t="s">
        <v>5453</v>
      </c>
      <c r="B1240" s="5" t="s">
        <v>958</v>
      </c>
      <c r="C1240" s="5" t="s">
        <v>959</v>
      </c>
      <c r="D1240" s="5" t="s">
        <v>118</v>
      </c>
      <c r="E1240" s="5" t="s">
        <v>2783</v>
      </c>
      <c r="F1240" s="5" t="s">
        <v>2754</v>
      </c>
      <c r="G1240" s="5">
        <v>1</v>
      </c>
      <c r="H1240" s="5" t="s">
        <v>2854</v>
      </c>
      <c r="I1240" s="5" t="str">
        <f>IF(INDEX(Manual_Review!$M$6:$M$238,U1240)="","",INDEX(Manual_Review!$M$6:$M$238,U1240))</f>
        <v/>
      </c>
      <c r="J1240" s="5" t="str">
        <f t="shared" si="38"/>
        <v>AI provisional</v>
      </c>
      <c r="K1240" s="5" t="str">
        <f t="shared" si="39"/>
        <v>Y</v>
      </c>
      <c r="L1240" s="5" t="s">
        <v>967</v>
      </c>
      <c r="M1240" s="5" t="s">
        <v>5454</v>
      </c>
      <c r="N1240" s="5" t="s">
        <v>5450</v>
      </c>
      <c r="O1240" s="5" t="s">
        <v>3133</v>
      </c>
      <c r="P1240" s="5" t="s">
        <v>2858</v>
      </c>
      <c r="Q1240" s="11">
        <v>46306.5</v>
      </c>
      <c r="R1240" s="6"/>
      <c r="S1240" s="6"/>
      <c r="T1240" s="6"/>
      <c r="U1240" s="5">
        <f>MATCH(B1240,Manual_Review!$A$6:$A$238,0)</f>
        <v>78</v>
      </c>
      <c r="V1240" s="5" t="str">
        <f>IF(INDEX(Manual_Review!$G$6:$G$238,U1240)="","",INDEX(Manual_Review!$G$6:$G$238,U1240))</f>
        <v/>
      </c>
      <c r="W1240" s="11" t="str">
        <f>IF(INDEX(Manual_Review!$H$6:$H$238,U1240)="","",INDEX(Manual_Review!$H$6:$H$238,U1240))</f>
        <v/>
      </c>
      <c r="X1240" s="5" t="str">
        <f>IF(INDEX(Manual_Review!$I$6:$I$238,U1240)="","",INDEX(Manual_Review!$I$6:$I$238,U1240))</f>
        <v/>
      </c>
      <c r="Y1240" s="5" t="s">
        <v>2859</v>
      </c>
    </row>
    <row r="1241" spans="1:25" ht="38.25">
      <c r="A1241" s="5" t="s">
        <v>5455</v>
      </c>
      <c r="B1241" s="5" t="s">
        <v>958</v>
      </c>
      <c r="C1241" s="5" t="s">
        <v>959</v>
      </c>
      <c r="D1241" s="5" t="s">
        <v>118</v>
      </c>
      <c r="E1241" s="5" t="s">
        <v>2784</v>
      </c>
      <c r="F1241" s="5" t="s">
        <v>2756</v>
      </c>
      <c r="G1241" s="5">
        <v>1</v>
      </c>
      <c r="H1241" s="5" t="s">
        <v>2854</v>
      </c>
      <c r="I1241" s="5" t="str">
        <f>IF(INDEX(Manual_Review!$N$6:$N$238,U1241)="","",INDEX(Manual_Review!$N$6:$N$238,U1241))</f>
        <v/>
      </c>
      <c r="J1241" s="5" t="str">
        <f t="shared" si="38"/>
        <v>AI provisional</v>
      </c>
      <c r="K1241" s="5" t="str">
        <f t="shared" si="39"/>
        <v>Y</v>
      </c>
      <c r="L1241" s="5" t="s">
        <v>967</v>
      </c>
      <c r="M1241" s="5" t="s">
        <v>5456</v>
      </c>
      <c r="N1241" s="5" t="s">
        <v>5450</v>
      </c>
      <c r="O1241" s="5" t="s">
        <v>2963</v>
      </c>
      <c r="P1241" s="5" t="s">
        <v>2858</v>
      </c>
      <c r="Q1241" s="11">
        <v>46306.5</v>
      </c>
      <c r="R1241" s="6"/>
      <c r="S1241" s="6"/>
      <c r="T1241" s="6"/>
      <c r="U1241" s="5">
        <f>MATCH(B1241,Manual_Review!$A$6:$A$238,0)</f>
        <v>78</v>
      </c>
      <c r="V1241" s="5" t="str">
        <f>IF(INDEX(Manual_Review!$G$6:$G$238,U1241)="","",INDEX(Manual_Review!$G$6:$G$238,U1241))</f>
        <v/>
      </c>
      <c r="W1241" s="11" t="str">
        <f>IF(INDEX(Manual_Review!$H$6:$H$238,U1241)="","",INDEX(Manual_Review!$H$6:$H$238,U1241))</f>
        <v/>
      </c>
      <c r="X1241" s="5" t="str">
        <f>IF(INDEX(Manual_Review!$I$6:$I$238,U1241)="","",INDEX(Manual_Review!$I$6:$I$238,U1241))</f>
        <v/>
      </c>
      <c r="Y1241" s="5" t="s">
        <v>2859</v>
      </c>
    </row>
    <row r="1242" spans="1:25" ht="38.25">
      <c r="A1242" s="5" t="s">
        <v>5457</v>
      </c>
      <c r="B1242" s="5" t="s">
        <v>958</v>
      </c>
      <c r="C1242" s="5" t="s">
        <v>959</v>
      </c>
      <c r="D1242" s="5" t="s">
        <v>118</v>
      </c>
      <c r="E1242" s="5" t="s">
        <v>2785</v>
      </c>
      <c r="F1242" s="5" t="s">
        <v>2756</v>
      </c>
      <c r="G1242" s="5">
        <v>1</v>
      </c>
      <c r="H1242" s="5" t="s">
        <v>2854</v>
      </c>
      <c r="I1242" s="5" t="str">
        <f>IF(INDEX(Manual_Review!$O$6:$O$238,U1242)="","",INDEX(Manual_Review!$O$6:$O$238,U1242))</f>
        <v/>
      </c>
      <c r="J1242" s="5" t="str">
        <f t="shared" si="38"/>
        <v>AI provisional</v>
      </c>
      <c r="K1242" s="5" t="str">
        <f t="shared" si="39"/>
        <v>Y</v>
      </c>
      <c r="L1242" s="5" t="s">
        <v>967</v>
      </c>
      <c r="M1242" s="5" t="s">
        <v>5458</v>
      </c>
      <c r="N1242" s="5" t="s">
        <v>5450</v>
      </c>
      <c r="O1242" s="5" t="s">
        <v>3138</v>
      </c>
      <c r="P1242" s="5" t="s">
        <v>2858</v>
      </c>
      <c r="Q1242" s="11">
        <v>46306.5</v>
      </c>
      <c r="R1242" s="6"/>
      <c r="S1242" s="6"/>
      <c r="T1242" s="6"/>
      <c r="U1242" s="5">
        <f>MATCH(B1242,Manual_Review!$A$6:$A$238,0)</f>
        <v>78</v>
      </c>
      <c r="V1242" s="5" t="str">
        <f>IF(INDEX(Manual_Review!$G$6:$G$238,U1242)="","",INDEX(Manual_Review!$G$6:$G$238,U1242))</f>
        <v/>
      </c>
      <c r="W1242" s="11" t="str">
        <f>IF(INDEX(Manual_Review!$H$6:$H$238,U1242)="","",INDEX(Manual_Review!$H$6:$H$238,U1242))</f>
        <v/>
      </c>
      <c r="X1242" s="5" t="str">
        <f>IF(INDEX(Manual_Review!$I$6:$I$238,U1242)="","",INDEX(Manual_Review!$I$6:$I$238,U1242))</f>
        <v/>
      </c>
      <c r="Y1242" s="5" t="s">
        <v>2859</v>
      </c>
    </row>
    <row r="1243" spans="1:25" ht="38.25">
      <c r="A1243" s="5" t="s">
        <v>5459</v>
      </c>
      <c r="B1243" s="5" t="s">
        <v>958</v>
      </c>
      <c r="C1243" s="5" t="s">
        <v>959</v>
      </c>
      <c r="D1243" s="5" t="s">
        <v>118</v>
      </c>
      <c r="E1243" s="5" t="s">
        <v>2786</v>
      </c>
      <c r="F1243" s="5" t="s">
        <v>2756</v>
      </c>
      <c r="G1243" s="5">
        <v>1</v>
      </c>
      <c r="H1243" s="5" t="s">
        <v>2864</v>
      </c>
      <c r="I1243" s="5" t="str">
        <f>IF(INDEX(Manual_Review!$P$6:$P$238,U1243)="","",INDEX(Manual_Review!$P$6:$P$238,U1243))</f>
        <v/>
      </c>
      <c r="J1243" s="5" t="str">
        <f t="shared" si="38"/>
        <v>AI provisional</v>
      </c>
      <c r="K1243" s="5" t="str">
        <f t="shared" si="39"/>
        <v>U</v>
      </c>
      <c r="L1243" s="5" t="s">
        <v>967</v>
      </c>
      <c r="M1243" s="5" t="s">
        <v>5460</v>
      </c>
      <c r="N1243" s="5" t="s">
        <v>5450</v>
      </c>
      <c r="O1243" s="5" t="s">
        <v>2874</v>
      </c>
      <c r="P1243" s="5" t="s">
        <v>2858</v>
      </c>
      <c r="Q1243" s="11">
        <v>46306.5</v>
      </c>
      <c r="R1243" s="6"/>
      <c r="S1243" s="6"/>
      <c r="T1243" s="6"/>
      <c r="U1243" s="5">
        <f>MATCH(B1243,Manual_Review!$A$6:$A$238,0)</f>
        <v>78</v>
      </c>
      <c r="V1243" s="5" t="str">
        <f>IF(INDEX(Manual_Review!$G$6:$G$238,U1243)="","",INDEX(Manual_Review!$G$6:$G$238,U1243))</f>
        <v/>
      </c>
      <c r="W1243" s="11" t="str">
        <f>IF(INDEX(Manual_Review!$H$6:$H$238,U1243)="","",INDEX(Manual_Review!$H$6:$H$238,U1243))</f>
        <v/>
      </c>
      <c r="X1243" s="5" t="str">
        <f>IF(INDEX(Manual_Review!$I$6:$I$238,U1243)="","",INDEX(Manual_Review!$I$6:$I$238,U1243))</f>
        <v/>
      </c>
      <c r="Y1243" s="5" t="s">
        <v>2859</v>
      </c>
    </row>
    <row r="1244" spans="1:25" ht="38.25">
      <c r="A1244" s="5" t="s">
        <v>5461</v>
      </c>
      <c r="B1244" s="5" t="s">
        <v>958</v>
      </c>
      <c r="C1244" s="5" t="s">
        <v>959</v>
      </c>
      <c r="D1244" s="5" t="s">
        <v>118</v>
      </c>
      <c r="E1244" s="5" t="s">
        <v>2787</v>
      </c>
      <c r="F1244" s="5" t="s">
        <v>2758</v>
      </c>
      <c r="G1244" s="5">
        <v>1</v>
      </c>
      <c r="H1244" s="5" t="s">
        <v>2864</v>
      </c>
      <c r="I1244" s="5" t="str">
        <f>IF(INDEX(Manual_Review!$Q$6:$Q$238,U1244)="","",INDEX(Manual_Review!$Q$6:$Q$238,U1244))</f>
        <v/>
      </c>
      <c r="J1244" s="5" t="str">
        <f t="shared" si="38"/>
        <v>AI provisional</v>
      </c>
      <c r="K1244" s="5" t="str">
        <f t="shared" si="39"/>
        <v>U</v>
      </c>
      <c r="L1244" s="5" t="s">
        <v>967</v>
      </c>
      <c r="M1244" s="5" t="s">
        <v>5462</v>
      </c>
      <c r="N1244" s="5" t="s">
        <v>5450</v>
      </c>
      <c r="O1244" s="5" t="s">
        <v>2877</v>
      </c>
      <c r="P1244" s="5" t="s">
        <v>2858</v>
      </c>
      <c r="Q1244" s="11">
        <v>46306.5</v>
      </c>
      <c r="R1244" s="6"/>
      <c r="S1244" s="6"/>
      <c r="T1244" s="6"/>
      <c r="U1244" s="5">
        <f>MATCH(B1244,Manual_Review!$A$6:$A$238,0)</f>
        <v>78</v>
      </c>
      <c r="V1244" s="5" t="str">
        <f>IF(INDEX(Manual_Review!$G$6:$G$238,U1244)="","",INDEX(Manual_Review!$G$6:$G$238,U1244))</f>
        <v/>
      </c>
      <c r="W1244" s="11" t="str">
        <f>IF(INDEX(Manual_Review!$H$6:$H$238,U1244)="","",INDEX(Manual_Review!$H$6:$H$238,U1244))</f>
        <v/>
      </c>
      <c r="X1244" s="5" t="str">
        <f>IF(INDEX(Manual_Review!$I$6:$I$238,U1244)="","",INDEX(Manual_Review!$I$6:$I$238,U1244))</f>
        <v/>
      </c>
      <c r="Y1244" s="5" t="s">
        <v>2859</v>
      </c>
    </row>
    <row r="1245" spans="1:25" ht="38.25">
      <c r="A1245" s="5" t="s">
        <v>5463</v>
      </c>
      <c r="B1245" s="5" t="s">
        <v>958</v>
      </c>
      <c r="C1245" s="5" t="s">
        <v>959</v>
      </c>
      <c r="D1245" s="5" t="s">
        <v>118</v>
      </c>
      <c r="E1245" s="5" t="s">
        <v>2788</v>
      </c>
      <c r="F1245" s="5" t="s">
        <v>2758</v>
      </c>
      <c r="G1245" s="5">
        <v>1</v>
      </c>
      <c r="H1245" s="5" t="s">
        <v>2854</v>
      </c>
      <c r="I1245" s="5" t="str">
        <f>IF(INDEX(Manual_Review!$R$6:$R$238,U1245)="","",INDEX(Manual_Review!$R$6:$R$238,U1245))</f>
        <v/>
      </c>
      <c r="J1245" s="5" t="str">
        <f t="shared" si="38"/>
        <v>AI provisional</v>
      </c>
      <c r="K1245" s="5" t="str">
        <f t="shared" si="39"/>
        <v>Y</v>
      </c>
      <c r="L1245" s="5" t="s">
        <v>967</v>
      </c>
      <c r="M1245" s="5" t="s">
        <v>5464</v>
      </c>
      <c r="N1245" s="5" t="s">
        <v>5450</v>
      </c>
      <c r="O1245" s="5" t="s">
        <v>3067</v>
      </c>
      <c r="P1245" s="5" t="s">
        <v>2858</v>
      </c>
      <c r="Q1245" s="11">
        <v>46306.5</v>
      </c>
      <c r="R1245" s="6"/>
      <c r="S1245" s="6"/>
      <c r="T1245" s="6"/>
      <c r="U1245" s="5">
        <f>MATCH(B1245,Manual_Review!$A$6:$A$238,0)</f>
        <v>78</v>
      </c>
      <c r="V1245" s="5" t="str">
        <f>IF(INDEX(Manual_Review!$G$6:$G$238,U1245)="","",INDEX(Manual_Review!$G$6:$G$238,U1245))</f>
        <v/>
      </c>
      <c r="W1245" s="11" t="str">
        <f>IF(INDEX(Manual_Review!$H$6:$H$238,U1245)="","",INDEX(Manual_Review!$H$6:$H$238,U1245))</f>
        <v/>
      </c>
      <c r="X1245" s="5" t="str">
        <f>IF(INDEX(Manual_Review!$I$6:$I$238,U1245)="","",INDEX(Manual_Review!$I$6:$I$238,U1245))</f>
        <v/>
      </c>
      <c r="Y1245" s="5" t="s">
        <v>2859</v>
      </c>
    </row>
    <row r="1246" spans="1:25" ht="38.25">
      <c r="A1246" s="5" t="s">
        <v>5465</v>
      </c>
      <c r="B1246" s="5" t="s">
        <v>958</v>
      </c>
      <c r="C1246" s="5" t="s">
        <v>959</v>
      </c>
      <c r="D1246" s="5" t="s">
        <v>118</v>
      </c>
      <c r="E1246" s="5" t="s">
        <v>2789</v>
      </c>
      <c r="F1246" s="5" t="s">
        <v>2758</v>
      </c>
      <c r="G1246" s="5">
        <v>1</v>
      </c>
      <c r="H1246" s="5" t="s">
        <v>2854</v>
      </c>
      <c r="I1246" s="5" t="str">
        <f>IF(INDEX(Manual_Review!$S$6:$S$238,U1246)="","",INDEX(Manual_Review!$S$6:$S$238,U1246))</f>
        <v/>
      </c>
      <c r="J1246" s="5" t="str">
        <f t="shared" si="38"/>
        <v>AI provisional</v>
      </c>
      <c r="K1246" s="5" t="str">
        <f t="shared" si="39"/>
        <v>Y</v>
      </c>
      <c r="L1246" s="5" t="s">
        <v>967</v>
      </c>
      <c r="M1246" s="5" t="s">
        <v>5466</v>
      </c>
      <c r="N1246" s="5" t="s">
        <v>5450</v>
      </c>
      <c r="O1246" s="5" t="s">
        <v>3178</v>
      </c>
      <c r="P1246" s="5" t="s">
        <v>2858</v>
      </c>
      <c r="Q1246" s="11">
        <v>46306.5</v>
      </c>
      <c r="R1246" s="6"/>
      <c r="S1246" s="6"/>
      <c r="T1246" s="6"/>
      <c r="U1246" s="5">
        <f>MATCH(B1246,Manual_Review!$A$6:$A$238,0)</f>
        <v>78</v>
      </c>
      <c r="V1246" s="5" t="str">
        <f>IF(INDEX(Manual_Review!$G$6:$G$238,U1246)="","",INDEX(Manual_Review!$G$6:$G$238,U1246))</f>
        <v/>
      </c>
      <c r="W1246" s="11" t="str">
        <f>IF(INDEX(Manual_Review!$H$6:$H$238,U1246)="","",INDEX(Manual_Review!$H$6:$H$238,U1246))</f>
        <v/>
      </c>
      <c r="X1246" s="5" t="str">
        <f>IF(INDEX(Manual_Review!$I$6:$I$238,U1246)="","",INDEX(Manual_Review!$I$6:$I$238,U1246))</f>
        <v/>
      </c>
      <c r="Y1246" s="5" t="s">
        <v>2859</v>
      </c>
    </row>
    <row r="1247" spans="1:25" ht="38.25">
      <c r="A1247" s="5" t="s">
        <v>5467</v>
      </c>
      <c r="B1247" s="5" t="s">
        <v>958</v>
      </c>
      <c r="C1247" s="5" t="s">
        <v>959</v>
      </c>
      <c r="D1247" s="5" t="s">
        <v>118</v>
      </c>
      <c r="E1247" s="5" t="s">
        <v>2790</v>
      </c>
      <c r="F1247" s="5" t="s">
        <v>2760</v>
      </c>
      <c r="G1247" s="5">
        <v>1</v>
      </c>
      <c r="H1247" s="5" t="s">
        <v>2854</v>
      </c>
      <c r="I1247" s="5" t="str">
        <f>IF(INDEX(Manual_Review!$T$6:$T$238,U1247)="","",INDEX(Manual_Review!$T$6:$T$238,U1247))</f>
        <v/>
      </c>
      <c r="J1247" s="5" t="str">
        <f t="shared" si="38"/>
        <v>AI provisional</v>
      </c>
      <c r="K1247" s="5" t="str">
        <f t="shared" si="39"/>
        <v>Y</v>
      </c>
      <c r="L1247" s="5" t="s">
        <v>967</v>
      </c>
      <c r="M1247" s="5" t="s">
        <v>5468</v>
      </c>
      <c r="N1247" s="5" t="s">
        <v>5450</v>
      </c>
      <c r="O1247" s="5" t="s">
        <v>2976</v>
      </c>
      <c r="P1247" s="5" t="s">
        <v>2858</v>
      </c>
      <c r="Q1247" s="11">
        <v>46306.5</v>
      </c>
      <c r="R1247" s="6"/>
      <c r="S1247" s="6"/>
      <c r="T1247" s="6"/>
      <c r="U1247" s="5">
        <f>MATCH(B1247,Manual_Review!$A$6:$A$238,0)</f>
        <v>78</v>
      </c>
      <c r="V1247" s="5" t="str">
        <f>IF(INDEX(Manual_Review!$G$6:$G$238,U1247)="","",INDEX(Manual_Review!$G$6:$G$238,U1247))</f>
        <v/>
      </c>
      <c r="W1247" s="11" t="str">
        <f>IF(INDEX(Manual_Review!$H$6:$H$238,U1247)="","",INDEX(Manual_Review!$H$6:$H$238,U1247))</f>
        <v/>
      </c>
      <c r="X1247" s="5" t="str">
        <f>IF(INDEX(Manual_Review!$I$6:$I$238,U1247)="","",INDEX(Manual_Review!$I$6:$I$238,U1247))</f>
        <v/>
      </c>
      <c r="Y1247" s="5" t="s">
        <v>2859</v>
      </c>
    </row>
    <row r="1248" spans="1:25" ht="38.25">
      <c r="A1248" s="5" t="s">
        <v>5469</v>
      </c>
      <c r="B1248" s="5" t="s">
        <v>958</v>
      </c>
      <c r="C1248" s="5" t="s">
        <v>959</v>
      </c>
      <c r="D1248" s="5" t="s">
        <v>118</v>
      </c>
      <c r="E1248" s="5" t="s">
        <v>2791</v>
      </c>
      <c r="F1248" s="5" t="s">
        <v>2760</v>
      </c>
      <c r="G1248" s="5">
        <v>1</v>
      </c>
      <c r="H1248" s="5" t="s">
        <v>2854</v>
      </c>
      <c r="I1248" s="5" t="str">
        <f>IF(INDEX(Manual_Review!$U$6:$U$238,U1248)="","",INDEX(Manual_Review!$U$6:$U$238,U1248))</f>
        <v/>
      </c>
      <c r="J1248" s="5" t="str">
        <f t="shared" si="38"/>
        <v>AI provisional</v>
      </c>
      <c r="K1248" s="5" t="str">
        <f t="shared" si="39"/>
        <v>Y</v>
      </c>
      <c r="L1248" s="5" t="s">
        <v>967</v>
      </c>
      <c r="M1248" s="5" t="s">
        <v>5470</v>
      </c>
      <c r="N1248" s="5" t="s">
        <v>5450</v>
      </c>
      <c r="O1248" s="5" t="s">
        <v>3380</v>
      </c>
      <c r="P1248" s="5" t="s">
        <v>2858</v>
      </c>
      <c r="Q1248" s="11">
        <v>46306.5</v>
      </c>
      <c r="R1248" s="6"/>
      <c r="S1248" s="6"/>
      <c r="T1248" s="6"/>
      <c r="U1248" s="5">
        <f>MATCH(B1248,Manual_Review!$A$6:$A$238,0)</f>
        <v>78</v>
      </c>
      <c r="V1248" s="5" t="str">
        <f>IF(INDEX(Manual_Review!$G$6:$G$238,U1248)="","",INDEX(Manual_Review!$G$6:$G$238,U1248))</f>
        <v/>
      </c>
      <c r="W1248" s="11" t="str">
        <f>IF(INDEX(Manual_Review!$H$6:$H$238,U1248)="","",INDEX(Manual_Review!$H$6:$H$238,U1248))</f>
        <v/>
      </c>
      <c r="X1248" s="5" t="str">
        <f>IF(INDEX(Manual_Review!$I$6:$I$238,U1248)="","",INDEX(Manual_Review!$I$6:$I$238,U1248))</f>
        <v/>
      </c>
      <c r="Y1248" s="5" t="s">
        <v>2859</v>
      </c>
    </row>
    <row r="1249" spans="1:25" ht="38.25">
      <c r="A1249" s="5" t="s">
        <v>5471</v>
      </c>
      <c r="B1249" s="5" t="s">
        <v>958</v>
      </c>
      <c r="C1249" s="5" t="s">
        <v>959</v>
      </c>
      <c r="D1249" s="5" t="s">
        <v>118</v>
      </c>
      <c r="E1249" s="5" t="s">
        <v>2792</v>
      </c>
      <c r="F1249" s="5" t="s">
        <v>2762</v>
      </c>
      <c r="G1249" s="5">
        <v>1</v>
      </c>
      <c r="H1249" s="5" t="s">
        <v>2854</v>
      </c>
      <c r="I1249" s="5" t="str">
        <f>IF(INDEX(Manual_Review!$V$6:$V$238,U1249)="","",INDEX(Manual_Review!$V$6:$V$238,U1249))</f>
        <v/>
      </c>
      <c r="J1249" s="5" t="str">
        <f t="shared" si="38"/>
        <v>AI provisional</v>
      </c>
      <c r="K1249" s="5" t="str">
        <f t="shared" si="39"/>
        <v>Y</v>
      </c>
      <c r="L1249" s="5" t="s">
        <v>967</v>
      </c>
      <c r="M1249" s="5" t="s">
        <v>5472</v>
      </c>
      <c r="N1249" s="5" t="s">
        <v>5450</v>
      </c>
      <c r="O1249" s="5" t="s">
        <v>3152</v>
      </c>
      <c r="P1249" s="5" t="s">
        <v>2858</v>
      </c>
      <c r="Q1249" s="11">
        <v>46306.5</v>
      </c>
      <c r="R1249" s="6"/>
      <c r="S1249" s="6"/>
      <c r="T1249" s="6"/>
      <c r="U1249" s="5">
        <f>MATCH(B1249,Manual_Review!$A$6:$A$238,0)</f>
        <v>78</v>
      </c>
      <c r="V1249" s="5" t="str">
        <f>IF(INDEX(Manual_Review!$G$6:$G$238,U1249)="","",INDEX(Manual_Review!$G$6:$G$238,U1249))</f>
        <v/>
      </c>
      <c r="W1249" s="11" t="str">
        <f>IF(INDEX(Manual_Review!$H$6:$H$238,U1249)="","",INDEX(Manual_Review!$H$6:$H$238,U1249))</f>
        <v/>
      </c>
      <c r="X1249" s="5" t="str">
        <f>IF(INDEX(Manual_Review!$I$6:$I$238,U1249)="","",INDEX(Manual_Review!$I$6:$I$238,U1249))</f>
        <v/>
      </c>
      <c r="Y1249" s="5" t="s">
        <v>2859</v>
      </c>
    </row>
    <row r="1250" spans="1:25" ht="38.25">
      <c r="A1250" s="5" t="s">
        <v>5473</v>
      </c>
      <c r="B1250" s="5" t="s">
        <v>958</v>
      </c>
      <c r="C1250" s="5" t="s">
        <v>959</v>
      </c>
      <c r="D1250" s="5" t="s">
        <v>118</v>
      </c>
      <c r="E1250" s="5" t="s">
        <v>2793</v>
      </c>
      <c r="F1250" s="5" t="s">
        <v>2762</v>
      </c>
      <c r="G1250" s="5">
        <v>1</v>
      </c>
      <c r="H1250" s="5" t="s">
        <v>2854</v>
      </c>
      <c r="I1250" s="5" t="str">
        <f>IF(INDEX(Manual_Review!$W$6:$W$238,U1250)="","",INDEX(Manual_Review!$W$6:$W$238,U1250))</f>
        <v/>
      </c>
      <c r="J1250" s="5" t="str">
        <f t="shared" si="38"/>
        <v>AI provisional</v>
      </c>
      <c r="K1250" s="5" t="str">
        <f t="shared" si="39"/>
        <v>Y</v>
      </c>
      <c r="L1250" s="5" t="s">
        <v>967</v>
      </c>
      <c r="M1250" s="5" t="s">
        <v>5474</v>
      </c>
      <c r="N1250" s="5" t="s">
        <v>5450</v>
      </c>
      <c r="O1250" s="5" t="s">
        <v>3077</v>
      </c>
      <c r="P1250" s="5" t="s">
        <v>2858</v>
      </c>
      <c r="Q1250" s="11">
        <v>46306.5</v>
      </c>
      <c r="R1250" s="6"/>
      <c r="S1250" s="6"/>
      <c r="T1250" s="6"/>
      <c r="U1250" s="5">
        <f>MATCH(B1250,Manual_Review!$A$6:$A$238,0)</f>
        <v>78</v>
      </c>
      <c r="V1250" s="5" t="str">
        <f>IF(INDEX(Manual_Review!$G$6:$G$238,U1250)="","",INDEX(Manual_Review!$G$6:$G$238,U1250))</f>
        <v/>
      </c>
      <c r="W1250" s="11" t="str">
        <f>IF(INDEX(Manual_Review!$H$6:$H$238,U1250)="","",INDEX(Manual_Review!$H$6:$H$238,U1250))</f>
        <v/>
      </c>
      <c r="X1250" s="5" t="str">
        <f>IF(INDEX(Manual_Review!$I$6:$I$238,U1250)="","",INDEX(Manual_Review!$I$6:$I$238,U1250))</f>
        <v/>
      </c>
      <c r="Y1250" s="5" t="s">
        <v>2859</v>
      </c>
    </row>
    <row r="1251" spans="1:25" ht="38.25">
      <c r="A1251" s="5" t="s">
        <v>5475</v>
      </c>
      <c r="B1251" s="5" t="s">
        <v>958</v>
      </c>
      <c r="C1251" s="5" t="s">
        <v>959</v>
      </c>
      <c r="D1251" s="5" t="s">
        <v>118</v>
      </c>
      <c r="E1251" s="5" t="s">
        <v>2794</v>
      </c>
      <c r="F1251" s="5" t="s">
        <v>2764</v>
      </c>
      <c r="G1251" s="5">
        <v>1</v>
      </c>
      <c r="H1251" s="5" t="s">
        <v>2854</v>
      </c>
      <c r="I1251" s="5" t="str">
        <f>IF(INDEX(Manual_Review!$X$6:$X$238,U1251)="","",INDEX(Manual_Review!$X$6:$X$238,U1251))</f>
        <v/>
      </c>
      <c r="J1251" s="5" t="str">
        <f t="shared" si="38"/>
        <v>AI provisional</v>
      </c>
      <c r="K1251" s="5" t="str">
        <f t="shared" si="39"/>
        <v>Y</v>
      </c>
      <c r="L1251" s="5" t="s">
        <v>967</v>
      </c>
      <c r="M1251" s="5" t="s">
        <v>5476</v>
      </c>
      <c r="N1251" s="5" t="s">
        <v>5450</v>
      </c>
      <c r="O1251" s="5" t="s">
        <v>2984</v>
      </c>
      <c r="P1251" s="5" t="s">
        <v>2858</v>
      </c>
      <c r="Q1251" s="11">
        <v>46306.5</v>
      </c>
      <c r="R1251" s="6"/>
      <c r="S1251" s="6"/>
      <c r="T1251" s="6"/>
      <c r="U1251" s="5">
        <f>MATCH(B1251,Manual_Review!$A$6:$A$238,0)</f>
        <v>78</v>
      </c>
      <c r="V1251" s="5" t="str">
        <f>IF(INDEX(Manual_Review!$G$6:$G$238,U1251)="","",INDEX(Manual_Review!$G$6:$G$238,U1251))</f>
        <v/>
      </c>
      <c r="W1251" s="11" t="str">
        <f>IF(INDEX(Manual_Review!$H$6:$H$238,U1251)="","",INDEX(Manual_Review!$H$6:$H$238,U1251))</f>
        <v/>
      </c>
      <c r="X1251" s="5" t="str">
        <f>IF(INDEX(Manual_Review!$I$6:$I$238,U1251)="","",INDEX(Manual_Review!$I$6:$I$238,U1251))</f>
        <v/>
      </c>
      <c r="Y1251" s="5" t="s">
        <v>2859</v>
      </c>
    </row>
    <row r="1252" spans="1:25" ht="38.25">
      <c r="A1252" s="5" t="s">
        <v>5477</v>
      </c>
      <c r="B1252" s="5" t="s">
        <v>958</v>
      </c>
      <c r="C1252" s="5" t="s">
        <v>959</v>
      </c>
      <c r="D1252" s="5" t="s">
        <v>118</v>
      </c>
      <c r="E1252" s="5" t="s">
        <v>2795</v>
      </c>
      <c r="F1252" s="5" t="s">
        <v>2764</v>
      </c>
      <c r="G1252" s="5">
        <v>1</v>
      </c>
      <c r="H1252" s="5" t="s">
        <v>2854</v>
      </c>
      <c r="I1252" s="5" t="str">
        <f>IF(INDEX(Manual_Review!$Y$6:$Y$238,U1252)="","",INDEX(Manual_Review!$Y$6:$Y$238,U1252))</f>
        <v/>
      </c>
      <c r="J1252" s="5" t="str">
        <f t="shared" si="38"/>
        <v>AI provisional</v>
      </c>
      <c r="K1252" s="5" t="str">
        <f t="shared" si="39"/>
        <v>Y</v>
      </c>
      <c r="L1252" s="5" t="s">
        <v>967</v>
      </c>
      <c r="M1252" s="5" t="s">
        <v>5478</v>
      </c>
      <c r="N1252" s="5" t="s">
        <v>5450</v>
      </c>
      <c r="O1252" s="5" t="s">
        <v>3082</v>
      </c>
      <c r="P1252" s="5" t="s">
        <v>2858</v>
      </c>
      <c r="Q1252" s="11">
        <v>46306.5</v>
      </c>
      <c r="R1252" s="6"/>
      <c r="S1252" s="6"/>
      <c r="T1252" s="6"/>
      <c r="U1252" s="5">
        <f>MATCH(B1252,Manual_Review!$A$6:$A$238,0)</f>
        <v>78</v>
      </c>
      <c r="V1252" s="5" t="str">
        <f>IF(INDEX(Manual_Review!$G$6:$G$238,U1252)="","",INDEX(Manual_Review!$G$6:$G$238,U1252))</f>
        <v/>
      </c>
      <c r="W1252" s="11" t="str">
        <f>IF(INDEX(Manual_Review!$H$6:$H$238,U1252)="","",INDEX(Manual_Review!$H$6:$H$238,U1252))</f>
        <v/>
      </c>
      <c r="X1252" s="5" t="str">
        <f>IF(INDEX(Manual_Review!$I$6:$I$238,U1252)="","",INDEX(Manual_Review!$I$6:$I$238,U1252))</f>
        <v/>
      </c>
      <c r="Y1252" s="5" t="s">
        <v>2859</v>
      </c>
    </row>
    <row r="1253" spans="1:25" ht="38.25">
      <c r="A1253" s="5" t="s">
        <v>5479</v>
      </c>
      <c r="B1253" s="5" t="s">
        <v>958</v>
      </c>
      <c r="C1253" s="5" t="s">
        <v>959</v>
      </c>
      <c r="D1253" s="5" t="s">
        <v>118</v>
      </c>
      <c r="E1253" s="5" t="s">
        <v>2796</v>
      </c>
      <c r="F1253" s="5" t="s">
        <v>2764</v>
      </c>
      <c r="G1253" s="5">
        <v>1</v>
      </c>
      <c r="H1253" s="5" t="s">
        <v>2854</v>
      </c>
      <c r="I1253" s="5" t="str">
        <f>IF(INDEX(Manual_Review!$Z$6:$Z$238,U1253)="","",INDEX(Manual_Review!$Z$6:$Z$238,U1253))</f>
        <v/>
      </c>
      <c r="J1253" s="5" t="str">
        <f t="shared" si="38"/>
        <v>AI provisional</v>
      </c>
      <c r="K1253" s="5" t="str">
        <f t="shared" si="39"/>
        <v>Y</v>
      </c>
      <c r="L1253" s="5" t="s">
        <v>967</v>
      </c>
      <c r="M1253" s="5" t="s">
        <v>5480</v>
      </c>
      <c r="N1253" s="5" t="s">
        <v>5450</v>
      </c>
      <c r="O1253" s="5" t="s">
        <v>3085</v>
      </c>
      <c r="P1253" s="5" t="s">
        <v>2858</v>
      </c>
      <c r="Q1253" s="11">
        <v>46306.5</v>
      </c>
      <c r="R1253" s="6"/>
      <c r="S1253" s="6"/>
      <c r="T1253" s="6"/>
      <c r="U1253" s="5">
        <f>MATCH(B1253,Manual_Review!$A$6:$A$238,0)</f>
        <v>78</v>
      </c>
      <c r="V1253" s="5" t="str">
        <f>IF(INDEX(Manual_Review!$G$6:$G$238,U1253)="","",INDEX(Manual_Review!$G$6:$G$238,U1253))</f>
        <v/>
      </c>
      <c r="W1253" s="11" t="str">
        <f>IF(INDEX(Manual_Review!$H$6:$H$238,U1253)="","",INDEX(Manual_Review!$H$6:$H$238,U1253))</f>
        <v/>
      </c>
      <c r="X1253" s="5" t="str">
        <f>IF(INDEX(Manual_Review!$I$6:$I$238,U1253)="","",INDEX(Manual_Review!$I$6:$I$238,U1253))</f>
        <v/>
      </c>
      <c r="Y1253" s="5" t="s">
        <v>2859</v>
      </c>
    </row>
    <row r="1254" spans="1:25" ht="25.5">
      <c r="A1254" s="5" t="s">
        <v>5481</v>
      </c>
      <c r="B1254" s="5" t="s">
        <v>969</v>
      </c>
      <c r="C1254" s="5" t="s">
        <v>970</v>
      </c>
      <c r="D1254" s="5" t="s">
        <v>118</v>
      </c>
      <c r="E1254" s="5" t="s">
        <v>2781</v>
      </c>
      <c r="F1254" s="5" t="s">
        <v>2754</v>
      </c>
      <c r="G1254" s="5">
        <v>1</v>
      </c>
      <c r="H1254" s="5" t="s">
        <v>2854</v>
      </c>
      <c r="I1254" s="5" t="str">
        <f>IF(INDEX(Manual_Review!$K$6:$K$238,U1254)="","",INDEX(Manual_Review!$K$6:$K$238,U1254))</f>
        <v/>
      </c>
      <c r="J1254" s="5" t="str">
        <f t="shared" si="38"/>
        <v>AI provisional</v>
      </c>
      <c r="K1254" s="5" t="str">
        <f t="shared" si="39"/>
        <v>Y</v>
      </c>
      <c r="L1254" s="5" t="s">
        <v>5482</v>
      </c>
      <c r="M1254" s="5" t="s">
        <v>5483</v>
      </c>
      <c r="N1254" s="5" t="s">
        <v>5484</v>
      </c>
      <c r="O1254" s="5" t="s">
        <v>2991</v>
      </c>
      <c r="P1254" s="5" t="s">
        <v>2992</v>
      </c>
      <c r="Q1254" s="11">
        <v>46306.5</v>
      </c>
      <c r="R1254" s="6"/>
      <c r="S1254" s="6"/>
      <c r="T1254" s="6"/>
      <c r="U1254" s="5">
        <f>MATCH(B1254,Manual_Review!$A$6:$A$238,0)</f>
        <v>79</v>
      </c>
      <c r="V1254" s="5" t="str">
        <f>IF(INDEX(Manual_Review!$G$6:$G$238,U1254)="","",INDEX(Manual_Review!$G$6:$G$238,U1254))</f>
        <v/>
      </c>
      <c r="W1254" s="11" t="str">
        <f>IF(INDEX(Manual_Review!$H$6:$H$238,U1254)="","",INDEX(Manual_Review!$H$6:$H$238,U1254))</f>
        <v/>
      </c>
      <c r="X1254" s="5" t="str">
        <f>IF(INDEX(Manual_Review!$I$6:$I$238,U1254)="","",INDEX(Manual_Review!$I$6:$I$238,U1254))</f>
        <v/>
      </c>
      <c r="Y1254" s="5" t="s">
        <v>2859</v>
      </c>
    </row>
    <row r="1255" spans="1:25" ht="25.5">
      <c r="A1255" s="5" t="s">
        <v>5485</v>
      </c>
      <c r="B1255" s="5" t="s">
        <v>969</v>
      </c>
      <c r="C1255" s="5" t="s">
        <v>970</v>
      </c>
      <c r="D1255" s="5" t="s">
        <v>118</v>
      </c>
      <c r="E1255" s="5" t="s">
        <v>2782</v>
      </c>
      <c r="F1255" s="5" t="s">
        <v>2754</v>
      </c>
      <c r="G1255" s="5">
        <v>1</v>
      </c>
      <c r="H1255" s="5" t="s">
        <v>2854</v>
      </c>
      <c r="I1255" s="5" t="str">
        <f>IF(INDEX(Manual_Review!$L$6:$L$238,U1255)="","",INDEX(Manual_Review!$L$6:$L$238,U1255))</f>
        <v/>
      </c>
      <c r="J1255" s="5" t="str">
        <f t="shared" si="38"/>
        <v>AI provisional</v>
      </c>
      <c r="K1255" s="5" t="str">
        <f t="shared" si="39"/>
        <v>Y</v>
      </c>
      <c r="L1255" s="5" t="s">
        <v>5482</v>
      </c>
      <c r="M1255" s="5" t="s">
        <v>5486</v>
      </c>
      <c r="N1255" s="5" t="s">
        <v>5487</v>
      </c>
      <c r="O1255" s="5" t="s">
        <v>2996</v>
      </c>
      <c r="P1255" s="5" t="s">
        <v>2992</v>
      </c>
      <c r="Q1255" s="11">
        <v>46306.5</v>
      </c>
      <c r="R1255" s="6"/>
      <c r="S1255" s="6"/>
      <c r="T1255" s="6"/>
      <c r="U1255" s="5">
        <f>MATCH(B1255,Manual_Review!$A$6:$A$238,0)</f>
        <v>79</v>
      </c>
      <c r="V1255" s="5" t="str">
        <f>IF(INDEX(Manual_Review!$G$6:$G$238,U1255)="","",INDEX(Manual_Review!$G$6:$G$238,U1255))</f>
        <v/>
      </c>
      <c r="W1255" s="11" t="str">
        <f>IF(INDEX(Manual_Review!$H$6:$H$238,U1255)="","",INDEX(Manual_Review!$H$6:$H$238,U1255))</f>
        <v/>
      </c>
      <c r="X1255" s="5" t="str">
        <f>IF(INDEX(Manual_Review!$I$6:$I$238,U1255)="","",INDEX(Manual_Review!$I$6:$I$238,U1255))</f>
        <v/>
      </c>
      <c r="Y1255" s="5" t="s">
        <v>2859</v>
      </c>
    </row>
    <row r="1256" spans="1:25" ht="25.5">
      <c r="A1256" s="5" t="s">
        <v>5488</v>
      </c>
      <c r="B1256" s="5" t="s">
        <v>969</v>
      </c>
      <c r="C1256" s="5" t="s">
        <v>970</v>
      </c>
      <c r="D1256" s="5" t="s">
        <v>118</v>
      </c>
      <c r="E1256" s="5" t="s">
        <v>2783</v>
      </c>
      <c r="F1256" s="5" t="s">
        <v>2754</v>
      </c>
      <c r="G1256" s="5">
        <v>1</v>
      </c>
      <c r="H1256" s="5" t="s">
        <v>2854</v>
      </c>
      <c r="I1256" s="5" t="str">
        <f>IF(INDEX(Manual_Review!$M$6:$M$238,U1256)="","",INDEX(Manual_Review!$M$6:$M$238,U1256))</f>
        <v/>
      </c>
      <c r="J1256" s="5" t="str">
        <f t="shared" si="38"/>
        <v>AI provisional</v>
      </c>
      <c r="K1256" s="5" t="str">
        <f t="shared" si="39"/>
        <v>Y</v>
      </c>
      <c r="L1256" s="5" t="s">
        <v>5482</v>
      </c>
      <c r="M1256" s="5" t="s">
        <v>5489</v>
      </c>
      <c r="N1256" s="5" t="s">
        <v>5490</v>
      </c>
      <c r="O1256" s="5" t="s">
        <v>3000</v>
      </c>
      <c r="P1256" s="5" t="s">
        <v>2992</v>
      </c>
      <c r="Q1256" s="11">
        <v>46306.5</v>
      </c>
      <c r="R1256" s="6"/>
      <c r="S1256" s="6"/>
      <c r="T1256" s="6"/>
      <c r="U1256" s="5">
        <f>MATCH(B1256,Manual_Review!$A$6:$A$238,0)</f>
        <v>79</v>
      </c>
      <c r="V1256" s="5" t="str">
        <f>IF(INDEX(Manual_Review!$G$6:$G$238,U1256)="","",INDEX(Manual_Review!$G$6:$G$238,U1256))</f>
        <v/>
      </c>
      <c r="W1256" s="11" t="str">
        <f>IF(INDEX(Manual_Review!$H$6:$H$238,U1256)="","",INDEX(Manual_Review!$H$6:$H$238,U1256))</f>
        <v/>
      </c>
      <c r="X1256" s="5" t="str">
        <f>IF(INDEX(Manual_Review!$I$6:$I$238,U1256)="","",INDEX(Manual_Review!$I$6:$I$238,U1256))</f>
        <v/>
      </c>
      <c r="Y1256" s="5" t="s">
        <v>2859</v>
      </c>
    </row>
    <row r="1257" spans="1:25" ht="25.5">
      <c r="A1257" s="5" t="s">
        <v>5491</v>
      </c>
      <c r="B1257" s="5" t="s">
        <v>969</v>
      </c>
      <c r="C1257" s="5" t="s">
        <v>970</v>
      </c>
      <c r="D1257" s="5" t="s">
        <v>118</v>
      </c>
      <c r="E1257" s="5" t="s">
        <v>2784</v>
      </c>
      <c r="F1257" s="5" t="s">
        <v>2756</v>
      </c>
      <c r="G1257" s="5">
        <v>1</v>
      </c>
      <c r="H1257" s="5" t="s">
        <v>2854</v>
      </c>
      <c r="I1257" s="5" t="str">
        <f>IF(INDEX(Manual_Review!$N$6:$N$238,U1257)="","",INDEX(Manual_Review!$N$6:$N$238,U1257))</f>
        <v/>
      </c>
      <c r="J1257" s="5" t="str">
        <f t="shared" si="38"/>
        <v>AI provisional</v>
      </c>
      <c r="K1257" s="5" t="str">
        <f t="shared" si="39"/>
        <v>Y</v>
      </c>
      <c r="L1257" s="5" t="s">
        <v>5482</v>
      </c>
      <c r="M1257" s="5" t="s">
        <v>5492</v>
      </c>
      <c r="N1257" s="5" t="s">
        <v>5493</v>
      </c>
      <c r="O1257" s="5" t="s">
        <v>3004</v>
      </c>
      <c r="P1257" s="5" t="s">
        <v>2992</v>
      </c>
      <c r="Q1257" s="11">
        <v>46306.5</v>
      </c>
      <c r="R1257" s="6"/>
      <c r="S1257" s="6"/>
      <c r="T1257" s="6"/>
      <c r="U1257" s="5">
        <f>MATCH(B1257,Manual_Review!$A$6:$A$238,0)</f>
        <v>79</v>
      </c>
      <c r="V1257" s="5" t="str">
        <f>IF(INDEX(Manual_Review!$G$6:$G$238,U1257)="","",INDEX(Manual_Review!$G$6:$G$238,U1257))</f>
        <v/>
      </c>
      <c r="W1257" s="11" t="str">
        <f>IF(INDEX(Manual_Review!$H$6:$H$238,U1257)="","",INDEX(Manual_Review!$H$6:$H$238,U1257))</f>
        <v/>
      </c>
      <c r="X1257" s="5" t="str">
        <f>IF(INDEX(Manual_Review!$I$6:$I$238,U1257)="","",INDEX(Manual_Review!$I$6:$I$238,U1257))</f>
        <v/>
      </c>
      <c r="Y1257" s="5" t="s">
        <v>2859</v>
      </c>
    </row>
    <row r="1258" spans="1:25" ht="25.5">
      <c r="A1258" s="5" t="s">
        <v>5494</v>
      </c>
      <c r="B1258" s="5" t="s">
        <v>969</v>
      </c>
      <c r="C1258" s="5" t="s">
        <v>970</v>
      </c>
      <c r="D1258" s="5" t="s">
        <v>118</v>
      </c>
      <c r="E1258" s="5" t="s">
        <v>2785</v>
      </c>
      <c r="F1258" s="5" t="s">
        <v>2756</v>
      </c>
      <c r="G1258" s="5">
        <v>1</v>
      </c>
      <c r="H1258" s="5" t="s">
        <v>2864</v>
      </c>
      <c r="I1258" s="5" t="str">
        <f>IF(INDEX(Manual_Review!$O$6:$O$238,U1258)="","",INDEX(Manual_Review!$O$6:$O$238,U1258))</f>
        <v/>
      </c>
      <c r="J1258" s="5" t="str">
        <f t="shared" si="38"/>
        <v>AI provisional</v>
      </c>
      <c r="K1258" s="5" t="str">
        <f t="shared" si="39"/>
        <v>U</v>
      </c>
      <c r="L1258" s="5" t="s">
        <v>5482</v>
      </c>
      <c r="M1258" s="5" t="s">
        <v>5492</v>
      </c>
      <c r="N1258" s="5" t="s">
        <v>5493</v>
      </c>
      <c r="O1258" s="5" t="s">
        <v>3006</v>
      </c>
      <c r="P1258" s="5" t="s">
        <v>2992</v>
      </c>
      <c r="Q1258" s="11">
        <v>46306.5</v>
      </c>
      <c r="R1258" s="6"/>
      <c r="S1258" s="6"/>
      <c r="T1258" s="6"/>
      <c r="U1258" s="5">
        <f>MATCH(B1258,Manual_Review!$A$6:$A$238,0)</f>
        <v>79</v>
      </c>
      <c r="V1258" s="5" t="str">
        <f>IF(INDEX(Manual_Review!$G$6:$G$238,U1258)="","",INDEX(Manual_Review!$G$6:$G$238,U1258))</f>
        <v/>
      </c>
      <c r="W1258" s="11" t="str">
        <f>IF(INDEX(Manual_Review!$H$6:$H$238,U1258)="","",INDEX(Manual_Review!$H$6:$H$238,U1258))</f>
        <v/>
      </c>
      <c r="X1258" s="5" t="str">
        <f>IF(INDEX(Manual_Review!$I$6:$I$238,U1258)="","",INDEX(Manual_Review!$I$6:$I$238,U1258))</f>
        <v/>
      </c>
      <c r="Y1258" s="5" t="s">
        <v>2859</v>
      </c>
    </row>
    <row r="1259" spans="1:25" ht="38.25">
      <c r="A1259" s="5" t="s">
        <v>5495</v>
      </c>
      <c r="B1259" s="5" t="s">
        <v>969</v>
      </c>
      <c r="C1259" s="5" t="s">
        <v>970</v>
      </c>
      <c r="D1259" s="5" t="s">
        <v>118</v>
      </c>
      <c r="E1259" s="5" t="s">
        <v>2786</v>
      </c>
      <c r="F1259" s="5" t="s">
        <v>2756</v>
      </c>
      <c r="G1259" s="5">
        <v>1</v>
      </c>
      <c r="H1259" s="5" t="s">
        <v>2864</v>
      </c>
      <c r="I1259" s="5" t="str">
        <f>IF(INDEX(Manual_Review!$P$6:$P$238,U1259)="","",INDEX(Manual_Review!$P$6:$P$238,U1259))</f>
        <v/>
      </c>
      <c r="J1259" s="5" t="str">
        <f t="shared" si="38"/>
        <v>AI provisional</v>
      </c>
      <c r="K1259" s="5" t="str">
        <f t="shared" si="39"/>
        <v>U</v>
      </c>
      <c r="L1259" s="5" t="s">
        <v>5482</v>
      </c>
      <c r="M1259" s="5" t="s">
        <v>5496</v>
      </c>
      <c r="N1259" s="5" t="s">
        <v>5497</v>
      </c>
      <c r="O1259" s="5" t="s">
        <v>3010</v>
      </c>
      <c r="P1259" s="5" t="s">
        <v>2992</v>
      </c>
      <c r="Q1259" s="11">
        <v>46306.5</v>
      </c>
      <c r="R1259" s="6"/>
      <c r="S1259" s="6"/>
      <c r="T1259" s="6"/>
      <c r="U1259" s="5">
        <f>MATCH(B1259,Manual_Review!$A$6:$A$238,0)</f>
        <v>79</v>
      </c>
      <c r="V1259" s="5" t="str">
        <f>IF(INDEX(Manual_Review!$G$6:$G$238,U1259)="","",INDEX(Manual_Review!$G$6:$G$238,U1259))</f>
        <v/>
      </c>
      <c r="W1259" s="11" t="str">
        <f>IF(INDEX(Manual_Review!$H$6:$H$238,U1259)="","",INDEX(Manual_Review!$H$6:$H$238,U1259))</f>
        <v/>
      </c>
      <c r="X1259" s="5" t="str">
        <f>IF(INDEX(Manual_Review!$I$6:$I$238,U1259)="","",INDEX(Manual_Review!$I$6:$I$238,U1259))</f>
        <v/>
      </c>
      <c r="Y1259" s="5" t="s">
        <v>2859</v>
      </c>
    </row>
    <row r="1260" spans="1:25" ht="25.5">
      <c r="A1260" s="5" t="s">
        <v>5498</v>
      </c>
      <c r="B1260" s="5" t="s">
        <v>969</v>
      </c>
      <c r="C1260" s="5" t="s">
        <v>970</v>
      </c>
      <c r="D1260" s="5" t="s">
        <v>118</v>
      </c>
      <c r="E1260" s="5" t="s">
        <v>2787</v>
      </c>
      <c r="F1260" s="5" t="s">
        <v>2758</v>
      </c>
      <c r="G1260" s="5">
        <v>1</v>
      </c>
      <c r="H1260" s="5" t="s">
        <v>2854</v>
      </c>
      <c r="I1260" s="5" t="str">
        <f>IF(INDEX(Manual_Review!$Q$6:$Q$238,U1260)="","",INDEX(Manual_Review!$Q$6:$Q$238,U1260))</f>
        <v/>
      </c>
      <c r="J1260" s="5" t="str">
        <f t="shared" si="38"/>
        <v>AI provisional</v>
      </c>
      <c r="K1260" s="5" t="str">
        <f t="shared" si="39"/>
        <v>Y</v>
      </c>
      <c r="L1260" s="5" t="s">
        <v>5482</v>
      </c>
      <c r="M1260" s="5" t="s">
        <v>5499</v>
      </c>
      <c r="N1260" s="5" t="s">
        <v>5500</v>
      </c>
      <c r="O1260" s="5" t="s">
        <v>3819</v>
      </c>
      <c r="P1260" s="5" t="s">
        <v>2992</v>
      </c>
      <c r="Q1260" s="11">
        <v>46306.5</v>
      </c>
      <c r="R1260" s="6"/>
      <c r="S1260" s="6"/>
      <c r="T1260" s="6"/>
      <c r="U1260" s="5">
        <f>MATCH(B1260,Manual_Review!$A$6:$A$238,0)</f>
        <v>79</v>
      </c>
      <c r="V1260" s="5" t="str">
        <f>IF(INDEX(Manual_Review!$G$6:$G$238,U1260)="","",INDEX(Manual_Review!$G$6:$G$238,U1260))</f>
        <v/>
      </c>
      <c r="W1260" s="11" t="str">
        <f>IF(INDEX(Manual_Review!$H$6:$H$238,U1260)="","",INDEX(Manual_Review!$H$6:$H$238,U1260))</f>
        <v/>
      </c>
      <c r="X1260" s="5" t="str">
        <f>IF(INDEX(Manual_Review!$I$6:$I$238,U1260)="","",INDEX(Manual_Review!$I$6:$I$238,U1260))</f>
        <v/>
      </c>
      <c r="Y1260" s="5" t="s">
        <v>2859</v>
      </c>
    </row>
    <row r="1261" spans="1:25" ht="51">
      <c r="A1261" s="5" t="s">
        <v>5501</v>
      </c>
      <c r="B1261" s="5" t="s">
        <v>969</v>
      </c>
      <c r="C1261" s="5" t="s">
        <v>970</v>
      </c>
      <c r="D1261" s="5" t="s">
        <v>118</v>
      </c>
      <c r="E1261" s="5" t="s">
        <v>2788</v>
      </c>
      <c r="F1261" s="5" t="s">
        <v>2758</v>
      </c>
      <c r="G1261" s="5">
        <v>1</v>
      </c>
      <c r="H1261" s="5" t="s">
        <v>2854</v>
      </c>
      <c r="I1261" s="5" t="str">
        <f>IF(INDEX(Manual_Review!$R$6:$R$238,U1261)="","",INDEX(Manual_Review!$R$6:$R$238,U1261))</f>
        <v/>
      </c>
      <c r="J1261" s="5" t="str">
        <f t="shared" si="38"/>
        <v>AI provisional</v>
      </c>
      <c r="K1261" s="5" t="str">
        <f t="shared" si="39"/>
        <v>Y</v>
      </c>
      <c r="L1261" s="5" t="s">
        <v>5482</v>
      </c>
      <c r="M1261" s="5" t="s">
        <v>5502</v>
      </c>
      <c r="N1261" s="5" t="s">
        <v>5503</v>
      </c>
      <c r="O1261" s="5" t="s">
        <v>3018</v>
      </c>
      <c r="P1261" s="5" t="s">
        <v>2992</v>
      </c>
      <c r="Q1261" s="11">
        <v>46306.5</v>
      </c>
      <c r="R1261" s="6"/>
      <c r="S1261" s="6"/>
      <c r="T1261" s="6"/>
      <c r="U1261" s="5">
        <f>MATCH(B1261,Manual_Review!$A$6:$A$238,0)</f>
        <v>79</v>
      </c>
      <c r="V1261" s="5" t="str">
        <f>IF(INDEX(Manual_Review!$G$6:$G$238,U1261)="","",INDEX(Manual_Review!$G$6:$G$238,U1261))</f>
        <v/>
      </c>
      <c r="W1261" s="11" t="str">
        <f>IF(INDEX(Manual_Review!$H$6:$H$238,U1261)="","",INDEX(Manual_Review!$H$6:$H$238,U1261))</f>
        <v/>
      </c>
      <c r="X1261" s="5" t="str">
        <f>IF(INDEX(Manual_Review!$I$6:$I$238,U1261)="","",INDEX(Manual_Review!$I$6:$I$238,U1261))</f>
        <v/>
      </c>
      <c r="Y1261" s="5" t="s">
        <v>2859</v>
      </c>
    </row>
    <row r="1262" spans="1:25" ht="38.25">
      <c r="A1262" s="5" t="s">
        <v>5504</v>
      </c>
      <c r="B1262" s="5" t="s">
        <v>969</v>
      </c>
      <c r="C1262" s="5" t="s">
        <v>970</v>
      </c>
      <c r="D1262" s="5" t="s">
        <v>118</v>
      </c>
      <c r="E1262" s="5" t="s">
        <v>2789</v>
      </c>
      <c r="F1262" s="5" t="s">
        <v>2758</v>
      </c>
      <c r="G1262" s="5">
        <v>1</v>
      </c>
      <c r="H1262" s="5" t="s">
        <v>2854</v>
      </c>
      <c r="I1262" s="5" t="str">
        <f>IF(INDEX(Manual_Review!$S$6:$S$238,U1262)="","",INDEX(Manual_Review!$S$6:$S$238,U1262))</f>
        <v/>
      </c>
      <c r="J1262" s="5" t="str">
        <f t="shared" si="38"/>
        <v>AI provisional</v>
      </c>
      <c r="K1262" s="5" t="str">
        <f t="shared" si="39"/>
        <v>Y</v>
      </c>
      <c r="L1262" s="5" t="s">
        <v>5482</v>
      </c>
      <c r="M1262" s="5" t="s">
        <v>5505</v>
      </c>
      <c r="N1262" s="5" t="s">
        <v>5506</v>
      </c>
      <c r="O1262" s="5" t="s">
        <v>3022</v>
      </c>
      <c r="P1262" s="5" t="s">
        <v>2992</v>
      </c>
      <c r="Q1262" s="11">
        <v>46306.5</v>
      </c>
      <c r="R1262" s="6"/>
      <c r="S1262" s="6"/>
      <c r="T1262" s="6"/>
      <c r="U1262" s="5">
        <f>MATCH(B1262,Manual_Review!$A$6:$A$238,0)</f>
        <v>79</v>
      </c>
      <c r="V1262" s="5" t="str">
        <f>IF(INDEX(Manual_Review!$G$6:$G$238,U1262)="","",INDEX(Manual_Review!$G$6:$G$238,U1262))</f>
        <v/>
      </c>
      <c r="W1262" s="11" t="str">
        <f>IF(INDEX(Manual_Review!$H$6:$H$238,U1262)="","",INDEX(Manual_Review!$H$6:$H$238,U1262))</f>
        <v/>
      </c>
      <c r="X1262" s="5" t="str">
        <f>IF(INDEX(Manual_Review!$I$6:$I$238,U1262)="","",INDEX(Manual_Review!$I$6:$I$238,U1262))</f>
        <v/>
      </c>
      <c r="Y1262" s="5" t="s">
        <v>2859</v>
      </c>
    </row>
    <row r="1263" spans="1:25" ht="25.5">
      <c r="A1263" s="5" t="s">
        <v>5507</v>
      </c>
      <c r="B1263" s="5" t="s">
        <v>969</v>
      </c>
      <c r="C1263" s="5" t="s">
        <v>970</v>
      </c>
      <c r="D1263" s="5" t="s">
        <v>118</v>
      </c>
      <c r="E1263" s="5" t="s">
        <v>2790</v>
      </c>
      <c r="F1263" s="5" t="s">
        <v>2760</v>
      </c>
      <c r="G1263" s="5">
        <v>1</v>
      </c>
      <c r="H1263" s="5" t="s">
        <v>2854</v>
      </c>
      <c r="I1263" s="5" t="str">
        <f>IF(INDEX(Manual_Review!$T$6:$T$238,U1263)="","",INDEX(Manual_Review!$T$6:$T$238,U1263))</f>
        <v/>
      </c>
      <c r="J1263" s="5" t="str">
        <f t="shared" si="38"/>
        <v>AI provisional</v>
      </c>
      <c r="K1263" s="5" t="str">
        <f t="shared" si="39"/>
        <v>Y</v>
      </c>
      <c r="L1263" s="5" t="s">
        <v>5482</v>
      </c>
      <c r="M1263" s="5" t="s">
        <v>5508</v>
      </c>
      <c r="N1263" s="5" t="s">
        <v>5509</v>
      </c>
      <c r="O1263" s="5" t="s">
        <v>3451</v>
      </c>
      <c r="P1263" s="5" t="s">
        <v>2992</v>
      </c>
      <c r="Q1263" s="11">
        <v>46306.5</v>
      </c>
      <c r="R1263" s="6"/>
      <c r="S1263" s="6"/>
      <c r="T1263" s="6"/>
      <c r="U1263" s="5">
        <f>MATCH(B1263,Manual_Review!$A$6:$A$238,0)</f>
        <v>79</v>
      </c>
      <c r="V1263" s="5" t="str">
        <f>IF(INDEX(Manual_Review!$G$6:$G$238,U1263)="","",INDEX(Manual_Review!$G$6:$G$238,U1263))</f>
        <v/>
      </c>
      <c r="W1263" s="11" t="str">
        <f>IF(INDEX(Manual_Review!$H$6:$H$238,U1263)="","",INDEX(Manual_Review!$H$6:$H$238,U1263))</f>
        <v/>
      </c>
      <c r="X1263" s="5" t="str">
        <f>IF(INDEX(Manual_Review!$I$6:$I$238,U1263)="","",INDEX(Manual_Review!$I$6:$I$238,U1263))</f>
        <v/>
      </c>
      <c r="Y1263" s="5" t="s">
        <v>2859</v>
      </c>
    </row>
    <row r="1264" spans="1:25" ht="25.5">
      <c r="A1264" s="5" t="s">
        <v>5510</v>
      </c>
      <c r="B1264" s="5" t="s">
        <v>969</v>
      </c>
      <c r="C1264" s="5" t="s">
        <v>970</v>
      </c>
      <c r="D1264" s="5" t="s">
        <v>118</v>
      </c>
      <c r="E1264" s="5" t="s">
        <v>2791</v>
      </c>
      <c r="F1264" s="5" t="s">
        <v>2760</v>
      </c>
      <c r="G1264" s="5">
        <v>1</v>
      </c>
      <c r="H1264" s="5" t="s">
        <v>2854</v>
      </c>
      <c r="I1264" s="5" t="str">
        <f>IF(INDEX(Manual_Review!$U$6:$U$238,U1264)="","",INDEX(Manual_Review!$U$6:$U$238,U1264))</f>
        <v/>
      </c>
      <c r="J1264" s="5" t="str">
        <f t="shared" si="38"/>
        <v>AI provisional</v>
      </c>
      <c r="K1264" s="5" t="str">
        <f t="shared" si="39"/>
        <v>Y</v>
      </c>
      <c r="L1264" s="5" t="s">
        <v>5482</v>
      </c>
      <c r="M1264" s="5" t="s">
        <v>5511</v>
      </c>
      <c r="N1264" s="5" t="s">
        <v>5512</v>
      </c>
      <c r="O1264" s="5" t="s">
        <v>3832</v>
      </c>
      <c r="P1264" s="5" t="s">
        <v>2992</v>
      </c>
      <c r="Q1264" s="11">
        <v>46306.5</v>
      </c>
      <c r="R1264" s="6"/>
      <c r="S1264" s="6"/>
      <c r="T1264" s="6"/>
      <c r="U1264" s="5">
        <f>MATCH(B1264,Manual_Review!$A$6:$A$238,0)</f>
        <v>79</v>
      </c>
      <c r="V1264" s="5" t="str">
        <f>IF(INDEX(Manual_Review!$G$6:$G$238,U1264)="","",INDEX(Manual_Review!$G$6:$G$238,U1264))</f>
        <v/>
      </c>
      <c r="W1264" s="11" t="str">
        <f>IF(INDEX(Manual_Review!$H$6:$H$238,U1264)="","",INDEX(Manual_Review!$H$6:$H$238,U1264))</f>
        <v/>
      </c>
      <c r="X1264" s="5" t="str">
        <f>IF(INDEX(Manual_Review!$I$6:$I$238,U1264)="","",INDEX(Manual_Review!$I$6:$I$238,U1264))</f>
        <v/>
      </c>
      <c r="Y1264" s="5" t="s">
        <v>2859</v>
      </c>
    </row>
    <row r="1265" spans="1:25" ht="25.5">
      <c r="A1265" s="5" t="s">
        <v>5513</v>
      </c>
      <c r="B1265" s="5" t="s">
        <v>969</v>
      </c>
      <c r="C1265" s="5" t="s">
        <v>970</v>
      </c>
      <c r="D1265" s="5" t="s">
        <v>118</v>
      </c>
      <c r="E1265" s="5" t="s">
        <v>2792</v>
      </c>
      <c r="F1265" s="5" t="s">
        <v>2762</v>
      </c>
      <c r="G1265" s="5">
        <v>1</v>
      </c>
      <c r="H1265" s="5" t="s">
        <v>2864</v>
      </c>
      <c r="I1265" s="5" t="str">
        <f>IF(INDEX(Manual_Review!$V$6:$V$238,U1265)="","",INDEX(Manual_Review!$V$6:$V$238,U1265))</f>
        <v/>
      </c>
      <c r="J1265" s="5" t="str">
        <f t="shared" si="38"/>
        <v>AI provisional</v>
      </c>
      <c r="K1265" s="5" t="str">
        <f t="shared" si="39"/>
        <v>U</v>
      </c>
      <c r="L1265" s="5" t="s">
        <v>5482</v>
      </c>
      <c r="M1265" s="5" t="s">
        <v>5514</v>
      </c>
      <c r="N1265" s="5" t="s">
        <v>5515</v>
      </c>
      <c r="O1265" s="5" t="s">
        <v>3947</v>
      </c>
      <c r="P1265" s="5" t="s">
        <v>2992</v>
      </c>
      <c r="Q1265" s="11">
        <v>46306.5</v>
      </c>
      <c r="R1265" s="6"/>
      <c r="S1265" s="6"/>
      <c r="T1265" s="6"/>
      <c r="U1265" s="5">
        <f>MATCH(B1265,Manual_Review!$A$6:$A$238,0)</f>
        <v>79</v>
      </c>
      <c r="V1265" s="5" t="str">
        <f>IF(INDEX(Manual_Review!$G$6:$G$238,U1265)="","",INDEX(Manual_Review!$G$6:$G$238,U1265))</f>
        <v/>
      </c>
      <c r="W1265" s="11" t="str">
        <f>IF(INDEX(Manual_Review!$H$6:$H$238,U1265)="","",INDEX(Manual_Review!$H$6:$H$238,U1265))</f>
        <v/>
      </c>
      <c r="X1265" s="5" t="str">
        <f>IF(INDEX(Manual_Review!$I$6:$I$238,U1265)="","",INDEX(Manual_Review!$I$6:$I$238,U1265))</f>
        <v/>
      </c>
      <c r="Y1265" s="5" t="s">
        <v>2859</v>
      </c>
    </row>
    <row r="1266" spans="1:25" ht="51">
      <c r="A1266" s="5" t="s">
        <v>5516</v>
      </c>
      <c r="B1266" s="5" t="s">
        <v>969</v>
      </c>
      <c r="C1266" s="5" t="s">
        <v>970</v>
      </c>
      <c r="D1266" s="5" t="s">
        <v>118</v>
      </c>
      <c r="E1266" s="5" t="s">
        <v>2793</v>
      </c>
      <c r="F1266" s="5" t="s">
        <v>2762</v>
      </c>
      <c r="G1266" s="5">
        <v>1</v>
      </c>
      <c r="H1266" s="5" t="s">
        <v>2854</v>
      </c>
      <c r="I1266" s="5" t="str">
        <f>IF(INDEX(Manual_Review!$W$6:$W$238,U1266)="","",INDEX(Manual_Review!$W$6:$W$238,U1266))</f>
        <v/>
      </c>
      <c r="J1266" s="5" t="str">
        <f t="shared" si="38"/>
        <v>AI provisional</v>
      </c>
      <c r="K1266" s="5" t="str">
        <f t="shared" si="39"/>
        <v>Y</v>
      </c>
      <c r="L1266" s="5" t="s">
        <v>5482</v>
      </c>
      <c r="M1266" s="5" t="s">
        <v>5517</v>
      </c>
      <c r="N1266" s="5" t="s">
        <v>5518</v>
      </c>
      <c r="O1266" s="5" t="s">
        <v>3038</v>
      </c>
      <c r="P1266" s="5" t="s">
        <v>2992</v>
      </c>
      <c r="Q1266" s="11">
        <v>46306.5</v>
      </c>
      <c r="R1266" s="6"/>
      <c r="S1266" s="6"/>
      <c r="T1266" s="6"/>
      <c r="U1266" s="5">
        <f>MATCH(B1266,Manual_Review!$A$6:$A$238,0)</f>
        <v>79</v>
      </c>
      <c r="V1266" s="5" t="str">
        <f>IF(INDEX(Manual_Review!$G$6:$G$238,U1266)="","",INDEX(Manual_Review!$G$6:$G$238,U1266))</f>
        <v/>
      </c>
      <c r="W1266" s="11" t="str">
        <f>IF(INDEX(Manual_Review!$H$6:$H$238,U1266)="","",INDEX(Manual_Review!$H$6:$H$238,U1266))</f>
        <v/>
      </c>
      <c r="X1266" s="5" t="str">
        <f>IF(INDEX(Manual_Review!$I$6:$I$238,U1266)="","",INDEX(Manual_Review!$I$6:$I$238,U1266))</f>
        <v/>
      </c>
      <c r="Y1266" s="5" t="s">
        <v>2859</v>
      </c>
    </row>
    <row r="1267" spans="1:25" ht="25.5">
      <c r="A1267" s="5" t="s">
        <v>5519</v>
      </c>
      <c r="B1267" s="5" t="s">
        <v>969</v>
      </c>
      <c r="C1267" s="5" t="s">
        <v>970</v>
      </c>
      <c r="D1267" s="5" t="s">
        <v>118</v>
      </c>
      <c r="E1267" s="5" t="s">
        <v>2794</v>
      </c>
      <c r="F1267" s="5" t="s">
        <v>2764</v>
      </c>
      <c r="G1267" s="5">
        <v>1</v>
      </c>
      <c r="H1267" s="5" t="s">
        <v>2854</v>
      </c>
      <c r="I1267" s="5" t="str">
        <f>IF(INDEX(Manual_Review!$X$6:$X$238,U1267)="","",INDEX(Manual_Review!$X$6:$X$238,U1267))</f>
        <v/>
      </c>
      <c r="J1267" s="5" t="str">
        <f t="shared" si="38"/>
        <v>AI provisional</v>
      </c>
      <c r="K1267" s="5" t="str">
        <f t="shared" si="39"/>
        <v>Y</v>
      </c>
      <c r="L1267" s="5" t="s">
        <v>5482</v>
      </c>
      <c r="M1267" s="5" t="s">
        <v>5520</v>
      </c>
      <c r="N1267" s="5" t="s">
        <v>5521</v>
      </c>
      <c r="O1267" s="5" t="s">
        <v>3042</v>
      </c>
      <c r="P1267" s="5" t="s">
        <v>2992</v>
      </c>
      <c r="Q1267" s="11">
        <v>46306.5</v>
      </c>
      <c r="R1267" s="6"/>
      <c r="S1267" s="6"/>
      <c r="T1267" s="6"/>
      <c r="U1267" s="5">
        <f>MATCH(B1267,Manual_Review!$A$6:$A$238,0)</f>
        <v>79</v>
      </c>
      <c r="V1267" s="5" t="str">
        <f>IF(INDEX(Manual_Review!$G$6:$G$238,U1267)="","",INDEX(Manual_Review!$G$6:$G$238,U1267))</f>
        <v/>
      </c>
      <c r="W1267" s="11" t="str">
        <f>IF(INDEX(Manual_Review!$H$6:$H$238,U1267)="","",INDEX(Manual_Review!$H$6:$H$238,U1267))</f>
        <v/>
      </c>
      <c r="X1267" s="5" t="str">
        <f>IF(INDEX(Manual_Review!$I$6:$I$238,U1267)="","",INDEX(Manual_Review!$I$6:$I$238,U1267))</f>
        <v/>
      </c>
      <c r="Y1267" s="5" t="s">
        <v>2859</v>
      </c>
    </row>
    <row r="1268" spans="1:25" ht="25.5">
      <c r="A1268" s="5" t="s">
        <v>5522</v>
      </c>
      <c r="B1268" s="5" t="s">
        <v>969</v>
      </c>
      <c r="C1268" s="5" t="s">
        <v>970</v>
      </c>
      <c r="D1268" s="5" t="s">
        <v>118</v>
      </c>
      <c r="E1268" s="5" t="s">
        <v>2795</v>
      </c>
      <c r="F1268" s="5" t="s">
        <v>2764</v>
      </c>
      <c r="G1268" s="5">
        <v>1</v>
      </c>
      <c r="H1268" s="5" t="s">
        <v>2864</v>
      </c>
      <c r="I1268" s="5" t="str">
        <f>IF(INDEX(Manual_Review!$Y$6:$Y$238,U1268)="","",INDEX(Manual_Review!$Y$6:$Y$238,U1268))</f>
        <v/>
      </c>
      <c r="J1268" s="5" t="str">
        <f t="shared" si="38"/>
        <v>AI provisional</v>
      </c>
      <c r="K1268" s="5" t="str">
        <f t="shared" si="39"/>
        <v>U</v>
      </c>
      <c r="L1268" s="5" t="s">
        <v>5482</v>
      </c>
      <c r="M1268" s="5" t="s">
        <v>5523</v>
      </c>
      <c r="N1268" s="5" t="s">
        <v>5524</v>
      </c>
      <c r="O1268" s="5" t="s">
        <v>3469</v>
      </c>
      <c r="P1268" s="5" t="s">
        <v>2992</v>
      </c>
      <c r="Q1268" s="11">
        <v>46306.5</v>
      </c>
      <c r="R1268" s="6"/>
      <c r="S1268" s="6"/>
      <c r="T1268" s="6"/>
      <c r="U1268" s="5">
        <f>MATCH(B1268,Manual_Review!$A$6:$A$238,0)</f>
        <v>79</v>
      </c>
      <c r="V1268" s="5" t="str">
        <f>IF(INDEX(Manual_Review!$G$6:$G$238,U1268)="","",INDEX(Manual_Review!$G$6:$G$238,U1268))</f>
        <v/>
      </c>
      <c r="W1268" s="11" t="str">
        <f>IF(INDEX(Manual_Review!$H$6:$H$238,U1268)="","",INDEX(Manual_Review!$H$6:$H$238,U1268))</f>
        <v/>
      </c>
      <c r="X1268" s="5" t="str">
        <f>IF(INDEX(Manual_Review!$I$6:$I$238,U1268)="","",INDEX(Manual_Review!$I$6:$I$238,U1268))</f>
        <v/>
      </c>
      <c r="Y1268" s="5" t="s">
        <v>2859</v>
      </c>
    </row>
    <row r="1269" spans="1:25" ht="51">
      <c r="A1269" s="5" t="s">
        <v>5525</v>
      </c>
      <c r="B1269" s="5" t="s">
        <v>969</v>
      </c>
      <c r="C1269" s="5" t="s">
        <v>970</v>
      </c>
      <c r="D1269" s="5" t="s">
        <v>118</v>
      </c>
      <c r="E1269" s="5" t="s">
        <v>2796</v>
      </c>
      <c r="F1269" s="5" t="s">
        <v>2764</v>
      </c>
      <c r="G1269" s="5">
        <v>1</v>
      </c>
      <c r="H1269" s="5" t="s">
        <v>2854</v>
      </c>
      <c r="I1269" s="5" t="str">
        <f>IF(INDEX(Manual_Review!$Z$6:$Z$238,U1269)="","",INDEX(Manual_Review!$Z$6:$Z$238,U1269))</f>
        <v/>
      </c>
      <c r="J1269" s="5" t="str">
        <f t="shared" si="38"/>
        <v>AI provisional</v>
      </c>
      <c r="K1269" s="5" t="str">
        <f t="shared" si="39"/>
        <v>Y</v>
      </c>
      <c r="L1269" s="5" t="s">
        <v>5482</v>
      </c>
      <c r="M1269" s="5" t="s">
        <v>5526</v>
      </c>
      <c r="N1269" s="5" t="s">
        <v>5527</v>
      </c>
      <c r="O1269" s="5" t="s">
        <v>3960</v>
      </c>
      <c r="P1269" s="5" t="s">
        <v>2992</v>
      </c>
      <c r="Q1269" s="11">
        <v>46306.5</v>
      </c>
      <c r="R1269" s="6"/>
      <c r="S1269" s="6"/>
      <c r="T1269" s="6"/>
      <c r="U1269" s="5">
        <f>MATCH(B1269,Manual_Review!$A$6:$A$238,0)</f>
        <v>79</v>
      </c>
      <c r="V1269" s="5" t="str">
        <f>IF(INDEX(Manual_Review!$G$6:$G$238,U1269)="","",INDEX(Manual_Review!$G$6:$G$238,U1269))</f>
        <v/>
      </c>
      <c r="W1269" s="11" t="str">
        <f>IF(INDEX(Manual_Review!$H$6:$H$238,U1269)="","",INDEX(Manual_Review!$H$6:$H$238,U1269))</f>
        <v/>
      </c>
      <c r="X1269" s="5" t="str">
        <f>IF(INDEX(Manual_Review!$I$6:$I$238,U1269)="","",INDEX(Manual_Review!$I$6:$I$238,U1269))</f>
        <v/>
      </c>
      <c r="Y1269" s="5" t="s">
        <v>2859</v>
      </c>
    </row>
    <row r="1270" spans="1:25" ht="25.5">
      <c r="A1270" s="5" t="s">
        <v>5528</v>
      </c>
      <c r="B1270" s="5" t="s">
        <v>982</v>
      </c>
      <c r="C1270" s="5" t="s">
        <v>983</v>
      </c>
      <c r="D1270" s="5" t="s">
        <v>118</v>
      </c>
      <c r="E1270" s="5" t="s">
        <v>2781</v>
      </c>
      <c r="F1270" s="5" t="s">
        <v>2754</v>
      </c>
      <c r="G1270" s="5">
        <v>1</v>
      </c>
      <c r="H1270" s="5" t="s">
        <v>2854</v>
      </c>
      <c r="I1270" s="5" t="str">
        <f>IF(INDEX(Manual_Review!$K$6:$K$238,U1270)="","",INDEX(Manual_Review!$K$6:$K$238,U1270))</f>
        <v/>
      </c>
      <c r="J1270" s="5" t="str">
        <f t="shared" si="38"/>
        <v>AI provisional</v>
      </c>
      <c r="K1270" s="5" t="str">
        <f t="shared" si="39"/>
        <v>Y</v>
      </c>
      <c r="L1270" s="5" t="s">
        <v>5529</v>
      </c>
      <c r="M1270" s="5" t="s">
        <v>5530</v>
      </c>
      <c r="N1270" s="5" t="s">
        <v>5531</v>
      </c>
      <c r="O1270" s="5" t="s">
        <v>2991</v>
      </c>
      <c r="P1270" s="5" t="s">
        <v>2992</v>
      </c>
      <c r="Q1270" s="11">
        <v>46306.5</v>
      </c>
      <c r="R1270" s="6"/>
      <c r="S1270" s="6"/>
      <c r="T1270" s="6"/>
      <c r="U1270" s="5">
        <f>MATCH(B1270,Manual_Review!$A$6:$A$238,0)</f>
        <v>80</v>
      </c>
      <c r="V1270" s="5" t="str">
        <f>IF(INDEX(Manual_Review!$G$6:$G$238,U1270)="","",INDEX(Manual_Review!$G$6:$G$238,U1270))</f>
        <v/>
      </c>
      <c r="W1270" s="11" t="str">
        <f>IF(INDEX(Manual_Review!$H$6:$H$238,U1270)="","",INDEX(Manual_Review!$H$6:$H$238,U1270))</f>
        <v/>
      </c>
      <c r="X1270" s="5" t="str">
        <f>IF(INDEX(Manual_Review!$I$6:$I$238,U1270)="","",INDEX(Manual_Review!$I$6:$I$238,U1270))</f>
        <v/>
      </c>
      <c r="Y1270" s="5" t="s">
        <v>2859</v>
      </c>
    </row>
    <row r="1271" spans="1:25" ht="25.5">
      <c r="A1271" s="5" t="s">
        <v>5532</v>
      </c>
      <c r="B1271" s="5" t="s">
        <v>982</v>
      </c>
      <c r="C1271" s="5" t="s">
        <v>983</v>
      </c>
      <c r="D1271" s="5" t="s">
        <v>118</v>
      </c>
      <c r="E1271" s="5" t="s">
        <v>2782</v>
      </c>
      <c r="F1271" s="5" t="s">
        <v>2754</v>
      </c>
      <c r="G1271" s="5">
        <v>1</v>
      </c>
      <c r="H1271" s="5" t="s">
        <v>2854</v>
      </c>
      <c r="I1271" s="5" t="str">
        <f>IF(INDEX(Manual_Review!$L$6:$L$238,U1271)="","",INDEX(Manual_Review!$L$6:$L$238,U1271))</f>
        <v/>
      </c>
      <c r="J1271" s="5" t="str">
        <f t="shared" si="38"/>
        <v>AI provisional</v>
      </c>
      <c r="K1271" s="5" t="str">
        <f t="shared" si="39"/>
        <v>Y</v>
      </c>
      <c r="L1271" s="5" t="s">
        <v>5529</v>
      </c>
      <c r="M1271" s="5" t="s">
        <v>5533</v>
      </c>
      <c r="N1271" s="5" t="s">
        <v>5534</v>
      </c>
      <c r="O1271" s="5" t="s">
        <v>2996</v>
      </c>
      <c r="P1271" s="5" t="s">
        <v>2992</v>
      </c>
      <c r="Q1271" s="11">
        <v>46306.5</v>
      </c>
      <c r="R1271" s="6"/>
      <c r="S1271" s="6"/>
      <c r="T1271" s="6"/>
      <c r="U1271" s="5">
        <f>MATCH(B1271,Manual_Review!$A$6:$A$238,0)</f>
        <v>80</v>
      </c>
      <c r="V1271" s="5" t="str">
        <f>IF(INDEX(Manual_Review!$G$6:$G$238,U1271)="","",INDEX(Manual_Review!$G$6:$G$238,U1271))</f>
        <v/>
      </c>
      <c r="W1271" s="11" t="str">
        <f>IF(INDEX(Manual_Review!$H$6:$H$238,U1271)="","",INDEX(Manual_Review!$H$6:$H$238,U1271))</f>
        <v/>
      </c>
      <c r="X1271" s="5" t="str">
        <f>IF(INDEX(Manual_Review!$I$6:$I$238,U1271)="","",INDEX(Manual_Review!$I$6:$I$238,U1271))</f>
        <v/>
      </c>
      <c r="Y1271" s="5" t="s">
        <v>2859</v>
      </c>
    </row>
    <row r="1272" spans="1:25" ht="25.5">
      <c r="A1272" s="5" t="s">
        <v>5535</v>
      </c>
      <c r="B1272" s="5" t="s">
        <v>982</v>
      </c>
      <c r="C1272" s="5" t="s">
        <v>983</v>
      </c>
      <c r="D1272" s="5" t="s">
        <v>118</v>
      </c>
      <c r="E1272" s="5" t="s">
        <v>2783</v>
      </c>
      <c r="F1272" s="5" t="s">
        <v>2754</v>
      </c>
      <c r="G1272" s="5">
        <v>1</v>
      </c>
      <c r="H1272" s="5" t="s">
        <v>2854</v>
      </c>
      <c r="I1272" s="5" t="str">
        <f>IF(INDEX(Manual_Review!$M$6:$M$238,U1272)="","",INDEX(Manual_Review!$M$6:$M$238,U1272))</f>
        <v/>
      </c>
      <c r="J1272" s="5" t="str">
        <f t="shared" si="38"/>
        <v>AI provisional</v>
      </c>
      <c r="K1272" s="5" t="str">
        <f t="shared" si="39"/>
        <v>Y</v>
      </c>
      <c r="L1272" s="5" t="s">
        <v>5529</v>
      </c>
      <c r="M1272" s="5" t="s">
        <v>5536</v>
      </c>
      <c r="N1272" s="5" t="s">
        <v>5021</v>
      </c>
      <c r="O1272" s="5" t="s">
        <v>3000</v>
      </c>
      <c r="P1272" s="5" t="s">
        <v>2992</v>
      </c>
      <c r="Q1272" s="11">
        <v>46306.5</v>
      </c>
      <c r="R1272" s="6"/>
      <c r="S1272" s="6"/>
      <c r="T1272" s="6"/>
      <c r="U1272" s="5">
        <f>MATCH(B1272,Manual_Review!$A$6:$A$238,0)</f>
        <v>80</v>
      </c>
      <c r="V1272" s="5" t="str">
        <f>IF(INDEX(Manual_Review!$G$6:$G$238,U1272)="","",INDEX(Manual_Review!$G$6:$G$238,U1272))</f>
        <v/>
      </c>
      <c r="W1272" s="11" t="str">
        <f>IF(INDEX(Manual_Review!$H$6:$H$238,U1272)="","",INDEX(Manual_Review!$H$6:$H$238,U1272))</f>
        <v/>
      </c>
      <c r="X1272" s="5" t="str">
        <f>IF(INDEX(Manual_Review!$I$6:$I$238,U1272)="","",INDEX(Manual_Review!$I$6:$I$238,U1272))</f>
        <v/>
      </c>
      <c r="Y1272" s="5" t="s">
        <v>2859</v>
      </c>
    </row>
    <row r="1273" spans="1:25" ht="25.5">
      <c r="A1273" s="5" t="s">
        <v>5537</v>
      </c>
      <c r="B1273" s="5" t="s">
        <v>982</v>
      </c>
      <c r="C1273" s="5" t="s">
        <v>983</v>
      </c>
      <c r="D1273" s="5" t="s">
        <v>118</v>
      </c>
      <c r="E1273" s="5" t="s">
        <v>2784</v>
      </c>
      <c r="F1273" s="5" t="s">
        <v>2756</v>
      </c>
      <c r="G1273" s="5">
        <v>1</v>
      </c>
      <c r="H1273" s="5" t="s">
        <v>2854</v>
      </c>
      <c r="I1273" s="5" t="str">
        <f>IF(INDEX(Manual_Review!$N$6:$N$238,U1273)="","",INDEX(Manual_Review!$N$6:$N$238,U1273))</f>
        <v/>
      </c>
      <c r="J1273" s="5" t="str">
        <f t="shared" si="38"/>
        <v>AI provisional</v>
      </c>
      <c r="K1273" s="5" t="str">
        <f t="shared" si="39"/>
        <v>Y</v>
      </c>
      <c r="L1273" s="5" t="s">
        <v>5529</v>
      </c>
      <c r="M1273" s="5" t="s">
        <v>5538</v>
      </c>
      <c r="N1273" s="5" t="s">
        <v>5539</v>
      </c>
      <c r="O1273" s="5" t="s">
        <v>3004</v>
      </c>
      <c r="P1273" s="5" t="s">
        <v>2992</v>
      </c>
      <c r="Q1273" s="11">
        <v>46306.5</v>
      </c>
      <c r="R1273" s="6"/>
      <c r="S1273" s="6"/>
      <c r="T1273" s="6"/>
      <c r="U1273" s="5">
        <f>MATCH(B1273,Manual_Review!$A$6:$A$238,0)</f>
        <v>80</v>
      </c>
      <c r="V1273" s="5" t="str">
        <f>IF(INDEX(Manual_Review!$G$6:$G$238,U1273)="","",INDEX(Manual_Review!$G$6:$G$238,U1273))</f>
        <v/>
      </c>
      <c r="W1273" s="11" t="str">
        <f>IF(INDEX(Manual_Review!$H$6:$H$238,U1273)="","",INDEX(Manual_Review!$H$6:$H$238,U1273))</f>
        <v/>
      </c>
      <c r="X1273" s="5" t="str">
        <f>IF(INDEX(Manual_Review!$I$6:$I$238,U1273)="","",INDEX(Manual_Review!$I$6:$I$238,U1273))</f>
        <v/>
      </c>
      <c r="Y1273" s="5" t="s">
        <v>2859</v>
      </c>
    </row>
    <row r="1274" spans="1:25" ht="25.5">
      <c r="A1274" s="5" t="s">
        <v>5540</v>
      </c>
      <c r="B1274" s="5" t="s">
        <v>982</v>
      </c>
      <c r="C1274" s="5" t="s">
        <v>983</v>
      </c>
      <c r="D1274" s="5" t="s">
        <v>118</v>
      </c>
      <c r="E1274" s="5" t="s">
        <v>2785</v>
      </c>
      <c r="F1274" s="5" t="s">
        <v>2756</v>
      </c>
      <c r="G1274" s="5">
        <v>1</v>
      </c>
      <c r="H1274" s="5" t="s">
        <v>2854</v>
      </c>
      <c r="I1274" s="5" t="str">
        <f>IF(INDEX(Manual_Review!$O$6:$O$238,U1274)="","",INDEX(Manual_Review!$O$6:$O$238,U1274))</f>
        <v/>
      </c>
      <c r="J1274" s="5" t="str">
        <f t="shared" si="38"/>
        <v>AI provisional</v>
      </c>
      <c r="K1274" s="5" t="str">
        <f t="shared" si="39"/>
        <v>Y</v>
      </c>
      <c r="L1274" s="5" t="s">
        <v>5529</v>
      </c>
      <c r="M1274" s="5" t="s">
        <v>5538</v>
      </c>
      <c r="N1274" s="5" t="s">
        <v>5539</v>
      </c>
      <c r="O1274" s="5" t="s">
        <v>5541</v>
      </c>
      <c r="P1274" s="5" t="s">
        <v>2992</v>
      </c>
      <c r="Q1274" s="11">
        <v>46306.5</v>
      </c>
      <c r="R1274" s="6"/>
      <c r="S1274" s="6"/>
      <c r="T1274" s="6"/>
      <c r="U1274" s="5">
        <f>MATCH(B1274,Manual_Review!$A$6:$A$238,0)</f>
        <v>80</v>
      </c>
      <c r="V1274" s="5" t="str">
        <f>IF(INDEX(Manual_Review!$G$6:$G$238,U1274)="","",INDEX(Manual_Review!$G$6:$G$238,U1274))</f>
        <v/>
      </c>
      <c r="W1274" s="11" t="str">
        <f>IF(INDEX(Manual_Review!$H$6:$H$238,U1274)="","",INDEX(Manual_Review!$H$6:$H$238,U1274))</f>
        <v/>
      </c>
      <c r="X1274" s="5" t="str">
        <f>IF(INDEX(Manual_Review!$I$6:$I$238,U1274)="","",INDEX(Manual_Review!$I$6:$I$238,U1274))</f>
        <v/>
      </c>
      <c r="Y1274" s="5" t="s">
        <v>2859</v>
      </c>
    </row>
    <row r="1275" spans="1:25" ht="38.25">
      <c r="A1275" s="5" t="s">
        <v>5542</v>
      </c>
      <c r="B1275" s="5" t="s">
        <v>982</v>
      </c>
      <c r="C1275" s="5" t="s">
        <v>983</v>
      </c>
      <c r="D1275" s="5" t="s">
        <v>118</v>
      </c>
      <c r="E1275" s="5" t="s">
        <v>2786</v>
      </c>
      <c r="F1275" s="5" t="s">
        <v>2756</v>
      </c>
      <c r="G1275" s="5">
        <v>1</v>
      </c>
      <c r="H1275" s="5" t="s">
        <v>2864</v>
      </c>
      <c r="I1275" s="5" t="str">
        <f>IF(INDEX(Manual_Review!$P$6:$P$238,U1275)="","",INDEX(Manual_Review!$P$6:$P$238,U1275))</f>
        <v/>
      </c>
      <c r="J1275" s="5" t="str">
        <f t="shared" si="38"/>
        <v>AI provisional</v>
      </c>
      <c r="K1275" s="5" t="str">
        <f t="shared" si="39"/>
        <v>U</v>
      </c>
      <c r="L1275" s="5" t="s">
        <v>5529</v>
      </c>
      <c r="M1275" s="5" t="s">
        <v>5543</v>
      </c>
      <c r="N1275" s="5" t="s">
        <v>5544</v>
      </c>
      <c r="O1275" s="5" t="s">
        <v>3010</v>
      </c>
      <c r="P1275" s="5" t="s">
        <v>2992</v>
      </c>
      <c r="Q1275" s="11">
        <v>46306.5</v>
      </c>
      <c r="R1275" s="6"/>
      <c r="S1275" s="6"/>
      <c r="T1275" s="6"/>
      <c r="U1275" s="5">
        <f>MATCH(B1275,Manual_Review!$A$6:$A$238,0)</f>
        <v>80</v>
      </c>
      <c r="V1275" s="5" t="str">
        <f>IF(INDEX(Manual_Review!$G$6:$G$238,U1275)="","",INDEX(Manual_Review!$G$6:$G$238,U1275))</f>
        <v/>
      </c>
      <c r="W1275" s="11" t="str">
        <f>IF(INDEX(Manual_Review!$H$6:$H$238,U1275)="","",INDEX(Manual_Review!$H$6:$H$238,U1275))</f>
        <v/>
      </c>
      <c r="X1275" s="5" t="str">
        <f>IF(INDEX(Manual_Review!$I$6:$I$238,U1275)="","",INDEX(Manual_Review!$I$6:$I$238,U1275))</f>
        <v/>
      </c>
      <c r="Y1275" s="5" t="s">
        <v>2859</v>
      </c>
    </row>
    <row r="1276" spans="1:25" ht="25.5">
      <c r="A1276" s="5" t="s">
        <v>5545</v>
      </c>
      <c r="B1276" s="5" t="s">
        <v>982</v>
      </c>
      <c r="C1276" s="5" t="s">
        <v>983</v>
      </c>
      <c r="D1276" s="5" t="s">
        <v>118</v>
      </c>
      <c r="E1276" s="5" t="s">
        <v>2787</v>
      </c>
      <c r="F1276" s="5" t="s">
        <v>2758</v>
      </c>
      <c r="G1276" s="5">
        <v>1</v>
      </c>
      <c r="H1276" s="5" t="s">
        <v>2854</v>
      </c>
      <c r="I1276" s="5" t="str">
        <f>IF(INDEX(Manual_Review!$Q$6:$Q$238,U1276)="","",INDEX(Manual_Review!$Q$6:$Q$238,U1276))</f>
        <v/>
      </c>
      <c r="J1276" s="5" t="str">
        <f t="shared" si="38"/>
        <v>AI provisional</v>
      </c>
      <c r="K1276" s="5" t="str">
        <f t="shared" si="39"/>
        <v>Y</v>
      </c>
      <c r="L1276" s="5" t="s">
        <v>5529</v>
      </c>
      <c r="M1276" s="5" t="s">
        <v>5546</v>
      </c>
      <c r="N1276" s="5" t="s">
        <v>5547</v>
      </c>
      <c r="O1276" s="5" t="s">
        <v>3819</v>
      </c>
      <c r="P1276" s="5" t="s">
        <v>2992</v>
      </c>
      <c r="Q1276" s="11">
        <v>46306.5</v>
      </c>
      <c r="R1276" s="6"/>
      <c r="S1276" s="6"/>
      <c r="T1276" s="6"/>
      <c r="U1276" s="5">
        <f>MATCH(B1276,Manual_Review!$A$6:$A$238,0)</f>
        <v>80</v>
      </c>
      <c r="V1276" s="5" t="str">
        <f>IF(INDEX(Manual_Review!$G$6:$G$238,U1276)="","",INDEX(Manual_Review!$G$6:$G$238,U1276))</f>
        <v/>
      </c>
      <c r="W1276" s="11" t="str">
        <f>IF(INDEX(Manual_Review!$H$6:$H$238,U1276)="","",INDEX(Manual_Review!$H$6:$H$238,U1276))</f>
        <v/>
      </c>
      <c r="X1276" s="5" t="str">
        <f>IF(INDEX(Manual_Review!$I$6:$I$238,U1276)="","",INDEX(Manual_Review!$I$6:$I$238,U1276))</f>
        <v/>
      </c>
      <c r="Y1276" s="5" t="s">
        <v>2859</v>
      </c>
    </row>
    <row r="1277" spans="1:25" ht="51">
      <c r="A1277" s="5" t="s">
        <v>5548</v>
      </c>
      <c r="B1277" s="5" t="s">
        <v>982</v>
      </c>
      <c r="C1277" s="5" t="s">
        <v>983</v>
      </c>
      <c r="D1277" s="5" t="s">
        <v>118</v>
      </c>
      <c r="E1277" s="5" t="s">
        <v>2788</v>
      </c>
      <c r="F1277" s="5" t="s">
        <v>2758</v>
      </c>
      <c r="G1277" s="5">
        <v>1</v>
      </c>
      <c r="H1277" s="5" t="s">
        <v>2854</v>
      </c>
      <c r="I1277" s="5" t="str">
        <f>IF(INDEX(Manual_Review!$R$6:$R$238,U1277)="","",INDEX(Manual_Review!$R$6:$R$238,U1277))</f>
        <v/>
      </c>
      <c r="J1277" s="5" t="str">
        <f t="shared" si="38"/>
        <v>AI provisional</v>
      </c>
      <c r="K1277" s="5" t="str">
        <f t="shared" si="39"/>
        <v>Y</v>
      </c>
      <c r="L1277" s="5" t="s">
        <v>5529</v>
      </c>
      <c r="M1277" s="5" t="s">
        <v>5549</v>
      </c>
      <c r="N1277" s="5" t="s">
        <v>5550</v>
      </c>
      <c r="O1277" s="5" t="s">
        <v>3018</v>
      </c>
      <c r="P1277" s="5" t="s">
        <v>2992</v>
      </c>
      <c r="Q1277" s="11">
        <v>46306.5</v>
      </c>
      <c r="R1277" s="6"/>
      <c r="S1277" s="6"/>
      <c r="T1277" s="6"/>
      <c r="U1277" s="5">
        <f>MATCH(B1277,Manual_Review!$A$6:$A$238,0)</f>
        <v>80</v>
      </c>
      <c r="V1277" s="5" t="str">
        <f>IF(INDEX(Manual_Review!$G$6:$G$238,U1277)="","",INDEX(Manual_Review!$G$6:$G$238,U1277))</f>
        <v/>
      </c>
      <c r="W1277" s="11" t="str">
        <f>IF(INDEX(Manual_Review!$H$6:$H$238,U1277)="","",INDEX(Manual_Review!$H$6:$H$238,U1277))</f>
        <v/>
      </c>
      <c r="X1277" s="5" t="str">
        <f>IF(INDEX(Manual_Review!$I$6:$I$238,U1277)="","",INDEX(Manual_Review!$I$6:$I$238,U1277))</f>
        <v/>
      </c>
      <c r="Y1277" s="5" t="s">
        <v>2859</v>
      </c>
    </row>
    <row r="1278" spans="1:25" ht="25.5">
      <c r="A1278" s="5" t="s">
        <v>5551</v>
      </c>
      <c r="B1278" s="5" t="s">
        <v>982</v>
      </c>
      <c r="C1278" s="5" t="s">
        <v>983</v>
      </c>
      <c r="D1278" s="5" t="s">
        <v>118</v>
      </c>
      <c r="E1278" s="5" t="s">
        <v>2789</v>
      </c>
      <c r="F1278" s="5" t="s">
        <v>2758</v>
      </c>
      <c r="G1278" s="5">
        <v>1</v>
      </c>
      <c r="H1278" s="5" t="s">
        <v>2854</v>
      </c>
      <c r="I1278" s="5" t="str">
        <f>IF(INDEX(Manual_Review!$S$6:$S$238,U1278)="","",INDEX(Manual_Review!$S$6:$S$238,U1278))</f>
        <v/>
      </c>
      <c r="J1278" s="5" t="str">
        <f t="shared" si="38"/>
        <v>AI provisional</v>
      </c>
      <c r="K1278" s="5" t="str">
        <f t="shared" si="39"/>
        <v>Y</v>
      </c>
      <c r="L1278" s="5" t="s">
        <v>5529</v>
      </c>
      <c r="M1278" s="5" t="s">
        <v>5552</v>
      </c>
      <c r="N1278" s="5" t="s">
        <v>5553</v>
      </c>
      <c r="O1278" s="5" t="s">
        <v>3022</v>
      </c>
      <c r="P1278" s="5" t="s">
        <v>2992</v>
      </c>
      <c r="Q1278" s="11">
        <v>46306.5</v>
      </c>
      <c r="R1278" s="6"/>
      <c r="S1278" s="6"/>
      <c r="T1278" s="6"/>
      <c r="U1278" s="5">
        <f>MATCH(B1278,Manual_Review!$A$6:$A$238,0)</f>
        <v>80</v>
      </c>
      <c r="V1278" s="5" t="str">
        <f>IF(INDEX(Manual_Review!$G$6:$G$238,U1278)="","",INDEX(Manual_Review!$G$6:$G$238,U1278))</f>
        <v/>
      </c>
      <c r="W1278" s="11" t="str">
        <f>IF(INDEX(Manual_Review!$H$6:$H$238,U1278)="","",INDEX(Manual_Review!$H$6:$H$238,U1278))</f>
        <v/>
      </c>
      <c r="X1278" s="5" t="str">
        <f>IF(INDEX(Manual_Review!$I$6:$I$238,U1278)="","",INDEX(Manual_Review!$I$6:$I$238,U1278))</f>
        <v/>
      </c>
      <c r="Y1278" s="5" t="s">
        <v>2859</v>
      </c>
    </row>
    <row r="1279" spans="1:25" ht="25.5">
      <c r="A1279" s="5" t="s">
        <v>5554</v>
      </c>
      <c r="B1279" s="5" t="s">
        <v>982</v>
      </c>
      <c r="C1279" s="5" t="s">
        <v>983</v>
      </c>
      <c r="D1279" s="5" t="s">
        <v>118</v>
      </c>
      <c r="E1279" s="5" t="s">
        <v>2790</v>
      </c>
      <c r="F1279" s="5" t="s">
        <v>2760</v>
      </c>
      <c r="G1279" s="5">
        <v>1</v>
      </c>
      <c r="H1279" s="5" t="s">
        <v>2854</v>
      </c>
      <c r="I1279" s="5" t="str">
        <f>IF(INDEX(Manual_Review!$T$6:$T$238,U1279)="","",INDEX(Manual_Review!$T$6:$T$238,U1279))</f>
        <v/>
      </c>
      <c r="J1279" s="5" t="str">
        <f t="shared" si="38"/>
        <v>AI provisional</v>
      </c>
      <c r="K1279" s="5" t="str">
        <f t="shared" si="39"/>
        <v>Y</v>
      </c>
      <c r="L1279" s="5" t="s">
        <v>5529</v>
      </c>
      <c r="M1279" s="5" t="s">
        <v>5555</v>
      </c>
      <c r="N1279" s="5" t="s">
        <v>5556</v>
      </c>
      <c r="O1279" s="5" t="s">
        <v>3451</v>
      </c>
      <c r="P1279" s="5" t="s">
        <v>2992</v>
      </c>
      <c r="Q1279" s="11">
        <v>46306.5</v>
      </c>
      <c r="R1279" s="6"/>
      <c r="S1279" s="6"/>
      <c r="T1279" s="6"/>
      <c r="U1279" s="5">
        <f>MATCH(B1279,Manual_Review!$A$6:$A$238,0)</f>
        <v>80</v>
      </c>
      <c r="V1279" s="5" t="str">
        <f>IF(INDEX(Manual_Review!$G$6:$G$238,U1279)="","",INDEX(Manual_Review!$G$6:$G$238,U1279))</f>
        <v/>
      </c>
      <c r="W1279" s="11" t="str">
        <f>IF(INDEX(Manual_Review!$H$6:$H$238,U1279)="","",INDEX(Manual_Review!$H$6:$H$238,U1279))</f>
        <v/>
      </c>
      <c r="X1279" s="5" t="str">
        <f>IF(INDEX(Manual_Review!$I$6:$I$238,U1279)="","",INDEX(Manual_Review!$I$6:$I$238,U1279))</f>
        <v/>
      </c>
      <c r="Y1279" s="5" t="s">
        <v>2859</v>
      </c>
    </row>
    <row r="1280" spans="1:25" ht="25.5">
      <c r="A1280" s="5" t="s">
        <v>5557</v>
      </c>
      <c r="B1280" s="5" t="s">
        <v>982</v>
      </c>
      <c r="C1280" s="5" t="s">
        <v>983</v>
      </c>
      <c r="D1280" s="5" t="s">
        <v>118</v>
      </c>
      <c r="E1280" s="5" t="s">
        <v>2791</v>
      </c>
      <c r="F1280" s="5" t="s">
        <v>2760</v>
      </c>
      <c r="G1280" s="5">
        <v>1</v>
      </c>
      <c r="H1280" s="5" t="s">
        <v>2854</v>
      </c>
      <c r="I1280" s="5" t="str">
        <f>IF(INDEX(Manual_Review!$U$6:$U$238,U1280)="","",INDEX(Manual_Review!$U$6:$U$238,U1280))</f>
        <v/>
      </c>
      <c r="J1280" s="5" t="str">
        <f t="shared" si="38"/>
        <v>AI provisional</v>
      </c>
      <c r="K1280" s="5" t="str">
        <f t="shared" si="39"/>
        <v>Y</v>
      </c>
      <c r="L1280" s="5" t="s">
        <v>5529</v>
      </c>
      <c r="M1280" s="5" t="s">
        <v>5558</v>
      </c>
      <c r="N1280" s="5" t="s">
        <v>5559</v>
      </c>
      <c r="O1280" s="5" t="s">
        <v>3832</v>
      </c>
      <c r="P1280" s="5" t="s">
        <v>2992</v>
      </c>
      <c r="Q1280" s="11">
        <v>46306.5</v>
      </c>
      <c r="R1280" s="6"/>
      <c r="S1280" s="6"/>
      <c r="T1280" s="6"/>
      <c r="U1280" s="5">
        <f>MATCH(B1280,Manual_Review!$A$6:$A$238,0)</f>
        <v>80</v>
      </c>
      <c r="V1280" s="5" t="str">
        <f>IF(INDEX(Manual_Review!$G$6:$G$238,U1280)="","",INDEX(Manual_Review!$G$6:$G$238,U1280))</f>
        <v/>
      </c>
      <c r="W1280" s="11" t="str">
        <f>IF(INDEX(Manual_Review!$H$6:$H$238,U1280)="","",INDEX(Manual_Review!$H$6:$H$238,U1280))</f>
        <v/>
      </c>
      <c r="X1280" s="5" t="str">
        <f>IF(INDEX(Manual_Review!$I$6:$I$238,U1280)="","",INDEX(Manual_Review!$I$6:$I$238,U1280))</f>
        <v/>
      </c>
      <c r="Y1280" s="5" t="s">
        <v>2859</v>
      </c>
    </row>
    <row r="1281" spans="1:25" ht="25.5">
      <c r="A1281" s="5" t="s">
        <v>5560</v>
      </c>
      <c r="B1281" s="5" t="s">
        <v>982</v>
      </c>
      <c r="C1281" s="5" t="s">
        <v>983</v>
      </c>
      <c r="D1281" s="5" t="s">
        <v>118</v>
      </c>
      <c r="E1281" s="5" t="s">
        <v>2792</v>
      </c>
      <c r="F1281" s="5" t="s">
        <v>2762</v>
      </c>
      <c r="G1281" s="5">
        <v>1</v>
      </c>
      <c r="H1281" s="5" t="s">
        <v>2854</v>
      </c>
      <c r="I1281" s="5" t="str">
        <f>IF(INDEX(Manual_Review!$V$6:$V$238,U1281)="","",INDEX(Manual_Review!$V$6:$V$238,U1281))</f>
        <v/>
      </c>
      <c r="J1281" s="5" t="str">
        <f t="shared" si="38"/>
        <v>AI provisional</v>
      </c>
      <c r="K1281" s="5" t="str">
        <f t="shared" si="39"/>
        <v>Y</v>
      </c>
      <c r="L1281" s="5" t="s">
        <v>5529</v>
      </c>
      <c r="M1281" s="5" t="s">
        <v>5561</v>
      </c>
      <c r="N1281" s="5" t="s">
        <v>5562</v>
      </c>
      <c r="O1281" s="5" t="s">
        <v>3034</v>
      </c>
      <c r="P1281" s="5" t="s">
        <v>2992</v>
      </c>
      <c r="Q1281" s="11">
        <v>46306.5</v>
      </c>
      <c r="R1281" s="6"/>
      <c r="S1281" s="6"/>
      <c r="T1281" s="6"/>
      <c r="U1281" s="5">
        <f>MATCH(B1281,Manual_Review!$A$6:$A$238,0)</f>
        <v>80</v>
      </c>
      <c r="V1281" s="5" t="str">
        <f>IF(INDEX(Manual_Review!$G$6:$G$238,U1281)="","",INDEX(Manual_Review!$G$6:$G$238,U1281))</f>
        <v/>
      </c>
      <c r="W1281" s="11" t="str">
        <f>IF(INDEX(Manual_Review!$H$6:$H$238,U1281)="","",INDEX(Manual_Review!$H$6:$H$238,U1281))</f>
        <v/>
      </c>
      <c r="X1281" s="5" t="str">
        <f>IF(INDEX(Manual_Review!$I$6:$I$238,U1281)="","",INDEX(Manual_Review!$I$6:$I$238,U1281))</f>
        <v/>
      </c>
      <c r="Y1281" s="5" t="s">
        <v>2859</v>
      </c>
    </row>
    <row r="1282" spans="1:25" ht="38.25">
      <c r="A1282" s="5" t="s">
        <v>5563</v>
      </c>
      <c r="B1282" s="5" t="s">
        <v>982</v>
      </c>
      <c r="C1282" s="5" t="s">
        <v>983</v>
      </c>
      <c r="D1282" s="5" t="s">
        <v>118</v>
      </c>
      <c r="E1282" s="5" t="s">
        <v>2793</v>
      </c>
      <c r="F1282" s="5" t="s">
        <v>2762</v>
      </c>
      <c r="G1282" s="5">
        <v>1</v>
      </c>
      <c r="H1282" s="5" t="s">
        <v>2854</v>
      </c>
      <c r="I1282" s="5" t="str">
        <f>IF(INDEX(Manual_Review!$W$6:$W$238,U1282)="","",INDEX(Manual_Review!$W$6:$W$238,U1282))</f>
        <v/>
      </c>
      <c r="J1282" s="5" t="str">
        <f t="shared" si="38"/>
        <v>AI provisional</v>
      </c>
      <c r="K1282" s="5" t="str">
        <f t="shared" si="39"/>
        <v>Y</v>
      </c>
      <c r="L1282" s="5" t="s">
        <v>5529</v>
      </c>
      <c r="M1282" s="5" t="s">
        <v>5564</v>
      </c>
      <c r="N1282" s="5" t="s">
        <v>5565</v>
      </c>
      <c r="O1282" s="5" t="s">
        <v>3038</v>
      </c>
      <c r="P1282" s="5" t="s">
        <v>2992</v>
      </c>
      <c r="Q1282" s="11">
        <v>46306.5</v>
      </c>
      <c r="R1282" s="6"/>
      <c r="S1282" s="6"/>
      <c r="T1282" s="6"/>
      <c r="U1282" s="5">
        <f>MATCH(B1282,Manual_Review!$A$6:$A$238,0)</f>
        <v>80</v>
      </c>
      <c r="V1282" s="5" t="str">
        <f>IF(INDEX(Manual_Review!$G$6:$G$238,U1282)="","",INDEX(Manual_Review!$G$6:$G$238,U1282))</f>
        <v/>
      </c>
      <c r="W1282" s="11" t="str">
        <f>IF(INDEX(Manual_Review!$H$6:$H$238,U1282)="","",INDEX(Manual_Review!$H$6:$H$238,U1282))</f>
        <v/>
      </c>
      <c r="X1282" s="5" t="str">
        <f>IF(INDEX(Manual_Review!$I$6:$I$238,U1282)="","",INDEX(Manual_Review!$I$6:$I$238,U1282))</f>
        <v/>
      </c>
      <c r="Y1282" s="5" t="s">
        <v>2859</v>
      </c>
    </row>
    <row r="1283" spans="1:25" ht="25.5">
      <c r="A1283" s="5" t="s">
        <v>5566</v>
      </c>
      <c r="B1283" s="5" t="s">
        <v>982</v>
      </c>
      <c r="C1283" s="5" t="s">
        <v>983</v>
      </c>
      <c r="D1283" s="5" t="s">
        <v>118</v>
      </c>
      <c r="E1283" s="5" t="s">
        <v>2794</v>
      </c>
      <c r="F1283" s="5" t="s">
        <v>2764</v>
      </c>
      <c r="G1283" s="5">
        <v>1</v>
      </c>
      <c r="H1283" s="5" t="s">
        <v>2854</v>
      </c>
      <c r="I1283" s="5" t="str">
        <f>IF(INDEX(Manual_Review!$X$6:$X$238,U1283)="","",INDEX(Manual_Review!$X$6:$X$238,U1283))</f>
        <v/>
      </c>
      <c r="J1283" s="5" t="str">
        <f t="shared" si="38"/>
        <v>AI provisional</v>
      </c>
      <c r="K1283" s="5" t="str">
        <f t="shared" si="39"/>
        <v>Y</v>
      </c>
      <c r="L1283" s="5" t="s">
        <v>5529</v>
      </c>
      <c r="M1283" s="5" t="s">
        <v>5567</v>
      </c>
      <c r="N1283" s="5" t="s">
        <v>5568</v>
      </c>
      <c r="O1283" s="5" t="s">
        <v>3042</v>
      </c>
      <c r="P1283" s="5" t="s">
        <v>2992</v>
      </c>
      <c r="Q1283" s="11">
        <v>46306.5</v>
      </c>
      <c r="R1283" s="6"/>
      <c r="S1283" s="6"/>
      <c r="T1283" s="6"/>
      <c r="U1283" s="5">
        <f>MATCH(B1283,Manual_Review!$A$6:$A$238,0)</f>
        <v>80</v>
      </c>
      <c r="V1283" s="5" t="str">
        <f>IF(INDEX(Manual_Review!$G$6:$G$238,U1283)="","",INDEX(Manual_Review!$G$6:$G$238,U1283))</f>
        <v/>
      </c>
      <c r="W1283" s="11" t="str">
        <f>IF(INDEX(Manual_Review!$H$6:$H$238,U1283)="","",INDEX(Manual_Review!$H$6:$H$238,U1283))</f>
        <v/>
      </c>
      <c r="X1283" s="5" t="str">
        <f>IF(INDEX(Manual_Review!$I$6:$I$238,U1283)="","",INDEX(Manual_Review!$I$6:$I$238,U1283))</f>
        <v/>
      </c>
      <c r="Y1283" s="5" t="s">
        <v>2859</v>
      </c>
    </row>
    <row r="1284" spans="1:25" ht="25.5">
      <c r="A1284" s="5" t="s">
        <v>5569</v>
      </c>
      <c r="B1284" s="5" t="s">
        <v>982</v>
      </c>
      <c r="C1284" s="5" t="s">
        <v>983</v>
      </c>
      <c r="D1284" s="5" t="s">
        <v>118</v>
      </c>
      <c r="E1284" s="5" t="s">
        <v>2795</v>
      </c>
      <c r="F1284" s="5" t="s">
        <v>2764</v>
      </c>
      <c r="G1284" s="5">
        <v>1</v>
      </c>
      <c r="H1284" s="5" t="s">
        <v>2854</v>
      </c>
      <c r="I1284" s="5" t="str">
        <f>IF(INDEX(Manual_Review!$Y$6:$Y$238,U1284)="","",INDEX(Manual_Review!$Y$6:$Y$238,U1284))</f>
        <v/>
      </c>
      <c r="J1284" s="5" t="str">
        <f t="shared" si="38"/>
        <v>AI provisional</v>
      </c>
      <c r="K1284" s="5" t="str">
        <f t="shared" si="39"/>
        <v>Y</v>
      </c>
      <c r="L1284" s="5" t="s">
        <v>5529</v>
      </c>
      <c r="M1284" s="5" t="s">
        <v>5570</v>
      </c>
      <c r="N1284" s="5" t="s">
        <v>5571</v>
      </c>
      <c r="O1284" s="5" t="s">
        <v>3046</v>
      </c>
      <c r="P1284" s="5" t="s">
        <v>2992</v>
      </c>
      <c r="Q1284" s="11">
        <v>46306.5</v>
      </c>
      <c r="R1284" s="6"/>
      <c r="S1284" s="6"/>
      <c r="T1284" s="6"/>
      <c r="U1284" s="5">
        <f>MATCH(B1284,Manual_Review!$A$6:$A$238,0)</f>
        <v>80</v>
      </c>
      <c r="V1284" s="5" t="str">
        <f>IF(INDEX(Manual_Review!$G$6:$G$238,U1284)="","",INDEX(Manual_Review!$G$6:$G$238,U1284))</f>
        <v/>
      </c>
      <c r="W1284" s="11" t="str">
        <f>IF(INDEX(Manual_Review!$H$6:$H$238,U1284)="","",INDEX(Manual_Review!$H$6:$H$238,U1284))</f>
        <v/>
      </c>
      <c r="X1284" s="5" t="str">
        <f>IF(INDEX(Manual_Review!$I$6:$I$238,U1284)="","",INDEX(Manual_Review!$I$6:$I$238,U1284))</f>
        <v/>
      </c>
      <c r="Y1284" s="5" t="s">
        <v>2859</v>
      </c>
    </row>
    <row r="1285" spans="1:25" ht="38.25">
      <c r="A1285" s="5" t="s">
        <v>5572</v>
      </c>
      <c r="B1285" s="5" t="s">
        <v>982</v>
      </c>
      <c r="C1285" s="5" t="s">
        <v>983</v>
      </c>
      <c r="D1285" s="5" t="s">
        <v>118</v>
      </c>
      <c r="E1285" s="5" t="s">
        <v>2796</v>
      </c>
      <c r="F1285" s="5" t="s">
        <v>2764</v>
      </c>
      <c r="G1285" s="5">
        <v>1</v>
      </c>
      <c r="H1285" s="5" t="s">
        <v>2854</v>
      </c>
      <c r="I1285" s="5" t="str">
        <f>IF(INDEX(Manual_Review!$Z$6:$Z$238,U1285)="","",INDEX(Manual_Review!$Z$6:$Z$238,U1285))</f>
        <v/>
      </c>
      <c r="J1285" s="5" t="str">
        <f t="shared" si="38"/>
        <v>AI provisional</v>
      </c>
      <c r="K1285" s="5" t="str">
        <f t="shared" si="39"/>
        <v>Y</v>
      </c>
      <c r="L1285" s="5" t="s">
        <v>5529</v>
      </c>
      <c r="M1285" s="5" t="s">
        <v>5573</v>
      </c>
      <c r="N1285" s="5" t="s">
        <v>5574</v>
      </c>
      <c r="O1285" s="5" t="s">
        <v>3960</v>
      </c>
      <c r="P1285" s="5" t="s">
        <v>2992</v>
      </c>
      <c r="Q1285" s="11">
        <v>46306.5</v>
      </c>
      <c r="R1285" s="6"/>
      <c r="S1285" s="6"/>
      <c r="T1285" s="6"/>
      <c r="U1285" s="5">
        <f>MATCH(B1285,Manual_Review!$A$6:$A$238,0)</f>
        <v>80</v>
      </c>
      <c r="V1285" s="5" t="str">
        <f>IF(INDEX(Manual_Review!$G$6:$G$238,U1285)="","",INDEX(Manual_Review!$G$6:$G$238,U1285))</f>
        <v/>
      </c>
      <c r="W1285" s="11" t="str">
        <f>IF(INDEX(Manual_Review!$H$6:$H$238,U1285)="","",INDEX(Manual_Review!$H$6:$H$238,U1285))</f>
        <v/>
      </c>
      <c r="X1285" s="5" t="str">
        <f>IF(INDEX(Manual_Review!$I$6:$I$238,U1285)="","",INDEX(Manual_Review!$I$6:$I$238,U1285))</f>
        <v/>
      </c>
      <c r="Y1285" s="5" t="s">
        <v>2859</v>
      </c>
    </row>
    <row r="1286" spans="1:25" ht="25.5">
      <c r="A1286" s="5" t="s">
        <v>5575</v>
      </c>
      <c r="B1286" s="5" t="s">
        <v>995</v>
      </c>
      <c r="C1286" s="5" t="s">
        <v>996</v>
      </c>
      <c r="D1286" s="5" t="s">
        <v>118</v>
      </c>
      <c r="E1286" s="5" t="s">
        <v>2781</v>
      </c>
      <c r="F1286" s="5" t="s">
        <v>2754</v>
      </c>
      <c r="G1286" s="5">
        <v>1</v>
      </c>
      <c r="H1286" s="5" t="s">
        <v>2864</v>
      </c>
      <c r="I1286" s="5" t="str">
        <f>IF(INDEX(Manual_Review!$K$6:$K$238,U1286)="","",INDEX(Manual_Review!$K$6:$K$238,U1286))</f>
        <v/>
      </c>
      <c r="J1286" s="5" t="str">
        <f t="shared" ref="J1286:J1349" si="40">IF(G1286=0,"Not applicable",IF(I1286="","AI provisional",IF(AND(OR(I1286="Y",I1286="N",I1286="U",I1286="X"),V1286&lt;&gt;"",ISNUMBER(W1286),W1286&gt;0,X1286="Confirmed",R1286&lt;&gt;"",S1286&lt;&gt;"",T1286&lt;&gt;""),"Human valid","Evidence needed")))</f>
        <v>AI provisional</v>
      </c>
      <c r="K1286" s="5" t="str">
        <f t="shared" ref="K1286:K1349" si="41">IF(G1286=0,"N/A",IF(I1286="",H1286,IF(J1286="Human valid",I1286,"U")))</f>
        <v>U</v>
      </c>
      <c r="L1286" s="5" t="s">
        <v>998</v>
      </c>
      <c r="M1286" s="5" t="s">
        <v>5576</v>
      </c>
      <c r="N1286" s="5" t="s">
        <v>5577</v>
      </c>
      <c r="O1286" s="5" t="s">
        <v>5578</v>
      </c>
      <c r="P1286" s="5" t="s">
        <v>2858</v>
      </c>
      <c r="Q1286" s="11">
        <v>46306.5</v>
      </c>
      <c r="R1286" s="6"/>
      <c r="S1286" s="6"/>
      <c r="T1286" s="6"/>
      <c r="U1286" s="5">
        <f>MATCH(B1286,Manual_Review!$A$6:$A$238,0)</f>
        <v>81</v>
      </c>
      <c r="V1286" s="5" t="str">
        <f>IF(INDEX(Manual_Review!$G$6:$G$238,U1286)="","",INDEX(Manual_Review!$G$6:$G$238,U1286))</f>
        <v/>
      </c>
      <c r="W1286" s="11" t="str">
        <f>IF(INDEX(Manual_Review!$H$6:$H$238,U1286)="","",INDEX(Manual_Review!$H$6:$H$238,U1286))</f>
        <v/>
      </c>
      <c r="X1286" s="5" t="str">
        <f>IF(INDEX(Manual_Review!$I$6:$I$238,U1286)="","",INDEX(Manual_Review!$I$6:$I$238,U1286))</f>
        <v/>
      </c>
      <c r="Y1286" s="5" t="s">
        <v>2859</v>
      </c>
    </row>
    <row r="1287" spans="1:25" ht="25.5">
      <c r="A1287" s="5" t="s">
        <v>5579</v>
      </c>
      <c r="B1287" s="5" t="s">
        <v>995</v>
      </c>
      <c r="C1287" s="5" t="s">
        <v>996</v>
      </c>
      <c r="D1287" s="5" t="s">
        <v>118</v>
      </c>
      <c r="E1287" s="5" t="s">
        <v>2782</v>
      </c>
      <c r="F1287" s="5" t="s">
        <v>2754</v>
      </c>
      <c r="G1287" s="5">
        <v>1</v>
      </c>
      <c r="H1287" s="5" t="s">
        <v>2864</v>
      </c>
      <c r="I1287" s="5" t="str">
        <f>IF(INDEX(Manual_Review!$L$6:$L$238,U1287)="","",INDEX(Manual_Review!$L$6:$L$238,U1287))</f>
        <v/>
      </c>
      <c r="J1287" s="5" t="str">
        <f t="shared" si="40"/>
        <v>AI provisional</v>
      </c>
      <c r="K1287" s="5" t="str">
        <f t="shared" si="41"/>
        <v>U</v>
      </c>
      <c r="L1287" s="5" t="s">
        <v>998</v>
      </c>
      <c r="M1287" s="5" t="s">
        <v>5580</v>
      </c>
      <c r="N1287" s="5" t="s">
        <v>5577</v>
      </c>
      <c r="O1287" s="5" t="s">
        <v>4272</v>
      </c>
      <c r="P1287" s="5" t="s">
        <v>2858</v>
      </c>
      <c r="Q1287" s="11">
        <v>46306.5</v>
      </c>
      <c r="R1287" s="6"/>
      <c r="S1287" s="6"/>
      <c r="T1287" s="6"/>
      <c r="U1287" s="5">
        <f>MATCH(B1287,Manual_Review!$A$6:$A$238,0)</f>
        <v>81</v>
      </c>
      <c r="V1287" s="5" t="str">
        <f>IF(INDEX(Manual_Review!$G$6:$G$238,U1287)="","",INDEX(Manual_Review!$G$6:$G$238,U1287))</f>
        <v/>
      </c>
      <c r="W1287" s="11" t="str">
        <f>IF(INDEX(Manual_Review!$H$6:$H$238,U1287)="","",INDEX(Manual_Review!$H$6:$H$238,U1287))</f>
        <v/>
      </c>
      <c r="X1287" s="5" t="str">
        <f>IF(INDEX(Manual_Review!$I$6:$I$238,U1287)="","",INDEX(Manual_Review!$I$6:$I$238,U1287))</f>
        <v/>
      </c>
      <c r="Y1287" s="5" t="s">
        <v>2859</v>
      </c>
    </row>
    <row r="1288" spans="1:25" ht="25.5">
      <c r="A1288" s="5" t="s">
        <v>5581</v>
      </c>
      <c r="B1288" s="5" t="s">
        <v>995</v>
      </c>
      <c r="C1288" s="5" t="s">
        <v>996</v>
      </c>
      <c r="D1288" s="5" t="s">
        <v>118</v>
      </c>
      <c r="E1288" s="5" t="s">
        <v>2783</v>
      </c>
      <c r="F1288" s="5" t="s">
        <v>2754</v>
      </c>
      <c r="G1288" s="5">
        <v>1</v>
      </c>
      <c r="H1288" s="5" t="s">
        <v>2854</v>
      </c>
      <c r="I1288" s="5" t="str">
        <f>IF(INDEX(Manual_Review!$M$6:$M$238,U1288)="","",INDEX(Manual_Review!$M$6:$M$238,U1288))</f>
        <v/>
      </c>
      <c r="J1288" s="5" t="str">
        <f t="shared" si="40"/>
        <v>AI provisional</v>
      </c>
      <c r="K1288" s="5" t="str">
        <f t="shared" si="41"/>
        <v>Y</v>
      </c>
      <c r="L1288" s="5" t="s">
        <v>998</v>
      </c>
      <c r="M1288" s="5" t="s">
        <v>5582</v>
      </c>
      <c r="N1288" s="5" t="s">
        <v>5577</v>
      </c>
      <c r="O1288" s="5" t="s">
        <v>3133</v>
      </c>
      <c r="P1288" s="5" t="s">
        <v>2858</v>
      </c>
      <c r="Q1288" s="11">
        <v>46306.5</v>
      </c>
      <c r="R1288" s="6"/>
      <c r="S1288" s="6"/>
      <c r="T1288" s="6"/>
      <c r="U1288" s="5">
        <f>MATCH(B1288,Manual_Review!$A$6:$A$238,0)</f>
        <v>81</v>
      </c>
      <c r="V1288" s="5" t="str">
        <f>IF(INDEX(Manual_Review!$G$6:$G$238,U1288)="","",INDEX(Manual_Review!$G$6:$G$238,U1288))</f>
        <v/>
      </c>
      <c r="W1288" s="11" t="str">
        <f>IF(INDEX(Manual_Review!$H$6:$H$238,U1288)="","",INDEX(Manual_Review!$H$6:$H$238,U1288))</f>
        <v/>
      </c>
      <c r="X1288" s="5" t="str">
        <f>IF(INDEX(Manual_Review!$I$6:$I$238,U1288)="","",INDEX(Manual_Review!$I$6:$I$238,U1288))</f>
        <v/>
      </c>
      <c r="Y1288" s="5" t="s">
        <v>2859</v>
      </c>
    </row>
    <row r="1289" spans="1:25" ht="25.5">
      <c r="A1289" s="5" t="s">
        <v>5583</v>
      </c>
      <c r="B1289" s="5" t="s">
        <v>995</v>
      </c>
      <c r="C1289" s="5" t="s">
        <v>996</v>
      </c>
      <c r="D1289" s="5" t="s">
        <v>118</v>
      </c>
      <c r="E1289" s="5" t="s">
        <v>2784</v>
      </c>
      <c r="F1289" s="5" t="s">
        <v>2756</v>
      </c>
      <c r="G1289" s="5">
        <v>1</v>
      </c>
      <c r="H1289" s="5" t="s">
        <v>2864</v>
      </c>
      <c r="I1289" s="5" t="str">
        <f>IF(INDEX(Manual_Review!$N$6:$N$238,U1289)="","",INDEX(Manual_Review!$N$6:$N$238,U1289))</f>
        <v/>
      </c>
      <c r="J1289" s="5" t="str">
        <f t="shared" si="40"/>
        <v>AI provisional</v>
      </c>
      <c r="K1289" s="5" t="str">
        <f t="shared" si="41"/>
        <v>U</v>
      </c>
      <c r="L1289" s="5" t="s">
        <v>998</v>
      </c>
      <c r="M1289" s="5" t="s">
        <v>5584</v>
      </c>
      <c r="N1289" s="5" t="s">
        <v>5577</v>
      </c>
      <c r="O1289" s="5" t="s">
        <v>2869</v>
      </c>
      <c r="P1289" s="5" t="s">
        <v>2858</v>
      </c>
      <c r="Q1289" s="11">
        <v>46306.5</v>
      </c>
      <c r="R1289" s="6"/>
      <c r="S1289" s="6"/>
      <c r="T1289" s="6"/>
      <c r="U1289" s="5">
        <f>MATCH(B1289,Manual_Review!$A$6:$A$238,0)</f>
        <v>81</v>
      </c>
      <c r="V1289" s="5" t="str">
        <f>IF(INDEX(Manual_Review!$G$6:$G$238,U1289)="","",INDEX(Manual_Review!$G$6:$G$238,U1289))</f>
        <v/>
      </c>
      <c r="W1289" s="11" t="str">
        <f>IF(INDEX(Manual_Review!$H$6:$H$238,U1289)="","",INDEX(Manual_Review!$H$6:$H$238,U1289))</f>
        <v/>
      </c>
      <c r="X1289" s="5" t="str">
        <f>IF(INDEX(Manual_Review!$I$6:$I$238,U1289)="","",INDEX(Manual_Review!$I$6:$I$238,U1289))</f>
        <v/>
      </c>
      <c r="Y1289" s="5" t="s">
        <v>2859</v>
      </c>
    </row>
    <row r="1290" spans="1:25" ht="25.5">
      <c r="A1290" s="5" t="s">
        <v>5585</v>
      </c>
      <c r="B1290" s="5" t="s">
        <v>995</v>
      </c>
      <c r="C1290" s="5" t="s">
        <v>996</v>
      </c>
      <c r="D1290" s="5" t="s">
        <v>118</v>
      </c>
      <c r="E1290" s="5" t="s">
        <v>2785</v>
      </c>
      <c r="F1290" s="5" t="s">
        <v>2756</v>
      </c>
      <c r="G1290" s="5">
        <v>1</v>
      </c>
      <c r="H1290" s="5" t="s">
        <v>2864</v>
      </c>
      <c r="I1290" s="5" t="str">
        <f>IF(INDEX(Manual_Review!$O$6:$O$238,U1290)="","",INDEX(Manual_Review!$O$6:$O$238,U1290))</f>
        <v/>
      </c>
      <c r="J1290" s="5" t="str">
        <f t="shared" si="40"/>
        <v>AI provisional</v>
      </c>
      <c r="K1290" s="5" t="str">
        <f t="shared" si="41"/>
        <v>U</v>
      </c>
      <c r="L1290" s="5" t="s">
        <v>998</v>
      </c>
      <c r="M1290" s="5" t="s">
        <v>5586</v>
      </c>
      <c r="N1290" s="5" t="s">
        <v>5577</v>
      </c>
      <c r="O1290" s="5" t="s">
        <v>2872</v>
      </c>
      <c r="P1290" s="5" t="s">
        <v>2858</v>
      </c>
      <c r="Q1290" s="11">
        <v>46306.5</v>
      </c>
      <c r="R1290" s="6"/>
      <c r="S1290" s="6"/>
      <c r="T1290" s="6"/>
      <c r="U1290" s="5">
        <f>MATCH(B1290,Manual_Review!$A$6:$A$238,0)</f>
        <v>81</v>
      </c>
      <c r="V1290" s="5" t="str">
        <f>IF(INDEX(Manual_Review!$G$6:$G$238,U1290)="","",INDEX(Manual_Review!$G$6:$G$238,U1290))</f>
        <v/>
      </c>
      <c r="W1290" s="11" t="str">
        <f>IF(INDEX(Manual_Review!$H$6:$H$238,U1290)="","",INDEX(Manual_Review!$H$6:$H$238,U1290))</f>
        <v/>
      </c>
      <c r="X1290" s="5" t="str">
        <f>IF(INDEX(Manual_Review!$I$6:$I$238,U1290)="","",INDEX(Manual_Review!$I$6:$I$238,U1290))</f>
        <v/>
      </c>
      <c r="Y1290" s="5" t="s">
        <v>2859</v>
      </c>
    </row>
    <row r="1291" spans="1:25" ht="25.5">
      <c r="A1291" s="5" t="s">
        <v>5587</v>
      </c>
      <c r="B1291" s="5" t="s">
        <v>995</v>
      </c>
      <c r="C1291" s="5" t="s">
        <v>996</v>
      </c>
      <c r="D1291" s="5" t="s">
        <v>118</v>
      </c>
      <c r="E1291" s="5" t="s">
        <v>2786</v>
      </c>
      <c r="F1291" s="5" t="s">
        <v>2756</v>
      </c>
      <c r="G1291" s="5">
        <v>1</v>
      </c>
      <c r="H1291" s="5" t="s">
        <v>2864</v>
      </c>
      <c r="I1291" s="5" t="str">
        <f>IF(INDEX(Manual_Review!$P$6:$P$238,U1291)="","",INDEX(Manual_Review!$P$6:$P$238,U1291))</f>
        <v/>
      </c>
      <c r="J1291" s="5" t="str">
        <f t="shared" si="40"/>
        <v>AI provisional</v>
      </c>
      <c r="K1291" s="5" t="str">
        <f t="shared" si="41"/>
        <v>U</v>
      </c>
      <c r="L1291" s="5" t="s">
        <v>998</v>
      </c>
      <c r="M1291" s="5" t="s">
        <v>5586</v>
      </c>
      <c r="N1291" s="5" t="s">
        <v>5577</v>
      </c>
      <c r="O1291" s="5" t="s">
        <v>2874</v>
      </c>
      <c r="P1291" s="5" t="s">
        <v>2858</v>
      </c>
      <c r="Q1291" s="11">
        <v>46306.5</v>
      </c>
      <c r="R1291" s="6"/>
      <c r="S1291" s="6"/>
      <c r="T1291" s="6"/>
      <c r="U1291" s="5">
        <f>MATCH(B1291,Manual_Review!$A$6:$A$238,0)</f>
        <v>81</v>
      </c>
      <c r="V1291" s="5" t="str">
        <f>IF(INDEX(Manual_Review!$G$6:$G$238,U1291)="","",INDEX(Manual_Review!$G$6:$G$238,U1291))</f>
        <v/>
      </c>
      <c r="W1291" s="11" t="str">
        <f>IF(INDEX(Manual_Review!$H$6:$H$238,U1291)="","",INDEX(Manual_Review!$H$6:$H$238,U1291))</f>
        <v/>
      </c>
      <c r="X1291" s="5" t="str">
        <f>IF(INDEX(Manual_Review!$I$6:$I$238,U1291)="","",INDEX(Manual_Review!$I$6:$I$238,U1291))</f>
        <v/>
      </c>
      <c r="Y1291" s="5" t="s">
        <v>2859</v>
      </c>
    </row>
    <row r="1292" spans="1:25" ht="25.5">
      <c r="A1292" s="5" t="s">
        <v>5588</v>
      </c>
      <c r="B1292" s="5" t="s">
        <v>995</v>
      </c>
      <c r="C1292" s="5" t="s">
        <v>996</v>
      </c>
      <c r="D1292" s="5" t="s">
        <v>118</v>
      </c>
      <c r="E1292" s="5" t="s">
        <v>2787</v>
      </c>
      <c r="F1292" s="5" t="s">
        <v>2758</v>
      </c>
      <c r="G1292" s="5">
        <v>1</v>
      </c>
      <c r="H1292" s="5" t="s">
        <v>2864</v>
      </c>
      <c r="I1292" s="5" t="str">
        <f>IF(INDEX(Manual_Review!$Q$6:$Q$238,U1292)="","",INDEX(Manual_Review!$Q$6:$Q$238,U1292))</f>
        <v/>
      </c>
      <c r="J1292" s="5" t="str">
        <f t="shared" si="40"/>
        <v>AI provisional</v>
      </c>
      <c r="K1292" s="5" t="str">
        <f t="shared" si="41"/>
        <v>U</v>
      </c>
      <c r="L1292" s="5" t="s">
        <v>998</v>
      </c>
      <c r="M1292" s="5" t="s">
        <v>5586</v>
      </c>
      <c r="N1292" s="5" t="s">
        <v>5577</v>
      </c>
      <c r="O1292" s="5" t="s">
        <v>2877</v>
      </c>
      <c r="P1292" s="5" t="s">
        <v>2858</v>
      </c>
      <c r="Q1292" s="11">
        <v>46306.5</v>
      </c>
      <c r="R1292" s="6"/>
      <c r="S1292" s="6"/>
      <c r="T1292" s="6"/>
      <c r="U1292" s="5">
        <f>MATCH(B1292,Manual_Review!$A$6:$A$238,0)</f>
        <v>81</v>
      </c>
      <c r="V1292" s="5" t="str">
        <f>IF(INDEX(Manual_Review!$G$6:$G$238,U1292)="","",INDEX(Manual_Review!$G$6:$G$238,U1292))</f>
        <v/>
      </c>
      <c r="W1292" s="11" t="str">
        <f>IF(INDEX(Manual_Review!$H$6:$H$238,U1292)="","",INDEX(Manual_Review!$H$6:$H$238,U1292))</f>
        <v/>
      </c>
      <c r="X1292" s="5" t="str">
        <f>IF(INDEX(Manual_Review!$I$6:$I$238,U1292)="","",INDEX(Manual_Review!$I$6:$I$238,U1292))</f>
        <v/>
      </c>
      <c r="Y1292" s="5" t="s">
        <v>2859</v>
      </c>
    </row>
    <row r="1293" spans="1:25" ht="25.5">
      <c r="A1293" s="5" t="s">
        <v>5589</v>
      </c>
      <c r="B1293" s="5" t="s">
        <v>995</v>
      </c>
      <c r="C1293" s="5" t="s">
        <v>996</v>
      </c>
      <c r="D1293" s="5" t="s">
        <v>118</v>
      </c>
      <c r="E1293" s="5" t="s">
        <v>2788</v>
      </c>
      <c r="F1293" s="5" t="s">
        <v>2758</v>
      </c>
      <c r="G1293" s="5">
        <v>1</v>
      </c>
      <c r="H1293" s="5" t="s">
        <v>2864</v>
      </c>
      <c r="I1293" s="5" t="str">
        <f>IF(INDEX(Manual_Review!$R$6:$R$238,U1293)="","",INDEX(Manual_Review!$R$6:$R$238,U1293))</f>
        <v/>
      </c>
      <c r="J1293" s="5" t="str">
        <f t="shared" si="40"/>
        <v>AI provisional</v>
      </c>
      <c r="K1293" s="5" t="str">
        <f t="shared" si="41"/>
        <v>U</v>
      </c>
      <c r="L1293" s="5" t="s">
        <v>998</v>
      </c>
      <c r="M1293" s="5" t="s">
        <v>5590</v>
      </c>
      <c r="N1293" s="5" t="s">
        <v>5577</v>
      </c>
      <c r="O1293" s="5" t="s">
        <v>2880</v>
      </c>
      <c r="P1293" s="5" t="s">
        <v>2858</v>
      </c>
      <c r="Q1293" s="11">
        <v>46306.5</v>
      </c>
      <c r="R1293" s="6"/>
      <c r="S1293" s="6"/>
      <c r="T1293" s="6"/>
      <c r="U1293" s="5">
        <f>MATCH(B1293,Manual_Review!$A$6:$A$238,0)</f>
        <v>81</v>
      </c>
      <c r="V1293" s="5" t="str">
        <f>IF(INDEX(Manual_Review!$G$6:$G$238,U1293)="","",INDEX(Manual_Review!$G$6:$G$238,U1293))</f>
        <v/>
      </c>
      <c r="W1293" s="11" t="str">
        <f>IF(INDEX(Manual_Review!$H$6:$H$238,U1293)="","",INDEX(Manual_Review!$H$6:$H$238,U1293))</f>
        <v/>
      </c>
      <c r="X1293" s="5" t="str">
        <f>IF(INDEX(Manual_Review!$I$6:$I$238,U1293)="","",INDEX(Manual_Review!$I$6:$I$238,U1293))</f>
        <v/>
      </c>
      <c r="Y1293" s="5" t="s">
        <v>2859</v>
      </c>
    </row>
    <row r="1294" spans="1:25" ht="25.5">
      <c r="A1294" s="5" t="s">
        <v>5591</v>
      </c>
      <c r="B1294" s="5" t="s">
        <v>995</v>
      </c>
      <c r="C1294" s="5" t="s">
        <v>996</v>
      </c>
      <c r="D1294" s="5" t="s">
        <v>118</v>
      </c>
      <c r="E1294" s="5" t="s">
        <v>2789</v>
      </c>
      <c r="F1294" s="5" t="s">
        <v>2758</v>
      </c>
      <c r="G1294" s="5">
        <v>1</v>
      </c>
      <c r="H1294" s="5" t="s">
        <v>2864</v>
      </c>
      <c r="I1294" s="5" t="str">
        <f>IF(INDEX(Manual_Review!$S$6:$S$238,U1294)="","",INDEX(Manual_Review!$S$6:$S$238,U1294))</f>
        <v/>
      </c>
      <c r="J1294" s="5" t="str">
        <f t="shared" si="40"/>
        <v>AI provisional</v>
      </c>
      <c r="K1294" s="5" t="str">
        <f t="shared" si="41"/>
        <v>U</v>
      </c>
      <c r="L1294" s="5" t="s">
        <v>998</v>
      </c>
      <c r="M1294" s="5" t="s">
        <v>5592</v>
      </c>
      <c r="N1294" s="5" t="s">
        <v>5577</v>
      </c>
      <c r="O1294" s="5" t="s">
        <v>2883</v>
      </c>
      <c r="P1294" s="5" t="s">
        <v>2858</v>
      </c>
      <c r="Q1294" s="11">
        <v>46306.5</v>
      </c>
      <c r="R1294" s="6"/>
      <c r="S1294" s="6"/>
      <c r="T1294" s="6"/>
      <c r="U1294" s="5">
        <f>MATCH(B1294,Manual_Review!$A$6:$A$238,0)</f>
        <v>81</v>
      </c>
      <c r="V1294" s="5" t="str">
        <f>IF(INDEX(Manual_Review!$G$6:$G$238,U1294)="","",INDEX(Manual_Review!$G$6:$G$238,U1294))</f>
        <v/>
      </c>
      <c r="W1294" s="11" t="str">
        <f>IF(INDEX(Manual_Review!$H$6:$H$238,U1294)="","",INDEX(Manual_Review!$H$6:$H$238,U1294))</f>
        <v/>
      </c>
      <c r="X1294" s="5" t="str">
        <f>IF(INDEX(Manual_Review!$I$6:$I$238,U1294)="","",INDEX(Manual_Review!$I$6:$I$238,U1294))</f>
        <v/>
      </c>
      <c r="Y1294" s="5" t="s">
        <v>2859</v>
      </c>
    </row>
    <row r="1295" spans="1:25" ht="25.5">
      <c r="A1295" s="5" t="s">
        <v>5593</v>
      </c>
      <c r="B1295" s="5" t="s">
        <v>995</v>
      </c>
      <c r="C1295" s="5" t="s">
        <v>996</v>
      </c>
      <c r="D1295" s="5" t="s">
        <v>118</v>
      </c>
      <c r="E1295" s="5" t="s">
        <v>2790</v>
      </c>
      <c r="F1295" s="5" t="s">
        <v>2760</v>
      </c>
      <c r="G1295" s="5">
        <v>1</v>
      </c>
      <c r="H1295" s="5" t="s">
        <v>2864</v>
      </c>
      <c r="I1295" s="5" t="str">
        <f>IF(INDEX(Manual_Review!$T$6:$T$238,U1295)="","",INDEX(Manual_Review!$T$6:$T$238,U1295))</f>
        <v/>
      </c>
      <c r="J1295" s="5" t="str">
        <f t="shared" si="40"/>
        <v>AI provisional</v>
      </c>
      <c r="K1295" s="5" t="str">
        <f t="shared" si="41"/>
        <v>U</v>
      </c>
      <c r="L1295" s="5" t="s">
        <v>998</v>
      </c>
      <c r="M1295" s="5" t="s">
        <v>5586</v>
      </c>
      <c r="N1295" s="5" t="s">
        <v>5577</v>
      </c>
      <c r="O1295" s="5" t="s">
        <v>2885</v>
      </c>
      <c r="P1295" s="5" t="s">
        <v>2858</v>
      </c>
      <c r="Q1295" s="11">
        <v>46306.5</v>
      </c>
      <c r="R1295" s="6"/>
      <c r="S1295" s="6"/>
      <c r="T1295" s="6"/>
      <c r="U1295" s="5">
        <f>MATCH(B1295,Manual_Review!$A$6:$A$238,0)</f>
        <v>81</v>
      </c>
      <c r="V1295" s="5" t="str">
        <f>IF(INDEX(Manual_Review!$G$6:$G$238,U1295)="","",INDEX(Manual_Review!$G$6:$G$238,U1295))</f>
        <v/>
      </c>
      <c r="W1295" s="11" t="str">
        <f>IF(INDEX(Manual_Review!$H$6:$H$238,U1295)="","",INDEX(Manual_Review!$H$6:$H$238,U1295))</f>
        <v/>
      </c>
      <c r="X1295" s="5" t="str">
        <f>IF(INDEX(Manual_Review!$I$6:$I$238,U1295)="","",INDEX(Manual_Review!$I$6:$I$238,U1295))</f>
        <v/>
      </c>
      <c r="Y1295" s="5" t="s">
        <v>2859</v>
      </c>
    </row>
    <row r="1296" spans="1:25" ht="25.5">
      <c r="A1296" s="5" t="s">
        <v>5594</v>
      </c>
      <c r="B1296" s="5" t="s">
        <v>995</v>
      </c>
      <c r="C1296" s="5" t="s">
        <v>996</v>
      </c>
      <c r="D1296" s="5" t="s">
        <v>118</v>
      </c>
      <c r="E1296" s="5" t="s">
        <v>2791</v>
      </c>
      <c r="F1296" s="5" t="s">
        <v>2760</v>
      </c>
      <c r="G1296" s="5">
        <v>1</v>
      </c>
      <c r="H1296" s="5" t="s">
        <v>2864</v>
      </c>
      <c r="I1296" s="5" t="str">
        <f>IF(INDEX(Manual_Review!$U$6:$U$238,U1296)="","",INDEX(Manual_Review!$U$6:$U$238,U1296))</f>
        <v/>
      </c>
      <c r="J1296" s="5" t="str">
        <f t="shared" si="40"/>
        <v>AI provisional</v>
      </c>
      <c r="K1296" s="5" t="str">
        <f t="shared" si="41"/>
        <v>U</v>
      </c>
      <c r="L1296" s="5" t="s">
        <v>998</v>
      </c>
      <c r="M1296" s="5" t="s">
        <v>5586</v>
      </c>
      <c r="N1296" s="5" t="s">
        <v>5577</v>
      </c>
      <c r="O1296" s="5" t="s">
        <v>2888</v>
      </c>
      <c r="P1296" s="5" t="s">
        <v>2858</v>
      </c>
      <c r="Q1296" s="11">
        <v>46306.5</v>
      </c>
      <c r="R1296" s="6"/>
      <c r="S1296" s="6"/>
      <c r="T1296" s="6"/>
      <c r="U1296" s="5">
        <f>MATCH(B1296,Manual_Review!$A$6:$A$238,0)</f>
        <v>81</v>
      </c>
      <c r="V1296" s="5" t="str">
        <f>IF(INDEX(Manual_Review!$G$6:$G$238,U1296)="","",INDEX(Manual_Review!$G$6:$G$238,U1296))</f>
        <v/>
      </c>
      <c r="W1296" s="11" t="str">
        <f>IF(INDEX(Manual_Review!$H$6:$H$238,U1296)="","",INDEX(Manual_Review!$H$6:$H$238,U1296))</f>
        <v/>
      </c>
      <c r="X1296" s="5" t="str">
        <f>IF(INDEX(Manual_Review!$I$6:$I$238,U1296)="","",INDEX(Manual_Review!$I$6:$I$238,U1296))</f>
        <v/>
      </c>
      <c r="Y1296" s="5" t="s">
        <v>2859</v>
      </c>
    </row>
    <row r="1297" spans="1:25" ht="25.5">
      <c r="A1297" s="5" t="s">
        <v>5595</v>
      </c>
      <c r="B1297" s="5" t="s">
        <v>995</v>
      </c>
      <c r="C1297" s="5" t="s">
        <v>996</v>
      </c>
      <c r="D1297" s="5" t="s">
        <v>118</v>
      </c>
      <c r="E1297" s="5" t="s">
        <v>2792</v>
      </c>
      <c r="F1297" s="5" t="s">
        <v>2762</v>
      </c>
      <c r="G1297" s="5">
        <v>1</v>
      </c>
      <c r="H1297" s="5" t="s">
        <v>2864</v>
      </c>
      <c r="I1297" s="5" t="str">
        <f>IF(INDEX(Manual_Review!$V$6:$V$238,U1297)="","",INDEX(Manual_Review!$V$6:$V$238,U1297))</f>
        <v/>
      </c>
      <c r="J1297" s="5" t="str">
        <f t="shared" si="40"/>
        <v>AI provisional</v>
      </c>
      <c r="K1297" s="5" t="str">
        <f t="shared" si="41"/>
        <v>U</v>
      </c>
      <c r="L1297" s="5" t="s">
        <v>998</v>
      </c>
      <c r="M1297" s="5" t="s">
        <v>5586</v>
      </c>
      <c r="N1297" s="5" t="s">
        <v>5577</v>
      </c>
      <c r="O1297" s="5" t="s">
        <v>2891</v>
      </c>
      <c r="P1297" s="5" t="s">
        <v>2858</v>
      </c>
      <c r="Q1297" s="11">
        <v>46306.5</v>
      </c>
      <c r="R1297" s="6"/>
      <c r="S1297" s="6"/>
      <c r="T1297" s="6"/>
      <c r="U1297" s="5">
        <f>MATCH(B1297,Manual_Review!$A$6:$A$238,0)</f>
        <v>81</v>
      </c>
      <c r="V1297" s="5" t="str">
        <f>IF(INDEX(Manual_Review!$G$6:$G$238,U1297)="","",INDEX(Manual_Review!$G$6:$G$238,U1297))</f>
        <v/>
      </c>
      <c r="W1297" s="11" t="str">
        <f>IF(INDEX(Manual_Review!$H$6:$H$238,U1297)="","",INDEX(Manual_Review!$H$6:$H$238,U1297))</f>
        <v/>
      </c>
      <c r="X1297" s="5" t="str">
        <f>IF(INDEX(Manual_Review!$I$6:$I$238,U1297)="","",INDEX(Manual_Review!$I$6:$I$238,U1297))</f>
        <v/>
      </c>
      <c r="Y1297" s="5" t="s">
        <v>2859</v>
      </c>
    </row>
    <row r="1298" spans="1:25" ht="25.5">
      <c r="A1298" s="5" t="s">
        <v>5596</v>
      </c>
      <c r="B1298" s="5" t="s">
        <v>995</v>
      </c>
      <c r="C1298" s="5" t="s">
        <v>996</v>
      </c>
      <c r="D1298" s="5" t="s">
        <v>118</v>
      </c>
      <c r="E1298" s="5" t="s">
        <v>2793</v>
      </c>
      <c r="F1298" s="5" t="s">
        <v>2762</v>
      </c>
      <c r="G1298" s="5">
        <v>1</v>
      </c>
      <c r="H1298" s="5" t="s">
        <v>2864</v>
      </c>
      <c r="I1298" s="5" t="str">
        <f>IF(INDEX(Manual_Review!$W$6:$W$238,U1298)="","",INDEX(Manual_Review!$W$6:$W$238,U1298))</f>
        <v/>
      </c>
      <c r="J1298" s="5" t="str">
        <f t="shared" si="40"/>
        <v>AI provisional</v>
      </c>
      <c r="K1298" s="5" t="str">
        <f t="shared" si="41"/>
        <v>U</v>
      </c>
      <c r="L1298" s="5" t="s">
        <v>998</v>
      </c>
      <c r="M1298" s="5" t="s">
        <v>5586</v>
      </c>
      <c r="N1298" s="5" t="s">
        <v>5577</v>
      </c>
      <c r="O1298" s="5" t="s">
        <v>2893</v>
      </c>
      <c r="P1298" s="5" t="s">
        <v>2858</v>
      </c>
      <c r="Q1298" s="11">
        <v>46306.5</v>
      </c>
      <c r="R1298" s="6"/>
      <c r="S1298" s="6"/>
      <c r="T1298" s="6"/>
      <c r="U1298" s="5">
        <f>MATCH(B1298,Manual_Review!$A$6:$A$238,0)</f>
        <v>81</v>
      </c>
      <c r="V1298" s="5" t="str">
        <f>IF(INDEX(Manual_Review!$G$6:$G$238,U1298)="","",INDEX(Manual_Review!$G$6:$G$238,U1298))</f>
        <v/>
      </c>
      <c r="W1298" s="11" t="str">
        <f>IF(INDEX(Manual_Review!$H$6:$H$238,U1298)="","",INDEX(Manual_Review!$H$6:$H$238,U1298))</f>
        <v/>
      </c>
      <c r="X1298" s="5" t="str">
        <f>IF(INDEX(Manual_Review!$I$6:$I$238,U1298)="","",INDEX(Manual_Review!$I$6:$I$238,U1298))</f>
        <v/>
      </c>
      <c r="Y1298" s="5" t="s">
        <v>2859</v>
      </c>
    </row>
    <row r="1299" spans="1:25" ht="25.5">
      <c r="A1299" s="5" t="s">
        <v>5597</v>
      </c>
      <c r="B1299" s="5" t="s">
        <v>995</v>
      </c>
      <c r="C1299" s="5" t="s">
        <v>996</v>
      </c>
      <c r="D1299" s="5" t="s">
        <v>118</v>
      </c>
      <c r="E1299" s="5" t="s">
        <v>2794</v>
      </c>
      <c r="F1299" s="5" t="s">
        <v>2764</v>
      </c>
      <c r="G1299" s="5">
        <v>1</v>
      </c>
      <c r="H1299" s="5" t="s">
        <v>2864</v>
      </c>
      <c r="I1299" s="5" t="str">
        <f>IF(INDEX(Manual_Review!$X$6:$X$238,U1299)="","",INDEX(Manual_Review!$X$6:$X$238,U1299))</f>
        <v/>
      </c>
      <c r="J1299" s="5" t="str">
        <f t="shared" si="40"/>
        <v>AI provisional</v>
      </c>
      <c r="K1299" s="5" t="str">
        <f t="shared" si="41"/>
        <v>U</v>
      </c>
      <c r="L1299" s="5" t="s">
        <v>998</v>
      </c>
      <c r="M1299" s="5" t="s">
        <v>5586</v>
      </c>
      <c r="N1299" s="5" t="s">
        <v>5577</v>
      </c>
      <c r="O1299" s="5" t="s">
        <v>2895</v>
      </c>
      <c r="P1299" s="5" t="s">
        <v>2858</v>
      </c>
      <c r="Q1299" s="11">
        <v>46306.5</v>
      </c>
      <c r="R1299" s="6"/>
      <c r="S1299" s="6"/>
      <c r="T1299" s="6"/>
      <c r="U1299" s="5">
        <f>MATCH(B1299,Manual_Review!$A$6:$A$238,0)</f>
        <v>81</v>
      </c>
      <c r="V1299" s="5" t="str">
        <f>IF(INDEX(Manual_Review!$G$6:$G$238,U1299)="","",INDEX(Manual_Review!$G$6:$G$238,U1299))</f>
        <v/>
      </c>
      <c r="W1299" s="11" t="str">
        <f>IF(INDEX(Manual_Review!$H$6:$H$238,U1299)="","",INDEX(Manual_Review!$H$6:$H$238,U1299))</f>
        <v/>
      </c>
      <c r="X1299" s="5" t="str">
        <f>IF(INDEX(Manual_Review!$I$6:$I$238,U1299)="","",INDEX(Manual_Review!$I$6:$I$238,U1299))</f>
        <v/>
      </c>
      <c r="Y1299" s="5" t="s">
        <v>2859</v>
      </c>
    </row>
    <row r="1300" spans="1:25" ht="25.5">
      <c r="A1300" s="5" t="s">
        <v>5598</v>
      </c>
      <c r="B1300" s="5" t="s">
        <v>995</v>
      </c>
      <c r="C1300" s="5" t="s">
        <v>996</v>
      </c>
      <c r="D1300" s="5" t="s">
        <v>118</v>
      </c>
      <c r="E1300" s="5" t="s">
        <v>2795</v>
      </c>
      <c r="F1300" s="5" t="s">
        <v>2764</v>
      </c>
      <c r="G1300" s="5">
        <v>1</v>
      </c>
      <c r="H1300" s="5" t="s">
        <v>2864</v>
      </c>
      <c r="I1300" s="5" t="str">
        <f>IF(INDEX(Manual_Review!$Y$6:$Y$238,U1300)="","",INDEX(Manual_Review!$Y$6:$Y$238,U1300))</f>
        <v/>
      </c>
      <c r="J1300" s="5" t="str">
        <f t="shared" si="40"/>
        <v>AI provisional</v>
      </c>
      <c r="K1300" s="5" t="str">
        <f t="shared" si="41"/>
        <v>U</v>
      </c>
      <c r="L1300" s="5" t="s">
        <v>998</v>
      </c>
      <c r="M1300" s="5" t="s">
        <v>5586</v>
      </c>
      <c r="N1300" s="5" t="s">
        <v>5577</v>
      </c>
      <c r="O1300" s="5" t="s">
        <v>2897</v>
      </c>
      <c r="P1300" s="5" t="s">
        <v>2858</v>
      </c>
      <c r="Q1300" s="11">
        <v>46306.5</v>
      </c>
      <c r="R1300" s="6"/>
      <c r="S1300" s="6"/>
      <c r="T1300" s="6"/>
      <c r="U1300" s="5">
        <f>MATCH(B1300,Manual_Review!$A$6:$A$238,0)</f>
        <v>81</v>
      </c>
      <c r="V1300" s="5" t="str">
        <f>IF(INDEX(Manual_Review!$G$6:$G$238,U1300)="","",INDEX(Manual_Review!$G$6:$G$238,U1300))</f>
        <v/>
      </c>
      <c r="W1300" s="11" t="str">
        <f>IF(INDEX(Manual_Review!$H$6:$H$238,U1300)="","",INDEX(Manual_Review!$H$6:$H$238,U1300))</f>
        <v/>
      </c>
      <c r="X1300" s="5" t="str">
        <f>IF(INDEX(Manual_Review!$I$6:$I$238,U1300)="","",INDEX(Manual_Review!$I$6:$I$238,U1300))</f>
        <v/>
      </c>
      <c r="Y1300" s="5" t="s">
        <v>2859</v>
      </c>
    </row>
    <row r="1301" spans="1:25" ht="25.5">
      <c r="A1301" s="5" t="s">
        <v>5599</v>
      </c>
      <c r="B1301" s="5" t="s">
        <v>995</v>
      </c>
      <c r="C1301" s="5" t="s">
        <v>996</v>
      </c>
      <c r="D1301" s="5" t="s">
        <v>118</v>
      </c>
      <c r="E1301" s="5" t="s">
        <v>2796</v>
      </c>
      <c r="F1301" s="5" t="s">
        <v>2764</v>
      </c>
      <c r="G1301" s="5">
        <v>1</v>
      </c>
      <c r="H1301" s="5" t="s">
        <v>2864</v>
      </c>
      <c r="I1301" s="5" t="str">
        <f>IF(INDEX(Manual_Review!$Z$6:$Z$238,U1301)="","",INDEX(Manual_Review!$Z$6:$Z$238,U1301))</f>
        <v/>
      </c>
      <c r="J1301" s="5" t="str">
        <f t="shared" si="40"/>
        <v>AI provisional</v>
      </c>
      <c r="K1301" s="5" t="str">
        <f t="shared" si="41"/>
        <v>U</v>
      </c>
      <c r="L1301" s="5" t="s">
        <v>998</v>
      </c>
      <c r="M1301" s="5" t="s">
        <v>5592</v>
      </c>
      <c r="N1301" s="5" t="s">
        <v>5577</v>
      </c>
      <c r="O1301" s="5" t="s">
        <v>2899</v>
      </c>
      <c r="P1301" s="5" t="s">
        <v>2858</v>
      </c>
      <c r="Q1301" s="11">
        <v>46306.5</v>
      </c>
      <c r="R1301" s="6"/>
      <c r="S1301" s="6"/>
      <c r="T1301" s="6"/>
      <c r="U1301" s="5">
        <f>MATCH(B1301,Manual_Review!$A$6:$A$238,0)</f>
        <v>81</v>
      </c>
      <c r="V1301" s="5" t="str">
        <f>IF(INDEX(Manual_Review!$G$6:$G$238,U1301)="","",INDEX(Manual_Review!$G$6:$G$238,U1301))</f>
        <v/>
      </c>
      <c r="W1301" s="11" t="str">
        <f>IF(INDEX(Manual_Review!$H$6:$H$238,U1301)="","",INDEX(Manual_Review!$H$6:$H$238,U1301))</f>
        <v/>
      </c>
      <c r="X1301" s="5" t="str">
        <f>IF(INDEX(Manual_Review!$I$6:$I$238,U1301)="","",INDEX(Manual_Review!$I$6:$I$238,U1301))</f>
        <v/>
      </c>
      <c r="Y1301" s="5" t="s">
        <v>2859</v>
      </c>
    </row>
    <row r="1302" spans="1:25" ht="38.25">
      <c r="A1302" s="5" t="s">
        <v>5600</v>
      </c>
      <c r="B1302" s="5" t="s">
        <v>1000</v>
      </c>
      <c r="C1302" s="5" t="s">
        <v>1001</v>
      </c>
      <c r="D1302" s="5" t="s">
        <v>118</v>
      </c>
      <c r="E1302" s="5" t="s">
        <v>2781</v>
      </c>
      <c r="F1302" s="5" t="s">
        <v>2754</v>
      </c>
      <c r="G1302" s="5">
        <v>1</v>
      </c>
      <c r="H1302" s="5" t="s">
        <v>2854</v>
      </c>
      <c r="I1302" s="5" t="str">
        <f>IF(INDEX(Manual_Review!$K$6:$K$238,U1302)="","",INDEX(Manual_Review!$K$6:$K$238,U1302))</f>
        <v/>
      </c>
      <c r="J1302" s="5" t="str">
        <f t="shared" si="40"/>
        <v>AI provisional</v>
      </c>
      <c r="K1302" s="5" t="str">
        <f t="shared" si="41"/>
        <v>Y</v>
      </c>
      <c r="L1302" s="5" t="s">
        <v>1007</v>
      </c>
      <c r="M1302" s="5" t="s">
        <v>5601</v>
      </c>
      <c r="N1302" s="5" t="s">
        <v>5602</v>
      </c>
      <c r="O1302" s="5" t="s">
        <v>2857</v>
      </c>
      <c r="P1302" s="5" t="s">
        <v>2858</v>
      </c>
      <c r="Q1302" s="11">
        <v>46306.5</v>
      </c>
      <c r="R1302" s="6"/>
      <c r="S1302" s="6"/>
      <c r="T1302" s="6"/>
      <c r="U1302" s="5">
        <f>MATCH(B1302,Manual_Review!$A$6:$A$238,0)</f>
        <v>82</v>
      </c>
      <c r="V1302" s="5" t="str">
        <f>IF(INDEX(Manual_Review!$G$6:$G$238,U1302)="","",INDEX(Manual_Review!$G$6:$G$238,U1302))</f>
        <v/>
      </c>
      <c r="W1302" s="11" t="str">
        <f>IF(INDEX(Manual_Review!$H$6:$H$238,U1302)="","",INDEX(Manual_Review!$H$6:$H$238,U1302))</f>
        <v/>
      </c>
      <c r="X1302" s="5" t="str">
        <f>IF(INDEX(Manual_Review!$I$6:$I$238,U1302)="","",INDEX(Manual_Review!$I$6:$I$238,U1302))</f>
        <v/>
      </c>
      <c r="Y1302" s="5" t="s">
        <v>2859</v>
      </c>
    </row>
    <row r="1303" spans="1:25" ht="38.25">
      <c r="A1303" s="5" t="s">
        <v>5603</v>
      </c>
      <c r="B1303" s="5" t="s">
        <v>1000</v>
      </c>
      <c r="C1303" s="5" t="s">
        <v>1001</v>
      </c>
      <c r="D1303" s="5" t="s">
        <v>118</v>
      </c>
      <c r="E1303" s="5" t="s">
        <v>2782</v>
      </c>
      <c r="F1303" s="5" t="s">
        <v>2754</v>
      </c>
      <c r="G1303" s="5">
        <v>1</v>
      </c>
      <c r="H1303" s="5" t="s">
        <v>2854</v>
      </c>
      <c r="I1303" s="5" t="str">
        <f>IF(INDEX(Manual_Review!$L$6:$L$238,U1303)="","",INDEX(Manual_Review!$L$6:$L$238,U1303))</f>
        <v/>
      </c>
      <c r="J1303" s="5" t="str">
        <f t="shared" si="40"/>
        <v>AI provisional</v>
      </c>
      <c r="K1303" s="5" t="str">
        <f t="shared" si="41"/>
        <v>Y</v>
      </c>
      <c r="L1303" s="5" t="s">
        <v>1007</v>
      </c>
      <c r="M1303" s="5" t="s">
        <v>5604</v>
      </c>
      <c r="N1303" s="5" t="s">
        <v>5602</v>
      </c>
      <c r="O1303" s="5" t="s">
        <v>2862</v>
      </c>
      <c r="P1303" s="5" t="s">
        <v>2858</v>
      </c>
      <c r="Q1303" s="11">
        <v>46306.5</v>
      </c>
      <c r="R1303" s="6"/>
      <c r="S1303" s="6"/>
      <c r="T1303" s="6"/>
      <c r="U1303" s="5">
        <f>MATCH(B1303,Manual_Review!$A$6:$A$238,0)</f>
        <v>82</v>
      </c>
      <c r="V1303" s="5" t="str">
        <f>IF(INDEX(Manual_Review!$G$6:$G$238,U1303)="","",INDEX(Manual_Review!$G$6:$G$238,U1303))</f>
        <v/>
      </c>
      <c r="W1303" s="11" t="str">
        <f>IF(INDEX(Manual_Review!$H$6:$H$238,U1303)="","",INDEX(Manual_Review!$H$6:$H$238,U1303))</f>
        <v/>
      </c>
      <c r="X1303" s="5" t="str">
        <f>IF(INDEX(Manual_Review!$I$6:$I$238,U1303)="","",INDEX(Manual_Review!$I$6:$I$238,U1303))</f>
        <v/>
      </c>
      <c r="Y1303" s="5" t="s">
        <v>2859</v>
      </c>
    </row>
    <row r="1304" spans="1:25" ht="38.25">
      <c r="A1304" s="5" t="s">
        <v>5605</v>
      </c>
      <c r="B1304" s="5" t="s">
        <v>1000</v>
      </c>
      <c r="C1304" s="5" t="s">
        <v>1001</v>
      </c>
      <c r="D1304" s="5" t="s">
        <v>118</v>
      </c>
      <c r="E1304" s="5" t="s">
        <v>2783</v>
      </c>
      <c r="F1304" s="5" t="s">
        <v>2754</v>
      </c>
      <c r="G1304" s="5">
        <v>1</v>
      </c>
      <c r="H1304" s="5" t="s">
        <v>2854</v>
      </c>
      <c r="I1304" s="5" t="str">
        <f>IF(INDEX(Manual_Review!$M$6:$M$238,U1304)="","",INDEX(Manual_Review!$M$6:$M$238,U1304))</f>
        <v/>
      </c>
      <c r="J1304" s="5" t="str">
        <f t="shared" si="40"/>
        <v>AI provisional</v>
      </c>
      <c r="K1304" s="5" t="str">
        <f t="shared" si="41"/>
        <v>Y</v>
      </c>
      <c r="L1304" s="5" t="s">
        <v>1007</v>
      </c>
      <c r="M1304" s="5" t="s">
        <v>5606</v>
      </c>
      <c r="N1304" s="5" t="s">
        <v>5602</v>
      </c>
      <c r="O1304" s="5" t="s">
        <v>3133</v>
      </c>
      <c r="P1304" s="5" t="s">
        <v>2858</v>
      </c>
      <c r="Q1304" s="11">
        <v>46306.5</v>
      </c>
      <c r="R1304" s="6"/>
      <c r="S1304" s="6"/>
      <c r="T1304" s="6"/>
      <c r="U1304" s="5">
        <f>MATCH(B1304,Manual_Review!$A$6:$A$238,0)</f>
        <v>82</v>
      </c>
      <c r="V1304" s="5" t="str">
        <f>IF(INDEX(Manual_Review!$G$6:$G$238,U1304)="","",INDEX(Manual_Review!$G$6:$G$238,U1304))</f>
        <v/>
      </c>
      <c r="W1304" s="11" t="str">
        <f>IF(INDEX(Manual_Review!$H$6:$H$238,U1304)="","",INDEX(Manual_Review!$H$6:$H$238,U1304))</f>
        <v/>
      </c>
      <c r="X1304" s="5" t="str">
        <f>IF(INDEX(Manual_Review!$I$6:$I$238,U1304)="","",INDEX(Manual_Review!$I$6:$I$238,U1304))</f>
        <v/>
      </c>
      <c r="Y1304" s="5" t="s">
        <v>2859</v>
      </c>
    </row>
    <row r="1305" spans="1:25" ht="38.25">
      <c r="A1305" s="5" t="s">
        <v>5607</v>
      </c>
      <c r="B1305" s="5" t="s">
        <v>1000</v>
      </c>
      <c r="C1305" s="5" t="s">
        <v>1001</v>
      </c>
      <c r="D1305" s="5" t="s">
        <v>118</v>
      </c>
      <c r="E1305" s="5" t="s">
        <v>2784</v>
      </c>
      <c r="F1305" s="5" t="s">
        <v>2756</v>
      </c>
      <c r="G1305" s="5">
        <v>1</v>
      </c>
      <c r="H1305" s="5" t="s">
        <v>2854</v>
      </c>
      <c r="I1305" s="5" t="str">
        <f>IF(INDEX(Manual_Review!$N$6:$N$238,U1305)="","",INDEX(Manual_Review!$N$6:$N$238,U1305))</f>
        <v/>
      </c>
      <c r="J1305" s="5" t="str">
        <f t="shared" si="40"/>
        <v>AI provisional</v>
      </c>
      <c r="K1305" s="5" t="str">
        <f t="shared" si="41"/>
        <v>Y</v>
      </c>
      <c r="L1305" s="5" t="s">
        <v>1007</v>
      </c>
      <c r="M1305" s="5" t="s">
        <v>5608</v>
      </c>
      <c r="N1305" s="5" t="s">
        <v>5602</v>
      </c>
      <c r="O1305" s="5" t="s">
        <v>2963</v>
      </c>
      <c r="P1305" s="5" t="s">
        <v>2858</v>
      </c>
      <c r="Q1305" s="11">
        <v>46306.5</v>
      </c>
      <c r="R1305" s="6"/>
      <c r="S1305" s="6"/>
      <c r="T1305" s="6"/>
      <c r="U1305" s="5">
        <f>MATCH(B1305,Manual_Review!$A$6:$A$238,0)</f>
        <v>82</v>
      </c>
      <c r="V1305" s="5" t="str">
        <f>IF(INDEX(Manual_Review!$G$6:$G$238,U1305)="","",INDEX(Manual_Review!$G$6:$G$238,U1305))</f>
        <v/>
      </c>
      <c r="W1305" s="11" t="str">
        <f>IF(INDEX(Manual_Review!$H$6:$H$238,U1305)="","",INDEX(Manual_Review!$H$6:$H$238,U1305))</f>
        <v/>
      </c>
      <c r="X1305" s="5" t="str">
        <f>IF(INDEX(Manual_Review!$I$6:$I$238,U1305)="","",INDEX(Manual_Review!$I$6:$I$238,U1305))</f>
        <v/>
      </c>
      <c r="Y1305" s="5" t="s">
        <v>2859</v>
      </c>
    </row>
    <row r="1306" spans="1:25" ht="38.25">
      <c r="A1306" s="5" t="s">
        <v>5609</v>
      </c>
      <c r="B1306" s="5" t="s">
        <v>1000</v>
      </c>
      <c r="C1306" s="5" t="s">
        <v>1001</v>
      </c>
      <c r="D1306" s="5" t="s">
        <v>118</v>
      </c>
      <c r="E1306" s="5" t="s">
        <v>2785</v>
      </c>
      <c r="F1306" s="5" t="s">
        <v>2756</v>
      </c>
      <c r="G1306" s="5">
        <v>1</v>
      </c>
      <c r="H1306" s="5" t="s">
        <v>2864</v>
      </c>
      <c r="I1306" s="5" t="str">
        <f>IF(INDEX(Manual_Review!$O$6:$O$238,U1306)="","",INDEX(Manual_Review!$O$6:$O$238,U1306))</f>
        <v/>
      </c>
      <c r="J1306" s="5" t="str">
        <f t="shared" si="40"/>
        <v>AI provisional</v>
      </c>
      <c r="K1306" s="5" t="str">
        <f t="shared" si="41"/>
        <v>U</v>
      </c>
      <c r="L1306" s="5" t="s">
        <v>1007</v>
      </c>
      <c r="M1306" s="5" t="s">
        <v>5610</v>
      </c>
      <c r="N1306" s="5" t="s">
        <v>5602</v>
      </c>
      <c r="O1306" s="5" t="s">
        <v>2872</v>
      </c>
      <c r="P1306" s="5" t="s">
        <v>2858</v>
      </c>
      <c r="Q1306" s="11">
        <v>46306.5</v>
      </c>
      <c r="R1306" s="6"/>
      <c r="S1306" s="6"/>
      <c r="T1306" s="6"/>
      <c r="U1306" s="5">
        <f>MATCH(B1306,Manual_Review!$A$6:$A$238,0)</f>
        <v>82</v>
      </c>
      <c r="V1306" s="5" t="str">
        <f>IF(INDEX(Manual_Review!$G$6:$G$238,U1306)="","",INDEX(Manual_Review!$G$6:$G$238,U1306))</f>
        <v/>
      </c>
      <c r="W1306" s="11" t="str">
        <f>IF(INDEX(Manual_Review!$H$6:$H$238,U1306)="","",INDEX(Manual_Review!$H$6:$H$238,U1306))</f>
        <v/>
      </c>
      <c r="X1306" s="5" t="str">
        <f>IF(INDEX(Manual_Review!$I$6:$I$238,U1306)="","",INDEX(Manual_Review!$I$6:$I$238,U1306))</f>
        <v/>
      </c>
      <c r="Y1306" s="5" t="s">
        <v>2859</v>
      </c>
    </row>
    <row r="1307" spans="1:25" ht="38.25">
      <c r="A1307" s="5" t="s">
        <v>5611</v>
      </c>
      <c r="B1307" s="5" t="s">
        <v>1000</v>
      </c>
      <c r="C1307" s="5" t="s">
        <v>1001</v>
      </c>
      <c r="D1307" s="5" t="s">
        <v>118</v>
      </c>
      <c r="E1307" s="5" t="s">
        <v>2786</v>
      </c>
      <c r="F1307" s="5" t="s">
        <v>2756</v>
      </c>
      <c r="G1307" s="5">
        <v>1</v>
      </c>
      <c r="H1307" s="5" t="s">
        <v>2864</v>
      </c>
      <c r="I1307" s="5" t="str">
        <f>IF(INDEX(Manual_Review!$P$6:$P$238,U1307)="","",INDEX(Manual_Review!$P$6:$P$238,U1307))</f>
        <v/>
      </c>
      <c r="J1307" s="5" t="str">
        <f t="shared" si="40"/>
        <v>AI provisional</v>
      </c>
      <c r="K1307" s="5" t="str">
        <f t="shared" si="41"/>
        <v>U</v>
      </c>
      <c r="L1307" s="5" t="s">
        <v>1007</v>
      </c>
      <c r="M1307" s="5" t="s">
        <v>5612</v>
      </c>
      <c r="N1307" s="5" t="s">
        <v>5602</v>
      </c>
      <c r="O1307" s="5" t="s">
        <v>2874</v>
      </c>
      <c r="P1307" s="5" t="s">
        <v>2858</v>
      </c>
      <c r="Q1307" s="11">
        <v>46306.5</v>
      </c>
      <c r="R1307" s="6"/>
      <c r="S1307" s="6"/>
      <c r="T1307" s="6"/>
      <c r="U1307" s="5">
        <f>MATCH(B1307,Manual_Review!$A$6:$A$238,0)</f>
        <v>82</v>
      </c>
      <c r="V1307" s="5" t="str">
        <f>IF(INDEX(Manual_Review!$G$6:$G$238,U1307)="","",INDEX(Manual_Review!$G$6:$G$238,U1307))</f>
        <v/>
      </c>
      <c r="W1307" s="11" t="str">
        <f>IF(INDEX(Manual_Review!$H$6:$H$238,U1307)="","",INDEX(Manual_Review!$H$6:$H$238,U1307))</f>
        <v/>
      </c>
      <c r="X1307" s="5" t="str">
        <f>IF(INDEX(Manual_Review!$I$6:$I$238,U1307)="","",INDEX(Manual_Review!$I$6:$I$238,U1307))</f>
        <v/>
      </c>
      <c r="Y1307" s="5" t="s">
        <v>2859</v>
      </c>
    </row>
    <row r="1308" spans="1:25" ht="38.25">
      <c r="A1308" s="5" t="s">
        <v>5613</v>
      </c>
      <c r="B1308" s="5" t="s">
        <v>1000</v>
      </c>
      <c r="C1308" s="5" t="s">
        <v>1001</v>
      </c>
      <c r="D1308" s="5" t="s">
        <v>118</v>
      </c>
      <c r="E1308" s="5" t="s">
        <v>2787</v>
      </c>
      <c r="F1308" s="5" t="s">
        <v>2758</v>
      </c>
      <c r="G1308" s="5">
        <v>1</v>
      </c>
      <c r="H1308" s="5" t="s">
        <v>2864</v>
      </c>
      <c r="I1308" s="5" t="str">
        <f>IF(INDEX(Manual_Review!$Q$6:$Q$238,U1308)="","",INDEX(Manual_Review!$Q$6:$Q$238,U1308))</f>
        <v/>
      </c>
      <c r="J1308" s="5" t="str">
        <f t="shared" si="40"/>
        <v>AI provisional</v>
      </c>
      <c r="K1308" s="5" t="str">
        <f t="shared" si="41"/>
        <v>U</v>
      </c>
      <c r="L1308" s="5" t="s">
        <v>1007</v>
      </c>
      <c r="M1308" s="5" t="s">
        <v>5614</v>
      </c>
      <c r="N1308" s="5" t="s">
        <v>5602</v>
      </c>
      <c r="O1308" s="5" t="s">
        <v>2877</v>
      </c>
      <c r="P1308" s="5" t="s">
        <v>2858</v>
      </c>
      <c r="Q1308" s="11">
        <v>46306.5</v>
      </c>
      <c r="R1308" s="6"/>
      <c r="S1308" s="6"/>
      <c r="T1308" s="6"/>
      <c r="U1308" s="5">
        <f>MATCH(B1308,Manual_Review!$A$6:$A$238,0)</f>
        <v>82</v>
      </c>
      <c r="V1308" s="5" t="str">
        <f>IF(INDEX(Manual_Review!$G$6:$G$238,U1308)="","",INDEX(Manual_Review!$G$6:$G$238,U1308))</f>
        <v/>
      </c>
      <c r="W1308" s="11" t="str">
        <f>IF(INDEX(Manual_Review!$H$6:$H$238,U1308)="","",INDEX(Manual_Review!$H$6:$H$238,U1308))</f>
        <v/>
      </c>
      <c r="X1308" s="5" t="str">
        <f>IF(INDEX(Manual_Review!$I$6:$I$238,U1308)="","",INDEX(Manual_Review!$I$6:$I$238,U1308))</f>
        <v/>
      </c>
      <c r="Y1308" s="5" t="s">
        <v>2859</v>
      </c>
    </row>
    <row r="1309" spans="1:25" ht="38.25">
      <c r="A1309" s="5" t="s">
        <v>5615</v>
      </c>
      <c r="B1309" s="5" t="s">
        <v>1000</v>
      </c>
      <c r="C1309" s="5" t="s">
        <v>1001</v>
      </c>
      <c r="D1309" s="5" t="s">
        <v>118</v>
      </c>
      <c r="E1309" s="5" t="s">
        <v>2788</v>
      </c>
      <c r="F1309" s="5" t="s">
        <v>2758</v>
      </c>
      <c r="G1309" s="5">
        <v>1</v>
      </c>
      <c r="H1309" s="5" t="s">
        <v>2854</v>
      </c>
      <c r="I1309" s="5" t="str">
        <f>IF(INDEX(Manual_Review!$R$6:$R$238,U1309)="","",INDEX(Manual_Review!$R$6:$R$238,U1309))</f>
        <v/>
      </c>
      <c r="J1309" s="5" t="str">
        <f t="shared" si="40"/>
        <v>AI provisional</v>
      </c>
      <c r="K1309" s="5" t="str">
        <f t="shared" si="41"/>
        <v>Y</v>
      </c>
      <c r="L1309" s="5" t="s">
        <v>1007</v>
      </c>
      <c r="M1309" s="5" t="s">
        <v>5616</v>
      </c>
      <c r="N1309" s="5" t="s">
        <v>5602</v>
      </c>
      <c r="O1309" s="5" t="s">
        <v>3067</v>
      </c>
      <c r="P1309" s="5" t="s">
        <v>2858</v>
      </c>
      <c r="Q1309" s="11">
        <v>46306.5</v>
      </c>
      <c r="R1309" s="6"/>
      <c r="S1309" s="6"/>
      <c r="T1309" s="6"/>
      <c r="U1309" s="5">
        <f>MATCH(B1309,Manual_Review!$A$6:$A$238,0)</f>
        <v>82</v>
      </c>
      <c r="V1309" s="5" t="str">
        <f>IF(INDEX(Manual_Review!$G$6:$G$238,U1309)="","",INDEX(Manual_Review!$G$6:$G$238,U1309))</f>
        <v/>
      </c>
      <c r="W1309" s="11" t="str">
        <f>IF(INDEX(Manual_Review!$H$6:$H$238,U1309)="","",INDEX(Manual_Review!$H$6:$H$238,U1309))</f>
        <v/>
      </c>
      <c r="X1309" s="5" t="str">
        <f>IF(INDEX(Manual_Review!$I$6:$I$238,U1309)="","",INDEX(Manual_Review!$I$6:$I$238,U1309))</f>
        <v/>
      </c>
      <c r="Y1309" s="5" t="s">
        <v>2859</v>
      </c>
    </row>
    <row r="1310" spans="1:25" ht="38.25">
      <c r="A1310" s="5" t="s">
        <v>5617</v>
      </c>
      <c r="B1310" s="5" t="s">
        <v>1000</v>
      </c>
      <c r="C1310" s="5" t="s">
        <v>1001</v>
      </c>
      <c r="D1310" s="5" t="s">
        <v>118</v>
      </c>
      <c r="E1310" s="5" t="s">
        <v>2789</v>
      </c>
      <c r="F1310" s="5" t="s">
        <v>2758</v>
      </c>
      <c r="G1310" s="5">
        <v>1</v>
      </c>
      <c r="H1310" s="5" t="s">
        <v>2854</v>
      </c>
      <c r="I1310" s="5" t="str">
        <f>IF(INDEX(Manual_Review!$S$6:$S$238,U1310)="","",INDEX(Manual_Review!$S$6:$S$238,U1310))</f>
        <v/>
      </c>
      <c r="J1310" s="5" t="str">
        <f t="shared" si="40"/>
        <v>AI provisional</v>
      </c>
      <c r="K1310" s="5" t="str">
        <f t="shared" si="41"/>
        <v>Y</v>
      </c>
      <c r="L1310" s="5" t="s">
        <v>1007</v>
      </c>
      <c r="M1310" s="5" t="s">
        <v>5618</v>
      </c>
      <c r="N1310" s="5" t="s">
        <v>5602</v>
      </c>
      <c r="O1310" s="5" t="s">
        <v>3178</v>
      </c>
      <c r="P1310" s="5" t="s">
        <v>2858</v>
      </c>
      <c r="Q1310" s="11">
        <v>46306.5</v>
      </c>
      <c r="R1310" s="6"/>
      <c r="S1310" s="6"/>
      <c r="T1310" s="6"/>
      <c r="U1310" s="5">
        <f>MATCH(B1310,Manual_Review!$A$6:$A$238,0)</f>
        <v>82</v>
      </c>
      <c r="V1310" s="5" t="str">
        <f>IF(INDEX(Manual_Review!$G$6:$G$238,U1310)="","",INDEX(Manual_Review!$G$6:$G$238,U1310))</f>
        <v/>
      </c>
      <c r="W1310" s="11" t="str">
        <f>IF(INDEX(Manual_Review!$H$6:$H$238,U1310)="","",INDEX(Manual_Review!$H$6:$H$238,U1310))</f>
        <v/>
      </c>
      <c r="X1310" s="5" t="str">
        <f>IF(INDEX(Manual_Review!$I$6:$I$238,U1310)="","",INDEX(Manual_Review!$I$6:$I$238,U1310))</f>
        <v/>
      </c>
      <c r="Y1310" s="5" t="s">
        <v>2859</v>
      </c>
    </row>
    <row r="1311" spans="1:25" ht="38.25">
      <c r="A1311" s="5" t="s">
        <v>5619</v>
      </c>
      <c r="B1311" s="5" t="s">
        <v>1000</v>
      </c>
      <c r="C1311" s="5" t="s">
        <v>1001</v>
      </c>
      <c r="D1311" s="5" t="s">
        <v>118</v>
      </c>
      <c r="E1311" s="5" t="s">
        <v>2790</v>
      </c>
      <c r="F1311" s="5" t="s">
        <v>2760</v>
      </c>
      <c r="G1311" s="5">
        <v>1</v>
      </c>
      <c r="H1311" s="5" t="s">
        <v>2864</v>
      </c>
      <c r="I1311" s="5" t="str">
        <f>IF(INDEX(Manual_Review!$T$6:$T$238,U1311)="","",INDEX(Manual_Review!$T$6:$T$238,U1311))</f>
        <v/>
      </c>
      <c r="J1311" s="5" t="str">
        <f t="shared" si="40"/>
        <v>AI provisional</v>
      </c>
      <c r="K1311" s="5" t="str">
        <f t="shared" si="41"/>
        <v>U</v>
      </c>
      <c r="L1311" s="5" t="s">
        <v>1007</v>
      </c>
      <c r="M1311" s="5" t="s">
        <v>5620</v>
      </c>
      <c r="N1311" s="5" t="s">
        <v>5602</v>
      </c>
      <c r="O1311" s="5" t="s">
        <v>2885</v>
      </c>
      <c r="P1311" s="5" t="s">
        <v>2858</v>
      </c>
      <c r="Q1311" s="11">
        <v>46306.5</v>
      </c>
      <c r="R1311" s="6"/>
      <c r="S1311" s="6"/>
      <c r="T1311" s="6"/>
      <c r="U1311" s="5">
        <f>MATCH(B1311,Manual_Review!$A$6:$A$238,0)</f>
        <v>82</v>
      </c>
      <c r="V1311" s="5" t="str">
        <f>IF(INDEX(Manual_Review!$G$6:$G$238,U1311)="","",INDEX(Manual_Review!$G$6:$G$238,U1311))</f>
        <v/>
      </c>
      <c r="W1311" s="11" t="str">
        <f>IF(INDEX(Manual_Review!$H$6:$H$238,U1311)="","",INDEX(Manual_Review!$H$6:$H$238,U1311))</f>
        <v/>
      </c>
      <c r="X1311" s="5" t="str">
        <f>IF(INDEX(Manual_Review!$I$6:$I$238,U1311)="","",INDEX(Manual_Review!$I$6:$I$238,U1311))</f>
        <v/>
      </c>
      <c r="Y1311" s="5" t="s">
        <v>2859</v>
      </c>
    </row>
    <row r="1312" spans="1:25" ht="38.25">
      <c r="A1312" s="5" t="s">
        <v>5621</v>
      </c>
      <c r="B1312" s="5" t="s">
        <v>1000</v>
      </c>
      <c r="C1312" s="5" t="s">
        <v>1001</v>
      </c>
      <c r="D1312" s="5" t="s">
        <v>118</v>
      </c>
      <c r="E1312" s="5" t="s">
        <v>2791</v>
      </c>
      <c r="F1312" s="5" t="s">
        <v>2760</v>
      </c>
      <c r="G1312" s="5">
        <v>1</v>
      </c>
      <c r="H1312" s="5" t="s">
        <v>2854</v>
      </c>
      <c r="I1312" s="5" t="str">
        <f>IF(INDEX(Manual_Review!$U$6:$U$238,U1312)="","",INDEX(Manual_Review!$U$6:$U$238,U1312))</f>
        <v/>
      </c>
      <c r="J1312" s="5" t="str">
        <f t="shared" si="40"/>
        <v>AI provisional</v>
      </c>
      <c r="K1312" s="5" t="str">
        <f t="shared" si="41"/>
        <v>Y</v>
      </c>
      <c r="L1312" s="5" t="s">
        <v>1007</v>
      </c>
      <c r="M1312" s="5" t="s">
        <v>5622</v>
      </c>
      <c r="N1312" s="5" t="s">
        <v>5602</v>
      </c>
      <c r="O1312" s="5" t="s">
        <v>3380</v>
      </c>
      <c r="P1312" s="5" t="s">
        <v>2858</v>
      </c>
      <c r="Q1312" s="11">
        <v>46306.5</v>
      </c>
      <c r="R1312" s="6"/>
      <c r="S1312" s="6"/>
      <c r="T1312" s="6"/>
      <c r="U1312" s="5">
        <f>MATCH(B1312,Manual_Review!$A$6:$A$238,0)</f>
        <v>82</v>
      </c>
      <c r="V1312" s="5" t="str">
        <f>IF(INDEX(Manual_Review!$G$6:$G$238,U1312)="","",INDEX(Manual_Review!$G$6:$G$238,U1312))</f>
        <v/>
      </c>
      <c r="W1312" s="11" t="str">
        <f>IF(INDEX(Manual_Review!$H$6:$H$238,U1312)="","",INDEX(Manual_Review!$H$6:$H$238,U1312))</f>
        <v/>
      </c>
      <c r="X1312" s="5" t="str">
        <f>IF(INDEX(Manual_Review!$I$6:$I$238,U1312)="","",INDEX(Manual_Review!$I$6:$I$238,U1312))</f>
        <v/>
      </c>
      <c r="Y1312" s="5" t="s">
        <v>2859</v>
      </c>
    </row>
    <row r="1313" spans="1:25" ht="38.25">
      <c r="A1313" s="5" t="s">
        <v>5623</v>
      </c>
      <c r="B1313" s="5" t="s">
        <v>1000</v>
      </c>
      <c r="C1313" s="5" t="s">
        <v>1001</v>
      </c>
      <c r="D1313" s="5" t="s">
        <v>118</v>
      </c>
      <c r="E1313" s="5" t="s">
        <v>2792</v>
      </c>
      <c r="F1313" s="5" t="s">
        <v>2762</v>
      </c>
      <c r="G1313" s="5">
        <v>1</v>
      </c>
      <c r="H1313" s="5" t="s">
        <v>2854</v>
      </c>
      <c r="I1313" s="5" t="str">
        <f>IF(INDEX(Manual_Review!$V$6:$V$238,U1313)="","",INDEX(Manual_Review!$V$6:$V$238,U1313))</f>
        <v/>
      </c>
      <c r="J1313" s="5" t="str">
        <f t="shared" si="40"/>
        <v>AI provisional</v>
      </c>
      <c r="K1313" s="5" t="str">
        <f t="shared" si="41"/>
        <v>Y</v>
      </c>
      <c r="L1313" s="5" t="s">
        <v>1007</v>
      </c>
      <c r="M1313" s="5" t="s">
        <v>5624</v>
      </c>
      <c r="N1313" s="5" t="s">
        <v>5602</v>
      </c>
      <c r="O1313" s="5" t="s">
        <v>3152</v>
      </c>
      <c r="P1313" s="5" t="s">
        <v>2858</v>
      </c>
      <c r="Q1313" s="11">
        <v>46306.5</v>
      </c>
      <c r="R1313" s="6"/>
      <c r="S1313" s="6"/>
      <c r="T1313" s="6"/>
      <c r="U1313" s="5">
        <f>MATCH(B1313,Manual_Review!$A$6:$A$238,0)</f>
        <v>82</v>
      </c>
      <c r="V1313" s="5" t="str">
        <f>IF(INDEX(Manual_Review!$G$6:$G$238,U1313)="","",INDEX(Manual_Review!$G$6:$G$238,U1313))</f>
        <v/>
      </c>
      <c r="W1313" s="11" t="str">
        <f>IF(INDEX(Manual_Review!$H$6:$H$238,U1313)="","",INDEX(Manual_Review!$H$6:$H$238,U1313))</f>
        <v/>
      </c>
      <c r="X1313" s="5" t="str">
        <f>IF(INDEX(Manual_Review!$I$6:$I$238,U1313)="","",INDEX(Manual_Review!$I$6:$I$238,U1313))</f>
        <v/>
      </c>
      <c r="Y1313" s="5" t="s">
        <v>2859</v>
      </c>
    </row>
    <row r="1314" spans="1:25" ht="38.25">
      <c r="A1314" s="5" t="s">
        <v>5625</v>
      </c>
      <c r="B1314" s="5" t="s">
        <v>1000</v>
      </c>
      <c r="C1314" s="5" t="s">
        <v>1001</v>
      </c>
      <c r="D1314" s="5" t="s">
        <v>118</v>
      </c>
      <c r="E1314" s="5" t="s">
        <v>2793</v>
      </c>
      <c r="F1314" s="5" t="s">
        <v>2762</v>
      </c>
      <c r="G1314" s="5">
        <v>1</v>
      </c>
      <c r="H1314" s="5" t="s">
        <v>2854</v>
      </c>
      <c r="I1314" s="5" t="str">
        <f>IF(INDEX(Manual_Review!$W$6:$W$238,U1314)="","",INDEX(Manual_Review!$W$6:$W$238,U1314))</f>
        <v/>
      </c>
      <c r="J1314" s="5" t="str">
        <f t="shared" si="40"/>
        <v>AI provisional</v>
      </c>
      <c r="K1314" s="5" t="str">
        <f t="shared" si="41"/>
        <v>Y</v>
      </c>
      <c r="L1314" s="5" t="s">
        <v>1007</v>
      </c>
      <c r="M1314" s="5" t="s">
        <v>5626</v>
      </c>
      <c r="N1314" s="5" t="s">
        <v>5602</v>
      </c>
      <c r="O1314" s="5" t="s">
        <v>3077</v>
      </c>
      <c r="P1314" s="5" t="s">
        <v>2858</v>
      </c>
      <c r="Q1314" s="11">
        <v>46306.5</v>
      </c>
      <c r="R1314" s="6"/>
      <c r="S1314" s="6"/>
      <c r="T1314" s="6"/>
      <c r="U1314" s="5">
        <f>MATCH(B1314,Manual_Review!$A$6:$A$238,0)</f>
        <v>82</v>
      </c>
      <c r="V1314" s="5" t="str">
        <f>IF(INDEX(Manual_Review!$G$6:$G$238,U1314)="","",INDEX(Manual_Review!$G$6:$G$238,U1314))</f>
        <v/>
      </c>
      <c r="W1314" s="11" t="str">
        <f>IF(INDEX(Manual_Review!$H$6:$H$238,U1314)="","",INDEX(Manual_Review!$H$6:$H$238,U1314))</f>
        <v/>
      </c>
      <c r="X1314" s="5" t="str">
        <f>IF(INDEX(Manual_Review!$I$6:$I$238,U1314)="","",INDEX(Manual_Review!$I$6:$I$238,U1314))</f>
        <v/>
      </c>
      <c r="Y1314" s="5" t="s">
        <v>2859</v>
      </c>
    </row>
    <row r="1315" spans="1:25" ht="38.25">
      <c r="A1315" s="5" t="s">
        <v>5627</v>
      </c>
      <c r="B1315" s="5" t="s">
        <v>1000</v>
      </c>
      <c r="C1315" s="5" t="s">
        <v>1001</v>
      </c>
      <c r="D1315" s="5" t="s">
        <v>118</v>
      </c>
      <c r="E1315" s="5" t="s">
        <v>2794</v>
      </c>
      <c r="F1315" s="5" t="s">
        <v>2764</v>
      </c>
      <c r="G1315" s="5">
        <v>1</v>
      </c>
      <c r="H1315" s="5" t="s">
        <v>2854</v>
      </c>
      <c r="I1315" s="5" t="str">
        <f>IF(INDEX(Manual_Review!$X$6:$X$238,U1315)="","",INDEX(Manual_Review!$X$6:$X$238,U1315))</f>
        <v/>
      </c>
      <c r="J1315" s="5" t="str">
        <f t="shared" si="40"/>
        <v>AI provisional</v>
      </c>
      <c r="K1315" s="5" t="str">
        <f t="shared" si="41"/>
        <v>Y</v>
      </c>
      <c r="L1315" s="5" t="s">
        <v>1007</v>
      </c>
      <c r="M1315" s="5" t="s">
        <v>5628</v>
      </c>
      <c r="N1315" s="5" t="s">
        <v>5602</v>
      </c>
      <c r="O1315" s="5" t="s">
        <v>2984</v>
      </c>
      <c r="P1315" s="5" t="s">
        <v>2858</v>
      </c>
      <c r="Q1315" s="11">
        <v>46306.5</v>
      </c>
      <c r="R1315" s="6"/>
      <c r="S1315" s="6"/>
      <c r="T1315" s="6"/>
      <c r="U1315" s="5">
        <f>MATCH(B1315,Manual_Review!$A$6:$A$238,0)</f>
        <v>82</v>
      </c>
      <c r="V1315" s="5" t="str">
        <f>IF(INDEX(Manual_Review!$G$6:$G$238,U1315)="","",INDEX(Manual_Review!$G$6:$G$238,U1315))</f>
        <v/>
      </c>
      <c r="W1315" s="11" t="str">
        <f>IF(INDEX(Manual_Review!$H$6:$H$238,U1315)="","",INDEX(Manual_Review!$H$6:$H$238,U1315))</f>
        <v/>
      </c>
      <c r="X1315" s="5" t="str">
        <f>IF(INDEX(Manual_Review!$I$6:$I$238,U1315)="","",INDEX(Manual_Review!$I$6:$I$238,U1315))</f>
        <v/>
      </c>
      <c r="Y1315" s="5" t="s">
        <v>2859</v>
      </c>
    </row>
    <row r="1316" spans="1:25" ht="38.25">
      <c r="A1316" s="5" t="s">
        <v>5629</v>
      </c>
      <c r="B1316" s="5" t="s">
        <v>1000</v>
      </c>
      <c r="C1316" s="5" t="s">
        <v>1001</v>
      </c>
      <c r="D1316" s="5" t="s">
        <v>118</v>
      </c>
      <c r="E1316" s="5" t="s">
        <v>2795</v>
      </c>
      <c r="F1316" s="5" t="s">
        <v>2764</v>
      </c>
      <c r="G1316" s="5">
        <v>1</v>
      </c>
      <c r="H1316" s="5" t="s">
        <v>2864</v>
      </c>
      <c r="I1316" s="5" t="str">
        <f>IF(INDEX(Manual_Review!$Y$6:$Y$238,U1316)="","",INDEX(Manual_Review!$Y$6:$Y$238,U1316))</f>
        <v/>
      </c>
      <c r="J1316" s="5" t="str">
        <f t="shared" si="40"/>
        <v>AI provisional</v>
      </c>
      <c r="K1316" s="5" t="str">
        <f t="shared" si="41"/>
        <v>U</v>
      </c>
      <c r="L1316" s="5" t="s">
        <v>1007</v>
      </c>
      <c r="M1316" s="5" t="s">
        <v>5620</v>
      </c>
      <c r="N1316" s="5" t="s">
        <v>5602</v>
      </c>
      <c r="O1316" s="5" t="s">
        <v>2897</v>
      </c>
      <c r="P1316" s="5" t="s">
        <v>2858</v>
      </c>
      <c r="Q1316" s="11">
        <v>46306.5</v>
      </c>
      <c r="R1316" s="6"/>
      <c r="S1316" s="6"/>
      <c r="T1316" s="6"/>
      <c r="U1316" s="5">
        <f>MATCH(B1316,Manual_Review!$A$6:$A$238,0)</f>
        <v>82</v>
      </c>
      <c r="V1316" s="5" t="str">
        <f>IF(INDEX(Manual_Review!$G$6:$G$238,U1316)="","",INDEX(Manual_Review!$G$6:$G$238,U1316))</f>
        <v/>
      </c>
      <c r="W1316" s="11" t="str">
        <f>IF(INDEX(Manual_Review!$H$6:$H$238,U1316)="","",INDEX(Manual_Review!$H$6:$H$238,U1316))</f>
        <v/>
      </c>
      <c r="X1316" s="5" t="str">
        <f>IF(INDEX(Manual_Review!$I$6:$I$238,U1316)="","",INDEX(Manual_Review!$I$6:$I$238,U1316))</f>
        <v/>
      </c>
      <c r="Y1316" s="5" t="s">
        <v>2859</v>
      </c>
    </row>
    <row r="1317" spans="1:25" ht="38.25">
      <c r="A1317" s="5" t="s">
        <v>5630</v>
      </c>
      <c r="B1317" s="5" t="s">
        <v>1000</v>
      </c>
      <c r="C1317" s="5" t="s">
        <v>1001</v>
      </c>
      <c r="D1317" s="5" t="s">
        <v>118</v>
      </c>
      <c r="E1317" s="5" t="s">
        <v>2796</v>
      </c>
      <c r="F1317" s="5" t="s">
        <v>2764</v>
      </c>
      <c r="G1317" s="5">
        <v>1</v>
      </c>
      <c r="H1317" s="5" t="s">
        <v>2864</v>
      </c>
      <c r="I1317" s="5" t="str">
        <f>IF(INDEX(Manual_Review!$Z$6:$Z$238,U1317)="","",INDEX(Manual_Review!$Z$6:$Z$238,U1317))</f>
        <v/>
      </c>
      <c r="J1317" s="5" t="str">
        <f t="shared" si="40"/>
        <v>AI provisional</v>
      </c>
      <c r="K1317" s="5" t="str">
        <f t="shared" si="41"/>
        <v>U</v>
      </c>
      <c r="L1317" s="5" t="s">
        <v>1007</v>
      </c>
      <c r="M1317" s="5" t="s">
        <v>5631</v>
      </c>
      <c r="N1317" s="5" t="s">
        <v>5602</v>
      </c>
      <c r="O1317" s="5" t="s">
        <v>2899</v>
      </c>
      <c r="P1317" s="5" t="s">
        <v>2858</v>
      </c>
      <c r="Q1317" s="11">
        <v>46306.5</v>
      </c>
      <c r="R1317" s="6"/>
      <c r="S1317" s="6"/>
      <c r="T1317" s="6"/>
      <c r="U1317" s="5">
        <f>MATCH(B1317,Manual_Review!$A$6:$A$238,0)</f>
        <v>82</v>
      </c>
      <c r="V1317" s="5" t="str">
        <f>IF(INDEX(Manual_Review!$G$6:$G$238,U1317)="","",INDEX(Manual_Review!$G$6:$G$238,U1317))</f>
        <v/>
      </c>
      <c r="W1317" s="11" t="str">
        <f>IF(INDEX(Manual_Review!$H$6:$H$238,U1317)="","",INDEX(Manual_Review!$H$6:$H$238,U1317))</f>
        <v/>
      </c>
      <c r="X1317" s="5" t="str">
        <f>IF(INDEX(Manual_Review!$I$6:$I$238,U1317)="","",INDEX(Manual_Review!$I$6:$I$238,U1317))</f>
        <v/>
      </c>
      <c r="Y1317" s="5" t="s">
        <v>2859</v>
      </c>
    </row>
    <row r="1318" spans="1:25" ht="25.5">
      <c r="A1318" s="5" t="s">
        <v>5632</v>
      </c>
      <c r="B1318" s="5" t="s">
        <v>1009</v>
      </c>
      <c r="C1318" s="5" t="s">
        <v>1010</v>
      </c>
      <c r="D1318" s="5" t="s">
        <v>118</v>
      </c>
      <c r="E1318" s="5" t="s">
        <v>2781</v>
      </c>
      <c r="F1318" s="5" t="s">
        <v>2754</v>
      </c>
      <c r="G1318" s="5">
        <v>1</v>
      </c>
      <c r="H1318" s="5" t="s">
        <v>2854</v>
      </c>
      <c r="I1318" s="5" t="str">
        <f>IF(INDEX(Manual_Review!$K$6:$K$238,U1318)="","",INDEX(Manual_Review!$K$6:$K$238,U1318))</f>
        <v/>
      </c>
      <c r="J1318" s="5" t="str">
        <f t="shared" si="40"/>
        <v>AI provisional</v>
      </c>
      <c r="K1318" s="5" t="str">
        <f t="shared" si="41"/>
        <v>Y</v>
      </c>
      <c r="L1318" s="5" t="s">
        <v>1018</v>
      </c>
      <c r="M1318" s="5" t="s">
        <v>5633</v>
      </c>
      <c r="N1318" s="5" t="s">
        <v>5634</v>
      </c>
      <c r="O1318" s="5" t="s">
        <v>2857</v>
      </c>
      <c r="P1318" s="5" t="s">
        <v>2858</v>
      </c>
      <c r="Q1318" s="11">
        <v>46306.5</v>
      </c>
      <c r="R1318" s="6"/>
      <c r="S1318" s="6"/>
      <c r="T1318" s="6"/>
      <c r="U1318" s="5">
        <f>MATCH(B1318,Manual_Review!$A$6:$A$238,0)</f>
        <v>83</v>
      </c>
      <c r="V1318" s="5" t="str">
        <f>IF(INDEX(Manual_Review!$G$6:$G$238,U1318)="","",INDEX(Manual_Review!$G$6:$G$238,U1318))</f>
        <v/>
      </c>
      <c r="W1318" s="11" t="str">
        <f>IF(INDEX(Manual_Review!$H$6:$H$238,U1318)="","",INDEX(Manual_Review!$H$6:$H$238,U1318))</f>
        <v/>
      </c>
      <c r="X1318" s="5" t="str">
        <f>IF(INDEX(Manual_Review!$I$6:$I$238,U1318)="","",INDEX(Manual_Review!$I$6:$I$238,U1318))</f>
        <v/>
      </c>
      <c r="Y1318" s="5" t="s">
        <v>2859</v>
      </c>
    </row>
    <row r="1319" spans="1:25" ht="25.5">
      <c r="A1319" s="5" t="s">
        <v>5635</v>
      </c>
      <c r="B1319" s="5" t="s">
        <v>1009</v>
      </c>
      <c r="C1319" s="5" t="s">
        <v>1010</v>
      </c>
      <c r="D1319" s="5" t="s">
        <v>118</v>
      </c>
      <c r="E1319" s="5" t="s">
        <v>2782</v>
      </c>
      <c r="F1319" s="5" t="s">
        <v>2754</v>
      </c>
      <c r="G1319" s="5">
        <v>1</v>
      </c>
      <c r="H1319" s="5" t="s">
        <v>2854</v>
      </c>
      <c r="I1319" s="5" t="str">
        <f>IF(INDEX(Manual_Review!$L$6:$L$238,U1319)="","",INDEX(Manual_Review!$L$6:$L$238,U1319))</f>
        <v/>
      </c>
      <c r="J1319" s="5" t="str">
        <f t="shared" si="40"/>
        <v>AI provisional</v>
      </c>
      <c r="K1319" s="5" t="str">
        <f t="shared" si="41"/>
        <v>Y</v>
      </c>
      <c r="L1319" s="5" t="s">
        <v>1018</v>
      </c>
      <c r="M1319" s="5" t="s">
        <v>5636</v>
      </c>
      <c r="N1319" s="5" t="s">
        <v>5634</v>
      </c>
      <c r="O1319" s="5" t="s">
        <v>2862</v>
      </c>
      <c r="P1319" s="5" t="s">
        <v>2858</v>
      </c>
      <c r="Q1319" s="11">
        <v>46306.5</v>
      </c>
      <c r="R1319" s="6"/>
      <c r="S1319" s="6"/>
      <c r="T1319" s="6"/>
      <c r="U1319" s="5">
        <f>MATCH(B1319,Manual_Review!$A$6:$A$238,0)</f>
        <v>83</v>
      </c>
      <c r="V1319" s="5" t="str">
        <f>IF(INDEX(Manual_Review!$G$6:$G$238,U1319)="","",INDEX(Manual_Review!$G$6:$G$238,U1319))</f>
        <v/>
      </c>
      <c r="W1319" s="11" t="str">
        <f>IF(INDEX(Manual_Review!$H$6:$H$238,U1319)="","",INDEX(Manual_Review!$H$6:$H$238,U1319))</f>
        <v/>
      </c>
      <c r="X1319" s="5" t="str">
        <f>IF(INDEX(Manual_Review!$I$6:$I$238,U1319)="","",INDEX(Manual_Review!$I$6:$I$238,U1319))</f>
        <v/>
      </c>
      <c r="Y1319" s="5" t="s">
        <v>2859</v>
      </c>
    </row>
    <row r="1320" spans="1:25" ht="25.5">
      <c r="A1320" s="5" t="s">
        <v>5637</v>
      </c>
      <c r="B1320" s="5" t="s">
        <v>1009</v>
      </c>
      <c r="C1320" s="5" t="s">
        <v>1010</v>
      </c>
      <c r="D1320" s="5" t="s">
        <v>118</v>
      </c>
      <c r="E1320" s="5" t="s">
        <v>2783</v>
      </c>
      <c r="F1320" s="5" t="s">
        <v>2754</v>
      </c>
      <c r="G1320" s="5">
        <v>1</v>
      </c>
      <c r="H1320" s="5" t="s">
        <v>2854</v>
      </c>
      <c r="I1320" s="5" t="str">
        <f>IF(INDEX(Manual_Review!$M$6:$M$238,U1320)="","",INDEX(Manual_Review!$M$6:$M$238,U1320))</f>
        <v/>
      </c>
      <c r="J1320" s="5" t="str">
        <f t="shared" si="40"/>
        <v>AI provisional</v>
      </c>
      <c r="K1320" s="5" t="str">
        <f t="shared" si="41"/>
        <v>Y</v>
      </c>
      <c r="L1320" s="5" t="s">
        <v>1018</v>
      </c>
      <c r="M1320" s="5" t="s">
        <v>5638</v>
      </c>
      <c r="N1320" s="5" t="s">
        <v>5634</v>
      </c>
      <c r="O1320" s="5" t="s">
        <v>3133</v>
      </c>
      <c r="P1320" s="5" t="s">
        <v>2858</v>
      </c>
      <c r="Q1320" s="11">
        <v>46306.5</v>
      </c>
      <c r="R1320" s="6"/>
      <c r="S1320" s="6"/>
      <c r="T1320" s="6"/>
      <c r="U1320" s="5">
        <f>MATCH(B1320,Manual_Review!$A$6:$A$238,0)</f>
        <v>83</v>
      </c>
      <c r="V1320" s="5" t="str">
        <f>IF(INDEX(Manual_Review!$G$6:$G$238,U1320)="","",INDEX(Manual_Review!$G$6:$G$238,U1320))</f>
        <v/>
      </c>
      <c r="W1320" s="11" t="str">
        <f>IF(INDEX(Manual_Review!$H$6:$H$238,U1320)="","",INDEX(Manual_Review!$H$6:$H$238,U1320))</f>
        <v/>
      </c>
      <c r="X1320" s="5" t="str">
        <f>IF(INDEX(Manual_Review!$I$6:$I$238,U1320)="","",INDEX(Manual_Review!$I$6:$I$238,U1320))</f>
        <v/>
      </c>
      <c r="Y1320" s="5" t="s">
        <v>2859</v>
      </c>
    </row>
    <row r="1321" spans="1:25" ht="25.5">
      <c r="A1321" s="5" t="s">
        <v>5639</v>
      </c>
      <c r="B1321" s="5" t="s">
        <v>1009</v>
      </c>
      <c r="C1321" s="5" t="s">
        <v>1010</v>
      </c>
      <c r="D1321" s="5" t="s">
        <v>118</v>
      </c>
      <c r="E1321" s="5" t="s">
        <v>2784</v>
      </c>
      <c r="F1321" s="5" t="s">
        <v>2756</v>
      </c>
      <c r="G1321" s="5">
        <v>1</v>
      </c>
      <c r="H1321" s="5" t="s">
        <v>2854</v>
      </c>
      <c r="I1321" s="5" t="str">
        <f>IF(INDEX(Manual_Review!$N$6:$N$238,U1321)="","",INDEX(Manual_Review!$N$6:$N$238,U1321))</f>
        <v/>
      </c>
      <c r="J1321" s="5" t="str">
        <f t="shared" si="40"/>
        <v>AI provisional</v>
      </c>
      <c r="K1321" s="5" t="str">
        <f t="shared" si="41"/>
        <v>Y</v>
      </c>
      <c r="L1321" s="5" t="s">
        <v>1018</v>
      </c>
      <c r="M1321" s="5" t="s">
        <v>5640</v>
      </c>
      <c r="N1321" s="5" t="s">
        <v>5634</v>
      </c>
      <c r="O1321" s="5" t="s">
        <v>2963</v>
      </c>
      <c r="P1321" s="5" t="s">
        <v>2858</v>
      </c>
      <c r="Q1321" s="11">
        <v>46306.5</v>
      </c>
      <c r="R1321" s="6"/>
      <c r="S1321" s="6"/>
      <c r="T1321" s="6"/>
      <c r="U1321" s="5">
        <f>MATCH(B1321,Manual_Review!$A$6:$A$238,0)</f>
        <v>83</v>
      </c>
      <c r="V1321" s="5" t="str">
        <f>IF(INDEX(Manual_Review!$G$6:$G$238,U1321)="","",INDEX(Manual_Review!$G$6:$G$238,U1321))</f>
        <v/>
      </c>
      <c r="W1321" s="11" t="str">
        <f>IF(INDEX(Manual_Review!$H$6:$H$238,U1321)="","",INDEX(Manual_Review!$H$6:$H$238,U1321))</f>
        <v/>
      </c>
      <c r="X1321" s="5" t="str">
        <f>IF(INDEX(Manual_Review!$I$6:$I$238,U1321)="","",INDEX(Manual_Review!$I$6:$I$238,U1321))</f>
        <v/>
      </c>
      <c r="Y1321" s="5" t="s">
        <v>2859</v>
      </c>
    </row>
    <row r="1322" spans="1:25" ht="25.5">
      <c r="A1322" s="5" t="s">
        <v>5641</v>
      </c>
      <c r="B1322" s="5" t="s">
        <v>1009</v>
      </c>
      <c r="C1322" s="5" t="s">
        <v>1010</v>
      </c>
      <c r="D1322" s="5" t="s">
        <v>118</v>
      </c>
      <c r="E1322" s="5" t="s">
        <v>2785</v>
      </c>
      <c r="F1322" s="5" t="s">
        <v>2756</v>
      </c>
      <c r="G1322" s="5">
        <v>1</v>
      </c>
      <c r="H1322" s="5" t="s">
        <v>2864</v>
      </c>
      <c r="I1322" s="5" t="str">
        <f>IF(INDEX(Manual_Review!$O$6:$O$238,U1322)="","",INDEX(Manual_Review!$O$6:$O$238,U1322))</f>
        <v/>
      </c>
      <c r="J1322" s="5" t="str">
        <f t="shared" si="40"/>
        <v>AI provisional</v>
      </c>
      <c r="K1322" s="5" t="str">
        <f t="shared" si="41"/>
        <v>U</v>
      </c>
      <c r="L1322" s="5" t="s">
        <v>1018</v>
      </c>
      <c r="M1322" s="5" t="s">
        <v>5642</v>
      </c>
      <c r="N1322" s="5" t="s">
        <v>5634</v>
      </c>
      <c r="O1322" s="5" t="s">
        <v>2872</v>
      </c>
      <c r="P1322" s="5" t="s">
        <v>2858</v>
      </c>
      <c r="Q1322" s="11">
        <v>46306.5</v>
      </c>
      <c r="R1322" s="6"/>
      <c r="S1322" s="6"/>
      <c r="T1322" s="6"/>
      <c r="U1322" s="5">
        <f>MATCH(B1322,Manual_Review!$A$6:$A$238,0)</f>
        <v>83</v>
      </c>
      <c r="V1322" s="5" t="str">
        <f>IF(INDEX(Manual_Review!$G$6:$G$238,U1322)="","",INDEX(Manual_Review!$G$6:$G$238,U1322))</f>
        <v/>
      </c>
      <c r="W1322" s="11" t="str">
        <f>IF(INDEX(Manual_Review!$H$6:$H$238,U1322)="","",INDEX(Manual_Review!$H$6:$H$238,U1322))</f>
        <v/>
      </c>
      <c r="X1322" s="5" t="str">
        <f>IF(INDEX(Manual_Review!$I$6:$I$238,U1322)="","",INDEX(Manual_Review!$I$6:$I$238,U1322))</f>
        <v/>
      </c>
      <c r="Y1322" s="5" t="s">
        <v>2859</v>
      </c>
    </row>
    <row r="1323" spans="1:25" ht="25.5">
      <c r="A1323" s="5" t="s">
        <v>5643</v>
      </c>
      <c r="B1323" s="5" t="s">
        <v>1009</v>
      </c>
      <c r="C1323" s="5" t="s">
        <v>1010</v>
      </c>
      <c r="D1323" s="5" t="s">
        <v>118</v>
      </c>
      <c r="E1323" s="5" t="s">
        <v>2786</v>
      </c>
      <c r="F1323" s="5" t="s">
        <v>2756</v>
      </c>
      <c r="G1323" s="5">
        <v>1</v>
      </c>
      <c r="H1323" s="5" t="s">
        <v>2864</v>
      </c>
      <c r="I1323" s="5" t="str">
        <f>IF(INDEX(Manual_Review!$P$6:$P$238,U1323)="","",INDEX(Manual_Review!$P$6:$P$238,U1323))</f>
        <v/>
      </c>
      <c r="J1323" s="5" t="str">
        <f t="shared" si="40"/>
        <v>AI provisional</v>
      </c>
      <c r="K1323" s="5" t="str">
        <f t="shared" si="41"/>
        <v>U</v>
      </c>
      <c r="L1323" s="5" t="s">
        <v>1018</v>
      </c>
      <c r="M1323" s="5" t="s">
        <v>5644</v>
      </c>
      <c r="N1323" s="5" t="s">
        <v>5634</v>
      </c>
      <c r="O1323" s="5" t="s">
        <v>2874</v>
      </c>
      <c r="P1323" s="5" t="s">
        <v>2858</v>
      </c>
      <c r="Q1323" s="11">
        <v>46306.5</v>
      </c>
      <c r="R1323" s="6"/>
      <c r="S1323" s="6"/>
      <c r="T1323" s="6"/>
      <c r="U1323" s="5">
        <f>MATCH(B1323,Manual_Review!$A$6:$A$238,0)</f>
        <v>83</v>
      </c>
      <c r="V1323" s="5" t="str">
        <f>IF(INDEX(Manual_Review!$G$6:$G$238,U1323)="","",INDEX(Manual_Review!$G$6:$G$238,U1323))</f>
        <v/>
      </c>
      <c r="W1323" s="11" t="str">
        <f>IF(INDEX(Manual_Review!$H$6:$H$238,U1323)="","",INDEX(Manual_Review!$H$6:$H$238,U1323))</f>
        <v/>
      </c>
      <c r="X1323" s="5" t="str">
        <f>IF(INDEX(Manual_Review!$I$6:$I$238,U1323)="","",INDEX(Manual_Review!$I$6:$I$238,U1323))</f>
        <v/>
      </c>
      <c r="Y1323" s="5" t="s">
        <v>2859</v>
      </c>
    </row>
    <row r="1324" spans="1:25" ht="25.5">
      <c r="A1324" s="5" t="s">
        <v>5645</v>
      </c>
      <c r="B1324" s="5" t="s">
        <v>1009</v>
      </c>
      <c r="C1324" s="5" t="s">
        <v>1010</v>
      </c>
      <c r="D1324" s="5" t="s">
        <v>118</v>
      </c>
      <c r="E1324" s="5" t="s">
        <v>2787</v>
      </c>
      <c r="F1324" s="5" t="s">
        <v>2758</v>
      </c>
      <c r="G1324" s="5">
        <v>1</v>
      </c>
      <c r="H1324" s="5" t="s">
        <v>2864</v>
      </c>
      <c r="I1324" s="5" t="str">
        <f>IF(INDEX(Manual_Review!$Q$6:$Q$238,U1324)="","",INDEX(Manual_Review!$Q$6:$Q$238,U1324))</f>
        <v/>
      </c>
      <c r="J1324" s="5" t="str">
        <f t="shared" si="40"/>
        <v>AI provisional</v>
      </c>
      <c r="K1324" s="5" t="str">
        <f t="shared" si="41"/>
        <v>U</v>
      </c>
      <c r="L1324" s="5" t="s">
        <v>1018</v>
      </c>
      <c r="M1324" s="5" t="s">
        <v>5646</v>
      </c>
      <c r="N1324" s="5" t="s">
        <v>5634</v>
      </c>
      <c r="O1324" s="5" t="s">
        <v>2877</v>
      </c>
      <c r="P1324" s="5" t="s">
        <v>2858</v>
      </c>
      <c r="Q1324" s="11">
        <v>46306.5</v>
      </c>
      <c r="R1324" s="6"/>
      <c r="S1324" s="6"/>
      <c r="T1324" s="6"/>
      <c r="U1324" s="5">
        <f>MATCH(B1324,Manual_Review!$A$6:$A$238,0)</f>
        <v>83</v>
      </c>
      <c r="V1324" s="5" t="str">
        <f>IF(INDEX(Manual_Review!$G$6:$G$238,U1324)="","",INDEX(Manual_Review!$G$6:$G$238,U1324))</f>
        <v/>
      </c>
      <c r="W1324" s="11" t="str">
        <f>IF(INDEX(Manual_Review!$H$6:$H$238,U1324)="","",INDEX(Manual_Review!$H$6:$H$238,U1324))</f>
        <v/>
      </c>
      <c r="X1324" s="5" t="str">
        <f>IF(INDEX(Manual_Review!$I$6:$I$238,U1324)="","",INDEX(Manual_Review!$I$6:$I$238,U1324))</f>
        <v/>
      </c>
      <c r="Y1324" s="5" t="s">
        <v>2859</v>
      </c>
    </row>
    <row r="1325" spans="1:25" ht="25.5">
      <c r="A1325" s="5" t="s">
        <v>5647</v>
      </c>
      <c r="B1325" s="5" t="s">
        <v>1009</v>
      </c>
      <c r="C1325" s="5" t="s">
        <v>1010</v>
      </c>
      <c r="D1325" s="5" t="s">
        <v>118</v>
      </c>
      <c r="E1325" s="5" t="s">
        <v>2788</v>
      </c>
      <c r="F1325" s="5" t="s">
        <v>2758</v>
      </c>
      <c r="G1325" s="5">
        <v>1</v>
      </c>
      <c r="H1325" s="5" t="s">
        <v>2854</v>
      </c>
      <c r="I1325" s="5" t="str">
        <f>IF(INDEX(Manual_Review!$R$6:$R$238,U1325)="","",INDEX(Manual_Review!$R$6:$R$238,U1325))</f>
        <v/>
      </c>
      <c r="J1325" s="5" t="str">
        <f t="shared" si="40"/>
        <v>AI provisional</v>
      </c>
      <c r="K1325" s="5" t="str">
        <f t="shared" si="41"/>
        <v>Y</v>
      </c>
      <c r="L1325" s="5" t="s">
        <v>1018</v>
      </c>
      <c r="M1325" s="5" t="s">
        <v>5648</v>
      </c>
      <c r="N1325" s="5" t="s">
        <v>5634</v>
      </c>
      <c r="O1325" s="5" t="s">
        <v>3067</v>
      </c>
      <c r="P1325" s="5" t="s">
        <v>2858</v>
      </c>
      <c r="Q1325" s="11">
        <v>46306.5</v>
      </c>
      <c r="R1325" s="6"/>
      <c r="S1325" s="6"/>
      <c r="T1325" s="6"/>
      <c r="U1325" s="5">
        <f>MATCH(B1325,Manual_Review!$A$6:$A$238,0)</f>
        <v>83</v>
      </c>
      <c r="V1325" s="5" t="str">
        <f>IF(INDEX(Manual_Review!$G$6:$G$238,U1325)="","",INDEX(Manual_Review!$G$6:$G$238,U1325))</f>
        <v/>
      </c>
      <c r="W1325" s="11" t="str">
        <f>IF(INDEX(Manual_Review!$H$6:$H$238,U1325)="","",INDEX(Manual_Review!$H$6:$H$238,U1325))</f>
        <v/>
      </c>
      <c r="X1325" s="5" t="str">
        <f>IF(INDEX(Manual_Review!$I$6:$I$238,U1325)="","",INDEX(Manual_Review!$I$6:$I$238,U1325))</f>
        <v/>
      </c>
      <c r="Y1325" s="5" t="s">
        <v>2859</v>
      </c>
    </row>
    <row r="1326" spans="1:25" ht="25.5">
      <c r="A1326" s="5" t="s">
        <v>5649</v>
      </c>
      <c r="B1326" s="5" t="s">
        <v>1009</v>
      </c>
      <c r="C1326" s="5" t="s">
        <v>1010</v>
      </c>
      <c r="D1326" s="5" t="s">
        <v>118</v>
      </c>
      <c r="E1326" s="5" t="s">
        <v>2789</v>
      </c>
      <c r="F1326" s="5" t="s">
        <v>2758</v>
      </c>
      <c r="G1326" s="5">
        <v>1</v>
      </c>
      <c r="H1326" s="5" t="s">
        <v>2864</v>
      </c>
      <c r="I1326" s="5" t="str">
        <f>IF(INDEX(Manual_Review!$S$6:$S$238,U1326)="","",INDEX(Manual_Review!$S$6:$S$238,U1326))</f>
        <v/>
      </c>
      <c r="J1326" s="5" t="str">
        <f t="shared" si="40"/>
        <v>AI provisional</v>
      </c>
      <c r="K1326" s="5" t="str">
        <f t="shared" si="41"/>
        <v>U</v>
      </c>
      <c r="L1326" s="5" t="s">
        <v>1018</v>
      </c>
      <c r="M1326" s="5" t="s">
        <v>5650</v>
      </c>
      <c r="N1326" s="5" t="s">
        <v>5634</v>
      </c>
      <c r="O1326" s="5" t="s">
        <v>2883</v>
      </c>
      <c r="P1326" s="5" t="s">
        <v>2858</v>
      </c>
      <c r="Q1326" s="11">
        <v>46306.5</v>
      </c>
      <c r="R1326" s="6"/>
      <c r="S1326" s="6"/>
      <c r="T1326" s="6"/>
      <c r="U1326" s="5">
        <f>MATCH(B1326,Manual_Review!$A$6:$A$238,0)</f>
        <v>83</v>
      </c>
      <c r="V1326" s="5" t="str">
        <f>IF(INDEX(Manual_Review!$G$6:$G$238,U1326)="","",INDEX(Manual_Review!$G$6:$G$238,U1326))</f>
        <v/>
      </c>
      <c r="W1326" s="11" t="str">
        <f>IF(INDEX(Manual_Review!$H$6:$H$238,U1326)="","",INDEX(Manual_Review!$H$6:$H$238,U1326))</f>
        <v/>
      </c>
      <c r="X1326" s="5" t="str">
        <f>IF(INDEX(Manual_Review!$I$6:$I$238,U1326)="","",INDEX(Manual_Review!$I$6:$I$238,U1326))</f>
        <v/>
      </c>
      <c r="Y1326" s="5" t="s">
        <v>2859</v>
      </c>
    </row>
    <row r="1327" spans="1:25" ht="25.5">
      <c r="A1327" s="5" t="s">
        <v>5651</v>
      </c>
      <c r="B1327" s="5" t="s">
        <v>1009</v>
      </c>
      <c r="C1327" s="5" t="s">
        <v>1010</v>
      </c>
      <c r="D1327" s="5" t="s">
        <v>118</v>
      </c>
      <c r="E1327" s="5" t="s">
        <v>2790</v>
      </c>
      <c r="F1327" s="5" t="s">
        <v>2760</v>
      </c>
      <c r="G1327" s="5">
        <v>1</v>
      </c>
      <c r="H1327" s="5" t="s">
        <v>2854</v>
      </c>
      <c r="I1327" s="5" t="str">
        <f>IF(INDEX(Manual_Review!$T$6:$T$238,U1327)="","",INDEX(Manual_Review!$T$6:$T$238,U1327))</f>
        <v/>
      </c>
      <c r="J1327" s="5" t="str">
        <f t="shared" si="40"/>
        <v>AI provisional</v>
      </c>
      <c r="K1327" s="5" t="str">
        <f t="shared" si="41"/>
        <v>Y</v>
      </c>
      <c r="L1327" s="5" t="s">
        <v>1018</v>
      </c>
      <c r="M1327" s="5" t="s">
        <v>5652</v>
      </c>
      <c r="N1327" s="5" t="s">
        <v>5634</v>
      </c>
      <c r="O1327" s="5" t="s">
        <v>2976</v>
      </c>
      <c r="P1327" s="5" t="s">
        <v>2858</v>
      </c>
      <c r="Q1327" s="11">
        <v>46306.5</v>
      </c>
      <c r="R1327" s="6"/>
      <c r="S1327" s="6"/>
      <c r="T1327" s="6"/>
      <c r="U1327" s="5">
        <f>MATCH(B1327,Manual_Review!$A$6:$A$238,0)</f>
        <v>83</v>
      </c>
      <c r="V1327" s="5" t="str">
        <f>IF(INDEX(Manual_Review!$G$6:$G$238,U1327)="","",INDEX(Manual_Review!$G$6:$G$238,U1327))</f>
        <v/>
      </c>
      <c r="W1327" s="11" t="str">
        <f>IF(INDEX(Manual_Review!$H$6:$H$238,U1327)="","",INDEX(Manual_Review!$H$6:$H$238,U1327))</f>
        <v/>
      </c>
      <c r="X1327" s="5" t="str">
        <f>IF(INDEX(Manual_Review!$I$6:$I$238,U1327)="","",INDEX(Manual_Review!$I$6:$I$238,U1327))</f>
        <v/>
      </c>
      <c r="Y1327" s="5" t="s">
        <v>2859</v>
      </c>
    </row>
    <row r="1328" spans="1:25" ht="25.5">
      <c r="A1328" s="5" t="s">
        <v>5653</v>
      </c>
      <c r="B1328" s="5" t="s">
        <v>1009</v>
      </c>
      <c r="C1328" s="5" t="s">
        <v>1010</v>
      </c>
      <c r="D1328" s="5" t="s">
        <v>118</v>
      </c>
      <c r="E1328" s="5" t="s">
        <v>2791</v>
      </c>
      <c r="F1328" s="5" t="s">
        <v>2760</v>
      </c>
      <c r="G1328" s="5">
        <v>1</v>
      </c>
      <c r="H1328" s="5" t="s">
        <v>2854</v>
      </c>
      <c r="I1328" s="5" t="str">
        <f>IF(INDEX(Manual_Review!$U$6:$U$238,U1328)="","",INDEX(Manual_Review!$U$6:$U$238,U1328))</f>
        <v/>
      </c>
      <c r="J1328" s="5" t="str">
        <f t="shared" si="40"/>
        <v>AI provisional</v>
      </c>
      <c r="K1328" s="5" t="str">
        <f t="shared" si="41"/>
        <v>Y</v>
      </c>
      <c r="L1328" s="5" t="s">
        <v>1018</v>
      </c>
      <c r="M1328" s="5" t="s">
        <v>5654</v>
      </c>
      <c r="N1328" s="5" t="s">
        <v>5634</v>
      </c>
      <c r="O1328" s="5" t="s">
        <v>3380</v>
      </c>
      <c r="P1328" s="5" t="s">
        <v>2858</v>
      </c>
      <c r="Q1328" s="11">
        <v>46306.5</v>
      </c>
      <c r="R1328" s="6"/>
      <c r="S1328" s="6"/>
      <c r="T1328" s="6"/>
      <c r="U1328" s="5">
        <f>MATCH(B1328,Manual_Review!$A$6:$A$238,0)</f>
        <v>83</v>
      </c>
      <c r="V1328" s="5" t="str">
        <f>IF(INDEX(Manual_Review!$G$6:$G$238,U1328)="","",INDEX(Manual_Review!$G$6:$G$238,U1328))</f>
        <v/>
      </c>
      <c r="W1328" s="11" t="str">
        <f>IF(INDEX(Manual_Review!$H$6:$H$238,U1328)="","",INDEX(Manual_Review!$H$6:$H$238,U1328))</f>
        <v/>
      </c>
      <c r="X1328" s="5" t="str">
        <f>IF(INDEX(Manual_Review!$I$6:$I$238,U1328)="","",INDEX(Manual_Review!$I$6:$I$238,U1328))</f>
        <v/>
      </c>
      <c r="Y1328" s="5" t="s">
        <v>2859</v>
      </c>
    </row>
    <row r="1329" spans="1:25" ht="25.5">
      <c r="A1329" s="5" t="s">
        <v>5655</v>
      </c>
      <c r="B1329" s="5" t="s">
        <v>1009</v>
      </c>
      <c r="C1329" s="5" t="s">
        <v>1010</v>
      </c>
      <c r="D1329" s="5" t="s">
        <v>118</v>
      </c>
      <c r="E1329" s="5" t="s">
        <v>2792</v>
      </c>
      <c r="F1329" s="5" t="s">
        <v>2762</v>
      </c>
      <c r="G1329" s="5">
        <v>1</v>
      </c>
      <c r="H1329" s="5" t="s">
        <v>2854</v>
      </c>
      <c r="I1329" s="5" t="str">
        <f>IF(INDEX(Manual_Review!$V$6:$V$238,U1329)="","",INDEX(Manual_Review!$V$6:$V$238,U1329))</f>
        <v/>
      </c>
      <c r="J1329" s="5" t="str">
        <f t="shared" si="40"/>
        <v>AI provisional</v>
      </c>
      <c r="K1329" s="5" t="str">
        <f t="shared" si="41"/>
        <v>Y</v>
      </c>
      <c r="L1329" s="5" t="s">
        <v>1018</v>
      </c>
      <c r="M1329" s="5" t="s">
        <v>5656</v>
      </c>
      <c r="N1329" s="5" t="s">
        <v>5634</v>
      </c>
      <c r="O1329" s="5" t="s">
        <v>3152</v>
      </c>
      <c r="P1329" s="5" t="s">
        <v>2858</v>
      </c>
      <c r="Q1329" s="11">
        <v>46306.5</v>
      </c>
      <c r="R1329" s="6"/>
      <c r="S1329" s="6"/>
      <c r="T1329" s="6"/>
      <c r="U1329" s="5">
        <f>MATCH(B1329,Manual_Review!$A$6:$A$238,0)</f>
        <v>83</v>
      </c>
      <c r="V1329" s="5" t="str">
        <f>IF(INDEX(Manual_Review!$G$6:$G$238,U1329)="","",INDEX(Manual_Review!$G$6:$G$238,U1329))</f>
        <v/>
      </c>
      <c r="W1329" s="11" t="str">
        <f>IF(INDEX(Manual_Review!$H$6:$H$238,U1329)="","",INDEX(Manual_Review!$H$6:$H$238,U1329))</f>
        <v/>
      </c>
      <c r="X1329" s="5" t="str">
        <f>IF(INDEX(Manual_Review!$I$6:$I$238,U1329)="","",INDEX(Manual_Review!$I$6:$I$238,U1329))</f>
        <v/>
      </c>
      <c r="Y1329" s="5" t="s">
        <v>2859</v>
      </c>
    </row>
    <row r="1330" spans="1:25" ht="25.5">
      <c r="A1330" s="5" t="s">
        <v>5657</v>
      </c>
      <c r="B1330" s="5" t="s">
        <v>1009</v>
      </c>
      <c r="C1330" s="5" t="s">
        <v>1010</v>
      </c>
      <c r="D1330" s="5" t="s">
        <v>118</v>
      </c>
      <c r="E1330" s="5" t="s">
        <v>2793</v>
      </c>
      <c r="F1330" s="5" t="s">
        <v>2762</v>
      </c>
      <c r="G1330" s="5">
        <v>1</v>
      </c>
      <c r="H1330" s="5" t="s">
        <v>2854</v>
      </c>
      <c r="I1330" s="5" t="str">
        <f>IF(INDEX(Manual_Review!$W$6:$W$238,U1330)="","",INDEX(Manual_Review!$W$6:$W$238,U1330))</f>
        <v/>
      </c>
      <c r="J1330" s="5" t="str">
        <f t="shared" si="40"/>
        <v>AI provisional</v>
      </c>
      <c r="K1330" s="5" t="str">
        <f t="shared" si="41"/>
        <v>Y</v>
      </c>
      <c r="L1330" s="5" t="s">
        <v>1018</v>
      </c>
      <c r="M1330" s="5" t="s">
        <v>5658</v>
      </c>
      <c r="N1330" s="5" t="s">
        <v>5634</v>
      </c>
      <c r="O1330" s="5" t="s">
        <v>3077</v>
      </c>
      <c r="P1330" s="5" t="s">
        <v>2858</v>
      </c>
      <c r="Q1330" s="11">
        <v>46306.5</v>
      </c>
      <c r="R1330" s="6"/>
      <c r="S1330" s="6"/>
      <c r="T1330" s="6"/>
      <c r="U1330" s="5">
        <f>MATCH(B1330,Manual_Review!$A$6:$A$238,0)</f>
        <v>83</v>
      </c>
      <c r="V1330" s="5" t="str">
        <f>IF(INDEX(Manual_Review!$G$6:$G$238,U1330)="","",INDEX(Manual_Review!$G$6:$G$238,U1330))</f>
        <v/>
      </c>
      <c r="W1330" s="11" t="str">
        <f>IF(INDEX(Manual_Review!$H$6:$H$238,U1330)="","",INDEX(Manual_Review!$H$6:$H$238,U1330))</f>
        <v/>
      </c>
      <c r="X1330" s="5" t="str">
        <f>IF(INDEX(Manual_Review!$I$6:$I$238,U1330)="","",INDEX(Manual_Review!$I$6:$I$238,U1330))</f>
        <v/>
      </c>
      <c r="Y1330" s="5" t="s">
        <v>2859</v>
      </c>
    </row>
    <row r="1331" spans="1:25" ht="25.5">
      <c r="A1331" s="5" t="s">
        <v>5659</v>
      </c>
      <c r="B1331" s="5" t="s">
        <v>1009</v>
      </c>
      <c r="C1331" s="5" t="s">
        <v>1010</v>
      </c>
      <c r="D1331" s="5" t="s">
        <v>118</v>
      </c>
      <c r="E1331" s="5" t="s">
        <v>2794</v>
      </c>
      <c r="F1331" s="5" t="s">
        <v>2764</v>
      </c>
      <c r="G1331" s="5">
        <v>1</v>
      </c>
      <c r="H1331" s="5" t="s">
        <v>2864</v>
      </c>
      <c r="I1331" s="5" t="str">
        <f>IF(INDEX(Manual_Review!$X$6:$X$238,U1331)="","",INDEX(Manual_Review!$X$6:$X$238,U1331))</f>
        <v/>
      </c>
      <c r="J1331" s="5" t="str">
        <f t="shared" si="40"/>
        <v>AI provisional</v>
      </c>
      <c r="K1331" s="5" t="str">
        <f t="shared" si="41"/>
        <v>U</v>
      </c>
      <c r="L1331" s="5" t="s">
        <v>1018</v>
      </c>
      <c r="M1331" s="5" t="s">
        <v>5660</v>
      </c>
      <c r="N1331" s="5" t="s">
        <v>5634</v>
      </c>
      <c r="O1331" s="5" t="s">
        <v>2895</v>
      </c>
      <c r="P1331" s="5" t="s">
        <v>2858</v>
      </c>
      <c r="Q1331" s="11">
        <v>46306.5</v>
      </c>
      <c r="R1331" s="6"/>
      <c r="S1331" s="6"/>
      <c r="T1331" s="6"/>
      <c r="U1331" s="5">
        <f>MATCH(B1331,Manual_Review!$A$6:$A$238,0)</f>
        <v>83</v>
      </c>
      <c r="V1331" s="5" t="str">
        <f>IF(INDEX(Manual_Review!$G$6:$G$238,U1331)="","",INDEX(Manual_Review!$G$6:$G$238,U1331))</f>
        <v/>
      </c>
      <c r="W1331" s="11" t="str">
        <f>IF(INDEX(Manual_Review!$H$6:$H$238,U1331)="","",INDEX(Manual_Review!$H$6:$H$238,U1331))</f>
        <v/>
      </c>
      <c r="X1331" s="5" t="str">
        <f>IF(INDEX(Manual_Review!$I$6:$I$238,U1331)="","",INDEX(Manual_Review!$I$6:$I$238,U1331))</f>
        <v/>
      </c>
      <c r="Y1331" s="5" t="s">
        <v>2859</v>
      </c>
    </row>
    <row r="1332" spans="1:25" ht="25.5">
      <c r="A1332" s="5" t="s">
        <v>5661</v>
      </c>
      <c r="B1332" s="5" t="s">
        <v>1009</v>
      </c>
      <c r="C1332" s="5" t="s">
        <v>1010</v>
      </c>
      <c r="D1332" s="5" t="s">
        <v>118</v>
      </c>
      <c r="E1332" s="5" t="s">
        <v>2795</v>
      </c>
      <c r="F1332" s="5" t="s">
        <v>2764</v>
      </c>
      <c r="G1332" s="5">
        <v>1</v>
      </c>
      <c r="H1332" s="5" t="s">
        <v>2864</v>
      </c>
      <c r="I1332" s="5" t="str">
        <f>IF(INDEX(Manual_Review!$Y$6:$Y$238,U1332)="","",INDEX(Manual_Review!$Y$6:$Y$238,U1332))</f>
        <v/>
      </c>
      <c r="J1332" s="5" t="str">
        <f t="shared" si="40"/>
        <v>AI provisional</v>
      </c>
      <c r="K1332" s="5" t="str">
        <f t="shared" si="41"/>
        <v>U</v>
      </c>
      <c r="L1332" s="5" t="s">
        <v>1018</v>
      </c>
      <c r="M1332" s="5" t="s">
        <v>5662</v>
      </c>
      <c r="N1332" s="5" t="s">
        <v>5634</v>
      </c>
      <c r="O1332" s="5" t="s">
        <v>2897</v>
      </c>
      <c r="P1332" s="5" t="s">
        <v>2858</v>
      </c>
      <c r="Q1332" s="11">
        <v>46306.5</v>
      </c>
      <c r="R1332" s="6"/>
      <c r="S1332" s="6"/>
      <c r="T1332" s="6"/>
      <c r="U1332" s="5">
        <f>MATCH(B1332,Manual_Review!$A$6:$A$238,0)</f>
        <v>83</v>
      </c>
      <c r="V1332" s="5" t="str">
        <f>IF(INDEX(Manual_Review!$G$6:$G$238,U1332)="","",INDEX(Manual_Review!$G$6:$G$238,U1332))</f>
        <v/>
      </c>
      <c r="W1332" s="11" t="str">
        <f>IF(INDEX(Manual_Review!$H$6:$H$238,U1332)="","",INDEX(Manual_Review!$H$6:$H$238,U1332))</f>
        <v/>
      </c>
      <c r="X1332" s="5" t="str">
        <f>IF(INDEX(Manual_Review!$I$6:$I$238,U1332)="","",INDEX(Manual_Review!$I$6:$I$238,U1332))</f>
        <v/>
      </c>
      <c r="Y1332" s="5" t="s">
        <v>2859</v>
      </c>
    </row>
    <row r="1333" spans="1:25" ht="25.5">
      <c r="A1333" s="5" t="s">
        <v>5663</v>
      </c>
      <c r="B1333" s="5" t="s">
        <v>1009</v>
      </c>
      <c r="C1333" s="5" t="s">
        <v>1010</v>
      </c>
      <c r="D1333" s="5" t="s">
        <v>118</v>
      </c>
      <c r="E1333" s="5" t="s">
        <v>2796</v>
      </c>
      <c r="F1333" s="5" t="s">
        <v>2764</v>
      </c>
      <c r="G1333" s="5">
        <v>1</v>
      </c>
      <c r="H1333" s="5" t="s">
        <v>2864</v>
      </c>
      <c r="I1333" s="5" t="str">
        <f>IF(INDEX(Manual_Review!$Z$6:$Z$238,U1333)="","",INDEX(Manual_Review!$Z$6:$Z$238,U1333))</f>
        <v/>
      </c>
      <c r="J1333" s="5" t="str">
        <f t="shared" si="40"/>
        <v>AI provisional</v>
      </c>
      <c r="K1333" s="5" t="str">
        <f t="shared" si="41"/>
        <v>U</v>
      </c>
      <c r="L1333" s="5" t="s">
        <v>1018</v>
      </c>
      <c r="M1333" s="5" t="s">
        <v>5664</v>
      </c>
      <c r="N1333" s="5" t="s">
        <v>5634</v>
      </c>
      <c r="O1333" s="5" t="s">
        <v>2899</v>
      </c>
      <c r="P1333" s="5" t="s">
        <v>2858</v>
      </c>
      <c r="Q1333" s="11">
        <v>46306.5</v>
      </c>
      <c r="R1333" s="6"/>
      <c r="S1333" s="6"/>
      <c r="T1333" s="6"/>
      <c r="U1333" s="5">
        <f>MATCH(B1333,Manual_Review!$A$6:$A$238,0)</f>
        <v>83</v>
      </c>
      <c r="V1333" s="5" t="str">
        <f>IF(INDEX(Manual_Review!$G$6:$G$238,U1333)="","",INDEX(Manual_Review!$G$6:$G$238,U1333))</f>
        <v/>
      </c>
      <c r="W1333" s="11" t="str">
        <f>IF(INDEX(Manual_Review!$H$6:$H$238,U1333)="","",INDEX(Manual_Review!$H$6:$H$238,U1333))</f>
        <v/>
      </c>
      <c r="X1333" s="5" t="str">
        <f>IF(INDEX(Manual_Review!$I$6:$I$238,U1333)="","",INDEX(Manual_Review!$I$6:$I$238,U1333))</f>
        <v/>
      </c>
      <c r="Y1333" s="5" t="s">
        <v>2859</v>
      </c>
    </row>
    <row r="1334" spans="1:25" ht="25.5">
      <c r="A1334" s="5" t="s">
        <v>5665</v>
      </c>
      <c r="B1334" s="5" t="s">
        <v>18</v>
      </c>
      <c r="C1334" s="5" t="s">
        <v>1020</v>
      </c>
      <c r="D1334" s="5" t="s">
        <v>118</v>
      </c>
      <c r="E1334" s="5" t="s">
        <v>2781</v>
      </c>
      <c r="F1334" s="5" t="s">
        <v>2754</v>
      </c>
      <c r="G1334" s="5">
        <v>1</v>
      </c>
      <c r="H1334" s="5" t="s">
        <v>2854</v>
      </c>
      <c r="I1334" s="5" t="str">
        <f>IF(INDEX(Manual_Review!$K$6:$K$238,U1334)="","",INDEX(Manual_Review!$K$6:$K$238,U1334))</f>
        <v/>
      </c>
      <c r="J1334" s="5" t="str">
        <f t="shared" si="40"/>
        <v>AI provisional</v>
      </c>
      <c r="K1334" s="5" t="str">
        <f t="shared" si="41"/>
        <v>Y</v>
      </c>
      <c r="L1334" s="5" t="s">
        <v>1030</v>
      </c>
      <c r="M1334" s="5" t="s">
        <v>5666</v>
      </c>
      <c r="N1334" s="5" t="s">
        <v>5667</v>
      </c>
      <c r="O1334" s="5" t="s">
        <v>3089</v>
      </c>
      <c r="P1334" s="5" t="s">
        <v>3090</v>
      </c>
      <c r="Q1334" s="11">
        <v>46306.5</v>
      </c>
      <c r="R1334" s="6"/>
      <c r="S1334" s="6"/>
      <c r="T1334" s="6"/>
      <c r="U1334" s="5">
        <f>MATCH(B1334,Manual_Review!$A$6:$A$238,0)</f>
        <v>84</v>
      </c>
      <c r="V1334" s="5" t="str">
        <f>IF(INDEX(Manual_Review!$G$6:$G$238,U1334)="","",INDEX(Manual_Review!$G$6:$G$238,U1334))</f>
        <v/>
      </c>
      <c r="W1334" s="11" t="str">
        <f>IF(INDEX(Manual_Review!$H$6:$H$238,U1334)="","",INDEX(Manual_Review!$H$6:$H$238,U1334))</f>
        <v/>
      </c>
      <c r="X1334" s="5" t="str">
        <f>IF(INDEX(Manual_Review!$I$6:$I$238,U1334)="","",INDEX(Manual_Review!$I$6:$I$238,U1334))</f>
        <v/>
      </c>
      <c r="Y1334" s="5" t="s">
        <v>2859</v>
      </c>
    </row>
    <row r="1335" spans="1:25" ht="25.5">
      <c r="A1335" s="5" t="s">
        <v>5668</v>
      </c>
      <c r="B1335" s="5" t="s">
        <v>18</v>
      </c>
      <c r="C1335" s="5" t="s">
        <v>1020</v>
      </c>
      <c r="D1335" s="5" t="s">
        <v>118</v>
      </c>
      <c r="E1335" s="5" t="s">
        <v>2782</v>
      </c>
      <c r="F1335" s="5" t="s">
        <v>2754</v>
      </c>
      <c r="G1335" s="5">
        <v>1</v>
      </c>
      <c r="H1335" s="5" t="s">
        <v>2854</v>
      </c>
      <c r="I1335" s="5" t="str">
        <f>IF(INDEX(Manual_Review!$L$6:$L$238,U1335)="","",INDEX(Manual_Review!$L$6:$L$238,U1335))</f>
        <v/>
      </c>
      <c r="J1335" s="5" t="str">
        <f t="shared" si="40"/>
        <v>AI provisional</v>
      </c>
      <c r="K1335" s="5" t="str">
        <f t="shared" si="41"/>
        <v>Y</v>
      </c>
      <c r="L1335" s="5" t="s">
        <v>1030</v>
      </c>
      <c r="M1335" s="5" t="s">
        <v>5669</v>
      </c>
      <c r="N1335" s="5" t="s">
        <v>5670</v>
      </c>
      <c r="O1335" s="5" t="s">
        <v>3089</v>
      </c>
      <c r="P1335" s="5" t="s">
        <v>3090</v>
      </c>
      <c r="Q1335" s="11">
        <v>46306.5</v>
      </c>
      <c r="R1335" s="6"/>
      <c r="S1335" s="6"/>
      <c r="T1335" s="6"/>
      <c r="U1335" s="5">
        <f>MATCH(B1335,Manual_Review!$A$6:$A$238,0)</f>
        <v>84</v>
      </c>
      <c r="V1335" s="5" t="str">
        <f>IF(INDEX(Manual_Review!$G$6:$G$238,U1335)="","",INDEX(Manual_Review!$G$6:$G$238,U1335))</f>
        <v/>
      </c>
      <c r="W1335" s="11" t="str">
        <f>IF(INDEX(Manual_Review!$H$6:$H$238,U1335)="","",INDEX(Manual_Review!$H$6:$H$238,U1335))</f>
        <v/>
      </c>
      <c r="X1335" s="5" t="str">
        <f>IF(INDEX(Manual_Review!$I$6:$I$238,U1335)="","",INDEX(Manual_Review!$I$6:$I$238,U1335))</f>
        <v/>
      </c>
      <c r="Y1335" s="5" t="s">
        <v>2859</v>
      </c>
    </row>
    <row r="1336" spans="1:25" ht="25.5">
      <c r="A1336" s="5" t="s">
        <v>5671</v>
      </c>
      <c r="B1336" s="5" t="s">
        <v>18</v>
      </c>
      <c r="C1336" s="5" t="s">
        <v>1020</v>
      </c>
      <c r="D1336" s="5" t="s">
        <v>118</v>
      </c>
      <c r="E1336" s="5" t="s">
        <v>2783</v>
      </c>
      <c r="F1336" s="5" t="s">
        <v>2754</v>
      </c>
      <c r="G1336" s="5">
        <v>1</v>
      </c>
      <c r="H1336" s="5" t="s">
        <v>2854</v>
      </c>
      <c r="I1336" s="5" t="str">
        <f>IF(INDEX(Manual_Review!$M$6:$M$238,U1336)="","",INDEX(Manual_Review!$M$6:$M$238,U1336))</f>
        <v/>
      </c>
      <c r="J1336" s="5" t="str">
        <f t="shared" si="40"/>
        <v>AI provisional</v>
      </c>
      <c r="K1336" s="5" t="str">
        <f t="shared" si="41"/>
        <v>Y</v>
      </c>
      <c r="L1336" s="5" t="s">
        <v>1030</v>
      </c>
      <c r="M1336" s="5" t="s">
        <v>5672</v>
      </c>
      <c r="N1336" s="5" t="s">
        <v>5673</v>
      </c>
      <c r="O1336" s="5" t="s">
        <v>3089</v>
      </c>
      <c r="P1336" s="5" t="s">
        <v>3090</v>
      </c>
      <c r="Q1336" s="11">
        <v>46306.5</v>
      </c>
      <c r="R1336" s="6"/>
      <c r="S1336" s="6"/>
      <c r="T1336" s="6"/>
      <c r="U1336" s="5">
        <f>MATCH(B1336,Manual_Review!$A$6:$A$238,0)</f>
        <v>84</v>
      </c>
      <c r="V1336" s="5" t="str">
        <f>IF(INDEX(Manual_Review!$G$6:$G$238,U1336)="","",INDEX(Manual_Review!$G$6:$G$238,U1336))</f>
        <v/>
      </c>
      <c r="W1336" s="11" t="str">
        <f>IF(INDEX(Manual_Review!$H$6:$H$238,U1336)="","",INDEX(Manual_Review!$H$6:$H$238,U1336))</f>
        <v/>
      </c>
      <c r="X1336" s="5" t="str">
        <f>IF(INDEX(Manual_Review!$I$6:$I$238,U1336)="","",INDEX(Manual_Review!$I$6:$I$238,U1336))</f>
        <v/>
      </c>
      <c r="Y1336" s="5" t="s">
        <v>2859</v>
      </c>
    </row>
    <row r="1337" spans="1:25" ht="25.5">
      <c r="A1337" s="5" t="s">
        <v>5674</v>
      </c>
      <c r="B1337" s="5" t="s">
        <v>18</v>
      </c>
      <c r="C1337" s="5" t="s">
        <v>1020</v>
      </c>
      <c r="D1337" s="5" t="s">
        <v>118</v>
      </c>
      <c r="E1337" s="5" t="s">
        <v>2784</v>
      </c>
      <c r="F1337" s="5" t="s">
        <v>2756</v>
      </c>
      <c r="G1337" s="5">
        <v>1</v>
      </c>
      <c r="H1337" s="5" t="s">
        <v>2854</v>
      </c>
      <c r="I1337" s="5" t="str">
        <f>IF(INDEX(Manual_Review!$N$6:$N$238,U1337)="","",INDEX(Manual_Review!$N$6:$N$238,U1337))</f>
        <v/>
      </c>
      <c r="J1337" s="5" t="str">
        <f t="shared" si="40"/>
        <v>AI provisional</v>
      </c>
      <c r="K1337" s="5" t="str">
        <f t="shared" si="41"/>
        <v>Y</v>
      </c>
      <c r="L1337" s="5" t="s">
        <v>1030</v>
      </c>
      <c r="M1337" s="5" t="s">
        <v>5675</v>
      </c>
      <c r="N1337" s="5" t="s">
        <v>5676</v>
      </c>
      <c r="O1337" s="5" t="s">
        <v>3089</v>
      </c>
      <c r="P1337" s="5" t="s">
        <v>3090</v>
      </c>
      <c r="Q1337" s="11">
        <v>46306.5</v>
      </c>
      <c r="R1337" s="6"/>
      <c r="S1337" s="6"/>
      <c r="T1337" s="6"/>
      <c r="U1337" s="5">
        <f>MATCH(B1337,Manual_Review!$A$6:$A$238,0)</f>
        <v>84</v>
      </c>
      <c r="V1337" s="5" t="str">
        <f>IF(INDEX(Manual_Review!$G$6:$G$238,U1337)="","",INDEX(Manual_Review!$G$6:$G$238,U1337))</f>
        <v/>
      </c>
      <c r="W1337" s="11" t="str">
        <f>IF(INDEX(Manual_Review!$H$6:$H$238,U1337)="","",INDEX(Manual_Review!$H$6:$H$238,U1337))</f>
        <v/>
      </c>
      <c r="X1337" s="5" t="str">
        <f>IF(INDEX(Manual_Review!$I$6:$I$238,U1337)="","",INDEX(Manual_Review!$I$6:$I$238,U1337))</f>
        <v/>
      </c>
      <c r="Y1337" s="5" t="s">
        <v>2859</v>
      </c>
    </row>
    <row r="1338" spans="1:25" ht="25.5">
      <c r="A1338" s="5" t="s">
        <v>5677</v>
      </c>
      <c r="B1338" s="5" t="s">
        <v>18</v>
      </c>
      <c r="C1338" s="5" t="s">
        <v>1020</v>
      </c>
      <c r="D1338" s="5" t="s">
        <v>118</v>
      </c>
      <c r="E1338" s="5" t="s">
        <v>2785</v>
      </c>
      <c r="F1338" s="5" t="s">
        <v>2756</v>
      </c>
      <c r="G1338" s="5">
        <v>1</v>
      </c>
      <c r="H1338" s="5" t="s">
        <v>2854</v>
      </c>
      <c r="I1338" s="5" t="str">
        <f>IF(INDEX(Manual_Review!$O$6:$O$238,U1338)="","",INDEX(Manual_Review!$O$6:$O$238,U1338))</f>
        <v/>
      </c>
      <c r="J1338" s="5" t="str">
        <f t="shared" si="40"/>
        <v>AI provisional</v>
      </c>
      <c r="K1338" s="5" t="str">
        <f t="shared" si="41"/>
        <v>Y</v>
      </c>
      <c r="L1338" s="5" t="s">
        <v>1030</v>
      </c>
      <c r="M1338" s="5" t="s">
        <v>5675</v>
      </c>
      <c r="N1338" s="5" t="s">
        <v>5678</v>
      </c>
      <c r="O1338" s="5" t="s">
        <v>3089</v>
      </c>
      <c r="P1338" s="5" t="s">
        <v>3090</v>
      </c>
      <c r="Q1338" s="11">
        <v>46306.5</v>
      </c>
      <c r="R1338" s="6"/>
      <c r="S1338" s="6"/>
      <c r="T1338" s="6"/>
      <c r="U1338" s="5">
        <f>MATCH(B1338,Manual_Review!$A$6:$A$238,0)</f>
        <v>84</v>
      </c>
      <c r="V1338" s="5" t="str">
        <f>IF(INDEX(Manual_Review!$G$6:$G$238,U1338)="","",INDEX(Manual_Review!$G$6:$G$238,U1338))</f>
        <v/>
      </c>
      <c r="W1338" s="11" t="str">
        <f>IF(INDEX(Manual_Review!$H$6:$H$238,U1338)="","",INDEX(Manual_Review!$H$6:$H$238,U1338))</f>
        <v/>
      </c>
      <c r="X1338" s="5" t="str">
        <f>IF(INDEX(Manual_Review!$I$6:$I$238,U1338)="","",INDEX(Manual_Review!$I$6:$I$238,U1338))</f>
        <v/>
      </c>
      <c r="Y1338" s="5" t="s">
        <v>2859</v>
      </c>
    </row>
    <row r="1339" spans="1:25" ht="25.5">
      <c r="A1339" s="5" t="s">
        <v>5679</v>
      </c>
      <c r="B1339" s="5" t="s">
        <v>18</v>
      </c>
      <c r="C1339" s="5" t="s">
        <v>1020</v>
      </c>
      <c r="D1339" s="5" t="s">
        <v>118</v>
      </c>
      <c r="E1339" s="5" t="s">
        <v>2786</v>
      </c>
      <c r="F1339" s="5" t="s">
        <v>2756</v>
      </c>
      <c r="G1339" s="5">
        <v>1</v>
      </c>
      <c r="H1339" s="5" t="s">
        <v>2864</v>
      </c>
      <c r="I1339" s="5" t="str">
        <f>IF(INDEX(Manual_Review!$P$6:$P$238,U1339)="","",INDEX(Manual_Review!$P$6:$P$238,U1339))</f>
        <v/>
      </c>
      <c r="J1339" s="5" t="str">
        <f t="shared" si="40"/>
        <v>AI provisional</v>
      </c>
      <c r="K1339" s="5" t="str">
        <f t="shared" si="41"/>
        <v>U</v>
      </c>
      <c r="L1339" s="5" t="s">
        <v>1030</v>
      </c>
      <c r="M1339" s="5" t="s">
        <v>5675</v>
      </c>
      <c r="N1339" s="5" t="s">
        <v>5680</v>
      </c>
      <c r="O1339" s="5" t="s">
        <v>3089</v>
      </c>
      <c r="P1339" s="5" t="s">
        <v>3090</v>
      </c>
      <c r="Q1339" s="11">
        <v>46306.5</v>
      </c>
      <c r="R1339" s="6"/>
      <c r="S1339" s="6"/>
      <c r="T1339" s="6"/>
      <c r="U1339" s="5">
        <f>MATCH(B1339,Manual_Review!$A$6:$A$238,0)</f>
        <v>84</v>
      </c>
      <c r="V1339" s="5" t="str">
        <f>IF(INDEX(Manual_Review!$G$6:$G$238,U1339)="","",INDEX(Manual_Review!$G$6:$G$238,U1339))</f>
        <v/>
      </c>
      <c r="W1339" s="11" t="str">
        <f>IF(INDEX(Manual_Review!$H$6:$H$238,U1339)="","",INDEX(Manual_Review!$H$6:$H$238,U1339))</f>
        <v/>
      </c>
      <c r="X1339" s="5" t="str">
        <f>IF(INDEX(Manual_Review!$I$6:$I$238,U1339)="","",INDEX(Manual_Review!$I$6:$I$238,U1339))</f>
        <v/>
      </c>
      <c r="Y1339" s="5" t="s">
        <v>2859</v>
      </c>
    </row>
    <row r="1340" spans="1:25" ht="25.5">
      <c r="A1340" s="5" t="s">
        <v>5681</v>
      </c>
      <c r="B1340" s="5" t="s">
        <v>18</v>
      </c>
      <c r="C1340" s="5" t="s">
        <v>1020</v>
      </c>
      <c r="D1340" s="5" t="s">
        <v>118</v>
      </c>
      <c r="E1340" s="5" t="s">
        <v>2787</v>
      </c>
      <c r="F1340" s="5" t="s">
        <v>2758</v>
      </c>
      <c r="G1340" s="5">
        <v>1</v>
      </c>
      <c r="H1340" s="5" t="s">
        <v>2864</v>
      </c>
      <c r="I1340" s="5" t="str">
        <f>IF(INDEX(Manual_Review!$Q$6:$Q$238,U1340)="","",INDEX(Manual_Review!$Q$6:$Q$238,U1340))</f>
        <v/>
      </c>
      <c r="J1340" s="5" t="str">
        <f t="shared" si="40"/>
        <v>AI provisional</v>
      </c>
      <c r="K1340" s="5" t="str">
        <f t="shared" si="41"/>
        <v>U</v>
      </c>
      <c r="L1340" s="5" t="s">
        <v>1030</v>
      </c>
      <c r="M1340" s="5" t="s">
        <v>5682</v>
      </c>
      <c r="N1340" s="5" t="s">
        <v>5683</v>
      </c>
      <c r="O1340" s="5" t="s">
        <v>3089</v>
      </c>
      <c r="P1340" s="5" t="s">
        <v>3090</v>
      </c>
      <c r="Q1340" s="11">
        <v>46306.5</v>
      </c>
      <c r="R1340" s="6"/>
      <c r="S1340" s="6"/>
      <c r="T1340" s="6"/>
      <c r="U1340" s="5">
        <f>MATCH(B1340,Manual_Review!$A$6:$A$238,0)</f>
        <v>84</v>
      </c>
      <c r="V1340" s="5" t="str">
        <f>IF(INDEX(Manual_Review!$G$6:$G$238,U1340)="","",INDEX(Manual_Review!$G$6:$G$238,U1340))</f>
        <v/>
      </c>
      <c r="W1340" s="11" t="str">
        <f>IF(INDEX(Manual_Review!$H$6:$H$238,U1340)="","",INDEX(Manual_Review!$H$6:$H$238,U1340))</f>
        <v/>
      </c>
      <c r="X1340" s="5" t="str">
        <f>IF(INDEX(Manual_Review!$I$6:$I$238,U1340)="","",INDEX(Manual_Review!$I$6:$I$238,U1340))</f>
        <v/>
      </c>
      <c r="Y1340" s="5" t="s">
        <v>2859</v>
      </c>
    </row>
    <row r="1341" spans="1:25" ht="25.5">
      <c r="A1341" s="5" t="s">
        <v>5684</v>
      </c>
      <c r="B1341" s="5" t="s">
        <v>18</v>
      </c>
      <c r="C1341" s="5" t="s">
        <v>1020</v>
      </c>
      <c r="D1341" s="5" t="s">
        <v>118</v>
      </c>
      <c r="E1341" s="5" t="s">
        <v>2788</v>
      </c>
      <c r="F1341" s="5" t="s">
        <v>2758</v>
      </c>
      <c r="G1341" s="5">
        <v>1</v>
      </c>
      <c r="H1341" s="5" t="s">
        <v>2854</v>
      </c>
      <c r="I1341" s="5" t="str">
        <f>IF(INDEX(Manual_Review!$R$6:$R$238,U1341)="","",INDEX(Manual_Review!$R$6:$R$238,U1341))</f>
        <v/>
      </c>
      <c r="J1341" s="5" t="str">
        <f t="shared" si="40"/>
        <v>AI provisional</v>
      </c>
      <c r="K1341" s="5" t="str">
        <f t="shared" si="41"/>
        <v>Y</v>
      </c>
      <c r="L1341" s="5" t="s">
        <v>1030</v>
      </c>
      <c r="M1341" s="5" t="s">
        <v>5685</v>
      </c>
      <c r="N1341" s="5" t="s">
        <v>5686</v>
      </c>
      <c r="O1341" s="5" t="s">
        <v>3089</v>
      </c>
      <c r="P1341" s="5" t="s">
        <v>3090</v>
      </c>
      <c r="Q1341" s="11">
        <v>46306.5</v>
      </c>
      <c r="R1341" s="6"/>
      <c r="S1341" s="6"/>
      <c r="T1341" s="6"/>
      <c r="U1341" s="5">
        <f>MATCH(B1341,Manual_Review!$A$6:$A$238,0)</f>
        <v>84</v>
      </c>
      <c r="V1341" s="5" t="str">
        <f>IF(INDEX(Manual_Review!$G$6:$G$238,U1341)="","",INDEX(Manual_Review!$G$6:$G$238,U1341))</f>
        <v/>
      </c>
      <c r="W1341" s="11" t="str">
        <f>IF(INDEX(Manual_Review!$H$6:$H$238,U1341)="","",INDEX(Manual_Review!$H$6:$H$238,U1341))</f>
        <v/>
      </c>
      <c r="X1341" s="5" t="str">
        <f>IF(INDEX(Manual_Review!$I$6:$I$238,U1341)="","",INDEX(Manual_Review!$I$6:$I$238,U1341))</f>
        <v/>
      </c>
      <c r="Y1341" s="5" t="s">
        <v>2859</v>
      </c>
    </row>
    <row r="1342" spans="1:25" ht="25.5">
      <c r="A1342" s="5" t="s">
        <v>5687</v>
      </c>
      <c r="B1342" s="5" t="s">
        <v>18</v>
      </c>
      <c r="C1342" s="5" t="s">
        <v>1020</v>
      </c>
      <c r="D1342" s="5" t="s">
        <v>118</v>
      </c>
      <c r="E1342" s="5" t="s">
        <v>2789</v>
      </c>
      <c r="F1342" s="5" t="s">
        <v>2758</v>
      </c>
      <c r="G1342" s="5">
        <v>1</v>
      </c>
      <c r="H1342" s="5" t="s">
        <v>2854</v>
      </c>
      <c r="I1342" s="5" t="str">
        <f>IF(INDEX(Manual_Review!$S$6:$S$238,U1342)="","",INDEX(Manual_Review!$S$6:$S$238,U1342))</f>
        <v/>
      </c>
      <c r="J1342" s="5" t="str">
        <f t="shared" si="40"/>
        <v>AI provisional</v>
      </c>
      <c r="K1342" s="5" t="str">
        <f t="shared" si="41"/>
        <v>Y</v>
      </c>
      <c r="L1342" s="5" t="s">
        <v>1030</v>
      </c>
      <c r="M1342" s="5" t="s">
        <v>4453</v>
      </c>
      <c r="N1342" s="5" t="s">
        <v>5688</v>
      </c>
      <c r="O1342" s="5" t="s">
        <v>3089</v>
      </c>
      <c r="P1342" s="5" t="s">
        <v>3090</v>
      </c>
      <c r="Q1342" s="11">
        <v>46306.5</v>
      </c>
      <c r="R1342" s="6"/>
      <c r="S1342" s="6"/>
      <c r="T1342" s="6"/>
      <c r="U1342" s="5">
        <f>MATCH(B1342,Manual_Review!$A$6:$A$238,0)</f>
        <v>84</v>
      </c>
      <c r="V1342" s="5" t="str">
        <f>IF(INDEX(Manual_Review!$G$6:$G$238,U1342)="","",INDEX(Manual_Review!$G$6:$G$238,U1342))</f>
        <v/>
      </c>
      <c r="W1342" s="11" t="str">
        <f>IF(INDEX(Manual_Review!$H$6:$H$238,U1342)="","",INDEX(Manual_Review!$H$6:$H$238,U1342))</f>
        <v/>
      </c>
      <c r="X1342" s="5" t="str">
        <f>IF(INDEX(Manual_Review!$I$6:$I$238,U1342)="","",INDEX(Manual_Review!$I$6:$I$238,U1342))</f>
        <v/>
      </c>
      <c r="Y1342" s="5" t="s">
        <v>2859</v>
      </c>
    </row>
    <row r="1343" spans="1:25" ht="25.5">
      <c r="A1343" s="5" t="s">
        <v>5689</v>
      </c>
      <c r="B1343" s="5" t="s">
        <v>18</v>
      </c>
      <c r="C1343" s="5" t="s">
        <v>1020</v>
      </c>
      <c r="D1343" s="5" t="s">
        <v>118</v>
      </c>
      <c r="E1343" s="5" t="s">
        <v>2790</v>
      </c>
      <c r="F1343" s="5" t="s">
        <v>2760</v>
      </c>
      <c r="G1343" s="5">
        <v>1</v>
      </c>
      <c r="H1343" s="5" t="s">
        <v>2854</v>
      </c>
      <c r="I1343" s="5" t="str">
        <f>IF(INDEX(Manual_Review!$T$6:$T$238,U1343)="","",INDEX(Manual_Review!$T$6:$T$238,U1343))</f>
        <v/>
      </c>
      <c r="J1343" s="5" t="str">
        <f t="shared" si="40"/>
        <v>AI provisional</v>
      </c>
      <c r="K1343" s="5" t="str">
        <f t="shared" si="41"/>
        <v>Y</v>
      </c>
      <c r="L1343" s="5" t="s">
        <v>1030</v>
      </c>
      <c r="M1343" s="5" t="s">
        <v>5690</v>
      </c>
      <c r="N1343" s="5" t="s">
        <v>5691</v>
      </c>
      <c r="O1343" s="5" t="s">
        <v>3089</v>
      </c>
      <c r="P1343" s="5" t="s">
        <v>3090</v>
      </c>
      <c r="Q1343" s="11">
        <v>46306.5</v>
      </c>
      <c r="R1343" s="6"/>
      <c r="S1343" s="6"/>
      <c r="T1343" s="6"/>
      <c r="U1343" s="5">
        <f>MATCH(B1343,Manual_Review!$A$6:$A$238,0)</f>
        <v>84</v>
      </c>
      <c r="V1343" s="5" t="str">
        <f>IF(INDEX(Manual_Review!$G$6:$G$238,U1343)="","",INDEX(Manual_Review!$G$6:$G$238,U1343))</f>
        <v/>
      </c>
      <c r="W1343" s="11" t="str">
        <f>IF(INDEX(Manual_Review!$H$6:$H$238,U1343)="","",INDEX(Manual_Review!$H$6:$H$238,U1343))</f>
        <v/>
      </c>
      <c r="X1343" s="5" t="str">
        <f>IF(INDEX(Manual_Review!$I$6:$I$238,U1343)="","",INDEX(Manual_Review!$I$6:$I$238,U1343))</f>
        <v/>
      </c>
      <c r="Y1343" s="5" t="s">
        <v>2859</v>
      </c>
    </row>
    <row r="1344" spans="1:25" ht="25.5">
      <c r="A1344" s="5" t="s">
        <v>5692</v>
      </c>
      <c r="B1344" s="5" t="s">
        <v>18</v>
      </c>
      <c r="C1344" s="5" t="s">
        <v>1020</v>
      </c>
      <c r="D1344" s="5" t="s">
        <v>118</v>
      </c>
      <c r="E1344" s="5" t="s">
        <v>2791</v>
      </c>
      <c r="F1344" s="5" t="s">
        <v>2760</v>
      </c>
      <c r="G1344" s="5">
        <v>1</v>
      </c>
      <c r="H1344" s="5" t="s">
        <v>2854</v>
      </c>
      <c r="I1344" s="5" t="str">
        <f>IF(INDEX(Manual_Review!$U$6:$U$238,U1344)="","",INDEX(Manual_Review!$U$6:$U$238,U1344))</f>
        <v/>
      </c>
      <c r="J1344" s="5" t="str">
        <f t="shared" si="40"/>
        <v>AI provisional</v>
      </c>
      <c r="K1344" s="5" t="str">
        <f t="shared" si="41"/>
        <v>Y</v>
      </c>
      <c r="L1344" s="5" t="s">
        <v>1030</v>
      </c>
      <c r="M1344" s="5" t="s">
        <v>5675</v>
      </c>
      <c r="N1344" s="5" t="s">
        <v>5693</v>
      </c>
      <c r="O1344" s="5" t="s">
        <v>3089</v>
      </c>
      <c r="P1344" s="5" t="s">
        <v>3090</v>
      </c>
      <c r="Q1344" s="11">
        <v>46306.5</v>
      </c>
      <c r="R1344" s="6"/>
      <c r="S1344" s="6"/>
      <c r="T1344" s="6"/>
      <c r="U1344" s="5">
        <f>MATCH(B1344,Manual_Review!$A$6:$A$238,0)</f>
        <v>84</v>
      </c>
      <c r="V1344" s="5" t="str">
        <f>IF(INDEX(Manual_Review!$G$6:$G$238,U1344)="","",INDEX(Manual_Review!$G$6:$G$238,U1344))</f>
        <v/>
      </c>
      <c r="W1344" s="11" t="str">
        <f>IF(INDEX(Manual_Review!$H$6:$H$238,U1344)="","",INDEX(Manual_Review!$H$6:$H$238,U1344))</f>
        <v/>
      </c>
      <c r="X1344" s="5" t="str">
        <f>IF(INDEX(Manual_Review!$I$6:$I$238,U1344)="","",INDEX(Manual_Review!$I$6:$I$238,U1344))</f>
        <v/>
      </c>
      <c r="Y1344" s="5" t="s">
        <v>2859</v>
      </c>
    </row>
    <row r="1345" spans="1:25" ht="25.5">
      <c r="A1345" s="5" t="s">
        <v>5694</v>
      </c>
      <c r="B1345" s="5" t="s">
        <v>18</v>
      </c>
      <c r="C1345" s="5" t="s">
        <v>1020</v>
      </c>
      <c r="D1345" s="5" t="s">
        <v>118</v>
      </c>
      <c r="E1345" s="5" t="s">
        <v>2792</v>
      </c>
      <c r="F1345" s="5" t="s">
        <v>2762</v>
      </c>
      <c r="G1345" s="5">
        <v>1</v>
      </c>
      <c r="H1345" s="5" t="s">
        <v>2854</v>
      </c>
      <c r="I1345" s="5" t="str">
        <f>IF(INDEX(Manual_Review!$V$6:$V$238,U1345)="","",INDEX(Manual_Review!$V$6:$V$238,U1345))</f>
        <v/>
      </c>
      <c r="J1345" s="5" t="str">
        <f t="shared" si="40"/>
        <v>AI provisional</v>
      </c>
      <c r="K1345" s="5" t="str">
        <f t="shared" si="41"/>
        <v>Y</v>
      </c>
      <c r="L1345" s="5" t="s">
        <v>1030</v>
      </c>
      <c r="M1345" s="5" t="s">
        <v>5675</v>
      </c>
      <c r="N1345" s="5" t="s">
        <v>5695</v>
      </c>
      <c r="O1345" s="5" t="s">
        <v>3089</v>
      </c>
      <c r="P1345" s="5" t="s">
        <v>3090</v>
      </c>
      <c r="Q1345" s="11">
        <v>46306.5</v>
      </c>
      <c r="R1345" s="6"/>
      <c r="S1345" s="6"/>
      <c r="T1345" s="6"/>
      <c r="U1345" s="5">
        <f>MATCH(B1345,Manual_Review!$A$6:$A$238,0)</f>
        <v>84</v>
      </c>
      <c r="V1345" s="5" t="str">
        <f>IF(INDEX(Manual_Review!$G$6:$G$238,U1345)="","",INDEX(Manual_Review!$G$6:$G$238,U1345))</f>
        <v/>
      </c>
      <c r="W1345" s="11" t="str">
        <f>IF(INDEX(Manual_Review!$H$6:$H$238,U1345)="","",INDEX(Manual_Review!$H$6:$H$238,U1345))</f>
        <v/>
      </c>
      <c r="X1345" s="5" t="str">
        <f>IF(INDEX(Manual_Review!$I$6:$I$238,U1345)="","",INDEX(Manual_Review!$I$6:$I$238,U1345))</f>
        <v/>
      </c>
      <c r="Y1345" s="5" t="s">
        <v>2859</v>
      </c>
    </row>
    <row r="1346" spans="1:25" ht="25.5">
      <c r="A1346" s="5" t="s">
        <v>5696</v>
      </c>
      <c r="B1346" s="5" t="s">
        <v>18</v>
      </c>
      <c r="C1346" s="5" t="s">
        <v>1020</v>
      </c>
      <c r="D1346" s="5" t="s">
        <v>118</v>
      </c>
      <c r="E1346" s="5" t="s">
        <v>2793</v>
      </c>
      <c r="F1346" s="5" t="s">
        <v>2762</v>
      </c>
      <c r="G1346" s="5">
        <v>1</v>
      </c>
      <c r="H1346" s="5" t="s">
        <v>2854</v>
      </c>
      <c r="I1346" s="5" t="str">
        <f>IF(INDEX(Manual_Review!$W$6:$W$238,U1346)="","",INDEX(Manual_Review!$W$6:$W$238,U1346))</f>
        <v/>
      </c>
      <c r="J1346" s="5" t="str">
        <f t="shared" si="40"/>
        <v>AI provisional</v>
      </c>
      <c r="K1346" s="5" t="str">
        <f t="shared" si="41"/>
        <v>Y</v>
      </c>
      <c r="L1346" s="5" t="s">
        <v>1030</v>
      </c>
      <c r="M1346" s="5" t="s">
        <v>4453</v>
      </c>
      <c r="N1346" s="5" t="s">
        <v>5697</v>
      </c>
      <c r="O1346" s="5" t="s">
        <v>3089</v>
      </c>
      <c r="P1346" s="5" t="s">
        <v>3090</v>
      </c>
      <c r="Q1346" s="11">
        <v>46306.5</v>
      </c>
      <c r="R1346" s="6"/>
      <c r="S1346" s="6"/>
      <c r="T1346" s="6"/>
      <c r="U1346" s="5">
        <f>MATCH(B1346,Manual_Review!$A$6:$A$238,0)</f>
        <v>84</v>
      </c>
      <c r="V1346" s="5" t="str">
        <f>IF(INDEX(Manual_Review!$G$6:$G$238,U1346)="","",INDEX(Manual_Review!$G$6:$G$238,U1346))</f>
        <v/>
      </c>
      <c r="W1346" s="11" t="str">
        <f>IF(INDEX(Manual_Review!$H$6:$H$238,U1346)="","",INDEX(Manual_Review!$H$6:$H$238,U1346))</f>
        <v/>
      </c>
      <c r="X1346" s="5" t="str">
        <f>IF(INDEX(Manual_Review!$I$6:$I$238,U1346)="","",INDEX(Manual_Review!$I$6:$I$238,U1346))</f>
        <v/>
      </c>
      <c r="Y1346" s="5" t="s">
        <v>2859</v>
      </c>
    </row>
    <row r="1347" spans="1:25" ht="25.5">
      <c r="A1347" s="5" t="s">
        <v>5698</v>
      </c>
      <c r="B1347" s="5" t="s">
        <v>18</v>
      </c>
      <c r="C1347" s="5" t="s">
        <v>1020</v>
      </c>
      <c r="D1347" s="5" t="s">
        <v>118</v>
      </c>
      <c r="E1347" s="5" t="s">
        <v>2794</v>
      </c>
      <c r="F1347" s="5" t="s">
        <v>2764</v>
      </c>
      <c r="G1347" s="5">
        <v>1</v>
      </c>
      <c r="H1347" s="5" t="s">
        <v>2854</v>
      </c>
      <c r="I1347" s="5" t="str">
        <f>IF(INDEX(Manual_Review!$X$6:$X$238,U1347)="","",INDEX(Manual_Review!$X$6:$X$238,U1347))</f>
        <v/>
      </c>
      <c r="J1347" s="5" t="str">
        <f t="shared" si="40"/>
        <v>AI provisional</v>
      </c>
      <c r="K1347" s="5" t="str">
        <f t="shared" si="41"/>
        <v>Y</v>
      </c>
      <c r="L1347" s="5" t="s">
        <v>1030</v>
      </c>
      <c r="M1347" s="5" t="s">
        <v>5675</v>
      </c>
      <c r="N1347" s="5" t="s">
        <v>5699</v>
      </c>
      <c r="O1347" s="5" t="s">
        <v>3089</v>
      </c>
      <c r="P1347" s="5" t="s">
        <v>3090</v>
      </c>
      <c r="Q1347" s="11">
        <v>46306.5</v>
      </c>
      <c r="R1347" s="6"/>
      <c r="S1347" s="6"/>
      <c r="T1347" s="6"/>
      <c r="U1347" s="5">
        <f>MATCH(B1347,Manual_Review!$A$6:$A$238,0)</f>
        <v>84</v>
      </c>
      <c r="V1347" s="5" t="str">
        <f>IF(INDEX(Manual_Review!$G$6:$G$238,U1347)="","",INDEX(Manual_Review!$G$6:$G$238,U1347))</f>
        <v/>
      </c>
      <c r="W1347" s="11" t="str">
        <f>IF(INDEX(Manual_Review!$H$6:$H$238,U1347)="","",INDEX(Manual_Review!$H$6:$H$238,U1347))</f>
        <v/>
      </c>
      <c r="X1347" s="5" t="str">
        <f>IF(INDEX(Manual_Review!$I$6:$I$238,U1347)="","",INDEX(Manual_Review!$I$6:$I$238,U1347))</f>
        <v/>
      </c>
      <c r="Y1347" s="5" t="s">
        <v>2859</v>
      </c>
    </row>
    <row r="1348" spans="1:25" ht="25.5">
      <c r="A1348" s="5" t="s">
        <v>5700</v>
      </c>
      <c r="B1348" s="5" t="s">
        <v>18</v>
      </c>
      <c r="C1348" s="5" t="s">
        <v>1020</v>
      </c>
      <c r="D1348" s="5" t="s">
        <v>118</v>
      </c>
      <c r="E1348" s="5" t="s">
        <v>2795</v>
      </c>
      <c r="F1348" s="5" t="s">
        <v>2764</v>
      </c>
      <c r="G1348" s="5">
        <v>1</v>
      </c>
      <c r="H1348" s="5" t="s">
        <v>2854</v>
      </c>
      <c r="I1348" s="5" t="str">
        <f>IF(INDEX(Manual_Review!$Y$6:$Y$238,U1348)="","",INDEX(Manual_Review!$Y$6:$Y$238,U1348))</f>
        <v/>
      </c>
      <c r="J1348" s="5" t="str">
        <f t="shared" si="40"/>
        <v>AI provisional</v>
      </c>
      <c r="K1348" s="5" t="str">
        <f t="shared" si="41"/>
        <v>Y</v>
      </c>
      <c r="L1348" s="5" t="s">
        <v>1030</v>
      </c>
      <c r="M1348" s="5" t="s">
        <v>5675</v>
      </c>
      <c r="N1348" s="5" t="s">
        <v>5701</v>
      </c>
      <c r="O1348" s="5" t="s">
        <v>3089</v>
      </c>
      <c r="P1348" s="5" t="s">
        <v>3090</v>
      </c>
      <c r="Q1348" s="11">
        <v>46306.5</v>
      </c>
      <c r="R1348" s="6"/>
      <c r="S1348" s="6"/>
      <c r="T1348" s="6"/>
      <c r="U1348" s="5">
        <f>MATCH(B1348,Manual_Review!$A$6:$A$238,0)</f>
        <v>84</v>
      </c>
      <c r="V1348" s="5" t="str">
        <f>IF(INDEX(Manual_Review!$G$6:$G$238,U1348)="","",INDEX(Manual_Review!$G$6:$G$238,U1348))</f>
        <v/>
      </c>
      <c r="W1348" s="11" t="str">
        <f>IF(INDEX(Manual_Review!$H$6:$H$238,U1348)="","",INDEX(Manual_Review!$H$6:$H$238,U1348))</f>
        <v/>
      </c>
      <c r="X1348" s="5" t="str">
        <f>IF(INDEX(Manual_Review!$I$6:$I$238,U1348)="","",INDEX(Manual_Review!$I$6:$I$238,U1348))</f>
        <v/>
      </c>
      <c r="Y1348" s="5" t="s">
        <v>2859</v>
      </c>
    </row>
    <row r="1349" spans="1:25" ht="25.5">
      <c r="A1349" s="5" t="s">
        <v>5702</v>
      </c>
      <c r="B1349" s="5" t="s">
        <v>18</v>
      </c>
      <c r="C1349" s="5" t="s">
        <v>1020</v>
      </c>
      <c r="D1349" s="5" t="s">
        <v>118</v>
      </c>
      <c r="E1349" s="5" t="s">
        <v>2796</v>
      </c>
      <c r="F1349" s="5" t="s">
        <v>2764</v>
      </c>
      <c r="G1349" s="5">
        <v>1</v>
      </c>
      <c r="H1349" s="5" t="s">
        <v>2854</v>
      </c>
      <c r="I1349" s="5" t="str">
        <f>IF(INDEX(Manual_Review!$Z$6:$Z$238,U1349)="","",INDEX(Manual_Review!$Z$6:$Z$238,U1349))</f>
        <v/>
      </c>
      <c r="J1349" s="5" t="str">
        <f t="shared" si="40"/>
        <v>AI provisional</v>
      </c>
      <c r="K1349" s="5" t="str">
        <f t="shared" si="41"/>
        <v>Y</v>
      </c>
      <c r="L1349" s="5" t="s">
        <v>1030</v>
      </c>
      <c r="M1349" s="5" t="s">
        <v>5675</v>
      </c>
      <c r="N1349" s="5" t="s">
        <v>5703</v>
      </c>
      <c r="O1349" s="5" t="s">
        <v>3089</v>
      </c>
      <c r="P1349" s="5" t="s">
        <v>3090</v>
      </c>
      <c r="Q1349" s="11">
        <v>46306.5</v>
      </c>
      <c r="R1349" s="6"/>
      <c r="S1349" s="6"/>
      <c r="T1349" s="6"/>
      <c r="U1349" s="5">
        <f>MATCH(B1349,Manual_Review!$A$6:$A$238,0)</f>
        <v>84</v>
      </c>
      <c r="V1349" s="5" t="str">
        <f>IF(INDEX(Manual_Review!$G$6:$G$238,U1349)="","",INDEX(Manual_Review!$G$6:$G$238,U1349))</f>
        <v/>
      </c>
      <c r="W1349" s="11" t="str">
        <f>IF(INDEX(Manual_Review!$H$6:$H$238,U1349)="","",INDEX(Manual_Review!$H$6:$H$238,U1349))</f>
        <v/>
      </c>
      <c r="X1349" s="5" t="str">
        <f>IF(INDEX(Manual_Review!$I$6:$I$238,U1349)="","",INDEX(Manual_Review!$I$6:$I$238,U1349))</f>
        <v/>
      </c>
      <c r="Y1349" s="5" t="s">
        <v>2859</v>
      </c>
    </row>
    <row r="1350" spans="1:25" ht="25.5">
      <c r="A1350" s="5" t="s">
        <v>5704</v>
      </c>
      <c r="B1350" s="5" t="s">
        <v>1033</v>
      </c>
      <c r="C1350" s="5" t="s">
        <v>1034</v>
      </c>
      <c r="D1350" s="5" t="s">
        <v>118</v>
      </c>
      <c r="E1350" s="5" t="s">
        <v>2781</v>
      </c>
      <c r="F1350" s="5" t="s">
        <v>2754</v>
      </c>
      <c r="G1350" s="5">
        <v>1</v>
      </c>
      <c r="H1350" s="5" t="s">
        <v>2854</v>
      </c>
      <c r="I1350" s="5" t="str">
        <f>IF(INDEX(Manual_Review!$K$6:$K$238,U1350)="","",INDEX(Manual_Review!$K$6:$K$238,U1350))</f>
        <v/>
      </c>
      <c r="J1350" s="5" t="str">
        <f t="shared" ref="J1350:J1413" si="42">IF(G1350=0,"Not applicable",IF(I1350="","AI provisional",IF(AND(OR(I1350="Y",I1350="N",I1350="U",I1350="X"),V1350&lt;&gt;"",ISNUMBER(W1350),W1350&gt;0,X1350="Confirmed",R1350&lt;&gt;"",S1350&lt;&gt;"",T1350&lt;&gt;""),"Human valid","Evidence needed")))</f>
        <v>AI provisional</v>
      </c>
      <c r="K1350" s="5" t="str">
        <f t="shared" ref="K1350:K1413" si="43">IF(G1350=0,"N/A",IF(I1350="",H1350,IF(J1350="Human valid",I1350,"U")))</f>
        <v>Y</v>
      </c>
      <c r="L1350" s="5" t="s">
        <v>1041</v>
      </c>
      <c r="M1350" s="5" t="s">
        <v>5705</v>
      </c>
      <c r="N1350" s="5" t="s">
        <v>5706</v>
      </c>
      <c r="O1350" s="5" t="s">
        <v>2857</v>
      </c>
      <c r="P1350" s="5" t="s">
        <v>2858</v>
      </c>
      <c r="Q1350" s="11">
        <v>46306.5</v>
      </c>
      <c r="R1350" s="6"/>
      <c r="S1350" s="6"/>
      <c r="T1350" s="6"/>
      <c r="U1350" s="5">
        <f>MATCH(B1350,Manual_Review!$A$6:$A$238,0)</f>
        <v>85</v>
      </c>
      <c r="V1350" s="5" t="str">
        <f>IF(INDEX(Manual_Review!$G$6:$G$238,U1350)="","",INDEX(Manual_Review!$G$6:$G$238,U1350))</f>
        <v/>
      </c>
      <c r="W1350" s="11" t="str">
        <f>IF(INDEX(Manual_Review!$H$6:$H$238,U1350)="","",INDEX(Manual_Review!$H$6:$H$238,U1350))</f>
        <v/>
      </c>
      <c r="X1350" s="5" t="str">
        <f>IF(INDEX(Manual_Review!$I$6:$I$238,U1350)="","",INDEX(Manual_Review!$I$6:$I$238,U1350))</f>
        <v/>
      </c>
      <c r="Y1350" s="5" t="s">
        <v>2859</v>
      </c>
    </row>
    <row r="1351" spans="1:25" ht="25.5">
      <c r="A1351" s="5" t="s">
        <v>5707</v>
      </c>
      <c r="B1351" s="5" t="s">
        <v>1033</v>
      </c>
      <c r="C1351" s="5" t="s">
        <v>1034</v>
      </c>
      <c r="D1351" s="5" t="s">
        <v>118</v>
      </c>
      <c r="E1351" s="5" t="s">
        <v>2782</v>
      </c>
      <c r="F1351" s="5" t="s">
        <v>2754</v>
      </c>
      <c r="G1351" s="5">
        <v>1</v>
      </c>
      <c r="H1351" s="5" t="s">
        <v>2854</v>
      </c>
      <c r="I1351" s="5" t="str">
        <f>IF(INDEX(Manual_Review!$L$6:$L$238,U1351)="","",INDEX(Manual_Review!$L$6:$L$238,U1351))</f>
        <v/>
      </c>
      <c r="J1351" s="5" t="str">
        <f t="shared" si="42"/>
        <v>AI provisional</v>
      </c>
      <c r="K1351" s="5" t="str">
        <f t="shared" si="43"/>
        <v>Y</v>
      </c>
      <c r="L1351" s="5" t="s">
        <v>1041</v>
      </c>
      <c r="M1351" s="5" t="s">
        <v>5708</v>
      </c>
      <c r="N1351" s="5" t="s">
        <v>5706</v>
      </c>
      <c r="O1351" s="5" t="s">
        <v>2862</v>
      </c>
      <c r="P1351" s="5" t="s">
        <v>2858</v>
      </c>
      <c r="Q1351" s="11">
        <v>46306.5</v>
      </c>
      <c r="R1351" s="6"/>
      <c r="S1351" s="6"/>
      <c r="T1351" s="6"/>
      <c r="U1351" s="5">
        <f>MATCH(B1351,Manual_Review!$A$6:$A$238,0)</f>
        <v>85</v>
      </c>
      <c r="V1351" s="5" t="str">
        <f>IF(INDEX(Manual_Review!$G$6:$G$238,U1351)="","",INDEX(Manual_Review!$G$6:$G$238,U1351))</f>
        <v/>
      </c>
      <c r="W1351" s="11" t="str">
        <f>IF(INDEX(Manual_Review!$H$6:$H$238,U1351)="","",INDEX(Manual_Review!$H$6:$H$238,U1351))</f>
        <v/>
      </c>
      <c r="X1351" s="5" t="str">
        <f>IF(INDEX(Manual_Review!$I$6:$I$238,U1351)="","",INDEX(Manual_Review!$I$6:$I$238,U1351))</f>
        <v/>
      </c>
      <c r="Y1351" s="5" t="s">
        <v>2859</v>
      </c>
    </row>
    <row r="1352" spans="1:25" ht="25.5">
      <c r="A1352" s="5" t="s">
        <v>5709</v>
      </c>
      <c r="B1352" s="5" t="s">
        <v>1033</v>
      </c>
      <c r="C1352" s="5" t="s">
        <v>1034</v>
      </c>
      <c r="D1352" s="5" t="s">
        <v>118</v>
      </c>
      <c r="E1352" s="5" t="s">
        <v>2783</v>
      </c>
      <c r="F1352" s="5" t="s">
        <v>2754</v>
      </c>
      <c r="G1352" s="5">
        <v>1</v>
      </c>
      <c r="H1352" s="5" t="s">
        <v>2854</v>
      </c>
      <c r="I1352" s="5" t="str">
        <f>IF(INDEX(Manual_Review!$M$6:$M$238,U1352)="","",INDEX(Manual_Review!$M$6:$M$238,U1352))</f>
        <v/>
      </c>
      <c r="J1352" s="5" t="str">
        <f t="shared" si="42"/>
        <v>AI provisional</v>
      </c>
      <c r="K1352" s="5" t="str">
        <f t="shared" si="43"/>
        <v>Y</v>
      </c>
      <c r="L1352" s="5" t="s">
        <v>1041</v>
      </c>
      <c r="M1352" s="5" t="s">
        <v>5710</v>
      </c>
      <c r="N1352" s="5" t="s">
        <v>5706</v>
      </c>
      <c r="O1352" s="5" t="s">
        <v>3133</v>
      </c>
      <c r="P1352" s="5" t="s">
        <v>2858</v>
      </c>
      <c r="Q1352" s="11">
        <v>46306.5</v>
      </c>
      <c r="R1352" s="6"/>
      <c r="S1352" s="6"/>
      <c r="T1352" s="6"/>
      <c r="U1352" s="5">
        <f>MATCH(B1352,Manual_Review!$A$6:$A$238,0)</f>
        <v>85</v>
      </c>
      <c r="V1352" s="5" t="str">
        <f>IF(INDEX(Manual_Review!$G$6:$G$238,U1352)="","",INDEX(Manual_Review!$G$6:$G$238,U1352))</f>
        <v/>
      </c>
      <c r="W1352" s="11" t="str">
        <f>IF(INDEX(Manual_Review!$H$6:$H$238,U1352)="","",INDEX(Manual_Review!$H$6:$H$238,U1352))</f>
        <v/>
      </c>
      <c r="X1352" s="5" t="str">
        <f>IF(INDEX(Manual_Review!$I$6:$I$238,U1352)="","",INDEX(Manual_Review!$I$6:$I$238,U1352))</f>
        <v/>
      </c>
      <c r="Y1352" s="5" t="s">
        <v>2859</v>
      </c>
    </row>
    <row r="1353" spans="1:25" ht="25.5">
      <c r="A1353" s="5" t="s">
        <v>5711</v>
      </c>
      <c r="B1353" s="5" t="s">
        <v>1033</v>
      </c>
      <c r="C1353" s="5" t="s">
        <v>1034</v>
      </c>
      <c r="D1353" s="5" t="s">
        <v>118</v>
      </c>
      <c r="E1353" s="5" t="s">
        <v>2784</v>
      </c>
      <c r="F1353" s="5" t="s">
        <v>2756</v>
      </c>
      <c r="G1353" s="5">
        <v>1</v>
      </c>
      <c r="H1353" s="5" t="s">
        <v>2864</v>
      </c>
      <c r="I1353" s="5" t="str">
        <f>IF(INDEX(Manual_Review!$N$6:$N$238,U1353)="","",INDEX(Manual_Review!$N$6:$N$238,U1353))</f>
        <v/>
      </c>
      <c r="J1353" s="5" t="str">
        <f t="shared" si="42"/>
        <v>AI provisional</v>
      </c>
      <c r="K1353" s="5" t="str">
        <f t="shared" si="43"/>
        <v>U</v>
      </c>
      <c r="L1353" s="5" t="s">
        <v>1041</v>
      </c>
      <c r="M1353" s="5" t="s">
        <v>5712</v>
      </c>
      <c r="N1353" s="5" t="s">
        <v>5706</v>
      </c>
      <c r="O1353" s="5" t="s">
        <v>2869</v>
      </c>
      <c r="P1353" s="5" t="s">
        <v>2858</v>
      </c>
      <c r="Q1353" s="11">
        <v>46306.5</v>
      </c>
      <c r="R1353" s="6"/>
      <c r="S1353" s="6"/>
      <c r="T1353" s="6"/>
      <c r="U1353" s="5">
        <f>MATCH(B1353,Manual_Review!$A$6:$A$238,0)</f>
        <v>85</v>
      </c>
      <c r="V1353" s="5" t="str">
        <f>IF(INDEX(Manual_Review!$G$6:$G$238,U1353)="","",INDEX(Manual_Review!$G$6:$G$238,U1353))</f>
        <v/>
      </c>
      <c r="W1353" s="11" t="str">
        <f>IF(INDEX(Manual_Review!$H$6:$H$238,U1353)="","",INDEX(Manual_Review!$H$6:$H$238,U1353))</f>
        <v/>
      </c>
      <c r="X1353" s="5" t="str">
        <f>IF(INDEX(Manual_Review!$I$6:$I$238,U1353)="","",INDEX(Manual_Review!$I$6:$I$238,U1353))</f>
        <v/>
      </c>
      <c r="Y1353" s="5" t="s">
        <v>2859</v>
      </c>
    </row>
    <row r="1354" spans="1:25" ht="25.5">
      <c r="A1354" s="5" t="s">
        <v>5713</v>
      </c>
      <c r="B1354" s="5" t="s">
        <v>1033</v>
      </c>
      <c r="C1354" s="5" t="s">
        <v>1034</v>
      </c>
      <c r="D1354" s="5" t="s">
        <v>118</v>
      </c>
      <c r="E1354" s="5" t="s">
        <v>2785</v>
      </c>
      <c r="F1354" s="5" t="s">
        <v>2756</v>
      </c>
      <c r="G1354" s="5">
        <v>1</v>
      </c>
      <c r="H1354" s="5" t="s">
        <v>2864</v>
      </c>
      <c r="I1354" s="5" t="str">
        <f>IF(INDEX(Manual_Review!$O$6:$O$238,U1354)="","",INDEX(Manual_Review!$O$6:$O$238,U1354))</f>
        <v/>
      </c>
      <c r="J1354" s="5" t="str">
        <f t="shared" si="42"/>
        <v>AI provisional</v>
      </c>
      <c r="K1354" s="5" t="str">
        <f t="shared" si="43"/>
        <v>U</v>
      </c>
      <c r="L1354" s="5" t="s">
        <v>1041</v>
      </c>
      <c r="M1354" s="5" t="s">
        <v>5714</v>
      </c>
      <c r="N1354" s="5" t="s">
        <v>5706</v>
      </c>
      <c r="O1354" s="5" t="s">
        <v>2872</v>
      </c>
      <c r="P1354" s="5" t="s">
        <v>2858</v>
      </c>
      <c r="Q1354" s="11">
        <v>46306.5</v>
      </c>
      <c r="R1354" s="6"/>
      <c r="S1354" s="6"/>
      <c r="T1354" s="6"/>
      <c r="U1354" s="5">
        <f>MATCH(B1354,Manual_Review!$A$6:$A$238,0)</f>
        <v>85</v>
      </c>
      <c r="V1354" s="5" t="str">
        <f>IF(INDEX(Manual_Review!$G$6:$G$238,U1354)="","",INDEX(Manual_Review!$G$6:$G$238,U1354))</f>
        <v/>
      </c>
      <c r="W1354" s="11" t="str">
        <f>IF(INDEX(Manual_Review!$H$6:$H$238,U1354)="","",INDEX(Manual_Review!$H$6:$H$238,U1354))</f>
        <v/>
      </c>
      <c r="X1354" s="5" t="str">
        <f>IF(INDEX(Manual_Review!$I$6:$I$238,U1354)="","",INDEX(Manual_Review!$I$6:$I$238,U1354))</f>
        <v/>
      </c>
      <c r="Y1354" s="5" t="s">
        <v>2859</v>
      </c>
    </row>
    <row r="1355" spans="1:25" ht="25.5">
      <c r="A1355" s="5" t="s">
        <v>5715</v>
      </c>
      <c r="B1355" s="5" t="s">
        <v>1033</v>
      </c>
      <c r="C1355" s="5" t="s">
        <v>1034</v>
      </c>
      <c r="D1355" s="5" t="s">
        <v>118</v>
      </c>
      <c r="E1355" s="5" t="s">
        <v>2786</v>
      </c>
      <c r="F1355" s="5" t="s">
        <v>2756</v>
      </c>
      <c r="G1355" s="5">
        <v>1</v>
      </c>
      <c r="H1355" s="5" t="s">
        <v>2864</v>
      </c>
      <c r="I1355" s="5" t="str">
        <f>IF(INDEX(Manual_Review!$P$6:$P$238,U1355)="","",INDEX(Manual_Review!$P$6:$P$238,U1355))</f>
        <v/>
      </c>
      <c r="J1355" s="5" t="str">
        <f t="shared" si="42"/>
        <v>AI provisional</v>
      </c>
      <c r="K1355" s="5" t="str">
        <f t="shared" si="43"/>
        <v>U</v>
      </c>
      <c r="L1355" s="5" t="s">
        <v>1041</v>
      </c>
      <c r="M1355" s="5" t="s">
        <v>5714</v>
      </c>
      <c r="N1355" s="5" t="s">
        <v>5706</v>
      </c>
      <c r="O1355" s="5" t="s">
        <v>2874</v>
      </c>
      <c r="P1355" s="5" t="s">
        <v>2858</v>
      </c>
      <c r="Q1355" s="11">
        <v>46306.5</v>
      </c>
      <c r="R1355" s="6"/>
      <c r="S1355" s="6"/>
      <c r="T1355" s="6"/>
      <c r="U1355" s="5">
        <f>MATCH(B1355,Manual_Review!$A$6:$A$238,0)</f>
        <v>85</v>
      </c>
      <c r="V1355" s="5" t="str">
        <f>IF(INDEX(Manual_Review!$G$6:$G$238,U1355)="","",INDEX(Manual_Review!$G$6:$G$238,U1355))</f>
        <v/>
      </c>
      <c r="W1355" s="11" t="str">
        <f>IF(INDEX(Manual_Review!$H$6:$H$238,U1355)="","",INDEX(Manual_Review!$H$6:$H$238,U1355))</f>
        <v/>
      </c>
      <c r="X1355" s="5" t="str">
        <f>IF(INDEX(Manual_Review!$I$6:$I$238,U1355)="","",INDEX(Manual_Review!$I$6:$I$238,U1355))</f>
        <v/>
      </c>
      <c r="Y1355" s="5" t="s">
        <v>2859</v>
      </c>
    </row>
    <row r="1356" spans="1:25" ht="25.5">
      <c r="A1356" s="5" t="s">
        <v>5716</v>
      </c>
      <c r="B1356" s="5" t="s">
        <v>1033</v>
      </c>
      <c r="C1356" s="5" t="s">
        <v>1034</v>
      </c>
      <c r="D1356" s="5" t="s">
        <v>118</v>
      </c>
      <c r="E1356" s="5" t="s">
        <v>2787</v>
      </c>
      <c r="F1356" s="5" t="s">
        <v>2758</v>
      </c>
      <c r="G1356" s="5">
        <v>1</v>
      </c>
      <c r="H1356" s="5" t="s">
        <v>2864</v>
      </c>
      <c r="I1356" s="5" t="str">
        <f>IF(INDEX(Manual_Review!$Q$6:$Q$238,U1356)="","",INDEX(Manual_Review!$Q$6:$Q$238,U1356))</f>
        <v/>
      </c>
      <c r="J1356" s="5" t="str">
        <f t="shared" si="42"/>
        <v>AI provisional</v>
      </c>
      <c r="K1356" s="5" t="str">
        <f t="shared" si="43"/>
        <v>U</v>
      </c>
      <c r="L1356" s="5" t="s">
        <v>1041</v>
      </c>
      <c r="M1356" s="5" t="s">
        <v>5714</v>
      </c>
      <c r="N1356" s="5" t="s">
        <v>5706</v>
      </c>
      <c r="O1356" s="5" t="s">
        <v>2877</v>
      </c>
      <c r="P1356" s="5" t="s">
        <v>2858</v>
      </c>
      <c r="Q1356" s="11">
        <v>46306.5</v>
      </c>
      <c r="R1356" s="6"/>
      <c r="S1356" s="6"/>
      <c r="T1356" s="6"/>
      <c r="U1356" s="5">
        <f>MATCH(B1356,Manual_Review!$A$6:$A$238,0)</f>
        <v>85</v>
      </c>
      <c r="V1356" s="5" t="str">
        <f>IF(INDEX(Manual_Review!$G$6:$G$238,U1356)="","",INDEX(Manual_Review!$G$6:$G$238,U1356))</f>
        <v/>
      </c>
      <c r="W1356" s="11" t="str">
        <f>IF(INDEX(Manual_Review!$H$6:$H$238,U1356)="","",INDEX(Manual_Review!$H$6:$H$238,U1356))</f>
        <v/>
      </c>
      <c r="X1356" s="5" t="str">
        <f>IF(INDEX(Manual_Review!$I$6:$I$238,U1356)="","",INDEX(Manual_Review!$I$6:$I$238,U1356))</f>
        <v/>
      </c>
      <c r="Y1356" s="5" t="s">
        <v>2859</v>
      </c>
    </row>
    <row r="1357" spans="1:25" ht="25.5">
      <c r="A1357" s="5" t="s">
        <v>5717</v>
      </c>
      <c r="B1357" s="5" t="s">
        <v>1033</v>
      </c>
      <c r="C1357" s="5" t="s">
        <v>1034</v>
      </c>
      <c r="D1357" s="5" t="s">
        <v>118</v>
      </c>
      <c r="E1357" s="5" t="s">
        <v>2788</v>
      </c>
      <c r="F1357" s="5" t="s">
        <v>2758</v>
      </c>
      <c r="G1357" s="5">
        <v>1</v>
      </c>
      <c r="H1357" s="5" t="s">
        <v>2854</v>
      </c>
      <c r="I1357" s="5" t="str">
        <f>IF(INDEX(Manual_Review!$R$6:$R$238,U1357)="","",INDEX(Manual_Review!$R$6:$R$238,U1357))</f>
        <v/>
      </c>
      <c r="J1357" s="5" t="str">
        <f t="shared" si="42"/>
        <v>AI provisional</v>
      </c>
      <c r="K1357" s="5" t="str">
        <f t="shared" si="43"/>
        <v>Y</v>
      </c>
      <c r="L1357" s="5" t="s">
        <v>1041</v>
      </c>
      <c r="M1357" s="5" t="s">
        <v>5718</v>
      </c>
      <c r="N1357" s="5" t="s">
        <v>5706</v>
      </c>
      <c r="O1357" s="5" t="s">
        <v>3067</v>
      </c>
      <c r="P1357" s="5" t="s">
        <v>2858</v>
      </c>
      <c r="Q1357" s="11">
        <v>46306.5</v>
      </c>
      <c r="R1357" s="6"/>
      <c r="S1357" s="6"/>
      <c r="T1357" s="6"/>
      <c r="U1357" s="5">
        <f>MATCH(B1357,Manual_Review!$A$6:$A$238,0)</f>
        <v>85</v>
      </c>
      <c r="V1357" s="5" t="str">
        <f>IF(INDEX(Manual_Review!$G$6:$G$238,U1357)="","",INDEX(Manual_Review!$G$6:$G$238,U1357))</f>
        <v/>
      </c>
      <c r="W1357" s="11" t="str">
        <f>IF(INDEX(Manual_Review!$H$6:$H$238,U1357)="","",INDEX(Manual_Review!$H$6:$H$238,U1357))</f>
        <v/>
      </c>
      <c r="X1357" s="5" t="str">
        <f>IF(INDEX(Manual_Review!$I$6:$I$238,U1357)="","",INDEX(Manual_Review!$I$6:$I$238,U1357))</f>
        <v/>
      </c>
      <c r="Y1357" s="5" t="s">
        <v>2859</v>
      </c>
    </row>
    <row r="1358" spans="1:25" ht="25.5">
      <c r="A1358" s="5" t="s">
        <v>5719</v>
      </c>
      <c r="B1358" s="5" t="s">
        <v>1033</v>
      </c>
      <c r="C1358" s="5" t="s">
        <v>1034</v>
      </c>
      <c r="D1358" s="5" t="s">
        <v>118</v>
      </c>
      <c r="E1358" s="5" t="s">
        <v>2789</v>
      </c>
      <c r="F1358" s="5" t="s">
        <v>2758</v>
      </c>
      <c r="G1358" s="5">
        <v>1</v>
      </c>
      <c r="H1358" s="5" t="s">
        <v>2854</v>
      </c>
      <c r="I1358" s="5" t="str">
        <f>IF(INDEX(Manual_Review!$S$6:$S$238,U1358)="","",INDEX(Manual_Review!$S$6:$S$238,U1358))</f>
        <v/>
      </c>
      <c r="J1358" s="5" t="str">
        <f t="shared" si="42"/>
        <v>AI provisional</v>
      </c>
      <c r="K1358" s="5" t="str">
        <f t="shared" si="43"/>
        <v>Y</v>
      </c>
      <c r="L1358" s="5" t="s">
        <v>1041</v>
      </c>
      <c r="M1358" s="5" t="s">
        <v>5720</v>
      </c>
      <c r="N1358" s="5" t="s">
        <v>5706</v>
      </c>
      <c r="O1358" s="5" t="s">
        <v>3178</v>
      </c>
      <c r="P1358" s="5" t="s">
        <v>2858</v>
      </c>
      <c r="Q1358" s="11">
        <v>46306.5</v>
      </c>
      <c r="R1358" s="6"/>
      <c r="S1358" s="6"/>
      <c r="T1358" s="6"/>
      <c r="U1358" s="5">
        <f>MATCH(B1358,Manual_Review!$A$6:$A$238,0)</f>
        <v>85</v>
      </c>
      <c r="V1358" s="5" t="str">
        <f>IF(INDEX(Manual_Review!$G$6:$G$238,U1358)="","",INDEX(Manual_Review!$G$6:$G$238,U1358))</f>
        <v/>
      </c>
      <c r="W1358" s="11" t="str">
        <f>IF(INDEX(Manual_Review!$H$6:$H$238,U1358)="","",INDEX(Manual_Review!$H$6:$H$238,U1358))</f>
        <v/>
      </c>
      <c r="X1358" s="5" t="str">
        <f>IF(INDEX(Manual_Review!$I$6:$I$238,U1358)="","",INDEX(Manual_Review!$I$6:$I$238,U1358))</f>
        <v/>
      </c>
      <c r="Y1358" s="5" t="s">
        <v>2859</v>
      </c>
    </row>
    <row r="1359" spans="1:25" ht="25.5">
      <c r="A1359" s="5" t="s">
        <v>5721</v>
      </c>
      <c r="B1359" s="5" t="s">
        <v>1033</v>
      </c>
      <c r="C1359" s="5" t="s">
        <v>1034</v>
      </c>
      <c r="D1359" s="5" t="s">
        <v>118</v>
      </c>
      <c r="E1359" s="5" t="s">
        <v>2790</v>
      </c>
      <c r="F1359" s="5" t="s">
        <v>2760</v>
      </c>
      <c r="G1359" s="5">
        <v>1</v>
      </c>
      <c r="H1359" s="5" t="s">
        <v>2854</v>
      </c>
      <c r="I1359" s="5" t="str">
        <f>IF(INDEX(Manual_Review!$T$6:$T$238,U1359)="","",INDEX(Manual_Review!$T$6:$T$238,U1359))</f>
        <v/>
      </c>
      <c r="J1359" s="5" t="str">
        <f t="shared" si="42"/>
        <v>AI provisional</v>
      </c>
      <c r="K1359" s="5" t="str">
        <f t="shared" si="43"/>
        <v>Y</v>
      </c>
      <c r="L1359" s="5" t="s">
        <v>1041</v>
      </c>
      <c r="M1359" s="5" t="s">
        <v>5722</v>
      </c>
      <c r="N1359" s="5" t="s">
        <v>5706</v>
      </c>
      <c r="O1359" s="5" t="s">
        <v>2976</v>
      </c>
      <c r="P1359" s="5" t="s">
        <v>2858</v>
      </c>
      <c r="Q1359" s="11">
        <v>46306.5</v>
      </c>
      <c r="R1359" s="6"/>
      <c r="S1359" s="6"/>
      <c r="T1359" s="6"/>
      <c r="U1359" s="5">
        <f>MATCH(B1359,Manual_Review!$A$6:$A$238,0)</f>
        <v>85</v>
      </c>
      <c r="V1359" s="5" t="str">
        <f>IF(INDEX(Manual_Review!$G$6:$G$238,U1359)="","",INDEX(Manual_Review!$G$6:$G$238,U1359))</f>
        <v/>
      </c>
      <c r="W1359" s="11" t="str">
        <f>IF(INDEX(Manual_Review!$H$6:$H$238,U1359)="","",INDEX(Manual_Review!$H$6:$H$238,U1359))</f>
        <v/>
      </c>
      <c r="X1359" s="5" t="str">
        <f>IF(INDEX(Manual_Review!$I$6:$I$238,U1359)="","",INDEX(Manual_Review!$I$6:$I$238,U1359))</f>
        <v/>
      </c>
      <c r="Y1359" s="5" t="s">
        <v>2859</v>
      </c>
    </row>
    <row r="1360" spans="1:25" ht="25.5">
      <c r="A1360" s="5" t="s">
        <v>5723</v>
      </c>
      <c r="B1360" s="5" t="s">
        <v>1033</v>
      </c>
      <c r="C1360" s="5" t="s">
        <v>1034</v>
      </c>
      <c r="D1360" s="5" t="s">
        <v>118</v>
      </c>
      <c r="E1360" s="5" t="s">
        <v>2791</v>
      </c>
      <c r="F1360" s="5" t="s">
        <v>2760</v>
      </c>
      <c r="G1360" s="5">
        <v>1</v>
      </c>
      <c r="H1360" s="5" t="s">
        <v>2864</v>
      </c>
      <c r="I1360" s="5" t="str">
        <f>IF(INDEX(Manual_Review!$U$6:$U$238,U1360)="","",INDEX(Manual_Review!$U$6:$U$238,U1360))</f>
        <v/>
      </c>
      <c r="J1360" s="5" t="str">
        <f t="shared" si="42"/>
        <v>AI provisional</v>
      </c>
      <c r="K1360" s="5" t="str">
        <f t="shared" si="43"/>
        <v>U</v>
      </c>
      <c r="L1360" s="5" t="s">
        <v>1041</v>
      </c>
      <c r="M1360" s="5" t="s">
        <v>5724</v>
      </c>
      <c r="N1360" s="5" t="s">
        <v>5706</v>
      </c>
      <c r="O1360" s="5" t="s">
        <v>2888</v>
      </c>
      <c r="P1360" s="5" t="s">
        <v>2858</v>
      </c>
      <c r="Q1360" s="11">
        <v>46306.5</v>
      </c>
      <c r="R1360" s="6"/>
      <c r="S1360" s="6"/>
      <c r="T1360" s="6"/>
      <c r="U1360" s="5">
        <f>MATCH(B1360,Manual_Review!$A$6:$A$238,0)</f>
        <v>85</v>
      </c>
      <c r="V1360" s="5" t="str">
        <f>IF(INDEX(Manual_Review!$G$6:$G$238,U1360)="","",INDEX(Manual_Review!$G$6:$G$238,U1360))</f>
        <v/>
      </c>
      <c r="W1360" s="11" t="str">
        <f>IF(INDEX(Manual_Review!$H$6:$H$238,U1360)="","",INDEX(Manual_Review!$H$6:$H$238,U1360))</f>
        <v/>
      </c>
      <c r="X1360" s="5" t="str">
        <f>IF(INDEX(Manual_Review!$I$6:$I$238,U1360)="","",INDEX(Manual_Review!$I$6:$I$238,U1360))</f>
        <v/>
      </c>
      <c r="Y1360" s="5" t="s">
        <v>2859</v>
      </c>
    </row>
    <row r="1361" spans="1:25" ht="25.5">
      <c r="A1361" s="5" t="s">
        <v>5725</v>
      </c>
      <c r="B1361" s="5" t="s">
        <v>1033</v>
      </c>
      <c r="C1361" s="5" t="s">
        <v>1034</v>
      </c>
      <c r="D1361" s="5" t="s">
        <v>118</v>
      </c>
      <c r="E1361" s="5" t="s">
        <v>2792</v>
      </c>
      <c r="F1361" s="5" t="s">
        <v>2762</v>
      </c>
      <c r="G1361" s="5">
        <v>1</v>
      </c>
      <c r="H1361" s="5" t="s">
        <v>2854</v>
      </c>
      <c r="I1361" s="5" t="str">
        <f>IF(INDEX(Manual_Review!$V$6:$V$238,U1361)="","",INDEX(Manual_Review!$V$6:$V$238,U1361))</f>
        <v/>
      </c>
      <c r="J1361" s="5" t="str">
        <f t="shared" si="42"/>
        <v>AI provisional</v>
      </c>
      <c r="K1361" s="5" t="str">
        <f t="shared" si="43"/>
        <v>Y</v>
      </c>
      <c r="L1361" s="5" t="s">
        <v>1041</v>
      </c>
      <c r="M1361" s="5" t="s">
        <v>5726</v>
      </c>
      <c r="N1361" s="5" t="s">
        <v>5706</v>
      </c>
      <c r="O1361" s="5" t="s">
        <v>3152</v>
      </c>
      <c r="P1361" s="5" t="s">
        <v>2858</v>
      </c>
      <c r="Q1361" s="11">
        <v>46306.5</v>
      </c>
      <c r="R1361" s="6"/>
      <c r="S1361" s="6"/>
      <c r="T1361" s="6"/>
      <c r="U1361" s="5">
        <f>MATCH(B1361,Manual_Review!$A$6:$A$238,0)</f>
        <v>85</v>
      </c>
      <c r="V1361" s="5" t="str">
        <f>IF(INDEX(Manual_Review!$G$6:$G$238,U1361)="","",INDEX(Manual_Review!$G$6:$G$238,U1361))</f>
        <v/>
      </c>
      <c r="W1361" s="11" t="str">
        <f>IF(INDEX(Manual_Review!$H$6:$H$238,U1361)="","",INDEX(Manual_Review!$H$6:$H$238,U1361))</f>
        <v/>
      </c>
      <c r="X1361" s="5" t="str">
        <f>IF(INDEX(Manual_Review!$I$6:$I$238,U1361)="","",INDEX(Manual_Review!$I$6:$I$238,U1361))</f>
        <v/>
      </c>
      <c r="Y1361" s="5" t="s">
        <v>2859</v>
      </c>
    </row>
    <row r="1362" spans="1:25" ht="25.5">
      <c r="A1362" s="5" t="s">
        <v>5727</v>
      </c>
      <c r="B1362" s="5" t="s">
        <v>1033</v>
      </c>
      <c r="C1362" s="5" t="s">
        <v>1034</v>
      </c>
      <c r="D1362" s="5" t="s">
        <v>118</v>
      </c>
      <c r="E1362" s="5" t="s">
        <v>2793</v>
      </c>
      <c r="F1362" s="5" t="s">
        <v>2762</v>
      </c>
      <c r="G1362" s="5">
        <v>1</v>
      </c>
      <c r="H1362" s="5" t="s">
        <v>2854</v>
      </c>
      <c r="I1362" s="5" t="str">
        <f>IF(INDEX(Manual_Review!$W$6:$W$238,U1362)="","",INDEX(Manual_Review!$W$6:$W$238,U1362))</f>
        <v/>
      </c>
      <c r="J1362" s="5" t="str">
        <f t="shared" si="42"/>
        <v>AI provisional</v>
      </c>
      <c r="K1362" s="5" t="str">
        <f t="shared" si="43"/>
        <v>Y</v>
      </c>
      <c r="L1362" s="5" t="s">
        <v>1041</v>
      </c>
      <c r="M1362" s="5" t="s">
        <v>5728</v>
      </c>
      <c r="N1362" s="5" t="s">
        <v>5706</v>
      </c>
      <c r="O1362" s="5" t="s">
        <v>3077</v>
      </c>
      <c r="P1362" s="5" t="s">
        <v>2858</v>
      </c>
      <c r="Q1362" s="11">
        <v>46306.5</v>
      </c>
      <c r="R1362" s="6"/>
      <c r="S1362" s="6"/>
      <c r="T1362" s="6"/>
      <c r="U1362" s="5">
        <f>MATCH(B1362,Manual_Review!$A$6:$A$238,0)</f>
        <v>85</v>
      </c>
      <c r="V1362" s="5" t="str">
        <f>IF(INDEX(Manual_Review!$G$6:$G$238,U1362)="","",INDEX(Manual_Review!$G$6:$G$238,U1362))</f>
        <v/>
      </c>
      <c r="W1362" s="11" t="str">
        <f>IF(INDEX(Manual_Review!$H$6:$H$238,U1362)="","",INDEX(Manual_Review!$H$6:$H$238,U1362))</f>
        <v/>
      </c>
      <c r="X1362" s="5" t="str">
        <f>IF(INDEX(Manual_Review!$I$6:$I$238,U1362)="","",INDEX(Manual_Review!$I$6:$I$238,U1362))</f>
        <v/>
      </c>
      <c r="Y1362" s="5" t="s">
        <v>2859</v>
      </c>
    </row>
    <row r="1363" spans="1:25" ht="25.5">
      <c r="A1363" s="5" t="s">
        <v>5729</v>
      </c>
      <c r="B1363" s="5" t="s">
        <v>1033</v>
      </c>
      <c r="C1363" s="5" t="s">
        <v>1034</v>
      </c>
      <c r="D1363" s="5" t="s">
        <v>118</v>
      </c>
      <c r="E1363" s="5" t="s">
        <v>2794</v>
      </c>
      <c r="F1363" s="5" t="s">
        <v>2764</v>
      </c>
      <c r="G1363" s="5">
        <v>1</v>
      </c>
      <c r="H1363" s="5" t="s">
        <v>2854</v>
      </c>
      <c r="I1363" s="5" t="str">
        <f>IF(INDEX(Manual_Review!$X$6:$X$238,U1363)="","",INDEX(Manual_Review!$X$6:$X$238,U1363))</f>
        <v/>
      </c>
      <c r="J1363" s="5" t="str">
        <f t="shared" si="42"/>
        <v>AI provisional</v>
      </c>
      <c r="K1363" s="5" t="str">
        <f t="shared" si="43"/>
        <v>Y</v>
      </c>
      <c r="L1363" s="5" t="s">
        <v>1041</v>
      </c>
      <c r="M1363" s="5" t="s">
        <v>5730</v>
      </c>
      <c r="N1363" s="5" t="s">
        <v>5706</v>
      </c>
      <c r="O1363" s="5" t="s">
        <v>2984</v>
      </c>
      <c r="P1363" s="5" t="s">
        <v>2858</v>
      </c>
      <c r="Q1363" s="11">
        <v>46306.5</v>
      </c>
      <c r="R1363" s="6"/>
      <c r="S1363" s="6"/>
      <c r="T1363" s="6"/>
      <c r="U1363" s="5">
        <f>MATCH(B1363,Manual_Review!$A$6:$A$238,0)</f>
        <v>85</v>
      </c>
      <c r="V1363" s="5" t="str">
        <f>IF(INDEX(Manual_Review!$G$6:$G$238,U1363)="","",INDEX(Manual_Review!$G$6:$G$238,U1363))</f>
        <v/>
      </c>
      <c r="W1363" s="11" t="str">
        <f>IF(INDEX(Manual_Review!$H$6:$H$238,U1363)="","",INDEX(Manual_Review!$H$6:$H$238,U1363))</f>
        <v/>
      </c>
      <c r="X1363" s="5" t="str">
        <f>IF(INDEX(Manual_Review!$I$6:$I$238,U1363)="","",INDEX(Manual_Review!$I$6:$I$238,U1363))</f>
        <v/>
      </c>
      <c r="Y1363" s="5" t="s">
        <v>2859</v>
      </c>
    </row>
    <row r="1364" spans="1:25" ht="25.5">
      <c r="A1364" s="5" t="s">
        <v>5731</v>
      </c>
      <c r="B1364" s="5" t="s">
        <v>1033</v>
      </c>
      <c r="C1364" s="5" t="s">
        <v>1034</v>
      </c>
      <c r="D1364" s="5" t="s">
        <v>118</v>
      </c>
      <c r="E1364" s="5" t="s">
        <v>2795</v>
      </c>
      <c r="F1364" s="5" t="s">
        <v>2764</v>
      </c>
      <c r="G1364" s="5">
        <v>1</v>
      </c>
      <c r="H1364" s="5" t="s">
        <v>2854</v>
      </c>
      <c r="I1364" s="5" t="str">
        <f>IF(INDEX(Manual_Review!$Y$6:$Y$238,U1364)="","",INDEX(Manual_Review!$Y$6:$Y$238,U1364))</f>
        <v/>
      </c>
      <c r="J1364" s="5" t="str">
        <f t="shared" si="42"/>
        <v>AI provisional</v>
      </c>
      <c r="K1364" s="5" t="str">
        <f t="shared" si="43"/>
        <v>Y</v>
      </c>
      <c r="L1364" s="5" t="s">
        <v>1041</v>
      </c>
      <c r="M1364" s="5" t="s">
        <v>5732</v>
      </c>
      <c r="N1364" s="5" t="s">
        <v>5706</v>
      </c>
      <c r="O1364" s="5" t="s">
        <v>3082</v>
      </c>
      <c r="P1364" s="5" t="s">
        <v>2858</v>
      </c>
      <c r="Q1364" s="11">
        <v>46306.5</v>
      </c>
      <c r="R1364" s="6"/>
      <c r="S1364" s="6"/>
      <c r="T1364" s="6"/>
      <c r="U1364" s="5">
        <f>MATCH(B1364,Manual_Review!$A$6:$A$238,0)</f>
        <v>85</v>
      </c>
      <c r="V1364" s="5" t="str">
        <f>IF(INDEX(Manual_Review!$G$6:$G$238,U1364)="","",INDEX(Manual_Review!$G$6:$G$238,U1364))</f>
        <v/>
      </c>
      <c r="W1364" s="11" t="str">
        <f>IF(INDEX(Manual_Review!$H$6:$H$238,U1364)="","",INDEX(Manual_Review!$H$6:$H$238,U1364))</f>
        <v/>
      </c>
      <c r="X1364" s="5" t="str">
        <f>IF(INDEX(Manual_Review!$I$6:$I$238,U1364)="","",INDEX(Manual_Review!$I$6:$I$238,U1364))</f>
        <v/>
      </c>
      <c r="Y1364" s="5" t="s">
        <v>2859</v>
      </c>
    </row>
    <row r="1365" spans="1:25" ht="25.5">
      <c r="A1365" s="5" t="s">
        <v>5733</v>
      </c>
      <c r="B1365" s="5" t="s">
        <v>1033</v>
      </c>
      <c r="C1365" s="5" t="s">
        <v>1034</v>
      </c>
      <c r="D1365" s="5" t="s">
        <v>118</v>
      </c>
      <c r="E1365" s="5" t="s">
        <v>2796</v>
      </c>
      <c r="F1365" s="5" t="s">
        <v>2764</v>
      </c>
      <c r="G1365" s="5">
        <v>1</v>
      </c>
      <c r="H1365" s="5" t="s">
        <v>2854</v>
      </c>
      <c r="I1365" s="5" t="str">
        <f>IF(INDEX(Manual_Review!$Z$6:$Z$238,U1365)="","",INDEX(Manual_Review!$Z$6:$Z$238,U1365))</f>
        <v/>
      </c>
      <c r="J1365" s="5" t="str">
        <f t="shared" si="42"/>
        <v>AI provisional</v>
      </c>
      <c r="K1365" s="5" t="str">
        <f t="shared" si="43"/>
        <v>Y</v>
      </c>
      <c r="L1365" s="5" t="s">
        <v>1041</v>
      </c>
      <c r="M1365" s="5" t="s">
        <v>5734</v>
      </c>
      <c r="N1365" s="5" t="s">
        <v>5706</v>
      </c>
      <c r="O1365" s="5" t="s">
        <v>3085</v>
      </c>
      <c r="P1365" s="5" t="s">
        <v>2858</v>
      </c>
      <c r="Q1365" s="11">
        <v>46306.5</v>
      </c>
      <c r="R1365" s="6"/>
      <c r="S1365" s="6"/>
      <c r="T1365" s="6"/>
      <c r="U1365" s="5">
        <f>MATCH(B1365,Manual_Review!$A$6:$A$238,0)</f>
        <v>85</v>
      </c>
      <c r="V1365" s="5" t="str">
        <f>IF(INDEX(Manual_Review!$G$6:$G$238,U1365)="","",INDEX(Manual_Review!$G$6:$G$238,U1365))</f>
        <v/>
      </c>
      <c r="W1365" s="11" t="str">
        <f>IF(INDEX(Manual_Review!$H$6:$H$238,U1365)="","",INDEX(Manual_Review!$H$6:$H$238,U1365))</f>
        <v/>
      </c>
      <c r="X1365" s="5" t="str">
        <f>IF(INDEX(Manual_Review!$I$6:$I$238,U1365)="","",INDEX(Manual_Review!$I$6:$I$238,U1365))</f>
        <v/>
      </c>
      <c r="Y1365" s="5" t="s">
        <v>2859</v>
      </c>
    </row>
    <row r="1366" spans="1:25" ht="25.5">
      <c r="A1366" s="5" t="s">
        <v>5735</v>
      </c>
      <c r="B1366" s="5" t="s">
        <v>1043</v>
      </c>
      <c r="C1366" s="5" t="s">
        <v>1044</v>
      </c>
      <c r="D1366" s="5" t="s">
        <v>118</v>
      </c>
      <c r="E1366" s="5" t="s">
        <v>2781</v>
      </c>
      <c r="F1366" s="5" t="s">
        <v>2754</v>
      </c>
      <c r="G1366" s="5">
        <v>1</v>
      </c>
      <c r="H1366" s="5" t="s">
        <v>2854</v>
      </c>
      <c r="I1366" s="5" t="str">
        <f>IF(INDEX(Manual_Review!$K$6:$K$238,U1366)="","",INDEX(Manual_Review!$K$6:$K$238,U1366))</f>
        <v/>
      </c>
      <c r="J1366" s="5" t="str">
        <f t="shared" si="42"/>
        <v>AI provisional</v>
      </c>
      <c r="K1366" s="5" t="str">
        <f t="shared" si="43"/>
        <v>Y</v>
      </c>
      <c r="L1366" s="5" t="s">
        <v>1051</v>
      </c>
      <c r="M1366" s="5" t="s">
        <v>5736</v>
      </c>
      <c r="N1366" s="5" t="s">
        <v>5737</v>
      </c>
      <c r="O1366" s="5" t="s">
        <v>2857</v>
      </c>
      <c r="P1366" s="5" t="s">
        <v>2858</v>
      </c>
      <c r="Q1366" s="11">
        <v>46306.5</v>
      </c>
      <c r="R1366" s="6"/>
      <c r="S1366" s="6"/>
      <c r="T1366" s="6"/>
      <c r="U1366" s="5">
        <f>MATCH(B1366,Manual_Review!$A$6:$A$238,0)</f>
        <v>86</v>
      </c>
      <c r="V1366" s="5" t="str">
        <f>IF(INDEX(Manual_Review!$G$6:$G$238,U1366)="","",INDEX(Manual_Review!$G$6:$G$238,U1366))</f>
        <v/>
      </c>
      <c r="W1366" s="11" t="str">
        <f>IF(INDEX(Manual_Review!$H$6:$H$238,U1366)="","",INDEX(Manual_Review!$H$6:$H$238,U1366))</f>
        <v/>
      </c>
      <c r="X1366" s="5" t="str">
        <f>IF(INDEX(Manual_Review!$I$6:$I$238,U1366)="","",INDEX(Manual_Review!$I$6:$I$238,U1366))</f>
        <v/>
      </c>
      <c r="Y1366" s="5" t="s">
        <v>2859</v>
      </c>
    </row>
    <row r="1367" spans="1:25" ht="25.5">
      <c r="A1367" s="5" t="s">
        <v>5738</v>
      </c>
      <c r="B1367" s="5" t="s">
        <v>1043</v>
      </c>
      <c r="C1367" s="5" t="s">
        <v>1044</v>
      </c>
      <c r="D1367" s="5" t="s">
        <v>118</v>
      </c>
      <c r="E1367" s="5" t="s">
        <v>2782</v>
      </c>
      <c r="F1367" s="5" t="s">
        <v>2754</v>
      </c>
      <c r="G1367" s="5">
        <v>1</v>
      </c>
      <c r="H1367" s="5" t="s">
        <v>2854</v>
      </c>
      <c r="I1367" s="5" t="str">
        <f>IF(INDEX(Manual_Review!$L$6:$L$238,U1367)="","",INDEX(Manual_Review!$L$6:$L$238,U1367))</f>
        <v/>
      </c>
      <c r="J1367" s="5" t="str">
        <f t="shared" si="42"/>
        <v>AI provisional</v>
      </c>
      <c r="K1367" s="5" t="str">
        <f t="shared" si="43"/>
        <v>Y</v>
      </c>
      <c r="L1367" s="5" t="s">
        <v>1051</v>
      </c>
      <c r="M1367" s="5" t="s">
        <v>5739</v>
      </c>
      <c r="N1367" s="5" t="s">
        <v>5737</v>
      </c>
      <c r="O1367" s="5" t="s">
        <v>2862</v>
      </c>
      <c r="P1367" s="5" t="s">
        <v>2858</v>
      </c>
      <c r="Q1367" s="11">
        <v>46306.5</v>
      </c>
      <c r="R1367" s="6"/>
      <c r="S1367" s="6"/>
      <c r="T1367" s="6"/>
      <c r="U1367" s="5">
        <f>MATCH(B1367,Manual_Review!$A$6:$A$238,0)</f>
        <v>86</v>
      </c>
      <c r="V1367" s="5" t="str">
        <f>IF(INDEX(Manual_Review!$G$6:$G$238,U1367)="","",INDEX(Manual_Review!$G$6:$G$238,U1367))</f>
        <v/>
      </c>
      <c r="W1367" s="11" t="str">
        <f>IF(INDEX(Manual_Review!$H$6:$H$238,U1367)="","",INDEX(Manual_Review!$H$6:$H$238,U1367))</f>
        <v/>
      </c>
      <c r="X1367" s="5" t="str">
        <f>IF(INDEX(Manual_Review!$I$6:$I$238,U1367)="","",INDEX(Manual_Review!$I$6:$I$238,U1367))</f>
        <v/>
      </c>
      <c r="Y1367" s="5" t="s">
        <v>2859</v>
      </c>
    </row>
    <row r="1368" spans="1:25" ht="25.5">
      <c r="A1368" s="5" t="s">
        <v>5740</v>
      </c>
      <c r="B1368" s="5" t="s">
        <v>1043</v>
      </c>
      <c r="C1368" s="5" t="s">
        <v>1044</v>
      </c>
      <c r="D1368" s="5" t="s">
        <v>118</v>
      </c>
      <c r="E1368" s="5" t="s">
        <v>2783</v>
      </c>
      <c r="F1368" s="5" t="s">
        <v>2754</v>
      </c>
      <c r="G1368" s="5">
        <v>1</v>
      </c>
      <c r="H1368" s="5" t="s">
        <v>2854</v>
      </c>
      <c r="I1368" s="5" t="str">
        <f>IF(INDEX(Manual_Review!$M$6:$M$238,U1368)="","",INDEX(Manual_Review!$M$6:$M$238,U1368))</f>
        <v/>
      </c>
      <c r="J1368" s="5" t="str">
        <f t="shared" si="42"/>
        <v>AI provisional</v>
      </c>
      <c r="K1368" s="5" t="str">
        <f t="shared" si="43"/>
        <v>Y</v>
      </c>
      <c r="L1368" s="5" t="s">
        <v>1051</v>
      </c>
      <c r="M1368" s="5" t="s">
        <v>5741</v>
      </c>
      <c r="N1368" s="5" t="s">
        <v>5737</v>
      </c>
      <c r="O1368" s="5" t="s">
        <v>3133</v>
      </c>
      <c r="P1368" s="5" t="s">
        <v>2858</v>
      </c>
      <c r="Q1368" s="11">
        <v>46306.5</v>
      </c>
      <c r="R1368" s="6"/>
      <c r="S1368" s="6"/>
      <c r="T1368" s="6"/>
      <c r="U1368" s="5">
        <f>MATCH(B1368,Manual_Review!$A$6:$A$238,0)</f>
        <v>86</v>
      </c>
      <c r="V1368" s="5" t="str">
        <f>IF(INDEX(Manual_Review!$G$6:$G$238,U1368)="","",INDEX(Manual_Review!$G$6:$G$238,U1368))</f>
        <v/>
      </c>
      <c r="W1368" s="11" t="str">
        <f>IF(INDEX(Manual_Review!$H$6:$H$238,U1368)="","",INDEX(Manual_Review!$H$6:$H$238,U1368))</f>
        <v/>
      </c>
      <c r="X1368" s="5" t="str">
        <f>IF(INDEX(Manual_Review!$I$6:$I$238,U1368)="","",INDEX(Manual_Review!$I$6:$I$238,U1368))</f>
        <v/>
      </c>
      <c r="Y1368" s="5" t="s">
        <v>2859</v>
      </c>
    </row>
    <row r="1369" spans="1:25" ht="25.5">
      <c r="A1369" s="5" t="s">
        <v>5742</v>
      </c>
      <c r="B1369" s="5" t="s">
        <v>1043</v>
      </c>
      <c r="C1369" s="5" t="s">
        <v>1044</v>
      </c>
      <c r="D1369" s="5" t="s">
        <v>118</v>
      </c>
      <c r="E1369" s="5" t="s">
        <v>2784</v>
      </c>
      <c r="F1369" s="5" t="s">
        <v>2756</v>
      </c>
      <c r="G1369" s="5">
        <v>1</v>
      </c>
      <c r="H1369" s="5" t="s">
        <v>2854</v>
      </c>
      <c r="I1369" s="5" t="str">
        <f>IF(INDEX(Manual_Review!$N$6:$N$238,U1369)="","",INDEX(Manual_Review!$N$6:$N$238,U1369))</f>
        <v/>
      </c>
      <c r="J1369" s="5" t="str">
        <f t="shared" si="42"/>
        <v>AI provisional</v>
      </c>
      <c r="K1369" s="5" t="str">
        <f t="shared" si="43"/>
        <v>Y</v>
      </c>
      <c r="L1369" s="5" t="s">
        <v>1051</v>
      </c>
      <c r="M1369" s="5" t="s">
        <v>5743</v>
      </c>
      <c r="N1369" s="5" t="s">
        <v>5737</v>
      </c>
      <c r="O1369" s="5" t="s">
        <v>2963</v>
      </c>
      <c r="P1369" s="5" t="s">
        <v>2858</v>
      </c>
      <c r="Q1369" s="11">
        <v>46306.5</v>
      </c>
      <c r="R1369" s="6"/>
      <c r="S1369" s="6"/>
      <c r="T1369" s="6"/>
      <c r="U1369" s="5">
        <f>MATCH(B1369,Manual_Review!$A$6:$A$238,0)</f>
        <v>86</v>
      </c>
      <c r="V1369" s="5" t="str">
        <f>IF(INDEX(Manual_Review!$G$6:$G$238,U1369)="","",INDEX(Manual_Review!$G$6:$G$238,U1369))</f>
        <v/>
      </c>
      <c r="W1369" s="11" t="str">
        <f>IF(INDEX(Manual_Review!$H$6:$H$238,U1369)="","",INDEX(Manual_Review!$H$6:$H$238,U1369))</f>
        <v/>
      </c>
      <c r="X1369" s="5" t="str">
        <f>IF(INDEX(Manual_Review!$I$6:$I$238,U1369)="","",INDEX(Manual_Review!$I$6:$I$238,U1369))</f>
        <v/>
      </c>
      <c r="Y1369" s="5" t="s">
        <v>2859</v>
      </c>
    </row>
    <row r="1370" spans="1:25" ht="25.5">
      <c r="A1370" s="5" t="s">
        <v>5744</v>
      </c>
      <c r="B1370" s="5" t="s">
        <v>1043</v>
      </c>
      <c r="C1370" s="5" t="s">
        <v>1044</v>
      </c>
      <c r="D1370" s="5" t="s">
        <v>118</v>
      </c>
      <c r="E1370" s="5" t="s">
        <v>2785</v>
      </c>
      <c r="F1370" s="5" t="s">
        <v>2756</v>
      </c>
      <c r="G1370" s="5">
        <v>1</v>
      </c>
      <c r="H1370" s="5" t="s">
        <v>2854</v>
      </c>
      <c r="I1370" s="5" t="str">
        <f>IF(INDEX(Manual_Review!$O$6:$O$238,U1370)="","",INDEX(Manual_Review!$O$6:$O$238,U1370))</f>
        <v/>
      </c>
      <c r="J1370" s="5" t="str">
        <f t="shared" si="42"/>
        <v>AI provisional</v>
      </c>
      <c r="K1370" s="5" t="str">
        <f t="shared" si="43"/>
        <v>Y</v>
      </c>
      <c r="L1370" s="5" t="s">
        <v>1051</v>
      </c>
      <c r="M1370" s="5" t="s">
        <v>5745</v>
      </c>
      <c r="N1370" s="5" t="s">
        <v>5737</v>
      </c>
      <c r="O1370" s="5" t="s">
        <v>3138</v>
      </c>
      <c r="P1370" s="5" t="s">
        <v>2858</v>
      </c>
      <c r="Q1370" s="11">
        <v>46306.5</v>
      </c>
      <c r="R1370" s="6"/>
      <c r="S1370" s="6"/>
      <c r="T1370" s="6"/>
      <c r="U1370" s="5">
        <f>MATCH(B1370,Manual_Review!$A$6:$A$238,0)</f>
        <v>86</v>
      </c>
      <c r="V1370" s="5" t="str">
        <f>IF(INDEX(Manual_Review!$G$6:$G$238,U1370)="","",INDEX(Manual_Review!$G$6:$G$238,U1370))</f>
        <v/>
      </c>
      <c r="W1370" s="11" t="str">
        <f>IF(INDEX(Manual_Review!$H$6:$H$238,U1370)="","",INDEX(Manual_Review!$H$6:$H$238,U1370))</f>
        <v/>
      </c>
      <c r="X1370" s="5" t="str">
        <f>IF(INDEX(Manual_Review!$I$6:$I$238,U1370)="","",INDEX(Manual_Review!$I$6:$I$238,U1370))</f>
        <v/>
      </c>
      <c r="Y1370" s="5" t="s">
        <v>2859</v>
      </c>
    </row>
    <row r="1371" spans="1:25" ht="25.5">
      <c r="A1371" s="5" t="s">
        <v>5746</v>
      </c>
      <c r="B1371" s="5" t="s">
        <v>1043</v>
      </c>
      <c r="C1371" s="5" t="s">
        <v>1044</v>
      </c>
      <c r="D1371" s="5" t="s">
        <v>118</v>
      </c>
      <c r="E1371" s="5" t="s">
        <v>2786</v>
      </c>
      <c r="F1371" s="5" t="s">
        <v>2756</v>
      </c>
      <c r="G1371" s="5">
        <v>1</v>
      </c>
      <c r="H1371" s="5" t="s">
        <v>2864</v>
      </c>
      <c r="I1371" s="5" t="str">
        <f>IF(INDEX(Manual_Review!$P$6:$P$238,U1371)="","",INDEX(Manual_Review!$P$6:$P$238,U1371))</f>
        <v/>
      </c>
      <c r="J1371" s="5" t="str">
        <f t="shared" si="42"/>
        <v>AI provisional</v>
      </c>
      <c r="K1371" s="5" t="str">
        <f t="shared" si="43"/>
        <v>U</v>
      </c>
      <c r="L1371" s="5" t="s">
        <v>1051</v>
      </c>
      <c r="M1371" s="5" t="s">
        <v>5747</v>
      </c>
      <c r="N1371" s="5" t="s">
        <v>5737</v>
      </c>
      <c r="O1371" s="5" t="s">
        <v>2874</v>
      </c>
      <c r="P1371" s="5" t="s">
        <v>2858</v>
      </c>
      <c r="Q1371" s="11">
        <v>46306.5</v>
      </c>
      <c r="R1371" s="6"/>
      <c r="S1371" s="6"/>
      <c r="T1371" s="6"/>
      <c r="U1371" s="5">
        <f>MATCH(B1371,Manual_Review!$A$6:$A$238,0)</f>
        <v>86</v>
      </c>
      <c r="V1371" s="5" t="str">
        <f>IF(INDEX(Manual_Review!$G$6:$G$238,U1371)="","",INDEX(Manual_Review!$G$6:$G$238,U1371))</f>
        <v/>
      </c>
      <c r="W1371" s="11" t="str">
        <f>IF(INDEX(Manual_Review!$H$6:$H$238,U1371)="","",INDEX(Manual_Review!$H$6:$H$238,U1371))</f>
        <v/>
      </c>
      <c r="X1371" s="5" t="str">
        <f>IF(INDEX(Manual_Review!$I$6:$I$238,U1371)="","",INDEX(Manual_Review!$I$6:$I$238,U1371))</f>
        <v/>
      </c>
      <c r="Y1371" s="5" t="s">
        <v>2859</v>
      </c>
    </row>
    <row r="1372" spans="1:25" ht="25.5">
      <c r="A1372" s="5" t="s">
        <v>5748</v>
      </c>
      <c r="B1372" s="5" t="s">
        <v>1043</v>
      </c>
      <c r="C1372" s="5" t="s">
        <v>1044</v>
      </c>
      <c r="D1372" s="5" t="s">
        <v>118</v>
      </c>
      <c r="E1372" s="5" t="s">
        <v>2787</v>
      </c>
      <c r="F1372" s="5" t="s">
        <v>2758</v>
      </c>
      <c r="G1372" s="5">
        <v>1</v>
      </c>
      <c r="H1372" s="5" t="s">
        <v>2864</v>
      </c>
      <c r="I1372" s="5" t="str">
        <f>IF(INDEX(Manual_Review!$Q$6:$Q$238,U1372)="","",INDEX(Manual_Review!$Q$6:$Q$238,U1372))</f>
        <v/>
      </c>
      <c r="J1372" s="5" t="str">
        <f t="shared" si="42"/>
        <v>AI provisional</v>
      </c>
      <c r="K1372" s="5" t="str">
        <f t="shared" si="43"/>
        <v>U</v>
      </c>
      <c r="L1372" s="5" t="s">
        <v>1051</v>
      </c>
      <c r="M1372" s="5" t="s">
        <v>5749</v>
      </c>
      <c r="N1372" s="5" t="s">
        <v>5737</v>
      </c>
      <c r="O1372" s="5" t="s">
        <v>2877</v>
      </c>
      <c r="P1372" s="5" t="s">
        <v>2858</v>
      </c>
      <c r="Q1372" s="11">
        <v>46306.5</v>
      </c>
      <c r="R1372" s="6"/>
      <c r="S1372" s="6"/>
      <c r="T1372" s="6"/>
      <c r="U1372" s="5">
        <f>MATCH(B1372,Manual_Review!$A$6:$A$238,0)</f>
        <v>86</v>
      </c>
      <c r="V1372" s="5" t="str">
        <f>IF(INDEX(Manual_Review!$G$6:$G$238,U1372)="","",INDEX(Manual_Review!$G$6:$G$238,U1372))</f>
        <v/>
      </c>
      <c r="W1372" s="11" t="str">
        <f>IF(INDEX(Manual_Review!$H$6:$H$238,U1372)="","",INDEX(Manual_Review!$H$6:$H$238,U1372))</f>
        <v/>
      </c>
      <c r="X1372" s="5" t="str">
        <f>IF(INDEX(Manual_Review!$I$6:$I$238,U1372)="","",INDEX(Manual_Review!$I$6:$I$238,U1372))</f>
        <v/>
      </c>
      <c r="Y1372" s="5" t="s">
        <v>2859</v>
      </c>
    </row>
    <row r="1373" spans="1:25" ht="25.5">
      <c r="A1373" s="5" t="s">
        <v>5750</v>
      </c>
      <c r="B1373" s="5" t="s">
        <v>1043</v>
      </c>
      <c r="C1373" s="5" t="s">
        <v>1044</v>
      </c>
      <c r="D1373" s="5" t="s">
        <v>118</v>
      </c>
      <c r="E1373" s="5" t="s">
        <v>2788</v>
      </c>
      <c r="F1373" s="5" t="s">
        <v>2758</v>
      </c>
      <c r="G1373" s="5">
        <v>1</v>
      </c>
      <c r="H1373" s="5" t="s">
        <v>2854</v>
      </c>
      <c r="I1373" s="5" t="str">
        <f>IF(INDEX(Manual_Review!$R$6:$R$238,U1373)="","",INDEX(Manual_Review!$R$6:$R$238,U1373))</f>
        <v/>
      </c>
      <c r="J1373" s="5" t="str">
        <f t="shared" si="42"/>
        <v>AI provisional</v>
      </c>
      <c r="K1373" s="5" t="str">
        <f t="shared" si="43"/>
        <v>Y</v>
      </c>
      <c r="L1373" s="5" t="s">
        <v>1051</v>
      </c>
      <c r="M1373" s="5" t="s">
        <v>5751</v>
      </c>
      <c r="N1373" s="5" t="s">
        <v>5737</v>
      </c>
      <c r="O1373" s="5" t="s">
        <v>3067</v>
      </c>
      <c r="P1373" s="5" t="s">
        <v>2858</v>
      </c>
      <c r="Q1373" s="11">
        <v>46306.5</v>
      </c>
      <c r="R1373" s="6"/>
      <c r="S1373" s="6"/>
      <c r="T1373" s="6"/>
      <c r="U1373" s="5">
        <f>MATCH(B1373,Manual_Review!$A$6:$A$238,0)</f>
        <v>86</v>
      </c>
      <c r="V1373" s="5" t="str">
        <f>IF(INDEX(Manual_Review!$G$6:$G$238,U1373)="","",INDEX(Manual_Review!$G$6:$G$238,U1373))</f>
        <v/>
      </c>
      <c r="W1373" s="11" t="str">
        <f>IF(INDEX(Manual_Review!$H$6:$H$238,U1373)="","",INDEX(Manual_Review!$H$6:$H$238,U1373))</f>
        <v/>
      </c>
      <c r="X1373" s="5" t="str">
        <f>IF(INDEX(Manual_Review!$I$6:$I$238,U1373)="","",INDEX(Manual_Review!$I$6:$I$238,U1373))</f>
        <v/>
      </c>
      <c r="Y1373" s="5" t="s">
        <v>2859</v>
      </c>
    </row>
    <row r="1374" spans="1:25" ht="25.5">
      <c r="A1374" s="5" t="s">
        <v>5752</v>
      </c>
      <c r="B1374" s="5" t="s">
        <v>1043</v>
      </c>
      <c r="C1374" s="5" t="s">
        <v>1044</v>
      </c>
      <c r="D1374" s="5" t="s">
        <v>118</v>
      </c>
      <c r="E1374" s="5" t="s">
        <v>2789</v>
      </c>
      <c r="F1374" s="5" t="s">
        <v>2758</v>
      </c>
      <c r="G1374" s="5">
        <v>1</v>
      </c>
      <c r="H1374" s="5" t="s">
        <v>2864</v>
      </c>
      <c r="I1374" s="5" t="str">
        <f>IF(INDEX(Manual_Review!$S$6:$S$238,U1374)="","",INDEX(Manual_Review!$S$6:$S$238,U1374))</f>
        <v/>
      </c>
      <c r="J1374" s="5" t="str">
        <f t="shared" si="42"/>
        <v>AI provisional</v>
      </c>
      <c r="K1374" s="5" t="str">
        <f t="shared" si="43"/>
        <v>U</v>
      </c>
      <c r="L1374" s="5" t="s">
        <v>1051</v>
      </c>
      <c r="M1374" s="5" t="s">
        <v>5753</v>
      </c>
      <c r="N1374" s="5" t="s">
        <v>5737</v>
      </c>
      <c r="O1374" s="5" t="s">
        <v>2883</v>
      </c>
      <c r="P1374" s="5" t="s">
        <v>2858</v>
      </c>
      <c r="Q1374" s="11">
        <v>46306.5</v>
      </c>
      <c r="R1374" s="6"/>
      <c r="S1374" s="6"/>
      <c r="T1374" s="6"/>
      <c r="U1374" s="5">
        <f>MATCH(B1374,Manual_Review!$A$6:$A$238,0)</f>
        <v>86</v>
      </c>
      <c r="V1374" s="5" t="str">
        <f>IF(INDEX(Manual_Review!$G$6:$G$238,U1374)="","",INDEX(Manual_Review!$G$6:$G$238,U1374))</f>
        <v/>
      </c>
      <c r="W1374" s="11" t="str">
        <f>IF(INDEX(Manual_Review!$H$6:$H$238,U1374)="","",INDEX(Manual_Review!$H$6:$H$238,U1374))</f>
        <v/>
      </c>
      <c r="X1374" s="5" t="str">
        <f>IF(INDEX(Manual_Review!$I$6:$I$238,U1374)="","",INDEX(Manual_Review!$I$6:$I$238,U1374))</f>
        <v/>
      </c>
      <c r="Y1374" s="5" t="s">
        <v>2859</v>
      </c>
    </row>
    <row r="1375" spans="1:25" ht="25.5">
      <c r="A1375" s="5" t="s">
        <v>5754</v>
      </c>
      <c r="B1375" s="5" t="s">
        <v>1043</v>
      </c>
      <c r="C1375" s="5" t="s">
        <v>1044</v>
      </c>
      <c r="D1375" s="5" t="s">
        <v>118</v>
      </c>
      <c r="E1375" s="5" t="s">
        <v>2790</v>
      </c>
      <c r="F1375" s="5" t="s">
        <v>2760</v>
      </c>
      <c r="G1375" s="5">
        <v>1</v>
      </c>
      <c r="H1375" s="5" t="s">
        <v>2854</v>
      </c>
      <c r="I1375" s="5" t="str">
        <f>IF(INDEX(Manual_Review!$T$6:$T$238,U1375)="","",INDEX(Manual_Review!$T$6:$T$238,U1375))</f>
        <v/>
      </c>
      <c r="J1375" s="5" t="str">
        <f t="shared" si="42"/>
        <v>AI provisional</v>
      </c>
      <c r="K1375" s="5" t="str">
        <f t="shared" si="43"/>
        <v>Y</v>
      </c>
      <c r="L1375" s="5" t="s">
        <v>1051</v>
      </c>
      <c r="M1375" s="5" t="s">
        <v>5755</v>
      </c>
      <c r="N1375" s="5" t="s">
        <v>5737</v>
      </c>
      <c r="O1375" s="5" t="s">
        <v>2976</v>
      </c>
      <c r="P1375" s="5" t="s">
        <v>2858</v>
      </c>
      <c r="Q1375" s="11">
        <v>46306.5</v>
      </c>
      <c r="R1375" s="6"/>
      <c r="S1375" s="6"/>
      <c r="T1375" s="6"/>
      <c r="U1375" s="5">
        <f>MATCH(B1375,Manual_Review!$A$6:$A$238,0)</f>
        <v>86</v>
      </c>
      <c r="V1375" s="5" t="str">
        <f>IF(INDEX(Manual_Review!$G$6:$G$238,U1375)="","",INDEX(Manual_Review!$G$6:$G$238,U1375))</f>
        <v/>
      </c>
      <c r="W1375" s="11" t="str">
        <f>IF(INDEX(Manual_Review!$H$6:$H$238,U1375)="","",INDEX(Manual_Review!$H$6:$H$238,U1375))</f>
        <v/>
      </c>
      <c r="X1375" s="5" t="str">
        <f>IF(INDEX(Manual_Review!$I$6:$I$238,U1375)="","",INDEX(Manual_Review!$I$6:$I$238,U1375))</f>
        <v/>
      </c>
      <c r="Y1375" s="5" t="s">
        <v>2859</v>
      </c>
    </row>
    <row r="1376" spans="1:25" ht="25.5">
      <c r="A1376" s="5" t="s">
        <v>5756</v>
      </c>
      <c r="B1376" s="5" t="s">
        <v>1043</v>
      </c>
      <c r="C1376" s="5" t="s">
        <v>1044</v>
      </c>
      <c r="D1376" s="5" t="s">
        <v>118</v>
      </c>
      <c r="E1376" s="5" t="s">
        <v>2791</v>
      </c>
      <c r="F1376" s="5" t="s">
        <v>2760</v>
      </c>
      <c r="G1376" s="5">
        <v>1</v>
      </c>
      <c r="H1376" s="5" t="s">
        <v>2854</v>
      </c>
      <c r="I1376" s="5" t="str">
        <f>IF(INDEX(Manual_Review!$U$6:$U$238,U1376)="","",INDEX(Manual_Review!$U$6:$U$238,U1376))</f>
        <v/>
      </c>
      <c r="J1376" s="5" t="str">
        <f t="shared" si="42"/>
        <v>AI provisional</v>
      </c>
      <c r="K1376" s="5" t="str">
        <f t="shared" si="43"/>
        <v>Y</v>
      </c>
      <c r="L1376" s="5" t="s">
        <v>1051</v>
      </c>
      <c r="M1376" s="5" t="s">
        <v>5757</v>
      </c>
      <c r="N1376" s="5" t="s">
        <v>5737</v>
      </c>
      <c r="O1376" s="5" t="s">
        <v>3380</v>
      </c>
      <c r="P1376" s="5" t="s">
        <v>2858</v>
      </c>
      <c r="Q1376" s="11">
        <v>46306.5</v>
      </c>
      <c r="R1376" s="6"/>
      <c r="S1376" s="6"/>
      <c r="T1376" s="6"/>
      <c r="U1376" s="5">
        <f>MATCH(B1376,Manual_Review!$A$6:$A$238,0)</f>
        <v>86</v>
      </c>
      <c r="V1376" s="5" t="str">
        <f>IF(INDEX(Manual_Review!$G$6:$G$238,U1376)="","",INDEX(Manual_Review!$G$6:$G$238,U1376))</f>
        <v/>
      </c>
      <c r="W1376" s="11" t="str">
        <f>IF(INDEX(Manual_Review!$H$6:$H$238,U1376)="","",INDEX(Manual_Review!$H$6:$H$238,U1376))</f>
        <v/>
      </c>
      <c r="X1376" s="5" t="str">
        <f>IF(INDEX(Manual_Review!$I$6:$I$238,U1376)="","",INDEX(Manual_Review!$I$6:$I$238,U1376))</f>
        <v/>
      </c>
      <c r="Y1376" s="5" t="s">
        <v>2859</v>
      </c>
    </row>
    <row r="1377" spans="1:25" ht="25.5">
      <c r="A1377" s="5" t="s">
        <v>5758</v>
      </c>
      <c r="B1377" s="5" t="s">
        <v>1043</v>
      </c>
      <c r="C1377" s="5" t="s">
        <v>1044</v>
      </c>
      <c r="D1377" s="5" t="s">
        <v>118</v>
      </c>
      <c r="E1377" s="5" t="s">
        <v>2792</v>
      </c>
      <c r="F1377" s="5" t="s">
        <v>2762</v>
      </c>
      <c r="G1377" s="5">
        <v>1</v>
      </c>
      <c r="H1377" s="5" t="s">
        <v>2864</v>
      </c>
      <c r="I1377" s="5" t="str">
        <f>IF(INDEX(Manual_Review!$V$6:$V$238,U1377)="","",INDEX(Manual_Review!$V$6:$V$238,U1377))</f>
        <v/>
      </c>
      <c r="J1377" s="5" t="str">
        <f t="shared" si="42"/>
        <v>AI provisional</v>
      </c>
      <c r="K1377" s="5" t="str">
        <f t="shared" si="43"/>
        <v>U</v>
      </c>
      <c r="L1377" s="5" t="s">
        <v>1051</v>
      </c>
      <c r="M1377" s="5" t="s">
        <v>5759</v>
      </c>
      <c r="N1377" s="5" t="s">
        <v>5737</v>
      </c>
      <c r="O1377" s="5" t="s">
        <v>2891</v>
      </c>
      <c r="P1377" s="5" t="s">
        <v>2858</v>
      </c>
      <c r="Q1377" s="11">
        <v>46306.5</v>
      </c>
      <c r="R1377" s="6"/>
      <c r="S1377" s="6"/>
      <c r="T1377" s="6"/>
      <c r="U1377" s="5">
        <f>MATCH(B1377,Manual_Review!$A$6:$A$238,0)</f>
        <v>86</v>
      </c>
      <c r="V1377" s="5" t="str">
        <f>IF(INDEX(Manual_Review!$G$6:$G$238,U1377)="","",INDEX(Manual_Review!$G$6:$G$238,U1377))</f>
        <v/>
      </c>
      <c r="W1377" s="11" t="str">
        <f>IF(INDEX(Manual_Review!$H$6:$H$238,U1377)="","",INDEX(Manual_Review!$H$6:$H$238,U1377))</f>
        <v/>
      </c>
      <c r="X1377" s="5" t="str">
        <f>IF(INDEX(Manual_Review!$I$6:$I$238,U1377)="","",INDEX(Manual_Review!$I$6:$I$238,U1377))</f>
        <v/>
      </c>
      <c r="Y1377" s="5" t="s">
        <v>2859</v>
      </c>
    </row>
    <row r="1378" spans="1:25" ht="25.5">
      <c r="A1378" s="5" t="s">
        <v>5760</v>
      </c>
      <c r="B1378" s="5" t="s">
        <v>1043</v>
      </c>
      <c r="C1378" s="5" t="s">
        <v>1044</v>
      </c>
      <c r="D1378" s="5" t="s">
        <v>118</v>
      </c>
      <c r="E1378" s="5" t="s">
        <v>2793</v>
      </c>
      <c r="F1378" s="5" t="s">
        <v>2762</v>
      </c>
      <c r="G1378" s="5">
        <v>1</v>
      </c>
      <c r="H1378" s="5" t="s">
        <v>2854</v>
      </c>
      <c r="I1378" s="5" t="str">
        <f>IF(INDEX(Manual_Review!$W$6:$W$238,U1378)="","",INDEX(Manual_Review!$W$6:$W$238,U1378))</f>
        <v/>
      </c>
      <c r="J1378" s="5" t="str">
        <f t="shared" si="42"/>
        <v>AI provisional</v>
      </c>
      <c r="K1378" s="5" t="str">
        <f t="shared" si="43"/>
        <v>Y</v>
      </c>
      <c r="L1378" s="5" t="s">
        <v>1051</v>
      </c>
      <c r="M1378" s="5" t="s">
        <v>5761</v>
      </c>
      <c r="N1378" s="5" t="s">
        <v>5737</v>
      </c>
      <c r="O1378" s="5" t="s">
        <v>3077</v>
      </c>
      <c r="P1378" s="5" t="s">
        <v>2858</v>
      </c>
      <c r="Q1378" s="11">
        <v>46306.5</v>
      </c>
      <c r="R1378" s="6"/>
      <c r="S1378" s="6"/>
      <c r="T1378" s="6"/>
      <c r="U1378" s="5">
        <f>MATCH(B1378,Manual_Review!$A$6:$A$238,0)</f>
        <v>86</v>
      </c>
      <c r="V1378" s="5" t="str">
        <f>IF(INDEX(Manual_Review!$G$6:$G$238,U1378)="","",INDEX(Manual_Review!$G$6:$G$238,U1378))</f>
        <v/>
      </c>
      <c r="W1378" s="11" t="str">
        <f>IF(INDEX(Manual_Review!$H$6:$H$238,U1378)="","",INDEX(Manual_Review!$H$6:$H$238,U1378))</f>
        <v/>
      </c>
      <c r="X1378" s="5" t="str">
        <f>IF(INDEX(Manual_Review!$I$6:$I$238,U1378)="","",INDEX(Manual_Review!$I$6:$I$238,U1378))</f>
        <v/>
      </c>
      <c r="Y1378" s="5" t="s">
        <v>2859</v>
      </c>
    </row>
    <row r="1379" spans="1:25" ht="25.5">
      <c r="A1379" s="5" t="s">
        <v>5762</v>
      </c>
      <c r="B1379" s="5" t="s">
        <v>1043</v>
      </c>
      <c r="C1379" s="5" t="s">
        <v>1044</v>
      </c>
      <c r="D1379" s="5" t="s">
        <v>118</v>
      </c>
      <c r="E1379" s="5" t="s">
        <v>2794</v>
      </c>
      <c r="F1379" s="5" t="s">
        <v>2764</v>
      </c>
      <c r="G1379" s="5">
        <v>1</v>
      </c>
      <c r="H1379" s="5" t="s">
        <v>2854</v>
      </c>
      <c r="I1379" s="5" t="str">
        <f>IF(INDEX(Manual_Review!$X$6:$X$238,U1379)="","",INDEX(Manual_Review!$X$6:$X$238,U1379))</f>
        <v/>
      </c>
      <c r="J1379" s="5" t="str">
        <f t="shared" si="42"/>
        <v>AI provisional</v>
      </c>
      <c r="K1379" s="5" t="str">
        <f t="shared" si="43"/>
        <v>Y</v>
      </c>
      <c r="L1379" s="5" t="s">
        <v>1051</v>
      </c>
      <c r="M1379" s="5" t="s">
        <v>5763</v>
      </c>
      <c r="N1379" s="5" t="s">
        <v>5737</v>
      </c>
      <c r="O1379" s="5" t="s">
        <v>2984</v>
      </c>
      <c r="P1379" s="5" t="s">
        <v>2858</v>
      </c>
      <c r="Q1379" s="11">
        <v>46306.5</v>
      </c>
      <c r="R1379" s="6"/>
      <c r="S1379" s="6"/>
      <c r="T1379" s="6"/>
      <c r="U1379" s="5">
        <f>MATCH(B1379,Manual_Review!$A$6:$A$238,0)</f>
        <v>86</v>
      </c>
      <c r="V1379" s="5" t="str">
        <f>IF(INDEX(Manual_Review!$G$6:$G$238,U1379)="","",INDEX(Manual_Review!$G$6:$G$238,U1379))</f>
        <v/>
      </c>
      <c r="W1379" s="11" t="str">
        <f>IF(INDEX(Manual_Review!$H$6:$H$238,U1379)="","",INDEX(Manual_Review!$H$6:$H$238,U1379))</f>
        <v/>
      </c>
      <c r="X1379" s="5" t="str">
        <f>IF(INDEX(Manual_Review!$I$6:$I$238,U1379)="","",INDEX(Manual_Review!$I$6:$I$238,U1379))</f>
        <v/>
      </c>
      <c r="Y1379" s="5" t="s">
        <v>2859</v>
      </c>
    </row>
    <row r="1380" spans="1:25" ht="25.5">
      <c r="A1380" s="5" t="s">
        <v>5764</v>
      </c>
      <c r="B1380" s="5" t="s">
        <v>1043</v>
      </c>
      <c r="C1380" s="5" t="s">
        <v>1044</v>
      </c>
      <c r="D1380" s="5" t="s">
        <v>118</v>
      </c>
      <c r="E1380" s="5" t="s">
        <v>2795</v>
      </c>
      <c r="F1380" s="5" t="s">
        <v>2764</v>
      </c>
      <c r="G1380" s="5">
        <v>1</v>
      </c>
      <c r="H1380" s="5" t="s">
        <v>2854</v>
      </c>
      <c r="I1380" s="5" t="str">
        <f>IF(INDEX(Manual_Review!$Y$6:$Y$238,U1380)="","",INDEX(Manual_Review!$Y$6:$Y$238,U1380))</f>
        <v/>
      </c>
      <c r="J1380" s="5" t="str">
        <f t="shared" si="42"/>
        <v>AI provisional</v>
      </c>
      <c r="K1380" s="5" t="str">
        <f t="shared" si="43"/>
        <v>Y</v>
      </c>
      <c r="L1380" s="5" t="s">
        <v>1051</v>
      </c>
      <c r="M1380" s="5" t="s">
        <v>5765</v>
      </c>
      <c r="N1380" s="5" t="s">
        <v>5737</v>
      </c>
      <c r="O1380" s="5" t="s">
        <v>3082</v>
      </c>
      <c r="P1380" s="5" t="s">
        <v>2858</v>
      </c>
      <c r="Q1380" s="11">
        <v>46306.5</v>
      </c>
      <c r="R1380" s="6"/>
      <c r="S1380" s="6"/>
      <c r="T1380" s="6"/>
      <c r="U1380" s="5">
        <f>MATCH(B1380,Manual_Review!$A$6:$A$238,0)</f>
        <v>86</v>
      </c>
      <c r="V1380" s="5" t="str">
        <f>IF(INDEX(Manual_Review!$G$6:$G$238,U1380)="","",INDEX(Manual_Review!$G$6:$G$238,U1380))</f>
        <v/>
      </c>
      <c r="W1380" s="11" t="str">
        <f>IF(INDEX(Manual_Review!$H$6:$H$238,U1380)="","",INDEX(Manual_Review!$H$6:$H$238,U1380))</f>
        <v/>
      </c>
      <c r="X1380" s="5" t="str">
        <f>IF(INDEX(Manual_Review!$I$6:$I$238,U1380)="","",INDEX(Manual_Review!$I$6:$I$238,U1380))</f>
        <v/>
      </c>
      <c r="Y1380" s="5" t="s">
        <v>2859</v>
      </c>
    </row>
    <row r="1381" spans="1:25" ht="25.5">
      <c r="A1381" s="5" t="s">
        <v>5766</v>
      </c>
      <c r="B1381" s="5" t="s">
        <v>1043</v>
      </c>
      <c r="C1381" s="5" t="s">
        <v>1044</v>
      </c>
      <c r="D1381" s="5" t="s">
        <v>118</v>
      </c>
      <c r="E1381" s="5" t="s">
        <v>2796</v>
      </c>
      <c r="F1381" s="5" t="s">
        <v>2764</v>
      </c>
      <c r="G1381" s="5">
        <v>1</v>
      </c>
      <c r="H1381" s="5" t="s">
        <v>2864</v>
      </c>
      <c r="I1381" s="5" t="str">
        <f>IF(INDEX(Manual_Review!$Z$6:$Z$238,U1381)="","",INDEX(Manual_Review!$Z$6:$Z$238,U1381))</f>
        <v/>
      </c>
      <c r="J1381" s="5" t="str">
        <f t="shared" si="42"/>
        <v>AI provisional</v>
      </c>
      <c r="K1381" s="5" t="str">
        <f t="shared" si="43"/>
        <v>U</v>
      </c>
      <c r="L1381" s="5" t="s">
        <v>1051</v>
      </c>
      <c r="M1381" s="5" t="s">
        <v>5767</v>
      </c>
      <c r="N1381" s="5" t="s">
        <v>5737</v>
      </c>
      <c r="O1381" s="5" t="s">
        <v>2899</v>
      </c>
      <c r="P1381" s="5" t="s">
        <v>2858</v>
      </c>
      <c r="Q1381" s="11">
        <v>46306.5</v>
      </c>
      <c r="R1381" s="6"/>
      <c r="S1381" s="6"/>
      <c r="T1381" s="6"/>
      <c r="U1381" s="5">
        <f>MATCH(B1381,Manual_Review!$A$6:$A$238,0)</f>
        <v>86</v>
      </c>
      <c r="V1381" s="5" t="str">
        <f>IF(INDEX(Manual_Review!$G$6:$G$238,U1381)="","",INDEX(Manual_Review!$G$6:$G$238,U1381))</f>
        <v/>
      </c>
      <c r="W1381" s="11" t="str">
        <f>IF(INDEX(Manual_Review!$H$6:$H$238,U1381)="","",INDEX(Manual_Review!$H$6:$H$238,U1381))</f>
        <v/>
      </c>
      <c r="X1381" s="5" t="str">
        <f>IF(INDEX(Manual_Review!$I$6:$I$238,U1381)="","",INDEX(Manual_Review!$I$6:$I$238,U1381))</f>
        <v/>
      </c>
      <c r="Y1381" s="5" t="s">
        <v>2859</v>
      </c>
    </row>
    <row r="1382" spans="1:25" ht="38.25">
      <c r="A1382" s="5" t="s">
        <v>5768</v>
      </c>
      <c r="B1382" s="5" t="s">
        <v>1053</v>
      </c>
      <c r="C1382" s="5" t="s">
        <v>1054</v>
      </c>
      <c r="D1382" s="5" t="s">
        <v>118</v>
      </c>
      <c r="E1382" s="5" t="s">
        <v>2781</v>
      </c>
      <c r="F1382" s="5" t="s">
        <v>2754</v>
      </c>
      <c r="G1382" s="5">
        <v>1</v>
      </c>
      <c r="H1382" s="5" t="s">
        <v>2854</v>
      </c>
      <c r="I1382" s="5" t="str">
        <f>IF(INDEX(Manual_Review!$K$6:$K$238,U1382)="","",INDEX(Manual_Review!$K$6:$K$238,U1382))</f>
        <v/>
      </c>
      <c r="J1382" s="5" t="str">
        <f t="shared" si="42"/>
        <v>AI provisional</v>
      </c>
      <c r="K1382" s="5" t="str">
        <f t="shared" si="43"/>
        <v>Y</v>
      </c>
      <c r="L1382" s="5" t="s">
        <v>1066</v>
      </c>
      <c r="M1382" s="5" t="s">
        <v>5769</v>
      </c>
      <c r="N1382" s="5" t="s">
        <v>5770</v>
      </c>
      <c r="O1382" s="5" t="s">
        <v>2857</v>
      </c>
      <c r="P1382" s="5" t="s">
        <v>2858</v>
      </c>
      <c r="Q1382" s="11">
        <v>46306.5</v>
      </c>
      <c r="R1382" s="6"/>
      <c r="S1382" s="6"/>
      <c r="T1382" s="6"/>
      <c r="U1382" s="5">
        <f>MATCH(B1382,Manual_Review!$A$6:$A$238,0)</f>
        <v>87</v>
      </c>
      <c r="V1382" s="5" t="str">
        <f>IF(INDEX(Manual_Review!$G$6:$G$238,U1382)="","",INDEX(Manual_Review!$G$6:$G$238,U1382))</f>
        <v/>
      </c>
      <c r="W1382" s="11" t="str">
        <f>IF(INDEX(Manual_Review!$H$6:$H$238,U1382)="","",INDEX(Manual_Review!$H$6:$H$238,U1382))</f>
        <v/>
      </c>
      <c r="X1382" s="5" t="str">
        <f>IF(INDEX(Manual_Review!$I$6:$I$238,U1382)="","",INDEX(Manual_Review!$I$6:$I$238,U1382))</f>
        <v/>
      </c>
      <c r="Y1382" s="5" t="s">
        <v>2859</v>
      </c>
    </row>
    <row r="1383" spans="1:25" ht="38.25">
      <c r="A1383" s="5" t="s">
        <v>5771</v>
      </c>
      <c r="B1383" s="5" t="s">
        <v>1053</v>
      </c>
      <c r="C1383" s="5" t="s">
        <v>1054</v>
      </c>
      <c r="D1383" s="5" t="s">
        <v>118</v>
      </c>
      <c r="E1383" s="5" t="s">
        <v>2782</v>
      </c>
      <c r="F1383" s="5" t="s">
        <v>2754</v>
      </c>
      <c r="G1383" s="5">
        <v>1</v>
      </c>
      <c r="H1383" s="5" t="s">
        <v>3510</v>
      </c>
      <c r="I1383" s="5" t="str">
        <f>IF(INDEX(Manual_Review!$L$6:$L$238,U1383)="","",INDEX(Manual_Review!$L$6:$L$238,U1383))</f>
        <v/>
      </c>
      <c r="J1383" s="5" t="str">
        <f t="shared" si="42"/>
        <v>AI provisional</v>
      </c>
      <c r="K1383" s="5" t="str">
        <f t="shared" si="43"/>
        <v>N</v>
      </c>
      <c r="L1383" s="5" t="s">
        <v>1066</v>
      </c>
      <c r="M1383" s="5" t="s">
        <v>5772</v>
      </c>
      <c r="N1383" s="5" t="s">
        <v>5770</v>
      </c>
      <c r="O1383" s="5" t="s">
        <v>3512</v>
      </c>
      <c r="P1383" s="5" t="s">
        <v>2858</v>
      </c>
      <c r="Q1383" s="11">
        <v>46306.5</v>
      </c>
      <c r="R1383" s="6"/>
      <c r="S1383" s="6"/>
      <c r="T1383" s="6"/>
      <c r="U1383" s="5">
        <f>MATCH(B1383,Manual_Review!$A$6:$A$238,0)</f>
        <v>87</v>
      </c>
      <c r="V1383" s="5" t="str">
        <f>IF(INDEX(Manual_Review!$G$6:$G$238,U1383)="","",INDEX(Manual_Review!$G$6:$G$238,U1383))</f>
        <v/>
      </c>
      <c r="W1383" s="11" t="str">
        <f>IF(INDEX(Manual_Review!$H$6:$H$238,U1383)="","",INDEX(Manual_Review!$H$6:$H$238,U1383))</f>
        <v/>
      </c>
      <c r="X1383" s="5" t="str">
        <f>IF(INDEX(Manual_Review!$I$6:$I$238,U1383)="","",INDEX(Manual_Review!$I$6:$I$238,U1383))</f>
        <v/>
      </c>
      <c r="Y1383" s="5" t="s">
        <v>2859</v>
      </c>
    </row>
    <row r="1384" spans="1:25" ht="38.25">
      <c r="A1384" s="5" t="s">
        <v>5773</v>
      </c>
      <c r="B1384" s="5" t="s">
        <v>1053</v>
      </c>
      <c r="C1384" s="5" t="s">
        <v>1054</v>
      </c>
      <c r="D1384" s="5" t="s">
        <v>118</v>
      </c>
      <c r="E1384" s="5" t="s">
        <v>2783</v>
      </c>
      <c r="F1384" s="5" t="s">
        <v>2754</v>
      </c>
      <c r="G1384" s="5">
        <v>1</v>
      </c>
      <c r="H1384" s="5" t="s">
        <v>2864</v>
      </c>
      <c r="I1384" s="5" t="str">
        <f>IF(INDEX(Manual_Review!$M$6:$M$238,U1384)="","",INDEX(Manual_Review!$M$6:$M$238,U1384))</f>
        <v/>
      </c>
      <c r="J1384" s="5" t="str">
        <f t="shared" si="42"/>
        <v>AI provisional</v>
      </c>
      <c r="K1384" s="5" t="str">
        <f t="shared" si="43"/>
        <v>U</v>
      </c>
      <c r="L1384" s="5" t="s">
        <v>1066</v>
      </c>
      <c r="M1384" s="5" t="s">
        <v>5774</v>
      </c>
      <c r="N1384" s="5" t="s">
        <v>5770</v>
      </c>
      <c r="O1384" s="5" t="s">
        <v>2866</v>
      </c>
      <c r="P1384" s="5" t="s">
        <v>2858</v>
      </c>
      <c r="Q1384" s="11">
        <v>46306.5</v>
      </c>
      <c r="R1384" s="6"/>
      <c r="S1384" s="6"/>
      <c r="T1384" s="6"/>
      <c r="U1384" s="5">
        <f>MATCH(B1384,Manual_Review!$A$6:$A$238,0)</f>
        <v>87</v>
      </c>
      <c r="V1384" s="5" t="str">
        <f>IF(INDEX(Manual_Review!$G$6:$G$238,U1384)="","",INDEX(Manual_Review!$G$6:$G$238,U1384))</f>
        <v/>
      </c>
      <c r="W1384" s="11" t="str">
        <f>IF(INDEX(Manual_Review!$H$6:$H$238,U1384)="","",INDEX(Manual_Review!$H$6:$H$238,U1384))</f>
        <v/>
      </c>
      <c r="X1384" s="5" t="str">
        <f>IF(INDEX(Manual_Review!$I$6:$I$238,U1384)="","",INDEX(Manual_Review!$I$6:$I$238,U1384))</f>
        <v/>
      </c>
      <c r="Y1384" s="5" t="s">
        <v>2859</v>
      </c>
    </row>
    <row r="1385" spans="1:25" ht="38.25">
      <c r="A1385" s="5" t="s">
        <v>5775</v>
      </c>
      <c r="B1385" s="5" t="s">
        <v>1053</v>
      </c>
      <c r="C1385" s="5" t="s">
        <v>1054</v>
      </c>
      <c r="D1385" s="5" t="s">
        <v>118</v>
      </c>
      <c r="E1385" s="5" t="s">
        <v>2784</v>
      </c>
      <c r="F1385" s="5" t="s">
        <v>2756</v>
      </c>
      <c r="G1385" s="5">
        <v>1</v>
      </c>
      <c r="H1385" s="5" t="s">
        <v>2854</v>
      </c>
      <c r="I1385" s="5" t="str">
        <f>IF(INDEX(Manual_Review!$N$6:$N$238,U1385)="","",INDEX(Manual_Review!$N$6:$N$238,U1385))</f>
        <v/>
      </c>
      <c r="J1385" s="5" t="str">
        <f t="shared" si="42"/>
        <v>AI provisional</v>
      </c>
      <c r="K1385" s="5" t="str">
        <f t="shared" si="43"/>
        <v>Y</v>
      </c>
      <c r="L1385" s="5" t="s">
        <v>1066</v>
      </c>
      <c r="M1385" s="5" t="s">
        <v>5776</v>
      </c>
      <c r="N1385" s="5" t="s">
        <v>5770</v>
      </c>
      <c r="O1385" s="5" t="s">
        <v>2963</v>
      </c>
      <c r="P1385" s="5" t="s">
        <v>2858</v>
      </c>
      <c r="Q1385" s="11">
        <v>46306.5</v>
      </c>
      <c r="R1385" s="6"/>
      <c r="S1385" s="6"/>
      <c r="T1385" s="6"/>
      <c r="U1385" s="5">
        <f>MATCH(B1385,Manual_Review!$A$6:$A$238,0)</f>
        <v>87</v>
      </c>
      <c r="V1385" s="5" t="str">
        <f>IF(INDEX(Manual_Review!$G$6:$G$238,U1385)="","",INDEX(Manual_Review!$G$6:$G$238,U1385))</f>
        <v/>
      </c>
      <c r="W1385" s="11" t="str">
        <f>IF(INDEX(Manual_Review!$H$6:$H$238,U1385)="","",INDEX(Manual_Review!$H$6:$H$238,U1385))</f>
        <v/>
      </c>
      <c r="X1385" s="5" t="str">
        <f>IF(INDEX(Manual_Review!$I$6:$I$238,U1385)="","",INDEX(Manual_Review!$I$6:$I$238,U1385))</f>
        <v/>
      </c>
      <c r="Y1385" s="5" t="s">
        <v>2859</v>
      </c>
    </row>
    <row r="1386" spans="1:25" ht="38.25">
      <c r="A1386" s="5" t="s">
        <v>5777</v>
      </c>
      <c r="B1386" s="5" t="s">
        <v>1053</v>
      </c>
      <c r="C1386" s="5" t="s">
        <v>1054</v>
      </c>
      <c r="D1386" s="5" t="s">
        <v>118</v>
      </c>
      <c r="E1386" s="5" t="s">
        <v>2785</v>
      </c>
      <c r="F1386" s="5" t="s">
        <v>2756</v>
      </c>
      <c r="G1386" s="5">
        <v>1</v>
      </c>
      <c r="H1386" s="5" t="s">
        <v>2854</v>
      </c>
      <c r="I1386" s="5" t="str">
        <f>IF(INDEX(Manual_Review!$O$6:$O$238,U1386)="","",INDEX(Manual_Review!$O$6:$O$238,U1386))</f>
        <v/>
      </c>
      <c r="J1386" s="5" t="str">
        <f t="shared" si="42"/>
        <v>AI provisional</v>
      </c>
      <c r="K1386" s="5" t="str">
        <f t="shared" si="43"/>
        <v>Y</v>
      </c>
      <c r="L1386" s="5" t="s">
        <v>1066</v>
      </c>
      <c r="M1386" s="5" t="s">
        <v>5778</v>
      </c>
      <c r="N1386" s="5" t="s">
        <v>5770</v>
      </c>
      <c r="O1386" s="5" t="s">
        <v>3138</v>
      </c>
      <c r="P1386" s="5" t="s">
        <v>2858</v>
      </c>
      <c r="Q1386" s="11">
        <v>46306.5</v>
      </c>
      <c r="R1386" s="6"/>
      <c r="S1386" s="6"/>
      <c r="T1386" s="6"/>
      <c r="U1386" s="5">
        <f>MATCH(B1386,Manual_Review!$A$6:$A$238,0)</f>
        <v>87</v>
      </c>
      <c r="V1386" s="5" t="str">
        <f>IF(INDEX(Manual_Review!$G$6:$G$238,U1386)="","",INDEX(Manual_Review!$G$6:$G$238,U1386))</f>
        <v/>
      </c>
      <c r="W1386" s="11" t="str">
        <f>IF(INDEX(Manual_Review!$H$6:$H$238,U1386)="","",INDEX(Manual_Review!$H$6:$H$238,U1386))</f>
        <v/>
      </c>
      <c r="X1386" s="5" t="str">
        <f>IF(INDEX(Manual_Review!$I$6:$I$238,U1386)="","",INDEX(Manual_Review!$I$6:$I$238,U1386))</f>
        <v/>
      </c>
      <c r="Y1386" s="5" t="s">
        <v>2859</v>
      </c>
    </row>
    <row r="1387" spans="1:25" ht="38.25">
      <c r="A1387" s="5" t="s">
        <v>5779</v>
      </c>
      <c r="B1387" s="5" t="s">
        <v>1053</v>
      </c>
      <c r="C1387" s="5" t="s">
        <v>1054</v>
      </c>
      <c r="D1387" s="5" t="s">
        <v>118</v>
      </c>
      <c r="E1387" s="5" t="s">
        <v>2786</v>
      </c>
      <c r="F1387" s="5" t="s">
        <v>2756</v>
      </c>
      <c r="G1387" s="5">
        <v>1</v>
      </c>
      <c r="H1387" s="5" t="s">
        <v>2854</v>
      </c>
      <c r="I1387" s="5" t="str">
        <f>IF(INDEX(Manual_Review!$P$6:$P$238,U1387)="","",INDEX(Manual_Review!$P$6:$P$238,U1387))</f>
        <v/>
      </c>
      <c r="J1387" s="5" t="str">
        <f t="shared" si="42"/>
        <v>AI provisional</v>
      </c>
      <c r="K1387" s="5" t="str">
        <f t="shared" si="43"/>
        <v>Y</v>
      </c>
      <c r="L1387" s="5" t="s">
        <v>1066</v>
      </c>
      <c r="M1387" s="5" t="s">
        <v>5780</v>
      </c>
      <c r="N1387" s="5" t="s">
        <v>5770</v>
      </c>
      <c r="O1387" s="5" t="s">
        <v>5781</v>
      </c>
      <c r="P1387" s="5" t="s">
        <v>2858</v>
      </c>
      <c r="Q1387" s="11">
        <v>46306.5</v>
      </c>
      <c r="R1387" s="6"/>
      <c r="S1387" s="6"/>
      <c r="T1387" s="6"/>
      <c r="U1387" s="5">
        <f>MATCH(B1387,Manual_Review!$A$6:$A$238,0)</f>
        <v>87</v>
      </c>
      <c r="V1387" s="5" t="str">
        <f>IF(INDEX(Manual_Review!$G$6:$G$238,U1387)="","",INDEX(Manual_Review!$G$6:$G$238,U1387))</f>
        <v/>
      </c>
      <c r="W1387" s="11" t="str">
        <f>IF(INDEX(Manual_Review!$H$6:$H$238,U1387)="","",INDEX(Manual_Review!$H$6:$H$238,U1387))</f>
        <v/>
      </c>
      <c r="X1387" s="5" t="str">
        <f>IF(INDEX(Manual_Review!$I$6:$I$238,U1387)="","",INDEX(Manual_Review!$I$6:$I$238,U1387))</f>
        <v/>
      </c>
      <c r="Y1387" s="5" t="s">
        <v>2859</v>
      </c>
    </row>
    <row r="1388" spans="1:25" ht="38.25">
      <c r="A1388" s="5" t="s">
        <v>5782</v>
      </c>
      <c r="B1388" s="5" t="s">
        <v>1053</v>
      </c>
      <c r="C1388" s="5" t="s">
        <v>1054</v>
      </c>
      <c r="D1388" s="5" t="s">
        <v>118</v>
      </c>
      <c r="E1388" s="5" t="s">
        <v>2787</v>
      </c>
      <c r="F1388" s="5" t="s">
        <v>2758</v>
      </c>
      <c r="G1388" s="5">
        <v>1</v>
      </c>
      <c r="H1388" s="5" t="s">
        <v>2864</v>
      </c>
      <c r="I1388" s="5" t="str">
        <f>IF(INDEX(Manual_Review!$Q$6:$Q$238,U1388)="","",INDEX(Manual_Review!$Q$6:$Q$238,U1388))</f>
        <v/>
      </c>
      <c r="J1388" s="5" t="str">
        <f t="shared" si="42"/>
        <v>AI provisional</v>
      </c>
      <c r="K1388" s="5" t="str">
        <f t="shared" si="43"/>
        <v>U</v>
      </c>
      <c r="L1388" s="5" t="s">
        <v>1066</v>
      </c>
      <c r="M1388" s="5" t="s">
        <v>5783</v>
      </c>
      <c r="N1388" s="5" t="s">
        <v>5770</v>
      </c>
      <c r="O1388" s="5" t="s">
        <v>2877</v>
      </c>
      <c r="P1388" s="5" t="s">
        <v>2858</v>
      </c>
      <c r="Q1388" s="11">
        <v>46306.5</v>
      </c>
      <c r="R1388" s="6"/>
      <c r="S1388" s="6"/>
      <c r="T1388" s="6"/>
      <c r="U1388" s="5">
        <f>MATCH(B1388,Manual_Review!$A$6:$A$238,0)</f>
        <v>87</v>
      </c>
      <c r="V1388" s="5" t="str">
        <f>IF(INDEX(Manual_Review!$G$6:$G$238,U1388)="","",INDEX(Manual_Review!$G$6:$G$238,U1388))</f>
        <v/>
      </c>
      <c r="W1388" s="11" t="str">
        <f>IF(INDEX(Manual_Review!$H$6:$H$238,U1388)="","",INDEX(Manual_Review!$H$6:$H$238,U1388))</f>
        <v/>
      </c>
      <c r="X1388" s="5" t="str">
        <f>IF(INDEX(Manual_Review!$I$6:$I$238,U1388)="","",INDEX(Manual_Review!$I$6:$I$238,U1388))</f>
        <v/>
      </c>
      <c r="Y1388" s="5" t="s">
        <v>2859</v>
      </c>
    </row>
    <row r="1389" spans="1:25" ht="38.25">
      <c r="A1389" s="5" t="s">
        <v>5784</v>
      </c>
      <c r="B1389" s="5" t="s">
        <v>1053</v>
      </c>
      <c r="C1389" s="5" t="s">
        <v>1054</v>
      </c>
      <c r="D1389" s="5" t="s">
        <v>118</v>
      </c>
      <c r="E1389" s="5" t="s">
        <v>2788</v>
      </c>
      <c r="F1389" s="5" t="s">
        <v>2758</v>
      </c>
      <c r="G1389" s="5">
        <v>1</v>
      </c>
      <c r="H1389" s="5" t="s">
        <v>2854</v>
      </c>
      <c r="I1389" s="5" t="str">
        <f>IF(INDEX(Manual_Review!$R$6:$R$238,U1389)="","",INDEX(Manual_Review!$R$6:$R$238,U1389))</f>
        <v/>
      </c>
      <c r="J1389" s="5" t="str">
        <f t="shared" si="42"/>
        <v>AI provisional</v>
      </c>
      <c r="K1389" s="5" t="str">
        <f t="shared" si="43"/>
        <v>Y</v>
      </c>
      <c r="L1389" s="5" t="s">
        <v>1066</v>
      </c>
      <c r="M1389" s="5" t="s">
        <v>5785</v>
      </c>
      <c r="N1389" s="5" t="s">
        <v>5770</v>
      </c>
      <c r="O1389" s="5" t="s">
        <v>3067</v>
      </c>
      <c r="P1389" s="5" t="s">
        <v>2858</v>
      </c>
      <c r="Q1389" s="11">
        <v>46306.5</v>
      </c>
      <c r="R1389" s="6"/>
      <c r="S1389" s="6"/>
      <c r="T1389" s="6"/>
      <c r="U1389" s="5">
        <f>MATCH(B1389,Manual_Review!$A$6:$A$238,0)</f>
        <v>87</v>
      </c>
      <c r="V1389" s="5" t="str">
        <f>IF(INDEX(Manual_Review!$G$6:$G$238,U1389)="","",INDEX(Manual_Review!$G$6:$G$238,U1389))</f>
        <v/>
      </c>
      <c r="W1389" s="11" t="str">
        <f>IF(INDEX(Manual_Review!$H$6:$H$238,U1389)="","",INDEX(Manual_Review!$H$6:$H$238,U1389))</f>
        <v/>
      </c>
      <c r="X1389" s="5" t="str">
        <f>IF(INDEX(Manual_Review!$I$6:$I$238,U1389)="","",INDEX(Manual_Review!$I$6:$I$238,U1389))</f>
        <v/>
      </c>
      <c r="Y1389" s="5" t="s">
        <v>2859</v>
      </c>
    </row>
    <row r="1390" spans="1:25" ht="38.25">
      <c r="A1390" s="5" t="s">
        <v>5786</v>
      </c>
      <c r="B1390" s="5" t="s">
        <v>1053</v>
      </c>
      <c r="C1390" s="5" t="s">
        <v>1054</v>
      </c>
      <c r="D1390" s="5" t="s">
        <v>118</v>
      </c>
      <c r="E1390" s="5" t="s">
        <v>2789</v>
      </c>
      <c r="F1390" s="5" t="s">
        <v>2758</v>
      </c>
      <c r="G1390" s="5">
        <v>1</v>
      </c>
      <c r="H1390" s="5" t="s">
        <v>2854</v>
      </c>
      <c r="I1390" s="5" t="str">
        <f>IF(INDEX(Manual_Review!$S$6:$S$238,U1390)="","",INDEX(Manual_Review!$S$6:$S$238,U1390))</f>
        <v/>
      </c>
      <c r="J1390" s="5" t="str">
        <f t="shared" si="42"/>
        <v>AI provisional</v>
      </c>
      <c r="K1390" s="5" t="str">
        <f t="shared" si="43"/>
        <v>Y</v>
      </c>
      <c r="L1390" s="5" t="s">
        <v>1066</v>
      </c>
      <c r="M1390" s="5" t="s">
        <v>5787</v>
      </c>
      <c r="N1390" s="5" t="s">
        <v>5770</v>
      </c>
      <c r="O1390" s="5" t="s">
        <v>3178</v>
      </c>
      <c r="P1390" s="5" t="s">
        <v>2858</v>
      </c>
      <c r="Q1390" s="11">
        <v>46306.5</v>
      </c>
      <c r="R1390" s="6"/>
      <c r="S1390" s="6"/>
      <c r="T1390" s="6"/>
      <c r="U1390" s="5">
        <f>MATCH(B1390,Manual_Review!$A$6:$A$238,0)</f>
        <v>87</v>
      </c>
      <c r="V1390" s="5" t="str">
        <f>IF(INDEX(Manual_Review!$G$6:$G$238,U1390)="","",INDEX(Manual_Review!$G$6:$G$238,U1390))</f>
        <v/>
      </c>
      <c r="W1390" s="11" t="str">
        <f>IF(INDEX(Manual_Review!$H$6:$H$238,U1390)="","",INDEX(Manual_Review!$H$6:$H$238,U1390))</f>
        <v/>
      </c>
      <c r="X1390" s="5" t="str">
        <f>IF(INDEX(Manual_Review!$I$6:$I$238,U1390)="","",INDEX(Manual_Review!$I$6:$I$238,U1390))</f>
        <v/>
      </c>
      <c r="Y1390" s="5" t="s">
        <v>2859</v>
      </c>
    </row>
    <row r="1391" spans="1:25" ht="38.25">
      <c r="A1391" s="5" t="s">
        <v>5788</v>
      </c>
      <c r="B1391" s="5" t="s">
        <v>1053</v>
      </c>
      <c r="C1391" s="5" t="s">
        <v>1054</v>
      </c>
      <c r="D1391" s="5" t="s">
        <v>118</v>
      </c>
      <c r="E1391" s="5" t="s">
        <v>2790</v>
      </c>
      <c r="F1391" s="5" t="s">
        <v>2760</v>
      </c>
      <c r="G1391" s="5">
        <v>1</v>
      </c>
      <c r="H1391" s="5" t="s">
        <v>2854</v>
      </c>
      <c r="I1391" s="5" t="str">
        <f>IF(INDEX(Manual_Review!$T$6:$T$238,U1391)="","",INDEX(Manual_Review!$T$6:$T$238,U1391))</f>
        <v/>
      </c>
      <c r="J1391" s="5" t="str">
        <f t="shared" si="42"/>
        <v>AI provisional</v>
      </c>
      <c r="K1391" s="5" t="str">
        <f t="shared" si="43"/>
        <v>Y</v>
      </c>
      <c r="L1391" s="5" t="s">
        <v>1066</v>
      </c>
      <c r="M1391" s="5" t="s">
        <v>5789</v>
      </c>
      <c r="N1391" s="5" t="s">
        <v>5770</v>
      </c>
      <c r="O1391" s="5" t="s">
        <v>2976</v>
      </c>
      <c r="P1391" s="5" t="s">
        <v>2858</v>
      </c>
      <c r="Q1391" s="11">
        <v>46306.5</v>
      </c>
      <c r="R1391" s="6"/>
      <c r="S1391" s="6"/>
      <c r="T1391" s="6"/>
      <c r="U1391" s="5">
        <f>MATCH(B1391,Manual_Review!$A$6:$A$238,0)</f>
        <v>87</v>
      </c>
      <c r="V1391" s="5" t="str">
        <f>IF(INDEX(Manual_Review!$G$6:$G$238,U1391)="","",INDEX(Manual_Review!$G$6:$G$238,U1391))</f>
        <v/>
      </c>
      <c r="W1391" s="11" t="str">
        <f>IF(INDEX(Manual_Review!$H$6:$H$238,U1391)="","",INDEX(Manual_Review!$H$6:$H$238,U1391))</f>
        <v/>
      </c>
      <c r="X1391" s="5" t="str">
        <f>IF(INDEX(Manual_Review!$I$6:$I$238,U1391)="","",INDEX(Manual_Review!$I$6:$I$238,U1391))</f>
        <v/>
      </c>
      <c r="Y1391" s="5" t="s">
        <v>2859</v>
      </c>
    </row>
    <row r="1392" spans="1:25" ht="38.25">
      <c r="A1392" s="5" t="s">
        <v>5790</v>
      </c>
      <c r="B1392" s="5" t="s">
        <v>1053</v>
      </c>
      <c r="C1392" s="5" t="s">
        <v>1054</v>
      </c>
      <c r="D1392" s="5" t="s">
        <v>118</v>
      </c>
      <c r="E1392" s="5" t="s">
        <v>2791</v>
      </c>
      <c r="F1392" s="5" t="s">
        <v>2760</v>
      </c>
      <c r="G1392" s="5">
        <v>1</v>
      </c>
      <c r="H1392" s="5" t="s">
        <v>2854</v>
      </c>
      <c r="I1392" s="5" t="str">
        <f>IF(INDEX(Manual_Review!$U$6:$U$238,U1392)="","",INDEX(Manual_Review!$U$6:$U$238,U1392))</f>
        <v/>
      </c>
      <c r="J1392" s="5" t="str">
        <f t="shared" si="42"/>
        <v>AI provisional</v>
      </c>
      <c r="K1392" s="5" t="str">
        <f t="shared" si="43"/>
        <v>Y</v>
      </c>
      <c r="L1392" s="5" t="s">
        <v>1066</v>
      </c>
      <c r="M1392" s="5" t="s">
        <v>5791</v>
      </c>
      <c r="N1392" s="5" t="s">
        <v>5770</v>
      </c>
      <c r="O1392" s="5" t="s">
        <v>3380</v>
      </c>
      <c r="P1392" s="5" t="s">
        <v>2858</v>
      </c>
      <c r="Q1392" s="11">
        <v>46306.5</v>
      </c>
      <c r="R1392" s="6"/>
      <c r="S1392" s="6"/>
      <c r="T1392" s="6"/>
      <c r="U1392" s="5">
        <f>MATCH(B1392,Manual_Review!$A$6:$A$238,0)</f>
        <v>87</v>
      </c>
      <c r="V1392" s="5" t="str">
        <f>IF(INDEX(Manual_Review!$G$6:$G$238,U1392)="","",INDEX(Manual_Review!$G$6:$G$238,U1392))</f>
        <v/>
      </c>
      <c r="W1392" s="11" t="str">
        <f>IF(INDEX(Manual_Review!$H$6:$H$238,U1392)="","",INDEX(Manual_Review!$H$6:$H$238,U1392))</f>
        <v/>
      </c>
      <c r="X1392" s="5" t="str">
        <f>IF(INDEX(Manual_Review!$I$6:$I$238,U1392)="","",INDEX(Manual_Review!$I$6:$I$238,U1392))</f>
        <v/>
      </c>
      <c r="Y1392" s="5" t="s">
        <v>2859</v>
      </c>
    </row>
    <row r="1393" spans="1:25" ht="38.25">
      <c r="A1393" s="5" t="s">
        <v>5792</v>
      </c>
      <c r="B1393" s="5" t="s">
        <v>1053</v>
      </c>
      <c r="C1393" s="5" t="s">
        <v>1054</v>
      </c>
      <c r="D1393" s="5" t="s">
        <v>118</v>
      </c>
      <c r="E1393" s="5" t="s">
        <v>2792</v>
      </c>
      <c r="F1393" s="5" t="s">
        <v>2762</v>
      </c>
      <c r="G1393" s="5">
        <v>1</v>
      </c>
      <c r="H1393" s="5" t="s">
        <v>2854</v>
      </c>
      <c r="I1393" s="5" t="str">
        <f>IF(INDEX(Manual_Review!$V$6:$V$238,U1393)="","",INDEX(Manual_Review!$V$6:$V$238,U1393))</f>
        <v/>
      </c>
      <c r="J1393" s="5" t="str">
        <f t="shared" si="42"/>
        <v>AI provisional</v>
      </c>
      <c r="K1393" s="5" t="str">
        <f t="shared" si="43"/>
        <v>Y</v>
      </c>
      <c r="L1393" s="5" t="s">
        <v>1066</v>
      </c>
      <c r="M1393" s="5" t="s">
        <v>5793</v>
      </c>
      <c r="N1393" s="5" t="s">
        <v>5770</v>
      </c>
      <c r="O1393" s="5" t="s">
        <v>3152</v>
      </c>
      <c r="P1393" s="5" t="s">
        <v>2858</v>
      </c>
      <c r="Q1393" s="11">
        <v>46306.5</v>
      </c>
      <c r="R1393" s="6"/>
      <c r="S1393" s="6"/>
      <c r="T1393" s="6"/>
      <c r="U1393" s="5">
        <f>MATCH(B1393,Manual_Review!$A$6:$A$238,0)</f>
        <v>87</v>
      </c>
      <c r="V1393" s="5" t="str">
        <f>IF(INDEX(Manual_Review!$G$6:$G$238,U1393)="","",INDEX(Manual_Review!$G$6:$G$238,U1393))</f>
        <v/>
      </c>
      <c r="W1393" s="11" t="str">
        <f>IF(INDEX(Manual_Review!$H$6:$H$238,U1393)="","",INDEX(Manual_Review!$H$6:$H$238,U1393))</f>
        <v/>
      </c>
      <c r="X1393" s="5" t="str">
        <f>IF(INDEX(Manual_Review!$I$6:$I$238,U1393)="","",INDEX(Manual_Review!$I$6:$I$238,U1393))</f>
        <v/>
      </c>
      <c r="Y1393" s="5" t="s">
        <v>2859</v>
      </c>
    </row>
    <row r="1394" spans="1:25" ht="38.25">
      <c r="A1394" s="5" t="s">
        <v>5794</v>
      </c>
      <c r="B1394" s="5" t="s">
        <v>1053</v>
      </c>
      <c r="C1394" s="5" t="s">
        <v>1054</v>
      </c>
      <c r="D1394" s="5" t="s">
        <v>118</v>
      </c>
      <c r="E1394" s="5" t="s">
        <v>2793</v>
      </c>
      <c r="F1394" s="5" t="s">
        <v>2762</v>
      </c>
      <c r="G1394" s="5">
        <v>1</v>
      </c>
      <c r="H1394" s="5" t="s">
        <v>2854</v>
      </c>
      <c r="I1394" s="5" t="str">
        <f>IF(INDEX(Manual_Review!$W$6:$W$238,U1394)="","",INDEX(Manual_Review!$W$6:$W$238,U1394))</f>
        <v/>
      </c>
      <c r="J1394" s="5" t="str">
        <f t="shared" si="42"/>
        <v>AI provisional</v>
      </c>
      <c r="K1394" s="5" t="str">
        <f t="shared" si="43"/>
        <v>Y</v>
      </c>
      <c r="L1394" s="5" t="s">
        <v>1066</v>
      </c>
      <c r="M1394" s="5" t="s">
        <v>5795</v>
      </c>
      <c r="N1394" s="5" t="s">
        <v>5770</v>
      </c>
      <c r="O1394" s="5" t="s">
        <v>3077</v>
      </c>
      <c r="P1394" s="5" t="s">
        <v>2858</v>
      </c>
      <c r="Q1394" s="11">
        <v>46306.5</v>
      </c>
      <c r="R1394" s="6"/>
      <c r="S1394" s="6"/>
      <c r="T1394" s="6"/>
      <c r="U1394" s="5">
        <f>MATCH(B1394,Manual_Review!$A$6:$A$238,0)</f>
        <v>87</v>
      </c>
      <c r="V1394" s="5" t="str">
        <f>IF(INDEX(Manual_Review!$G$6:$G$238,U1394)="","",INDEX(Manual_Review!$G$6:$G$238,U1394))</f>
        <v/>
      </c>
      <c r="W1394" s="11" t="str">
        <f>IF(INDEX(Manual_Review!$H$6:$H$238,U1394)="","",INDEX(Manual_Review!$H$6:$H$238,U1394))</f>
        <v/>
      </c>
      <c r="X1394" s="5" t="str">
        <f>IF(INDEX(Manual_Review!$I$6:$I$238,U1394)="","",INDEX(Manual_Review!$I$6:$I$238,U1394))</f>
        <v/>
      </c>
      <c r="Y1394" s="5" t="s">
        <v>2859</v>
      </c>
    </row>
    <row r="1395" spans="1:25" ht="38.25">
      <c r="A1395" s="5" t="s">
        <v>5796</v>
      </c>
      <c r="B1395" s="5" t="s">
        <v>1053</v>
      </c>
      <c r="C1395" s="5" t="s">
        <v>1054</v>
      </c>
      <c r="D1395" s="5" t="s">
        <v>118</v>
      </c>
      <c r="E1395" s="5" t="s">
        <v>2794</v>
      </c>
      <c r="F1395" s="5" t="s">
        <v>2764</v>
      </c>
      <c r="G1395" s="5">
        <v>1</v>
      </c>
      <c r="H1395" s="5" t="s">
        <v>2854</v>
      </c>
      <c r="I1395" s="5" t="str">
        <f>IF(INDEX(Manual_Review!$X$6:$X$238,U1395)="","",INDEX(Manual_Review!$X$6:$X$238,U1395))</f>
        <v/>
      </c>
      <c r="J1395" s="5" t="str">
        <f t="shared" si="42"/>
        <v>AI provisional</v>
      </c>
      <c r="K1395" s="5" t="str">
        <f t="shared" si="43"/>
        <v>Y</v>
      </c>
      <c r="L1395" s="5" t="s">
        <v>1066</v>
      </c>
      <c r="M1395" s="5" t="s">
        <v>5797</v>
      </c>
      <c r="N1395" s="5" t="s">
        <v>5770</v>
      </c>
      <c r="O1395" s="5" t="s">
        <v>2984</v>
      </c>
      <c r="P1395" s="5" t="s">
        <v>2858</v>
      </c>
      <c r="Q1395" s="11">
        <v>46306.5</v>
      </c>
      <c r="R1395" s="6"/>
      <c r="S1395" s="6"/>
      <c r="T1395" s="6"/>
      <c r="U1395" s="5">
        <f>MATCH(B1395,Manual_Review!$A$6:$A$238,0)</f>
        <v>87</v>
      </c>
      <c r="V1395" s="5" t="str">
        <f>IF(INDEX(Manual_Review!$G$6:$G$238,U1395)="","",INDEX(Manual_Review!$G$6:$G$238,U1395))</f>
        <v/>
      </c>
      <c r="W1395" s="11" t="str">
        <f>IF(INDEX(Manual_Review!$H$6:$H$238,U1395)="","",INDEX(Manual_Review!$H$6:$H$238,U1395))</f>
        <v/>
      </c>
      <c r="X1395" s="5" t="str">
        <f>IF(INDEX(Manual_Review!$I$6:$I$238,U1395)="","",INDEX(Manual_Review!$I$6:$I$238,U1395))</f>
        <v/>
      </c>
      <c r="Y1395" s="5" t="s">
        <v>2859</v>
      </c>
    </row>
    <row r="1396" spans="1:25" ht="38.25">
      <c r="A1396" s="5" t="s">
        <v>5798</v>
      </c>
      <c r="B1396" s="5" t="s">
        <v>1053</v>
      </c>
      <c r="C1396" s="5" t="s">
        <v>1054</v>
      </c>
      <c r="D1396" s="5" t="s">
        <v>118</v>
      </c>
      <c r="E1396" s="5" t="s">
        <v>2795</v>
      </c>
      <c r="F1396" s="5" t="s">
        <v>2764</v>
      </c>
      <c r="G1396" s="5">
        <v>1</v>
      </c>
      <c r="H1396" s="5" t="s">
        <v>2854</v>
      </c>
      <c r="I1396" s="5" t="str">
        <f>IF(INDEX(Manual_Review!$Y$6:$Y$238,U1396)="","",INDEX(Manual_Review!$Y$6:$Y$238,U1396))</f>
        <v/>
      </c>
      <c r="J1396" s="5" t="str">
        <f t="shared" si="42"/>
        <v>AI provisional</v>
      </c>
      <c r="K1396" s="5" t="str">
        <f t="shared" si="43"/>
        <v>Y</v>
      </c>
      <c r="L1396" s="5" t="s">
        <v>1066</v>
      </c>
      <c r="M1396" s="5" t="s">
        <v>5799</v>
      </c>
      <c r="N1396" s="5" t="s">
        <v>5770</v>
      </c>
      <c r="O1396" s="5" t="s">
        <v>3082</v>
      </c>
      <c r="P1396" s="5" t="s">
        <v>2858</v>
      </c>
      <c r="Q1396" s="11">
        <v>46306.5</v>
      </c>
      <c r="R1396" s="6"/>
      <c r="S1396" s="6"/>
      <c r="T1396" s="6"/>
      <c r="U1396" s="5">
        <f>MATCH(B1396,Manual_Review!$A$6:$A$238,0)</f>
        <v>87</v>
      </c>
      <c r="V1396" s="5" t="str">
        <f>IF(INDEX(Manual_Review!$G$6:$G$238,U1396)="","",INDEX(Manual_Review!$G$6:$G$238,U1396))</f>
        <v/>
      </c>
      <c r="W1396" s="11" t="str">
        <f>IF(INDEX(Manual_Review!$H$6:$H$238,U1396)="","",INDEX(Manual_Review!$H$6:$H$238,U1396))</f>
        <v/>
      </c>
      <c r="X1396" s="5" t="str">
        <f>IF(INDEX(Manual_Review!$I$6:$I$238,U1396)="","",INDEX(Manual_Review!$I$6:$I$238,U1396))</f>
        <v/>
      </c>
      <c r="Y1396" s="5" t="s">
        <v>2859</v>
      </c>
    </row>
    <row r="1397" spans="1:25" ht="38.25">
      <c r="A1397" s="5" t="s">
        <v>5800</v>
      </c>
      <c r="B1397" s="5" t="s">
        <v>1053</v>
      </c>
      <c r="C1397" s="5" t="s">
        <v>1054</v>
      </c>
      <c r="D1397" s="5" t="s">
        <v>118</v>
      </c>
      <c r="E1397" s="5" t="s">
        <v>2796</v>
      </c>
      <c r="F1397" s="5" t="s">
        <v>2764</v>
      </c>
      <c r="G1397" s="5">
        <v>1</v>
      </c>
      <c r="H1397" s="5" t="s">
        <v>2864</v>
      </c>
      <c r="I1397" s="5" t="str">
        <f>IF(INDEX(Manual_Review!$Z$6:$Z$238,U1397)="","",INDEX(Manual_Review!$Z$6:$Z$238,U1397))</f>
        <v/>
      </c>
      <c r="J1397" s="5" t="str">
        <f t="shared" si="42"/>
        <v>AI provisional</v>
      </c>
      <c r="K1397" s="5" t="str">
        <f t="shared" si="43"/>
        <v>U</v>
      </c>
      <c r="L1397" s="5" t="s">
        <v>1066</v>
      </c>
      <c r="M1397" s="5" t="s">
        <v>5801</v>
      </c>
      <c r="N1397" s="5" t="s">
        <v>5770</v>
      </c>
      <c r="O1397" s="5" t="s">
        <v>2899</v>
      </c>
      <c r="P1397" s="5" t="s">
        <v>2858</v>
      </c>
      <c r="Q1397" s="11">
        <v>46306.5</v>
      </c>
      <c r="R1397" s="6"/>
      <c r="S1397" s="6"/>
      <c r="T1397" s="6"/>
      <c r="U1397" s="5">
        <f>MATCH(B1397,Manual_Review!$A$6:$A$238,0)</f>
        <v>87</v>
      </c>
      <c r="V1397" s="5" t="str">
        <f>IF(INDEX(Manual_Review!$G$6:$G$238,U1397)="","",INDEX(Manual_Review!$G$6:$G$238,U1397))</f>
        <v/>
      </c>
      <c r="W1397" s="11" t="str">
        <f>IF(INDEX(Manual_Review!$H$6:$H$238,U1397)="","",INDEX(Manual_Review!$H$6:$H$238,U1397))</f>
        <v/>
      </c>
      <c r="X1397" s="5" t="str">
        <f>IF(INDEX(Manual_Review!$I$6:$I$238,U1397)="","",INDEX(Manual_Review!$I$6:$I$238,U1397))</f>
        <v/>
      </c>
      <c r="Y1397" s="5" t="s">
        <v>2859</v>
      </c>
    </row>
    <row r="1398" spans="1:25" ht="25.5">
      <c r="A1398" s="5" t="s">
        <v>5802</v>
      </c>
      <c r="B1398" s="5" t="s">
        <v>1068</v>
      </c>
      <c r="C1398" s="5" t="s">
        <v>1069</v>
      </c>
      <c r="D1398" s="5" t="s">
        <v>118</v>
      </c>
      <c r="E1398" s="5" t="s">
        <v>2781</v>
      </c>
      <c r="F1398" s="5" t="s">
        <v>2754</v>
      </c>
      <c r="G1398" s="5">
        <v>1</v>
      </c>
      <c r="H1398" s="5" t="s">
        <v>2854</v>
      </c>
      <c r="I1398" s="5" t="str">
        <f>IF(INDEX(Manual_Review!$K$6:$K$238,U1398)="","",INDEX(Manual_Review!$K$6:$K$238,U1398))</f>
        <v/>
      </c>
      <c r="J1398" s="5" t="str">
        <f t="shared" si="42"/>
        <v>AI provisional</v>
      </c>
      <c r="K1398" s="5" t="str">
        <f t="shared" si="43"/>
        <v>Y</v>
      </c>
      <c r="L1398" s="5" t="s">
        <v>1079</v>
      </c>
      <c r="M1398" s="5" t="s">
        <v>5803</v>
      </c>
      <c r="N1398" s="5" t="s">
        <v>5804</v>
      </c>
      <c r="O1398" s="5" t="s">
        <v>2857</v>
      </c>
      <c r="P1398" s="5" t="s">
        <v>2858</v>
      </c>
      <c r="Q1398" s="11">
        <v>46306.5</v>
      </c>
      <c r="R1398" s="6"/>
      <c r="S1398" s="6"/>
      <c r="T1398" s="6"/>
      <c r="U1398" s="5">
        <f>MATCH(B1398,Manual_Review!$A$6:$A$238,0)</f>
        <v>88</v>
      </c>
      <c r="V1398" s="5" t="str">
        <f>IF(INDEX(Manual_Review!$G$6:$G$238,U1398)="","",INDEX(Manual_Review!$G$6:$G$238,U1398))</f>
        <v/>
      </c>
      <c r="W1398" s="11" t="str">
        <f>IF(INDEX(Manual_Review!$H$6:$H$238,U1398)="","",INDEX(Manual_Review!$H$6:$H$238,U1398))</f>
        <v/>
      </c>
      <c r="X1398" s="5" t="str">
        <f>IF(INDEX(Manual_Review!$I$6:$I$238,U1398)="","",INDEX(Manual_Review!$I$6:$I$238,U1398))</f>
        <v/>
      </c>
      <c r="Y1398" s="5" t="s">
        <v>2859</v>
      </c>
    </row>
    <row r="1399" spans="1:25" ht="25.5">
      <c r="A1399" s="5" t="s">
        <v>5805</v>
      </c>
      <c r="B1399" s="5" t="s">
        <v>1068</v>
      </c>
      <c r="C1399" s="5" t="s">
        <v>1069</v>
      </c>
      <c r="D1399" s="5" t="s">
        <v>118</v>
      </c>
      <c r="E1399" s="5" t="s">
        <v>2782</v>
      </c>
      <c r="F1399" s="5" t="s">
        <v>2754</v>
      </c>
      <c r="G1399" s="5">
        <v>1</v>
      </c>
      <c r="H1399" s="5" t="s">
        <v>2854</v>
      </c>
      <c r="I1399" s="5" t="str">
        <f>IF(INDEX(Manual_Review!$L$6:$L$238,U1399)="","",INDEX(Manual_Review!$L$6:$L$238,U1399))</f>
        <v/>
      </c>
      <c r="J1399" s="5" t="str">
        <f t="shared" si="42"/>
        <v>AI provisional</v>
      </c>
      <c r="K1399" s="5" t="str">
        <f t="shared" si="43"/>
        <v>Y</v>
      </c>
      <c r="L1399" s="5" t="s">
        <v>1079</v>
      </c>
      <c r="M1399" s="5" t="s">
        <v>5806</v>
      </c>
      <c r="N1399" s="5" t="s">
        <v>5804</v>
      </c>
      <c r="O1399" s="5" t="s">
        <v>2862</v>
      </c>
      <c r="P1399" s="5" t="s">
        <v>2858</v>
      </c>
      <c r="Q1399" s="11">
        <v>46306.5</v>
      </c>
      <c r="R1399" s="6"/>
      <c r="S1399" s="6"/>
      <c r="T1399" s="6"/>
      <c r="U1399" s="5">
        <f>MATCH(B1399,Manual_Review!$A$6:$A$238,0)</f>
        <v>88</v>
      </c>
      <c r="V1399" s="5" t="str">
        <f>IF(INDEX(Manual_Review!$G$6:$G$238,U1399)="","",INDEX(Manual_Review!$G$6:$G$238,U1399))</f>
        <v/>
      </c>
      <c r="W1399" s="11" t="str">
        <f>IF(INDEX(Manual_Review!$H$6:$H$238,U1399)="","",INDEX(Manual_Review!$H$6:$H$238,U1399))</f>
        <v/>
      </c>
      <c r="X1399" s="5" t="str">
        <f>IF(INDEX(Manual_Review!$I$6:$I$238,U1399)="","",INDEX(Manual_Review!$I$6:$I$238,U1399))</f>
        <v/>
      </c>
      <c r="Y1399" s="5" t="s">
        <v>2859</v>
      </c>
    </row>
    <row r="1400" spans="1:25" ht="25.5">
      <c r="A1400" s="5" t="s">
        <v>5807</v>
      </c>
      <c r="B1400" s="5" t="s">
        <v>1068</v>
      </c>
      <c r="C1400" s="5" t="s">
        <v>1069</v>
      </c>
      <c r="D1400" s="5" t="s">
        <v>118</v>
      </c>
      <c r="E1400" s="5" t="s">
        <v>2783</v>
      </c>
      <c r="F1400" s="5" t="s">
        <v>2754</v>
      </c>
      <c r="G1400" s="5">
        <v>1</v>
      </c>
      <c r="H1400" s="5" t="s">
        <v>2854</v>
      </c>
      <c r="I1400" s="5" t="str">
        <f>IF(INDEX(Manual_Review!$M$6:$M$238,U1400)="","",INDEX(Manual_Review!$M$6:$M$238,U1400))</f>
        <v/>
      </c>
      <c r="J1400" s="5" t="str">
        <f t="shared" si="42"/>
        <v>AI provisional</v>
      </c>
      <c r="K1400" s="5" t="str">
        <f t="shared" si="43"/>
        <v>Y</v>
      </c>
      <c r="L1400" s="5" t="s">
        <v>1079</v>
      </c>
      <c r="M1400" s="5" t="s">
        <v>5808</v>
      </c>
      <c r="N1400" s="5" t="s">
        <v>5804</v>
      </c>
      <c r="O1400" s="5" t="s">
        <v>3133</v>
      </c>
      <c r="P1400" s="5" t="s">
        <v>2858</v>
      </c>
      <c r="Q1400" s="11">
        <v>46306.5</v>
      </c>
      <c r="R1400" s="6"/>
      <c r="S1400" s="6"/>
      <c r="T1400" s="6"/>
      <c r="U1400" s="5">
        <f>MATCH(B1400,Manual_Review!$A$6:$A$238,0)</f>
        <v>88</v>
      </c>
      <c r="V1400" s="5" t="str">
        <f>IF(INDEX(Manual_Review!$G$6:$G$238,U1400)="","",INDEX(Manual_Review!$G$6:$G$238,U1400))</f>
        <v/>
      </c>
      <c r="W1400" s="11" t="str">
        <f>IF(INDEX(Manual_Review!$H$6:$H$238,U1400)="","",INDEX(Manual_Review!$H$6:$H$238,U1400))</f>
        <v/>
      </c>
      <c r="X1400" s="5" t="str">
        <f>IF(INDEX(Manual_Review!$I$6:$I$238,U1400)="","",INDEX(Manual_Review!$I$6:$I$238,U1400))</f>
        <v/>
      </c>
      <c r="Y1400" s="5" t="s">
        <v>2859</v>
      </c>
    </row>
    <row r="1401" spans="1:25" ht="25.5">
      <c r="A1401" s="5" t="s">
        <v>5809</v>
      </c>
      <c r="B1401" s="5" t="s">
        <v>1068</v>
      </c>
      <c r="C1401" s="5" t="s">
        <v>1069</v>
      </c>
      <c r="D1401" s="5" t="s">
        <v>118</v>
      </c>
      <c r="E1401" s="5" t="s">
        <v>2784</v>
      </c>
      <c r="F1401" s="5" t="s">
        <v>2756</v>
      </c>
      <c r="G1401" s="5">
        <v>1</v>
      </c>
      <c r="H1401" s="5" t="s">
        <v>2854</v>
      </c>
      <c r="I1401" s="5" t="str">
        <f>IF(INDEX(Manual_Review!$N$6:$N$238,U1401)="","",INDEX(Manual_Review!$N$6:$N$238,U1401))</f>
        <v/>
      </c>
      <c r="J1401" s="5" t="str">
        <f t="shared" si="42"/>
        <v>AI provisional</v>
      </c>
      <c r="K1401" s="5" t="str">
        <f t="shared" si="43"/>
        <v>Y</v>
      </c>
      <c r="L1401" s="5" t="s">
        <v>1079</v>
      </c>
      <c r="M1401" s="5" t="s">
        <v>5810</v>
      </c>
      <c r="N1401" s="5" t="s">
        <v>5804</v>
      </c>
      <c r="O1401" s="5" t="s">
        <v>2963</v>
      </c>
      <c r="P1401" s="5" t="s">
        <v>2858</v>
      </c>
      <c r="Q1401" s="11">
        <v>46306.5</v>
      </c>
      <c r="R1401" s="6"/>
      <c r="S1401" s="6"/>
      <c r="T1401" s="6"/>
      <c r="U1401" s="5">
        <f>MATCH(B1401,Manual_Review!$A$6:$A$238,0)</f>
        <v>88</v>
      </c>
      <c r="V1401" s="5" t="str">
        <f>IF(INDEX(Manual_Review!$G$6:$G$238,U1401)="","",INDEX(Manual_Review!$G$6:$G$238,U1401))</f>
        <v/>
      </c>
      <c r="W1401" s="11" t="str">
        <f>IF(INDEX(Manual_Review!$H$6:$H$238,U1401)="","",INDEX(Manual_Review!$H$6:$H$238,U1401))</f>
        <v/>
      </c>
      <c r="X1401" s="5" t="str">
        <f>IF(INDEX(Manual_Review!$I$6:$I$238,U1401)="","",INDEX(Manual_Review!$I$6:$I$238,U1401))</f>
        <v/>
      </c>
      <c r="Y1401" s="5" t="s">
        <v>2859</v>
      </c>
    </row>
    <row r="1402" spans="1:25" ht="25.5">
      <c r="A1402" s="5" t="s">
        <v>5811</v>
      </c>
      <c r="B1402" s="5" t="s">
        <v>1068</v>
      </c>
      <c r="C1402" s="5" t="s">
        <v>1069</v>
      </c>
      <c r="D1402" s="5" t="s">
        <v>118</v>
      </c>
      <c r="E1402" s="5" t="s">
        <v>2785</v>
      </c>
      <c r="F1402" s="5" t="s">
        <v>2756</v>
      </c>
      <c r="G1402" s="5">
        <v>1</v>
      </c>
      <c r="H1402" s="5" t="s">
        <v>2864</v>
      </c>
      <c r="I1402" s="5" t="str">
        <f>IF(INDEX(Manual_Review!$O$6:$O$238,U1402)="","",INDEX(Manual_Review!$O$6:$O$238,U1402))</f>
        <v/>
      </c>
      <c r="J1402" s="5" t="str">
        <f t="shared" si="42"/>
        <v>AI provisional</v>
      </c>
      <c r="K1402" s="5" t="str">
        <f t="shared" si="43"/>
        <v>U</v>
      </c>
      <c r="L1402" s="5" t="s">
        <v>1079</v>
      </c>
      <c r="M1402" s="5" t="s">
        <v>5812</v>
      </c>
      <c r="N1402" s="5" t="s">
        <v>5804</v>
      </c>
      <c r="O1402" s="5" t="s">
        <v>2872</v>
      </c>
      <c r="P1402" s="5" t="s">
        <v>2858</v>
      </c>
      <c r="Q1402" s="11">
        <v>46306.5</v>
      </c>
      <c r="R1402" s="6"/>
      <c r="S1402" s="6"/>
      <c r="T1402" s="6"/>
      <c r="U1402" s="5">
        <f>MATCH(B1402,Manual_Review!$A$6:$A$238,0)</f>
        <v>88</v>
      </c>
      <c r="V1402" s="5" t="str">
        <f>IF(INDEX(Manual_Review!$G$6:$G$238,U1402)="","",INDEX(Manual_Review!$G$6:$G$238,U1402))</f>
        <v/>
      </c>
      <c r="W1402" s="11" t="str">
        <f>IF(INDEX(Manual_Review!$H$6:$H$238,U1402)="","",INDEX(Manual_Review!$H$6:$H$238,U1402))</f>
        <v/>
      </c>
      <c r="X1402" s="5" t="str">
        <f>IF(INDEX(Manual_Review!$I$6:$I$238,U1402)="","",INDEX(Manual_Review!$I$6:$I$238,U1402))</f>
        <v/>
      </c>
      <c r="Y1402" s="5" t="s">
        <v>2859</v>
      </c>
    </row>
    <row r="1403" spans="1:25" ht="25.5">
      <c r="A1403" s="5" t="s">
        <v>5813</v>
      </c>
      <c r="B1403" s="5" t="s">
        <v>1068</v>
      </c>
      <c r="C1403" s="5" t="s">
        <v>1069</v>
      </c>
      <c r="D1403" s="5" t="s">
        <v>118</v>
      </c>
      <c r="E1403" s="5" t="s">
        <v>2786</v>
      </c>
      <c r="F1403" s="5" t="s">
        <v>2756</v>
      </c>
      <c r="G1403" s="5">
        <v>1</v>
      </c>
      <c r="H1403" s="5" t="s">
        <v>2864</v>
      </c>
      <c r="I1403" s="5" t="str">
        <f>IF(INDEX(Manual_Review!$P$6:$P$238,U1403)="","",INDEX(Manual_Review!$P$6:$P$238,U1403))</f>
        <v/>
      </c>
      <c r="J1403" s="5" t="str">
        <f t="shared" si="42"/>
        <v>AI provisional</v>
      </c>
      <c r="K1403" s="5" t="str">
        <f t="shared" si="43"/>
        <v>U</v>
      </c>
      <c r="L1403" s="5" t="s">
        <v>1079</v>
      </c>
      <c r="M1403" s="5" t="s">
        <v>5814</v>
      </c>
      <c r="N1403" s="5" t="s">
        <v>5804</v>
      </c>
      <c r="O1403" s="5" t="s">
        <v>2874</v>
      </c>
      <c r="P1403" s="5" t="s">
        <v>2858</v>
      </c>
      <c r="Q1403" s="11">
        <v>46306.5</v>
      </c>
      <c r="R1403" s="6"/>
      <c r="S1403" s="6"/>
      <c r="T1403" s="6"/>
      <c r="U1403" s="5">
        <f>MATCH(B1403,Manual_Review!$A$6:$A$238,0)</f>
        <v>88</v>
      </c>
      <c r="V1403" s="5" t="str">
        <f>IF(INDEX(Manual_Review!$G$6:$G$238,U1403)="","",INDEX(Manual_Review!$G$6:$G$238,U1403))</f>
        <v/>
      </c>
      <c r="W1403" s="11" t="str">
        <f>IF(INDEX(Manual_Review!$H$6:$H$238,U1403)="","",INDEX(Manual_Review!$H$6:$H$238,U1403))</f>
        <v/>
      </c>
      <c r="X1403" s="5" t="str">
        <f>IF(INDEX(Manual_Review!$I$6:$I$238,U1403)="","",INDEX(Manual_Review!$I$6:$I$238,U1403))</f>
        <v/>
      </c>
      <c r="Y1403" s="5" t="s">
        <v>2859</v>
      </c>
    </row>
    <row r="1404" spans="1:25" ht="25.5">
      <c r="A1404" s="5" t="s">
        <v>5815</v>
      </c>
      <c r="B1404" s="5" t="s">
        <v>1068</v>
      </c>
      <c r="C1404" s="5" t="s">
        <v>1069</v>
      </c>
      <c r="D1404" s="5" t="s">
        <v>118</v>
      </c>
      <c r="E1404" s="5" t="s">
        <v>2787</v>
      </c>
      <c r="F1404" s="5" t="s">
        <v>2758</v>
      </c>
      <c r="G1404" s="5">
        <v>1</v>
      </c>
      <c r="H1404" s="5" t="s">
        <v>2854</v>
      </c>
      <c r="I1404" s="5" t="str">
        <f>IF(INDEX(Manual_Review!$Q$6:$Q$238,U1404)="","",INDEX(Manual_Review!$Q$6:$Q$238,U1404))</f>
        <v/>
      </c>
      <c r="J1404" s="5" t="str">
        <f t="shared" si="42"/>
        <v>AI provisional</v>
      </c>
      <c r="K1404" s="5" t="str">
        <f t="shared" si="43"/>
        <v>Y</v>
      </c>
      <c r="L1404" s="5" t="s">
        <v>1079</v>
      </c>
      <c r="M1404" s="5" t="s">
        <v>5816</v>
      </c>
      <c r="N1404" s="5" t="s">
        <v>5804</v>
      </c>
      <c r="O1404" s="5" t="s">
        <v>2969</v>
      </c>
      <c r="P1404" s="5" t="s">
        <v>2858</v>
      </c>
      <c r="Q1404" s="11">
        <v>46306.5</v>
      </c>
      <c r="R1404" s="6"/>
      <c r="S1404" s="6"/>
      <c r="T1404" s="6"/>
      <c r="U1404" s="5">
        <f>MATCH(B1404,Manual_Review!$A$6:$A$238,0)</f>
        <v>88</v>
      </c>
      <c r="V1404" s="5" t="str">
        <f>IF(INDEX(Manual_Review!$G$6:$G$238,U1404)="","",INDEX(Manual_Review!$G$6:$G$238,U1404))</f>
        <v/>
      </c>
      <c r="W1404" s="11" t="str">
        <f>IF(INDEX(Manual_Review!$H$6:$H$238,U1404)="","",INDEX(Manual_Review!$H$6:$H$238,U1404))</f>
        <v/>
      </c>
      <c r="X1404" s="5" t="str">
        <f>IF(INDEX(Manual_Review!$I$6:$I$238,U1404)="","",INDEX(Manual_Review!$I$6:$I$238,U1404))</f>
        <v/>
      </c>
      <c r="Y1404" s="5" t="s">
        <v>2859</v>
      </c>
    </row>
    <row r="1405" spans="1:25" ht="25.5">
      <c r="A1405" s="5" t="s">
        <v>5817</v>
      </c>
      <c r="B1405" s="5" t="s">
        <v>1068</v>
      </c>
      <c r="C1405" s="5" t="s">
        <v>1069</v>
      </c>
      <c r="D1405" s="5" t="s">
        <v>118</v>
      </c>
      <c r="E1405" s="5" t="s">
        <v>2788</v>
      </c>
      <c r="F1405" s="5" t="s">
        <v>2758</v>
      </c>
      <c r="G1405" s="5">
        <v>1</v>
      </c>
      <c r="H1405" s="5" t="s">
        <v>2864</v>
      </c>
      <c r="I1405" s="5" t="str">
        <f>IF(INDEX(Manual_Review!$R$6:$R$238,U1405)="","",INDEX(Manual_Review!$R$6:$R$238,U1405))</f>
        <v/>
      </c>
      <c r="J1405" s="5" t="str">
        <f t="shared" si="42"/>
        <v>AI provisional</v>
      </c>
      <c r="K1405" s="5" t="str">
        <f t="shared" si="43"/>
        <v>U</v>
      </c>
      <c r="L1405" s="5" t="s">
        <v>1079</v>
      </c>
      <c r="M1405" s="5" t="s">
        <v>5818</v>
      </c>
      <c r="N1405" s="5" t="s">
        <v>5804</v>
      </c>
      <c r="O1405" s="5" t="s">
        <v>2880</v>
      </c>
      <c r="P1405" s="5" t="s">
        <v>2858</v>
      </c>
      <c r="Q1405" s="11">
        <v>46306.5</v>
      </c>
      <c r="R1405" s="6"/>
      <c r="S1405" s="6"/>
      <c r="T1405" s="6"/>
      <c r="U1405" s="5">
        <f>MATCH(B1405,Manual_Review!$A$6:$A$238,0)</f>
        <v>88</v>
      </c>
      <c r="V1405" s="5" t="str">
        <f>IF(INDEX(Manual_Review!$G$6:$G$238,U1405)="","",INDEX(Manual_Review!$G$6:$G$238,U1405))</f>
        <v/>
      </c>
      <c r="W1405" s="11" t="str">
        <f>IF(INDEX(Manual_Review!$H$6:$H$238,U1405)="","",INDEX(Manual_Review!$H$6:$H$238,U1405))</f>
        <v/>
      </c>
      <c r="X1405" s="5" t="str">
        <f>IF(INDEX(Manual_Review!$I$6:$I$238,U1405)="","",INDEX(Manual_Review!$I$6:$I$238,U1405))</f>
        <v/>
      </c>
      <c r="Y1405" s="5" t="s">
        <v>2859</v>
      </c>
    </row>
    <row r="1406" spans="1:25" ht="25.5">
      <c r="A1406" s="5" t="s">
        <v>5819</v>
      </c>
      <c r="B1406" s="5" t="s">
        <v>1068</v>
      </c>
      <c r="C1406" s="5" t="s">
        <v>1069</v>
      </c>
      <c r="D1406" s="5" t="s">
        <v>118</v>
      </c>
      <c r="E1406" s="5" t="s">
        <v>2789</v>
      </c>
      <c r="F1406" s="5" t="s">
        <v>2758</v>
      </c>
      <c r="G1406" s="5">
        <v>1</v>
      </c>
      <c r="H1406" s="5" t="s">
        <v>2864</v>
      </c>
      <c r="I1406" s="5" t="str">
        <f>IF(INDEX(Manual_Review!$S$6:$S$238,U1406)="","",INDEX(Manual_Review!$S$6:$S$238,U1406))</f>
        <v/>
      </c>
      <c r="J1406" s="5" t="str">
        <f t="shared" si="42"/>
        <v>AI provisional</v>
      </c>
      <c r="K1406" s="5" t="str">
        <f t="shared" si="43"/>
        <v>U</v>
      </c>
      <c r="L1406" s="5" t="s">
        <v>1079</v>
      </c>
      <c r="M1406" s="5" t="s">
        <v>5820</v>
      </c>
      <c r="N1406" s="5" t="s">
        <v>5804</v>
      </c>
      <c r="O1406" s="5" t="s">
        <v>2883</v>
      </c>
      <c r="P1406" s="5" t="s">
        <v>2858</v>
      </c>
      <c r="Q1406" s="11">
        <v>46306.5</v>
      </c>
      <c r="R1406" s="6"/>
      <c r="S1406" s="6"/>
      <c r="T1406" s="6"/>
      <c r="U1406" s="5">
        <f>MATCH(B1406,Manual_Review!$A$6:$A$238,0)</f>
        <v>88</v>
      </c>
      <c r="V1406" s="5" t="str">
        <f>IF(INDEX(Manual_Review!$G$6:$G$238,U1406)="","",INDEX(Manual_Review!$G$6:$G$238,U1406))</f>
        <v/>
      </c>
      <c r="W1406" s="11" t="str">
        <f>IF(INDEX(Manual_Review!$H$6:$H$238,U1406)="","",INDEX(Manual_Review!$H$6:$H$238,U1406))</f>
        <v/>
      </c>
      <c r="X1406" s="5" t="str">
        <f>IF(INDEX(Manual_Review!$I$6:$I$238,U1406)="","",INDEX(Manual_Review!$I$6:$I$238,U1406))</f>
        <v/>
      </c>
      <c r="Y1406" s="5" t="s">
        <v>2859</v>
      </c>
    </row>
    <row r="1407" spans="1:25" ht="25.5">
      <c r="A1407" s="5" t="s">
        <v>5821</v>
      </c>
      <c r="B1407" s="5" t="s">
        <v>1068</v>
      </c>
      <c r="C1407" s="5" t="s">
        <v>1069</v>
      </c>
      <c r="D1407" s="5" t="s">
        <v>118</v>
      </c>
      <c r="E1407" s="5" t="s">
        <v>2790</v>
      </c>
      <c r="F1407" s="5" t="s">
        <v>2760</v>
      </c>
      <c r="G1407" s="5">
        <v>1</v>
      </c>
      <c r="H1407" s="5" t="s">
        <v>2854</v>
      </c>
      <c r="I1407" s="5" t="str">
        <f>IF(INDEX(Manual_Review!$T$6:$T$238,U1407)="","",INDEX(Manual_Review!$T$6:$T$238,U1407))</f>
        <v/>
      </c>
      <c r="J1407" s="5" t="str">
        <f t="shared" si="42"/>
        <v>AI provisional</v>
      </c>
      <c r="K1407" s="5" t="str">
        <f t="shared" si="43"/>
        <v>Y</v>
      </c>
      <c r="L1407" s="5" t="s">
        <v>1079</v>
      </c>
      <c r="M1407" s="5" t="s">
        <v>5822</v>
      </c>
      <c r="N1407" s="5" t="s">
        <v>5804</v>
      </c>
      <c r="O1407" s="5" t="s">
        <v>2976</v>
      </c>
      <c r="P1407" s="5" t="s">
        <v>2858</v>
      </c>
      <c r="Q1407" s="11">
        <v>46306.5</v>
      </c>
      <c r="R1407" s="6"/>
      <c r="S1407" s="6"/>
      <c r="T1407" s="6"/>
      <c r="U1407" s="5">
        <f>MATCH(B1407,Manual_Review!$A$6:$A$238,0)</f>
        <v>88</v>
      </c>
      <c r="V1407" s="5" t="str">
        <f>IF(INDEX(Manual_Review!$G$6:$G$238,U1407)="","",INDEX(Manual_Review!$G$6:$G$238,U1407))</f>
        <v/>
      </c>
      <c r="W1407" s="11" t="str">
        <f>IF(INDEX(Manual_Review!$H$6:$H$238,U1407)="","",INDEX(Manual_Review!$H$6:$H$238,U1407))</f>
        <v/>
      </c>
      <c r="X1407" s="5" t="str">
        <f>IF(INDEX(Manual_Review!$I$6:$I$238,U1407)="","",INDEX(Manual_Review!$I$6:$I$238,U1407))</f>
        <v/>
      </c>
      <c r="Y1407" s="5" t="s">
        <v>2859</v>
      </c>
    </row>
    <row r="1408" spans="1:25" ht="25.5">
      <c r="A1408" s="5" t="s">
        <v>5823</v>
      </c>
      <c r="B1408" s="5" t="s">
        <v>1068</v>
      </c>
      <c r="C1408" s="5" t="s">
        <v>1069</v>
      </c>
      <c r="D1408" s="5" t="s">
        <v>118</v>
      </c>
      <c r="E1408" s="5" t="s">
        <v>2791</v>
      </c>
      <c r="F1408" s="5" t="s">
        <v>2760</v>
      </c>
      <c r="G1408" s="5">
        <v>1</v>
      </c>
      <c r="H1408" s="5" t="s">
        <v>2854</v>
      </c>
      <c r="I1408" s="5" t="str">
        <f>IF(INDEX(Manual_Review!$U$6:$U$238,U1408)="","",INDEX(Manual_Review!$U$6:$U$238,U1408))</f>
        <v/>
      </c>
      <c r="J1408" s="5" t="str">
        <f t="shared" si="42"/>
        <v>AI provisional</v>
      </c>
      <c r="K1408" s="5" t="str">
        <f t="shared" si="43"/>
        <v>Y</v>
      </c>
      <c r="L1408" s="5" t="s">
        <v>1079</v>
      </c>
      <c r="M1408" s="5" t="s">
        <v>5824</v>
      </c>
      <c r="N1408" s="5" t="s">
        <v>5804</v>
      </c>
      <c r="O1408" s="5" t="s">
        <v>3380</v>
      </c>
      <c r="P1408" s="5" t="s">
        <v>2858</v>
      </c>
      <c r="Q1408" s="11">
        <v>46306.5</v>
      </c>
      <c r="R1408" s="6"/>
      <c r="S1408" s="6"/>
      <c r="T1408" s="6"/>
      <c r="U1408" s="5">
        <f>MATCH(B1408,Manual_Review!$A$6:$A$238,0)</f>
        <v>88</v>
      </c>
      <c r="V1408" s="5" t="str">
        <f>IF(INDEX(Manual_Review!$G$6:$G$238,U1408)="","",INDEX(Manual_Review!$G$6:$G$238,U1408))</f>
        <v/>
      </c>
      <c r="W1408" s="11" t="str">
        <f>IF(INDEX(Manual_Review!$H$6:$H$238,U1408)="","",INDEX(Manual_Review!$H$6:$H$238,U1408))</f>
        <v/>
      </c>
      <c r="X1408" s="5" t="str">
        <f>IF(INDEX(Manual_Review!$I$6:$I$238,U1408)="","",INDEX(Manual_Review!$I$6:$I$238,U1408))</f>
        <v/>
      </c>
      <c r="Y1408" s="5" t="s">
        <v>2859</v>
      </c>
    </row>
    <row r="1409" spans="1:25" ht="25.5">
      <c r="A1409" s="5" t="s">
        <v>5825</v>
      </c>
      <c r="B1409" s="5" t="s">
        <v>1068</v>
      </c>
      <c r="C1409" s="5" t="s">
        <v>1069</v>
      </c>
      <c r="D1409" s="5" t="s">
        <v>118</v>
      </c>
      <c r="E1409" s="5" t="s">
        <v>2792</v>
      </c>
      <c r="F1409" s="5" t="s">
        <v>2762</v>
      </c>
      <c r="G1409" s="5">
        <v>1</v>
      </c>
      <c r="H1409" s="5" t="s">
        <v>2864</v>
      </c>
      <c r="I1409" s="5" t="str">
        <f>IF(INDEX(Manual_Review!$V$6:$V$238,U1409)="","",INDEX(Manual_Review!$V$6:$V$238,U1409))</f>
        <v/>
      </c>
      <c r="J1409" s="5" t="str">
        <f t="shared" si="42"/>
        <v>AI provisional</v>
      </c>
      <c r="K1409" s="5" t="str">
        <f t="shared" si="43"/>
        <v>U</v>
      </c>
      <c r="L1409" s="5" t="s">
        <v>1079</v>
      </c>
      <c r="M1409" s="5" t="s">
        <v>5826</v>
      </c>
      <c r="N1409" s="5" t="s">
        <v>5804</v>
      </c>
      <c r="O1409" s="5" t="s">
        <v>2891</v>
      </c>
      <c r="P1409" s="5" t="s">
        <v>2858</v>
      </c>
      <c r="Q1409" s="11">
        <v>46306.5</v>
      </c>
      <c r="R1409" s="6"/>
      <c r="S1409" s="6"/>
      <c r="T1409" s="6"/>
      <c r="U1409" s="5">
        <f>MATCH(B1409,Manual_Review!$A$6:$A$238,0)</f>
        <v>88</v>
      </c>
      <c r="V1409" s="5" t="str">
        <f>IF(INDEX(Manual_Review!$G$6:$G$238,U1409)="","",INDEX(Manual_Review!$G$6:$G$238,U1409))</f>
        <v/>
      </c>
      <c r="W1409" s="11" t="str">
        <f>IF(INDEX(Manual_Review!$H$6:$H$238,U1409)="","",INDEX(Manual_Review!$H$6:$H$238,U1409))</f>
        <v/>
      </c>
      <c r="X1409" s="5" t="str">
        <f>IF(INDEX(Manual_Review!$I$6:$I$238,U1409)="","",INDEX(Manual_Review!$I$6:$I$238,U1409))</f>
        <v/>
      </c>
      <c r="Y1409" s="5" t="s">
        <v>2859</v>
      </c>
    </row>
    <row r="1410" spans="1:25" ht="25.5">
      <c r="A1410" s="5" t="s">
        <v>5827</v>
      </c>
      <c r="B1410" s="5" t="s">
        <v>1068</v>
      </c>
      <c r="C1410" s="5" t="s">
        <v>1069</v>
      </c>
      <c r="D1410" s="5" t="s">
        <v>118</v>
      </c>
      <c r="E1410" s="5" t="s">
        <v>2793</v>
      </c>
      <c r="F1410" s="5" t="s">
        <v>2762</v>
      </c>
      <c r="G1410" s="5">
        <v>1</v>
      </c>
      <c r="H1410" s="5" t="s">
        <v>2854</v>
      </c>
      <c r="I1410" s="5" t="str">
        <f>IF(INDEX(Manual_Review!$W$6:$W$238,U1410)="","",INDEX(Manual_Review!$W$6:$W$238,U1410))</f>
        <v/>
      </c>
      <c r="J1410" s="5" t="str">
        <f t="shared" si="42"/>
        <v>AI provisional</v>
      </c>
      <c r="K1410" s="5" t="str">
        <f t="shared" si="43"/>
        <v>Y</v>
      </c>
      <c r="L1410" s="5" t="s">
        <v>1079</v>
      </c>
      <c r="M1410" s="5" t="s">
        <v>5828</v>
      </c>
      <c r="N1410" s="5" t="s">
        <v>5804</v>
      </c>
      <c r="O1410" s="5" t="s">
        <v>3077</v>
      </c>
      <c r="P1410" s="5" t="s">
        <v>2858</v>
      </c>
      <c r="Q1410" s="11">
        <v>46306.5</v>
      </c>
      <c r="R1410" s="6"/>
      <c r="S1410" s="6"/>
      <c r="T1410" s="6"/>
      <c r="U1410" s="5">
        <f>MATCH(B1410,Manual_Review!$A$6:$A$238,0)</f>
        <v>88</v>
      </c>
      <c r="V1410" s="5" t="str">
        <f>IF(INDEX(Manual_Review!$G$6:$G$238,U1410)="","",INDEX(Manual_Review!$G$6:$G$238,U1410))</f>
        <v/>
      </c>
      <c r="W1410" s="11" t="str">
        <f>IF(INDEX(Manual_Review!$H$6:$H$238,U1410)="","",INDEX(Manual_Review!$H$6:$H$238,U1410))</f>
        <v/>
      </c>
      <c r="X1410" s="5" t="str">
        <f>IF(INDEX(Manual_Review!$I$6:$I$238,U1410)="","",INDEX(Manual_Review!$I$6:$I$238,U1410))</f>
        <v/>
      </c>
      <c r="Y1410" s="5" t="s">
        <v>2859</v>
      </c>
    </row>
    <row r="1411" spans="1:25" ht="25.5">
      <c r="A1411" s="5" t="s">
        <v>5829</v>
      </c>
      <c r="B1411" s="5" t="s">
        <v>1068</v>
      </c>
      <c r="C1411" s="5" t="s">
        <v>1069</v>
      </c>
      <c r="D1411" s="5" t="s">
        <v>118</v>
      </c>
      <c r="E1411" s="5" t="s">
        <v>2794</v>
      </c>
      <c r="F1411" s="5" t="s">
        <v>2764</v>
      </c>
      <c r="G1411" s="5">
        <v>1</v>
      </c>
      <c r="H1411" s="5" t="s">
        <v>2854</v>
      </c>
      <c r="I1411" s="5" t="str">
        <f>IF(INDEX(Manual_Review!$X$6:$X$238,U1411)="","",INDEX(Manual_Review!$X$6:$X$238,U1411))</f>
        <v/>
      </c>
      <c r="J1411" s="5" t="str">
        <f t="shared" si="42"/>
        <v>AI provisional</v>
      </c>
      <c r="K1411" s="5" t="str">
        <f t="shared" si="43"/>
        <v>Y</v>
      </c>
      <c r="L1411" s="5" t="s">
        <v>1079</v>
      </c>
      <c r="M1411" s="5" t="s">
        <v>5830</v>
      </c>
      <c r="N1411" s="5" t="s">
        <v>5804</v>
      </c>
      <c r="O1411" s="5" t="s">
        <v>2984</v>
      </c>
      <c r="P1411" s="5" t="s">
        <v>2858</v>
      </c>
      <c r="Q1411" s="11">
        <v>46306.5</v>
      </c>
      <c r="R1411" s="6"/>
      <c r="S1411" s="6"/>
      <c r="T1411" s="6"/>
      <c r="U1411" s="5">
        <f>MATCH(B1411,Manual_Review!$A$6:$A$238,0)</f>
        <v>88</v>
      </c>
      <c r="V1411" s="5" t="str">
        <f>IF(INDEX(Manual_Review!$G$6:$G$238,U1411)="","",INDEX(Manual_Review!$G$6:$G$238,U1411))</f>
        <v/>
      </c>
      <c r="W1411" s="11" t="str">
        <f>IF(INDEX(Manual_Review!$H$6:$H$238,U1411)="","",INDEX(Manual_Review!$H$6:$H$238,U1411))</f>
        <v/>
      </c>
      <c r="X1411" s="5" t="str">
        <f>IF(INDEX(Manual_Review!$I$6:$I$238,U1411)="","",INDEX(Manual_Review!$I$6:$I$238,U1411))</f>
        <v/>
      </c>
      <c r="Y1411" s="5" t="s">
        <v>2859</v>
      </c>
    </row>
    <row r="1412" spans="1:25" ht="25.5">
      <c r="A1412" s="5" t="s">
        <v>5831</v>
      </c>
      <c r="B1412" s="5" t="s">
        <v>1068</v>
      </c>
      <c r="C1412" s="5" t="s">
        <v>1069</v>
      </c>
      <c r="D1412" s="5" t="s">
        <v>118</v>
      </c>
      <c r="E1412" s="5" t="s">
        <v>2795</v>
      </c>
      <c r="F1412" s="5" t="s">
        <v>2764</v>
      </c>
      <c r="G1412" s="5">
        <v>1</v>
      </c>
      <c r="H1412" s="5" t="s">
        <v>2864</v>
      </c>
      <c r="I1412" s="5" t="str">
        <f>IF(INDEX(Manual_Review!$Y$6:$Y$238,U1412)="","",INDEX(Manual_Review!$Y$6:$Y$238,U1412))</f>
        <v/>
      </c>
      <c r="J1412" s="5" t="str">
        <f t="shared" si="42"/>
        <v>AI provisional</v>
      </c>
      <c r="K1412" s="5" t="str">
        <f t="shared" si="43"/>
        <v>U</v>
      </c>
      <c r="L1412" s="5" t="s">
        <v>1079</v>
      </c>
      <c r="M1412" s="5" t="s">
        <v>5814</v>
      </c>
      <c r="N1412" s="5" t="s">
        <v>5804</v>
      </c>
      <c r="O1412" s="5" t="s">
        <v>2897</v>
      </c>
      <c r="P1412" s="5" t="s">
        <v>2858</v>
      </c>
      <c r="Q1412" s="11">
        <v>46306.5</v>
      </c>
      <c r="R1412" s="6"/>
      <c r="S1412" s="6"/>
      <c r="T1412" s="6"/>
      <c r="U1412" s="5">
        <f>MATCH(B1412,Manual_Review!$A$6:$A$238,0)</f>
        <v>88</v>
      </c>
      <c r="V1412" s="5" t="str">
        <f>IF(INDEX(Manual_Review!$G$6:$G$238,U1412)="","",INDEX(Manual_Review!$G$6:$G$238,U1412))</f>
        <v/>
      </c>
      <c r="W1412" s="11" t="str">
        <f>IF(INDEX(Manual_Review!$H$6:$H$238,U1412)="","",INDEX(Manual_Review!$H$6:$H$238,U1412))</f>
        <v/>
      </c>
      <c r="X1412" s="5" t="str">
        <f>IF(INDEX(Manual_Review!$I$6:$I$238,U1412)="","",INDEX(Manual_Review!$I$6:$I$238,U1412))</f>
        <v/>
      </c>
      <c r="Y1412" s="5" t="s">
        <v>2859</v>
      </c>
    </row>
    <row r="1413" spans="1:25" ht="25.5">
      <c r="A1413" s="5" t="s">
        <v>5832</v>
      </c>
      <c r="B1413" s="5" t="s">
        <v>1068</v>
      </c>
      <c r="C1413" s="5" t="s">
        <v>1069</v>
      </c>
      <c r="D1413" s="5" t="s">
        <v>118</v>
      </c>
      <c r="E1413" s="5" t="s">
        <v>2796</v>
      </c>
      <c r="F1413" s="5" t="s">
        <v>2764</v>
      </c>
      <c r="G1413" s="5">
        <v>1</v>
      </c>
      <c r="H1413" s="5" t="s">
        <v>2864</v>
      </c>
      <c r="I1413" s="5" t="str">
        <f>IF(INDEX(Manual_Review!$Z$6:$Z$238,U1413)="","",INDEX(Manual_Review!$Z$6:$Z$238,U1413))</f>
        <v/>
      </c>
      <c r="J1413" s="5" t="str">
        <f t="shared" si="42"/>
        <v>AI provisional</v>
      </c>
      <c r="K1413" s="5" t="str">
        <f t="shared" si="43"/>
        <v>U</v>
      </c>
      <c r="L1413" s="5" t="s">
        <v>1079</v>
      </c>
      <c r="M1413" s="5" t="s">
        <v>5820</v>
      </c>
      <c r="N1413" s="5" t="s">
        <v>5804</v>
      </c>
      <c r="O1413" s="5" t="s">
        <v>2899</v>
      </c>
      <c r="P1413" s="5" t="s">
        <v>2858</v>
      </c>
      <c r="Q1413" s="11">
        <v>46306.5</v>
      </c>
      <c r="R1413" s="6"/>
      <c r="S1413" s="6"/>
      <c r="T1413" s="6"/>
      <c r="U1413" s="5">
        <f>MATCH(B1413,Manual_Review!$A$6:$A$238,0)</f>
        <v>88</v>
      </c>
      <c r="V1413" s="5" t="str">
        <f>IF(INDEX(Manual_Review!$G$6:$G$238,U1413)="","",INDEX(Manual_Review!$G$6:$G$238,U1413))</f>
        <v/>
      </c>
      <c r="W1413" s="11" t="str">
        <f>IF(INDEX(Manual_Review!$H$6:$H$238,U1413)="","",INDEX(Manual_Review!$H$6:$H$238,U1413))</f>
        <v/>
      </c>
      <c r="X1413" s="5" t="str">
        <f>IF(INDEX(Manual_Review!$I$6:$I$238,U1413)="","",INDEX(Manual_Review!$I$6:$I$238,U1413))</f>
        <v/>
      </c>
      <c r="Y1413" s="5" t="s">
        <v>2859</v>
      </c>
    </row>
    <row r="1414" spans="1:25" ht="25.5">
      <c r="A1414" s="5" t="s">
        <v>5833</v>
      </c>
      <c r="B1414" s="5" t="s">
        <v>1081</v>
      </c>
      <c r="C1414" s="5" t="s">
        <v>1082</v>
      </c>
      <c r="D1414" s="5" t="s">
        <v>118</v>
      </c>
      <c r="E1414" s="5" t="s">
        <v>2781</v>
      </c>
      <c r="F1414" s="5" t="s">
        <v>2754</v>
      </c>
      <c r="G1414" s="5">
        <v>1</v>
      </c>
      <c r="H1414" s="5" t="s">
        <v>2854</v>
      </c>
      <c r="I1414" s="5" t="str">
        <f>IF(INDEX(Manual_Review!$K$6:$K$238,U1414)="","",INDEX(Manual_Review!$K$6:$K$238,U1414))</f>
        <v/>
      </c>
      <c r="J1414" s="5" t="str">
        <f t="shared" ref="J1414:J1477" si="44">IF(G1414=0,"Not applicable",IF(I1414="","AI provisional",IF(AND(OR(I1414="Y",I1414="N",I1414="U",I1414="X"),V1414&lt;&gt;"",ISNUMBER(W1414),W1414&gt;0,X1414="Confirmed",R1414&lt;&gt;"",S1414&lt;&gt;"",T1414&lt;&gt;""),"Human valid","Evidence needed")))</f>
        <v>AI provisional</v>
      </c>
      <c r="K1414" s="5" t="str">
        <f t="shared" ref="K1414:K1477" si="45">IF(G1414=0,"N/A",IF(I1414="",H1414,IF(J1414="Human valid",I1414,"U")))</f>
        <v>Y</v>
      </c>
      <c r="L1414" s="5" t="s">
        <v>1088</v>
      </c>
      <c r="M1414" s="5" t="s">
        <v>5834</v>
      </c>
      <c r="N1414" s="5" t="s">
        <v>5835</v>
      </c>
      <c r="O1414" s="5" t="s">
        <v>2857</v>
      </c>
      <c r="P1414" s="5" t="s">
        <v>2858</v>
      </c>
      <c r="Q1414" s="11">
        <v>46306.5</v>
      </c>
      <c r="R1414" s="6"/>
      <c r="S1414" s="6"/>
      <c r="T1414" s="6"/>
      <c r="U1414" s="5">
        <f>MATCH(B1414,Manual_Review!$A$6:$A$238,0)</f>
        <v>89</v>
      </c>
      <c r="V1414" s="5" t="str">
        <f>IF(INDEX(Manual_Review!$G$6:$G$238,U1414)="","",INDEX(Manual_Review!$G$6:$G$238,U1414))</f>
        <v/>
      </c>
      <c r="W1414" s="11" t="str">
        <f>IF(INDEX(Manual_Review!$H$6:$H$238,U1414)="","",INDEX(Manual_Review!$H$6:$H$238,U1414))</f>
        <v/>
      </c>
      <c r="X1414" s="5" t="str">
        <f>IF(INDEX(Manual_Review!$I$6:$I$238,U1414)="","",INDEX(Manual_Review!$I$6:$I$238,U1414))</f>
        <v/>
      </c>
      <c r="Y1414" s="5" t="s">
        <v>2859</v>
      </c>
    </row>
    <row r="1415" spans="1:25" ht="25.5">
      <c r="A1415" s="5" t="s">
        <v>5836</v>
      </c>
      <c r="B1415" s="5" t="s">
        <v>1081</v>
      </c>
      <c r="C1415" s="5" t="s">
        <v>1082</v>
      </c>
      <c r="D1415" s="5" t="s">
        <v>118</v>
      </c>
      <c r="E1415" s="5" t="s">
        <v>2782</v>
      </c>
      <c r="F1415" s="5" t="s">
        <v>2754</v>
      </c>
      <c r="G1415" s="5">
        <v>1</v>
      </c>
      <c r="H1415" s="5" t="s">
        <v>2854</v>
      </c>
      <c r="I1415" s="5" t="str">
        <f>IF(INDEX(Manual_Review!$L$6:$L$238,U1415)="","",INDEX(Manual_Review!$L$6:$L$238,U1415))</f>
        <v/>
      </c>
      <c r="J1415" s="5" t="str">
        <f t="shared" si="44"/>
        <v>AI provisional</v>
      </c>
      <c r="K1415" s="5" t="str">
        <f t="shared" si="45"/>
        <v>Y</v>
      </c>
      <c r="L1415" s="5" t="s">
        <v>1088</v>
      </c>
      <c r="M1415" s="5" t="s">
        <v>5837</v>
      </c>
      <c r="N1415" s="5" t="s">
        <v>5835</v>
      </c>
      <c r="O1415" s="5" t="s">
        <v>2862</v>
      </c>
      <c r="P1415" s="5" t="s">
        <v>2858</v>
      </c>
      <c r="Q1415" s="11">
        <v>46306.5</v>
      </c>
      <c r="R1415" s="6"/>
      <c r="S1415" s="6"/>
      <c r="T1415" s="6"/>
      <c r="U1415" s="5">
        <f>MATCH(B1415,Manual_Review!$A$6:$A$238,0)</f>
        <v>89</v>
      </c>
      <c r="V1415" s="5" t="str">
        <f>IF(INDEX(Manual_Review!$G$6:$G$238,U1415)="","",INDEX(Manual_Review!$G$6:$G$238,U1415))</f>
        <v/>
      </c>
      <c r="W1415" s="11" t="str">
        <f>IF(INDEX(Manual_Review!$H$6:$H$238,U1415)="","",INDEX(Manual_Review!$H$6:$H$238,U1415))</f>
        <v/>
      </c>
      <c r="X1415" s="5" t="str">
        <f>IF(INDEX(Manual_Review!$I$6:$I$238,U1415)="","",INDEX(Manual_Review!$I$6:$I$238,U1415))</f>
        <v/>
      </c>
      <c r="Y1415" s="5" t="s">
        <v>2859</v>
      </c>
    </row>
    <row r="1416" spans="1:25" ht="25.5">
      <c r="A1416" s="5" t="s">
        <v>5838</v>
      </c>
      <c r="B1416" s="5" t="s">
        <v>1081</v>
      </c>
      <c r="C1416" s="5" t="s">
        <v>1082</v>
      </c>
      <c r="D1416" s="5" t="s">
        <v>118</v>
      </c>
      <c r="E1416" s="5" t="s">
        <v>2783</v>
      </c>
      <c r="F1416" s="5" t="s">
        <v>2754</v>
      </c>
      <c r="G1416" s="5">
        <v>1</v>
      </c>
      <c r="H1416" s="5" t="s">
        <v>2864</v>
      </c>
      <c r="I1416" s="5" t="str">
        <f>IF(INDEX(Manual_Review!$M$6:$M$238,U1416)="","",INDEX(Manual_Review!$M$6:$M$238,U1416))</f>
        <v/>
      </c>
      <c r="J1416" s="5" t="str">
        <f t="shared" si="44"/>
        <v>AI provisional</v>
      </c>
      <c r="K1416" s="5" t="str">
        <f t="shared" si="45"/>
        <v>U</v>
      </c>
      <c r="L1416" s="5" t="s">
        <v>1088</v>
      </c>
      <c r="M1416" s="5" t="s">
        <v>5839</v>
      </c>
      <c r="N1416" s="5" t="s">
        <v>5835</v>
      </c>
      <c r="O1416" s="5" t="s">
        <v>2866</v>
      </c>
      <c r="P1416" s="5" t="s">
        <v>2858</v>
      </c>
      <c r="Q1416" s="11">
        <v>46306.5</v>
      </c>
      <c r="R1416" s="6"/>
      <c r="S1416" s="6"/>
      <c r="T1416" s="6"/>
      <c r="U1416" s="5">
        <f>MATCH(B1416,Manual_Review!$A$6:$A$238,0)</f>
        <v>89</v>
      </c>
      <c r="V1416" s="5" t="str">
        <f>IF(INDEX(Manual_Review!$G$6:$G$238,U1416)="","",INDEX(Manual_Review!$G$6:$G$238,U1416))</f>
        <v/>
      </c>
      <c r="W1416" s="11" t="str">
        <f>IF(INDEX(Manual_Review!$H$6:$H$238,U1416)="","",INDEX(Manual_Review!$H$6:$H$238,U1416))</f>
        <v/>
      </c>
      <c r="X1416" s="5" t="str">
        <f>IF(INDEX(Manual_Review!$I$6:$I$238,U1416)="","",INDEX(Manual_Review!$I$6:$I$238,U1416))</f>
        <v/>
      </c>
      <c r="Y1416" s="5" t="s">
        <v>2859</v>
      </c>
    </row>
    <row r="1417" spans="1:25" ht="25.5">
      <c r="A1417" s="5" t="s">
        <v>5840</v>
      </c>
      <c r="B1417" s="5" t="s">
        <v>1081</v>
      </c>
      <c r="C1417" s="5" t="s">
        <v>1082</v>
      </c>
      <c r="D1417" s="5" t="s">
        <v>118</v>
      </c>
      <c r="E1417" s="5" t="s">
        <v>2784</v>
      </c>
      <c r="F1417" s="5" t="s">
        <v>2756</v>
      </c>
      <c r="G1417" s="5">
        <v>1</v>
      </c>
      <c r="H1417" s="5" t="s">
        <v>2864</v>
      </c>
      <c r="I1417" s="5" t="str">
        <f>IF(INDEX(Manual_Review!$N$6:$N$238,U1417)="","",INDEX(Manual_Review!$N$6:$N$238,U1417))</f>
        <v/>
      </c>
      <c r="J1417" s="5" t="str">
        <f t="shared" si="44"/>
        <v>AI provisional</v>
      </c>
      <c r="K1417" s="5" t="str">
        <f t="shared" si="45"/>
        <v>U</v>
      </c>
      <c r="L1417" s="5" t="s">
        <v>1088</v>
      </c>
      <c r="M1417" s="5" t="s">
        <v>5841</v>
      </c>
      <c r="N1417" s="5" t="s">
        <v>5835</v>
      </c>
      <c r="O1417" s="5" t="s">
        <v>2869</v>
      </c>
      <c r="P1417" s="5" t="s">
        <v>2858</v>
      </c>
      <c r="Q1417" s="11">
        <v>46306.5</v>
      </c>
      <c r="R1417" s="6"/>
      <c r="S1417" s="6"/>
      <c r="T1417" s="6"/>
      <c r="U1417" s="5">
        <f>MATCH(B1417,Manual_Review!$A$6:$A$238,0)</f>
        <v>89</v>
      </c>
      <c r="V1417" s="5" t="str">
        <f>IF(INDEX(Manual_Review!$G$6:$G$238,U1417)="","",INDEX(Manual_Review!$G$6:$G$238,U1417))</f>
        <v/>
      </c>
      <c r="W1417" s="11" t="str">
        <f>IF(INDEX(Manual_Review!$H$6:$H$238,U1417)="","",INDEX(Manual_Review!$H$6:$H$238,U1417))</f>
        <v/>
      </c>
      <c r="X1417" s="5" t="str">
        <f>IF(INDEX(Manual_Review!$I$6:$I$238,U1417)="","",INDEX(Manual_Review!$I$6:$I$238,U1417))</f>
        <v/>
      </c>
      <c r="Y1417" s="5" t="s">
        <v>2859</v>
      </c>
    </row>
    <row r="1418" spans="1:25" ht="25.5">
      <c r="A1418" s="5" t="s">
        <v>5842</v>
      </c>
      <c r="B1418" s="5" t="s">
        <v>1081</v>
      </c>
      <c r="C1418" s="5" t="s">
        <v>1082</v>
      </c>
      <c r="D1418" s="5" t="s">
        <v>118</v>
      </c>
      <c r="E1418" s="5" t="s">
        <v>2785</v>
      </c>
      <c r="F1418" s="5" t="s">
        <v>2756</v>
      </c>
      <c r="G1418" s="5">
        <v>1</v>
      </c>
      <c r="H1418" s="5" t="s">
        <v>2864</v>
      </c>
      <c r="I1418" s="5" t="str">
        <f>IF(INDEX(Manual_Review!$O$6:$O$238,U1418)="","",INDEX(Manual_Review!$O$6:$O$238,U1418))</f>
        <v/>
      </c>
      <c r="J1418" s="5" t="str">
        <f t="shared" si="44"/>
        <v>AI provisional</v>
      </c>
      <c r="K1418" s="5" t="str">
        <f t="shared" si="45"/>
        <v>U</v>
      </c>
      <c r="L1418" s="5" t="s">
        <v>1088</v>
      </c>
      <c r="M1418" s="5" t="s">
        <v>5843</v>
      </c>
      <c r="N1418" s="5" t="s">
        <v>5835</v>
      </c>
      <c r="O1418" s="5" t="s">
        <v>2872</v>
      </c>
      <c r="P1418" s="5" t="s">
        <v>2858</v>
      </c>
      <c r="Q1418" s="11">
        <v>46306.5</v>
      </c>
      <c r="R1418" s="6"/>
      <c r="S1418" s="6"/>
      <c r="T1418" s="6"/>
      <c r="U1418" s="5">
        <f>MATCH(B1418,Manual_Review!$A$6:$A$238,0)</f>
        <v>89</v>
      </c>
      <c r="V1418" s="5" t="str">
        <f>IF(INDEX(Manual_Review!$G$6:$G$238,U1418)="","",INDEX(Manual_Review!$G$6:$G$238,U1418))</f>
        <v/>
      </c>
      <c r="W1418" s="11" t="str">
        <f>IF(INDEX(Manual_Review!$H$6:$H$238,U1418)="","",INDEX(Manual_Review!$H$6:$H$238,U1418))</f>
        <v/>
      </c>
      <c r="X1418" s="5" t="str">
        <f>IF(INDEX(Manual_Review!$I$6:$I$238,U1418)="","",INDEX(Manual_Review!$I$6:$I$238,U1418))</f>
        <v/>
      </c>
      <c r="Y1418" s="5" t="s">
        <v>2859</v>
      </c>
    </row>
    <row r="1419" spans="1:25" ht="25.5">
      <c r="A1419" s="5" t="s">
        <v>5844</v>
      </c>
      <c r="B1419" s="5" t="s">
        <v>1081</v>
      </c>
      <c r="C1419" s="5" t="s">
        <v>1082</v>
      </c>
      <c r="D1419" s="5" t="s">
        <v>118</v>
      </c>
      <c r="E1419" s="5" t="s">
        <v>2786</v>
      </c>
      <c r="F1419" s="5" t="s">
        <v>2756</v>
      </c>
      <c r="G1419" s="5">
        <v>1</v>
      </c>
      <c r="H1419" s="5" t="s">
        <v>2864</v>
      </c>
      <c r="I1419" s="5" t="str">
        <f>IF(INDEX(Manual_Review!$P$6:$P$238,U1419)="","",INDEX(Manual_Review!$P$6:$P$238,U1419))</f>
        <v/>
      </c>
      <c r="J1419" s="5" t="str">
        <f t="shared" si="44"/>
        <v>AI provisional</v>
      </c>
      <c r="K1419" s="5" t="str">
        <f t="shared" si="45"/>
        <v>U</v>
      </c>
      <c r="L1419" s="5" t="s">
        <v>1088</v>
      </c>
      <c r="M1419" s="5" t="s">
        <v>5839</v>
      </c>
      <c r="N1419" s="5" t="s">
        <v>5835</v>
      </c>
      <c r="O1419" s="5" t="s">
        <v>2874</v>
      </c>
      <c r="P1419" s="5" t="s">
        <v>2858</v>
      </c>
      <c r="Q1419" s="11">
        <v>46306.5</v>
      </c>
      <c r="R1419" s="6"/>
      <c r="S1419" s="6"/>
      <c r="T1419" s="6"/>
      <c r="U1419" s="5">
        <f>MATCH(B1419,Manual_Review!$A$6:$A$238,0)</f>
        <v>89</v>
      </c>
      <c r="V1419" s="5" t="str">
        <f>IF(INDEX(Manual_Review!$G$6:$G$238,U1419)="","",INDEX(Manual_Review!$G$6:$G$238,U1419))</f>
        <v/>
      </c>
      <c r="W1419" s="11" t="str">
        <f>IF(INDEX(Manual_Review!$H$6:$H$238,U1419)="","",INDEX(Manual_Review!$H$6:$H$238,U1419))</f>
        <v/>
      </c>
      <c r="X1419" s="5" t="str">
        <f>IF(INDEX(Manual_Review!$I$6:$I$238,U1419)="","",INDEX(Manual_Review!$I$6:$I$238,U1419))</f>
        <v/>
      </c>
      <c r="Y1419" s="5" t="s">
        <v>2859</v>
      </c>
    </row>
    <row r="1420" spans="1:25" ht="25.5">
      <c r="A1420" s="5" t="s">
        <v>5845</v>
      </c>
      <c r="B1420" s="5" t="s">
        <v>1081</v>
      </c>
      <c r="C1420" s="5" t="s">
        <v>1082</v>
      </c>
      <c r="D1420" s="5" t="s">
        <v>118</v>
      </c>
      <c r="E1420" s="5" t="s">
        <v>2787</v>
      </c>
      <c r="F1420" s="5" t="s">
        <v>2758</v>
      </c>
      <c r="G1420" s="5">
        <v>1</v>
      </c>
      <c r="H1420" s="5" t="s">
        <v>2854</v>
      </c>
      <c r="I1420" s="5" t="str">
        <f>IF(INDEX(Manual_Review!$Q$6:$Q$238,U1420)="","",INDEX(Manual_Review!$Q$6:$Q$238,U1420))</f>
        <v/>
      </c>
      <c r="J1420" s="5" t="str">
        <f t="shared" si="44"/>
        <v>AI provisional</v>
      </c>
      <c r="K1420" s="5" t="str">
        <f t="shared" si="45"/>
        <v>Y</v>
      </c>
      <c r="L1420" s="5" t="s">
        <v>1088</v>
      </c>
      <c r="M1420" s="5" t="s">
        <v>5846</v>
      </c>
      <c r="N1420" s="5" t="s">
        <v>5835</v>
      </c>
      <c r="O1420" s="5" t="s">
        <v>2969</v>
      </c>
      <c r="P1420" s="5" t="s">
        <v>2858</v>
      </c>
      <c r="Q1420" s="11">
        <v>46306.5</v>
      </c>
      <c r="R1420" s="6"/>
      <c r="S1420" s="6"/>
      <c r="T1420" s="6"/>
      <c r="U1420" s="5">
        <f>MATCH(B1420,Manual_Review!$A$6:$A$238,0)</f>
        <v>89</v>
      </c>
      <c r="V1420" s="5" t="str">
        <f>IF(INDEX(Manual_Review!$G$6:$G$238,U1420)="","",INDEX(Manual_Review!$G$6:$G$238,U1420))</f>
        <v/>
      </c>
      <c r="W1420" s="11" t="str">
        <f>IF(INDEX(Manual_Review!$H$6:$H$238,U1420)="","",INDEX(Manual_Review!$H$6:$H$238,U1420))</f>
        <v/>
      </c>
      <c r="X1420" s="5" t="str">
        <f>IF(INDEX(Manual_Review!$I$6:$I$238,U1420)="","",INDEX(Manual_Review!$I$6:$I$238,U1420))</f>
        <v/>
      </c>
      <c r="Y1420" s="5" t="s">
        <v>2859</v>
      </c>
    </row>
    <row r="1421" spans="1:25" ht="25.5">
      <c r="A1421" s="5" t="s">
        <v>5847</v>
      </c>
      <c r="B1421" s="5" t="s">
        <v>1081</v>
      </c>
      <c r="C1421" s="5" t="s">
        <v>1082</v>
      </c>
      <c r="D1421" s="5" t="s">
        <v>118</v>
      </c>
      <c r="E1421" s="5" t="s">
        <v>2788</v>
      </c>
      <c r="F1421" s="5" t="s">
        <v>2758</v>
      </c>
      <c r="G1421" s="5">
        <v>1</v>
      </c>
      <c r="H1421" s="5" t="s">
        <v>2854</v>
      </c>
      <c r="I1421" s="5" t="str">
        <f>IF(INDEX(Manual_Review!$R$6:$R$238,U1421)="","",INDEX(Manual_Review!$R$6:$R$238,U1421))</f>
        <v/>
      </c>
      <c r="J1421" s="5" t="str">
        <f t="shared" si="44"/>
        <v>AI provisional</v>
      </c>
      <c r="K1421" s="5" t="str">
        <f t="shared" si="45"/>
        <v>Y</v>
      </c>
      <c r="L1421" s="5" t="s">
        <v>1088</v>
      </c>
      <c r="M1421" s="5" t="s">
        <v>5848</v>
      </c>
      <c r="N1421" s="5" t="s">
        <v>5835</v>
      </c>
      <c r="O1421" s="5" t="s">
        <v>3067</v>
      </c>
      <c r="P1421" s="5" t="s">
        <v>2858</v>
      </c>
      <c r="Q1421" s="11">
        <v>46306.5</v>
      </c>
      <c r="R1421" s="6"/>
      <c r="S1421" s="6"/>
      <c r="T1421" s="6"/>
      <c r="U1421" s="5">
        <f>MATCH(B1421,Manual_Review!$A$6:$A$238,0)</f>
        <v>89</v>
      </c>
      <c r="V1421" s="5" t="str">
        <f>IF(INDEX(Manual_Review!$G$6:$G$238,U1421)="","",INDEX(Manual_Review!$G$6:$G$238,U1421))</f>
        <v/>
      </c>
      <c r="W1421" s="11" t="str">
        <f>IF(INDEX(Manual_Review!$H$6:$H$238,U1421)="","",INDEX(Manual_Review!$H$6:$H$238,U1421))</f>
        <v/>
      </c>
      <c r="X1421" s="5" t="str">
        <f>IF(INDEX(Manual_Review!$I$6:$I$238,U1421)="","",INDEX(Manual_Review!$I$6:$I$238,U1421))</f>
        <v/>
      </c>
      <c r="Y1421" s="5" t="s">
        <v>2859</v>
      </c>
    </row>
    <row r="1422" spans="1:25" ht="25.5">
      <c r="A1422" s="5" t="s">
        <v>5849</v>
      </c>
      <c r="B1422" s="5" t="s">
        <v>1081</v>
      </c>
      <c r="C1422" s="5" t="s">
        <v>1082</v>
      </c>
      <c r="D1422" s="5" t="s">
        <v>118</v>
      </c>
      <c r="E1422" s="5" t="s">
        <v>2789</v>
      </c>
      <c r="F1422" s="5" t="s">
        <v>2758</v>
      </c>
      <c r="G1422" s="5">
        <v>1</v>
      </c>
      <c r="H1422" s="5" t="s">
        <v>2864</v>
      </c>
      <c r="I1422" s="5" t="str">
        <f>IF(INDEX(Manual_Review!$S$6:$S$238,U1422)="","",INDEX(Manual_Review!$S$6:$S$238,U1422))</f>
        <v/>
      </c>
      <c r="J1422" s="5" t="str">
        <f t="shared" si="44"/>
        <v>AI provisional</v>
      </c>
      <c r="K1422" s="5" t="str">
        <f t="shared" si="45"/>
        <v>U</v>
      </c>
      <c r="L1422" s="5" t="s">
        <v>1088</v>
      </c>
      <c r="M1422" s="5" t="s">
        <v>5850</v>
      </c>
      <c r="N1422" s="5" t="s">
        <v>5835</v>
      </c>
      <c r="O1422" s="5" t="s">
        <v>2883</v>
      </c>
      <c r="P1422" s="5" t="s">
        <v>2858</v>
      </c>
      <c r="Q1422" s="11">
        <v>46306.5</v>
      </c>
      <c r="R1422" s="6"/>
      <c r="S1422" s="6"/>
      <c r="T1422" s="6"/>
      <c r="U1422" s="5">
        <f>MATCH(B1422,Manual_Review!$A$6:$A$238,0)</f>
        <v>89</v>
      </c>
      <c r="V1422" s="5" t="str">
        <f>IF(INDEX(Manual_Review!$G$6:$G$238,U1422)="","",INDEX(Manual_Review!$G$6:$G$238,U1422))</f>
        <v/>
      </c>
      <c r="W1422" s="11" t="str">
        <f>IF(INDEX(Manual_Review!$H$6:$H$238,U1422)="","",INDEX(Manual_Review!$H$6:$H$238,U1422))</f>
        <v/>
      </c>
      <c r="X1422" s="5" t="str">
        <f>IF(INDEX(Manual_Review!$I$6:$I$238,U1422)="","",INDEX(Manual_Review!$I$6:$I$238,U1422))</f>
        <v/>
      </c>
      <c r="Y1422" s="5" t="s">
        <v>2859</v>
      </c>
    </row>
    <row r="1423" spans="1:25" ht="25.5">
      <c r="A1423" s="5" t="s">
        <v>5851</v>
      </c>
      <c r="B1423" s="5" t="s">
        <v>1081</v>
      </c>
      <c r="C1423" s="5" t="s">
        <v>1082</v>
      </c>
      <c r="D1423" s="5" t="s">
        <v>118</v>
      </c>
      <c r="E1423" s="5" t="s">
        <v>2790</v>
      </c>
      <c r="F1423" s="5" t="s">
        <v>2760</v>
      </c>
      <c r="G1423" s="5">
        <v>1</v>
      </c>
      <c r="H1423" s="5" t="s">
        <v>2854</v>
      </c>
      <c r="I1423" s="5" t="str">
        <f>IF(INDEX(Manual_Review!$T$6:$T$238,U1423)="","",INDEX(Manual_Review!$T$6:$T$238,U1423))</f>
        <v/>
      </c>
      <c r="J1423" s="5" t="str">
        <f t="shared" si="44"/>
        <v>AI provisional</v>
      </c>
      <c r="K1423" s="5" t="str">
        <f t="shared" si="45"/>
        <v>Y</v>
      </c>
      <c r="L1423" s="5" t="s">
        <v>1088</v>
      </c>
      <c r="M1423" s="5" t="s">
        <v>5852</v>
      </c>
      <c r="N1423" s="5" t="s">
        <v>5835</v>
      </c>
      <c r="O1423" s="5" t="s">
        <v>2976</v>
      </c>
      <c r="P1423" s="5" t="s">
        <v>2858</v>
      </c>
      <c r="Q1423" s="11">
        <v>46306.5</v>
      </c>
      <c r="R1423" s="6"/>
      <c r="S1423" s="6"/>
      <c r="T1423" s="6"/>
      <c r="U1423" s="5">
        <f>MATCH(B1423,Manual_Review!$A$6:$A$238,0)</f>
        <v>89</v>
      </c>
      <c r="V1423" s="5" t="str">
        <f>IF(INDEX(Manual_Review!$G$6:$G$238,U1423)="","",INDEX(Manual_Review!$G$6:$G$238,U1423))</f>
        <v/>
      </c>
      <c r="W1423" s="11" t="str">
        <f>IF(INDEX(Manual_Review!$H$6:$H$238,U1423)="","",INDEX(Manual_Review!$H$6:$H$238,U1423))</f>
        <v/>
      </c>
      <c r="X1423" s="5" t="str">
        <f>IF(INDEX(Manual_Review!$I$6:$I$238,U1423)="","",INDEX(Manual_Review!$I$6:$I$238,U1423))</f>
        <v/>
      </c>
      <c r="Y1423" s="5" t="s">
        <v>2859</v>
      </c>
    </row>
    <row r="1424" spans="1:25" ht="25.5">
      <c r="A1424" s="5" t="s">
        <v>5853</v>
      </c>
      <c r="B1424" s="5" t="s">
        <v>1081</v>
      </c>
      <c r="C1424" s="5" t="s">
        <v>1082</v>
      </c>
      <c r="D1424" s="5" t="s">
        <v>118</v>
      </c>
      <c r="E1424" s="5" t="s">
        <v>2791</v>
      </c>
      <c r="F1424" s="5" t="s">
        <v>2760</v>
      </c>
      <c r="G1424" s="5">
        <v>1</v>
      </c>
      <c r="H1424" s="5" t="s">
        <v>2864</v>
      </c>
      <c r="I1424" s="5" t="str">
        <f>IF(INDEX(Manual_Review!$U$6:$U$238,U1424)="","",INDEX(Manual_Review!$U$6:$U$238,U1424))</f>
        <v/>
      </c>
      <c r="J1424" s="5" t="str">
        <f t="shared" si="44"/>
        <v>AI provisional</v>
      </c>
      <c r="K1424" s="5" t="str">
        <f t="shared" si="45"/>
        <v>U</v>
      </c>
      <c r="L1424" s="5" t="s">
        <v>1088</v>
      </c>
      <c r="M1424" s="5" t="s">
        <v>5854</v>
      </c>
      <c r="N1424" s="5" t="s">
        <v>5835</v>
      </c>
      <c r="O1424" s="5" t="s">
        <v>2888</v>
      </c>
      <c r="P1424" s="5" t="s">
        <v>2858</v>
      </c>
      <c r="Q1424" s="11">
        <v>46306.5</v>
      </c>
      <c r="R1424" s="6"/>
      <c r="S1424" s="6"/>
      <c r="T1424" s="6"/>
      <c r="U1424" s="5">
        <f>MATCH(B1424,Manual_Review!$A$6:$A$238,0)</f>
        <v>89</v>
      </c>
      <c r="V1424" s="5" t="str">
        <f>IF(INDEX(Manual_Review!$G$6:$G$238,U1424)="","",INDEX(Manual_Review!$G$6:$G$238,U1424))</f>
        <v/>
      </c>
      <c r="W1424" s="11" t="str">
        <f>IF(INDEX(Manual_Review!$H$6:$H$238,U1424)="","",INDEX(Manual_Review!$H$6:$H$238,U1424))</f>
        <v/>
      </c>
      <c r="X1424" s="5" t="str">
        <f>IF(INDEX(Manual_Review!$I$6:$I$238,U1424)="","",INDEX(Manual_Review!$I$6:$I$238,U1424))</f>
        <v/>
      </c>
      <c r="Y1424" s="5" t="s">
        <v>2859</v>
      </c>
    </row>
    <row r="1425" spans="1:25" ht="25.5">
      <c r="A1425" s="5" t="s">
        <v>5855</v>
      </c>
      <c r="B1425" s="5" t="s">
        <v>1081</v>
      </c>
      <c r="C1425" s="5" t="s">
        <v>1082</v>
      </c>
      <c r="D1425" s="5" t="s">
        <v>118</v>
      </c>
      <c r="E1425" s="5" t="s">
        <v>2792</v>
      </c>
      <c r="F1425" s="5" t="s">
        <v>2762</v>
      </c>
      <c r="G1425" s="5">
        <v>1</v>
      </c>
      <c r="H1425" s="5" t="s">
        <v>2864</v>
      </c>
      <c r="I1425" s="5" t="str">
        <f>IF(INDEX(Manual_Review!$V$6:$V$238,U1425)="","",INDEX(Manual_Review!$V$6:$V$238,U1425))</f>
        <v/>
      </c>
      <c r="J1425" s="5" t="str">
        <f t="shared" si="44"/>
        <v>AI provisional</v>
      </c>
      <c r="K1425" s="5" t="str">
        <f t="shared" si="45"/>
        <v>U</v>
      </c>
      <c r="L1425" s="5" t="s">
        <v>1088</v>
      </c>
      <c r="M1425" s="5" t="s">
        <v>5839</v>
      </c>
      <c r="N1425" s="5" t="s">
        <v>5835</v>
      </c>
      <c r="O1425" s="5" t="s">
        <v>2891</v>
      </c>
      <c r="P1425" s="5" t="s">
        <v>2858</v>
      </c>
      <c r="Q1425" s="11">
        <v>46306.5</v>
      </c>
      <c r="R1425" s="6"/>
      <c r="S1425" s="6"/>
      <c r="T1425" s="6"/>
      <c r="U1425" s="5">
        <f>MATCH(B1425,Manual_Review!$A$6:$A$238,0)</f>
        <v>89</v>
      </c>
      <c r="V1425" s="5" t="str">
        <f>IF(INDEX(Manual_Review!$G$6:$G$238,U1425)="","",INDEX(Manual_Review!$G$6:$G$238,U1425))</f>
        <v/>
      </c>
      <c r="W1425" s="11" t="str">
        <f>IF(INDEX(Manual_Review!$H$6:$H$238,U1425)="","",INDEX(Manual_Review!$H$6:$H$238,U1425))</f>
        <v/>
      </c>
      <c r="X1425" s="5" t="str">
        <f>IF(INDEX(Manual_Review!$I$6:$I$238,U1425)="","",INDEX(Manual_Review!$I$6:$I$238,U1425))</f>
        <v/>
      </c>
      <c r="Y1425" s="5" t="s">
        <v>2859</v>
      </c>
    </row>
    <row r="1426" spans="1:25" ht="25.5">
      <c r="A1426" s="5" t="s">
        <v>5856</v>
      </c>
      <c r="B1426" s="5" t="s">
        <v>1081</v>
      </c>
      <c r="C1426" s="5" t="s">
        <v>1082</v>
      </c>
      <c r="D1426" s="5" t="s">
        <v>118</v>
      </c>
      <c r="E1426" s="5" t="s">
        <v>2793</v>
      </c>
      <c r="F1426" s="5" t="s">
        <v>2762</v>
      </c>
      <c r="G1426" s="5">
        <v>1</v>
      </c>
      <c r="H1426" s="5" t="s">
        <v>2854</v>
      </c>
      <c r="I1426" s="5" t="str">
        <f>IF(INDEX(Manual_Review!$W$6:$W$238,U1426)="","",INDEX(Manual_Review!$W$6:$W$238,U1426))</f>
        <v/>
      </c>
      <c r="J1426" s="5" t="str">
        <f t="shared" si="44"/>
        <v>AI provisional</v>
      </c>
      <c r="K1426" s="5" t="str">
        <f t="shared" si="45"/>
        <v>Y</v>
      </c>
      <c r="L1426" s="5" t="s">
        <v>1088</v>
      </c>
      <c r="M1426" s="5" t="s">
        <v>5839</v>
      </c>
      <c r="N1426" s="5" t="s">
        <v>5835</v>
      </c>
      <c r="O1426" s="5" t="s">
        <v>3077</v>
      </c>
      <c r="P1426" s="5" t="s">
        <v>2858</v>
      </c>
      <c r="Q1426" s="11">
        <v>46306.5</v>
      </c>
      <c r="R1426" s="6"/>
      <c r="S1426" s="6"/>
      <c r="T1426" s="6"/>
      <c r="U1426" s="5">
        <f>MATCH(B1426,Manual_Review!$A$6:$A$238,0)</f>
        <v>89</v>
      </c>
      <c r="V1426" s="5" t="str">
        <f>IF(INDEX(Manual_Review!$G$6:$G$238,U1426)="","",INDEX(Manual_Review!$G$6:$G$238,U1426))</f>
        <v/>
      </c>
      <c r="W1426" s="11" t="str">
        <f>IF(INDEX(Manual_Review!$H$6:$H$238,U1426)="","",INDEX(Manual_Review!$H$6:$H$238,U1426))</f>
        <v/>
      </c>
      <c r="X1426" s="5" t="str">
        <f>IF(INDEX(Manual_Review!$I$6:$I$238,U1426)="","",INDEX(Manual_Review!$I$6:$I$238,U1426))</f>
        <v/>
      </c>
      <c r="Y1426" s="5" t="s">
        <v>2859</v>
      </c>
    </row>
    <row r="1427" spans="1:25" ht="25.5">
      <c r="A1427" s="5" t="s">
        <v>5857</v>
      </c>
      <c r="B1427" s="5" t="s">
        <v>1081</v>
      </c>
      <c r="C1427" s="5" t="s">
        <v>1082</v>
      </c>
      <c r="D1427" s="5" t="s">
        <v>118</v>
      </c>
      <c r="E1427" s="5" t="s">
        <v>2794</v>
      </c>
      <c r="F1427" s="5" t="s">
        <v>2764</v>
      </c>
      <c r="G1427" s="5">
        <v>1</v>
      </c>
      <c r="H1427" s="5" t="s">
        <v>2864</v>
      </c>
      <c r="I1427" s="5" t="str">
        <f>IF(INDEX(Manual_Review!$X$6:$X$238,U1427)="","",INDEX(Manual_Review!$X$6:$X$238,U1427))</f>
        <v/>
      </c>
      <c r="J1427" s="5" t="str">
        <f t="shared" si="44"/>
        <v>AI provisional</v>
      </c>
      <c r="K1427" s="5" t="str">
        <f t="shared" si="45"/>
        <v>U</v>
      </c>
      <c r="L1427" s="5" t="s">
        <v>1088</v>
      </c>
      <c r="M1427" s="5" t="s">
        <v>5839</v>
      </c>
      <c r="N1427" s="5" t="s">
        <v>5835</v>
      </c>
      <c r="O1427" s="5" t="s">
        <v>2895</v>
      </c>
      <c r="P1427" s="5" t="s">
        <v>2858</v>
      </c>
      <c r="Q1427" s="11">
        <v>46306.5</v>
      </c>
      <c r="R1427" s="6"/>
      <c r="S1427" s="6"/>
      <c r="T1427" s="6"/>
      <c r="U1427" s="5">
        <f>MATCH(B1427,Manual_Review!$A$6:$A$238,0)</f>
        <v>89</v>
      </c>
      <c r="V1427" s="5" t="str">
        <f>IF(INDEX(Manual_Review!$G$6:$G$238,U1427)="","",INDEX(Manual_Review!$G$6:$G$238,U1427))</f>
        <v/>
      </c>
      <c r="W1427" s="11" t="str">
        <f>IF(INDEX(Manual_Review!$H$6:$H$238,U1427)="","",INDEX(Manual_Review!$H$6:$H$238,U1427))</f>
        <v/>
      </c>
      <c r="X1427" s="5" t="str">
        <f>IF(INDEX(Manual_Review!$I$6:$I$238,U1427)="","",INDEX(Manual_Review!$I$6:$I$238,U1427))</f>
        <v/>
      </c>
      <c r="Y1427" s="5" t="s">
        <v>2859</v>
      </c>
    </row>
    <row r="1428" spans="1:25" ht="25.5">
      <c r="A1428" s="5" t="s">
        <v>5858</v>
      </c>
      <c r="B1428" s="5" t="s">
        <v>1081</v>
      </c>
      <c r="C1428" s="5" t="s">
        <v>1082</v>
      </c>
      <c r="D1428" s="5" t="s">
        <v>118</v>
      </c>
      <c r="E1428" s="5" t="s">
        <v>2795</v>
      </c>
      <c r="F1428" s="5" t="s">
        <v>2764</v>
      </c>
      <c r="G1428" s="5">
        <v>1</v>
      </c>
      <c r="H1428" s="5" t="s">
        <v>2864</v>
      </c>
      <c r="I1428" s="5" t="str">
        <f>IF(INDEX(Manual_Review!$Y$6:$Y$238,U1428)="","",INDEX(Manual_Review!$Y$6:$Y$238,U1428))</f>
        <v/>
      </c>
      <c r="J1428" s="5" t="str">
        <f t="shared" si="44"/>
        <v>AI provisional</v>
      </c>
      <c r="K1428" s="5" t="str">
        <f t="shared" si="45"/>
        <v>U</v>
      </c>
      <c r="L1428" s="5" t="s">
        <v>1088</v>
      </c>
      <c r="M1428" s="5" t="s">
        <v>5839</v>
      </c>
      <c r="N1428" s="5" t="s">
        <v>5835</v>
      </c>
      <c r="O1428" s="5" t="s">
        <v>2897</v>
      </c>
      <c r="P1428" s="5" t="s">
        <v>2858</v>
      </c>
      <c r="Q1428" s="11">
        <v>46306.5</v>
      </c>
      <c r="R1428" s="6"/>
      <c r="S1428" s="6"/>
      <c r="T1428" s="6"/>
      <c r="U1428" s="5">
        <f>MATCH(B1428,Manual_Review!$A$6:$A$238,0)</f>
        <v>89</v>
      </c>
      <c r="V1428" s="5" t="str">
        <f>IF(INDEX(Manual_Review!$G$6:$G$238,U1428)="","",INDEX(Manual_Review!$G$6:$G$238,U1428))</f>
        <v/>
      </c>
      <c r="W1428" s="11" t="str">
        <f>IF(INDEX(Manual_Review!$H$6:$H$238,U1428)="","",INDEX(Manual_Review!$H$6:$H$238,U1428))</f>
        <v/>
      </c>
      <c r="X1428" s="5" t="str">
        <f>IF(INDEX(Manual_Review!$I$6:$I$238,U1428)="","",INDEX(Manual_Review!$I$6:$I$238,U1428))</f>
        <v/>
      </c>
      <c r="Y1428" s="5" t="s">
        <v>2859</v>
      </c>
    </row>
    <row r="1429" spans="1:25" ht="25.5">
      <c r="A1429" s="5" t="s">
        <v>5859</v>
      </c>
      <c r="B1429" s="5" t="s">
        <v>1081</v>
      </c>
      <c r="C1429" s="5" t="s">
        <v>1082</v>
      </c>
      <c r="D1429" s="5" t="s">
        <v>118</v>
      </c>
      <c r="E1429" s="5" t="s">
        <v>2796</v>
      </c>
      <c r="F1429" s="5" t="s">
        <v>2764</v>
      </c>
      <c r="G1429" s="5">
        <v>1</v>
      </c>
      <c r="H1429" s="5" t="s">
        <v>2864</v>
      </c>
      <c r="I1429" s="5" t="str">
        <f>IF(INDEX(Manual_Review!$Z$6:$Z$238,U1429)="","",INDEX(Manual_Review!$Z$6:$Z$238,U1429))</f>
        <v/>
      </c>
      <c r="J1429" s="5" t="str">
        <f t="shared" si="44"/>
        <v>AI provisional</v>
      </c>
      <c r="K1429" s="5" t="str">
        <f t="shared" si="45"/>
        <v>U</v>
      </c>
      <c r="L1429" s="5" t="s">
        <v>1088</v>
      </c>
      <c r="M1429" s="5" t="s">
        <v>5850</v>
      </c>
      <c r="N1429" s="5" t="s">
        <v>5835</v>
      </c>
      <c r="O1429" s="5" t="s">
        <v>2899</v>
      </c>
      <c r="P1429" s="5" t="s">
        <v>2858</v>
      </c>
      <c r="Q1429" s="11">
        <v>46306.5</v>
      </c>
      <c r="R1429" s="6"/>
      <c r="S1429" s="6"/>
      <c r="T1429" s="6"/>
      <c r="U1429" s="5">
        <f>MATCH(B1429,Manual_Review!$A$6:$A$238,0)</f>
        <v>89</v>
      </c>
      <c r="V1429" s="5" t="str">
        <f>IF(INDEX(Manual_Review!$G$6:$G$238,U1429)="","",INDEX(Manual_Review!$G$6:$G$238,U1429))</f>
        <v/>
      </c>
      <c r="W1429" s="11" t="str">
        <f>IF(INDEX(Manual_Review!$H$6:$H$238,U1429)="","",INDEX(Manual_Review!$H$6:$H$238,U1429))</f>
        <v/>
      </c>
      <c r="X1429" s="5" t="str">
        <f>IF(INDEX(Manual_Review!$I$6:$I$238,U1429)="","",INDEX(Manual_Review!$I$6:$I$238,U1429))</f>
        <v/>
      </c>
      <c r="Y1429" s="5" t="s">
        <v>2859</v>
      </c>
    </row>
    <row r="1430" spans="1:25" ht="38.25">
      <c r="A1430" s="5" t="s">
        <v>5860</v>
      </c>
      <c r="B1430" s="5" t="s">
        <v>1090</v>
      </c>
      <c r="C1430" s="5" t="s">
        <v>1091</v>
      </c>
      <c r="D1430" s="5" t="s">
        <v>118</v>
      </c>
      <c r="E1430" s="5" t="s">
        <v>2781</v>
      </c>
      <c r="F1430" s="5" t="s">
        <v>2754</v>
      </c>
      <c r="G1430" s="5">
        <v>1</v>
      </c>
      <c r="H1430" s="5" t="s">
        <v>2854</v>
      </c>
      <c r="I1430" s="5" t="str">
        <f>IF(INDEX(Manual_Review!$K$6:$K$238,U1430)="","",INDEX(Manual_Review!$K$6:$K$238,U1430))</f>
        <v/>
      </c>
      <c r="J1430" s="5" t="str">
        <f t="shared" si="44"/>
        <v>AI provisional</v>
      </c>
      <c r="K1430" s="5" t="str">
        <f t="shared" si="45"/>
        <v>Y</v>
      </c>
      <c r="L1430" s="5" t="s">
        <v>1103</v>
      </c>
      <c r="M1430" s="5" t="s">
        <v>5861</v>
      </c>
      <c r="N1430" s="5" t="s">
        <v>5862</v>
      </c>
      <c r="O1430" s="5" t="s">
        <v>2857</v>
      </c>
      <c r="P1430" s="5" t="s">
        <v>2858</v>
      </c>
      <c r="Q1430" s="11">
        <v>46306.5</v>
      </c>
      <c r="R1430" s="6"/>
      <c r="S1430" s="6"/>
      <c r="T1430" s="6"/>
      <c r="U1430" s="5">
        <f>MATCH(B1430,Manual_Review!$A$6:$A$238,0)</f>
        <v>90</v>
      </c>
      <c r="V1430" s="5" t="str">
        <f>IF(INDEX(Manual_Review!$G$6:$G$238,U1430)="","",INDEX(Manual_Review!$G$6:$G$238,U1430))</f>
        <v/>
      </c>
      <c r="W1430" s="11" t="str">
        <f>IF(INDEX(Manual_Review!$H$6:$H$238,U1430)="","",INDEX(Manual_Review!$H$6:$H$238,U1430))</f>
        <v/>
      </c>
      <c r="X1430" s="5" t="str">
        <f>IF(INDEX(Manual_Review!$I$6:$I$238,U1430)="","",INDEX(Manual_Review!$I$6:$I$238,U1430))</f>
        <v/>
      </c>
      <c r="Y1430" s="5" t="s">
        <v>2859</v>
      </c>
    </row>
    <row r="1431" spans="1:25" ht="38.25">
      <c r="A1431" s="5" t="s">
        <v>5863</v>
      </c>
      <c r="B1431" s="5" t="s">
        <v>1090</v>
      </c>
      <c r="C1431" s="5" t="s">
        <v>1091</v>
      </c>
      <c r="D1431" s="5" t="s">
        <v>118</v>
      </c>
      <c r="E1431" s="5" t="s">
        <v>2782</v>
      </c>
      <c r="F1431" s="5" t="s">
        <v>2754</v>
      </c>
      <c r="G1431" s="5">
        <v>1</v>
      </c>
      <c r="H1431" s="5" t="s">
        <v>2854</v>
      </c>
      <c r="I1431" s="5" t="str">
        <f>IF(INDEX(Manual_Review!$L$6:$L$238,U1431)="","",INDEX(Manual_Review!$L$6:$L$238,U1431))</f>
        <v/>
      </c>
      <c r="J1431" s="5" t="str">
        <f t="shared" si="44"/>
        <v>AI provisional</v>
      </c>
      <c r="K1431" s="5" t="str">
        <f t="shared" si="45"/>
        <v>Y</v>
      </c>
      <c r="L1431" s="5" t="s">
        <v>1103</v>
      </c>
      <c r="M1431" s="5" t="s">
        <v>5864</v>
      </c>
      <c r="N1431" s="5" t="s">
        <v>5862</v>
      </c>
      <c r="O1431" s="5" t="s">
        <v>2862</v>
      </c>
      <c r="P1431" s="5" t="s">
        <v>2858</v>
      </c>
      <c r="Q1431" s="11">
        <v>46306.5</v>
      </c>
      <c r="R1431" s="6"/>
      <c r="S1431" s="6"/>
      <c r="T1431" s="6"/>
      <c r="U1431" s="5">
        <f>MATCH(B1431,Manual_Review!$A$6:$A$238,0)</f>
        <v>90</v>
      </c>
      <c r="V1431" s="5" t="str">
        <f>IF(INDEX(Manual_Review!$G$6:$G$238,U1431)="","",INDEX(Manual_Review!$G$6:$G$238,U1431))</f>
        <v/>
      </c>
      <c r="W1431" s="11" t="str">
        <f>IF(INDEX(Manual_Review!$H$6:$H$238,U1431)="","",INDEX(Manual_Review!$H$6:$H$238,U1431))</f>
        <v/>
      </c>
      <c r="X1431" s="5" t="str">
        <f>IF(INDEX(Manual_Review!$I$6:$I$238,U1431)="","",INDEX(Manual_Review!$I$6:$I$238,U1431))</f>
        <v/>
      </c>
      <c r="Y1431" s="5" t="s">
        <v>2859</v>
      </c>
    </row>
    <row r="1432" spans="1:25" ht="38.25">
      <c r="A1432" s="5" t="s">
        <v>5865</v>
      </c>
      <c r="B1432" s="5" t="s">
        <v>1090</v>
      </c>
      <c r="C1432" s="5" t="s">
        <v>1091</v>
      </c>
      <c r="D1432" s="5" t="s">
        <v>118</v>
      </c>
      <c r="E1432" s="5" t="s">
        <v>2783</v>
      </c>
      <c r="F1432" s="5" t="s">
        <v>2754</v>
      </c>
      <c r="G1432" s="5">
        <v>1</v>
      </c>
      <c r="H1432" s="5" t="s">
        <v>2854</v>
      </c>
      <c r="I1432" s="5" t="str">
        <f>IF(INDEX(Manual_Review!$M$6:$M$238,U1432)="","",INDEX(Manual_Review!$M$6:$M$238,U1432))</f>
        <v/>
      </c>
      <c r="J1432" s="5" t="str">
        <f t="shared" si="44"/>
        <v>AI provisional</v>
      </c>
      <c r="K1432" s="5" t="str">
        <f t="shared" si="45"/>
        <v>Y</v>
      </c>
      <c r="L1432" s="5" t="s">
        <v>1103</v>
      </c>
      <c r="M1432" s="5" t="s">
        <v>5866</v>
      </c>
      <c r="N1432" s="5" t="s">
        <v>5862</v>
      </c>
      <c r="O1432" s="5" t="s">
        <v>3133</v>
      </c>
      <c r="P1432" s="5" t="s">
        <v>2858</v>
      </c>
      <c r="Q1432" s="11">
        <v>46306.5</v>
      </c>
      <c r="R1432" s="6"/>
      <c r="S1432" s="6"/>
      <c r="T1432" s="6"/>
      <c r="U1432" s="5">
        <f>MATCH(B1432,Manual_Review!$A$6:$A$238,0)</f>
        <v>90</v>
      </c>
      <c r="V1432" s="5" t="str">
        <f>IF(INDEX(Manual_Review!$G$6:$G$238,U1432)="","",INDEX(Manual_Review!$G$6:$G$238,U1432))</f>
        <v/>
      </c>
      <c r="W1432" s="11" t="str">
        <f>IF(INDEX(Manual_Review!$H$6:$H$238,U1432)="","",INDEX(Manual_Review!$H$6:$H$238,U1432))</f>
        <v/>
      </c>
      <c r="X1432" s="5" t="str">
        <f>IF(INDEX(Manual_Review!$I$6:$I$238,U1432)="","",INDEX(Manual_Review!$I$6:$I$238,U1432))</f>
        <v/>
      </c>
      <c r="Y1432" s="5" t="s">
        <v>2859</v>
      </c>
    </row>
    <row r="1433" spans="1:25" ht="38.25">
      <c r="A1433" s="5" t="s">
        <v>5867</v>
      </c>
      <c r="B1433" s="5" t="s">
        <v>1090</v>
      </c>
      <c r="C1433" s="5" t="s">
        <v>1091</v>
      </c>
      <c r="D1433" s="5" t="s">
        <v>118</v>
      </c>
      <c r="E1433" s="5" t="s">
        <v>2784</v>
      </c>
      <c r="F1433" s="5" t="s">
        <v>2756</v>
      </c>
      <c r="G1433" s="5">
        <v>1</v>
      </c>
      <c r="H1433" s="5" t="s">
        <v>2854</v>
      </c>
      <c r="I1433" s="5" t="str">
        <f>IF(INDEX(Manual_Review!$N$6:$N$238,U1433)="","",INDEX(Manual_Review!$N$6:$N$238,U1433))</f>
        <v/>
      </c>
      <c r="J1433" s="5" t="str">
        <f t="shared" si="44"/>
        <v>AI provisional</v>
      </c>
      <c r="K1433" s="5" t="str">
        <f t="shared" si="45"/>
        <v>Y</v>
      </c>
      <c r="L1433" s="5" t="s">
        <v>1103</v>
      </c>
      <c r="M1433" s="5" t="s">
        <v>5868</v>
      </c>
      <c r="N1433" s="5" t="s">
        <v>5862</v>
      </c>
      <c r="O1433" s="5" t="s">
        <v>5869</v>
      </c>
      <c r="P1433" s="5" t="s">
        <v>2858</v>
      </c>
      <c r="Q1433" s="11">
        <v>46306.5</v>
      </c>
      <c r="R1433" s="6"/>
      <c r="S1433" s="6"/>
      <c r="T1433" s="6"/>
      <c r="U1433" s="5">
        <f>MATCH(B1433,Manual_Review!$A$6:$A$238,0)</f>
        <v>90</v>
      </c>
      <c r="V1433" s="5" t="str">
        <f>IF(INDEX(Manual_Review!$G$6:$G$238,U1433)="","",INDEX(Manual_Review!$G$6:$G$238,U1433))</f>
        <v/>
      </c>
      <c r="W1433" s="11" t="str">
        <f>IF(INDEX(Manual_Review!$H$6:$H$238,U1433)="","",INDEX(Manual_Review!$H$6:$H$238,U1433))</f>
        <v/>
      </c>
      <c r="X1433" s="5" t="str">
        <f>IF(INDEX(Manual_Review!$I$6:$I$238,U1433)="","",INDEX(Manual_Review!$I$6:$I$238,U1433))</f>
        <v/>
      </c>
      <c r="Y1433" s="5" t="s">
        <v>2859</v>
      </c>
    </row>
    <row r="1434" spans="1:25" ht="38.25">
      <c r="A1434" s="5" t="s">
        <v>5870</v>
      </c>
      <c r="B1434" s="5" t="s">
        <v>1090</v>
      </c>
      <c r="C1434" s="5" t="s">
        <v>1091</v>
      </c>
      <c r="D1434" s="5" t="s">
        <v>118</v>
      </c>
      <c r="E1434" s="5" t="s">
        <v>2785</v>
      </c>
      <c r="F1434" s="5" t="s">
        <v>2756</v>
      </c>
      <c r="G1434" s="5">
        <v>1</v>
      </c>
      <c r="H1434" s="5" t="s">
        <v>2854</v>
      </c>
      <c r="I1434" s="5" t="str">
        <f>IF(INDEX(Manual_Review!$O$6:$O$238,U1434)="","",INDEX(Manual_Review!$O$6:$O$238,U1434))</f>
        <v/>
      </c>
      <c r="J1434" s="5" t="str">
        <f t="shared" si="44"/>
        <v>AI provisional</v>
      </c>
      <c r="K1434" s="5" t="str">
        <f t="shared" si="45"/>
        <v>Y</v>
      </c>
      <c r="L1434" s="5" t="s">
        <v>1103</v>
      </c>
      <c r="M1434" s="5" t="s">
        <v>5871</v>
      </c>
      <c r="N1434" s="5" t="s">
        <v>5862</v>
      </c>
      <c r="O1434" s="5" t="s">
        <v>3138</v>
      </c>
      <c r="P1434" s="5" t="s">
        <v>2858</v>
      </c>
      <c r="Q1434" s="11">
        <v>46306.5</v>
      </c>
      <c r="R1434" s="6"/>
      <c r="S1434" s="6"/>
      <c r="T1434" s="6"/>
      <c r="U1434" s="5">
        <f>MATCH(B1434,Manual_Review!$A$6:$A$238,0)</f>
        <v>90</v>
      </c>
      <c r="V1434" s="5" t="str">
        <f>IF(INDEX(Manual_Review!$G$6:$G$238,U1434)="","",INDEX(Manual_Review!$G$6:$G$238,U1434))</f>
        <v/>
      </c>
      <c r="W1434" s="11" t="str">
        <f>IF(INDEX(Manual_Review!$H$6:$H$238,U1434)="","",INDEX(Manual_Review!$H$6:$H$238,U1434))</f>
        <v/>
      </c>
      <c r="X1434" s="5" t="str">
        <f>IF(INDEX(Manual_Review!$I$6:$I$238,U1434)="","",INDEX(Manual_Review!$I$6:$I$238,U1434))</f>
        <v/>
      </c>
      <c r="Y1434" s="5" t="s">
        <v>2859</v>
      </c>
    </row>
    <row r="1435" spans="1:25" ht="38.25">
      <c r="A1435" s="5" t="s">
        <v>5872</v>
      </c>
      <c r="B1435" s="5" t="s">
        <v>1090</v>
      </c>
      <c r="C1435" s="5" t="s">
        <v>1091</v>
      </c>
      <c r="D1435" s="5" t="s">
        <v>118</v>
      </c>
      <c r="E1435" s="5" t="s">
        <v>2786</v>
      </c>
      <c r="F1435" s="5" t="s">
        <v>2756</v>
      </c>
      <c r="G1435" s="5">
        <v>1</v>
      </c>
      <c r="H1435" s="5" t="s">
        <v>2854</v>
      </c>
      <c r="I1435" s="5" t="str">
        <f>IF(INDEX(Manual_Review!$P$6:$P$238,U1435)="","",INDEX(Manual_Review!$P$6:$P$238,U1435))</f>
        <v/>
      </c>
      <c r="J1435" s="5" t="str">
        <f t="shared" si="44"/>
        <v>AI provisional</v>
      </c>
      <c r="K1435" s="5" t="str">
        <f t="shared" si="45"/>
        <v>Y</v>
      </c>
      <c r="L1435" s="5" t="s">
        <v>1103</v>
      </c>
      <c r="M1435" s="5" t="s">
        <v>5873</v>
      </c>
      <c r="N1435" s="5" t="s">
        <v>5862</v>
      </c>
      <c r="O1435" s="5" t="s">
        <v>5106</v>
      </c>
      <c r="P1435" s="5" t="s">
        <v>2858</v>
      </c>
      <c r="Q1435" s="11">
        <v>46306.5</v>
      </c>
      <c r="R1435" s="6"/>
      <c r="S1435" s="6"/>
      <c r="T1435" s="6"/>
      <c r="U1435" s="5">
        <f>MATCH(B1435,Manual_Review!$A$6:$A$238,0)</f>
        <v>90</v>
      </c>
      <c r="V1435" s="5" t="str">
        <f>IF(INDEX(Manual_Review!$G$6:$G$238,U1435)="","",INDEX(Manual_Review!$G$6:$G$238,U1435))</f>
        <v/>
      </c>
      <c r="W1435" s="11" t="str">
        <f>IF(INDEX(Manual_Review!$H$6:$H$238,U1435)="","",INDEX(Manual_Review!$H$6:$H$238,U1435))</f>
        <v/>
      </c>
      <c r="X1435" s="5" t="str">
        <f>IF(INDEX(Manual_Review!$I$6:$I$238,U1435)="","",INDEX(Manual_Review!$I$6:$I$238,U1435))</f>
        <v/>
      </c>
      <c r="Y1435" s="5" t="s">
        <v>2859</v>
      </c>
    </row>
    <row r="1436" spans="1:25" ht="38.25">
      <c r="A1436" s="5" t="s">
        <v>5874</v>
      </c>
      <c r="B1436" s="5" t="s">
        <v>1090</v>
      </c>
      <c r="C1436" s="5" t="s">
        <v>1091</v>
      </c>
      <c r="D1436" s="5" t="s">
        <v>118</v>
      </c>
      <c r="E1436" s="5" t="s">
        <v>2787</v>
      </c>
      <c r="F1436" s="5" t="s">
        <v>2758</v>
      </c>
      <c r="G1436" s="5">
        <v>1</v>
      </c>
      <c r="H1436" s="5" t="s">
        <v>2854</v>
      </c>
      <c r="I1436" s="5" t="str">
        <f>IF(INDEX(Manual_Review!$Q$6:$Q$238,U1436)="","",INDEX(Manual_Review!$Q$6:$Q$238,U1436))</f>
        <v/>
      </c>
      <c r="J1436" s="5" t="str">
        <f t="shared" si="44"/>
        <v>AI provisional</v>
      </c>
      <c r="K1436" s="5" t="str">
        <f t="shared" si="45"/>
        <v>Y</v>
      </c>
      <c r="L1436" s="5" t="s">
        <v>1103</v>
      </c>
      <c r="M1436" s="5" t="s">
        <v>5875</v>
      </c>
      <c r="N1436" s="5" t="s">
        <v>5862</v>
      </c>
      <c r="O1436" s="5" t="s">
        <v>2969</v>
      </c>
      <c r="P1436" s="5" t="s">
        <v>2858</v>
      </c>
      <c r="Q1436" s="11">
        <v>46306.5</v>
      </c>
      <c r="R1436" s="6"/>
      <c r="S1436" s="6"/>
      <c r="T1436" s="6"/>
      <c r="U1436" s="5">
        <f>MATCH(B1436,Manual_Review!$A$6:$A$238,0)</f>
        <v>90</v>
      </c>
      <c r="V1436" s="5" t="str">
        <f>IF(INDEX(Manual_Review!$G$6:$G$238,U1436)="","",INDEX(Manual_Review!$G$6:$G$238,U1436))</f>
        <v/>
      </c>
      <c r="W1436" s="11" t="str">
        <f>IF(INDEX(Manual_Review!$H$6:$H$238,U1436)="","",INDEX(Manual_Review!$H$6:$H$238,U1436))</f>
        <v/>
      </c>
      <c r="X1436" s="5" t="str">
        <f>IF(INDEX(Manual_Review!$I$6:$I$238,U1436)="","",INDEX(Manual_Review!$I$6:$I$238,U1436))</f>
        <v/>
      </c>
      <c r="Y1436" s="5" t="s">
        <v>2859</v>
      </c>
    </row>
    <row r="1437" spans="1:25" ht="38.25">
      <c r="A1437" s="5" t="s">
        <v>5876</v>
      </c>
      <c r="B1437" s="5" t="s">
        <v>1090</v>
      </c>
      <c r="C1437" s="5" t="s">
        <v>1091</v>
      </c>
      <c r="D1437" s="5" t="s">
        <v>118</v>
      </c>
      <c r="E1437" s="5" t="s">
        <v>2788</v>
      </c>
      <c r="F1437" s="5" t="s">
        <v>2758</v>
      </c>
      <c r="G1437" s="5">
        <v>1</v>
      </c>
      <c r="H1437" s="5" t="s">
        <v>2854</v>
      </c>
      <c r="I1437" s="5" t="str">
        <f>IF(INDEX(Manual_Review!$R$6:$R$238,U1437)="","",INDEX(Manual_Review!$R$6:$R$238,U1437))</f>
        <v/>
      </c>
      <c r="J1437" s="5" t="str">
        <f t="shared" si="44"/>
        <v>AI provisional</v>
      </c>
      <c r="K1437" s="5" t="str">
        <f t="shared" si="45"/>
        <v>Y</v>
      </c>
      <c r="L1437" s="5" t="s">
        <v>1103</v>
      </c>
      <c r="M1437" s="5" t="s">
        <v>5877</v>
      </c>
      <c r="N1437" s="5" t="s">
        <v>5862</v>
      </c>
      <c r="O1437" s="5" t="s">
        <v>3067</v>
      </c>
      <c r="P1437" s="5" t="s">
        <v>2858</v>
      </c>
      <c r="Q1437" s="11">
        <v>46306.5</v>
      </c>
      <c r="R1437" s="6"/>
      <c r="S1437" s="6"/>
      <c r="T1437" s="6"/>
      <c r="U1437" s="5">
        <f>MATCH(B1437,Manual_Review!$A$6:$A$238,0)</f>
        <v>90</v>
      </c>
      <c r="V1437" s="5" t="str">
        <f>IF(INDEX(Manual_Review!$G$6:$G$238,U1437)="","",INDEX(Manual_Review!$G$6:$G$238,U1437))</f>
        <v/>
      </c>
      <c r="W1437" s="11" t="str">
        <f>IF(INDEX(Manual_Review!$H$6:$H$238,U1437)="","",INDEX(Manual_Review!$H$6:$H$238,U1437))</f>
        <v/>
      </c>
      <c r="X1437" s="5" t="str">
        <f>IF(INDEX(Manual_Review!$I$6:$I$238,U1437)="","",INDEX(Manual_Review!$I$6:$I$238,U1437))</f>
        <v/>
      </c>
      <c r="Y1437" s="5" t="s">
        <v>2859</v>
      </c>
    </row>
    <row r="1438" spans="1:25" ht="25.5">
      <c r="A1438" s="5" t="s">
        <v>5878</v>
      </c>
      <c r="B1438" s="5" t="s">
        <v>1090</v>
      </c>
      <c r="C1438" s="5" t="s">
        <v>1091</v>
      </c>
      <c r="D1438" s="5" t="s">
        <v>118</v>
      </c>
      <c r="E1438" s="5" t="s">
        <v>2789</v>
      </c>
      <c r="F1438" s="5" t="s">
        <v>2758</v>
      </c>
      <c r="G1438" s="5">
        <v>1</v>
      </c>
      <c r="H1438" s="5" t="s">
        <v>2854</v>
      </c>
      <c r="I1438" s="5" t="str">
        <f>IF(INDEX(Manual_Review!$S$6:$S$238,U1438)="","",INDEX(Manual_Review!$S$6:$S$238,U1438))</f>
        <v/>
      </c>
      <c r="J1438" s="5" t="str">
        <f t="shared" si="44"/>
        <v>AI provisional</v>
      </c>
      <c r="K1438" s="5" t="str">
        <f t="shared" si="45"/>
        <v>Y</v>
      </c>
      <c r="L1438" s="5" t="s">
        <v>1103</v>
      </c>
      <c r="M1438" s="5" t="s">
        <v>5879</v>
      </c>
      <c r="N1438" s="5" t="s">
        <v>5880</v>
      </c>
      <c r="O1438" s="5" t="s">
        <v>5881</v>
      </c>
      <c r="P1438" s="5" t="s">
        <v>3090</v>
      </c>
      <c r="Q1438" s="11">
        <v>46306.5</v>
      </c>
      <c r="R1438" s="6"/>
      <c r="S1438" s="6"/>
      <c r="T1438" s="6"/>
      <c r="U1438" s="5">
        <f>MATCH(B1438,Manual_Review!$A$6:$A$238,0)</f>
        <v>90</v>
      </c>
      <c r="V1438" s="5" t="str">
        <f>IF(INDEX(Manual_Review!$G$6:$G$238,U1438)="","",INDEX(Manual_Review!$G$6:$G$238,U1438))</f>
        <v/>
      </c>
      <c r="W1438" s="11" t="str">
        <f>IF(INDEX(Manual_Review!$H$6:$H$238,U1438)="","",INDEX(Manual_Review!$H$6:$H$238,U1438))</f>
        <v/>
      </c>
      <c r="X1438" s="5" t="str">
        <f>IF(INDEX(Manual_Review!$I$6:$I$238,U1438)="","",INDEX(Manual_Review!$I$6:$I$238,U1438))</f>
        <v/>
      </c>
      <c r="Y1438" s="5" t="s">
        <v>2859</v>
      </c>
    </row>
    <row r="1439" spans="1:25" ht="38.25">
      <c r="A1439" s="5" t="s">
        <v>5882</v>
      </c>
      <c r="B1439" s="5" t="s">
        <v>1090</v>
      </c>
      <c r="C1439" s="5" t="s">
        <v>1091</v>
      </c>
      <c r="D1439" s="5" t="s">
        <v>118</v>
      </c>
      <c r="E1439" s="5" t="s">
        <v>2790</v>
      </c>
      <c r="F1439" s="5" t="s">
        <v>2760</v>
      </c>
      <c r="G1439" s="5">
        <v>1</v>
      </c>
      <c r="H1439" s="5" t="s">
        <v>2854</v>
      </c>
      <c r="I1439" s="5" t="str">
        <f>IF(INDEX(Manual_Review!$T$6:$T$238,U1439)="","",INDEX(Manual_Review!$T$6:$T$238,U1439))</f>
        <v/>
      </c>
      <c r="J1439" s="5" t="str">
        <f t="shared" si="44"/>
        <v>AI provisional</v>
      </c>
      <c r="K1439" s="5" t="str">
        <f t="shared" si="45"/>
        <v>Y</v>
      </c>
      <c r="L1439" s="5" t="s">
        <v>1103</v>
      </c>
      <c r="M1439" s="5" t="s">
        <v>5883</v>
      </c>
      <c r="N1439" s="5" t="s">
        <v>5862</v>
      </c>
      <c r="O1439" s="5" t="s">
        <v>2976</v>
      </c>
      <c r="P1439" s="5" t="s">
        <v>2858</v>
      </c>
      <c r="Q1439" s="11">
        <v>46306.5</v>
      </c>
      <c r="R1439" s="6"/>
      <c r="S1439" s="6"/>
      <c r="T1439" s="6"/>
      <c r="U1439" s="5">
        <f>MATCH(B1439,Manual_Review!$A$6:$A$238,0)</f>
        <v>90</v>
      </c>
      <c r="V1439" s="5" t="str">
        <f>IF(INDEX(Manual_Review!$G$6:$G$238,U1439)="","",INDEX(Manual_Review!$G$6:$G$238,U1439))</f>
        <v/>
      </c>
      <c r="W1439" s="11" t="str">
        <f>IF(INDEX(Manual_Review!$H$6:$H$238,U1439)="","",INDEX(Manual_Review!$H$6:$H$238,U1439))</f>
        <v/>
      </c>
      <c r="X1439" s="5" t="str">
        <f>IF(INDEX(Manual_Review!$I$6:$I$238,U1439)="","",INDEX(Manual_Review!$I$6:$I$238,U1439))</f>
        <v/>
      </c>
      <c r="Y1439" s="5" t="s">
        <v>2859</v>
      </c>
    </row>
    <row r="1440" spans="1:25" ht="38.25">
      <c r="A1440" s="5" t="s">
        <v>5884</v>
      </c>
      <c r="B1440" s="5" t="s">
        <v>1090</v>
      </c>
      <c r="C1440" s="5" t="s">
        <v>1091</v>
      </c>
      <c r="D1440" s="5" t="s">
        <v>118</v>
      </c>
      <c r="E1440" s="5" t="s">
        <v>2791</v>
      </c>
      <c r="F1440" s="5" t="s">
        <v>2760</v>
      </c>
      <c r="G1440" s="5">
        <v>1</v>
      </c>
      <c r="H1440" s="5" t="s">
        <v>2864</v>
      </c>
      <c r="I1440" s="5" t="str">
        <f>IF(INDEX(Manual_Review!$U$6:$U$238,U1440)="","",INDEX(Manual_Review!$U$6:$U$238,U1440))</f>
        <v/>
      </c>
      <c r="J1440" s="5" t="str">
        <f t="shared" si="44"/>
        <v>AI provisional</v>
      </c>
      <c r="K1440" s="5" t="str">
        <f t="shared" si="45"/>
        <v>U</v>
      </c>
      <c r="L1440" s="5" t="s">
        <v>1103</v>
      </c>
      <c r="M1440" s="5" t="s">
        <v>5885</v>
      </c>
      <c r="N1440" s="5" t="s">
        <v>5862</v>
      </c>
      <c r="O1440" s="5" t="s">
        <v>2888</v>
      </c>
      <c r="P1440" s="5" t="s">
        <v>2858</v>
      </c>
      <c r="Q1440" s="11">
        <v>46306.5</v>
      </c>
      <c r="R1440" s="6"/>
      <c r="S1440" s="6"/>
      <c r="T1440" s="6"/>
      <c r="U1440" s="5">
        <f>MATCH(B1440,Manual_Review!$A$6:$A$238,0)</f>
        <v>90</v>
      </c>
      <c r="V1440" s="5" t="str">
        <f>IF(INDEX(Manual_Review!$G$6:$G$238,U1440)="","",INDEX(Manual_Review!$G$6:$G$238,U1440))</f>
        <v/>
      </c>
      <c r="W1440" s="11" t="str">
        <f>IF(INDEX(Manual_Review!$H$6:$H$238,U1440)="","",INDEX(Manual_Review!$H$6:$H$238,U1440))</f>
        <v/>
      </c>
      <c r="X1440" s="5" t="str">
        <f>IF(INDEX(Manual_Review!$I$6:$I$238,U1440)="","",INDEX(Manual_Review!$I$6:$I$238,U1440))</f>
        <v/>
      </c>
      <c r="Y1440" s="5" t="s">
        <v>2859</v>
      </c>
    </row>
    <row r="1441" spans="1:25" ht="38.25">
      <c r="A1441" s="5" t="s">
        <v>5886</v>
      </c>
      <c r="B1441" s="5" t="s">
        <v>1090</v>
      </c>
      <c r="C1441" s="5" t="s">
        <v>1091</v>
      </c>
      <c r="D1441" s="5" t="s">
        <v>118</v>
      </c>
      <c r="E1441" s="5" t="s">
        <v>2792</v>
      </c>
      <c r="F1441" s="5" t="s">
        <v>2762</v>
      </c>
      <c r="G1441" s="5">
        <v>1</v>
      </c>
      <c r="H1441" s="5" t="s">
        <v>2854</v>
      </c>
      <c r="I1441" s="5" t="str">
        <f>IF(INDEX(Manual_Review!$V$6:$V$238,U1441)="","",INDEX(Manual_Review!$V$6:$V$238,U1441))</f>
        <v/>
      </c>
      <c r="J1441" s="5" t="str">
        <f t="shared" si="44"/>
        <v>AI provisional</v>
      </c>
      <c r="K1441" s="5" t="str">
        <f t="shared" si="45"/>
        <v>Y</v>
      </c>
      <c r="L1441" s="5" t="s">
        <v>1103</v>
      </c>
      <c r="M1441" s="5" t="s">
        <v>5887</v>
      </c>
      <c r="N1441" s="5" t="s">
        <v>5862</v>
      </c>
      <c r="O1441" s="5" t="s">
        <v>3152</v>
      </c>
      <c r="P1441" s="5" t="s">
        <v>2858</v>
      </c>
      <c r="Q1441" s="11">
        <v>46306.5</v>
      </c>
      <c r="R1441" s="6"/>
      <c r="S1441" s="6"/>
      <c r="T1441" s="6"/>
      <c r="U1441" s="5">
        <f>MATCH(B1441,Manual_Review!$A$6:$A$238,0)</f>
        <v>90</v>
      </c>
      <c r="V1441" s="5" t="str">
        <f>IF(INDEX(Manual_Review!$G$6:$G$238,U1441)="","",INDEX(Manual_Review!$G$6:$G$238,U1441))</f>
        <v/>
      </c>
      <c r="W1441" s="11" t="str">
        <f>IF(INDEX(Manual_Review!$H$6:$H$238,U1441)="","",INDEX(Manual_Review!$H$6:$H$238,U1441))</f>
        <v/>
      </c>
      <c r="X1441" s="5" t="str">
        <f>IF(INDEX(Manual_Review!$I$6:$I$238,U1441)="","",INDEX(Manual_Review!$I$6:$I$238,U1441))</f>
        <v/>
      </c>
      <c r="Y1441" s="5" t="s">
        <v>2859</v>
      </c>
    </row>
    <row r="1442" spans="1:25" ht="38.25">
      <c r="A1442" s="5" t="s">
        <v>5888</v>
      </c>
      <c r="B1442" s="5" t="s">
        <v>1090</v>
      </c>
      <c r="C1442" s="5" t="s">
        <v>1091</v>
      </c>
      <c r="D1442" s="5" t="s">
        <v>118</v>
      </c>
      <c r="E1442" s="5" t="s">
        <v>2793</v>
      </c>
      <c r="F1442" s="5" t="s">
        <v>2762</v>
      </c>
      <c r="G1442" s="5">
        <v>1</v>
      </c>
      <c r="H1442" s="5" t="s">
        <v>2854</v>
      </c>
      <c r="I1442" s="5" t="str">
        <f>IF(INDEX(Manual_Review!$W$6:$W$238,U1442)="","",INDEX(Manual_Review!$W$6:$W$238,U1442))</f>
        <v/>
      </c>
      <c r="J1442" s="5" t="str">
        <f t="shared" si="44"/>
        <v>AI provisional</v>
      </c>
      <c r="K1442" s="5" t="str">
        <f t="shared" si="45"/>
        <v>Y</v>
      </c>
      <c r="L1442" s="5" t="s">
        <v>1103</v>
      </c>
      <c r="M1442" s="5" t="s">
        <v>5889</v>
      </c>
      <c r="N1442" s="5" t="s">
        <v>5862</v>
      </c>
      <c r="O1442" s="5" t="s">
        <v>3077</v>
      </c>
      <c r="P1442" s="5" t="s">
        <v>2858</v>
      </c>
      <c r="Q1442" s="11">
        <v>46306.5</v>
      </c>
      <c r="R1442" s="6"/>
      <c r="S1442" s="6"/>
      <c r="T1442" s="6"/>
      <c r="U1442" s="5">
        <f>MATCH(B1442,Manual_Review!$A$6:$A$238,0)</f>
        <v>90</v>
      </c>
      <c r="V1442" s="5" t="str">
        <f>IF(INDEX(Manual_Review!$G$6:$G$238,U1442)="","",INDEX(Manual_Review!$G$6:$G$238,U1442))</f>
        <v/>
      </c>
      <c r="W1442" s="11" t="str">
        <f>IF(INDEX(Manual_Review!$H$6:$H$238,U1442)="","",INDEX(Manual_Review!$H$6:$H$238,U1442))</f>
        <v/>
      </c>
      <c r="X1442" s="5" t="str">
        <f>IF(INDEX(Manual_Review!$I$6:$I$238,U1442)="","",INDEX(Manual_Review!$I$6:$I$238,U1442))</f>
        <v/>
      </c>
      <c r="Y1442" s="5" t="s">
        <v>2859</v>
      </c>
    </row>
    <row r="1443" spans="1:25" ht="38.25">
      <c r="A1443" s="5" t="s">
        <v>5890</v>
      </c>
      <c r="B1443" s="5" t="s">
        <v>1090</v>
      </c>
      <c r="C1443" s="5" t="s">
        <v>1091</v>
      </c>
      <c r="D1443" s="5" t="s">
        <v>118</v>
      </c>
      <c r="E1443" s="5" t="s">
        <v>2794</v>
      </c>
      <c r="F1443" s="5" t="s">
        <v>2764</v>
      </c>
      <c r="G1443" s="5">
        <v>1</v>
      </c>
      <c r="H1443" s="5" t="s">
        <v>2854</v>
      </c>
      <c r="I1443" s="5" t="str">
        <f>IF(INDEX(Manual_Review!$X$6:$X$238,U1443)="","",INDEX(Manual_Review!$X$6:$X$238,U1443))</f>
        <v/>
      </c>
      <c r="J1443" s="5" t="str">
        <f t="shared" si="44"/>
        <v>AI provisional</v>
      </c>
      <c r="K1443" s="5" t="str">
        <f t="shared" si="45"/>
        <v>Y</v>
      </c>
      <c r="L1443" s="5" t="s">
        <v>1103</v>
      </c>
      <c r="M1443" s="5" t="s">
        <v>5891</v>
      </c>
      <c r="N1443" s="5" t="s">
        <v>5862</v>
      </c>
      <c r="O1443" s="5" t="s">
        <v>2984</v>
      </c>
      <c r="P1443" s="5" t="s">
        <v>2858</v>
      </c>
      <c r="Q1443" s="11">
        <v>46306.5</v>
      </c>
      <c r="R1443" s="6"/>
      <c r="S1443" s="6"/>
      <c r="T1443" s="6"/>
      <c r="U1443" s="5">
        <f>MATCH(B1443,Manual_Review!$A$6:$A$238,0)</f>
        <v>90</v>
      </c>
      <c r="V1443" s="5" t="str">
        <f>IF(INDEX(Manual_Review!$G$6:$G$238,U1443)="","",INDEX(Manual_Review!$G$6:$G$238,U1443))</f>
        <v/>
      </c>
      <c r="W1443" s="11" t="str">
        <f>IF(INDEX(Manual_Review!$H$6:$H$238,U1443)="","",INDEX(Manual_Review!$H$6:$H$238,U1443))</f>
        <v/>
      </c>
      <c r="X1443" s="5" t="str">
        <f>IF(INDEX(Manual_Review!$I$6:$I$238,U1443)="","",INDEX(Manual_Review!$I$6:$I$238,U1443))</f>
        <v/>
      </c>
      <c r="Y1443" s="5" t="s">
        <v>2859</v>
      </c>
    </row>
    <row r="1444" spans="1:25" ht="38.25">
      <c r="A1444" s="5" t="s">
        <v>5892</v>
      </c>
      <c r="B1444" s="5" t="s">
        <v>1090</v>
      </c>
      <c r="C1444" s="5" t="s">
        <v>1091</v>
      </c>
      <c r="D1444" s="5" t="s">
        <v>118</v>
      </c>
      <c r="E1444" s="5" t="s">
        <v>2795</v>
      </c>
      <c r="F1444" s="5" t="s">
        <v>2764</v>
      </c>
      <c r="G1444" s="5">
        <v>1</v>
      </c>
      <c r="H1444" s="5" t="s">
        <v>2854</v>
      </c>
      <c r="I1444" s="5" t="str">
        <f>IF(INDEX(Manual_Review!$Y$6:$Y$238,U1444)="","",INDEX(Manual_Review!$Y$6:$Y$238,U1444))</f>
        <v/>
      </c>
      <c r="J1444" s="5" t="str">
        <f t="shared" si="44"/>
        <v>AI provisional</v>
      </c>
      <c r="K1444" s="5" t="str">
        <f t="shared" si="45"/>
        <v>Y</v>
      </c>
      <c r="L1444" s="5" t="s">
        <v>1103</v>
      </c>
      <c r="M1444" s="5" t="s">
        <v>5893</v>
      </c>
      <c r="N1444" s="5" t="s">
        <v>5862</v>
      </c>
      <c r="O1444" s="5" t="s">
        <v>5894</v>
      </c>
      <c r="P1444" s="5" t="s">
        <v>2858</v>
      </c>
      <c r="Q1444" s="11">
        <v>46306.5</v>
      </c>
      <c r="R1444" s="6"/>
      <c r="S1444" s="6"/>
      <c r="T1444" s="6"/>
      <c r="U1444" s="5">
        <f>MATCH(B1444,Manual_Review!$A$6:$A$238,0)</f>
        <v>90</v>
      </c>
      <c r="V1444" s="5" t="str">
        <f>IF(INDEX(Manual_Review!$G$6:$G$238,U1444)="","",INDEX(Manual_Review!$G$6:$G$238,U1444))</f>
        <v/>
      </c>
      <c r="W1444" s="11" t="str">
        <f>IF(INDEX(Manual_Review!$H$6:$H$238,U1444)="","",INDEX(Manual_Review!$H$6:$H$238,U1444))</f>
        <v/>
      </c>
      <c r="X1444" s="5" t="str">
        <f>IF(INDEX(Manual_Review!$I$6:$I$238,U1444)="","",INDEX(Manual_Review!$I$6:$I$238,U1444))</f>
        <v/>
      </c>
      <c r="Y1444" s="5" t="s">
        <v>2859</v>
      </c>
    </row>
    <row r="1445" spans="1:25" ht="38.25">
      <c r="A1445" s="5" t="s">
        <v>5895</v>
      </c>
      <c r="B1445" s="5" t="s">
        <v>1090</v>
      </c>
      <c r="C1445" s="5" t="s">
        <v>1091</v>
      </c>
      <c r="D1445" s="5" t="s">
        <v>118</v>
      </c>
      <c r="E1445" s="5" t="s">
        <v>2796</v>
      </c>
      <c r="F1445" s="5" t="s">
        <v>2764</v>
      </c>
      <c r="G1445" s="5">
        <v>1</v>
      </c>
      <c r="H1445" s="5" t="s">
        <v>2854</v>
      </c>
      <c r="I1445" s="5" t="str">
        <f>IF(INDEX(Manual_Review!$Z$6:$Z$238,U1445)="","",INDEX(Manual_Review!$Z$6:$Z$238,U1445))</f>
        <v/>
      </c>
      <c r="J1445" s="5" t="str">
        <f t="shared" si="44"/>
        <v>AI provisional</v>
      </c>
      <c r="K1445" s="5" t="str">
        <f t="shared" si="45"/>
        <v>Y</v>
      </c>
      <c r="L1445" s="5" t="s">
        <v>1103</v>
      </c>
      <c r="M1445" s="5" t="s">
        <v>5896</v>
      </c>
      <c r="N1445" s="5" t="s">
        <v>5862</v>
      </c>
      <c r="O1445" s="5" t="s">
        <v>3085</v>
      </c>
      <c r="P1445" s="5" t="s">
        <v>2858</v>
      </c>
      <c r="Q1445" s="11">
        <v>46306.5</v>
      </c>
      <c r="R1445" s="6"/>
      <c r="S1445" s="6"/>
      <c r="T1445" s="6"/>
      <c r="U1445" s="5">
        <f>MATCH(B1445,Manual_Review!$A$6:$A$238,0)</f>
        <v>90</v>
      </c>
      <c r="V1445" s="5" t="str">
        <f>IF(INDEX(Manual_Review!$G$6:$G$238,U1445)="","",INDEX(Manual_Review!$G$6:$G$238,U1445))</f>
        <v/>
      </c>
      <c r="W1445" s="11" t="str">
        <f>IF(INDEX(Manual_Review!$H$6:$H$238,U1445)="","",INDEX(Manual_Review!$H$6:$H$238,U1445))</f>
        <v/>
      </c>
      <c r="X1445" s="5" t="str">
        <f>IF(INDEX(Manual_Review!$I$6:$I$238,U1445)="","",INDEX(Manual_Review!$I$6:$I$238,U1445))</f>
        <v/>
      </c>
      <c r="Y1445" s="5" t="s">
        <v>2859</v>
      </c>
    </row>
    <row r="1446" spans="1:25" ht="25.5">
      <c r="A1446" s="5" t="s">
        <v>5897</v>
      </c>
      <c r="B1446" s="5" t="s">
        <v>1105</v>
      </c>
      <c r="C1446" s="5" t="s">
        <v>1106</v>
      </c>
      <c r="D1446" s="5" t="s">
        <v>118</v>
      </c>
      <c r="E1446" s="5" t="s">
        <v>2781</v>
      </c>
      <c r="F1446" s="5" t="s">
        <v>2754</v>
      </c>
      <c r="G1446" s="5">
        <v>1</v>
      </c>
      <c r="H1446" s="5" t="s">
        <v>2854</v>
      </c>
      <c r="I1446" s="5" t="str">
        <f>IF(INDEX(Manual_Review!$K$6:$K$238,U1446)="","",INDEX(Manual_Review!$K$6:$K$238,U1446))</f>
        <v/>
      </c>
      <c r="J1446" s="5" t="str">
        <f t="shared" si="44"/>
        <v>AI provisional</v>
      </c>
      <c r="K1446" s="5" t="str">
        <f t="shared" si="45"/>
        <v>Y</v>
      </c>
      <c r="L1446" s="5" t="s">
        <v>1112</v>
      </c>
      <c r="M1446" s="5" t="s">
        <v>5898</v>
      </c>
      <c r="N1446" s="5" t="s">
        <v>5899</v>
      </c>
      <c r="O1446" s="5" t="s">
        <v>2857</v>
      </c>
      <c r="P1446" s="5" t="s">
        <v>2858</v>
      </c>
      <c r="Q1446" s="11">
        <v>46306.5</v>
      </c>
      <c r="R1446" s="6"/>
      <c r="S1446" s="6"/>
      <c r="T1446" s="6"/>
      <c r="U1446" s="5">
        <f>MATCH(B1446,Manual_Review!$A$6:$A$238,0)</f>
        <v>91</v>
      </c>
      <c r="V1446" s="5" t="str">
        <f>IF(INDEX(Manual_Review!$G$6:$G$238,U1446)="","",INDEX(Manual_Review!$G$6:$G$238,U1446))</f>
        <v/>
      </c>
      <c r="W1446" s="11" t="str">
        <f>IF(INDEX(Manual_Review!$H$6:$H$238,U1446)="","",INDEX(Manual_Review!$H$6:$H$238,U1446))</f>
        <v/>
      </c>
      <c r="X1446" s="5" t="str">
        <f>IF(INDEX(Manual_Review!$I$6:$I$238,U1446)="","",INDEX(Manual_Review!$I$6:$I$238,U1446))</f>
        <v/>
      </c>
      <c r="Y1446" s="5" t="s">
        <v>2859</v>
      </c>
    </row>
    <row r="1447" spans="1:25" ht="25.5">
      <c r="A1447" s="5" t="s">
        <v>5900</v>
      </c>
      <c r="B1447" s="5" t="s">
        <v>1105</v>
      </c>
      <c r="C1447" s="5" t="s">
        <v>1106</v>
      </c>
      <c r="D1447" s="5" t="s">
        <v>118</v>
      </c>
      <c r="E1447" s="5" t="s">
        <v>2782</v>
      </c>
      <c r="F1447" s="5" t="s">
        <v>2754</v>
      </c>
      <c r="G1447" s="5">
        <v>1</v>
      </c>
      <c r="H1447" s="5" t="s">
        <v>2854</v>
      </c>
      <c r="I1447" s="5" t="str">
        <f>IF(INDEX(Manual_Review!$L$6:$L$238,U1447)="","",INDEX(Manual_Review!$L$6:$L$238,U1447))</f>
        <v/>
      </c>
      <c r="J1447" s="5" t="str">
        <f t="shared" si="44"/>
        <v>AI provisional</v>
      </c>
      <c r="K1447" s="5" t="str">
        <f t="shared" si="45"/>
        <v>Y</v>
      </c>
      <c r="L1447" s="5" t="s">
        <v>1112</v>
      </c>
      <c r="M1447" s="5" t="s">
        <v>5901</v>
      </c>
      <c r="N1447" s="5" t="s">
        <v>5899</v>
      </c>
      <c r="O1447" s="5" t="s">
        <v>2862</v>
      </c>
      <c r="P1447" s="5" t="s">
        <v>2858</v>
      </c>
      <c r="Q1447" s="11">
        <v>46306.5</v>
      </c>
      <c r="R1447" s="6"/>
      <c r="S1447" s="6"/>
      <c r="T1447" s="6"/>
      <c r="U1447" s="5">
        <f>MATCH(B1447,Manual_Review!$A$6:$A$238,0)</f>
        <v>91</v>
      </c>
      <c r="V1447" s="5" t="str">
        <f>IF(INDEX(Manual_Review!$G$6:$G$238,U1447)="","",INDEX(Manual_Review!$G$6:$G$238,U1447))</f>
        <v/>
      </c>
      <c r="W1447" s="11" t="str">
        <f>IF(INDEX(Manual_Review!$H$6:$H$238,U1447)="","",INDEX(Manual_Review!$H$6:$H$238,U1447))</f>
        <v/>
      </c>
      <c r="X1447" s="5" t="str">
        <f>IF(INDEX(Manual_Review!$I$6:$I$238,U1447)="","",INDEX(Manual_Review!$I$6:$I$238,U1447))</f>
        <v/>
      </c>
      <c r="Y1447" s="5" t="s">
        <v>2859</v>
      </c>
    </row>
    <row r="1448" spans="1:25" ht="25.5">
      <c r="A1448" s="5" t="s">
        <v>5902</v>
      </c>
      <c r="B1448" s="5" t="s">
        <v>1105</v>
      </c>
      <c r="C1448" s="5" t="s">
        <v>1106</v>
      </c>
      <c r="D1448" s="5" t="s">
        <v>118</v>
      </c>
      <c r="E1448" s="5" t="s">
        <v>2783</v>
      </c>
      <c r="F1448" s="5" t="s">
        <v>2754</v>
      </c>
      <c r="G1448" s="5">
        <v>1</v>
      </c>
      <c r="H1448" s="5" t="s">
        <v>2854</v>
      </c>
      <c r="I1448" s="5" t="str">
        <f>IF(INDEX(Manual_Review!$M$6:$M$238,U1448)="","",INDEX(Manual_Review!$M$6:$M$238,U1448))</f>
        <v/>
      </c>
      <c r="J1448" s="5" t="str">
        <f t="shared" si="44"/>
        <v>AI provisional</v>
      </c>
      <c r="K1448" s="5" t="str">
        <f t="shared" si="45"/>
        <v>Y</v>
      </c>
      <c r="L1448" s="5" t="s">
        <v>1112</v>
      </c>
      <c r="M1448" s="5" t="s">
        <v>5903</v>
      </c>
      <c r="N1448" s="5" t="s">
        <v>5899</v>
      </c>
      <c r="O1448" s="5" t="s">
        <v>3133</v>
      </c>
      <c r="P1448" s="5" t="s">
        <v>2858</v>
      </c>
      <c r="Q1448" s="11">
        <v>46306.5</v>
      </c>
      <c r="R1448" s="6"/>
      <c r="S1448" s="6"/>
      <c r="T1448" s="6"/>
      <c r="U1448" s="5">
        <f>MATCH(B1448,Manual_Review!$A$6:$A$238,0)</f>
        <v>91</v>
      </c>
      <c r="V1448" s="5" t="str">
        <f>IF(INDEX(Manual_Review!$G$6:$G$238,U1448)="","",INDEX(Manual_Review!$G$6:$G$238,U1448))</f>
        <v/>
      </c>
      <c r="W1448" s="11" t="str">
        <f>IF(INDEX(Manual_Review!$H$6:$H$238,U1448)="","",INDEX(Manual_Review!$H$6:$H$238,U1448))</f>
        <v/>
      </c>
      <c r="X1448" s="5" t="str">
        <f>IF(INDEX(Manual_Review!$I$6:$I$238,U1448)="","",INDEX(Manual_Review!$I$6:$I$238,U1448))</f>
        <v/>
      </c>
      <c r="Y1448" s="5" t="s">
        <v>2859</v>
      </c>
    </row>
    <row r="1449" spans="1:25" ht="25.5">
      <c r="A1449" s="5" t="s">
        <v>5904</v>
      </c>
      <c r="B1449" s="5" t="s">
        <v>1105</v>
      </c>
      <c r="C1449" s="5" t="s">
        <v>1106</v>
      </c>
      <c r="D1449" s="5" t="s">
        <v>118</v>
      </c>
      <c r="E1449" s="5" t="s">
        <v>2784</v>
      </c>
      <c r="F1449" s="5" t="s">
        <v>2756</v>
      </c>
      <c r="G1449" s="5">
        <v>1</v>
      </c>
      <c r="H1449" s="5" t="s">
        <v>2854</v>
      </c>
      <c r="I1449" s="5" t="str">
        <f>IF(INDEX(Manual_Review!$N$6:$N$238,U1449)="","",INDEX(Manual_Review!$N$6:$N$238,U1449))</f>
        <v/>
      </c>
      <c r="J1449" s="5" t="str">
        <f t="shared" si="44"/>
        <v>AI provisional</v>
      </c>
      <c r="K1449" s="5" t="str">
        <f t="shared" si="45"/>
        <v>Y</v>
      </c>
      <c r="L1449" s="5" t="s">
        <v>1112</v>
      </c>
      <c r="M1449" s="5" t="s">
        <v>5905</v>
      </c>
      <c r="N1449" s="5" t="s">
        <v>5899</v>
      </c>
      <c r="O1449" s="5" t="s">
        <v>2963</v>
      </c>
      <c r="P1449" s="5" t="s">
        <v>2858</v>
      </c>
      <c r="Q1449" s="11">
        <v>46306.5</v>
      </c>
      <c r="R1449" s="6"/>
      <c r="S1449" s="6"/>
      <c r="T1449" s="6"/>
      <c r="U1449" s="5">
        <f>MATCH(B1449,Manual_Review!$A$6:$A$238,0)</f>
        <v>91</v>
      </c>
      <c r="V1449" s="5" t="str">
        <f>IF(INDEX(Manual_Review!$G$6:$G$238,U1449)="","",INDEX(Manual_Review!$G$6:$G$238,U1449))</f>
        <v/>
      </c>
      <c r="W1449" s="11" t="str">
        <f>IF(INDEX(Manual_Review!$H$6:$H$238,U1449)="","",INDEX(Manual_Review!$H$6:$H$238,U1449))</f>
        <v/>
      </c>
      <c r="X1449" s="5" t="str">
        <f>IF(INDEX(Manual_Review!$I$6:$I$238,U1449)="","",INDEX(Manual_Review!$I$6:$I$238,U1449))</f>
        <v/>
      </c>
      <c r="Y1449" s="5" t="s">
        <v>2859</v>
      </c>
    </row>
    <row r="1450" spans="1:25" ht="25.5">
      <c r="A1450" s="5" t="s">
        <v>5906</v>
      </c>
      <c r="B1450" s="5" t="s">
        <v>1105</v>
      </c>
      <c r="C1450" s="5" t="s">
        <v>1106</v>
      </c>
      <c r="D1450" s="5" t="s">
        <v>118</v>
      </c>
      <c r="E1450" s="5" t="s">
        <v>2785</v>
      </c>
      <c r="F1450" s="5" t="s">
        <v>2756</v>
      </c>
      <c r="G1450" s="5">
        <v>1</v>
      </c>
      <c r="H1450" s="5" t="s">
        <v>2854</v>
      </c>
      <c r="I1450" s="5" t="str">
        <f>IF(INDEX(Manual_Review!$O$6:$O$238,U1450)="","",INDEX(Manual_Review!$O$6:$O$238,U1450))</f>
        <v/>
      </c>
      <c r="J1450" s="5" t="str">
        <f t="shared" si="44"/>
        <v>AI provisional</v>
      </c>
      <c r="K1450" s="5" t="str">
        <f t="shared" si="45"/>
        <v>Y</v>
      </c>
      <c r="L1450" s="5" t="s">
        <v>1112</v>
      </c>
      <c r="M1450" s="5" t="s">
        <v>5907</v>
      </c>
      <c r="N1450" s="5" t="s">
        <v>5899</v>
      </c>
      <c r="O1450" s="5" t="s">
        <v>3138</v>
      </c>
      <c r="P1450" s="5" t="s">
        <v>2858</v>
      </c>
      <c r="Q1450" s="11">
        <v>46306.5</v>
      </c>
      <c r="R1450" s="6"/>
      <c r="S1450" s="6"/>
      <c r="T1450" s="6"/>
      <c r="U1450" s="5">
        <f>MATCH(B1450,Manual_Review!$A$6:$A$238,0)</f>
        <v>91</v>
      </c>
      <c r="V1450" s="5" t="str">
        <f>IF(INDEX(Manual_Review!$G$6:$G$238,U1450)="","",INDEX(Manual_Review!$G$6:$G$238,U1450))</f>
        <v/>
      </c>
      <c r="W1450" s="11" t="str">
        <f>IF(INDEX(Manual_Review!$H$6:$H$238,U1450)="","",INDEX(Manual_Review!$H$6:$H$238,U1450))</f>
        <v/>
      </c>
      <c r="X1450" s="5" t="str">
        <f>IF(INDEX(Manual_Review!$I$6:$I$238,U1450)="","",INDEX(Manual_Review!$I$6:$I$238,U1450))</f>
        <v/>
      </c>
      <c r="Y1450" s="5" t="s">
        <v>2859</v>
      </c>
    </row>
    <row r="1451" spans="1:25" ht="25.5">
      <c r="A1451" s="5" t="s">
        <v>5908</v>
      </c>
      <c r="B1451" s="5" t="s">
        <v>1105</v>
      </c>
      <c r="C1451" s="5" t="s">
        <v>1106</v>
      </c>
      <c r="D1451" s="5" t="s">
        <v>118</v>
      </c>
      <c r="E1451" s="5" t="s">
        <v>2786</v>
      </c>
      <c r="F1451" s="5" t="s">
        <v>2756</v>
      </c>
      <c r="G1451" s="5">
        <v>1</v>
      </c>
      <c r="H1451" s="5" t="s">
        <v>2864</v>
      </c>
      <c r="I1451" s="5" t="str">
        <f>IF(INDEX(Manual_Review!$P$6:$P$238,U1451)="","",INDEX(Manual_Review!$P$6:$P$238,U1451))</f>
        <v/>
      </c>
      <c r="J1451" s="5" t="str">
        <f t="shared" si="44"/>
        <v>AI provisional</v>
      </c>
      <c r="K1451" s="5" t="str">
        <f t="shared" si="45"/>
        <v>U</v>
      </c>
      <c r="L1451" s="5" t="s">
        <v>1112</v>
      </c>
      <c r="M1451" s="5" t="s">
        <v>5903</v>
      </c>
      <c r="N1451" s="5" t="s">
        <v>5899</v>
      </c>
      <c r="O1451" s="5" t="s">
        <v>2874</v>
      </c>
      <c r="P1451" s="5" t="s">
        <v>2858</v>
      </c>
      <c r="Q1451" s="11">
        <v>46306.5</v>
      </c>
      <c r="R1451" s="6"/>
      <c r="S1451" s="6"/>
      <c r="T1451" s="6"/>
      <c r="U1451" s="5">
        <f>MATCH(B1451,Manual_Review!$A$6:$A$238,0)</f>
        <v>91</v>
      </c>
      <c r="V1451" s="5" t="str">
        <f>IF(INDEX(Manual_Review!$G$6:$G$238,U1451)="","",INDEX(Manual_Review!$G$6:$G$238,U1451))</f>
        <v/>
      </c>
      <c r="W1451" s="11" t="str">
        <f>IF(INDEX(Manual_Review!$H$6:$H$238,U1451)="","",INDEX(Manual_Review!$H$6:$H$238,U1451))</f>
        <v/>
      </c>
      <c r="X1451" s="5" t="str">
        <f>IF(INDEX(Manual_Review!$I$6:$I$238,U1451)="","",INDEX(Manual_Review!$I$6:$I$238,U1451))</f>
        <v/>
      </c>
      <c r="Y1451" s="5" t="s">
        <v>2859</v>
      </c>
    </row>
    <row r="1452" spans="1:25" ht="25.5">
      <c r="A1452" s="5" t="s">
        <v>5909</v>
      </c>
      <c r="B1452" s="5" t="s">
        <v>1105</v>
      </c>
      <c r="C1452" s="5" t="s">
        <v>1106</v>
      </c>
      <c r="D1452" s="5" t="s">
        <v>118</v>
      </c>
      <c r="E1452" s="5" t="s">
        <v>2787</v>
      </c>
      <c r="F1452" s="5" t="s">
        <v>2758</v>
      </c>
      <c r="G1452" s="5">
        <v>1</v>
      </c>
      <c r="H1452" s="5" t="s">
        <v>2854</v>
      </c>
      <c r="I1452" s="5" t="str">
        <f>IF(INDEX(Manual_Review!$Q$6:$Q$238,U1452)="","",INDEX(Manual_Review!$Q$6:$Q$238,U1452))</f>
        <v/>
      </c>
      <c r="J1452" s="5" t="str">
        <f t="shared" si="44"/>
        <v>AI provisional</v>
      </c>
      <c r="K1452" s="5" t="str">
        <f t="shared" si="45"/>
        <v>Y</v>
      </c>
      <c r="L1452" s="5" t="s">
        <v>1112</v>
      </c>
      <c r="M1452" s="5" t="s">
        <v>5910</v>
      </c>
      <c r="N1452" s="5" t="s">
        <v>5899</v>
      </c>
      <c r="O1452" s="5" t="s">
        <v>2969</v>
      </c>
      <c r="P1452" s="5" t="s">
        <v>2858</v>
      </c>
      <c r="Q1452" s="11">
        <v>46306.5</v>
      </c>
      <c r="R1452" s="6"/>
      <c r="S1452" s="6"/>
      <c r="T1452" s="6"/>
      <c r="U1452" s="5">
        <f>MATCH(B1452,Manual_Review!$A$6:$A$238,0)</f>
        <v>91</v>
      </c>
      <c r="V1452" s="5" t="str">
        <f>IF(INDEX(Manual_Review!$G$6:$G$238,U1452)="","",INDEX(Manual_Review!$G$6:$G$238,U1452))</f>
        <v/>
      </c>
      <c r="W1452" s="11" t="str">
        <f>IF(INDEX(Manual_Review!$H$6:$H$238,U1452)="","",INDEX(Manual_Review!$H$6:$H$238,U1452))</f>
        <v/>
      </c>
      <c r="X1452" s="5" t="str">
        <f>IF(INDEX(Manual_Review!$I$6:$I$238,U1452)="","",INDEX(Manual_Review!$I$6:$I$238,U1452))</f>
        <v/>
      </c>
      <c r="Y1452" s="5" t="s">
        <v>2859</v>
      </c>
    </row>
    <row r="1453" spans="1:25" ht="25.5">
      <c r="A1453" s="5" t="s">
        <v>5911</v>
      </c>
      <c r="B1453" s="5" t="s">
        <v>1105</v>
      </c>
      <c r="C1453" s="5" t="s">
        <v>1106</v>
      </c>
      <c r="D1453" s="5" t="s">
        <v>118</v>
      </c>
      <c r="E1453" s="5" t="s">
        <v>2788</v>
      </c>
      <c r="F1453" s="5" t="s">
        <v>2758</v>
      </c>
      <c r="G1453" s="5">
        <v>1</v>
      </c>
      <c r="H1453" s="5" t="s">
        <v>2854</v>
      </c>
      <c r="I1453" s="5" t="str">
        <f>IF(INDEX(Manual_Review!$R$6:$R$238,U1453)="","",INDEX(Manual_Review!$R$6:$R$238,U1453))</f>
        <v/>
      </c>
      <c r="J1453" s="5" t="str">
        <f t="shared" si="44"/>
        <v>AI provisional</v>
      </c>
      <c r="K1453" s="5" t="str">
        <f t="shared" si="45"/>
        <v>Y</v>
      </c>
      <c r="L1453" s="5" t="s">
        <v>1112</v>
      </c>
      <c r="M1453" s="5" t="s">
        <v>5912</v>
      </c>
      <c r="N1453" s="5" t="s">
        <v>5899</v>
      </c>
      <c r="O1453" s="5" t="s">
        <v>3067</v>
      </c>
      <c r="P1453" s="5" t="s">
        <v>2858</v>
      </c>
      <c r="Q1453" s="11">
        <v>46306.5</v>
      </c>
      <c r="R1453" s="6"/>
      <c r="S1453" s="6"/>
      <c r="T1453" s="6"/>
      <c r="U1453" s="5">
        <f>MATCH(B1453,Manual_Review!$A$6:$A$238,0)</f>
        <v>91</v>
      </c>
      <c r="V1453" s="5" t="str">
        <f>IF(INDEX(Manual_Review!$G$6:$G$238,U1453)="","",INDEX(Manual_Review!$G$6:$G$238,U1453))</f>
        <v/>
      </c>
      <c r="W1453" s="11" t="str">
        <f>IF(INDEX(Manual_Review!$H$6:$H$238,U1453)="","",INDEX(Manual_Review!$H$6:$H$238,U1453))</f>
        <v/>
      </c>
      <c r="X1453" s="5" t="str">
        <f>IF(INDEX(Manual_Review!$I$6:$I$238,U1453)="","",INDEX(Manual_Review!$I$6:$I$238,U1453))</f>
        <v/>
      </c>
      <c r="Y1453" s="5" t="s">
        <v>2859</v>
      </c>
    </row>
    <row r="1454" spans="1:25" ht="25.5">
      <c r="A1454" s="5" t="s">
        <v>5913</v>
      </c>
      <c r="B1454" s="5" t="s">
        <v>1105</v>
      </c>
      <c r="C1454" s="5" t="s">
        <v>1106</v>
      </c>
      <c r="D1454" s="5" t="s">
        <v>118</v>
      </c>
      <c r="E1454" s="5" t="s">
        <v>2789</v>
      </c>
      <c r="F1454" s="5" t="s">
        <v>2758</v>
      </c>
      <c r="G1454" s="5">
        <v>1</v>
      </c>
      <c r="H1454" s="5" t="s">
        <v>2854</v>
      </c>
      <c r="I1454" s="5" t="str">
        <f>IF(INDEX(Manual_Review!$S$6:$S$238,U1454)="","",INDEX(Manual_Review!$S$6:$S$238,U1454))</f>
        <v/>
      </c>
      <c r="J1454" s="5" t="str">
        <f t="shared" si="44"/>
        <v>AI provisional</v>
      </c>
      <c r="K1454" s="5" t="str">
        <f t="shared" si="45"/>
        <v>Y</v>
      </c>
      <c r="L1454" s="5" t="s">
        <v>1112</v>
      </c>
      <c r="M1454" s="5" t="s">
        <v>5914</v>
      </c>
      <c r="N1454" s="5" t="s">
        <v>5899</v>
      </c>
      <c r="O1454" s="5" t="s">
        <v>3178</v>
      </c>
      <c r="P1454" s="5" t="s">
        <v>2858</v>
      </c>
      <c r="Q1454" s="11">
        <v>46306.5</v>
      </c>
      <c r="R1454" s="6"/>
      <c r="S1454" s="6"/>
      <c r="T1454" s="6"/>
      <c r="U1454" s="5">
        <f>MATCH(B1454,Manual_Review!$A$6:$A$238,0)</f>
        <v>91</v>
      </c>
      <c r="V1454" s="5" t="str">
        <f>IF(INDEX(Manual_Review!$G$6:$G$238,U1454)="","",INDEX(Manual_Review!$G$6:$G$238,U1454))</f>
        <v/>
      </c>
      <c r="W1454" s="11" t="str">
        <f>IF(INDEX(Manual_Review!$H$6:$H$238,U1454)="","",INDEX(Manual_Review!$H$6:$H$238,U1454))</f>
        <v/>
      </c>
      <c r="X1454" s="5" t="str">
        <f>IF(INDEX(Manual_Review!$I$6:$I$238,U1454)="","",INDEX(Manual_Review!$I$6:$I$238,U1454))</f>
        <v/>
      </c>
      <c r="Y1454" s="5" t="s">
        <v>2859</v>
      </c>
    </row>
    <row r="1455" spans="1:25" ht="25.5">
      <c r="A1455" s="5" t="s">
        <v>5915</v>
      </c>
      <c r="B1455" s="5" t="s">
        <v>1105</v>
      </c>
      <c r="C1455" s="5" t="s">
        <v>1106</v>
      </c>
      <c r="D1455" s="5" t="s">
        <v>118</v>
      </c>
      <c r="E1455" s="5" t="s">
        <v>2790</v>
      </c>
      <c r="F1455" s="5" t="s">
        <v>2760</v>
      </c>
      <c r="G1455" s="5">
        <v>1</v>
      </c>
      <c r="H1455" s="5" t="s">
        <v>2864</v>
      </c>
      <c r="I1455" s="5" t="str">
        <f>IF(INDEX(Manual_Review!$T$6:$T$238,U1455)="","",INDEX(Manual_Review!$T$6:$T$238,U1455))</f>
        <v/>
      </c>
      <c r="J1455" s="5" t="str">
        <f t="shared" si="44"/>
        <v>AI provisional</v>
      </c>
      <c r="K1455" s="5" t="str">
        <f t="shared" si="45"/>
        <v>U</v>
      </c>
      <c r="L1455" s="5" t="s">
        <v>1112</v>
      </c>
      <c r="M1455" s="5" t="s">
        <v>5903</v>
      </c>
      <c r="N1455" s="5" t="s">
        <v>5899</v>
      </c>
      <c r="O1455" s="5" t="s">
        <v>2885</v>
      </c>
      <c r="P1455" s="5" t="s">
        <v>2858</v>
      </c>
      <c r="Q1455" s="11">
        <v>46306.5</v>
      </c>
      <c r="R1455" s="6"/>
      <c r="S1455" s="6"/>
      <c r="T1455" s="6"/>
      <c r="U1455" s="5">
        <f>MATCH(B1455,Manual_Review!$A$6:$A$238,0)</f>
        <v>91</v>
      </c>
      <c r="V1455" s="5" t="str">
        <f>IF(INDEX(Manual_Review!$G$6:$G$238,U1455)="","",INDEX(Manual_Review!$G$6:$G$238,U1455))</f>
        <v/>
      </c>
      <c r="W1455" s="11" t="str">
        <f>IF(INDEX(Manual_Review!$H$6:$H$238,U1455)="","",INDEX(Manual_Review!$H$6:$H$238,U1455))</f>
        <v/>
      </c>
      <c r="X1455" s="5" t="str">
        <f>IF(INDEX(Manual_Review!$I$6:$I$238,U1455)="","",INDEX(Manual_Review!$I$6:$I$238,U1455))</f>
        <v/>
      </c>
      <c r="Y1455" s="5" t="s">
        <v>2859</v>
      </c>
    </row>
    <row r="1456" spans="1:25" ht="25.5">
      <c r="A1456" s="5" t="s">
        <v>5916</v>
      </c>
      <c r="B1456" s="5" t="s">
        <v>1105</v>
      </c>
      <c r="C1456" s="5" t="s">
        <v>1106</v>
      </c>
      <c r="D1456" s="5" t="s">
        <v>118</v>
      </c>
      <c r="E1456" s="5" t="s">
        <v>2791</v>
      </c>
      <c r="F1456" s="5" t="s">
        <v>2760</v>
      </c>
      <c r="G1456" s="5">
        <v>1</v>
      </c>
      <c r="H1456" s="5" t="s">
        <v>2864</v>
      </c>
      <c r="I1456" s="5" t="str">
        <f>IF(INDEX(Manual_Review!$U$6:$U$238,U1456)="","",INDEX(Manual_Review!$U$6:$U$238,U1456))</f>
        <v/>
      </c>
      <c r="J1456" s="5" t="str">
        <f t="shared" si="44"/>
        <v>AI provisional</v>
      </c>
      <c r="K1456" s="5" t="str">
        <f t="shared" si="45"/>
        <v>U</v>
      </c>
      <c r="L1456" s="5" t="s">
        <v>1112</v>
      </c>
      <c r="M1456" s="5" t="s">
        <v>5917</v>
      </c>
      <c r="N1456" s="5" t="s">
        <v>5899</v>
      </c>
      <c r="O1456" s="5" t="s">
        <v>2888</v>
      </c>
      <c r="P1456" s="5" t="s">
        <v>2858</v>
      </c>
      <c r="Q1456" s="11">
        <v>46306.5</v>
      </c>
      <c r="R1456" s="6"/>
      <c r="S1456" s="6"/>
      <c r="T1456" s="6"/>
      <c r="U1456" s="5">
        <f>MATCH(B1456,Manual_Review!$A$6:$A$238,0)</f>
        <v>91</v>
      </c>
      <c r="V1456" s="5" t="str">
        <f>IF(INDEX(Manual_Review!$G$6:$G$238,U1456)="","",INDEX(Manual_Review!$G$6:$G$238,U1456))</f>
        <v/>
      </c>
      <c r="W1456" s="11" t="str">
        <f>IF(INDEX(Manual_Review!$H$6:$H$238,U1456)="","",INDEX(Manual_Review!$H$6:$H$238,U1456))</f>
        <v/>
      </c>
      <c r="X1456" s="5" t="str">
        <f>IF(INDEX(Manual_Review!$I$6:$I$238,U1456)="","",INDEX(Manual_Review!$I$6:$I$238,U1456))</f>
        <v/>
      </c>
      <c r="Y1456" s="5" t="s">
        <v>2859</v>
      </c>
    </row>
    <row r="1457" spans="1:25" ht="25.5">
      <c r="A1457" s="5" t="s">
        <v>5918</v>
      </c>
      <c r="B1457" s="5" t="s">
        <v>1105</v>
      </c>
      <c r="C1457" s="5" t="s">
        <v>1106</v>
      </c>
      <c r="D1457" s="5" t="s">
        <v>118</v>
      </c>
      <c r="E1457" s="5" t="s">
        <v>2792</v>
      </c>
      <c r="F1457" s="5" t="s">
        <v>2762</v>
      </c>
      <c r="G1457" s="5">
        <v>1</v>
      </c>
      <c r="H1457" s="5" t="s">
        <v>2864</v>
      </c>
      <c r="I1457" s="5" t="str">
        <f>IF(INDEX(Manual_Review!$V$6:$V$238,U1457)="","",INDEX(Manual_Review!$V$6:$V$238,U1457))</f>
        <v/>
      </c>
      <c r="J1457" s="5" t="str">
        <f t="shared" si="44"/>
        <v>AI provisional</v>
      </c>
      <c r="K1457" s="5" t="str">
        <f t="shared" si="45"/>
        <v>U</v>
      </c>
      <c r="L1457" s="5" t="s">
        <v>1112</v>
      </c>
      <c r="M1457" s="5" t="s">
        <v>5903</v>
      </c>
      <c r="N1457" s="5" t="s">
        <v>5899</v>
      </c>
      <c r="O1457" s="5" t="s">
        <v>2891</v>
      </c>
      <c r="P1457" s="5" t="s">
        <v>2858</v>
      </c>
      <c r="Q1457" s="11">
        <v>46306.5</v>
      </c>
      <c r="R1457" s="6"/>
      <c r="S1457" s="6"/>
      <c r="T1457" s="6"/>
      <c r="U1457" s="5">
        <f>MATCH(B1457,Manual_Review!$A$6:$A$238,0)</f>
        <v>91</v>
      </c>
      <c r="V1457" s="5" t="str">
        <f>IF(INDEX(Manual_Review!$G$6:$G$238,U1457)="","",INDEX(Manual_Review!$G$6:$G$238,U1457))</f>
        <v/>
      </c>
      <c r="W1457" s="11" t="str">
        <f>IF(INDEX(Manual_Review!$H$6:$H$238,U1457)="","",INDEX(Manual_Review!$H$6:$H$238,U1457))</f>
        <v/>
      </c>
      <c r="X1457" s="5" t="str">
        <f>IF(INDEX(Manual_Review!$I$6:$I$238,U1457)="","",INDEX(Manual_Review!$I$6:$I$238,U1457))</f>
        <v/>
      </c>
      <c r="Y1457" s="5" t="s">
        <v>2859</v>
      </c>
    </row>
    <row r="1458" spans="1:25" ht="25.5">
      <c r="A1458" s="5" t="s">
        <v>5919</v>
      </c>
      <c r="B1458" s="5" t="s">
        <v>1105</v>
      </c>
      <c r="C1458" s="5" t="s">
        <v>1106</v>
      </c>
      <c r="D1458" s="5" t="s">
        <v>118</v>
      </c>
      <c r="E1458" s="5" t="s">
        <v>2793</v>
      </c>
      <c r="F1458" s="5" t="s">
        <v>2762</v>
      </c>
      <c r="G1458" s="5">
        <v>1</v>
      </c>
      <c r="H1458" s="5" t="s">
        <v>2864</v>
      </c>
      <c r="I1458" s="5" t="str">
        <f>IF(INDEX(Manual_Review!$W$6:$W$238,U1458)="","",INDEX(Manual_Review!$W$6:$W$238,U1458))</f>
        <v/>
      </c>
      <c r="J1458" s="5" t="str">
        <f t="shared" si="44"/>
        <v>AI provisional</v>
      </c>
      <c r="K1458" s="5" t="str">
        <f t="shared" si="45"/>
        <v>U</v>
      </c>
      <c r="L1458" s="5" t="s">
        <v>1112</v>
      </c>
      <c r="M1458" s="5" t="s">
        <v>5903</v>
      </c>
      <c r="N1458" s="5" t="s">
        <v>5899</v>
      </c>
      <c r="O1458" s="5" t="s">
        <v>2893</v>
      </c>
      <c r="P1458" s="5" t="s">
        <v>2858</v>
      </c>
      <c r="Q1458" s="11">
        <v>46306.5</v>
      </c>
      <c r="R1458" s="6"/>
      <c r="S1458" s="6"/>
      <c r="T1458" s="6"/>
      <c r="U1458" s="5">
        <f>MATCH(B1458,Manual_Review!$A$6:$A$238,0)</f>
        <v>91</v>
      </c>
      <c r="V1458" s="5" t="str">
        <f>IF(INDEX(Manual_Review!$G$6:$G$238,U1458)="","",INDEX(Manual_Review!$G$6:$G$238,U1458))</f>
        <v/>
      </c>
      <c r="W1458" s="11" t="str">
        <f>IF(INDEX(Manual_Review!$H$6:$H$238,U1458)="","",INDEX(Manual_Review!$H$6:$H$238,U1458))</f>
        <v/>
      </c>
      <c r="X1458" s="5" t="str">
        <f>IF(INDEX(Manual_Review!$I$6:$I$238,U1458)="","",INDEX(Manual_Review!$I$6:$I$238,U1458))</f>
        <v/>
      </c>
      <c r="Y1458" s="5" t="s">
        <v>2859</v>
      </c>
    </row>
    <row r="1459" spans="1:25" ht="25.5">
      <c r="A1459" s="5" t="s">
        <v>5920</v>
      </c>
      <c r="B1459" s="5" t="s">
        <v>1105</v>
      </c>
      <c r="C1459" s="5" t="s">
        <v>1106</v>
      </c>
      <c r="D1459" s="5" t="s">
        <v>118</v>
      </c>
      <c r="E1459" s="5" t="s">
        <v>2794</v>
      </c>
      <c r="F1459" s="5" t="s">
        <v>2764</v>
      </c>
      <c r="G1459" s="5">
        <v>1</v>
      </c>
      <c r="H1459" s="5" t="s">
        <v>2854</v>
      </c>
      <c r="I1459" s="5" t="str">
        <f>IF(INDEX(Manual_Review!$X$6:$X$238,U1459)="","",INDEX(Manual_Review!$X$6:$X$238,U1459))</f>
        <v/>
      </c>
      <c r="J1459" s="5" t="str">
        <f t="shared" si="44"/>
        <v>AI provisional</v>
      </c>
      <c r="K1459" s="5" t="str">
        <f t="shared" si="45"/>
        <v>Y</v>
      </c>
      <c r="L1459" s="5" t="s">
        <v>1112</v>
      </c>
      <c r="M1459" s="5" t="s">
        <v>5903</v>
      </c>
      <c r="N1459" s="5" t="s">
        <v>5899</v>
      </c>
      <c r="O1459" s="5" t="s">
        <v>2984</v>
      </c>
      <c r="P1459" s="5" t="s">
        <v>2858</v>
      </c>
      <c r="Q1459" s="11">
        <v>46306.5</v>
      </c>
      <c r="R1459" s="6"/>
      <c r="S1459" s="6"/>
      <c r="T1459" s="6"/>
      <c r="U1459" s="5">
        <f>MATCH(B1459,Manual_Review!$A$6:$A$238,0)</f>
        <v>91</v>
      </c>
      <c r="V1459" s="5" t="str">
        <f>IF(INDEX(Manual_Review!$G$6:$G$238,U1459)="","",INDEX(Manual_Review!$G$6:$G$238,U1459))</f>
        <v/>
      </c>
      <c r="W1459" s="11" t="str">
        <f>IF(INDEX(Manual_Review!$H$6:$H$238,U1459)="","",INDEX(Manual_Review!$H$6:$H$238,U1459))</f>
        <v/>
      </c>
      <c r="X1459" s="5" t="str">
        <f>IF(INDEX(Manual_Review!$I$6:$I$238,U1459)="","",INDEX(Manual_Review!$I$6:$I$238,U1459))</f>
        <v/>
      </c>
      <c r="Y1459" s="5" t="s">
        <v>2859</v>
      </c>
    </row>
    <row r="1460" spans="1:25" ht="25.5">
      <c r="A1460" s="5" t="s">
        <v>5921</v>
      </c>
      <c r="B1460" s="5" t="s">
        <v>1105</v>
      </c>
      <c r="C1460" s="5" t="s">
        <v>1106</v>
      </c>
      <c r="D1460" s="5" t="s">
        <v>118</v>
      </c>
      <c r="E1460" s="5" t="s">
        <v>2795</v>
      </c>
      <c r="F1460" s="5" t="s">
        <v>2764</v>
      </c>
      <c r="G1460" s="5">
        <v>1</v>
      </c>
      <c r="H1460" s="5" t="s">
        <v>2864</v>
      </c>
      <c r="I1460" s="5" t="str">
        <f>IF(INDEX(Manual_Review!$Y$6:$Y$238,U1460)="","",INDEX(Manual_Review!$Y$6:$Y$238,U1460))</f>
        <v/>
      </c>
      <c r="J1460" s="5" t="str">
        <f t="shared" si="44"/>
        <v>AI provisional</v>
      </c>
      <c r="K1460" s="5" t="str">
        <f t="shared" si="45"/>
        <v>U</v>
      </c>
      <c r="L1460" s="5" t="s">
        <v>1112</v>
      </c>
      <c r="M1460" s="5" t="s">
        <v>5903</v>
      </c>
      <c r="N1460" s="5" t="s">
        <v>5899</v>
      </c>
      <c r="O1460" s="5" t="s">
        <v>2897</v>
      </c>
      <c r="P1460" s="5" t="s">
        <v>2858</v>
      </c>
      <c r="Q1460" s="11">
        <v>46306.5</v>
      </c>
      <c r="R1460" s="6"/>
      <c r="S1460" s="6"/>
      <c r="T1460" s="6"/>
      <c r="U1460" s="5">
        <f>MATCH(B1460,Manual_Review!$A$6:$A$238,0)</f>
        <v>91</v>
      </c>
      <c r="V1460" s="5" t="str">
        <f>IF(INDEX(Manual_Review!$G$6:$G$238,U1460)="","",INDEX(Manual_Review!$G$6:$G$238,U1460))</f>
        <v/>
      </c>
      <c r="W1460" s="11" t="str">
        <f>IF(INDEX(Manual_Review!$H$6:$H$238,U1460)="","",INDEX(Manual_Review!$H$6:$H$238,U1460))</f>
        <v/>
      </c>
      <c r="X1460" s="5" t="str">
        <f>IF(INDEX(Manual_Review!$I$6:$I$238,U1460)="","",INDEX(Manual_Review!$I$6:$I$238,U1460))</f>
        <v/>
      </c>
      <c r="Y1460" s="5" t="s">
        <v>2859</v>
      </c>
    </row>
    <row r="1461" spans="1:25" ht="25.5">
      <c r="A1461" s="5" t="s">
        <v>5922</v>
      </c>
      <c r="B1461" s="5" t="s">
        <v>1105</v>
      </c>
      <c r="C1461" s="5" t="s">
        <v>1106</v>
      </c>
      <c r="D1461" s="5" t="s">
        <v>118</v>
      </c>
      <c r="E1461" s="5" t="s">
        <v>2796</v>
      </c>
      <c r="F1461" s="5" t="s">
        <v>2764</v>
      </c>
      <c r="G1461" s="5">
        <v>1</v>
      </c>
      <c r="H1461" s="5" t="s">
        <v>2864</v>
      </c>
      <c r="I1461" s="5" t="str">
        <f>IF(INDEX(Manual_Review!$Z$6:$Z$238,U1461)="","",INDEX(Manual_Review!$Z$6:$Z$238,U1461))</f>
        <v/>
      </c>
      <c r="J1461" s="5" t="str">
        <f t="shared" si="44"/>
        <v>AI provisional</v>
      </c>
      <c r="K1461" s="5" t="str">
        <f t="shared" si="45"/>
        <v>U</v>
      </c>
      <c r="L1461" s="5" t="s">
        <v>1112</v>
      </c>
      <c r="M1461" s="5" t="s">
        <v>5923</v>
      </c>
      <c r="N1461" s="5" t="s">
        <v>5899</v>
      </c>
      <c r="O1461" s="5" t="s">
        <v>2899</v>
      </c>
      <c r="P1461" s="5" t="s">
        <v>2858</v>
      </c>
      <c r="Q1461" s="11">
        <v>46306.5</v>
      </c>
      <c r="R1461" s="6"/>
      <c r="S1461" s="6"/>
      <c r="T1461" s="6"/>
      <c r="U1461" s="5">
        <f>MATCH(B1461,Manual_Review!$A$6:$A$238,0)</f>
        <v>91</v>
      </c>
      <c r="V1461" s="5" t="str">
        <f>IF(INDEX(Manual_Review!$G$6:$G$238,U1461)="","",INDEX(Manual_Review!$G$6:$G$238,U1461))</f>
        <v/>
      </c>
      <c r="W1461" s="11" t="str">
        <f>IF(INDEX(Manual_Review!$H$6:$H$238,U1461)="","",INDEX(Manual_Review!$H$6:$H$238,U1461))</f>
        <v/>
      </c>
      <c r="X1461" s="5" t="str">
        <f>IF(INDEX(Manual_Review!$I$6:$I$238,U1461)="","",INDEX(Manual_Review!$I$6:$I$238,U1461))</f>
        <v/>
      </c>
      <c r="Y1461" s="5" t="s">
        <v>2859</v>
      </c>
    </row>
    <row r="1462" spans="1:25" ht="38.25">
      <c r="A1462" s="5" t="s">
        <v>5924</v>
      </c>
      <c r="B1462" s="5" t="s">
        <v>1114</v>
      </c>
      <c r="C1462" s="5" t="s">
        <v>1115</v>
      </c>
      <c r="D1462" s="5" t="s">
        <v>118</v>
      </c>
      <c r="E1462" s="5" t="s">
        <v>2781</v>
      </c>
      <c r="F1462" s="5" t="s">
        <v>2754</v>
      </c>
      <c r="G1462" s="5">
        <v>1</v>
      </c>
      <c r="H1462" s="5" t="s">
        <v>2854</v>
      </c>
      <c r="I1462" s="5" t="str">
        <f>IF(INDEX(Manual_Review!$K$6:$K$238,U1462)="","",INDEX(Manual_Review!$K$6:$K$238,U1462))</f>
        <v/>
      </c>
      <c r="J1462" s="5" t="str">
        <f t="shared" si="44"/>
        <v>AI provisional</v>
      </c>
      <c r="K1462" s="5" t="str">
        <f t="shared" si="45"/>
        <v>Y</v>
      </c>
      <c r="L1462" s="5" t="s">
        <v>1125</v>
      </c>
      <c r="M1462" s="5" t="s">
        <v>5925</v>
      </c>
      <c r="N1462" s="5" t="s">
        <v>5926</v>
      </c>
      <c r="O1462" s="5" t="s">
        <v>2857</v>
      </c>
      <c r="P1462" s="5" t="s">
        <v>2858</v>
      </c>
      <c r="Q1462" s="11">
        <v>46306.5</v>
      </c>
      <c r="R1462" s="6"/>
      <c r="S1462" s="6"/>
      <c r="T1462" s="6"/>
      <c r="U1462" s="5">
        <f>MATCH(B1462,Manual_Review!$A$6:$A$238,0)</f>
        <v>92</v>
      </c>
      <c r="V1462" s="5" t="str">
        <f>IF(INDEX(Manual_Review!$G$6:$G$238,U1462)="","",INDEX(Manual_Review!$G$6:$G$238,U1462))</f>
        <v/>
      </c>
      <c r="W1462" s="11" t="str">
        <f>IF(INDEX(Manual_Review!$H$6:$H$238,U1462)="","",INDEX(Manual_Review!$H$6:$H$238,U1462))</f>
        <v/>
      </c>
      <c r="X1462" s="5" t="str">
        <f>IF(INDEX(Manual_Review!$I$6:$I$238,U1462)="","",INDEX(Manual_Review!$I$6:$I$238,U1462))</f>
        <v/>
      </c>
      <c r="Y1462" s="5" t="s">
        <v>2859</v>
      </c>
    </row>
    <row r="1463" spans="1:25" ht="38.25">
      <c r="A1463" s="5" t="s">
        <v>5927</v>
      </c>
      <c r="B1463" s="5" t="s">
        <v>1114</v>
      </c>
      <c r="C1463" s="5" t="s">
        <v>1115</v>
      </c>
      <c r="D1463" s="5" t="s">
        <v>118</v>
      </c>
      <c r="E1463" s="5" t="s">
        <v>2782</v>
      </c>
      <c r="F1463" s="5" t="s">
        <v>2754</v>
      </c>
      <c r="G1463" s="5">
        <v>1</v>
      </c>
      <c r="H1463" s="5" t="s">
        <v>2854</v>
      </c>
      <c r="I1463" s="5" t="str">
        <f>IF(INDEX(Manual_Review!$L$6:$L$238,U1463)="","",INDEX(Manual_Review!$L$6:$L$238,U1463))</f>
        <v/>
      </c>
      <c r="J1463" s="5" t="str">
        <f t="shared" si="44"/>
        <v>AI provisional</v>
      </c>
      <c r="K1463" s="5" t="str">
        <f t="shared" si="45"/>
        <v>Y</v>
      </c>
      <c r="L1463" s="5" t="s">
        <v>1125</v>
      </c>
      <c r="M1463" s="5" t="s">
        <v>5928</v>
      </c>
      <c r="N1463" s="5" t="s">
        <v>5926</v>
      </c>
      <c r="O1463" s="5" t="s">
        <v>2862</v>
      </c>
      <c r="P1463" s="5" t="s">
        <v>2858</v>
      </c>
      <c r="Q1463" s="11">
        <v>46306.5</v>
      </c>
      <c r="R1463" s="6"/>
      <c r="S1463" s="6"/>
      <c r="T1463" s="6"/>
      <c r="U1463" s="5">
        <f>MATCH(B1463,Manual_Review!$A$6:$A$238,0)</f>
        <v>92</v>
      </c>
      <c r="V1463" s="5" t="str">
        <f>IF(INDEX(Manual_Review!$G$6:$G$238,U1463)="","",INDEX(Manual_Review!$G$6:$G$238,U1463))</f>
        <v/>
      </c>
      <c r="W1463" s="11" t="str">
        <f>IF(INDEX(Manual_Review!$H$6:$H$238,U1463)="","",INDEX(Manual_Review!$H$6:$H$238,U1463))</f>
        <v/>
      </c>
      <c r="X1463" s="5" t="str">
        <f>IF(INDEX(Manual_Review!$I$6:$I$238,U1463)="","",INDEX(Manual_Review!$I$6:$I$238,U1463))</f>
        <v/>
      </c>
      <c r="Y1463" s="5" t="s">
        <v>2859</v>
      </c>
    </row>
    <row r="1464" spans="1:25" ht="38.25">
      <c r="A1464" s="5" t="s">
        <v>5929</v>
      </c>
      <c r="B1464" s="5" t="s">
        <v>1114</v>
      </c>
      <c r="C1464" s="5" t="s">
        <v>1115</v>
      </c>
      <c r="D1464" s="5" t="s">
        <v>118</v>
      </c>
      <c r="E1464" s="5" t="s">
        <v>2783</v>
      </c>
      <c r="F1464" s="5" t="s">
        <v>2754</v>
      </c>
      <c r="G1464" s="5">
        <v>1</v>
      </c>
      <c r="H1464" s="5" t="s">
        <v>2854</v>
      </c>
      <c r="I1464" s="5" t="str">
        <f>IF(INDEX(Manual_Review!$M$6:$M$238,U1464)="","",INDEX(Manual_Review!$M$6:$M$238,U1464))</f>
        <v/>
      </c>
      <c r="J1464" s="5" t="str">
        <f t="shared" si="44"/>
        <v>AI provisional</v>
      </c>
      <c r="K1464" s="5" t="str">
        <f t="shared" si="45"/>
        <v>Y</v>
      </c>
      <c r="L1464" s="5" t="s">
        <v>1125</v>
      </c>
      <c r="M1464" s="5" t="s">
        <v>5930</v>
      </c>
      <c r="N1464" s="5" t="s">
        <v>5926</v>
      </c>
      <c r="O1464" s="5" t="s">
        <v>3133</v>
      </c>
      <c r="P1464" s="5" t="s">
        <v>2858</v>
      </c>
      <c r="Q1464" s="11">
        <v>46306.5</v>
      </c>
      <c r="R1464" s="6"/>
      <c r="S1464" s="6"/>
      <c r="T1464" s="6"/>
      <c r="U1464" s="5">
        <f>MATCH(B1464,Manual_Review!$A$6:$A$238,0)</f>
        <v>92</v>
      </c>
      <c r="V1464" s="5" t="str">
        <f>IF(INDEX(Manual_Review!$G$6:$G$238,U1464)="","",INDEX(Manual_Review!$G$6:$G$238,U1464))</f>
        <v/>
      </c>
      <c r="W1464" s="11" t="str">
        <f>IF(INDEX(Manual_Review!$H$6:$H$238,U1464)="","",INDEX(Manual_Review!$H$6:$H$238,U1464))</f>
        <v/>
      </c>
      <c r="X1464" s="5" t="str">
        <f>IF(INDEX(Manual_Review!$I$6:$I$238,U1464)="","",INDEX(Manual_Review!$I$6:$I$238,U1464))</f>
        <v/>
      </c>
      <c r="Y1464" s="5" t="s">
        <v>2859</v>
      </c>
    </row>
    <row r="1465" spans="1:25" ht="38.25">
      <c r="A1465" s="5" t="s">
        <v>5931</v>
      </c>
      <c r="B1465" s="5" t="s">
        <v>1114</v>
      </c>
      <c r="C1465" s="5" t="s">
        <v>1115</v>
      </c>
      <c r="D1465" s="5" t="s">
        <v>118</v>
      </c>
      <c r="E1465" s="5" t="s">
        <v>2784</v>
      </c>
      <c r="F1465" s="5" t="s">
        <v>2756</v>
      </c>
      <c r="G1465" s="5">
        <v>1</v>
      </c>
      <c r="H1465" s="5" t="s">
        <v>2854</v>
      </c>
      <c r="I1465" s="5" t="str">
        <f>IF(INDEX(Manual_Review!$N$6:$N$238,U1465)="","",INDEX(Manual_Review!$N$6:$N$238,U1465))</f>
        <v/>
      </c>
      <c r="J1465" s="5" t="str">
        <f t="shared" si="44"/>
        <v>AI provisional</v>
      </c>
      <c r="K1465" s="5" t="str">
        <f t="shared" si="45"/>
        <v>Y</v>
      </c>
      <c r="L1465" s="5" t="s">
        <v>1125</v>
      </c>
      <c r="M1465" s="5" t="s">
        <v>5932</v>
      </c>
      <c r="N1465" s="5" t="s">
        <v>5926</v>
      </c>
      <c r="O1465" s="5" t="s">
        <v>2963</v>
      </c>
      <c r="P1465" s="5" t="s">
        <v>2858</v>
      </c>
      <c r="Q1465" s="11">
        <v>46306.5</v>
      </c>
      <c r="R1465" s="6"/>
      <c r="S1465" s="6"/>
      <c r="T1465" s="6"/>
      <c r="U1465" s="5">
        <f>MATCH(B1465,Manual_Review!$A$6:$A$238,0)</f>
        <v>92</v>
      </c>
      <c r="V1465" s="5" t="str">
        <f>IF(INDEX(Manual_Review!$G$6:$G$238,U1465)="","",INDEX(Manual_Review!$G$6:$G$238,U1465))</f>
        <v/>
      </c>
      <c r="W1465" s="11" t="str">
        <f>IF(INDEX(Manual_Review!$H$6:$H$238,U1465)="","",INDEX(Manual_Review!$H$6:$H$238,U1465))</f>
        <v/>
      </c>
      <c r="X1465" s="5" t="str">
        <f>IF(INDEX(Manual_Review!$I$6:$I$238,U1465)="","",INDEX(Manual_Review!$I$6:$I$238,U1465))</f>
        <v/>
      </c>
      <c r="Y1465" s="5" t="s">
        <v>2859</v>
      </c>
    </row>
    <row r="1466" spans="1:25" ht="38.25">
      <c r="A1466" s="5" t="s">
        <v>5933</v>
      </c>
      <c r="B1466" s="5" t="s">
        <v>1114</v>
      </c>
      <c r="C1466" s="5" t="s">
        <v>1115</v>
      </c>
      <c r="D1466" s="5" t="s">
        <v>118</v>
      </c>
      <c r="E1466" s="5" t="s">
        <v>2785</v>
      </c>
      <c r="F1466" s="5" t="s">
        <v>2756</v>
      </c>
      <c r="G1466" s="5">
        <v>1</v>
      </c>
      <c r="H1466" s="5" t="s">
        <v>2864</v>
      </c>
      <c r="I1466" s="5" t="str">
        <f>IF(INDEX(Manual_Review!$O$6:$O$238,U1466)="","",INDEX(Manual_Review!$O$6:$O$238,U1466))</f>
        <v/>
      </c>
      <c r="J1466" s="5" t="str">
        <f t="shared" si="44"/>
        <v>AI provisional</v>
      </c>
      <c r="K1466" s="5" t="str">
        <f t="shared" si="45"/>
        <v>U</v>
      </c>
      <c r="L1466" s="5" t="s">
        <v>1125</v>
      </c>
      <c r="M1466" s="5" t="s">
        <v>5934</v>
      </c>
      <c r="N1466" s="5" t="s">
        <v>5926</v>
      </c>
      <c r="O1466" s="5" t="s">
        <v>2872</v>
      </c>
      <c r="P1466" s="5" t="s">
        <v>2858</v>
      </c>
      <c r="Q1466" s="11">
        <v>46306.5</v>
      </c>
      <c r="R1466" s="6"/>
      <c r="S1466" s="6"/>
      <c r="T1466" s="6"/>
      <c r="U1466" s="5">
        <f>MATCH(B1466,Manual_Review!$A$6:$A$238,0)</f>
        <v>92</v>
      </c>
      <c r="V1466" s="5" t="str">
        <f>IF(INDEX(Manual_Review!$G$6:$G$238,U1466)="","",INDEX(Manual_Review!$G$6:$G$238,U1466))</f>
        <v/>
      </c>
      <c r="W1466" s="11" t="str">
        <f>IF(INDEX(Manual_Review!$H$6:$H$238,U1466)="","",INDEX(Manual_Review!$H$6:$H$238,U1466))</f>
        <v/>
      </c>
      <c r="X1466" s="5" t="str">
        <f>IF(INDEX(Manual_Review!$I$6:$I$238,U1466)="","",INDEX(Manual_Review!$I$6:$I$238,U1466))</f>
        <v/>
      </c>
      <c r="Y1466" s="5" t="s">
        <v>2859</v>
      </c>
    </row>
    <row r="1467" spans="1:25" ht="38.25">
      <c r="A1467" s="5" t="s">
        <v>5935</v>
      </c>
      <c r="B1467" s="5" t="s">
        <v>1114</v>
      </c>
      <c r="C1467" s="5" t="s">
        <v>1115</v>
      </c>
      <c r="D1467" s="5" t="s">
        <v>118</v>
      </c>
      <c r="E1467" s="5" t="s">
        <v>2786</v>
      </c>
      <c r="F1467" s="5" t="s">
        <v>2756</v>
      </c>
      <c r="G1467" s="5">
        <v>1</v>
      </c>
      <c r="H1467" s="5" t="s">
        <v>2864</v>
      </c>
      <c r="I1467" s="5" t="str">
        <f>IF(INDEX(Manual_Review!$P$6:$P$238,U1467)="","",INDEX(Manual_Review!$P$6:$P$238,U1467))</f>
        <v/>
      </c>
      <c r="J1467" s="5" t="str">
        <f t="shared" si="44"/>
        <v>AI provisional</v>
      </c>
      <c r="K1467" s="5" t="str">
        <f t="shared" si="45"/>
        <v>U</v>
      </c>
      <c r="L1467" s="5" t="s">
        <v>1125</v>
      </c>
      <c r="M1467" s="5" t="s">
        <v>5936</v>
      </c>
      <c r="N1467" s="5" t="s">
        <v>5926</v>
      </c>
      <c r="O1467" s="5" t="s">
        <v>2874</v>
      </c>
      <c r="P1467" s="5" t="s">
        <v>2858</v>
      </c>
      <c r="Q1467" s="11">
        <v>46306.5</v>
      </c>
      <c r="R1467" s="6"/>
      <c r="S1467" s="6"/>
      <c r="T1467" s="6"/>
      <c r="U1467" s="5">
        <f>MATCH(B1467,Manual_Review!$A$6:$A$238,0)</f>
        <v>92</v>
      </c>
      <c r="V1467" s="5" t="str">
        <f>IF(INDEX(Manual_Review!$G$6:$G$238,U1467)="","",INDEX(Manual_Review!$G$6:$G$238,U1467))</f>
        <v/>
      </c>
      <c r="W1467" s="11" t="str">
        <f>IF(INDEX(Manual_Review!$H$6:$H$238,U1467)="","",INDEX(Manual_Review!$H$6:$H$238,U1467))</f>
        <v/>
      </c>
      <c r="X1467" s="5" t="str">
        <f>IF(INDEX(Manual_Review!$I$6:$I$238,U1467)="","",INDEX(Manual_Review!$I$6:$I$238,U1467))</f>
        <v/>
      </c>
      <c r="Y1467" s="5" t="s">
        <v>2859</v>
      </c>
    </row>
    <row r="1468" spans="1:25" ht="38.25">
      <c r="A1468" s="5" t="s">
        <v>5937</v>
      </c>
      <c r="B1468" s="5" t="s">
        <v>1114</v>
      </c>
      <c r="C1468" s="5" t="s">
        <v>1115</v>
      </c>
      <c r="D1468" s="5" t="s">
        <v>118</v>
      </c>
      <c r="E1468" s="5" t="s">
        <v>2787</v>
      </c>
      <c r="F1468" s="5" t="s">
        <v>2758</v>
      </c>
      <c r="G1468" s="5">
        <v>1</v>
      </c>
      <c r="H1468" s="5" t="s">
        <v>2864</v>
      </c>
      <c r="I1468" s="5" t="str">
        <f>IF(INDEX(Manual_Review!$Q$6:$Q$238,U1468)="","",INDEX(Manual_Review!$Q$6:$Q$238,U1468))</f>
        <v/>
      </c>
      <c r="J1468" s="5" t="str">
        <f t="shared" si="44"/>
        <v>AI provisional</v>
      </c>
      <c r="K1468" s="5" t="str">
        <f t="shared" si="45"/>
        <v>U</v>
      </c>
      <c r="L1468" s="5" t="s">
        <v>1125</v>
      </c>
      <c r="M1468" s="5" t="s">
        <v>5938</v>
      </c>
      <c r="N1468" s="5" t="s">
        <v>5926</v>
      </c>
      <c r="O1468" s="5" t="s">
        <v>2877</v>
      </c>
      <c r="P1468" s="5" t="s">
        <v>2858</v>
      </c>
      <c r="Q1468" s="11">
        <v>46306.5</v>
      </c>
      <c r="R1468" s="6"/>
      <c r="S1468" s="6"/>
      <c r="T1468" s="6"/>
      <c r="U1468" s="5">
        <f>MATCH(B1468,Manual_Review!$A$6:$A$238,0)</f>
        <v>92</v>
      </c>
      <c r="V1468" s="5" t="str">
        <f>IF(INDEX(Manual_Review!$G$6:$G$238,U1468)="","",INDEX(Manual_Review!$G$6:$G$238,U1468))</f>
        <v/>
      </c>
      <c r="W1468" s="11" t="str">
        <f>IF(INDEX(Manual_Review!$H$6:$H$238,U1468)="","",INDEX(Manual_Review!$H$6:$H$238,U1468))</f>
        <v/>
      </c>
      <c r="X1468" s="5" t="str">
        <f>IF(INDEX(Manual_Review!$I$6:$I$238,U1468)="","",INDEX(Manual_Review!$I$6:$I$238,U1468))</f>
        <v/>
      </c>
      <c r="Y1468" s="5" t="s">
        <v>2859</v>
      </c>
    </row>
    <row r="1469" spans="1:25" ht="38.25">
      <c r="A1469" s="5" t="s">
        <v>5939</v>
      </c>
      <c r="B1469" s="5" t="s">
        <v>1114</v>
      </c>
      <c r="C1469" s="5" t="s">
        <v>1115</v>
      </c>
      <c r="D1469" s="5" t="s">
        <v>118</v>
      </c>
      <c r="E1469" s="5" t="s">
        <v>2788</v>
      </c>
      <c r="F1469" s="5" t="s">
        <v>2758</v>
      </c>
      <c r="G1469" s="5">
        <v>1</v>
      </c>
      <c r="H1469" s="5" t="s">
        <v>2854</v>
      </c>
      <c r="I1469" s="5" t="str">
        <f>IF(INDEX(Manual_Review!$R$6:$R$238,U1469)="","",INDEX(Manual_Review!$R$6:$R$238,U1469))</f>
        <v/>
      </c>
      <c r="J1469" s="5" t="str">
        <f t="shared" si="44"/>
        <v>AI provisional</v>
      </c>
      <c r="K1469" s="5" t="str">
        <f t="shared" si="45"/>
        <v>Y</v>
      </c>
      <c r="L1469" s="5" t="s">
        <v>1125</v>
      </c>
      <c r="M1469" s="5" t="s">
        <v>5940</v>
      </c>
      <c r="N1469" s="5" t="s">
        <v>5926</v>
      </c>
      <c r="O1469" s="5" t="s">
        <v>3067</v>
      </c>
      <c r="P1469" s="5" t="s">
        <v>2858</v>
      </c>
      <c r="Q1469" s="11">
        <v>46306.5</v>
      </c>
      <c r="R1469" s="6"/>
      <c r="S1469" s="6"/>
      <c r="T1469" s="6"/>
      <c r="U1469" s="5">
        <f>MATCH(B1469,Manual_Review!$A$6:$A$238,0)</f>
        <v>92</v>
      </c>
      <c r="V1469" s="5" t="str">
        <f>IF(INDEX(Manual_Review!$G$6:$G$238,U1469)="","",INDEX(Manual_Review!$G$6:$G$238,U1469))</f>
        <v/>
      </c>
      <c r="W1469" s="11" t="str">
        <f>IF(INDEX(Manual_Review!$H$6:$H$238,U1469)="","",INDEX(Manual_Review!$H$6:$H$238,U1469))</f>
        <v/>
      </c>
      <c r="X1469" s="5" t="str">
        <f>IF(INDEX(Manual_Review!$I$6:$I$238,U1469)="","",INDEX(Manual_Review!$I$6:$I$238,U1469))</f>
        <v/>
      </c>
      <c r="Y1469" s="5" t="s">
        <v>2859</v>
      </c>
    </row>
    <row r="1470" spans="1:25" ht="38.25">
      <c r="A1470" s="5" t="s">
        <v>5941</v>
      </c>
      <c r="B1470" s="5" t="s">
        <v>1114</v>
      </c>
      <c r="C1470" s="5" t="s">
        <v>1115</v>
      </c>
      <c r="D1470" s="5" t="s">
        <v>118</v>
      </c>
      <c r="E1470" s="5" t="s">
        <v>2789</v>
      </c>
      <c r="F1470" s="5" t="s">
        <v>2758</v>
      </c>
      <c r="G1470" s="5">
        <v>1</v>
      </c>
      <c r="H1470" s="5" t="s">
        <v>2864</v>
      </c>
      <c r="I1470" s="5" t="str">
        <f>IF(INDEX(Manual_Review!$S$6:$S$238,U1470)="","",INDEX(Manual_Review!$S$6:$S$238,U1470))</f>
        <v/>
      </c>
      <c r="J1470" s="5" t="str">
        <f t="shared" si="44"/>
        <v>AI provisional</v>
      </c>
      <c r="K1470" s="5" t="str">
        <f t="shared" si="45"/>
        <v>U</v>
      </c>
      <c r="L1470" s="5" t="s">
        <v>1125</v>
      </c>
      <c r="M1470" s="5" t="s">
        <v>5942</v>
      </c>
      <c r="N1470" s="5" t="s">
        <v>5926</v>
      </c>
      <c r="O1470" s="5" t="s">
        <v>2883</v>
      </c>
      <c r="P1470" s="5" t="s">
        <v>2858</v>
      </c>
      <c r="Q1470" s="11">
        <v>46306.5</v>
      </c>
      <c r="R1470" s="6"/>
      <c r="S1470" s="6"/>
      <c r="T1470" s="6"/>
      <c r="U1470" s="5">
        <f>MATCH(B1470,Manual_Review!$A$6:$A$238,0)</f>
        <v>92</v>
      </c>
      <c r="V1470" s="5" t="str">
        <f>IF(INDEX(Manual_Review!$G$6:$G$238,U1470)="","",INDEX(Manual_Review!$G$6:$G$238,U1470))</f>
        <v/>
      </c>
      <c r="W1470" s="11" t="str">
        <f>IF(INDEX(Manual_Review!$H$6:$H$238,U1470)="","",INDEX(Manual_Review!$H$6:$H$238,U1470))</f>
        <v/>
      </c>
      <c r="X1470" s="5" t="str">
        <f>IF(INDEX(Manual_Review!$I$6:$I$238,U1470)="","",INDEX(Manual_Review!$I$6:$I$238,U1470))</f>
        <v/>
      </c>
      <c r="Y1470" s="5" t="s">
        <v>2859</v>
      </c>
    </row>
    <row r="1471" spans="1:25" ht="38.25">
      <c r="A1471" s="5" t="s">
        <v>5943</v>
      </c>
      <c r="B1471" s="5" t="s">
        <v>1114</v>
      </c>
      <c r="C1471" s="5" t="s">
        <v>1115</v>
      </c>
      <c r="D1471" s="5" t="s">
        <v>118</v>
      </c>
      <c r="E1471" s="5" t="s">
        <v>2790</v>
      </c>
      <c r="F1471" s="5" t="s">
        <v>2760</v>
      </c>
      <c r="G1471" s="5">
        <v>1</v>
      </c>
      <c r="H1471" s="5" t="s">
        <v>2854</v>
      </c>
      <c r="I1471" s="5" t="str">
        <f>IF(INDEX(Manual_Review!$T$6:$T$238,U1471)="","",INDEX(Manual_Review!$T$6:$T$238,U1471))</f>
        <v/>
      </c>
      <c r="J1471" s="5" t="str">
        <f t="shared" si="44"/>
        <v>AI provisional</v>
      </c>
      <c r="K1471" s="5" t="str">
        <f t="shared" si="45"/>
        <v>Y</v>
      </c>
      <c r="L1471" s="5" t="s">
        <v>1125</v>
      </c>
      <c r="M1471" s="5" t="s">
        <v>5944</v>
      </c>
      <c r="N1471" s="5" t="s">
        <v>5926</v>
      </c>
      <c r="O1471" s="5" t="s">
        <v>2976</v>
      </c>
      <c r="P1471" s="5" t="s">
        <v>2858</v>
      </c>
      <c r="Q1471" s="11">
        <v>46306.5</v>
      </c>
      <c r="R1471" s="6"/>
      <c r="S1471" s="6"/>
      <c r="T1471" s="6"/>
      <c r="U1471" s="5">
        <f>MATCH(B1471,Manual_Review!$A$6:$A$238,0)</f>
        <v>92</v>
      </c>
      <c r="V1471" s="5" t="str">
        <f>IF(INDEX(Manual_Review!$G$6:$G$238,U1471)="","",INDEX(Manual_Review!$G$6:$G$238,U1471))</f>
        <v/>
      </c>
      <c r="W1471" s="11" t="str">
        <f>IF(INDEX(Manual_Review!$H$6:$H$238,U1471)="","",INDEX(Manual_Review!$H$6:$H$238,U1471))</f>
        <v/>
      </c>
      <c r="X1471" s="5" t="str">
        <f>IF(INDEX(Manual_Review!$I$6:$I$238,U1471)="","",INDEX(Manual_Review!$I$6:$I$238,U1471))</f>
        <v/>
      </c>
      <c r="Y1471" s="5" t="s">
        <v>2859</v>
      </c>
    </row>
    <row r="1472" spans="1:25" ht="38.25">
      <c r="A1472" s="5" t="s">
        <v>5945</v>
      </c>
      <c r="B1472" s="5" t="s">
        <v>1114</v>
      </c>
      <c r="C1472" s="5" t="s">
        <v>1115</v>
      </c>
      <c r="D1472" s="5" t="s">
        <v>118</v>
      </c>
      <c r="E1472" s="5" t="s">
        <v>2791</v>
      </c>
      <c r="F1472" s="5" t="s">
        <v>2760</v>
      </c>
      <c r="G1472" s="5">
        <v>1</v>
      </c>
      <c r="H1472" s="5" t="s">
        <v>2864</v>
      </c>
      <c r="I1472" s="5" t="str">
        <f>IF(INDEX(Manual_Review!$U$6:$U$238,U1472)="","",INDEX(Manual_Review!$U$6:$U$238,U1472))</f>
        <v/>
      </c>
      <c r="J1472" s="5" t="str">
        <f t="shared" si="44"/>
        <v>AI provisional</v>
      </c>
      <c r="K1472" s="5" t="str">
        <f t="shared" si="45"/>
        <v>U</v>
      </c>
      <c r="L1472" s="5" t="s">
        <v>1125</v>
      </c>
      <c r="M1472" s="5" t="s">
        <v>5946</v>
      </c>
      <c r="N1472" s="5" t="s">
        <v>5926</v>
      </c>
      <c r="O1472" s="5" t="s">
        <v>2888</v>
      </c>
      <c r="P1472" s="5" t="s">
        <v>2858</v>
      </c>
      <c r="Q1472" s="11">
        <v>46306.5</v>
      </c>
      <c r="R1472" s="6"/>
      <c r="S1472" s="6"/>
      <c r="T1472" s="6"/>
      <c r="U1472" s="5">
        <f>MATCH(B1472,Manual_Review!$A$6:$A$238,0)</f>
        <v>92</v>
      </c>
      <c r="V1472" s="5" t="str">
        <f>IF(INDEX(Manual_Review!$G$6:$G$238,U1472)="","",INDEX(Manual_Review!$G$6:$G$238,U1472))</f>
        <v/>
      </c>
      <c r="W1472" s="11" t="str">
        <f>IF(INDEX(Manual_Review!$H$6:$H$238,U1472)="","",INDEX(Manual_Review!$H$6:$H$238,U1472))</f>
        <v/>
      </c>
      <c r="X1472" s="5" t="str">
        <f>IF(INDEX(Manual_Review!$I$6:$I$238,U1472)="","",INDEX(Manual_Review!$I$6:$I$238,U1472))</f>
        <v/>
      </c>
      <c r="Y1472" s="5" t="s">
        <v>2859</v>
      </c>
    </row>
    <row r="1473" spans="1:25" ht="38.25">
      <c r="A1473" s="5" t="s">
        <v>5947</v>
      </c>
      <c r="B1473" s="5" t="s">
        <v>1114</v>
      </c>
      <c r="C1473" s="5" t="s">
        <v>1115</v>
      </c>
      <c r="D1473" s="5" t="s">
        <v>118</v>
      </c>
      <c r="E1473" s="5" t="s">
        <v>2792</v>
      </c>
      <c r="F1473" s="5" t="s">
        <v>2762</v>
      </c>
      <c r="G1473" s="5">
        <v>1</v>
      </c>
      <c r="H1473" s="5" t="s">
        <v>2864</v>
      </c>
      <c r="I1473" s="5" t="str">
        <f>IF(INDEX(Manual_Review!$V$6:$V$238,U1473)="","",INDEX(Manual_Review!$V$6:$V$238,U1473))</f>
        <v/>
      </c>
      <c r="J1473" s="5" t="str">
        <f t="shared" si="44"/>
        <v>AI provisional</v>
      </c>
      <c r="K1473" s="5" t="str">
        <f t="shared" si="45"/>
        <v>U</v>
      </c>
      <c r="L1473" s="5" t="s">
        <v>1125</v>
      </c>
      <c r="M1473" s="5" t="s">
        <v>5948</v>
      </c>
      <c r="N1473" s="5" t="s">
        <v>5926</v>
      </c>
      <c r="O1473" s="5" t="s">
        <v>2891</v>
      </c>
      <c r="P1473" s="5" t="s">
        <v>2858</v>
      </c>
      <c r="Q1473" s="11">
        <v>46306.5</v>
      </c>
      <c r="R1473" s="6"/>
      <c r="S1473" s="6"/>
      <c r="T1473" s="6"/>
      <c r="U1473" s="5">
        <f>MATCH(B1473,Manual_Review!$A$6:$A$238,0)</f>
        <v>92</v>
      </c>
      <c r="V1473" s="5" t="str">
        <f>IF(INDEX(Manual_Review!$G$6:$G$238,U1473)="","",INDEX(Manual_Review!$G$6:$G$238,U1473))</f>
        <v/>
      </c>
      <c r="W1473" s="11" t="str">
        <f>IF(INDEX(Manual_Review!$H$6:$H$238,U1473)="","",INDEX(Manual_Review!$H$6:$H$238,U1473))</f>
        <v/>
      </c>
      <c r="X1473" s="5" t="str">
        <f>IF(INDEX(Manual_Review!$I$6:$I$238,U1473)="","",INDEX(Manual_Review!$I$6:$I$238,U1473))</f>
        <v/>
      </c>
      <c r="Y1473" s="5" t="s">
        <v>2859</v>
      </c>
    </row>
    <row r="1474" spans="1:25" ht="38.25">
      <c r="A1474" s="5" t="s">
        <v>5949</v>
      </c>
      <c r="B1474" s="5" t="s">
        <v>1114</v>
      </c>
      <c r="C1474" s="5" t="s">
        <v>1115</v>
      </c>
      <c r="D1474" s="5" t="s">
        <v>118</v>
      </c>
      <c r="E1474" s="5" t="s">
        <v>2793</v>
      </c>
      <c r="F1474" s="5" t="s">
        <v>2762</v>
      </c>
      <c r="G1474" s="5">
        <v>1</v>
      </c>
      <c r="H1474" s="5" t="s">
        <v>2854</v>
      </c>
      <c r="I1474" s="5" t="str">
        <f>IF(INDEX(Manual_Review!$W$6:$W$238,U1474)="","",INDEX(Manual_Review!$W$6:$W$238,U1474))</f>
        <v/>
      </c>
      <c r="J1474" s="5" t="str">
        <f t="shared" si="44"/>
        <v>AI provisional</v>
      </c>
      <c r="K1474" s="5" t="str">
        <f t="shared" si="45"/>
        <v>Y</v>
      </c>
      <c r="L1474" s="5" t="s">
        <v>1125</v>
      </c>
      <c r="M1474" s="5" t="s">
        <v>5950</v>
      </c>
      <c r="N1474" s="5" t="s">
        <v>5926</v>
      </c>
      <c r="O1474" s="5" t="s">
        <v>3077</v>
      </c>
      <c r="P1474" s="5" t="s">
        <v>2858</v>
      </c>
      <c r="Q1474" s="11">
        <v>46306.5</v>
      </c>
      <c r="R1474" s="6"/>
      <c r="S1474" s="6"/>
      <c r="T1474" s="6"/>
      <c r="U1474" s="5">
        <f>MATCH(B1474,Manual_Review!$A$6:$A$238,0)</f>
        <v>92</v>
      </c>
      <c r="V1474" s="5" t="str">
        <f>IF(INDEX(Manual_Review!$G$6:$G$238,U1474)="","",INDEX(Manual_Review!$G$6:$G$238,U1474))</f>
        <v/>
      </c>
      <c r="W1474" s="11" t="str">
        <f>IF(INDEX(Manual_Review!$H$6:$H$238,U1474)="","",INDEX(Manual_Review!$H$6:$H$238,U1474))</f>
        <v/>
      </c>
      <c r="X1474" s="5" t="str">
        <f>IF(INDEX(Manual_Review!$I$6:$I$238,U1474)="","",INDEX(Manual_Review!$I$6:$I$238,U1474))</f>
        <v/>
      </c>
      <c r="Y1474" s="5" t="s">
        <v>2859</v>
      </c>
    </row>
    <row r="1475" spans="1:25" ht="38.25">
      <c r="A1475" s="5" t="s">
        <v>5951</v>
      </c>
      <c r="B1475" s="5" t="s">
        <v>1114</v>
      </c>
      <c r="C1475" s="5" t="s">
        <v>1115</v>
      </c>
      <c r="D1475" s="5" t="s">
        <v>118</v>
      </c>
      <c r="E1475" s="5" t="s">
        <v>2794</v>
      </c>
      <c r="F1475" s="5" t="s">
        <v>2764</v>
      </c>
      <c r="G1475" s="5">
        <v>1</v>
      </c>
      <c r="H1475" s="5" t="s">
        <v>2854</v>
      </c>
      <c r="I1475" s="5" t="str">
        <f>IF(INDEX(Manual_Review!$X$6:$X$238,U1475)="","",INDEX(Manual_Review!$X$6:$X$238,U1475))</f>
        <v/>
      </c>
      <c r="J1475" s="5" t="str">
        <f t="shared" si="44"/>
        <v>AI provisional</v>
      </c>
      <c r="K1475" s="5" t="str">
        <f t="shared" si="45"/>
        <v>Y</v>
      </c>
      <c r="L1475" s="5" t="s">
        <v>1125</v>
      </c>
      <c r="M1475" s="5" t="s">
        <v>5952</v>
      </c>
      <c r="N1475" s="5" t="s">
        <v>5926</v>
      </c>
      <c r="O1475" s="5" t="s">
        <v>2984</v>
      </c>
      <c r="P1475" s="5" t="s">
        <v>2858</v>
      </c>
      <c r="Q1475" s="11">
        <v>46306.5</v>
      </c>
      <c r="R1475" s="6"/>
      <c r="S1475" s="6"/>
      <c r="T1475" s="6"/>
      <c r="U1475" s="5">
        <f>MATCH(B1475,Manual_Review!$A$6:$A$238,0)</f>
        <v>92</v>
      </c>
      <c r="V1475" s="5" t="str">
        <f>IF(INDEX(Manual_Review!$G$6:$G$238,U1475)="","",INDEX(Manual_Review!$G$6:$G$238,U1475))</f>
        <v/>
      </c>
      <c r="W1475" s="11" t="str">
        <f>IF(INDEX(Manual_Review!$H$6:$H$238,U1475)="","",INDEX(Manual_Review!$H$6:$H$238,U1475))</f>
        <v/>
      </c>
      <c r="X1475" s="5" t="str">
        <f>IF(INDEX(Manual_Review!$I$6:$I$238,U1475)="","",INDEX(Manual_Review!$I$6:$I$238,U1475))</f>
        <v/>
      </c>
      <c r="Y1475" s="5" t="s">
        <v>2859</v>
      </c>
    </row>
    <row r="1476" spans="1:25" ht="38.25">
      <c r="A1476" s="5" t="s">
        <v>5953</v>
      </c>
      <c r="B1476" s="5" t="s">
        <v>1114</v>
      </c>
      <c r="C1476" s="5" t="s">
        <v>1115</v>
      </c>
      <c r="D1476" s="5" t="s">
        <v>118</v>
      </c>
      <c r="E1476" s="5" t="s">
        <v>2795</v>
      </c>
      <c r="F1476" s="5" t="s">
        <v>2764</v>
      </c>
      <c r="G1476" s="5">
        <v>1</v>
      </c>
      <c r="H1476" s="5" t="s">
        <v>2864</v>
      </c>
      <c r="I1476" s="5" t="str">
        <f>IF(INDEX(Manual_Review!$Y$6:$Y$238,U1476)="","",INDEX(Manual_Review!$Y$6:$Y$238,U1476))</f>
        <v/>
      </c>
      <c r="J1476" s="5" t="str">
        <f t="shared" si="44"/>
        <v>AI provisional</v>
      </c>
      <c r="K1476" s="5" t="str">
        <f t="shared" si="45"/>
        <v>U</v>
      </c>
      <c r="L1476" s="5" t="s">
        <v>1125</v>
      </c>
      <c r="M1476" s="5" t="s">
        <v>5954</v>
      </c>
      <c r="N1476" s="5" t="s">
        <v>5926</v>
      </c>
      <c r="O1476" s="5" t="s">
        <v>2897</v>
      </c>
      <c r="P1476" s="5" t="s">
        <v>2858</v>
      </c>
      <c r="Q1476" s="11">
        <v>46306.5</v>
      </c>
      <c r="R1476" s="6"/>
      <c r="S1476" s="6"/>
      <c r="T1476" s="6"/>
      <c r="U1476" s="5">
        <f>MATCH(B1476,Manual_Review!$A$6:$A$238,0)</f>
        <v>92</v>
      </c>
      <c r="V1476" s="5" t="str">
        <f>IF(INDEX(Manual_Review!$G$6:$G$238,U1476)="","",INDEX(Manual_Review!$G$6:$G$238,U1476))</f>
        <v/>
      </c>
      <c r="W1476" s="11" t="str">
        <f>IF(INDEX(Manual_Review!$H$6:$H$238,U1476)="","",INDEX(Manual_Review!$H$6:$H$238,U1476))</f>
        <v/>
      </c>
      <c r="X1476" s="5" t="str">
        <f>IF(INDEX(Manual_Review!$I$6:$I$238,U1476)="","",INDEX(Manual_Review!$I$6:$I$238,U1476))</f>
        <v/>
      </c>
      <c r="Y1476" s="5" t="s">
        <v>2859</v>
      </c>
    </row>
    <row r="1477" spans="1:25" ht="38.25">
      <c r="A1477" s="5" t="s">
        <v>5955</v>
      </c>
      <c r="B1477" s="5" t="s">
        <v>1114</v>
      </c>
      <c r="C1477" s="5" t="s">
        <v>1115</v>
      </c>
      <c r="D1477" s="5" t="s">
        <v>118</v>
      </c>
      <c r="E1477" s="5" t="s">
        <v>2796</v>
      </c>
      <c r="F1477" s="5" t="s">
        <v>2764</v>
      </c>
      <c r="G1477" s="5">
        <v>1</v>
      </c>
      <c r="H1477" s="5" t="s">
        <v>2864</v>
      </c>
      <c r="I1477" s="5" t="str">
        <f>IF(INDEX(Manual_Review!$Z$6:$Z$238,U1477)="","",INDEX(Manual_Review!$Z$6:$Z$238,U1477))</f>
        <v/>
      </c>
      <c r="J1477" s="5" t="str">
        <f t="shared" si="44"/>
        <v>AI provisional</v>
      </c>
      <c r="K1477" s="5" t="str">
        <f t="shared" si="45"/>
        <v>U</v>
      </c>
      <c r="L1477" s="5" t="s">
        <v>1125</v>
      </c>
      <c r="M1477" s="5" t="s">
        <v>5956</v>
      </c>
      <c r="N1477" s="5" t="s">
        <v>5926</v>
      </c>
      <c r="O1477" s="5" t="s">
        <v>2899</v>
      </c>
      <c r="P1477" s="5" t="s">
        <v>2858</v>
      </c>
      <c r="Q1477" s="11">
        <v>46306.5</v>
      </c>
      <c r="R1477" s="6"/>
      <c r="S1477" s="6"/>
      <c r="T1477" s="6"/>
      <c r="U1477" s="5">
        <f>MATCH(B1477,Manual_Review!$A$6:$A$238,0)</f>
        <v>92</v>
      </c>
      <c r="V1477" s="5" t="str">
        <f>IF(INDEX(Manual_Review!$G$6:$G$238,U1477)="","",INDEX(Manual_Review!$G$6:$G$238,U1477))</f>
        <v/>
      </c>
      <c r="W1477" s="11" t="str">
        <f>IF(INDEX(Manual_Review!$H$6:$H$238,U1477)="","",INDEX(Manual_Review!$H$6:$H$238,U1477))</f>
        <v/>
      </c>
      <c r="X1477" s="5" t="str">
        <f>IF(INDEX(Manual_Review!$I$6:$I$238,U1477)="","",INDEX(Manual_Review!$I$6:$I$238,U1477))</f>
        <v/>
      </c>
      <c r="Y1477" s="5" t="s">
        <v>2859</v>
      </c>
    </row>
    <row r="1478" spans="1:25" ht="25.5">
      <c r="A1478" s="5" t="s">
        <v>5957</v>
      </c>
      <c r="B1478" s="5" t="s">
        <v>1127</v>
      </c>
      <c r="C1478" s="5" t="s">
        <v>1128</v>
      </c>
      <c r="D1478" s="5" t="s">
        <v>118</v>
      </c>
      <c r="E1478" s="5" t="s">
        <v>2781</v>
      </c>
      <c r="F1478" s="5" t="s">
        <v>2754</v>
      </c>
      <c r="G1478" s="5">
        <v>1</v>
      </c>
      <c r="H1478" s="5" t="s">
        <v>2854</v>
      </c>
      <c r="I1478" s="5" t="str">
        <f>IF(INDEX(Manual_Review!$K$6:$K$238,U1478)="","",INDEX(Manual_Review!$K$6:$K$238,U1478))</f>
        <v/>
      </c>
      <c r="J1478" s="5" t="str">
        <f t="shared" ref="J1478:J1541" si="46">IF(G1478=0,"Not applicable",IF(I1478="","AI provisional",IF(AND(OR(I1478="Y",I1478="N",I1478="U",I1478="X"),V1478&lt;&gt;"",ISNUMBER(W1478),W1478&gt;0,X1478="Confirmed",R1478&lt;&gt;"",S1478&lt;&gt;"",T1478&lt;&gt;""),"Human valid","Evidence needed")))</f>
        <v>AI provisional</v>
      </c>
      <c r="K1478" s="5" t="str">
        <f t="shared" ref="K1478:K1541" si="47">IF(G1478=0,"N/A",IF(I1478="",H1478,IF(J1478="Human valid",I1478,"U")))</f>
        <v>Y</v>
      </c>
      <c r="L1478" s="5" t="s">
        <v>1137</v>
      </c>
      <c r="M1478" s="5" t="s">
        <v>5958</v>
      </c>
      <c r="N1478" s="5" t="s">
        <v>5959</v>
      </c>
      <c r="O1478" s="5" t="s">
        <v>2857</v>
      </c>
      <c r="P1478" s="5" t="s">
        <v>2858</v>
      </c>
      <c r="Q1478" s="11">
        <v>46306.5</v>
      </c>
      <c r="R1478" s="6"/>
      <c r="S1478" s="6"/>
      <c r="T1478" s="6"/>
      <c r="U1478" s="5">
        <f>MATCH(B1478,Manual_Review!$A$6:$A$238,0)</f>
        <v>93</v>
      </c>
      <c r="V1478" s="5" t="str">
        <f>IF(INDEX(Manual_Review!$G$6:$G$238,U1478)="","",INDEX(Manual_Review!$G$6:$G$238,U1478))</f>
        <v/>
      </c>
      <c r="W1478" s="11" t="str">
        <f>IF(INDEX(Manual_Review!$H$6:$H$238,U1478)="","",INDEX(Manual_Review!$H$6:$H$238,U1478))</f>
        <v/>
      </c>
      <c r="X1478" s="5" t="str">
        <f>IF(INDEX(Manual_Review!$I$6:$I$238,U1478)="","",INDEX(Manual_Review!$I$6:$I$238,U1478))</f>
        <v/>
      </c>
      <c r="Y1478" s="5" t="s">
        <v>2859</v>
      </c>
    </row>
    <row r="1479" spans="1:25" ht="25.5">
      <c r="A1479" s="5" t="s">
        <v>5960</v>
      </c>
      <c r="B1479" s="5" t="s">
        <v>1127</v>
      </c>
      <c r="C1479" s="5" t="s">
        <v>1128</v>
      </c>
      <c r="D1479" s="5" t="s">
        <v>118</v>
      </c>
      <c r="E1479" s="5" t="s">
        <v>2782</v>
      </c>
      <c r="F1479" s="5" t="s">
        <v>2754</v>
      </c>
      <c r="G1479" s="5">
        <v>1</v>
      </c>
      <c r="H1479" s="5" t="s">
        <v>2854</v>
      </c>
      <c r="I1479" s="5" t="str">
        <f>IF(INDEX(Manual_Review!$L$6:$L$238,U1479)="","",INDEX(Manual_Review!$L$6:$L$238,U1479))</f>
        <v/>
      </c>
      <c r="J1479" s="5" t="str">
        <f t="shared" si="46"/>
        <v>AI provisional</v>
      </c>
      <c r="K1479" s="5" t="str">
        <f t="shared" si="47"/>
        <v>Y</v>
      </c>
      <c r="L1479" s="5" t="s">
        <v>1137</v>
      </c>
      <c r="M1479" s="5" t="s">
        <v>5961</v>
      </c>
      <c r="N1479" s="5" t="s">
        <v>5959</v>
      </c>
      <c r="O1479" s="5" t="s">
        <v>2862</v>
      </c>
      <c r="P1479" s="5" t="s">
        <v>2858</v>
      </c>
      <c r="Q1479" s="11">
        <v>46306.5</v>
      </c>
      <c r="R1479" s="6"/>
      <c r="S1479" s="6"/>
      <c r="T1479" s="6"/>
      <c r="U1479" s="5">
        <f>MATCH(B1479,Manual_Review!$A$6:$A$238,0)</f>
        <v>93</v>
      </c>
      <c r="V1479" s="5" t="str">
        <f>IF(INDEX(Manual_Review!$G$6:$G$238,U1479)="","",INDEX(Manual_Review!$G$6:$G$238,U1479))</f>
        <v/>
      </c>
      <c r="W1479" s="11" t="str">
        <f>IF(INDEX(Manual_Review!$H$6:$H$238,U1479)="","",INDEX(Manual_Review!$H$6:$H$238,U1479))</f>
        <v/>
      </c>
      <c r="X1479" s="5" t="str">
        <f>IF(INDEX(Manual_Review!$I$6:$I$238,U1479)="","",INDEX(Manual_Review!$I$6:$I$238,U1479))</f>
        <v/>
      </c>
      <c r="Y1479" s="5" t="s">
        <v>2859</v>
      </c>
    </row>
    <row r="1480" spans="1:25" ht="25.5">
      <c r="A1480" s="5" t="s">
        <v>5962</v>
      </c>
      <c r="B1480" s="5" t="s">
        <v>1127</v>
      </c>
      <c r="C1480" s="5" t="s">
        <v>1128</v>
      </c>
      <c r="D1480" s="5" t="s">
        <v>118</v>
      </c>
      <c r="E1480" s="5" t="s">
        <v>2783</v>
      </c>
      <c r="F1480" s="5" t="s">
        <v>2754</v>
      </c>
      <c r="G1480" s="5">
        <v>1</v>
      </c>
      <c r="H1480" s="5" t="s">
        <v>2854</v>
      </c>
      <c r="I1480" s="5" t="str">
        <f>IF(INDEX(Manual_Review!$M$6:$M$238,U1480)="","",INDEX(Manual_Review!$M$6:$M$238,U1480))</f>
        <v/>
      </c>
      <c r="J1480" s="5" t="str">
        <f t="shared" si="46"/>
        <v>AI provisional</v>
      </c>
      <c r="K1480" s="5" t="str">
        <f t="shared" si="47"/>
        <v>Y</v>
      </c>
      <c r="L1480" s="5" t="s">
        <v>1137</v>
      </c>
      <c r="M1480" s="5" t="s">
        <v>5963</v>
      </c>
      <c r="N1480" s="5" t="s">
        <v>5959</v>
      </c>
      <c r="O1480" s="5" t="s">
        <v>3133</v>
      </c>
      <c r="P1480" s="5" t="s">
        <v>2858</v>
      </c>
      <c r="Q1480" s="11">
        <v>46306.5</v>
      </c>
      <c r="R1480" s="6"/>
      <c r="S1480" s="6"/>
      <c r="T1480" s="6"/>
      <c r="U1480" s="5">
        <f>MATCH(B1480,Manual_Review!$A$6:$A$238,0)</f>
        <v>93</v>
      </c>
      <c r="V1480" s="5" t="str">
        <f>IF(INDEX(Manual_Review!$G$6:$G$238,U1480)="","",INDEX(Manual_Review!$G$6:$G$238,U1480))</f>
        <v/>
      </c>
      <c r="W1480" s="11" t="str">
        <f>IF(INDEX(Manual_Review!$H$6:$H$238,U1480)="","",INDEX(Manual_Review!$H$6:$H$238,U1480))</f>
        <v/>
      </c>
      <c r="X1480" s="5" t="str">
        <f>IF(INDEX(Manual_Review!$I$6:$I$238,U1480)="","",INDEX(Manual_Review!$I$6:$I$238,U1480))</f>
        <v/>
      </c>
      <c r="Y1480" s="5" t="s">
        <v>2859</v>
      </c>
    </row>
    <row r="1481" spans="1:25" ht="25.5">
      <c r="A1481" s="5" t="s">
        <v>5964</v>
      </c>
      <c r="B1481" s="5" t="s">
        <v>1127</v>
      </c>
      <c r="C1481" s="5" t="s">
        <v>1128</v>
      </c>
      <c r="D1481" s="5" t="s">
        <v>118</v>
      </c>
      <c r="E1481" s="5" t="s">
        <v>2784</v>
      </c>
      <c r="F1481" s="5" t="s">
        <v>2756</v>
      </c>
      <c r="G1481" s="5">
        <v>1</v>
      </c>
      <c r="H1481" s="5" t="s">
        <v>2854</v>
      </c>
      <c r="I1481" s="5" t="str">
        <f>IF(INDEX(Manual_Review!$N$6:$N$238,U1481)="","",INDEX(Manual_Review!$N$6:$N$238,U1481))</f>
        <v/>
      </c>
      <c r="J1481" s="5" t="str">
        <f t="shared" si="46"/>
        <v>AI provisional</v>
      </c>
      <c r="K1481" s="5" t="str">
        <f t="shared" si="47"/>
        <v>Y</v>
      </c>
      <c r="L1481" s="5" t="s">
        <v>1137</v>
      </c>
      <c r="M1481" s="5" t="s">
        <v>5965</v>
      </c>
      <c r="N1481" s="5" t="s">
        <v>5959</v>
      </c>
      <c r="O1481" s="5" t="s">
        <v>2963</v>
      </c>
      <c r="P1481" s="5" t="s">
        <v>2858</v>
      </c>
      <c r="Q1481" s="11">
        <v>46306.5</v>
      </c>
      <c r="R1481" s="6"/>
      <c r="S1481" s="6"/>
      <c r="T1481" s="6"/>
      <c r="U1481" s="5">
        <f>MATCH(B1481,Manual_Review!$A$6:$A$238,0)</f>
        <v>93</v>
      </c>
      <c r="V1481" s="5" t="str">
        <f>IF(INDEX(Manual_Review!$G$6:$G$238,U1481)="","",INDEX(Manual_Review!$G$6:$G$238,U1481))</f>
        <v/>
      </c>
      <c r="W1481" s="11" t="str">
        <f>IF(INDEX(Manual_Review!$H$6:$H$238,U1481)="","",INDEX(Manual_Review!$H$6:$H$238,U1481))</f>
        <v/>
      </c>
      <c r="X1481" s="5" t="str">
        <f>IF(INDEX(Manual_Review!$I$6:$I$238,U1481)="","",INDEX(Manual_Review!$I$6:$I$238,U1481))</f>
        <v/>
      </c>
      <c r="Y1481" s="5" t="s">
        <v>2859</v>
      </c>
    </row>
    <row r="1482" spans="1:25" ht="25.5">
      <c r="A1482" s="5" t="s">
        <v>5966</v>
      </c>
      <c r="B1482" s="5" t="s">
        <v>1127</v>
      </c>
      <c r="C1482" s="5" t="s">
        <v>1128</v>
      </c>
      <c r="D1482" s="5" t="s">
        <v>118</v>
      </c>
      <c r="E1482" s="5" t="s">
        <v>2785</v>
      </c>
      <c r="F1482" s="5" t="s">
        <v>2756</v>
      </c>
      <c r="G1482" s="5">
        <v>1</v>
      </c>
      <c r="H1482" s="5" t="s">
        <v>2864</v>
      </c>
      <c r="I1482" s="5" t="str">
        <f>IF(INDEX(Manual_Review!$O$6:$O$238,U1482)="","",INDEX(Manual_Review!$O$6:$O$238,U1482))</f>
        <v/>
      </c>
      <c r="J1482" s="5" t="str">
        <f t="shared" si="46"/>
        <v>AI provisional</v>
      </c>
      <c r="K1482" s="5" t="str">
        <f t="shared" si="47"/>
        <v>U</v>
      </c>
      <c r="L1482" s="5" t="s">
        <v>1137</v>
      </c>
      <c r="M1482" s="5" t="s">
        <v>5967</v>
      </c>
      <c r="N1482" s="5" t="s">
        <v>5959</v>
      </c>
      <c r="O1482" s="5" t="s">
        <v>2872</v>
      </c>
      <c r="P1482" s="5" t="s">
        <v>2858</v>
      </c>
      <c r="Q1482" s="11">
        <v>46306.5</v>
      </c>
      <c r="R1482" s="6"/>
      <c r="S1482" s="6"/>
      <c r="T1482" s="6"/>
      <c r="U1482" s="5">
        <f>MATCH(B1482,Manual_Review!$A$6:$A$238,0)</f>
        <v>93</v>
      </c>
      <c r="V1482" s="5" t="str">
        <f>IF(INDEX(Manual_Review!$G$6:$G$238,U1482)="","",INDEX(Manual_Review!$G$6:$G$238,U1482))</f>
        <v/>
      </c>
      <c r="W1482" s="11" t="str">
        <f>IF(INDEX(Manual_Review!$H$6:$H$238,U1482)="","",INDEX(Manual_Review!$H$6:$H$238,U1482))</f>
        <v/>
      </c>
      <c r="X1482" s="5" t="str">
        <f>IF(INDEX(Manual_Review!$I$6:$I$238,U1482)="","",INDEX(Manual_Review!$I$6:$I$238,U1482))</f>
        <v/>
      </c>
      <c r="Y1482" s="5" t="s">
        <v>2859</v>
      </c>
    </row>
    <row r="1483" spans="1:25" ht="25.5">
      <c r="A1483" s="5" t="s">
        <v>5968</v>
      </c>
      <c r="B1483" s="5" t="s">
        <v>1127</v>
      </c>
      <c r="C1483" s="5" t="s">
        <v>1128</v>
      </c>
      <c r="D1483" s="5" t="s">
        <v>118</v>
      </c>
      <c r="E1483" s="5" t="s">
        <v>2786</v>
      </c>
      <c r="F1483" s="5" t="s">
        <v>2756</v>
      </c>
      <c r="G1483" s="5">
        <v>1</v>
      </c>
      <c r="H1483" s="5" t="s">
        <v>2864</v>
      </c>
      <c r="I1483" s="5" t="str">
        <f>IF(INDEX(Manual_Review!$P$6:$P$238,U1483)="","",INDEX(Manual_Review!$P$6:$P$238,U1483))</f>
        <v/>
      </c>
      <c r="J1483" s="5" t="str">
        <f t="shared" si="46"/>
        <v>AI provisional</v>
      </c>
      <c r="K1483" s="5" t="str">
        <f t="shared" si="47"/>
        <v>U</v>
      </c>
      <c r="L1483" s="5" t="s">
        <v>1137</v>
      </c>
      <c r="M1483" s="5" t="s">
        <v>5969</v>
      </c>
      <c r="N1483" s="5" t="s">
        <v>5959</v>
      </c>
      <c r="O1483" s="5" t="s">
        <v>2874</v>
      </c>
      <c r="P1483" s="5" t="s">
        <v>2858</v>
      </c>
      <c r="Q1483" s="11">
        <v>46306.5</v>
      </c>
      <c r="R1483" s="6"/>
      <c r="S1483" s="6"/>
      <c r="T1483" s="6"/>
      <c r="U1483" s="5">
        <f>MATCH(B1483,Manual_Review!$A$6:$A$238,0)</f>
        <v>93</v>
      </c>
      <c r="V1483" s="5" t="str">
        <f>IF(INDEX(Manual_Review!$G$6:$G$238,U1483)="","",INDEX(Manual_Review!$G$6:$G$238,U1483))</f>
        <v/>
      </c>
      <c r="W1483" s="11" t="str">
        <f>IF(INDEX(Manual_Review!$H$6:$H$238,U1483)="","",INDEX(Manual_Review!$H$6:$H$238,U1483))</f>
        <v/>
      </c>
      <c r="X1483" s="5" t="str">
        <f>IF(INDEX(Manual_Review!$I$6:$I$238,U1483)="","",INDEX(Manual_Review!$I$6:$I$238,U1483))</f>
        <v/>
      </c>
      <c r="Y1483" s="5" t="s">
        <v>2859</v>
      </c>
    </row>
    <row r="1484" spans="1:25" ht="25.5">
      <c r="A1484" s="5" t="s">
        <v>5970</v>
      </c>
      <c r="B1484" s="5" t="s">
        <v>1127</v>
      </c>
      <c r="C1484" s="5" t="s">
        <v>1128</v>
      </c>
      <c r="D1484" s="5" t="s">
        <v>118</v>
      </c>
      <c r="E1484" s="5" t="s">
        <v>2787</v>
      </c>
      <c r="F1484" s="5" t="s">
        <v>2758</v>
      </c>
      <c r="G1484" s="5">
        <v>1</v>
      </c>
      <c r="H1484" s="5" t="s">
        <v>2854</v>
      </c>
      <c r="I1484" s="5" t="str">
        <f>IF(INDEX(Manual_Review!$Q$6:$Q$238,U1484)="","",INDEX(Manual_Review!$Q$6:$Q$238,U1484))</f>
        <v/>
      </c>
      <c r="J1484" s="5" t="str">
        <f t="shared" si="46"/>
        <v>AI provisional</v>
      </c>
      <c r="K1484" s="5" t="str">
        <f t="shared" si="47"/>
        <v>Y</v>
      </c>
      <c r="L1484" s="5" t="s">
        <v>1137</v>
      </c>
      <c r="M1484" s="5" t="s">
        <v>5971</v>
      </c>
      <c r="N1484" s="5" t="s">
        <v>5959</v>
      </c>
      <c r="O1484" s="5" t="s">
        <v>2969</v>
      </c>
      <c r="P1484" s="5" t="s">
        <v>2858</v>
      </c>
      <c r="Q1484" s="11">
        <v>46306.5</v>
      </c>
      <c r="R1484" s="6"/>
      <c r="S1484" s="6"/>
      <c r="T1484" s="6"/>
      <c r="U1484" s="5">
        <f>MATCH(B1484,Manual_Review!$A$6:$A$238,0)</f>
        <v>93</v>
      </c>
      <c r="V1484" s="5" t="str">
        <f>IF(INDEX(Manual_Review!$G$6:$G$238,U1484)="","",INDEX(Manual_Review!$G$6:$G$238,U1484))</f>
        <v/>
      </c>
      <c r="W1484" s="11" t="str">
        <f>IF(INDEX(Manual_Review!$H$6:$H$238,U1484)="","",INDEX(Manual_Review!$H$6:$H$238,U1484))</f>
        <v/>
      </c>
      <c r="X1484" s="5" t="str">
        <f>IF(INDEX(Manual_Review!$I$6:$I$238,U1484)="","",INDEX(Manual_Review!$I$6:$I$238,U1484))</f>
        <v/>
      </c>
      <c r="Y1484" s="5" t="s">
        <v>2859</v>
      </c>
    </row>
    <row r="1485" spans="1:25" ht="25.5">
      <c r="A1485" s="5" t="s">
        <v>5972</v>
      </c>
      <c r="B1485" s="5" t="s">
        <v>1127</v>
      </c>
      <c r="C1485" s="5" t="s">
        <v>1128</v>
      </c>
      <c r="D1485" s="5" t="s">
        <v>118</v>
      </c>
      <c r="E1485" s="5" t="s">
        <v>2788</v>
      </c>
      <c r="F1485" s="5" t="s">
        <v>2758</v>
      </c>
      <c r="G1485" s="5">
        <v>1</v>
      </c>
      <c r="H1485" s="5" t="s">
        <v>2854</v>
      </c>
      <c r="I1485" s="5" t="str">
        <f>IF(INDEX(Manual_Review!$R$6:$R$238,U1485)="","",INDEX(Manual_Review!$R$6:$R$238,U1485))</f>
        <v/>
      </c>
      <c r="J1485" s="5" t="str">
        <f t="shared" si="46"/>
        <v>AI provisional</v>
      </c>
      <c r="K1485" s="5" t="str">
        <f t="shared" si="47"/>
        <v>Y</v>
      </c>
      <c r="L1485" s="5" t="s">
        <v>1137</v>
      </c>
      <c r="M1485" s="5" t="s">
        <v>5973</v>
      </c>
      <c r="N1485" s="5" t="s">
        <v>5959</v>
      </c>
      <c r="O1485" s="5" t="s">
        <v>3067</v>
      </c>
      <c r="P1485" s="5" t="s">
        <v>2858</v>
      </c>
      <c r="Q1485" s="11">
        <v>46306.5</v>
      </c>
      <c r="R1485" s="6"/>
      <c r="S1485" s="6"/>
      <c r="T1485" s="6"/>
      <c r="U1485" s="5">
        <f>MATCH(B1485,Manual_Review!$A$6:$A$238,0)</f>
        <v>93</v>
      </c>
      <c r="V1485" s="5" t="str">
        <f>IF(INDEX(Manual_Review!$G$6:$G$238,U1485)="","",INDEX(Manual_Review!$G$6:$G$238,U1485))</f>
        <v/>
      </c>
      <c r="W1485" s="11" t="str">
        <f>IF(INDEX(Manual_Review!$H$6:$H$238,U1485)="","",INDEX(Manual_Review!$H$6:$H$238,U1485))</f>
        <v/>
      </c>
      <c r="X1485" s="5" t="str">
        <f>IF(INDEX(Manual_Review!$I$6:$I$238,U1485)="","",INDEX(Manual_Review!$I$6:$I$238,U1485))</f>
        <v/>
      </c>
      <c r="Y1485" s="5" t="s">
        <v>2859</v>
      </c>
    </row>
    <row r="1486" spans="1:25" ht="25.5">
      <c r="A1486" s="5" t="s">
        <v>5974</v>
      </c>
      <c r="B1486" s="5" t="s">
        <v>1127</v>
      </c>
      <c r="C1486" s="5" t="s">
        <v>1128</v>
      </c>
      <c r="D1486" s="5" t="s">
        <v>118</v>
      </c>
      <c r="E1486" s="5" t="s">
        <v>2789</v>
      </c>
      <c r="F1486" s="5" t="s">
        <v>2758</v>
      </c>
      <c r="G1486" s="5">
        <v>1</v>
      </c>
      <c r="H1486" s="5" t="s">
        <v>2864</v>
      </c>
      <c r="I1486" s="5" t="str">
        <f>IF(INDEX(Manual_Review!$S$6:$S$238,U1486)="","",INDEX(Manual_Review!$S$6:$S$238,U1486))</f>
        <v/>
      </c>
      <c r="J1486" s="5" t="str">
        <f t="shared" si="46"/>
        <v>AI provisional</v>
      </c>
      <c r="K1486" s="5" t="str">
        <f t="shared" si="47"/>
        <v>U</v>
      </c>
      <c r="L1486" s="5" t="s">
        <v>1137</v>
      </c>
      <c r="M1486" s="5" t="s">
        <v>5975</v>
      </c>
      <c r="N1486" s="5" t="s">
        <v>5959</v>
      </c>
      <c r="O1486" s="5" t="s">
        <v>2883</v>
      </c>
      <c r="P1486" s="5" t="s">
        <v>2858</v>
      </c>
      <c r="Q1486" s="11">
        <v>46306.5</v>
      </c>
      <c r="R1486" s="6"/>
      <c r="S1486" s="6"/>
      <c r="T1486" s="6"/>
      <c r="U1486" s="5">
        <f>MATCH(B1486,Manual_Review!$A$6:$A$238,0)</f>
        <v>93</v>
      </c>
      <c r="V1486" s="5" t="str">
        <f>IF(INDEX(Manual_Review!$G$6:$G$238,U1486)="","",INDEX(Manual_Review!$G$6:$G$238,U1486))</f>
        <v/>
      </c>
      <c r="W1486" s="11" t="str">
        <f>IF(INDEX(Manual_Review!$H$6:$H$238,U1486)="","",INDEX(Manual_Review!$H$6:$H$238,U1486))</f>
        <v/>
      </c>
      <c r="X1486" s="5" t="str">
        <f>IF(INDEX(Manual_Review!$I$6:$I$238,U1486)="","",INDEX(Manual_Review!$I$6:$I$238,U1486))</f>
        <v/>
      </c>
      <c r="Y1486" s="5" t="s">
        <v>2859</v>
      </c>
    </row>
    <row r="1487" spans="1:25" ht="25.5">
      <c r="A1487" s="5" t="s">
        <v>5976</v>
      </c>
      <c r="B1487" s="5" t="s">
        <v>1127</v>
      </c>
      <c r="C1487" s="5" t="s">
        <v>1128</v>
      </c>
      <c r="D1487" s="5" t="s">
        <v>118</v>
      </c>
      <c r="E1487" s="5" t="s">
        <v>2790</v>
      </c>
      <c r="F1487" s="5" t="s">
        <v>2760</v>
      </c>
      <c r="G1487" s="5">
        <v>1</v>
      </c>
      <c r="H1487" s="5" t="s">
        <v>2854</v>
      </c>
      <c r="I1487" s="5" t="str">
        <f>IF(INDEX(Manual_Review!$T$6:$T$238,U1487)="","",INDEX(Manual_Review!$T$6:$T$238,U1487))</f>
        <v/>
      </c>
      <c r="J1487" s="5" t="str">
        <f t="shared" si="46"/>
        <v>AI provisional</v>
      </c>
      <c r="K1487" s="5" t="str">
        <f t="shared" si="47"/>
        <v>Y</v>
      </c>
      <c r="L1487" s="5" t="s">
        <v>1137</v>
      </c>
      <c r="M1487" s="5" t="s">
        <v>5977</v>
      </c>
      <c r="N1487" s="5" t="s">
        <v>5959</v>
      </c>
      <c r="O1487" s="5" t="s">
        <v>2976</v>
      </c>
      <c r="P1487" s="5" t="s">
        <v>2858</v>
      </c>
      <c r="Q1487" s="11">
        <v>46306.5</v>
      </c>
      <c r="R1487" s="6"/>
      <c r="S1487" s="6"/>
      <c r="T1487" s="6"/>
      <c r="U1487" s="5">
        <f>MATCH(B1487,Manual_Review!$A$6:$A$238,0)</f>
        <v>93</v>
      </c>
      <c r="V1487" s="5" t="str">
        <f>IF(INDEX(Manual_Review!$G$6:$G$238,U1487)="","",INDEX(Manual_Review!$G$6:$G$238,U1487))</f>
        <v/>
      </c>
      <c r="W1487" s="11" t="str">
        <f>IF(INDEX(Manual_Review!$H$6:$H$238,U1487)="","",INDEX(Manual_Review!$H$6:$H$238,U1487))</f>
        <v/>
      </c>
      <c r="X1487" s="5" t="str">
        <f>IF(INDEX(Manual_Review!$I$6:$I$238,U1487)="","",INDEX(Manual_Review!$I$6:$I$238,U1487))</f>
        <v/>
      </c>
      <c r="Y1487" s="5" t="s">
        <v>2859</v>
      </c>
    </row>
    <row r="1488" spans="1:25" ht="25.5">
      <c r="A1488" s="5" t="s">
        <v>5978</v>
      </c>
      <c r="B1488" s="5" t="s">
        <v>1127</v>
      </c>
      <c r="C1488" s="5" t="s">
        <v>1128</v>
      </c>
      <c r="D1488" s="5" t="s">
        <v>118</v>
      </c>
      <c r="E1488" s="5" t="s">
        <v>2791</v>
      </c>
      <c r="F1488" s="5" t="s">
        <v>2760</v>
      </c>
      <c r="G1488" s="5">
        <v>1</v>
      </c>
      <c r="H1488" s="5" t="s">
        <v>2854</v>
      </c>
      <c r="I1488" s="5" t="str">
        <f>IF(INDEX(Manual_Review!$U$6:$U$238,U1488)="","",INDEX(Manual_Review!$U$6:$U$238,U1488))</f>
        <v/>
      </c>
      <c r="J1488" s="5" t="str">
        <f t="shared" si="46"/>
        <v>AI provisional</v>
      </c>
      <c r="K1488" s="5" t="str">
        <f t="shared" si="47"/>
        <v>Y</v>
      </c>
      <c r="L1488" s="5" t="s">
        <v>1137</v>
      </c>
      <c r="M1488" s="5" t="s">
        <v>5979</v>
      </c>
      <c r="N1488" s="5" t="s">
        <v>5959</v>
      </c>
      <c r="O1488" s="5" t="s">
        <v>3380</v>
      </c>
      <c r="P1488" s="5" t="s">
        <v>2858</v>
      </c>
      <c r="Q1488" s="11">
        <v>46306.5</v>
      </c>
      <c r="R1488" s="6"/>
      <c r="S1488" s="6"/>
      <c r="T1488" s="6"/>
      <c r="U1488" s="5">
        <f>MATCH(B1488,Manual_Review!$A$6:$A$238,0)</f>
        <v>93</v>
      </c>
      <c r="V1488" s="5" t="str">
        <f>IF(INDEX(Manual_Review!$G$6:$G$238,U1488)="","",INDEX(Manual_Review!$G$6:$G$238,U1488))</f>
        <v/>
      </c>
      <c r="W1488" s="11" t="str">
        <f>IF(INDEX(Manual_Review!$H$6:$H$238,U1488)="","",INDEX(Manual_Review!$H$6:$H$238,U1488))</f>
        <v/>
      </c>
      <c r="X1488" s="5" t="str">
        <f>IF(INDEX(Manual_Review!$I$6:$I$238,U1488)="","",INDEX(Manual_Review!$I$6:$I$238,U1488))</f>
        <v/>
      </c>
      <c r="Y1488" s="5" t="s">
        <v>2859</v>
      </c>
    </row>
    <row r="1489" spans="1:25" ht="25.5">
      <c r="A1489" s="5" t="s">
        <v>5980</v>
      </c>
      <c r="B1489" s="5" t="s">
        <v>1127</v>
      </c>
      <c r="C1489" s="5" t="s">
        <v>1128</v>
      </c>
      <c r="D1489" s="5" t="s">
        <v>118</v>
      </c>
      <c r="E1489" s="5" t="s">
        <v>2792</v>
      </c>
      <c r="F1489" s="5" t="s">
        <v>2762</v>
      </c>
      <c r="G1489" s="5">
        <v>1</v>
      </c>
      <c r="H1489" s="5" t="s">
        <v>2864</v>
      </c>
      <c r="I1489" s="5" t="str">
        <f>IF(INDEX(Manual_Review!$V$6:$V$238,U1489)="","",INDEX(Manual_Review!$V$6:$V$238,U1489))</f>
        <v/>
      </c>
      <c r="J1489" s="5" t="str">
        <f t="shared" si="46"/>
        <v>AI provisional</v>
      </c>
      <c r="K1489" s="5" t="str">
        <f t="shared" si="47"/>
        <v>U</v>
      </c>
      <c r="L1489" s="5" t="s">
        <v>1137</v>
      </c>
      <c r="M1489" s="5" t="s">
        <v>5981</v>
      </c>
      <c r="N1489" s="5" t="s">
        <v>5959</v>
      </c>
      <c r="O1489" s="5" t="s">
        <v>2891</v>
      </c>
      <c r="P1489" s="5" t="s">
        <v>2858</v>
      </c>
      <c r="Q1489" s="11">
        <v>46306.5</v>
      </c>
      <c r="R1489" s="6"/>
      <c r="S1489" s="6"/>
      <c r="T1489" s="6"/>
      <c r="U1489" s="5">
        <f>MATCH(B1489,Manual_Review!$A$6:$A$238,0)</f>
        <v>93</v>
      </c>
      <c r="V1489" s="5" t="str">
        <f>IF(INDEX(Manual_Review!$G$6:$G$238,U1489)="","",INDEX(Manual_Review!$G$6:$G$238,U1489))</f>
        <v/>
      </c>
      <c r="W1489" s="11" t="str">
        <f>IF(INDEX(Manual_Review!$H$6:$H$238,U1489)="","",INDEX(Manual_Review!$H$6:$H$238,U1489))</f>
        <v/>
      </c>
      <c r="X1489" s="5" t="str">
        <f>IF(INDEX(Manual_Review!$I$6:$I$238,U1489)="","",INDEX(Manual_Review!$I$6:$I$238,U1489))</f>
        <v/>
      </c>
      <c r="Y1489" s="5" t="s">
        <v>2859</v>
      </c>
    </row>
    <row r="1490" spans="1:25" ht="25.5">
      <c r="A1490" s="5" t="s">
        <v>5982</v>
      </c>
      <c r="B1490" s="5" t="s">
        <v>1127</v>
      </c>
      <c r="C1490" s="5" t="s">
        <v>1128</v>
      </c>
      <c r="D1490" s="5" t="s">
        <v>118</v>
      </c>
      <c r="E1490" s="5" t="s">
        <v>2793</v>
      </c>
      <c r="F1490" s="5" t="s">
        <v>2762</v>
      </c>
      <c r="G1490" s="5">
        <v>1</v>
      </c>
      <c r="H1490" s="5" t="s">
        <v>2864</v>
      </c>
      <c r="I1490" s="5" t="str">
        <f>IF(INDEX(Manual_Review!$W$6:$W$238,U1490)="","",INDEX(Manual_Review!$W$6:$W$238,U1490))</f>
        <v/>
      </c>
      <c r="J1490" s="5" t="str">
        <f t="shared" si="46"/>
        <v>AI provisional</v>
      </c>
      <c r="K1490" s="5" t="str">
        <f t="shared" si="47"/>
        <v>U</v>
      </c>
      <c r="L1490" s="5" t="s">
        <v>1137</v>
      </c>
      <c r="M1490" s="5" t="s">
        <v>5981</v>
      </c>
      <c r="N1490" s="5" t="s">
        <v>5959</v>
      </c>
      <c r="O1490" s="5" t="s">
        <v>2893</v>
      </c>
      <c r="P1490" s="5" t="s">
        <v>2858</v>
      </c>
      <c r="Q1490" s="11">
        <v>46306.5</v>
      </c>
      <c r="R1490" s="6"/>
      <c r="S1490" s="6"/>
      <c r="T1490" s="6"/>
      <c r="U1490" s="5">
        <f>MATCH(B1490,Manual_Review!$A$6:$A$238,0)</f>
        <v>93</v>
      </c>
      <c r="V1490" s="5" t="str">
        <f>IF(INDEX(Manual_Review!$G$6:$G$238,U1490)="","",INDEX(Manual_Review!$G$6:$G$238,U1490))</f>
        <v/>
      </c>
      <c r="W1490" s="11" t="str">
        <f>IF(INDEX(Manual_Review!$H$6:$H$238,U1490)="","",INDEX(Manual_Review!$H$6:$H$238,U1490))</f>
        <v/>
      </c>
      <c r="X1490" s="5" t="str">
        <f>IF(INDEX(Manual_Review!$I$6:$I$238,U1490)="","",INDEX(Manual_Review!$I$6:$I$238,U1490))</f>
        <v/>
      </c>
      <c r="Y1490" s="5" t="s">
        <v>2859</v>
      </c>
    </row>
    <row r="1491" spans="1:25" ht="25.5">
      <c r="A1491" s="5" t="s">
        <v>5983</v>
      </c>
      <c r="B1491" s="5" t="s">
        <v>1127</v>
      </c>
      <c r="C1491" s="5" t="s">
        <v>1128</v>
      </c>
      <c r="D1491" s="5" t="s">
        <v>118</v>
      </c>
      <c r="E1491" s="5" t="s">
        <v>2794</v>
      </c>
      <c r="F1491" s="5" t="s">
        <v>2764</v>
      </c>
      <c r="G1491" s="5">
        <v>1</v>
      </c>
      <c r="H1491" s="5" t="s">
        <v>2854</v>
      </c>
      <c r="I1491" s="5" t="str">
        <f>IF(INDEX(Manual_Review!$X$6:$X$238,U1491)="","",INDEX(Manual_Review!$X$6:$X$238,U1491))</f>
        <v/>
      </c>
      <c r="J1491" s="5" t="str">
        <f t="shared" si="46"/>
        <v>AI provisional</v>
      </c>
      <c r="K1491" s="5" t="str">
        <f t="shared" si="47"/>
        <v>Y</v>
      </c>
      <c r="L1491" s="5" t="s">
        <v>1137</v>
      </c>
      <c r="M1491" s="5" t="s">
        <v>5984</v>
      </c>
      <c r="N1491" s="5" t="s">
        <v>5959</v>
      </c>
      <c r="O1491" s="5" t="s">
        <v>2984</v>
      </c>
      <c r="P1491" s="5" t="s">
        <v>2858</v>
      </c>
      <c r="Q1491" s="11">
        <v>46306.5</v>
      </c>
      <c r="R1491" s="6"/>
      <c r="S1491" s="6"/>
      <c r="T1491" s="6"/>
      <c r="U1491" s="5">
        <f>MATCH(B1491,Manual_Review!$A$6:$A$238,0)</f>
        <v>93</v>
      </c>
      <c r="V1491" s="5" t="str">
        <f>IF(INDEX(Manual_Review!$G$6:$G$238,U1491)="","",INDEX(Manual_Review!$G$6:$G$238,U1491))</f>
        <v/>
      </c>
      <c r="W1491" s="11" t="str">
        <f>IF(INDEX(Manual_Review!$H$6:$H$238,U1491)="","",INDEX(Manual_Review!$H$6:$H$238,U1491))</f>
        <v/>
      </c>
      <c r="X1491" s="5" t="str">
        <f>IF(INDEX(Manual_Review!$I$6:$I$238,U1491)="","",INDEX(Manual_Review!$I$6:$I$238,U1491))</f>
        <v/>
      </c>
      <c r="Y1491" s="5" t="s">
        <v>2859</v>
      </c>
    </row>
    <row r="1492" spans="1:25" ht="25.5">
      <c r="A1492" s="5" t="s">
        <v>5985</v>
      </c>
      <c r="B1492" s="5" t="s">
        <v>1127</v>
      </c>
      <c r="C1492" s="5" t="s">
        <v>1128</v>
      </c>
      <c r="D1492" s="5" t="s">
        <v>118</v>
      </c>
      <c r="E1492" s="5" t="s">
        <v>2795</v>
      </c>
      <c r="F1492" s="5" t="s">
        <v>2764</v>
      </c>
      <c r="G1492" s="5">
        <v>1</v>
      </c>
      <c r="H1492" s="5" t="s">
        <v>2854</v>
      </c>
      <c r="I1492" s="5" t="str">
        <f>IF(INDEX(Manual_Review!$Y$6:$Y$238,U1492)="","",INDEX(Manual_Review!$Y$6:$Y$238,U1492))</f>
        <v/>
      </c>
      <c r="J1492" s="5" t="str">
        <f t="shared" si="46"/>
        <v>AI provisional</v>
      </c>
      <c r="K1492" s="5" t="str">
        <f t="shared" si="47"/>
        <v>Y</v>
      </c>
      <c r="L1492" s="5" t="s">
        <v>1137</v>
      </c>
      <c r="M1492" s="5" t="s">
        <v>5986</v>
      </c>
      <c r="N1492" s="5" t="s">
        <v>5959</v>
      </c>
      <c r="O1492" s="5" t="s">
        <v>3082</v>
      </c>
      <c r="P1492" s="5" t="s">
        <v>2858</v>
      </c>
      <c r="Q1492" s="11">
        <v>46306.5</v>
      </c>
      <c r="R1492" s="6"/>
      <c r="S1492" s="6"/>
      <c r="T1492" s="6"/>
      <c r="U1492" s="5">
        <f>MATCH(B1492,Manual_Review!$A$6:$A$238,0)</f>
        <v>93</v>
      </c>
      <c r="V1492" s="5" t="str">
        <f>IF(INDEX(Manual_Review!$G$6:$G$238,U1492)="","",INDEX(Manual_Review!$G$6:$G$238,U1492))</f>
        <v/>
      </c>
      <c r="W1492" s="11" t="str">
        <f>IF(INDEX(Manual_Review!$H$6:$H$238,U1492)="","",INDEX(Manual_Review!$H$6:$H$238,U1492))</f>
        <v/>
      </c>
      <c r="X1492" s="5" t="str">
        <f>IF(INDEX(Manual_Review!$I$6:$I$238,U1492)="","",INDEX(Manual_Review!$I$6:$I$238,U1492))</f>
        <v/>
      </c>
      <c r="Y1492" s="5" t="s">
        <v>2859</v>
      </c>
    </row>
    <row r="1493" spans="1:25" ht="25.5">
      <c r="A1493" s="5" t="s">
        <v>5987</v>
      </c>
      <c r="B1493" s="5" t="s">
        <v>1127</v>
      </c>
      <c r="C1493" s="5" t="s">
        <v>1128</v>
      </c>
      <c r="D1493" s="5" t="s">
        <v>118</v>
      </c>
      <c r="E1493" s="5" t="s">
        <v>2796</v>
      </c>
      <c r="F1493" s="5" t="s">
        <v>2764</v>
      </c>
      <c r="G1493" s="5">
        <v>1</v>
      </c>
      <c r="H1493" s="5" t="s">
        <v>2864</v>
      </c>
      <c r="I1493" s="5" t="str">
        <f>IF(INDEX(Manual_Review!$Z$6:$Z$238,U1493)="","",INDEX(Manual_Review!$Z$6:$Z$238,U1493))</f>
        <v/>
      </c>
      <c r="J1493" s="5" t="str">
        <f t="shared" si="46"/>
        <v>AI provisional</v>
      </c>
      <c r="K1493" s="5" t="str">
        <f t="shared" si="47"/>
        <v>U</v>
      </c>
      <c r="L1493" s="5" t="s">
        <v>1137</v>
      </c>
      <c r="M1493" s="5" t="s">
        <v>5988</v>
      </c>
      <c r="N1493" s="5" t="s">
        <v>5959</v>
      </c>
      <c r="O1493" s="5" t="s">
        <v>2899</v>
      </c>
      <c r="P1493" s="5" t="s">
        <v>2858</v>
      </c>
      <c r="Q1493" s="11">
        <v>46306.5</v>
      </c>
      <c r="R1493" s="6"/>
      <c r="S1493" s="6"/>
      <c r="T1493" s="6"/>
      <c r="U1493" s="5">
        <f>MATCH(B1493,Manual_Review!$A$6:$A$238,0)</f>
        <v>93</v>
      </c>
      <c r="V1493" s="5" t="str">
        <f>IF(INDEX(Manual_Review!$G$6:$G$238,U1493)="","",INDEX(Manual_Review!$G$6:$G$238,U1493))</f>
        <v/>
      </c>
      <c r="W1493" s="11" t="str">
        <f>IF(INDEX(Manual_Review!$H$6:$H$238,U1493)="","",INDEX(Manual_Review!$H$6:$H$238,U1493))</f>
        <v/>
      </c>
      <c r="X1493" s="5" t="str">
        <f>IF(INDEX(Manual_Review!$I$6:$I$238,U1493)="","",INDEX(Manual_Review!$I$6:$I$238,U1493))</f>
        <v/>
      </c>
      <c r="Y1493" s="5" t="s">
        <v>2859</v>
      </c>
    </row>
    <row r="1494" spans="1:25" ht="25.5">
      <c r="A1494" s="5" t="s">
        <v>5989</v>
      </c>
      <c r="B1494" s="5" t="s">
        <v>1139</v>
      </c>
      <c r="C1494" s="5" t="s">
        <v>1140</v>
      </c>
      <c r="D1494" s="5" t="s">
        <v>118</v>
      </c>
      <c r="E1494" s="5" t="s">
        <v>2781</v>
      </c>
      <c r="F1494" s="5" t="s">
        <v>2754</v>
      </c>
      <c r="G1494" s="5">
        <v>1</v>
      </c>
      <c r="H1494" s="5" t="s">
        <v>2854</v>
      </c>
      <c r="I1494" s="5" t="str">
        <f>IF(INDEX(Manual_Review!$K$6:$K$238,U1494)="","",INDEX(Manual_Review!$K$6:$K$238,U1494))</f>
        <v/>
      </c>
      <c r="J1494" s="5" t="str">
        <f t="shared" si="46"/>
        <v>AI provisional</v>
      </c>
      <c r="K1494" s="5" t="str">
        <f t="shared" si="47"/>
        <v>Y</v>
      </c>
      <c r="L1494" s="5" t="s">
        <v>1145</v>
      </c>
      <c r="M1494" s="5" t="s">
        <v>5990</v>
      </c>
      <c r="N1494" s="5" t="s">
        <v>5991</v>
      </c>
      <c r="O1494" s="5" t="s">
        <v>2857</v>
      </c>
      <c r="P1494" s="5" t="s">
        <v>2858</v>
      </c>
      <c r="Q1494" s="11">
        <v>46306.5</v>
      </c>
      <c r="R1494" s="6"/>
      <c r="S1494" s="6"/>
      <c r="T1494" s="6"/>
      <c r="U1494" s="5">
        <f>MATCH(B1494,Manual_Review!$A$6:$A$238,0)</f>
        <v>94</v>
      </c>
      <c r="V1494" s="5" t="str">
        <f>IF(INDEX(Manual_Review!$G$6:$G$238,U1494)="","",INDEX(Manual_Review!$G$6:$G$238,U1494))</f>
        <v/>
      </c>
      <c r="W1494" s="11" t="str">
        <f>IF(INDEX(Manual_Review!$H$6:$H$238,U1494)="","",INDEX(Manual_Review!$H$6:$H$238,U1494))</f>
        <v/>
      </c>
      <c r="X1494" s="5" t="str">
        <f>IF(INDEX(Manual_Review!$I$6:$I$238,U1494)="","",INDEX(Manual_Review!$I$6:$I$238,U1494))</f>
        <v/>
      </c>
      <c r="Y1494" s="5" t="s">
        <v>2859</v>
      </c>
    </row>
    <row r="1495" spans="1:25" ht="25.5">
      <c r="A1495" s="5" t="s">
        <v>5992</v>
      </c>
      <c r="B1495" s="5" t="s">
        <v>1139</v>
      </c>
      <c r="C1495" s="5" t="s">
        <v>1140</v>
      </c>
      <c r="D1495" s="5" t="s">
        <v>118</v>
      </c>
      <c r="E1495" s="5" t="s">
        <v>2782</v>
      </c>
      <c r="F1495" s="5" t="s">
        <v>2754</v>
      </c>
      <c r="G1495" s="5">
        <v>1</v>
      </c>
      <c r="H1495" s="5" t="s">
        <v>2854</v>
      </c>
      <c r="I1495" s="5" t="str">
        <f>IF(INDEX(Manual_Review!$L$6:$L$238,U1495)="","",INDEX(Manual_Review!$L$6:$L$238,U1495))</f>
        <v/>
      </c>
      <c r="J1495" s="5" t="str">
        <f t="shared" si="46"/>
        <v>AI provisional</v>
      </c>
      <c r="K1495" s="5" t="str">
        <f t="shared" si="47"/>
        <v>Y</v>
      </c>
      <c r="L1495" s="5" t="s">
        <v>1145</v>
      </c>
      <c r="M1495" s="5" t="s">
        <v>5993</v>
      </c>
      <c r="N1495" s="5" t="s">
        <v>5991</v>
      </c>
      <c r="O1495" s="5" t="s">
        <v>2862</v>
      </c>
      <c r="P1495" s="5" t="s">
        <v>2858</v>
      </c>
      <c r="Q1495" s="11">
        <v>46306.5</v>
      </c>
      <c r="R1495" s="6"/>
      <c r="S1495" s="6"/>
      <c r="T1495" s="6"/>
      <c r="U1495" s="5">
        <f>MATCH(B1495,Manual_Review!$A$6:$A$238,0)</f>
        <v>94</v>
      </c>
      <c r="V1495" s="5" t="str">
        <f>IF(INDEX(Manual_Review!$G$6:$G$238,U1495)="","",INDEX(Manual_Review!$G$6:$G$238,U1495))</f>
        <v/>
      </c>
      <c r="W1495" s="11" t="str">
        <f>IF(INDEX(Manual_Review!$H$6:$H$238,U1495)="","",INDEX(Manual_Review!$H$6:$H$238,U1495))</f>
        <v/>
      </c>
      <c r="X1495" s="5" t="str">
        <f>IF(INDEX(Manual_Review!$I$6:$I$238,U1495)="","",INDEX(Manual_Review!$I$6:$I$238,U1495))</f>
        <v/>
      </c>
      <c r="Y1495" s="5" t="s">
        <v>2859</v>
      </c>
    </row>
    <row r="1496" spans="1:25" ht="25.5">
      <c r="A1496" s="5" t="s">
        <v>5994</v>
      </c>
      <c r="B1496" s="5" t="s">
        <v>1139</v>
      </c>
      <c r="C1496" s="5" t="s">
        <v>1140</v>
      </c>
      <c r="D1496" s="5" t="s">
        <v>118</v>
      </c>
      <c r="E1496" s="5" t="s">
        <v>2783</v>
      </c>
      <c r="F1496" s="5" t="s">
        <v>2754</v>
      </c>
      <c r="G1496" s="5">
        <v>1</v>
      </c>
      <c r="H1496" s="5" t="s">
        <v>2854</v>
      </c>
      <c r="I1496" s="5" t="str">
        <f>IF(INDEX(Manual_Review!$M$6:$M$238,U1496)="","",INDEX(Manual_Review!$M$6:$M$238,U1496))</f>
        <v/>
      </c>
      <c r="J1496" s="5" t="str">
        <f t="shared" si="46"/>
        <v>AI provisional</v>
      </c>
      <c r="K1496" s="5" t="str">
        <f t="shared" si="47"/>
        <v>Y</v>
      </c>
      <c r="L1496" s="5" t="s">
        <v>1145</v>
      </c>
      <c r="M1496" s="5" t="s">
        <v>5995</v>
      </c>
      <c r="N1496" s="5" t="s">
        <v>5991</v>
      </c>
      <c r="O1496" s="5" t="s">
        <v>3133</v>
      </c>
      <c r="P1496" s="5" t="s">
        <v>2858</v>
      </c>
      <c r="Q1496" s="11">
        <v>46306.5</v>
      </c>
      <c r="R1496" s="6"/>
      <c r="S1496" s="6"/>
      <c r="T1496" s="6"/>
      <c r="U1496" s="5">
        <f>MATCH(B1496,Manual_Review!$A$6:$A$238,0)</f>
        <v>94</v>
      </c>
      <c r="V1496" s="5" t="str">
        <f>IF(INDEX(Manual_Review!$G$6:$G$238,U1496)="","",INDEX(Manual_Review!$G$6:$G$238,U1496))</f>
        <v/>
      </c>
      <c r="W1496" s="11" t="str">
        <f>IF(INDEX(Manual_Review!$H$6:$H$238,U1496)="","",INDEX(Manual_Review!$H$6:$H$238,U1496))</f>
        <v/>
      </c>
      <c r="X1496" s="5" t="str">
        <f>IF(INDEX(Manual_Review!$I$6:$I$238,U1496)="","",INDEX(Manual_Review!$I$6:$I$238,U1496))</f>
        <v/>
      </c>
      <c r="Y1496" s="5" t="s">
        <v>2859</v>
      </c>
    </row>
    <row r="1497" spans="1:25" ht="25.5">
      <c r="A1497" s="5" t="s">
        <v>5996</v>
      </c>
      <c r="B1497" s="5" t="s">
        <v>1139</v>
      </c>
      <c r="C1497" s="5" t="s">
        <v>1140</v>
      </c>
      <c r="D1497" s="5" t="s">
        <v>118</v>
      </c>
      <c r="E1497" s="5" t="s">
        <v>2784</v>
      </c>
      <c r="F1497" s="5" t="s">
        <v>2756</v>
      </c>
      <c r="G1497" s="5">
        <v>1</v>
      </c>
      <c r="H1497" s="5" t="s">
        <v>2854</v>
      </c>
      <c r="I1497" s="5" t="str">
        <f>IF(INDEX(Manual_Review!$N$6:$N$238,U1497)="","",INDEX(Manual_Review!$N$6:$N$238,U1497))</f>
        <v/>
      </c>
      <c r="J1497" s="5" t="str">
        <f t="shared" si="46"/>
        <v>AI provisional</v>
      </c>
      <c r="K1497" s="5" t="str">
        <f t="shared" si="47"/>
        <v>Y</v>
      </c>
      <c r="L1497" s="5" t="s">
        <v>1145</v>
      </c>
      <c r="M1497" s="5" t="s">
        <v>5997</v>
      </c>
      <c r="N1497" s="5" t="s">
        <v>5991</v>
      </c>
      <c r="O1497" s="5" t="s">
        <v>2963</v>
      </c>
      <c r="P1497" s="5" t="s">
        <v>2858</v>
      </c>
      <c r="Q1497" s="11">
        <v>46306.5</v>
      </c>
      <c r="R1497" s="6"/>
      <c r="S1497" s="6"/>
      <c r="T1497" s="6"/>
      <c r="U1497" s="5">
        <f>MATCH(B1497,Manual_Review!$A$6:$A$238,0)</f>
        <v>94</v>
      </c>
      <c r="V1497" s="5" t="str">
        <f>IF(INDEX(Manual_Review!$G$6:$G$238,U1497)="","",INDEX(Manual_Review!$G$6:$G$238,U1497))</f>
        <v/>
      </c>
      <c r="W1497" s="11" t="str">
        <f>IF(INDEX(Manual_Review!$H$6:$H$238,U1497)="","",INDEX(Manual_Review!$H$6:$H$238,U1497))</f>
        <v/>
      </c>
      <c r="X1497" s="5" t="str">
        <f>IF(INDEX(Manual_Review!$I$6:$I$238,U1497)="","",INDEX(Manual_Review!$I$6:$I$238,U1497))</f>
        <v/>
      </c>
      <c r="Y1497" s="5" t="s">
        <v>2859</v>
      </c>
    </row>
    <row r="1498" spans="1:25" ht="25.5">
      <c r="A1498" s="5" t="s">
        <v>5998</v>
      </c>
      <c r="B1498" s="5" t="s">
        <v>1139</v>
      </c>
      <c r="C1498" s="5" t="s">
        <v>1140</v>
      </c>
      <c r="D1498" s="5" t="s">
        <v>118</v>
      </c>
      <c r="E1498" s="5" t="s">
        <v>2785</v>
      </c>
      <c r="F1498" s="5" t="s">
        <v>2756</v>
      </c>
      <c r="G1498" s="5">
        <v>1</v>
      </c>
      <c r="H1498" s="5" t="s">
        <v>2864</v>
      </c>
      <c r="I1498" s="5" t="str">
        <f>IF(INDEX(Manual_Review!$O$6:$O$238,U1498)="","",INDEX(Manual_Review!$O$6:$O$238,U1498))</f>
        <v/>
      </c>
      <c r="J1498" s="5" t="str">
        <f t="shared" si="46"/>
        <v>AI provisional</v>
      </c>
      <c r="K1498" s="5" t="str">
        <f t="shared" si="47"/>
        <v>U</v>
      </c>
      <c r="L1498" s="5" t="s">
        <v>1145</v>
      </c>
      <c r="M1498" s="5" t="s">
        <v>5999</v>
      </c>
      <c r="N1498" s="5" t="s">
        <v>5991</v>
      </c>
      <c r="O1498" s="5" t="s">
        <v>2872</v>
      </c>
      <c r="P1498" s="5" t="s">
        <v>2858</v>
      </c>
      <c r="Q1498" s="11">
        <v>46306.5</v>
      </c>
      <c r="R1498" s="6"/>
      <c r="S1498" s="6"/>
      <c r="T1498" s="6"/>
      <c r="U1498" s="5">
        <f>MATCH(B1498,Manual_Review!$A$6:$A$238,0)</f>
        <v>94</v>
      </c>
      <c r="V1498" s="5" t="str">
        <f>IF(INDEX(Manual_Review!$G$6:$G$238,U1498)="","",INDEX(Manual_Review!$G$6:$G$238,U1498))</f>
        <v/>
      </c>
      <c r="W1498" s="11" t="str">
        <f>IF(INDEX(Manual_Review!$H$6:$H$238,U1498)="","",INDEX(Manual_Review!$H$6:$H$238,U1498))</f>
        <v/>
      </c>
      <c r="X1498" s="5" t="str">
        <f>IF(INDEX(Manual_Review!$I$6:$I$238,U1498)="","",INDEX(Manual_Review!$I$6:$I$238,U1498))</f>
        <v/>
      </c>
      <c r="Y1498" s="5" t="s">
        <v>2859</v>
      </c>
    </row>
    <row r="1499" spans="1:25" ht="25.5">
      <c r="A1499" s="5" t="s">
        <v>6000</v>
      </c>
      <c r="B1499" s="5" t="s">
        <v>1139</v>
      </c>
      <c r="C1499" s="5" t="s">
        <v>1140</v>
      </c>
      <c r="D1499" s="5" t="s">
        <v>118</v>
      </c>
      <c r="E1499" s="5" t="s">
        <v>2786</v>
      </c>
      <c r="F1499" s="5" t="s">
        <v>2756</v>
      </c>
      <c r="G1499" s="5">
        <v>1</v>
      </c>
      <c r="H1499" s="5" t="s">
        <v>2864</v>
      </c>
      <c r="I1499" s="5" t="str">
        <f>IF(INDEX(Manual_Review!$P$6:$P$238,U1499)="","",INDEX(Manual_Review!$P$6:$P$238,U1499))</f>
        <v/>
      </c>
      <c r="J1499" s="5" t="str">
        <f t="shared" si="46"/>
        <v>AI provisional</v>
      </c>
      <c r="K1499" s="5" t="str">
        <f t="shared" si="47"/>
        <v>U</v>
      </c>
      <c r="L1499" s="5" t="s">
        <v>1145</v>
      </c>
      <c r="M1499" s="5" t="s">
        <v>5995</v>
      </c>
      <c r="N1499" s="5" t="s">
        <v>5991</v>
      </c>
      <c r="O1499" s="5" t="s">
        <v>2874</v>
      </c>
      <c r="P1499" s="5" t="s">
        <v>2858</v>
      </c>
      <c r="Q1499" s="11">
        <v>46306.5</v>
      </c>
      <c r="R1499" s="6"/>
      <c r="S1499" s="6"/>
      <c r="T1499" s="6"/>
      <c r="U1499" s="5">
        <f>MATCH(B1499,Manual_Review!$A$6:$A$238,0)</f>
        <v>94</v>
      </c>
      <c r="V1499" s="5" t="str">
        <f>IF(INDEX(Manual_Review!$G$6:$G$238,U1499)="","",INDEX(Manual_Review!$G$6:$G$238,U1499))</f>
        <v/>
      </c>
      <c r="W1499" s="11" t="str">
        <f>IF(INDEX(Manual_Review!$H$6:$H$238,U1499)="","",INDEX(Manual_Review!$H$6:$H$238,U1499))</f>
        <v/>
      </c>
      <c r="X1499" s="5" t="str">
        <f>IF(INDEX(Manual_Review!$I$6:$I$238,U1499)="","",INDEX(Manual_Review!$I$6:$I$238,U1499))</f>
        <v/>
      </c>
      <c r="Y1499" s="5" t="s">
        <v>2859</v>
      </c>
    </row>
    <row r="1500" spans="1:25" ht="25.5">
      <c r="A1500" s="5" t="s">
        <v>6001</v>
      </c>
      <c r="B1500" s="5" t="s">
        <v>1139</v>
      </c>
      <c r="C1500" s="5" t="s">
        <v>1140</v>
      </c>
      <c r="D1500" s="5" t="s">
        <v>118</v>
      </c>
      <c r="E1500" s="5" t="s">
        <v>2787</v>
      </c>
      <c r="F1500" s="5" t="s">
        <v>2758</v>
      </c>
      <c r="G1500" s="5">
        <v>1</v>
      </c>
      <c r="H1500" s="5" t="s">
        <v>2854</v>
      </c>
      <c r="I1500" s="5" t="str">
        <f>IF(INDEX(Manual_Review!$Q$6:$Q$238,U1500)="","",INDEX(Manual_Review!$Q$6:$Q$238,U1500))</f>
        <v/>
      </c>
      <c r="J1500" s="5" t="str">
        <f t="shared" si="46"/>
        <v>AI provisional</v>
      </c>
      <c r="K1500" s="5" t="str">
        <f t="shared" si="47"/>
        <v>Y</v>
      </c>
      <c r="L1500" s="5" t="s">
        <v>1145</v>
      </c>
      <c r="M1500" s="5" t="s">
        <v>6002</v>
      </c>
      <c r="N1500" s="5" t="s">
        <v>5991</v>
      </c>
      <c r="O1500" s="5" t="s">
        <v>2969</v>
      </c>
      <c r="P1500" s="5" t="s">
        <v>2858</v>
      </c>
      <c r="Q1500" s="11">
        <v>46306.5</v>
      </c>
      <c r="R1500" s="6"/>
      <c r="S1500" s="6"/>
      <c r="T1500" s="6"/>
      <c r="U1500" s="5">
        <f>MATCH(B1500,Manual_Review!$A$6:$A$238,0)</f>
        <v>94</v>
      </c>
      <c r="V1500" s="5" t="str">
        <f>IF(INDEX(Manual_Review!$G$6:$G$238,U1500)="","",INDEX(Manual_Review!$G$6:$G$238,U1500))</f>
        <v/>
      </c>
      <c r="W1500" s="11" t="str">
        <f>IF(INDEX(Manual_Review!$H$6:$H$238,U1500)="","",INDEX(Manual_Review!$H$6:$H$238,U1500))</f>
        <v/>
      </c>
      <c r="X1500" s="5" t="str">
        <f>IF(INDEX(Manual_Review!$I$6:$I$238,U1500)="","",INDEX(Manual_Review!$I$6:$I$238,U1500))</f>
        <v/>
      </c>
      <c r="Y1500" s="5" t="s">
        <v>2859</v>
      </c>
    </row>
    <row r="1501" spans="1:25" ht="25.5">
      <c r="A1501" s="5" t="s">
        <v>6003</v>
      </c>
      <c r="B1501" s="5" t="s">
        <v>1139</v>
      </c>
      <c r="C1501" s="5" t="s">
        <v>1140</v>
      </c>
      <c r="D1501" s="5" t="s">
        <v>118</v>
      </c>
      <c r="E1501" s="5" t="s">
        <v>2788</v>
      </c>
      <c r="F1501" s="5" t="s">
        <v>2758</v>
      </c>
      <c r="G1501" s="5">
        <v>1</v>
      </c>
      <c r="H1501" s="5" t="s">
        <v>2854</v>
      </c>
      <c r="I1501" s="5" t="str">
        <f>IF(INDEX(Manual_Review!$R$6:$R$238,U1501)="","",INDEX(Manual_Review!$R$6:$R$238,U1501))</f>
        <v/>
      </c>
      <c r="J1501" s="5" t="str">
        <f t="shared" si="46"/>
        <v>AI provisional</v>
      </c>
      <c r="K1501" s="5" t="str">
        <f t="shared" si="47"/>
        <v>Y</v>
      </c>
      <c r="L1501" s="5" t="s">
        <v>1145</v>
      </c>
      <c r="M1501" s="5" t="s">
        <v>6004</v>
      </c>
      <c r="N1501" s="5" t="s">
        <v>5991</v>
      </c>
      <c r="O1501" s="5" t="s">
        <v>3067</v>
      </c>
      <c r="P1501" s="5" t="s">
        <v>2858</v>
      </c>
      <c r="Q1501" s="11">
        <v>46306.5</v>
      </c>
      <c r="R1501" s="6"/>
      <c r="S1501" s="6"/>
      <c r="T1501" s="6"/>
      <c r="U1501" s="5">
        <f>MATCH(B1501,Manual_Review!$A$6:$A$238,0)</f>
        <v>94</v>
      </c>
      <c r="V1501" s="5" t="str">
        <f>IF(INDEX(Manual_Review!$G$6:$G$238,U1501)="","",INDEX(Manual_Review!$G$6:$G$238,U1501))</f>
        <v/>
      </c>
      <c r="W1501" s="11" t="str">
        <f>IF(INDEX(Manual_Review!$H$6:$H$238,U1501)="","",INDEX(Manual_Review!$H$6:$H$238,U1501))</f>
        <v/>
      </c>
      <c r="X1501" s="5" t="str">
        <f>IF(INDEX(Manual_Review!$I$6:$I$238,U1501)="","",INDEX(Manual_Review!$I$6:$I$238,U1501))</f>
        <v/>
      </c>
      <c r="Y1501" s="5" t="s">
        <v>2859</v>
      </c>
    </row>
    <row r="1502" spans="1:25" ht="25.5">
      <c r="A1502" s="5" t="s">
        <v>6005</v>
      </c>
      <c r="B1502" s="5" t="s">
        <v>1139</v>
      </c>
      <c r="C1502" s="5" t="s">
        <v>1140</v>
      </c>
      <c r="D1502" s="5" t="s">
        <v>118</v>
      </c>
      <c r="E1502" s="5" t="s">
        <v>2789</v>
      </c>
      <c r="F1502" s="5" t="s">
        <v>2758</v>
      </c>
      <c r="G1502" s="5">
        <v>1</v>
      </c>
      <c r="H1502" s="5" t="s">
        <v>2854</v>
      </c>
      <c r="I1502" s="5" t="str">
        <f>IF(INDEX(Manual_Review!$S$6:$S$238,U1502)="","",INDEX(Manual_Review!$S$6:$S$238,U1502))</f>
        <v/>
      </c>
      <c r="J1502" s="5" t="str">
        <f t="shared" si="46"/>
        <v>AI provisional</v>
      </c>
      <c r="K1502" s="5" t="str">
        <f t="shared" si="47"/>
        <v>Y</v>
      </c>
      <c r="L1502" s="5" t="s">
        <v>1145</v>
      </c>
      <c r="M1502" s="5" t="s">
        <v>6006</v>
      </c>
      <c r="N1502" s="5" t="s">
        <v>5991</v>
      </c>
      <c r="O1502" s="5" t="s">
        <v>3178</v>
      </c>
      <c r="P1502" s="5" t="s">
        <v>2858</v>
      </c>
      <c r="Q1502" s="11">
        <v>46306.5</v>
      </c>
      <c r="R1502" s="6"/>
      <c r="S1502" s="6"/>
      <c r="T1502" s="6"/>
      <c r="U1502" s="5">
        <f>MATCH(B1502,Manual_Review!$A$6:$A$238,0)</f>
        <v>94</v>
      </c>
      <c r="V1502" s="5" t="str">
        <f>IF(INDEX(Manual_Review!$G$6:$G$238,U1502)="","",INDEX(Manual_Review!$G$6:$G$238,U1502))</f>
        <v/>
      </c>
      <c r="W1502" s="11" t="str">
        <f>IF(INDEX(Manual_Review!$H$6:$H$238,U1502)="","",INDEX(Manual_Review!$H$6:$H$238,U1502))</f>
        <v/>
      </c>
      <c r="X1502" s="5" t="str">
        <f>IF(INDEX(Manual_Review!$I$6:$I$238,U1502)="","",INDEX(Manual_Review!$I$6:$I$238,U1502))</f>
        <v/>
      </c>
      <c r="Y1502" s="5" t="s">
        <v>2859</v>
      </c>
    </row>
    <row r="1503" spans="1:25" ht="25.5">
      <c r="A1503" s="5" t="s">
        <v>6007</v>
      </c>
      <c r="B1503" s="5" t="s">
        <v>1139</v>
      </c>
      <c r="C1503" s="5" t="s">
        <v>1140</v>
      </c>
      <c r="D1503" s="5" t="s">
        <v>118</v>
      </c>
      <c r="E1503" s="5" t="s">
        <v>2790</v>
      </c>
      <c r="F1503" s="5" t="s">
        <v>2760</v>
      </c>
      <c r="G1503" s="5">
        <v>1</v>
      </c>
      <c r="H1503" s="5" t="s">
        <v>2864</v>
      </c>
      <c r="I1503" s="5" t="str">
        <f>IF(INDEX(Manual_Review!$T$6:$T$238,U1503)="","",INDEX(Manual_Review!$T$6:$T$238,U1503))</f>
        <v/>
      </c>
      <c r="J1503" s="5" t="str">
        <f t="shared" si="46"/>
        <v>AI provisional</v>
      </c>
      <c r="K1503" s="5" t="str">
        <f t="shared" si="47"/>
        <v>U</v>
      </c>
      <c r="L1503" s="5" t="s">
        <v>1145</v>
      </c>
      <c r="M1503" s="5" t="s">
        <v>5995</v>
      </c>
      <c r="N1503" s="5" t="s">
        <v>5991</v>
      </c>
      <c r="O1503" s="5" t="s">
        <v>2885</v>
      </c>
      <c r="P1503" s="5" t="s">
        <v>2858</v>
      </c>
      <c r="Q1503" s="11">
        <v>46306.5</v>
      </c>
      <c r="R1503" s="6"/>
      <c r="S1503" s="6"/>
      <c r="T1503" s="6"/>
      <c r="U1503" s="5">
        <f>MATCH(B1503,Manual_Review!$A$6:$A$238,0)</f>
        <v>94</v>
      </c>
      <c r="V1503" s="5" t="str">
        <f>IF(INDEX(Manual_Review!$G$6:$G$238,U1503)="","",INDEX(Manual_Review!$G$6:$G$238,U1503))</f>
        <v/>
      </c>
      <c r="W1503" s="11" t="str">
        <f>IF(INDEX(Manual_Review!$H$6:$H$238,U1503)="","",INDEX(Manual_Review!$H$6:$H$238,U1503))</f>
        <v/>
      </c>
      <c r="X1503" s="5" t="str">
        <f>IF(INDEX(Manual_Review!$I$6:$I$238,U1503)="","",INDEX(Manual_Review!$I$6:$I$238,U1503))</f>
        <v/>
      </c>
      <c r="Y1503" s="5" t="s">
        <v>2859</v>
      </c>
    </row>
    <row r="1504" spans="1:25" ht="25.5">
      <c r="A1504" s="5" t="s">
        <v>6008</v>
      </c>
      <c r="B1504" s="5" t="s">
        <v>1139</v>
      </c>
      <c r="C1504" s="5" t="s">
        <v>1140</v>
      </c>
      <c r="D1504" s="5" t="s">
        <v>118</v>
      </c>
      <c r="E1504" s="5" t="s">
        <v>2791</v>
      </c>
      <c r="F1504" s="5" t="s">
        <v>2760</v>
      </c>
      <c r="G1504" s="5">
        <v>1</v>
      </c>
      <c r="H1504" s="5" t="s">
        <v>2864</v>
      </c>
      <c r="I1504" s="5" t="str">
        <f>IF(INDEX(Manual_Review!$U$6:$U$238,U1504)="","",INDEX(Manual_Review!$U$6:$U$238,U1504))</f>
        <v/>
      </c>
      <c r="J1504" s="5" t="str">
        <f t="shared" si="46"/>
        <v>AI provisional</v>
      </c>
      <c r="K1504" s="5" t="str">
        <f t="shared" si="47"/>
        <v>U</v>
      </c>
      <c r="L1504" s="5" t="s">
        <v>1145</v>
      </c>
      <c r="M1504" s="5" t="s">
        <v>6009</v>
      </c>
      <c r="N1504" s="5" t="s">
        <v>5991</v>
      </c>
      <c r="O1504" s="5" t="s">
        <v>2888</v>
      </c>
      <c r="P1504" s="5" t="s">
        <v>2858</v>
      </c>
      <c r="Q1504" s="11">
        <v>46306.5</v>
      </c>
      <c r="R1504" s="6"/>
      <c r="S1504" s="6"/>
      <c r="T1504" s="6"/>
      <c r="U1504" s="5">
        <f>MATCH(B1504,Manual_Review!$A$6:$A$238,0)</f>
        <v>94</v>
      </c>
      <c r="V1504" s="5" t="str">
        <f>IF(INDEX(Manual_Review!$G$6:$G$238,U1504)="","",INDEX(Manual_Review!$G$6:$G$238,U1504))</f>
        <v/>
      </c>
      <c r="W1504" s="11" t="str">
        <f>IF(INDEX(Manual_Review!$H$6:$H$238,U1504)="","",INDEX(Manual_Review!$H$6:$H$238,U1504))</f>
        <v/>
      </c>
      <c r="X1504" s="5" t="str">
        <f>IF(INDEX(Manual_Review!$I$6:$I$238,U1504)="","",INDEX(Manual_Review!$I$6:$I$238,U1504))</f>
        <v/>
      </c>
      <c r="Y1504" s="5" t="s">
        <v>2859</v>
      </c>
    </row>
    <row r="1505" spans="1:25" ht="25.5">
      <c r="A1505" s="5" t="s">
        <v>6010</v>
      </c>
      <c r="B1505" s="5" t="s">
        <v>1139</v>
      </c>
      <c r="C1505" s="5" t="s">
        <v>1140</v>
      </c>
      <c r="D1505" s="5" t="s">
        <v>118</v>
      </c>
      <c r="E1505" s="5" t="s">
        <v>2792</v>
      </c>
      <c r="F1505" s="5" t="s">
        <v>2762</v>
      </c>
      <c r="G1505" s="5">
        <v>1</v>
      </c>
      <c r="H1505" s="5" t="s">
        <v>2864</v>
      </c>
      <c r="I1505" s="5" t="str">
        <f>IF(INDEX(Manual_Review!$V$6:$V$238,U1505)="","",INDEX(Manual_Review!$V$6:$V$238,U1505))</f>
        <v/>
      </c>
      <c r="J1505" s="5" t="str">
        <f t="shared" si="46"/>
        <v>AI provisional</v>
      </c>
      <c r="K1505" s="5" t="str">
        <f t="shared" si="47"/>
        <v>U</v>
      </c>
      <c r="L1505" s="5" t="s">
        <v>1145</v>
      </c>
      <c r="M1505" s="5" t="s">
        <v>5995</v>
      </c>
      <c r="N1505" s="5" t="s">
        <v>5991</v>
      </c>
      <c r="O1505" s="5" t="s">
        <v>2891</v>
      </c>
      <c r="P1505" s="5" t="s">
        <v>2858</v>
      </c>
      <c r="Q1505" s="11">
        <v>46306.5</v>
      </c>
      <c r="R1505" s="6"/>
      <c r="S1505" s="6"/>
      <c r="T1505" s="6"/>
      <c r="U1505" s="5">
        <f>MATCH(B1505,Manual_Review!$A$6:$A$238,0)</f>
        <v>94</v>
      </c>
      <c r="V1505" s="5" t="str">
        <f>IF(INDEX(Manual_Review!$G$6:$G$238,U1505)="","",INDEX(Manual_Review!$G$6:$G$238,U1505))</f>
        <v/>
      </c>
      <c r="W1505" s="11" t="str">
        <f>IF(INDEX(Manual_Review!$H$6:$H$238,U1505)="","",INDEX(Manual_Review!$H$6:$H$238,U1505))</f>
        <v/>
      </c>
      <c r="X1505" s="5" t="str">
        <f>IF(INDEX(Manual_Review!$I$6:$I$238,U1505)="","",INDEX(Manual_Review!$I$6:$I$238,U1505))</f>
        <v/>
      </c>
      <c r="Y1505" s="5" t="s">
        <v>2859</v>
      </c>
    </row>
    <row r="1506" spans="1:25" ht="25.5">
      <c r="A1506" s="5" t="s">
        <v>6011</v>
      </c>
      <c r="B1506" s="5" t="s">
        <v>1139</v>
      </c>
      <c r="C1506" s="5" t="s">
        <v>1140</v>
      </c>
      <c r="D1506" s="5" t="s">
        <v>118</v>
      </c>
      <c r="E1506" s="5" t="s">
        <v>2793</v>
      </c>
      <c r="F1506" s="5" t="s">
        <v>2762</v>
      </c>
      <c r="G1506" s="5">
        <v>1</v>
      </c>
      <c r="H1506" s="5" t="s">
        <v>2864</v>
      </c>
      <c r="I1506" s="5" t="str">
        <f>IF(INDEX(Manual_Review!$W$6:$W$238,U1506)="","",INDEX(Manual_Review!$W$6:$W$238,U1506))</f>
        <v/>
      </c>
      <c r="J1506" s="5" t="str">
        <f t="shared" si="46"/>
        <v>AI provisional</v>
      </c>
      <c r="K1506" s="5" t="str">
        <f t="shared" si="47"/>
        <v>U</v>
      </c>
      <c r="L1506" s="5" t="s">
        <v>1145</v>
      </c>
      <c r="M1506" s="5" t="s">
        <v>5995</v>
      </c>
      <c r="N1506" s="5" t="s">
        <v>5991</v>
      </c>
      <c r="O1506" s="5" t="s">
        <v>2893</v>
      </c>
      <c r="P1506" s="5" t="s">
        <v>2858</v>
      </c>
      <c r="Q1506" s="11">
        <v>46306.5</v>
      </c>
      <c r="R1506" s="6"/>
      <c r="S1506" s="6"/>
      <c r="T1506" s="6"/>
      <c r="U1506" s="5">
        <f>MATCH(B1506,Manual_Review!$A$6:$A$238,0)</f>
        <v>94</v>
      </c>
      <c r="V1506" s="5" t="str">
        <f>IF(INDEX(Manual_Review!$G$6:$G$238,U1506)="","",INDEX(Manual_Review!$G$6:$G$238,U1506))</f>
        <v/>
      </c>
      <c r="W1506" s="11" t="str">
        <f>IF(INDEX(Manual_Review!$H$6:$H$238,U1506)="","",INDEX(Manual_Review!$H$6:$H$238,U1506))</f>
        <v/>
      </c>
      <c r="X1506" s="5" t="str">
        <f>IF(INDEX(Manual_Review!$I$6:$I$238,U1506)="","",INDEX(Manual_Review!$I$6:$I$238,U1506))</f>
        <v/>
      </c>
      <c r="Y1506" s="5" t="s">
        <v>2859</v>
      </c>
    </row>
    <row r="1507" spans="1:25" ht="25.5">
      <c r="A1507" s="5" t="s">
        <v>6012</v>
      </c>
      <c r="B1507" s="5" t="s">
        <v>1139</v>
      </c>
      <c r="C1507" s="5" t="s">
        <v>1140</v>
      </c>
      <c r="D1507" s="5" t="s">
        <v>118</v>
      </c>
      <c r="E1507" s="5" t="s">
        <v>2794</v>
      </c>
      <c r="F1507" s="5" t="s">
        <v>2764</v>
      </c>
      <c r="G1507" s="5">
        <v>1</v>
      </c>
      <c r="H1507" s="5" t="s">
        <v>2854</v>
      </c>
      <c r="I1507" s="5" t="str">
        <f>IF(INDEX(Manual_Review!$X$6:$X$238,U1507)="","",INDEX(Manual_Review!$X$6:$X$238,U1507))</f>
        <v/>
      </c>
      <c r="J1507" s="5" t="str">
        <f t="shared" si="46"/>
        <v>AI provisional</v>
      </c>
      <c r="K1507" s="5" t="str">
        <f t="shared" si="47"/>
        <v>Y</v>
      </c>
      <c r="L1507" s="5" t="s">
        <v>1145</v>
      </c>
      <c r="M1507" s="5" t="s">
        <v>5995</v>
      </c>
      <c r="N1507" s="5" t="s">
        <v>5991</v>
      </c>
      <c r="O1507" s="5" t="s">
        <v>2984</v>
      </c>
      <c r="P1507" s="5" t="s">
        <v>2858</v>
      </c>
      <c r="Q1507" s="11">
        <v>46306.5</v>
      </c>
      <c r="R1507" s="6"/>
      <c r="S1507" s="6"/>
      <c r="T1507" s="6"/>
      <c r="U1507" s="5">
        <f>MATCH(B1507,Manual_Review!$A$6:$A$238,0)</f>
        <v>94</v>
      </c>
      <c r="V1507" s="5" t="str">
        <f>IF(INDEX(Manual_Review!$G$6:$G$238,U1507)="","",INDEX(Manual_Review!$G$6:$G$238,U1507))</f>
        <v/>
      </c>
      <c r="W1507" s="11" t="str">
        <f>IF(INDEX(Manual_Review!$H$6:$H$238,U1507)="","",INDEX(Manual_Review!$H$6:$H$238,U1507))</f>
        <v/>
      </c>
      <c r="X1507" s="5" t="str">
        <f>IF(INDEX(Manual_Review!$I$6:$I$238,U1507)="","",INDEX(Manual_Review!$I$6:$I$238,U1507))</f>
        <v/>
      </c>
      <c r="Y1507" s="5" t="s">
        <v>2859</v>
      </c>
    </row>
    <row r="1508" spans="1:25" ht="25.5">
      <c r="A1508" s="5" t="s">
        <v>6013</v>
      </c>
      <c r="B1508" s="5" t="s">
        <v>1139</v>
      </c>
      <c r="C1508" s="5" t="s">
        <v>1140</v>
      </c>
      <c r="D1508" s="5" t="s">
        <v>118</v>
      </c>
      <c r="E1508" s="5" t="s">
        <v>2795</v>
      </c>
      <c r="F1508" s="5" t="s">
        <v>2764</v>
      </c>
      <c r="G1508" s="5">
        <v>1</v>
      </c>
      <c r="H1508" s="5" t="s">
        <v>2854</v>
      </c>
      <c r="I1508" s="5" t="str">
        <f>IF(INDEX(Manual_Review!$Y$6:$Y$238,U1508)="","",INDEX(Manual_Review!$Y$6:$Y$238,U1508))</f>
        <v/>
      </c>
      <c r="J1508" s="5" t="str">
        <f t="shared" si="46"/>
        <v>AI provisional</v>
      </c>
      <c r="K1508" s="5" t="str">
        <f t="shared" si="47"/>
        <v>Y</v>
      </c>
      <c r="L1508" s="5" t="s">
        <v>1145</v>
      </c>
      <c r="M1508" s="5" t="s">
        <v>5995</v>
      </c>
      <c r="N1508" s="5" t="s">
        <v>5991</v>
      </c>
      <c r="O1508" s="5" t="s">
        <v>3082</v>
      </c>
      <c r="P1508" s="5" t="s">
        <v>2858</v>
      </c>
      <c r="Q1508" s="11">
        <v>46306.5</v>
      </c>
      <c r="R1508" s="6"/>
      <c r="S1508" s="6"/>
      <c r="T1508" s="6"/>
      <c r="U1508" s="5">
        <f>MATCH(B1508,Manual_Review!$A$6:$A$238,0)</f>
        <v>94</v>
      </c>
      <c r="V1508" s="5" t="str">
        <f>IF(INDEX(Manual_Review!$G$6:$G$238,U1508)="","",INDEX(Manual_Review!$G$6:$G$238,U1508))</f>
        <v/>
      </c>
      <c r="W1508" s="11" t="str">
        <f>IF(INDEX(Manual_Review!$H$6:$H$238,U1508)="","",INDEX(Manual_Review!$H$6:$H$238,U1508))</f>
        <v/>
      </c>
      <c r="X1508" s="5" t="str">
        <f>IF(INDEX(Manual_Review!$I$6:$I$238,U1508)="","",INDEX(Manual_Review!$I$6:$I$238,U1508))</f>
        <v/>
      </c>
      <c r="Y1508" s="5" t="s">
        <v>2859</v>
      </c>
    </row>
    <row r="1509" spans="1:25" ht="25.5">
      <c r="A1509" s="5" t="s">
        <v>6014</v>
      </c>
      <c r="B1509" s="5" t="s">
        <v>1139</v>
      </c>
      <c r="C1509" s="5" t="s">
        <v>1140</v>
      </c>
      <c r="D1509" s="5" t="s">
        <v>118</v>
      </c>
      <c r="E1509" s="5" t="s">
        <v>2796</v>
      </c>
      <c r="F1509" s="5" t="s">
        <v>2764</v>
      </c>
      <c r="G1509" s="5">
        <v>1</v>
      </c>
      <c r="H1509" s="5" t="s">
        <v>2854</v>
      </c>
      <c r="I1509" s="5" t="str">
        <f>IF(INDEX(Manual_Review!$Z$6:$Z$238,U1509)="","",INDEX(Manual_Review!$Z$6:$Z$238,U1509))</f>
        <v/>
      </c>
      <c r="J1509" s="5" t="str">
        <f t="shared" si="46"/>
        <v>AI provisional</v>
      </c>
      <c r="K1509" s="5" t="str">
        <f t="shared" si="47"/>
        <v>Y</v>
      </c>
      <c r="L1509" s="5" t="s">
        <v>1145</v>
      </c>
      <c r="M1509" s="5" t="s">
        <v>6015</v>
      </c>
      <c r="N1509" s="5" t="s">
        <v>5991</v>
      </c>
      <c r="O1509" s="5" t="s">
        <v>3085</v>
      </c>
      <c r="P1509" s="5" t="s">
        <v>2858</v>
      </c>
      <c r="Q1509" s="11">
        <v>46306.5</v>
      </c>
      <c r="R1509" s="6"/>
      <c r="S1509" s="6"/>
      <c r="T1509" s="6"/>
      <c r="U1509" s="5">
        <f>MATCH(B1509,Manual_Review!$A$6:$A$238,0)</f>
        <v>94</v>
      </c>
      <c r="V1509" s="5" t="str">
        <f>IF(INDEX(Manual_Review!$G$6:$G$238,U1509)="","",INDEX(Manual_Review!$G$6:$G$238,U1509))</f>
        <v/>
      </c>
      <c r="W1509" s="11" t="str">
        <f>IF(INDEX(Manual_Review!$H$6:$H$238,U1509)="","",INDEX(Manual_Review!$H$6:$H$238,U1509))</f>
        <v/>
      </c>
      <c r="X1509" s="5" t="str">
        <f>IF(INDEX(Manual_Review!$I$6:$I$238,U1509)="","",INDEX(Manual_Review!$I$6:$I$238,U1509))</f>
        <v/>
      </c>
      <c r="Y1509" s="5" t="s">
        <v>2859</v>
      </c>
    </row>
    <row r="1510" spans="1:25" ht="38.25">
      <c r="A1510" s="5" t="s">
        <v>6016</v>
      </c>
      <c r="B1510" s="5" t="s">
        <v>1147</v>
      </c>
      <c r="C1510" s="5" t="s">
        <v>1148</v>
      </c>
      <c r="D1510" s="5" t="s">
        <v>118</v>
      </c>
      <c r="E1510" s="5" t="s">
        <v>2781</v>
      </c>
      <c r="F1510" s="5" t="s">
        <v>2754</v>
      </c>
      <c r="G1510" s="5">
        <v>1</v>
      </c>
      <c r="H1510" s="5" t="s">
        <v>2854</v>
      </c>
      <c r="I1510" s="5" t="str">
        <f>IF(INDEX(Manual_Review!$K$6:$K$238,U1510)="","",INDEX(Manual_Review!$K$6:$K$238,U1510))</f>
        <v/>
      </c>
      <c r="J1510" s="5" t="str">
        <f t="shared" si="46"/>
        <v>AI provisional</v>
      </c>
      <c r="K1510" s="5" t="str">
        <f t="shared" si="47"/>
        <v>Y</v>
      </c>
      <c r="L1510" s="5" t="s">
        <v>1156</v>
      </c>
      <c r="M1510" s="5" t="s">
        <v>6017</v>
      </c>
      <c r="N1510" s="5" t="s">
        <v>6018</v>
      </c>
      <c r="O1510" s="5" t="s">
        <v>2857</v>
      </c>
      <c r="P1510" s="5" t="s">
        <v>2858</v>
      </c>
      <c r="Q1510" s="11">
        <v>46306.5</v>
      </c>
      <c r="R1510" s="6"/>
      <c r="S1510" s="6"/>
      <c r="T1510" s="6"/>
      <c r="U1510" s="5">
        <f>MATCH(B1510,Manual_Review!$A$6:$A$238,0)</f>
        <v>95</v>
      </c>
      <c r="V1510" s="5" t="str">
        <f>IF(INDEX(Manual_Review!$G$6:$G$238,U1510)="","",INDEX(Manual_Review!$G$6:$G$238,U1510))</f>
        <v/>
      </c>
      <c r="W1510" s="11" t="str">
        <f>IF(INDEX(Manual_Review!$H$6:$H$238,U1510)="","",INDEX(Manual_Review!$H$6:$H$238,U1510))</f>
        <v/>
      </c>
      <c r="X1510" s="5" t="str">
        <f>IF(INDEX(Manual_Review!$I$6:$I$238,U1510)="","",INDEX(Manual_Review!$I$6:$I$238,U1510))</f>
        <v/>
      </c>
      <c r="Y1510" s="5" t="s">
        <v>2859</v>
      </c>
    </row>
    <row r="1511" spans="1:25" ht="38.25">
      <c r="A1511" s="5" t="s">
        <v>6019</v>
      </c>
      <c r="B1511" s="5" t="s">
        <v>1147</v>
      </c>
      <c r="C1511" s="5" t="s">
        <v>1148</v>
      </c>
      <c r="D1511" s="5" t="s">
        <v>118</v>
      </c>
      <c r="E1511" s="5" t="s">
        <v>2782</v>
      </c>
      <c r="F1511" s="5" t="s">
        <v>2754</v>
      </c>
      <c r="G1511" s="5">
        <v>1</v>
      </c>
      <c r="H1511" s="5" t="s">
        <v>2854</v>
      </c>
      <c r="I1511" s="5" t="str">
        <f>IF(INDEX(Manual_Review!$L$6:$L$238,U1511)="","",INDEX(Manual_Review!$L$6:$L$238,U1511))</f>
        <v/>
      </c>
      <c r="J1511" s="5" t="str">
        <f t="shared" si="46"/>
        <v>AI provisional</v>
      </c>
      <c r="K1511" s="5" t="str">
        <f t="shared" si="47"/>
        <v>Y</v>
      </c>
      <c r="L1511" s="5" t="s">
        <v>1156</v>
      </c>
      <c r="M1511" s="5" t="s">
        <v>6020</v>
      </c>
      <c r="N1511" s="5" t="s">
        <v>6018</v>
      </c>
      <c r="O1511" s="5" t="s">
        <v>2862</v>
      </c>
      <c r="P1511" s="5" t="s">
        <v>2858</v>
      </c>
      <c r="Q1511" s="11">
        <v>46306.5</v>
      </c>
      <c r="R1511" s="6"/>
      <c r="S1511" s="6"/>
      <c r="T1511" s="6"/>
      <c r="U1511" s="5">
        <f>MATCH(B1511,Manual_Review!$A$6:$A$238,0)</f>
        <v>95</v>
      </c>
      <c r="V1511" s="5" t="str">
        <f>IF(INDEX(Manual_Review!$G$6:$G$238,U1511)="","",INDEX(Manual_Review!$G$6:$G$238,U1511))</f>
        <v/>
      </c>
      <c r="W1511" s="11" t="str">
        <f>IF(INDEX(Manual_Review!$H$6:$H$238,U1511)="","",INDEX(Manual_Review!$H$6:$H$238,U1511))</f>
        <v/>
      </c>
      <c r="X1511" s="5" t="str">
        <f>IF(INDEX(Manual_Review!$I$6:$I$238,U1511)="","",INDEX(Manual_Review!$I$6:$I$238,U1511))</f>
        <v/>
      </c>
      <c r="Y1511" s="5" t="s">
        <v>2859</v>
      </c>
    </row>
    <row r="1512" spans="1:25" ht="38.25">
      <c r="A1512" s="5" t="s">
        <v>6021</v>
      </c>
      <c r="B1512" s="5" t="s">
        <v>1147</v>
      </c>
      <c r="C1512" s="5" t="s">
        <v>1148</v>
      </c>
      <c r="D1512" s="5" t="s">
        <v>118</v>
      </c>
      <c r="E1512" s="5" t="s">
        <v>2783</v>
      </c>
      <c r="F1512" s="5" t="s">
        <v>2754</v>
      </c>
      <c r="G1512" s="5">
        <v>1</v>
      </c>
      <c r="H1512" s="5" t="s">
        <v>2864</v>
      </c>
      <c r="I1512" s="5" t="str">
        <f>IF(INDEX(Manual_Review!$M$6:$M$238,U1512)="","",INDEX(Manual_Review!$M$6:$M$238,U1512))</f>
        <v/>
      </c>
      <c r="J1512" s="5" t="str">
        <f t="shared" si="46"/>
        <v>AI provisional</v>
      </c>
      <c r="K1512" s="5" t="str">
        <f t="shared" si="47"/>
        <v>U</v>
      </c>
      <c r="L1512" s="5" t="s">
        <v>1156</v>
      </c>
      <c r="M1512" s="5" t="s">
        <v>6022</v>
      </c>
      <c r="N1512" s="5" t="s">
        <v>6018</v>
      </c>
      <c r="O1512" s="5" t="s">
        <v>2866</v>
      </c>
      <c r="P1512" s="5" t="s">
        <v>2858</v>
      </c>
      <c r="Q1512" s="11">
        <v>46306.5</v>
      </c>
      <c r="R1512" s="6"/>
      <c r="S1512" s="6"/>
      <c r="T1512" s="6"/>
      <c r="U1512" s="5">
        <f>MATCH(B1512,Manual_Review!$A$6:$A$238,0)</f>
        <v>95</v>
      </c>
      <c r="V1512" s="5" t="str">
        <f>IF(INDEX(Manual_Review!$G$6:$G$238,U1512)="","",INDEX(Manual_Review!$G$6:$G$238,U1512))</f>
        <v/>
      </c>
      <c r="W1512" s="11" t="str">
        <f>IF(INDEX(Manual_Review!$H$6:$H$238,U1512)="","",INDEX(Manual_Review!$H$6:$H$238,U1512))</f>
        <v/>
      </c>
      <c r="X1512" s="5" t="str">
        <f>IF(INDEX(Manual_Review!$I$6:$I$238,U1512)="","",INDEX(Manual_Review!$I$6:$I$238,U1512))</f>
        <v/>
      </c>
      <c r="Y1512" s="5" t="s">
        <v>2859</v>
      </c>
    </row>
    <row r="1513" spans="1:25" ht="38.25">
      <c r="A1513" s="5" t="s">
        <v>6023</v>
      </c>
      <c r="B1513" s="5" t="s">
        <v>1147</v>
      </c>
      <c r="C1513" s="5" t="s">
        <v>1148</v>
      </c>
      <c r="D1513" s="5" t="s">
        <v>118</v>
      </c>
      <c r="E1513" s="5" t="s">
        <v>2784</v>
      </c>
      <c r="F1513" s="5" t="s">
        <v>2756</v>
      </c>
      <c r="G1513" s="5">
        <v>1</v>
      </c>
      <c r="H1513" s="5" t="s">
        <v>2854</v>
      </c>
      <c r="I1513" s="5" t="str">
        <f>IF(INDEX(Manual_Review!$N$6:$N$238,U1513)="","",INDEX(Manual_Review!$N$6:$N$238,U1513))</f>
        <v/>
      </c>
      <c r="J1513" s="5" t="str">
        <f t="shared" si="46"/>
        <v>AI provisional</v>
      </c>
      <c r="K1513" s="5" t="str">
        <f t="shared" si="47"/>
        <v>Y</v>
      </c>
      <c r="L1513" s="5" t="s">
        <v>1156</v>
      </c>
      <c r="M1513" s="5" t="s">
        <v>6024</v>
      </c>
      <c r="N1513" s="5" t="s">
        <v>6018</v>
      </c>
      <c r="O1513" s="5" t="s">
        <v>2963</v>
      </c>
      <c r="P1513" s="5" t="s">
        <v>2858</v>
      </c>
      <c r="Q1513" s="11">
        <v>46306.5</v>
      </c>
      <c r="R1513" s="6"/>
      <c r="S1513" s="6"/>
      <c r="T1513" s="6"/>
      <c r="U1513" s="5">
        <f>MATCH(B1513,Manual_Review!$A$6:$A$238,0)</f>
        <v>95</v>
      </c>
      <c r="V1513" s="5" t="str">
        <f>IF(INDEX(Manual_Review!$G$6:$G$238,U1513)="","",INDEX(Manual_Review!$G$6:$G$238,U1513))</f>
        <v/>
      </c>
      <c r="W1513" s="11" t="str">
        <f>IF(INDEX(Manual_Review!$H$6:$H$238,U1513)="","",INDEX(Manual_Review!$H$6:$H$238,U1513))</f>
        <v/>
      </c>
      <c r="X1513" s="5" t="str">
        <f>IF(INDEX(Manual_Review!$I$6:$I$238,U1513)="","",INDEX(Manual_Review!$I$6:$I$238,U1513))</f>
        <v/>
      </c>
      <c r="Y1513" s="5" t="s">
        <v>2859</v>
      </c>
    </row>
    <row r="1514" spans="1:25" ht="38.25">
      <c r="A1514" s="5" t="s">
        <v>6025</v>
      </c>
      <c r="B1514" s="5" t="s">
        <v>1147</v>
      </c>
      <c r="C1514" s="5" t="s">
        <v>1148</v>
      </c>
      <c r="D1514" s="5" t="s">
        <v>118</v>
      </c>
      <c r="E1514" s="5" t="s">
        <v>2785</v>
      </c>
      <c r="F1514" s="5" t="s">
        <v>2756</v>
      </c>
      <c r="G1514" s="5">
        <v>1</v>
      </c>
      <c r="H1514" s="5" t="s">
        <v>2854</v>
      </c>
      <c r="I1514" s="5" t="str">
        <f>IF(INDEX(Manual_Review!$O$6:$O$238,U1514)="","",INDEX(Manual_Review!$O$6:$O$238,U1514))</f>
        <v/>
      </c>
      <c r="J1514" s="5" t="str">
        <f t="shared" si="46"/>
        <v>AI provisional</v>
      </c>
      <c r="K1514" s="5" t="str">
        <f t="shared" si="47"/>
        <v>Y</v>
      </c>
      <c r="L1514" s="5" t="s">
        <v>1156</v>
      </c>
      <c r="M1514" s="5" t="s">
        <v>6026</v>
      </c>
      <c r="N1514" s="5" t="s">
        <v>6018</v>
      </c>
      <c r="O1514" s="5" t="s">
        <v>3138</v>
      </c>
      <c r="P1514" s="5" t="s">
        <v>2858</v>
      </c>
      <c r="Q1514" s="11">
        <v>46306.5</v>
      </c>
      <c r="R1514" s="6"/>
      <c r="S1514" s="6"/>
      <c r="T1514" s="6"/>
      <c r="U1514" s="5">
        <f>MATCH(B1514,Manual_Review!$A$6:$A$238,0)</f>
        <v>95</v>
      </c>
      <c r="V1514" s="5" t="str">
        <f>IF(INDEX(Manual_Review!$G$6:$G$238,U1514)="","",INDEX(Manual_Review!$G$6:$G$238,U1514))</f>
        <v/>
      </c>
      <c r="W1514" s="11" t="str">
        <f>IF(INDEX(Manual_Review!$H$6:$H$238,U1514)="","",INDEX(Manual_Review!$H$6:$H$238,U1514))</f>
        <v/>
      </c>
      <c r="X1514" s="5" t="str">
        <f>IF(INDEX(Manual_Review!$I$6:$I$238,U1514)="","",INDEX(Manual_Review!$I$6:$I$238,U1514))</f>
        <v/>
      </c>
      <c r="Y1514" s="5" t="s">
        <v>2859</v>
      </c>
    </row>
    <row r="1515" spans="1:25" ht="38.25">
      <c r="A1515" s="5" t="s">
        <v>6027</v>
      </c>
      <c r="B1515" s="5" t="s">
        <v>1147</v>
      </c>
      <c r="C1515" s="5" t="s">
        <v>1148</v>
      </c>
      <c r="D1515" s="5" t="s">
        <v>118</v>
      </c>
      <c r="E1515" s="5" t="s">
        <v>2786</v>
      </c>
      <c r="F1515" s="5" t="s">
        <v>2756</v>
      </c>
      <c r="G1515" s="5">
        <v>1</v>
      </c>
      <c r="H1515" s="5" t="s">
        <v>2864</v>
      </c>
      <c r="I1515" s="5" t="str">
        <f>IF(INDEX(Manual_Review!$P$6:$P$238,U1515)="","",INDEX(Manual_Review!$P$6:$P$238,U1515))</f>
        <v/>
      </c>
      <c r="J1515" s="5" t="str">
        <f t="shared" si="46"/>
        <v>AI provisional</v>
      </c>
      <c r="K1515" s="5" t="str">
        <f t="shared" si="47"/>
        <v>U</v>
      </c>
      <c r="L1515" s="5" t="s">
        <v>1156</v>
      </c>
      <c r="M1515" s="5" t="s">
        <v>6028</v>
      </c>
      <c r="N1515" s="5" t="s">
        <v>6018</v>
      </c>
      <c r="O1515" s="5" t="s">
        <v>2874</v>
      </c>
      <c r="P1515" s="5" t="s">
        <v>2858</v>
      </c>
      <c r="Q1515" s="11">
        <v>46306.5</v>
      </c>
      <c r="R1515" s="6"/>
      <c r="S1515" s="6"/>
      <c r="T1515" s="6"/>
      <c r="U1515" s="5">
        <f>MATCH(B1515,Manual_Review!$A$6:$A$238,0)</f>
        <v>95</v>
      </c>
      <c r="V1515" s="5" t="str">
        <f>IF(INDEX(Manual_Review!$G$6:$G$238,U1515)="","",INDEX(Manual_Review!$G$6:$G$238,U1515))</f>
        <v/>
      </c>
      <c r="W1515" s="11" t="str">
        <f>IF(INDEX(Manual_Review!$H$6:$H$238,U1515)="","",INDEX(Manual_Review!$H$6:$H$238,U1515))</f>
        <v/>
      </c>
      <c r="X1515" s="5" t="str">
        <f>IF(INDEX(Manual_Review!$I$6:$I$238,U1515)="","",INDEX(Manual_Review!$I$6:$I$238,U1515))</f>
        <v/>
      </c>
      <c r="Y1515" s="5" t="s">
        <v>2859</v>
      </c>
    </row>
    <row r="1516" spans="1:25" ht="38.25">
      <c r="A1516" s="5" t="s">
        <v>6029</v>
      </c>
      <c r="B1516" s="5" t="s">
        <v>1147</v>
      </c>
      <c r="C1516" s="5" t="s">
        <v>1148</v>
      </c>
      <c r="D1516" s="5" t="s">
        <v>118</v>
      </c>
      <c r="E1516" s="5" t="s">
        <v>2787</v>
      </c>
      <c r="F1516" s="5" t="s">
        <v>2758</v>
      </c>
      <c r="G1516" s="5">
        <v>1</v>
      </c>
      <c r="H1516" s="5" t="s">
        <v>2854</v>
      </c>
      <c r="I1516" s="5" t="str">
        <f>IF(INDEX(Manual_Review!$Q$6:$Q$238,U1516)="","",INDEX(Manual_Review!$Q$6:$Q$238,U1516))</f>
        <v/>
      </c>
      <c r="J1516" s="5" t="str">
        <f t="shared" si="46"/>
        <v>AI provisional</v>
      </c>
      <c r="K1516" s="5" t="str">
        <f t="shared" si="47"/>
        <v>Y</v>
      </c>
      <c r="L1516" s="5" t="s">
        <v>1156</v>
      </c>
      <c r="M1516" s="5" t="s">
        <v>6030</v>
      </c>
      <c r="N1516" s="5" t="s">
        <v>6018</v>
      </c>
      <c r="O1516" s="5" t="s">
        <v>2969</v>
      </c>
      <c r="P1516" s="5" t="s">
        <v>2858</v>
      </c>
      <c r="Q1516" s="11">
        <v>46306.5</v>
      </c>
      <c r="R1516" s="6"/>
      <c r="S1516" s="6"/>
      <c r="T1516" s="6"/>
      <c r="U1516" s="5">
        <f>MATCH(B1516,Manual_Review!$A$6:$A$238,0)</f>
        <v>95</v>
      </c>
      <c r="V1516" s="5" t="str">
        <f>IF(INDEX(Manual_Review!$G$6:$G$238,U1516)="","",INDEX(Manual_Review!$G$6:$G$238,U1516))</f>
        <v/>
      </c>
      <c r="W1516" s="11" t="str">
        <f>IF(INDEX(Manual_Review!$H$6:$H$238,U1516)="","",INDEX(Manual_Review!$H$6:$H$238,U1516))</f>
        <v/>
      </c>
      <c r="X1516" s="5" t="str">
        <f>IF(INDEX(Manual_Review!$I$6:$I$238,U1516)="","",INDEX(Manual_Review!$I$6:$I$238,U1516))</f>
        <v/>
      </c>
      <c r="Y1516" s="5" t="s">
        <v>2859</v>
      </c>
    </row>
    <row r="1517" spans="1:25" ht="38.25">
      <c r="A1517" s="5" t="s">
        <v>6031</v>
      </c>
      <c r="B1517" s="5" t="s">
        <v>1147</v>
      </c>
      <c r="C1517" s="5" t="s">
        <v>1148</v>
      </c>
      <c r="D1517" s="5" t="s">
        <v>118</v>
      </c>
      <c r="E1517" s="5" t="s">
        <v>2788</v>
      </c>
      <c r="F1517" s="5" t="s">
        <v>2758</v>
      </c>
      <c r="G1517" s="5">
        <v>1</v>
      </c>
      <c r="H1517" s="5" t="s">
        <v>2854</v>
      </c>
      <c r="I1517" s="5" t="str">
        <f>IF(INDEX(Manual_Review!$R$6:$R$238,U1517)="","",INDEX(Manual_Review!$R$6:$R$238,U1517))</f>
        <v/>
      </c>
      <c r="J1517" s="5" t="str">
        <f t="shared" si="46"/>
        <v>AI provisional</v>
      </c>
      <c r="K1517" s="5" t="str">
        <f t="shared" si="47"/>
        <v>Y</v>
      </c>
      <c r="L1517" s="5" t="s">
        <v>1156</v>
      </c>
      <c r="M1517" s="5" t="s">
        <v>6032</v>
      </c>
      <c r="N1517" s="5" t="s">
        <v>6018</v>
      </c>
      <c r="O1517" s="5" t="s">
        <v>3067</v>
      </c>
      <c r="P1517" s="5" t="s">
        <v>2858</v>
      </c>
      <c r="Q1517" s="11">
        <v>46306.5</v>
      </c>
      <c r="R1517" s="6"/>
      <c r="S1517" s="6"/>
      <c r="T1517" s="6"/>
      <c r="U1517" s="5">
        <f>MATCH(B1517,Manual_Review!$A$6:$A$238,0)</f>
        <v>95</v>
      </c>
      <c r="V1517" s="5" t="str">
        <f>IF(INDEX(Manual_Review!$G$6:$G$238,U1517)="","",INDEX(Manual_Review!$G$6:$G$238,U1517))</f>
        <v/>
      </c>
      <c r="W1517" s="11" t="str">
        <f>IF(INDEX(Manual_Review!$H$6:$H$238,U1517)="","",INDEX(Manual_Review!$H$6:$H$238,U1517))</f>
        <v/>
      </c>
      <c r="X1517" s="5" t="str">
        <f>IF(INDEX(Manual_Review!$I$6:$I$238,U1517)="","",INDEX(Manual_Review!$I$6:$I$238,U1517))</f>
        <v/>
      </c>
      <c r="Y1517" s="5" t="s">
        <v>2859</v>
      </c>
    </row>
    <row r="1518" spans="1:25" ht="38.25">
      <c r="A1518" s="5" t="s">
        <v>6033</v>
      </c>
      <c r="B1518" s="5" t="s">
        <v>1147</v>
      </c>
      <c r="C1518" s="5" t="s">
        <v>1148</v>
      </c>
      <c r="D1518" s="5" t="s">
        <v>118</v>
      </c>
      <c r="E1518" s="5" t="s">
        <v>2789</v>
      </c>
      <c r="F1518" s="5" t="s">
        <v>2758</v>
      </c>
      <c r="G1518" s="5">
        <v>1</v>
      </c>
      <c r="H1518" s="5" t="s">
        <v>2854</v>
      </c>
      <c r="I1518" s="5" t="str">
        <f>IF(INDEX(Manual_Review!$S$6:$S$238,U1518)="","",INDEX(Manual_Review!$S$6:$S$238,U1518))</f>
        <v/>
      </c>
      <c r="J1518" s="5" t="str">
        <f t="shared" si="46"/>
        <v>AI provisional</v>
      </c>
      <c r="K1518" s="5" t="str">
        <f t="shared" si="47"/>
        <v>Y</v>
      </c>
      <c r="L1518" s="5" t="s">
        <v>1156</v>
      </c>
      <c r="M1518" s="5" t="s">
        <v>6034</v>
      </c>
      <c r="N1518" s="5" t="s">
        <v>6018</v>
      </c>
      <c r="O1518" s="5" t="s">
        <v>3178</v>
      </c>
      <c r="P1518" s="5" t="s">
        <v>2858</v>
      </c>
      <c r="Q1518" s="11">
        <v>46306.5</v>
      </c>
      <c r="R1518" s="6"/>
      <c r="S1518" s="6"/>
      <c r="T1518" s="6"/>
      <c r="U1518" s="5">
        <f>MATCH(B1518,Manual_Review!$A$6:$A$238,0)</f>
        <v>95</v>
      </c>
      <c r="V1518" s="5" t="str">
        <f>IF(INDEX(Manual_Review!$G$6:$G$238,U1518)="","",INDEX(Manual_Review!$G$6:$G$238,U1518))</f>
        <v/>
      </c>
      <c r="W1518" s="11" t="str">
        <f>IF(INDEX(Manual_Review!$H$6:$H$238,U1518)="","",INDEX(Manual_Review!$H$6:$H$238,U1518))</f>
        <v/>
      </c>
      <c r="X1518" s="5" t="str">
        <f>IF(INDEX(Manual_Review!$I$6:$I$238,U1518)="","",INDEX(Manual_Review!$I$6:$I$238,U1518))</f>
        <v/>
      </c>
      <c r="Y1518" s="5" t="s">
        <v>2859</v>
      </c>
    </row>
    <row r="1519" spans="1:25" ht="38.25">
      <c r="A1519" s="5" t="s">
        <v>6035</v>
      </c>
      <c r="B1519" s="5" t="s">
        <v>1147</v>
      </c>
      <c r="C1519" s="5" t="s">
        <v>1148</v>
      </c>
      <c r="D1519" s="5" t="s">
        <v>118</v>
      </c>
      <c r="E1519" s="5" t="s">
        <v>2790</v>
      </c>
      <c r="F1519" s="5" t="s">
        <v>2760</v>
      </c>
      <c r="G1519" s="5">
        <v>1</v>
      </c>
      <c r="H1519" s="5" t="s">
        <v>2864</v>
      </c>
      <c r="I1519" s="5" t="str">
        <f>IF(INDEX(Manual_Review!$T$6:$T$238,U1519)="","",INDEX(Manual_Review!$T$6:$T$238,U1519))</f>
        <v/>
      </c>
      <c r="J1519" s="5" t="str">
        <f t="shared" si="46"/>
        <v>AI provisional</v>
      </c>
      <c r="K1519" s="5" t="str">
        <f t="shared" si="47"/>
        <v>U</v>
      </c>
      <c r="L1519" s="5" t="s">
        <v>1156</v>
      </c>
      <c r="M1519" s="5" t="s">
        <v>6022</v>
      </c>
      <c r="N1519" s="5" t="s">
        <v>6018</v>
      </c>
      <c r="O1519" s="5" t="s">
        <v>2885</v>
      </c>
      <c r="P1519" s="5" t="s">
        <v>2858</v>
      </c>
      <c r="Q1519" s="11">
        <v>46306.5</v>
      </c>
      <c r="R1519" s="6"/>
      <c r="S1519" s="6"/>
      <c r="T1519" s="6"/>
      <c r="U1519" s="5">
        <f>MATCH(B1519,Manual_Review!$A$6:$A$238,0)</f>
        <v>95</v>
      </c>
      <c r="V1519" s="5" t="str">
        <f>IF(INDEX(Manual_Review!$G$6:$G$238,U1519)="","",INDEX(Manual_Review!$G$6:$G$238,U1519))</f>
        <v/>
      </c>
      <c r="W1519" s="11" t="str">
        <f>IF(INDEX(Manual_Review!$H$6:$H$238,U1519)="","",INDEX(Manual_Review!$H$6:$H$238,U1519))</f>
        <v/>
      </c>
      <c r="X1519" s="5" t="str">
        <f>IF(INDEX(Manual_Review!$I$6:$I$238,U1519)="","",INDEX(Manual_Review!$I$6:$I$238,U1519))</f>
        <v/>
      </c>
      <c r="Y1519" s="5" t="s">
        <v>2859</v>
      </c>
    </row>
    <row r="1520" spans="1:25" ht="38.25">
      <c r="A1520" s="5" t="s">
        <v>6036</v>
      </c>
      <c r="B1520" s="5" t="s">
        <v>1147</v>
      </c>
      <c r="C1520" s="5" t="s">
        <v>1148</v>
      </c>
      <c r="D1520" s="5" t="s">
        <v>118</v>
      </c>
      <c r="E1520" s="5" t="s">
        <v>2791</v>
      </c>
      <c r="F1520" s="5" t="s">
        <v>2760</v>
      </c>
      <c r="G1520" s="5">
        <v>1</v>
      </c>
      <c r="H1520" s="5" t="s">
        <v>2854</v>
      </c>
      <c r="I1520" s="5" t="str">
        <f>IF(INDEX(Manual_Review!$U$6:$U$238,U1520)="","",INDEX(Manual_Review!$U$6:$U$238,U1520))</f>
        <v/>
      </c>
      <c r="J1520" s="5" t="str">
        <f t="shared" si="46"/>
        <v>AI provisional</v>
      </c>
      <c r="K1520" s="5" t="str">
        <f t="shared" si="47"/>
        <v>Y</v>
      </c>
      <c r="L1520" s="5" t="s">
        <v>1156</v>
      </c>
      <c r="M1520" s="5" t="s">
        <v>6037</v>
      </c>
      <c r="N1520" s="5" t="s">
        <v>6018</v>
      </c>
      <c r="O1520" s="5" t="s">
        <v>3380</v>
      </c>
      <c r="P1520" s="5" t="s">
        <v>2858</v>
      </c>
      <c r="Q1520" s="11">
        <v>46306.5</v>
      </c>
      <c r="R1520" s="6"/>
      <c r="S1520" s="6"/>
      <c r="T1520" s="6"/>
      <c r="U1520" s="5">
        <f>MATCH(B1520,Manual_Review!$A$6:$A$238,0)</f>
        <v>95</v>
      </c>
      <c r="V1520" s="5" t="str">
        <f>IF(INDEX(Manual_Review!$G$6:$G$238,U1520)="","",INDEX(Manual_Review!$G$6:$G$238,U1520))</f>
        <v/>
      </c>
      <c r="W1520" s="11" t="str">
        <f>IF(INDEX(Manual_Review!$H$6:$H$238,U1520)="","",INDEX(Manual_Review!$H$6:$H$238,U1520))</f>
        <v/>
      </c>
      <c r="X1520" s="5" t="str">
        <f>IF(INDEX(Manual_Review!$I$6:$I$238,U1520)="","",INDEX(Manual_Review!$I$6:$I$238,U1520))</f>
        <v/>
      </c>
      <c r="Y1520" s="5" t="s">
        <v>2859</v>
      </c>
    </row>
    <row r="1521" spans="1:25" ht="38.25">
      <c r="A1521" s="5" t="s">
        <v>6038</v>
      </c>
      <c r="B1521" s="5" t="s">
        <v>1147</v>
      </c>
      <c r="C1521" s="5" t="s">
        <v>1148</v>
      </c>
      <c r="D1521" s="5" t="s">
        <v>118</v>
      </c>
      <c r="E1521" s="5" t="s">
        <v>2792</v>
      </c>
      <c r="F1521" s="5" t="s">
        <v>2762</v>
      </c>
      <c r="G1521" s="5">
        <v>1</v>
      </c>
      <c r="H1521" s="5" t="s">
        <v>2864</v>
      </c>
      <c r="I1521" s="5" t="str">
        <f>IF(INDEX(Manual_Review!$V$6:$V$238,U1521)="","",INDEX(Manual_Review!$V$6:$V$238,U1521))</f>
        <v/>
      </c>
      <c r="J1521" s="5" t="str">
        <f t="shared" si="46"/>
        <v>AI provisional</v>
      </c>
      <c r="K1521" s="5" t="str">
        <f t="shared" si="47"/>
        <v>U</v>
      </c>
      <c r="L1521" s="5" t="s">
        <v>1156</v>
      </c>
      <c r="M1521" s="5" t="s">
        <v>6039</v>
      </c>
      <c r="N1521" s="5" t="s">
        <v>6018</v>
      </c>
      <c r="O1521" s="5" t="s">
        <v>2891</v>
      </c>
      <c r="P1521" s="5" t="s">
        <v>2858</v>
      </c>
      <c r="Q1521" s="11">
        <v>46306.5</v>
      </c>
      <c r="R1521" s="6"/>
      <c r="S1521" s="6"/>
      <c r="T1521" s="6"/>
      <c r="U1521" s="5">
        <f>MATCH(B1521,Manual_Review!$A$6:$A$238,0)</f>
        <v>95</v>
      </c>
      <c r="V1521" s="5" t="str">
        <f>IF(INDEX(Manual_Review!$G$6:$G$238,U1521)="","",INDEX(Manual_Review!$G$6:$G$238,U1521))</f>
        <v/>
      </c>
      <c r="W1521" s="11" t="str">
        <f>IF(INDEX(Manual_Review!$H$6:$H$238,U1521)="","",INDEX(Manual_Review!$H$6:$H$238,U1521))</f>
        <v/>
      </c>
      <c r="X1521" s="5" t="str">
        <f>IF(INDEX(Manual_Review!$I$6:$I$238,U1521)="","",INDEX(Manual_Review!$I$6:$I$238,U1521))</f>
        <v/>
      </c>
      <c r="Y1521" s="5" t="s">
        <v>2859</v>
      </c>
    </row>
    <row r="1522" spans="1:25" ht="38.25">
      <c r="A1522" s="5" t="s">
        <v>6040</v>
      </c>
      <c r="B1522" s="5" t="s">
        <v>1147</v>
      </c>
      <c r="C1522" s="5" t="s">
        <v>1148</v>
      </c>
      <c r="D1522" s="5" t="s">
        <v>118</v>
      </c>
      <c r="E1522" s="5" t="s">
        <v>2793</v>
      </c>
      <c r="F1522" s="5" t="s">
        <v>2762</v>
      </c>
      <c r="G1522" s="5">
        <v>1</v>
      </c>
      <c r="H1522" s="5" t="s">
        <v>2864</v>
      </c>
      <c r="I1522" s="5" t="str">
        <f>IF(INDEX(Manual_Review!$W$6:$W$238,U1522)="","",INDEX(Manual_Review!$W$6:$W$238,U1522))</f>
        <v/>
      </c>
      <c r="J1522" s="5" t="str">
        <f t="shared" si="46"/>
        <v>AI provisional</v>
      </c>
      <c r="K1522" s="5" t="str">
        <f t="shared" si="47"/>
        <v>U</v>
      </c>
      <c r="L1522" s="5" t="s">
        <v>1156</v>
      </c>
      <c r="M1522" s="5" t="s">
        <v>6041</v>
      </c>
      <c r="N1522" s="5" t="s">
        <v>6018</v>
      </c>
      <c r="O1522" s="5" t="s">
        <v>2893</v>
      </c>
      <c r="P1522" s="5" t="s">
        <v>2858</v>
      </c>
      <c r="Q1522" s="11">
        <v>46306.5</v>
      </c>
      <c r="R1522" s="6"/>
      <c r="S1522" s="6"/>
      <c r="T1522" s="6"/>
      <c r="U1522" s="5">
        <f>MATCH(B1522,Manual_Review!$A$6:$A$238,0)</f>
        <v>95</v>
      </c>
      <c r="V1522" s="5" t="str">
        <f>IF(INDEX(Manual_Review!$G$6:$G$238,U1522)="","",INDEX(Manual_Review!$G$6:$G$238,U1522))</f>
        <v/>
      </c>
      <c r="W1522" s="11" t="str">
        <f>IF(INDEX(Manual_Review!$H$6:$H$238,U1522)="","",INDEX(Manual_Review!$H$6:$H$238,U1522))</f>
        <v/>
      </c>
      <c r="X1522" s="5" t="str">
        <f>IF(INDEX(Manual_Review!$I$6:$I$238,U1522)="","",INDEX(Manual_Review!$I$6:$I$238,U1522))</f>
        <v/>
      </c>
      <c r="Y1522" s="5" t="s">
        <v>2859</v>
      </c>
    </row>
    <row r="1523" spans="1:25" ht="38.25">
      <c r="A1523" s="5" t="s">
        <v>6042</v>
      </c>
      <c r="B1523" s="5" t="s">
        <v>1147</v>
      </c>
      <c r="C1523" s="5" t="s">
        <v>1148</v>
      </c>
      <c r="D1523" s="5" t="s">
        <v>118</v>
      </c>
      <c r="E1523" s="5" t="s">
        <v>2794</v>
      </c>
      <c r="F1523" s="5" t="s">
        <v>2764</v>
      </c>
      <c r="G1523" s="5">
        <v>1</v>
      </c>
      <c r="H1523" s="5" t="s">
        <v>2854</v>
      </c>
      <c r="I1523" s="5" t="str">
        <f>IF(INDEX(Manual_Review!$X$6:$X$238,U1523)="","",INDEX(Manual_Review!$X$6:$X$238,U1523))</f>
        <v/>
      </c>
      <c r="J1523" s="5" t="str">
        <f t="shared" si="46"/>
        <v>AI provisional</v>
      </c>
      <c r="K1523" s="5" t="str">
        <f t="shared" si="47"/>
        <v>Y</v>
      </c>
      <c r="L1523" s="5" t="s">
        <v>1156</v>
      </c>
      <c r="M1523" s="5" t="s">
        <v>6043</v>
      </c>
      <c r="N1523" s="5" t="s">
        <v>6018</v>
      </c>
      <c r="O1523" s="5" t="s">
        <v>2984</v>
      </c>
      <c r="P1523" s="5" t="s">
        <v>2858</v>
      </c>
      <c r="Q1523" s="11">
        <v>46306.5</v>
      </c>
      <c r="R1523" s="6"/>
      <c r="S1523" s="6"/>
      <c r="T1523" s="6"/>
      <c r="U1523" s="5">
        <f>MATCH(B1523,Manual_Review!$A$6:$A$238,0)</f>
        <v>95</v>
      </c>
      <c r="V1523" s="5" t="str">
        <f>IF(INDEX(Manual_Review!$G$6:$G$238,U1523)="","",INDEX(Manual_Review!$G$6:$G$238,U1523))</f>
        <v/>
      </c>
      <c r="W1523" s="11" t="str">
        <f>IF(INDEX(Manual_Review!$H$6:$H$238,U1523)="","",INDEX(Manual_Review!$H$6:$H$238,U1523))</f>
        <v/>
      </c>
      <c r="X1523" s="5" t="str">
        <f>IF(INDEX(Manual_Review!$I$6:$I$238,U1523)="","",INDEX(Manual_Review!$I$6:$I$238,U1523))</f>
        <v/>
      </c>
      <c r="Y1523" s="5" t="s">
        <v>2859</v>
      </c>
    </row>
    <row r="1524" spans="1:25" ht="38.25">
      <c r="A1524" s="5" t="s">
        <v>6044</v>
      </c>
      <c r="B1524" s="5" t="s">
        <v>1147</v>
      </c>
      <c r="C1524" s="5" t="s">
        <v>1148</v>
      </c>
      <c r="D1524" s="5" t="s">
        <v>118</v>
      </c>
      <c r="E1524" s="5" t="s">
        <v>2795</v>
      </c>
      <c r="F1524" s="5" t="s">
        <v>2764</v>
      </c>
      <c r="G1524" s="5">
        <v>1</v>
      </c>
      <c r="H1524" s="5" t="s">
        <v>2864</v>
      </c>
      <c r="I1524" s="5" t="str">
        <f>IF(INDEX(Manual_Review!$Y$6:$Y$238,U1524)="","",INDEX(Manual_Review!$Y$6:$Y$238,U1524))</f>
        <v/>
      </c>
      <c r="J1524" s="5" t="str">
        <f t="shared" si="46"/>
        <v>AI provisional</v>
      </c>
      <c r="K1524" s="5" t="str">
        <f t="shared" si="47"/>
        <v>U</v>
      </c>
      <c r="L1524" s="5" t="s">
        <v>1156</v>
      </c>
      <c r="M1524" s="5" t="s">
        <v>6022</v>
      </c>
      <c r="N1524" s="5" t="s">
        <v>6018</v>
      </c>
      <c r="O1524" s="5" t="s">
        <v>2897</v>
      </c>
      <c r="P1524" s="5" t="s">
        <v>2858</v>
      </c>
      <c r="Q1524" s="11">
        <v>46306.5</v>
      </c>
      <c r="R1524" s="6"/>
      <c r="S1524" s="6"/>
      <c r="T1524" s="6"/>
      <c r="U1524" s="5">
        <f>MATCH(B1524,Manual_Review!$A$6:$A$238,0)</f>
        <v>95</v>
      </c>
      <c r="V1524" s="5" t="str">
        <f>IF(INDEX(Manual_Review!$G$6:$G$238,U1524)="","",INDEX(Manual_Review!$G$6:$G$238,U1524))</f>
        <v/>
      </c>
      <c r="W1524" s="11" t="str">
        <f>IF(INDEX(Manual_Review!$H$6:$H$238,U1524)="","",INDEX(Manual_Review!$H$6:$H$238,U1524))</f>
        <v/>
      </c>
      <c r="X1524" s="5" t="str">
        <f>IF(INDEX(Manual_Review!$I$6:$I$238,U1524)="","",INDEX(Manual_Review!$I$6:$I$238,U1524))</f>
        <v/>
      </c>
      <c r="Y1524" s="5" t="s">
        <v>2859</v>
      </c>
    </row>
    <row r="1525" spans="1:25" ht="38.25">
      <c r="A1525" s="5" t="s">
        <v>6045</v>
      </c>
      <c r="B1525" s="5" t="s">
        <v>1147</v>
      </c>
      <c r="C1525" s="5" t="s">
        <v>1148</v>
      </c>
      <c r="D1525" s="5" t="s">
        <v>118</v>
      </c>
      <c r="E1525" s="5" t="s">
        <v>2796</v>
      </c>
      <c r="F1525" s="5" t="s">
        <v>2764</v>
      </c>
      <c r="G1525" s="5">
        <v>1</v>
      </c>
      <c r="H1525" s="5" t="s">
        <v>2854</v>
      </c>
      <c r="I1525" s="5" t="str">
        <f>IF(INDEX(Manual_Review!$Z$6:$Z$238,U1525)="","",INDEX(Manual_Review!$Z$6:$Z$238,U1525))</f>
        <v/>
      </c>
      <c r="J1525" s="5" t="str">
        <f t="shared" si="46"/>
        <v>AI provisional</v>
      </c>
      <c r="K1525" s="5" t="str">
        <f t="shared" si="47"/>
        <v>Y</v>
      </c>
      <c r="L1525" s="5" t="s">
        <v>1156</v>
      </c>
      <c r="M1525" s="5" t="s">
        <v>6046</v>
      </c>
      <c r="N1525" s="5" t="s">
        <v>6018</v>
      </c>
      <c r="O1525" s="5" t="s">
        <v>3085</v>
      </c>
      <c r="P1525" s="5" t="s">
        <v>2858</v>
      </c>
      <c r="Q1525" s="11">
        <v>46306.5</v>
      </c>
      <c r="R1525" s="6"/>
      <c r="S1525" s="6"/>
      <c r="T1525" s="6"/>
      <c r="U1525" s="5">
        <f>MATCH(B1525,Manual_Review!$A$6:$A$238,0)</f>
        <v>95</v>
      </c>
      <c r="V1525" s="5" t="str">
        <f>IF(INDEX(Manual_Review!$G$6:$G$238,U1525)="","",INDEX(Manual_Review!$G$6:$G$238,U1525))</f>
        <v/>
      </c>
      <c r="W1525" s="11" t="str">
        <f>IF(INDEX(Manual_Review!$H$6:$H$238,U1525)="","",INDEX(Manual_Review!$H$6:$H$238,U1525))</f>
        <v/>
      </c>
      <c r="X1525" s="5" t="str">
        <f>IF(INDEX(Manual_Review!$I$6:$I$238,U1525)="","",INDEX(Manual_Review!$I$6:$I$238,U1525))</f>
        <v/>
      </c>
      <c r="Y1525" s="5" t="s">
        <v>2859</v>
      </c>
    </row>
    <row r="1526" spans="1:25" ht="25.5">
      <c r="A1526" s="5" t="s">
        <v>6047</v>
      </c>
      <c r="B1526" s="5" t="s">
        <v>39</v>
      </c>
      <c r="C1526" s="5" t="s">
        <v>1158</v>
      </c>
      <c r="D1526" s="5" t="s">
        <v>118</v>
      </c>
      <c r="E1526" s="5" t="s">
        <v>2781</v>
      </c>
      <c r="F1526" s="5" t="s">
        <v>2754</v>
      </c>
      <c r="G1526" s="5">
        <v>1</v>
      </c>
      <c r="H1526" s="5" t="s">
        <v>2854</v>
      </c>
      <c r="I1526" s="5" t="str">
        <f>IF(INDEX(Manual_Review!$K$6:$K$238,U1526)="","",INDEX(Manual_Review!$K$6:$K$238,U1526))</f>
        <v/>
      </c>
      <c r="J1526" s="5" t="str">
        <f t="shared" si="46"/>
        <v>AI provisional</v>
      </c>
      <c r="K1526" s="5" t="str">
        <f t="shared" si="47"/>
        <v>Y</v>
      </c>
      <c r="L1526" s="5" t="s">
        <v>1166</v>
      </c>
      <c r="M1526" s="5" t="s">
        <v>6048</v>
      </c>
      <c r="N1526" s="5" t="s">
        <v>6049</v>
      </c>
      <c r="O1526" s="5" t="s">
        <v>3089</v>
      </c>
      <c r="P1526" s="5" t="s">
        <v>3090</v>
      </c>
      <c r="Q1526" s="11">
        <v>46306.5</v>
      </c>
      <c r="R1526" s="6"/>
      <c r="S1526" s="6"/>
      <c r="T1526" s="6"/>
      <c r="U1526" s="5">
        <f>MATCH(B1526,Manual_Review!$A$6:$A$238,0)</f>
        <v>96</v>
      </c>
      <c r="V1526" s="5" t="str">
        <f>IF(INDEX(Manual_Review!$G$6:$G$238,U1526)="","",INDEX(Manual_Review!$G$6:$G$238,U1526))</f>
        <v/>
      </c>
      <c r="W1526" s="11" t="str">
        <f>IF(INDEX(Manual_Review!$H$6:$H$238,U1526)="","",INDEX(Manual_Review!$H$6:$H$238,U1526))</f>
        <v/>
      </c>
      <c r="X1526" s="5" t="str">
        <f>IF(INDEX(Manual_Review!$I$6:$I$238,U1526)="","",INDEX(Manual_Review!$I$6:$I$238,U1526))</f>
        <v/>
      </c>
      <c r="Y1526" s="5" t="s">
        <v>2859</v>
      </c>
    </row>
    <row r="1527" spans="1:25" ht="25.5">
      <c r="A1527" s="5" t="s">
        <v>6050</v>
      </c>
      <c r="B1527" s="5" t="s">
        <v>39</v>
      </c>
      <c r="C1527" s="5" t="s">
        <v>1158</v>
      </c>
      <c r="D1527" s="5" t="s">
        <v>118</v>
      </c>
      <c r="E1527" s="5" t="s">
        <v>2782</v>
      </c>
      <c r="F1527" s="5" t="s">
        <v>2754</v>
      </c>
      <c r="G1527" s="5">
        <v>1</v>
      </c>
      <c r="H1527" s="5" t="s">
        <v>2854</v>
      </c>
      <c r="I1527" s="5" t="str">
        <f>IF(INDEX(Manual_Review!$L$6:$L$238,U1527)="","",INDEX(Manual_Review!$L$6:$L$238,U1527))</f>
        <v/>
      </c>
      <c r="J1527" s="5" t="str">
        <f t="shared" si="46"/>
        <v>AI provisional</v>
      </c>
      <c r="K1527" s="5" t="str">
        <f t="shared" si="47"/>
        <v>Y</v>
      </c>
      <c r="L1527" s="5" t="s">
        <v>1166</v>
      </c>
      <c r="M1527" s="5" t="s">
        <v>6051</v>
      </c>
      <c r="N1527" s="5" t="s">
        <v>6052</v>
      </c>
      <c r="O1527" s="5" t="s">
        <v>3089</v>
      </c>
      <c r="P1527" s="5" t="s">
        <v>3090</v>
      </c>
      <c r="Q1527" s="11">
        <v>46306.5</v>
      </c>
      <c r="R1527" s="6"/>
      <c r="S1527" s="6"/>
      <c r="T1527" s="6"/>
      <c r="U1527" s="5">
        <f>MATCH(B1527,Manual_Review!$A$6:$A$238,0)</f>
        <v>96</v>
      </c>
      <c r="V1527" s="5" t="str">
        <f>IF(INDEX(Manual_Review!$G$6:$G$238,U1527)="","",INDEX(Manual_Review!$G$6:$G$238,U1527))</f>
        <v/>
      </c>
      <c r="W1527" s="11" t="str">
        <f>IF(INDEX(Manual_Review!$H$6:$H$238,U1527)="","",INDEX(Manual_Review!$H$6:$H$238,U1527))</f>
        <v/>
      </c>
      <c r="X1527" s="5" t="str">
        <f>IF(INDEX(Manual_Review!$I$6:$I$238,U1527)="","",INDEX(Manual_Review!$I$6:$I$238,U1527))</f>
        <v/>
      </c>
      <c r="Y1527" s="5" t="s">
        <v>2859</v>
      </c>
    </row>
    <row r="1528" spans="1:25" ht="25.5">
      <c r="A1528" s="5" t="s">
        <v>6053</v>
      </c>
      <c r="B1528" s="5" t="s">
        <v>39</v>
      </c>
      <c r="C1528" s="5" t="s">
        <v>1158</v>
      </c>
      <c r="D1528" s="5" t="s">
        <v>118</v>
      </c>
      <c r="E1528" s="5" t="s">
        <v>2783</v>
      </c>
      <c r="F1528" s="5" t="s">
        <v>2754</v>
      </c>
      <c r="G1528" s="5">
        <v>1</v>
      </c>
      <c r="H1528" s="5" t="s">
        <v>2854</v>
      </c>
      <c r="I1528" s="5" t="str">
        <f>IF(INDEX(Manual_Review!$M$6:$M$238,U1528)="","",INDEX(Manual_Review!$M$6:$M$238,U1528))</f>
        <v/>
      </c>
      <c r="J1528" s="5" t="str">
        <f t="shared" si="46"/>
        <v>AI provisional</v>
      </c>
      <c r="K1528" s="5" t="str">
        <f t="shared" si="47"/>
        <v>Y</v>
      </c>
      <c r="L1528" s="5" t="s">
        <v>1166</v>
      </c>
      <c r="M1528" s="5" t="s">
        <v>6054</v>
      </c>
      <c r="N1528" s="5" t="s">
        <v>6055</v>
      </c>
      <c r="O1528" s="5" t="s">
        <v>3089</v>
      </c>
      <c r="P1528" s="5" t="s">
        <v>3090</v>
      </c>
      <c r="Q1528" s="11">
        <v>46306.5</v>
      </c>
      <c r="R1528" s="6"/>
      <c r="S1528" s="6"/>
      <c r="T1528" s="6"/>
      <c r="U1528" s="5">
        <f>MATCH(B1528,Manual_Review!$A$6:$A$238,0)</f>
        <v>96</v>
      </c>
      <c r="V1528" s="5" t="str">
        <f>IF(INDEX(Manual_Review!$G$6:$G$238,U1528)="","",INDEX(Manual_Review!$G$6:$G$238,U1528))</f>
        <v/>
      </c>
      <c r="W1528" s="11" t="str">
        <f>IF(INDEX(Manual_Review!$H$6:$H$238,U1528)="","",INDEX(Manual_Review!$H$6:$H$238,U1528))</f>
        <v/>
      </c>
      <c r="X1528" s="5" t="str">
        <f>IF(INDEX(Manual_Review!$I$6:$I$238,U1528)="","",INDEX(Manual_Review!$I$6:$I$238,U1528))</f>
        <v/>
      </c>
      <c r="Y1528" s="5" t="s">
        <v>2859</v>
      </c>
    </row>
    <row r="1529" spans="1:25" ht="25.5">
      <c r="A1529" s="5" t="s">
        <v>6056</v>
      </c>
      <c r="B1529" s="5" t="s">
        <v>39</v>
      </c>
      <c r="C1529" s="5" t="s">
        <v>1158</v>
      </c>
      <c r="D1529" s="5" t="s">
        <v>118</v>
      </c>
      <c r="E1529" s="5" t="s">
        <v>2784</v>
      </c>
      <c r="F1529" s="5" t="s">
        <v>2756</v>
      </c>
      <c r="G1529" s="5">
        <v>1</v>
      </c>
      <c r="H1529" s="5" t="s">
        <v>2854</v>
      </c>
      <c r="I1529" s="5" t="str">
        <f>IF(INDEX(Manual_Review!$N$6:$N$238,U1529)="","",INDEX(Manual_Review!$N$6:$N$238,U1529))</f>
        <v/>
      </c>
      <c r="J1529" s="5" t="str">
        <f t="shared" si="46"/>
        <v>AI provisional</v>
      </c>
      <c r="K1529" s="5" t="str">
        <f t="shared" si="47"/>
        <v>Y</v>
      </c>
      <c r="L1529" s="5" t="s">
        <v>1166</v>
      </c>
      <c r="M1529" s="5" t="s">
        <v>6057</v>
      </c>
      <c r="N1529" s="5" t="s">
        <v>6058</v>
      </c>
      <c r="O1529" s="5" t="s">
        <v>3089</v>
      </c>
      <c r="P1529" s="5" t="s">
        <v>3090</v>
      </c>
      <c r="Q1529" s="11">
        <v>46306.5</v>
      </c>
      <c r="R1529" s="6"/>
      <c r="S1529" s="6"/>
      <c r="T1529" s="6"/>
      <c r="U1529" s="5">
        <f>MATCH(B1529,Manual_Review!$A$6:$A$238,0)</f>
        <v>96</v>
      </c>
      <c r="V1529" s="5" t="str">
        <f>IF(INDEX(Manual_Review!$G$6:$G$238,U1529)="","",INDEX(Manual_Review!$G$6:$G$238,U1529))</f>
        <v/>
      </c>
      <c r="W1529" s="11" t="str">
        <f>IF(INDEX(Manual_Review!$H$6:$H$238,U1529)="","",INDEX(Manual_Review!$H$6:$H$238,U1529))</f>
        <v/>
      </c>
      <c r="X1529" s="5" t="str">
        <f>IF(INDEX(Manual_Review!$I$6:$I$238,U1529)="","",INDEX(Manual_Review!$I$6:$I$238,U1529))</f>
        <v/>
      </c>
      <c r="Y1529" s="5" t="s">
        <v>2859</v>
      </c>
    </row>
    <row r="1530" spans="1:25" ht="25.5">
      <c r="A1530" s="5" t="s">
        <v>6059</v>
      </c>
      <c r="B1530" s="5" t="s">
        <v>39</v>
      </c>
      <c r="C1530" s="5" t="s">
        <v>1158</v>
      </c>
      <c r="D1530" s="5" t="s">
        <v>118</v>
      </c>
      <c r="E1530" s="5" t="s">
        <v>2785</v>
      </c>
      <c r="F1530" s="5" t="s">
        <v>2756</v>
      </c>
      <c r="G1530" s="5">
        <v>1</v>
      </c>
      <c r="H1530" s="5" t="s">
        <v>2854</v>
      </c>
      <c r="I1530" s="5" t="str">
        <f>IF(INDEX(Manual_Review!$O$6:$O$238,U1530)="","",INDEX(Manual_Review!$O$6:$O$238,U1530))</f>
        <v/>
      </c>
      <c r="J1530" s="5" t="str">
        <f t="shared" si="46"/>
        <v>AI provisional</v>
      </c>
      <c r="K1530" s="5" t="str">
        <f t="shared" si="47"/>
        <v>Y</v>
      </c>
      <c r="L1530" s="5" t="s">
        <v>6060</v>
      </c>
      <c r="M1530" s="5" t="s">
        <v>6061</v>
      </c>
      <c r="N1530" s="5" t="s">
        <v>6062</v>
      </c>
      <c r="O1530" s="5" t="s">
        <v>3089</v>
      </c>
      <c r="P1530" s="5" t="s">
        <v>3090</v>
      </c>
      <c r="Q1530" s="11">
        <v>46306.5</v>
      </c>
      <c r="R1530" s="6"/>
      <c r="S1530" s="6"/>
      <c r="T1530" s="6"/>
      <c r="U1530" s="5">
        <f>MATCH(B1530,Manual_Review!$A$6:$A$238,0)</f>
        <v>96</v>
      </c>
      <c r="V1530" s="5" t="str">
        <f>IF(INDEX(Manual_Review!$G$6:$G$238,U1530)="","",INDEX(Manual_Review!$G$6:$G$238,U1530))</f>
        <v/>
      </c>
      <c r="W1530" s="11" t="str">
        <f>IF(INDEX(Manual_Review!$H$6:$H$238,U1530)="","",INDEX(Manual_Review!$H$6:$H$238,U1530))</f>
        <v/>
      </c>
      <c r="X1530" s="5" t="str">
        <f>IF(INDEX(Manual_Review!$I$6:$I$238,U1530)="","",INDEX(Manual_Review!$I$6:$I$238,U1530))</f>
        <v/>
      </c>
      <c r="Y1530" s="5" t="s">
        <v>2859</v>
      </c>
    </row>
    <row r="1531" spans="1:25" ht="25.5">
      <c r="A1531" s="5" t="s">
        <v>6063</v>
      </c>
      <c r="B1531" s="5" t="s">
        <v>39</v>
      </c>
      <c r="C1531" s="5" t="s">
        <v>1158</v>
      </c>
      <c r="D1531" s="5" t="s">
        <v>118</v>
      </c>
      <c r="E1531" s="5" t="s">
        <v>2786</v>
      </c>
      <c r="F1531" s="5" t="s">
        <v>2756</v>
      </c>
      <c r="G1531" s="5">
        <v>1</v>
      </c>
      <c r="H1531" s="5" t="s">
        <v>2854</v>
      </c>
      <c r="I1531" s="5" t="str">
        <f>IF(INDEX(Manual_Review!$P$6:$P$238,U1531)="","",INDEX(Manual_Review!$P$6:$P$238,U1531))</f>
        <v/>
      </c>
      <c r="J1531" s="5" t="str">
        <f t="shared" si="46"/>
        <v>AI provisional</v>
      </c>
      <c r="K1531" s="5" t="str">
        <f t="shared" si="47"/>
        <v>Y</v>
      </c>
      <c r="L1531" s="5" t="s">
        <v>6060</v>
      </c>
      <c r="M1531" s="5" t="s">
        <v>6061</v>
      </c>
      <c r="N1531" s="5" t="s">
        <v>6064</v>
      </c>
      <c r="O1531" s="5" t="s">
        <v>3089</v>
      </c>
      <c r="P1531" s="5" t="s">
        <v>3090</v>
      </c>
      <c r="Q1531" s="11">
        <v>46306.5</v>
      </c>
      <c r="R1531" s="6"/>
      <c r="S1531" s="6"/>
      <c r="T1531" s="6"/>
      <c r="U1531" s="5">
        <f>MATCH(B1531,Manual_Review!$A$6:$A$238,0)</f>
        <v>96</v>
      </c>
      <c r="V1531" s="5" t="str">
        <f>IF(INDEX(Manual_Review!$G$6:$G$238,U1531)="","",INDEX(Manual_Review!$G$6:$G$238,U1531))</f>
        <v/>
      </c>
      <c r="W1531" s="11" t="str">
        <f>IF(INDEX(Manual_Review!$H$6:$H$238,U1531)="","",INDEX(Manual_Review!$H$6:$H$238,U1531))</f>
        <v/>
      </c>
      <c r="X1531" s="5" t="str">
        <f>IF(INDEX(Manual_Review!$I$6:$I$238,U1531)="","",INDEX(Manual_Review!$I$6:$I$238,U1531))</f>
        <v/>
      </c>
      <c r="Y1531" s="5" t="s">
        <v>2859</v>
      </c>
    </row>
    <row r="1532" spans="1:25" ht="25.5">
      <c r="A1532" s="5" t="s">
        <v>6065</v>
      </c>
      <c r="B1532" s="5" t="s">
        <v>39</v>
      </c>
      <c r="C1532" s="5" t="s">
        <v>1158</v>
      </c>
      <c r="D1532" s="5" t="s">
        <v>118</v>
      </c>
      <c r="E1532" s="5" t="s">
        <v>2787</v>
      </c>
      <c r="F1532" s="5" t="s">
        <v>2758</v>
      </c>
      <c r="G1532" s="5">
        <v>1</v>
      </c>
      <c r="H1532" s="5" t="s">
        <v>2854</v>
      </c>
      <c r="I1532" s="5" t="str">
        <f>IF(INDEX(Manual_Review!$Q$6:$Q$238,U1532)="","",INDEX(Manual_Review!$Q$6:$Q$238,U1532))</f>
        <v/>
      </c>
      <c r="J1532" s="5" t="str">
        <f t="shared" si="46"/>
        <v>AI provisional</v>
      </c>
      <c r="K1532" s="5" t="str">
        <f t="shared" si="47"/>
        <v>Y</v>
      </c>
      <c r="L1532" s="5" t="s">
        <v>1166</v>
      </c>
      <c r="M1532" s="5" t="s">
        <v>6066</v>
      </c>
      <c r="N1532" s="5" t="s">
        <v>6067</v>
      </c>
      <c r="O1532" s="5" t="s">
        <v>3089</v>
      </c>
      <c r="P1532" s="5" t="s">
        <v>3090</v>
      </c>
      <c r="Q1532" s="11">
        <v>46306.5</v>
      </c>
      <c r="R1532" s="6"/>
      <c r="S1532" s="6"/>
      <c r="T1532" s="6"/>
      <c r="U1532" s="5">
        <f>MATCH(B1532,Manual_Review!$A$6:$A$238,0)</f>
        <v>96</v>
      </c>
      <c r="V1532" s="5" t="str">
        <f>IF(INDEX(Manual_Review!$G$6:$G$238,U1532)="","",INDEX(Manual_Review!$G$6:$G$238,U1532))</f>
        <v/>
      </c>
      <c r="W1532" s="11" t="str">
        <f>IF(INDEX(Manual_Review!$H$6:$H$238,U1532)="","",INDEX(Manual_Review!$H$6:$H$238,U1532))</f>
        <v/>
      </c>
      <c r="X1532" s="5" t="str">
        <f>IF(INDEX(Manual_Review!$I$6:$I$238,U1532)="","",INDEX(Manual_Review!$I$6:$I$238,U1532))</f>
        <v/>
      </c>
      <c r="Y1532" s="5" t="s">
        <v>2859</v>
      </c>
    </row>
    <row r="1533" spans="1:25" ht="25.5">
      <c r="A1533" s="5" t="s">
        <v>6068</v>
      </c>
      <c r="B1533" s="5" t="s">
        <v>39</v>
      </c>
      <c r="C1533" s="5" t="s">
        <v>1158</v>
      </c>
      <c r="D1533" s="5" t="s">
        <v>118</v>
      </c>
      <c r="E1533" s="5" t="s">
        <v>2788</v>
      </c>
      <c r="F1533" s="5" t="s">
        <v>2758</v>
      </c>
      <c r="G1533" s="5">
        <v>1</v>
      </c>
      <c r="H1533" s="5" t="s">
        <v>2854</v>
      </c>
      <c r="I1533" s="5" t="str">
        <f>IF(INDEX(Manual_Review!$R$6:$R$238,U1533)="","",INDEX(Manual_Review!$R$6:$R$238,U1533))</f>
        <v/>
      </c>
      <c r="J1533" s="5" t="str">
        <f t="shared" si="46"/>
        <v>AI provisional</v>
      </c>
      <c r="K1533" s="5" t="str">
        <f t="shared" si="47"/>
        <v>Y</v>
      </c>
      <c r="L1533" s="5" t="s">
        <v>6060</v>
      </c>
      <c r="M1533" s="5" t="s">
        <v>3256</v>
      </c>
      <c r="N1533" s="5" t="s">
        <v>6069</v>
      </c>
      <c r="O1533" s="5" t="s">
        <v>3089</v>
      </c>
      <c r="P1533" s="5" t="s">
        <v>3090</v>
      </c>
      <c r="Q1533" s="11">
        <v>46306.5</v>
      </c>
      <c r="R1533" s="6"/>
      <c r="S1533" s="6"/>
      <c r="T1533" s="6"/>
      <c r="U1533" s="5">
        <f>MATCH(B1533,Manual_Review!$A$6:$A$238,0)</f>
        <v>96</v>
      </c>
      <c r="V1533" s="5" t="str">
        <f>IF(INDEX(Manual_Review!$G$6:$G$238,U1533)="","",INDEX(Manual_Review!$G$6:$G$238,U1533))</f>
        <v/>
      </c>
      <c r="W1533" s="11" t="str">
        <f>IF(INDEX(Manual_Review!$H$6:$H$238,U1533)="","",INDEX(Manual_Review!$H$6:$H$238,U1533))</f>
        <v/>
      </c>
      <c r="X1533" s="5" t="str">
        <f>IF(INDEX(Manual_Review!$I$6:$I$238,U1533)="","",INDEX(Manual_Review!$I$6:$I$238,U1533))</f>
        <v/>
      </c>
      <c r="Y1533" s="5" t="s">
        <v>2859</v>
      </c>
    </row>
    <row r="1534" spans="1:25" ht="25.5">
      <c r="A1534" s="5" t="s">
        <v>6070</v>
      </c>
      <c r="B1534" s="5" t="s">
        <v>39</v>
      </c>
      <c r="C1534" s="5" t="s">
        <v>1158</v>
      </c>
      <c r="D1534" s="5" t="s">
        <v>118</v>
      </c>
      <c r="E1534" s="5" t="s">
        <v>2789</v>
      </c>
      <c r="F1534" s="5" t="s">
        <v>2758</v>
      </c>
      <c r="G1534" s="5">
        <v>1</v>
      </c>
      <c r="H1534" s="5" t="s">
        <v>2854</v>
      </c>
      <c r="I1534" s="5" t="str">
        <f>IF(INDEX(Manual_Review!$S$6:$S$238,U1534)="","",INDEX(Manual_Review!$S$6:$S$238,U1534))</f>
        <v/>
      </c>
      <c r="J1534" s="5" t="str">
        <f t="shared" si="46"/>
        <v>AI provisional</v>
      </c>
      <c r="K1534" s="5" t="str">
        <f t="shared" si="47"/>
        <v>Y</v>
      </c>
      <c r="L1534" s="5" t="s">
        <v>6060</v>
      </c>
      <c r="M1534" s="5" t="s">
        <v>6071</v>
      </c>
      <c r="N1534" s="5" t="s">
        <v>6072</v>
      </c>
      <c r="O1534" s="5" t="s">
        <v>3089</v>
      </c>
      <c r="P1534" s="5" t="s">
        <v>3090</v>
      </c>
      <c r="Q1534" s="11">
        <v>46306.5</v>
      </c>
      <c r="R1534" s="6"/>
      <c r="S1534" s="6"/>
      <c r="T1534" s="6"/>
      <c r="U1534" s="5">
        <f>MATCH(B1534,Manual_Review!$A$6:$A$238,0)</f>
        <v>96</v>
      </c>
      <c r="V1534" s="5" t="str">
        <f>IF(INDEX(Manual_Review!$G$6:$G$238,U1534)="","",INDEX(Manual_Review!$G$6:$G$238,U1534))</f>
        <v/>
      </c>
      <c r="W1534" s="11" t="str">
        <f>IF(INDEX(Manual_Review!$H$6:$H$238,U1534)="","",INDEX(Manual_Review!$H$6:$H$238,U1534))</f>
        <v/>
      </c>
      <c r="X1534" s="5" t="str">
        <f>IF(INDEX(Manual_Review!$I$6:$I$238,U1534)="","",INDEX(Manual_Review!$I$6:$I$238,U1534))</f>
        <v/>
      </c>
      <c r="Y1534" s="5" t="s">
        <v>2859</v>
      </c>
    </row>
    <row r="1535" spans="1:25" ht="25.5">
      <c r="A1535" s="5" t="s">
        <v>6073</v>
      </c>
      <c r="B1535" s="5" t="s">
        <v>39</v>
      </c>
      <c r="C1535" s="5" t="s">
        <v>1158</v>
      </c>
      <c r="D1535" s="5" t="s">
        <v>118</v>
      </c>
      <c r="E1535" s="5" t="s">
        <v>2790</v>
      </c>
      <c r="F1535" s="5" t="s">
        <v>2760</v>
      </c>
      <c r="G1535" s="5">
        <v>1</v>
      </c>
      <c r="H1535" s="5" t="s">
        <v>2854</v>
      </c>
      <c r="I1535" s="5" t="str">
        <f>IF(INDEX(Manual_Review!$T$6:$T$238,U1535)="","",INDEX(Manual_Review!$T$6:$T$238,U1535))</f>
        <v/>
      </c>
      <c r="J1535" s="5" t="str">
        <f t="shared" si="46"/>
        <v>AI provisional</v>
      </c>
      <c r="K1535" s="5" t="str">
        <f t="shared" si="47"/>
        <v>Y</v>
      </c>
      <c r="L1535" s="5" t="s">
        <v>1166</v>
      </c>
      <c r="M1535" s="5" t="s">
        <v>6074</v>
      </c>
      <c r="N1535" s="5" t="s">
        <v>6075</v>
      </c>
      <c r="O1535" s="5" t="s">
        <v>3089</v>
      </c>
      <c r="P1535" s="5" t="s">
        <v>3090</v>
      </c>
      <c r="Q1535" s="11">
        <v>46306.5</v>
      </c>
      <c r="R1535" s="6"/>
      <c r="S1535" s="6"/>
      <c r="T1535" s="6"/>
      <c r="U1535" s="5">
        <f>MATCH(B1535,Manual_Review!$A$6:$A$238,0)</f>
        <v>96</v>
      </c>
      <c r="V1535" s="5" t="str">
        <f>IF(INDEX(Manual_Review!$G$6:$G$238,U1535)="","",INDEX(Manual_Review!$G$6:$G$238,U1535))</f>
        <v/>
      </c>
      <c r="W1535" s="11" t="str">
        <f>IF(INDEX(Manual_Review!$H$6:$H$238,U1535)="","",INDEX(Manual_Review!$H$6:$H$238,U1535))</f>
        <v/>
      </c>
      <c r="X1535" s="5" t="str">
        <f>IF(INDEX(Manual_Review!$I$6:$I$238,U1535)="","",INDEX(Manual_Review!$I$6:$I$238,U1535))</f>
        <v/>
      </c>
      <c r="Y1535" s="5" t="s">
        <v>2859</v>
      </c>
    </row>
    <row r="1536" spans="1:25" ht="25.5">
      <c r="A1536" s="5" t="s">
        <v>6076</v>
      </c>
      <c r="B1536" s="5" t="s">
        <v>39</v>
      </c>
      <c r="C1536" s="5" t="s">
        <v>1158</v>
      </c>
      <c r="D1536" s="5" t="s">
        <v>118</v>
      </c>
      <c r="E1536" s="5" t="s">
        <v>2791</v>
      </c>
      <c r="F1536" s="5" t="s">
        <v>2760</v>
      </c>
      <c r="G1536" s="5">
        <v>1</v>
      </c>
      <c r="H1536" s="5" t="s">
        <v>2854</v>
      </c>
      <c r="I1536" s="5" t="str">
        <f>IF(INDEX(Manual_Review!$U$6:$U$238,U1536)="","",INDEX(Manual_Review!$U$6:$U$238,U1536))</f>
        <v/>
      </c>
      <c r="J1536" s="5" t="str">
        <f t="shared" si="46"/>
        <v>AI provisional</v>
      </c>
      <c r="K1536" s="5" t="str">
        <f t="shared" si="47"/>
        <v>Y</v>
      </c>
      <c r="L1536" s="5" t="s">
        <v>6060</v>
      </c>
      <c r="M1536" s="5" t="s">
        <v>6077</v>
      </c>
      <c r="N1536" s="5" t="s">
        <v>6078</v>
      </c>
      <c r="O1536" s="5" t="s">
        <v>3089</v>
      </c>
      <c r="P1536" s="5" t="s">
        <v>3090</v>
      </c>
      <c r="Q1536" s="11">
        <v>46306.5</v>
      </c>
      <c r="R1536" s="6"/>
      <c r="S1536" s="6"/>
      <c r="T1536" s="6"/>
      <c r="U1536" s="5">
        <f>MATCH(B1536,Manual_Review!$A$6:$A$238,0)</f>
        <v>96</v>
      </c>
      <c r="V1536" s="5" t="str">
        <f>IF(INDEX(Manual_Review!$G$6:$G$238,U1536)="","",INDEX(Manual_Review!$G$6:$G$238,U1536))</f>
        <v/>
      </c>
      <c r="W1536" s="11" t="str">
        <f>IF(INDEX(Manual_Review!$H$6:$H$238,U1536)="","",INDEX(Manual_Review!$H$6:$H$238,U1536))</f>
        <v/>
      </c>
      <c r="X1536" s="5" t="str">
        <f>IF(INDEX(Manual_Review!$I$6:$I$238,U1536)="","",INDEX(Manual_Review!$I$6:$I$238,U1536))</f>
        <v/>
      </c>
      <c r="Y1536" s="5" t="s">
        <v>2859</v>
      </c>
    </row>
    <row r="1537" spans="1:25" ht="25.5">
      <c r="A1537" s="5" t="s">
        <v>6079</v>
      </c>
      <c r="B1537" s="5" t="s">
        <v>39</v>
      </c>
      <c r="C1537" s="5" t="s">
        <v>1158</v>
      </c>
      <c r="D1537" s="5" t="s">
        <v>118</v>
      </c>
      <c r="E1537" s="5" t="s">
        <v>2792</v>
      </c>
      <c r="F1537" s="5" t="s">
        <v>2762</v>
      </c>
      <c r="G1537" s="5">
        <v>1</v>
      </c>
      <c r="H1537" s="5" t="s">
        <v>2854</v>
      </c>
      <c r="I1537" s="5" t="str">
        <f>IF(INDEX(Manual_Review!$V$6:$V$238,U1537)="","",INDEX(Manual_Review!$V$6:$V$238,U1537))</f>
        <v/>
      </c>
      <c r="J1537" s="5" t="str">
        <f t="shared" si="46"/>
        <v>AI provisional</v>
      </c>
      <c r="K1537" s="5" t="str">
        <f t="shared" si="47"/>
        <v>Y</v>
      </c>
      <c r="L1537" s="5" t="s">
        <v>6060</v>
      </c>
      <c r="M1537" s="5" t="s">
        <v>3256</v>
      </c>
      <c r="N1537" s="5" t="s">
        <v>6080</v>
      </c>
      <c r="O1537" s="5" t="s">
        <v>3089</v>
      </c>
      <c r="P1537" s="5" t="s">
        <v>3090</v>
      </c>
      <c r="Q1537" s="11">
        <v>46306.5</v>
      </c>
      <c r="R1537" s="6"/>
      <c r="S1537" s="6"/>
      <c r="T1537" s="6"/>
      <c r="U1537" s="5">
        <f>MATCH(B1537,Manual_Review!$A$6:$A$238,0)</f>
        <v>96</v>
      </c>
      <c r="V1537" s="5" t="str">
        <f>IF(INDEX(Manual_Review!$G$6:$G$238,U1537)="","",INDEX(Manual_Review!$G$6:$G$238,U1537))</f>
        <v/>
      </c>
      <c r="W1537" s="11" t="str">
        <f>IF(INDEX(Manual_Review!$H$6:$H$238,U1537)="","",INDEX(Manual_Review!$H$6:$H$238,U1537))</f>
        <v/>
      </c>
      <c r="X1537" s="5" t="str">
        <f>IF(INDEX(Manual_Review!$I$6:$I$238,U1537)="","",INDEX(Manual_Review!$I$6:$I$238,U1537))</f>
        <v/>
      </c>
      <c r="Y1537" s="5" t="s">
        <v>2859</v>
      </c>
    </row>
    <row r="1538" spans="1:25" ht="25.5">
      <c r="A1538" s="5" t="s">
        <v>6081</v>
      </c>
      <c r="B1538" s="5" t="s">
        <v>39</v>
      </c>
      <c r="C1538" s="5" t="s">
        <v>1158</v>
      </c>
      <c r="D1538" s="5" t="s">
        <v>118</v>
      </c>
      <c r="E1538" s="5" t="s">
        <v>2793</v>
      </c>
      <c r="F1538" s="5" t="s">
        <v>2762</v>
      </c>
      <c r="G1538" s="5">
        <v>1</v>
      </c>
      <c r="H1538" s="5" t="s">
        <v>2854</v>
      </c>
      <c r="I1538" s="5" t="str">
        <f>IF(INDEX(Manual_Review!$W$6:$W$238,U1538)="","",INDEX(Manual_Review!$W$6:$W$238,U1538))</f>
        <v/>
      </c>
      <c r="J1538" s="5" t="str">
        <f t="shared" si="46"/>
        <v>AI provisional</v>
      </c>
      <c r="K1538" s="5" t="str">
        <f t="shared" si="47"/>
        <v>Y</v>
      </c>
      <c r="L1538" s="5" t="s">
        <v>6060</v>
      </c>
      <c r="M1538" s="5" t="s">
        <v>3261</v>
      </c>
      <c r="N1538" s="5" t="s">
        <v>6082</v>
      </c>
      <c r="O1538" s="5" t="s">
        <v>3089</v>
      </c>
      <c r="P1538" s="5" t="s">
        <v>3090</v>
      </c>
      <c r="Q1538" s="11">
        <v>46306.5</v>
      </c>
      <c r="R1538" s="6"/>
      <c r="S1538" s="6"/>
      <c r="T1538" s="6"/>
      <c r="U1538" s="5">
        <f>MATCH(B1538,Manual_Review!$A$6:$A$238,0)</f>
        <v>96</v>
      </c>
      <c r="V1538" s="5" t="str">
        <f>IF(INDEX(Manual_Review!$G$6:$G$238,U1538)="","",INDEX(Manual_Review!$G$6:$G$238,U1538))</f>
        <v/>
      </c>
      <c r="W1538" s="11" t="str">
        <f>IF(INDEX(Manual_Review!$H$6:$H$238,U1538)="","",INDEX(Manual_Review!$H$6:$H$238,U1538))</f>
        <v/>
      </c>
      <c r="X1538" s="5" t="str">
        <f>IF(INDEX(Manual_Review!$I$6:$I$238,U1538)="","",INDEX(Manual_Review!$I$6:$I$238,U1538))</f>
        <v/>
      </c>
      <c r="Y1538" s="5" t="s">
        <v>2859</v>
      </c>
    </row>
    <row r="1539" spans="1:25" ht="25.5">
      <c r="A1539" s="5" t="s">
        <v>6083</v>
      </c>
      <c r="B1539" s="5" t="s">
        <v>39</v>
      </c>
      <c r="C1539" s="5" t="s">
        <v>1158</v>
      </c>
      <c r="D1539" s="5" t="s">
        <v>118</v>
      </c>
      <c r="E1539" s="5" t="s">
        <v>2794</v>
      </c>
      <c r="F1539" s="5" t="s">
        <v>2764</v>
      </c>
      <c r="G1539" s="5">
        <v>1</v>
      </c>
      <c r="H1539" s="5" t="s">
        <v>2854</v>
      </c>
      <c r="I1539" s="5" t="str">
        <f>IF(INDEX(Manual_Review!$X$6:$X$238,U1539)="","",INDEX(Manual_Review!$X$6:$X$238,U1539))</f>
        <v/>
      </c>
      <c r="J1539" s="5" t="str">
        <f t="shared" si="46"/>
        <v>AI provisional</v>
      </c>
      <c r="K1539" s="5" t="str">
        <f t="shared" si="47"/>
        <v>Y</v>
      </c>
      <c r="L1539" s="5" t="s">
        <v>6060</v>
      </c>
      <c r="M1539" s="5" t="s">
        <v>3256</v>
      </c>
      <c r="N1539" s="5" t="s">
        <v>6084</v>
      </c>
      <c r="O1539" s="5" t="s">
        <v>3089</v>
      </c>
      <c r="P1539" s="5" t="s">
        <v>3090</v>
      </c>
      <c r="Q1539" s="11">
        <v>46306.5</v>
      </c>
      <c r="R1539" s="6"/>
      <c r="S1539" s="6"/>
      <c r="T1539" s="6"/>
      <c r="U1539" s="5">
        <f>MATCH(B1539,Manual_Review!$A$6:$A$238,0)</f>
        <v>96</v>
      </c>
      <c r="V1539" s="5" t="str">
        <f>IF(INDEX(Manual_Review!$G$6:$G$238,U1539)="","",INDEX(Manual_Review!$G$6:$G$238,U1539))</f>
        <v/>
      </c>
      <c r="W1539" s="11" t="str">
        <f>IF(INDEX(Manual_Review!$H$6:$H$238,U1539)="","",INDEX(Manual_Review!$H$6:$H$238,U1539))</f>
        <v/>
      </c>
      <c r="X1539" s="5" t="str">
        <f>IF(INDEX(Manual_Review!$I$6:$I$238,U1539)="","",INDEX(Manual_Review!$I$6:$I$238,U1539))</f>
        <v/>
      </c>
      <c r="Y1539" s="5" t="s">
        <v>2859</v>
      </c>
    </row>
    <row r="1540" spans="1:25" ht="25.5">
      <c r="A1540" s="5" t="s">
        <v>6085</v>
      </c>
      <c r="B1540" s="5" t="s">
        <v>39</v>
      </c>
      <c r="C1540" s="5" t="s">
        <v>1158</v>
      </c>
      <c r="D1540" s="5" t="s">
        <v>118</v>
      </c>
      <c r="E1540" s="5" t="s">
        <v>2795</v>
      </c>
      <c r="F1540" s="5" t="s">
        <v>2764</v>
      </c>
      <c r="G1540" s="5">
        <v>1</v>
      </c>
      <c r="H1540" s="5" t="s">
        <v>2854</v>
      </c>
      <c r="I1540" s="5" t="str">
        <f>IF(INDEX(Manual_Review!$Y$6:$Y$238,U1540)="","",INDEX(Manual_Review!$Y$6:$Y$238,U1540))</f>
        <v/>
      </c>
      <c r="J1540" s="5" t="str">
        <f t="shared" si="46"/>
        <v>AI provisional</v>
      </c>
      <c r="K1540" s="5" t="str">
        <f t="shared" si="47"/>
        <v>Y</v>
      </c>
      <c r="L1540" s="5" t="s">
        <v>1166</v>
      </c>
      <c r="M1540" s="5" t="s">
        <v>6074</v>
      </c>
      <c r="N1540" s="5" t="s">
        <v>6086</v>
      </c>
      <c r="O1540" s="5" t="s">
        <v>3089</v>
      </c>
      <c r="P1540" s="5" t="s">
        <v>3090</v>
      </c>
      <c r="Q1540" s="11">
        <v>46306.5</v>
      </c>
      <c r="R1540" s="6"/>
      <c r="S1540" s="6"/>
      <c r="T1540" s="6"/>
      <c r="U1540" s="5">
        <f>MATCH(B1540,Manual_Review!$A$6:$A$238,0)</f>
        <v>96</v>
      </c>
      <c r="V1540" s="5" t="str">
        <f>IF(INDEX(Manual_Review!$G$6:$G$238,U1540)="","",INDEX(Manual_Review!$G$6:$G$238,U1540))</f>
        <v/>
      </c>
      <c r="W1540" s="11" t="str">
        <f>IF(INDEX(Manual_Review!$H$6:$H$238,U1540)="","",INDEX(Manual_Review!$H$6:$H$238,U1540))</f>
        <v/>
      </c>
      <c r="X1540" s="5" t="str">
        <f>IF(INDEX(Manual_Review!$I$6:$I$238,U1540)="","",INDEX(Manual_Review!$I$6:$I$238,U1540))</f>
        <v/>
      </c>
      <c r="Y1540" s="5" t="s">
        <v>2859</v>
      </c>
    </row>
    <row r="1541" spans="1:25" ht="25.5">
      <c r="A1541" s="5" t="s">
        <v>6087</v>
      </c>
      <c r="B1541" s="5" t="s">
        <v>39</v>
      </c>
      <c r="C1541" s="5" t="s">
        <v>1158</v>
      </c>
      <c r="D1541" s="5" t="s">
        <v>118</v>
      </c>
      <c r="E1541" s="5" t="s">
        <v>2796</v>
      </c>
      <c r="F1541" s="5" t="s">
        <v>2764</v>
      </c>
      <c r="G1541" s="5">
        <v>1</v>
      </c>
      <c r="H1541" s="5" t="s">
        <v>2854</v>
      </c>
      <c r="I1541" s="5" t="str">
        <f>IF(INDEX(Manual_Review!$Z$6:$Z$238,U1541)="","",INDEX(Manual_Review!$Z$6:$Z$238,U1541))</f>
        <v/>
      </c>
      <c r="J1541" s="5" t="str">
        <f t="shared" si="46"/>
        <v>AI provisional</v>
      </c>
      <c r="K1541" s="5" t="str">
        <f t="shared" si="47"/>
        <v>Y</v>
      </c>
      <c r="L1541" s="5" t="s">
        <v>6060</v>
      </c>
      <c r="M1541" s="5" t="s">
        <v>3256</v>
      </c>
      <c r="N1541" s="5" t="s">
        <v>6088</v>
      </c>
      <c r="O1541" s="5" t="s">
        <v>3089</v>
      </c>
      <c r="P1541" s="5" t="s">
        <v>3090</v>
      </c>
      <c r="Q1541" s="11">
        <v>46306.5</v>
      </c>
      <c r="R1541" s="6"/>
      <c r="S1541" s="6"/>
      <c r="T1541" s="6"/>
      <c r="U1541" s="5">
        <f>MATCH(B1541,Manual_Review!$A$6:$A$238,0)</f>
        <v>96</v>
      </c>
      <c r="V1541" s="5" t="str">
        <f>IF(INDEX(Manual_Review!$G$6:$G$238,U1541)="","",INDEX(Manual_Review!$G$6:$G$238,U1541))</f>
        <v/>
      </c>
      <c r="W1541" s="11" t="str">
        <f>IF(INDEX(Manual_Review!$H$6:$H$238,U1541)="","",INDEX(Manual_Review!$H$6:$H$238,U1541))</f>
        <v/>
      </c>
      <c r="X1541" s="5" t="str">
        <f>IF(INDEX(Manual_Review!$I$6:$I$238,U1541)="","",INDEX(Manual_Review!$I$6:$I$238,U1541))</f>
        <v/>
      </c>
      <c r="Y1541" s="5" t="s">
        <v>2859</v>
      </c>
    </row>
    <row r="1542" spans="1:25" ht="38.25">
      <c r="A1542" s="5" t="s">
        <v>6089</v>
      </c>
      <c r="B1542" s="5" t="s">
        <v>1169</v>
      </c>
      <c r="C1542" s="5" t="s">
        <v>1170</v>
      </c>
      <c r="D1542" s="5" t="s">
        <v>118</v>
      </c>
      <c r="E1542" s="5" t="s">
        <v>2781</v>
      </c>
      <c r="F1542" s="5" t="s">
        <v>2754</v>
      </c>
      <c r="G1542" s="5">
        <v>1</v>
      </c>
      <c r="H1542" s="5" t="s">
        <v>2864</v>
      </c>
      <c r="I1542" s="5" t="str">
        <f>IF(INDEX(Manual_Review!$K$6:$K$238,U1542)="","",INDEX(Manual_Review!$K$6:$K$238,U1542))</f>
        <v/>
      </c>
      <c r="J1542" s="5" t="str">
        <f t="shared" ref="J1542:J1605" si="48">IF(G1542=0,"Not applicable",IF(I1542="","AI provisional",IF(AND(OR(I1542="Y",I1542="N",I1542="U",I1542="X"),V1542&lt;&gt;"",ISNUMBER(W1542),W1542&gt;0,X1542="Confirmed",R1542&lt;&gt;"",S1542&lt;&gt;"",T1542&lt;&gt;""),"Human valid","Evidence needed")))</f>
        <v>AI provisional</v>
      </c>
      <c r="K1542" s="5" t="str">
        <f t="shared" ref="K1542:K1605" si="49">IF(G1542=0,"N/A",IF(I1542="",H1542,IF(J1542="Human valid",I1542,"U")))</f>
        <v>U</v>
      </c>
      <c r="L1542" s="5" t="s">
        <v>1182</v>
      </c>
      <c r="M1542" s="5" t="s">
        <v>6090</v>
      </c>
      <c r="N1542" s="5" t="s">
        <v>6091</v>
      </c>
      <c r="O1542" s="5" t="s">
        <v>4469</v>
      </c>
      <c r="P1542" s="5" t="s">
        <v>2858</v>
      </c>
      <c r="Q1542" s="11">
        <v>46306.5</v>
      </c>
      <c r="R1542" s="6"/>
      <c r="S1542" s="6"/>
      <c r="T1542" s="6"/>
      <c r="U1542" s="5">
        <f>MATCH(B1542,Manual_Review!$A$6:$A$238,0)</f>
        <v>97</v>
      </c>
      <c r="V1542" s="5" t="str">
        <f>IF(INDEX(Manual_Review!$G$6:$G$238,U1542)="","",INDEX(Manual_Review!$G$6:$G$238,U1542))</f>
        <v/>
      </c>
      <c r="W1542" s="11" t="str">
        <f>IF(INDEX(Manual_Review!$H$6:$H$238,U1542)="","",INDEX(Manual_Review!$H$6:$H$238,U1542))</f>
        <v/>
      </c>
      <c r="X1542" s="5" t="str">
        <f>IF(INDEX(Manual_Review!$I$6:$I$238,U1542)="","",INDEX(Manual_Review!$I$6:$I$238,U1542))</f>
        <v/>
      </c>
      <c r="Y1542" s="5" t="s">
        <v>2859</v>
      </c>
    </row>
    <row r="1543" spans="1:25" ht="38.25">
      <c r="A1543" s="5" t="s">
        <v>6092</v>
      </c>
      <c r="B1543" s="5" t="s">
        <v>1169</v>
      </c>
      <c r="C1543" s="5" t="s">
        <v>1170</v>
      </c>
      <c r="D1543" s="5" t="s">
        <v>118</v>
      </c>
      <c r="E1543" s="5" t="s">
        <v>2782</v>
      </c>
      <c r="F1543" s="5" t="s">
        <v>2754</v>
      </c>
      <c r="G1543" s="5">
        <v>1</v>
      </c>
      <c r="H1543" s="5" t="s">
        <v>2864</v>
      </c>
      <c r="I1543" s="5" t="str">
        <f>IF(INDEX(Manual_Review!$L$6:$L$238,U1543)="","",INDEX(Manual_Review!$L$6:$L$238,U1543))</f>
        <v/>
      </c>
      <c r="J1543" s="5" t="str">
        <f t="shared" si="48"/>
        <v>AI provisional</v>
      </c>
      <c r="K1543" s="5" t="str">
        <f t="shared" si="49"/>
        <v>U</v>
      </c>
      <c r="L1543" s="5" t="s">
        <v>1182</v>
      </c>
      <c r="M1543" s="5" t="s">
        <v>6093</v>
      </c>
      <c r="N1543" s="5" t="s">
        <v>6091</v>
      </c>
      <c r="O1543" s="5" t="s">
        <v>4472</v>
      </c>
      <c r="P1543" s="5" t="s">
        <v>2858</v>
      </c>
      <c r="Q1543" s="11">
        <v>46306.5</v>
      </c>
      <c r="R1543" s="6"/>
      <c r="S1543" s="6"/>
      <c r="T1543" s="6"/>
      <c r="U1543" s="5">
        <f>MATCH(B1543,Manual_Review!$A$6:$A$238,0)</f>
        <v>97</v>
      </c>
      <c r="V1543" s="5" t="str">
        <f>IF(INDEX(Manual_Review!$G$6:$G$238,U1543)="","",INDEX(Manual_Review!$G$6:$G$238,U1543))</f>
        <v/>
      </c>
      <c r="W1543" s="11" t="str">
        <f>IF(INDEX(Manual_Review!$H$6:$H$238,U1543)="","",INDEX(Manual_Review!$H$6:$H$238,U1543))</f>
        <v/>
      </c>
      <c r="X1543" s="5" t="str">
        <f>IF(INDEX(Manual_Review!$I$6:$I$238,U1543)="","",INDEX(Manual_Review!$I$6:$I$238,U1543))</f>
        <v/>
      </c>
      <c r="Y1543" s="5" t="s">
        <v>2859</v>
      </c>
    </row>
    <row r="1544" spans="1:25" ht="38.25">
      <c r="A1544" s="5" t="s">
        <v>6094</v>
      </c>
      <c r="B1544" s="5" t="s">
        <v>1169</v>
      </c>
      <c r="C1544" s="5" t="s">
        <v>1170</v>
      </c>
      <c r="D1544" s="5" t="s">
        <v>118</v>
      </c>
      <c r="E1544" s="5" t="s">
        <v>2783</v>
      </c>
      <c r="F1544" s="5" t="s">
        <v>2754</v>
      </c>
      <c r="G1544" s="5">
        <v>1</v>
      </c>
      <c r="H1544" s="5" t="s">
        <v>2864</v>
      </c>
      <c r="I1544" s="5" t="str">
        <f>IF(INDEX(Manual_Review!$M$6:$M$238,U1544)="","",INDEX(Manual_Review!$M$6:$M$238,U1544))</f>
        <v/>
      </c>
      <c r="J1544" s="5" t="str">
        <f t="shared" si="48"/>
        <v>AI provisional</v>
      </c>
      <c r="K1544" s="5" t="str">
        <f t="shared" si="49"/>
        <v>U</v>
      </c>
      <c r="L1544" s="5" t="s">
        <v>1182</v>
      </c>
      <c r="M1544" s="5" t="s">
        <v>6095</v>
      </c>
      <c r="N1544" s="5" t="s">
        <v>6091</v>
      </c>
      <c r="O1544" s="5" t="s">
        <v>4474</v>
      </c>
      <c r="P1544" s="5" t="s">
        <v>2858</v>
      </c>
      <c r="Q1544" s="11">
        <v>46306.5</v>
      </c>
      <c r="R1544" s="6"/>
      <c r="S1544" s="6"/>
      <c r="T1544" s="6"/>
      <c r="U1544" s="5">
        <f>MATCH(B1544,Manual_Review!$A$6:$A$238,0)</f>
        <v>97</v>
      </c>
      <c r="V1544" s="5" t="str">
        <f>IF(INDEX(Manual_Review!$G$6:$G$238,U1544)="","",INDEX(Manual_Review!$G$6:$G$238,U1544))</f>
        <v/>
      </c>
      <c r="W1544" s="11" t="str">
        <f>IF(INDEX(Manual_Review!$H$6:$H$238,U1544)="","",INDEX(Manual_Review!$H$6:$H$238,U1544))</f>
        <v/>
      </c>
      <c r="X1544" s="5" t="str">
        <f>IF(INDEX(Manual_Review!$I$6:$I$238,U1544)="","",INDEX(Manual_Review!$I$6:$I$238,U1544))</f>
        <v/>
      </c>
      <c r="Y1544" s="5" t="s">
        <v>2859</v>
      </c>
    </row>
    <row r="1545" spans="1:25" ht="38.25">
      <c r="A1545" s="5" t="s">
        <v>6096</v>
      </c>
      <c r="B1545" s="5" t="s">
        <v>1169</v>
      </c>
      <c r="C1545" s="5" t="s">
        <v>1170</v>
      </c>
      <c r="D1545" s="5" t="s">
        <v>118</v>
      </c>
      <c r="E1545" s="5" t="s">
        <v>2784</v>
      </c>
      <c r="F1545" s="5" t="s">
        <v>2756</v>
      </c>
      <c r="G1545" s="5">
        <v>1</v>
      </c>
      <c r="H1545" s="5" t="s">
        <v>2864</v>
      </c>
      <c r="I1545" s="5" t="str">
        <f>IF(INDEX(Manual_Review!$N$6:$N$238,U1545)="","",INDEX(Manual_Review!$N$6:$N$238,U1545))</f>
        <v/>
      </c>
      <c r="J1545" s="5" t="str">
        <f t="shared" si="48"/>
        <v>AI provisional</v>
      </c>
      <c r="K1545" s="5" t="str">
        <f t="shared" si="49"/>
        <v>U</v>
      </c>
      <c r="L1545" s="5" t="s">
        <v>1182</v>
      </c>
      <c r="M1545" s="5" t="s">
        <v>6097</v>
      </c>
      <c r="N1545" s="5" t="s">
        <v>6091</v>
      </c>
      <c r="O1545" s="5" t="s">
        <v>4476</v>
      </c>
      <c r="P1545" s="5" t="s">
        <v>2858</v>
      </c>
      <c r="Q1545" s="11">
        <v>46306.5</v>
      </c>
      <c r="R1545" s="6"/>
      <c r="S1545" s="6"/>
      <c r="T1545" s="6"/>
      <c r="U1545" s="5">
        <f>MATCH(B1545,Manual_Review!$A$6:$A$238,0)</f>
        <v>97</v>
      </c>
      <c r="V1545" s="5" t="str">
        <f>IF(INDEX(Manual_Review!$G$6:$G$238,U1545)="","",INDEX(Manual_Review!$G$6:$G$238,U1545))</f>
        <v/>
      </c>
      <c r="W1545" s="11" t="str">
        <f>IF(INDEX(Manual_Review!$H$6:$H$238,U1545)="","",INDEX(Manual_Review!$H$6:$H$238,U1545))</f>
        <v/>
      </c>
      <c r="X1545" s="5" t="str">
        <f>IF(INDEX(Manual_Review!$I$6:$I$238,U1545)="","",INDEX(Manual_Review!$I$6:$I$238,U1545))</f>
        <v/>
      </c>
      <c r="Y1545" s="5" t="s">
        <v>2859</v>
      </c>
    </row>
    <row r="1546" spans="1:25" ht="38.25">
      <c r="A1546" s="5" t="s">
        <v>6098</v>
      </c>
      <c r="B1546" s="5" t="s">
        <v>1169</v>
      </c>
      <c r="C1546" s="5" t="s">
        <v>1170</v>
      </c>
      <c r="D1546" s="5" t="s">
        <v>118</v>
      </c>
      <c r="E1546" s="5" t="s">
        <v>2785</v>
      </c>
      <c r="F1546" s="5" t="s">
        <v>2756</v>
      </c>
      <c r="G1546" s="5">
        <v>1</v>
      </c>
      <c r="H1546" s="5" t="s">
        <v>2864</v>
      </c>
      <c r="I1546" s="5" t="str">
        <f>IF(INDEX(Manual_Review!$O$6:$O$238,U1546)="","",INDEX(Manual_Review!$O$6:$O$238,U1546))</f>
        <v/>
      </c>
      <c r="J1546" s="5" t="str">
        <f t="shared" si="48"/>
        <v>AI provisional</v>
      </c>
      <c r="K1546" s="5" t="str">
        <f t="shared" si="49"/>
        <v>U</v>
      </c>
      <c r="L1546" s="5" t="s">
        <v>1182</v>
      </c>
      <c r="M1546" s="5" t="s">
        <v>6099</v>
      </c>
      <c r="N1546" s="5" t="s">
        <v>6091</v>
      </c>
      <c r="O1546" s="5" t="s">
        <v>4479</v>
      </c>
      <c r="P1546" s="5" t="s">
        <v>2858</v>
      </c>
      <c r="Q1546" s="11">
        <v>46306.5</v>
      </c>
      <c r="R1546" s="6"/>
      <c r="S1546" s="6"/>
      <c r="T1546" s="6"/>
      <c r="U1546" s="5">
        <f>MATCH(B1546,Manual_Review!$A$6:$A$238,0)</f>
        <v>97</v>
      </c>
      <c r="V1546" s="5" t="str">
        <f>IF(INDEX(Manual_Review!$G$6:$G$238,U1546)="","",INDEX(Manual_Review!$G$6:$G$238,U1546))</f>
        <v/>
      </c>
      <c r="W1546" s="11" t="str">
        <f>IF(INDEX(Manual_Review!$H$6:$H$238,U1546)="","",INDEX(Manual_Review!$H$6:$H$238,U1546))</f>
        <v/>
      </c>
      <c r="X1546" s="5" t="str">
        <f>IF(INDEX(Manual_Review!$I$6:$I$238,U1546)="","",INDEX(Manual_Review!$I$6:$I$238,U1546))</f>
        <v/>
      </c>
      <c r="Y1546" s="5" t="s">
        <v>2859</v>
      </c>
    </row>
    <row r="1547" spans="1:25" ht="38.25">
      <c r="A1547" s="5" t="s">
        <v>6100</v>
      </c>
      <c r="B1547" s="5" t="s">
        <v>1169</v>
      </c>
      <c r="C1547" s="5" t="s">
        <v>1170</v>
      </c>
      <c r="D1547" s="5" t="s">
        <v>118</v>
      </c>
      <c r="E1547" s="5" t="s">
        <v>2786</v>
      </c>
      <c r="F1547" s="5" t="s">
        <v>2756</v>
      </c>
      <c r="G1547" s="5">
        <v>1</v>
      </c>
      <c r="H1547" s="5" t="s">
        <v>2864</v>
      </c>
      <c r="I1547" s="5" t="str">
        <f>IF(INDEX(Manual_Review!$P$6:$P$238,U1547)="","",INDEX(Manual_Review!$P$6:$P$238,U1547))</f>
        <v/>
      </c>
      <c r="J1547" s="5" t="str">
        <f t="shared" si="48"/>
        <v>AI provisional</v>
      </c>
      <c r="K1547" s="5" t="str">
        <f t="shared" si="49"/>
        <v>U</v>
      </c>
      <c r="L1547" s="5" t="s">
        <v>1182</v>
      </c>
      <c r="M1547" s="5" t="s">
        <v>6101</v>
      </c>
      <c r="N1547" s="5" t="s">
        <v>6091</v>
      </c>
      <c r="O1547" s="5" t="s">
        <v>4481</v>
      </c>
      <c r="P1547" s="5" t="s">
        <v>2858</v>
      </c>
      <c r="Q1547" s="11">
        <v>46306.5</v>
      </c>
      <c r="R1547" s="6"/>
      <c r="S1547" s="6"/>
      <c r="T1547" s="6"/>
      <c r="U1547" s="5">
        <f>MATCH(B1547,Manual_Review!$A$6:$A$238,0)</f>
        <v>97</v>
      </c>
      <c r="V1547" s="5" t="str">
        <f>IF(INDEX(Manual_Review!$G$6:$G$238,U1547)="","",INDEX(Manual_Review!$G$6:$G$238,U1547))</f>
        <v/>
      </c>
      <c r="W1547" s="11" t="str">
        <f>IF(INDEX(Manual_Review!$H$6:$H$238,U1547)="","",INDEX(Manual_Review!$H$6:$H$238,U1547))</f>
        <v/>
      </c>
      <c r="X1547" s="5" t="str">
        <f>IF(INDEX(Manual_Review!$I$6:$I$238,U1547)="","",INDEX(Manual_Review!$I$6:$I$238,U1547))</f>
        <v/>
      </c>
      <c r="Y1547" s="5" t="s">
        <v>2859</v>
      </c>
    </row>
    <row r="1548" spans="1:25" ht="38.25">
      <c r="A1548" s="5" t="s">
        <v>6102</v>
      </c>
      <c r="B1548" s="5" t="s">
        <v>1169</v>
      </c>
      <c r="C1548" s="5" t="s">
        <v>1170</v>
      </c>
      <c r="D1548" s="5" t="s">
        <v>118</v>
      </c>
      <c r="E1548" s="5" t="s">
        <v>2787</v>
      </c>
      <c r="F1548" s="5" t="s">
        <v>2758</v>
      </c>
      <c r="G1548" s="5">
        <v>1</v>
      </c>
      <c r="H1548" s="5" t="s">
        <v>2864</v>
      </c>
      <c r="I1548" s="5" t="str">
        <f>IF(INDEX(Manual_Review!$Q$6:$Q$238,U1548)="","",INDEX(Manual_Review!$Q$6:$Q$238,U1548))</f>
        <v/>
      </c>
      <c r="J1548" s="5" t="str">
        <f t="shared" si="48"/>
        <v>AI provisional</v>
      </c>
      <c r="K1548" s="5" t="str">
        <f t="shared" si="49"/>
        <v>U</v>
      </c>
      <c r="L1548" s="5" t="s">
        <v>1182</v>
      </c>
      <c r="M1548" s="5" t="s">
        <v>6103</v>
      </c>
      <c r="N1548" s="5" t="s">
        <v>6091</v>
      </c>
      <c r="O1548" s="5" t="s">
        <v>4484</v>
      </c>
      <c r="P1548" s="5" t="s">
        <v>2858</v>
      </c>
      <c r="Q1548" s="11">
        <v>46306.5</v>
      </c>
      <c r="R1548" s="6"/>
      <c r="S1548" s="6"/>
      <c r="T1548" s="6"/>
      <c r="U1548" s="5">
        <f>MATCH(B1548,Manual_Review!$A$6:$A$238,0)</f>
        <v>97</v>
      </c>
      <c r="V1548" s="5" t="str">
        <f>IF(INDEX(Manual_Review!$G$6:$G$238,U1548)="","",INDEX(Manual_Review!$G$6:$G$238,U1548))</f>
        <v/>
      </c>
      <c r="W1548" s="11" t="str">
        <f>IF(INDEX(Manual_Review!$H$6:$H$238,U1548)="","",INDEX(Manual_Review!$H$6:$H$238,U1548))</f>
        <v/>
      </c>
      <c r="X1548" s="5" t="str">
        <f>IF(INDEX(Manual_Review!$I$6:$I$238,U1548)="","",INDEX(Manual_Review!$I$6:$I$238,U1548))</f>
        <v/>
      </c>
      <c r="Y1548" s="5" t="s">
        <v>2859</v>
      </c>
    </row>
    <row r="1549" spans="1:25" ht="38.25">
      <c r="A1549" s="5" t="s">
        <v>6104</v>
      </c>
      <c r="B1549" s="5" t="s">
        <v>1169</v>
      </c>
      <c r="C1549" s="5" t="s">
        <v>1170</v>
      </c>
      <c r="D1549" s="5" t="s">
        <v>118</v>
      </c>
      <c r="E1549" s="5" t="s">
        <v>2788</v>
      </c>
      <c r="F1549" s="5" t="s">
        <v>2758</v>
      </c>
      <c r="G1549" s="5">
        <v>1</v>
      </c>
      <c r="H1549" s="5" t="s">
        <v>2864</v>
      </c>
      <c r="I1549" s="5" t="str">
        <f>IF(INDEX(Manual_Review!$R$6:$R$238,U1549)="","",INDEX(Manual_Review!$R$6:$R$238,U1549))</f>
        <v/>
      </c>
      <c r="J1549" s="5" t="str">
        <f t="shared" si="48"/>
        <v>AI provisional</v>
      </c>
      <c r="K1549" s="5" t="str">
        <f t="shared" si="49"/>
        <v>U</v>
      </c>
      <c r="L1549" s="5" t="s">
        <v>1182</v>
      </c>
      <c r="M1549" s="5" t="s">
        <v>6105</v>
      </c>
      <c r="N1549" s="5" t="s">
        <v>6091</v>
      </c>
      <c r="O1549" s="5" t="s">
        <v>4487</v>
      </c>
      <c r="P1549" s="5" t="s">
        <v>2858</v>
      </c>
      <c r="Q1549" s="11">
        <v>46306.5</v>
      </c>
      <c r="R1549" s="6"/>
      <c r="S1549" s="6"/>
      <c r="T1549" s="6"/>
      <c r="U1549" s="5">
        <f>MATCH(B1549,Manual_Review!$A$6:$A$238,0)</f>
        <v>97</v>
      </c>
      <c r="V1549" s="5" t="str">
        <f>IF(INDEX(Manual_Review!$G$6:$G$238,U1549)="","",INDEX(Manual_Review!$G$6:$G$238,U1549))</f>
        <v/>
      </c>
      <c r="W1549" s="11" t="str">
        <f>IF(INDEX(Manual_Review!$H$6:$H$238,U1549)="","",INDEX(Manual_Review!$H$6:$H$238,U1549))</f>
        <v/>
      </c>
      <c r="X1549" s="5" t="str">
        <f>IF(INDEX(Manual_Review!$I$6:$I$238,U1549)="","",INDEX(Manual_Review!$I$6:$I$238,U1549))</f>
        <v/>
      </c>
      <c r="Y1549" s="5" t="s">
        <v>2859</v>
      </c>
    </row>
    <row r="1550" spans="1:25" ht="38.25">
      <c r="A1550" s="5" t="s">
        <v>6106</v>
      </c>
      <c r="B1550" s="5" t="s">
        <v>1169</v>
      </c>
      <c r="C1550" s="5" t="s">
        <v>1170</v>
      </c>
      <c r="D1550" s="5" t="s">
        <v>118</v>
      </c>
      <c r="E1550" s="5" t="s">
        <v>2789</v>
      </c>
      <c r="F1550" s="5" t="s">
        <v>2758</v>
      </c>
      <c r="G1550" s="5">
        <v>1</v>
      </c>
      <c r="H1550" s="5" t="s">
        <v>2864</v>
      </c>
      <c r="I1550" s="5" t="str">
        <f>IF(INDEX(Manual_Review!$S$6:$S$238,U1550)="","",INDEX(Manual_Review!$S$6:$S$238,U1550))</f>
        <v/>
      </c>
      <c r="J1550" s="5" t="str">
        <f t="shared" si="48"/>
        <v>AI provisional</v>
      </c>
      <c r="K1550" s="5" t="str">
        <f t="shared" si="49"/>
        <v>U</v>
      </c>
      <c r="L1550" s="5" t="s">
        <v>1182</v>
      </c>
      <c r="M1550" s="5" t="s">
        <v>6107</v>
      </c>
      <c r="N1550" s="5" t="s">
        <v>6091</v>
      </c>
      <c r="O1550" s="5" t="s">
        <v>4490</v>
      </c>
      <c r="P1550" s="5" t="s">
        <v>2858</v>
      </c>
      <c r="Q1550" s="11">
        <v>46306.5</v>
      </c>
      <c r="R1550" s="6"/>
      <c r="S1550" s="6"/>
      <c r="T1550" s="6"/>
      <c r="U1550" s="5">
        <f>MATCH(B1550,Manual_Review!$A$6:$A$238,0)</f>
        <v>97</v>
      </c>
      <c r="V1550" s="5" t="str">
        <f>IF(INDEX(Manual_Review!$G$6:$G$238,U1550)="","",INDEX(Manual_Review!$G$6:$G$238,U1550))</f>
        <v/>
      </c>
      <c r="W1550" s="11" t="str">
        <f>IF(INDEX(Manual_Review!$H$6:$H$238,U1550)="","",INDEX(Manual_Review!$H$6:$H$238,U1550))</f>
        <v/>
      </c>
      <c r="X1550" s="5" t="str">
        <f>IF(INDEX(Manual_Review!$I$6:$I$238,U1550)="","",INDEX(Manual_Review!$I$6:$I$238,U1550))</f>
        <v/>
      </c>
      <c r="Y1550" s="5" t="s">
        <v>2859</v>
      </c>
    </row>
    <row r="1551" spans="1:25" ht="38.25">
      <c r="A1551" s="5" t="s">
        <v>6108</v>
      </c>
      <c r="B1551" s="5" t="s">
        <v>1169</v>
      </c>
      <c r="C1551" s="5" t="s">
        <v>1170</v>
      </c>
      <c r="D1551" s="5" t="s">
        <v>118</v>
      </c>
      <c r="E1551" s="5" t="s">
        <v>2790</v>
      </c>
      <c r="F1551" s="5" t="s">
        <v>2760</v>
      </c>
      <c r="G1551" s="5">
        <v>1</v>
      </c>
      <c r="H1551" s="5" t="s">
        <v>2864</v>
      </c>
      <c r="I1551" s="5" t="str">
        <f>IF(INDEX(Manual_Review!$T$6:$T$238,U1551)="","",INDEX(Manual_Review!$T$6:$T$238,U1551))</f>
        <v/>
      </c>
      <c r="J1551" s="5" t="str">
        <f t="shared" si="48"/>
        <v>AI provisional</v>
      </c>
      <c r="K1551" s="5" t="str">
        <f t="shared" si="49"/>
        <v>U</v>
      </c>
      <c r="L1551" s="5" t="s">
        <v>1182</v>
      </c>
      <c r="M1551" s="5" t="s">
        <v>6109</v>
      </c>
      <c r="N1551" s="5" t="s">
        <v>6091</v>
      </c>
      <c r="O1551" s="5" t="s">
        <v>4492</v>
      </c>
      <c r="P1551" s="5" t="s">
        <v>2858</v>
      </c>
      <c r="Q1551" s="11">
        <v>46306.5</v>
      </c>
      <c r="R1551" s="6"/>
      <c r="S1551" s="6"/>
      <c r="T1551" s="6"/>
      <c r="U1551" s="5">
        <f>MATCH(B1551,Manual_Review!$A$6:$A$238,0)</f>
        <v>97</v>
      </c>
      <c r="V1551" s="5" t="str">
        <f>IF(INDEX(Manual_Review!$G$6:$G$238,U1551)="","",INDEX(Manual_Review!$G$6:$G$238,U1551))</f>
        <v/>
      </c>
      <c r="W1551" s="11" t="str">
        <f>IF(INDEX(Manual_Review!$H$6:$H$238,U1551)="","",INDEX(Manual_Review!$H$6:$H$238,U1551))</f>
        <v/>
      </c>
      <c r="X1551" s="5" t="str">
        <f>IF(INDEX(Manual_Review!$I$6:$I$238,U1551)="","",INDEX(Manual_Review!$I$6:$I$238,U1551))</f>
        <v/>
      </c>
      <c r="Y1551" s="5" t="s">
        <v>2859</v>
      </c>
    </row>
    <row r="1552" spans="1:25" ht="38.25">
      <c r="A1552" s="5" t="s">
        <v>6110</v>
      </c>
      <c r="B1552" s="5" t="s">
        <v>1169</v>
      </c>
      <c r="C1552" s="5" t="s">
        <v>1170</v>
      </c>
      <c r="D1552" s="5" t="s">
        <v>118</v>
      </c>
      <c r="E1552" s="5" t="s">
        <v>2791</v>
      </c>
      <c r="F1552" s="5" t="s">
        <v>2760</v>
      </c>
      <c r="G1552" s="5">
        <v>1</v>
      </c>
      <c r="H1552" s="5" t="s">
        <v>2864</v>
      </c>
      <c r="I1552" s="5" t="str">
        <f>IF(INDEX(Manual_Review!$U$6:$U$238,U1552)="","",INDEX(Manual_Review!$U$6:$U$238,U1552))</f>
        <v/>
      </c>
      <c r="J1552" s="5" t="str">
        <f t="shared" si="48"/>
        <v>AI provisional</v>
      </c>
      <c r="K1552" s="5" t="str">
        <f t="shared" si="49"/>
        <v>U</v>
      </c>
      <c r="L1552" s="5" t="s">
        <v>1182</v>
      </c>
      <c r="M1552" s="5" t="s">
        <v>6111</v>
      </c>
      <c r="N1552" s="5" t="s">
        <v>6091</v>
      </c>
      <c r="O1552" s="5" t="s">
        <v>4494</v>
      </c>
      <c r="P1552" s="5" t="s">
        <v>2858</v>
      </c>
      <c r="Q1552" s="11">
        <v>46306.5</v>
      </c>
      <c r="R1552" s="6"/>
      <c r="S1552" s="6"/>
      <c r="T1552" s="6"/>
      <c r="U1552" s="5">
        <f>MATCH(B1552,Manual_Review!$A$6:$A$238,0)</f>
        <v>97</v>
      </c>
      <c r="V1552" s="5" t="str">
        <f>IF(INDEX(Manual_Review!$G$6:$G$238,U1552)="","",INDEX(Manual_Review!$G$6:$G$238,U1552))</f>
        <v/>
      </c>
      <c r="W1552" s="11" t="str">
        <f>IF(INDEX(Manual_Review!$H$6:$H$238,U1552)="","",INDEX(Manual_Review!$H$6:$H$238,U1552))</f>
        <v/>
      </c>
      <c r="X1552" s="5" t="str">
        <f>IF(INDEX(Manual_Review!$I$6:$I$238,U1552)="","",INDEX(Manual_Review!$I$6:$I$238,U1552))</f>
        <v/>
      </c>
      <c r="Y1552" s="5" t="s">
        <v>2859</v>
      </c>
    </row>
    <row r="1553" spans="1:25" ht="38.25">
      <c r="A1553" s="5" t="s">
        <v>6112</v>
      </c>
      <c r="B1553" s="5" t="s">
        <v>1169</v>
      </c>
      <c r="C1553" s="5" t="s">
        <v>1170</v>
      </c>
      <c r="D1553" s="5" t="s">
        <v>118</v>
      </c>
      <c r="E1553" s="5" t="s">
        <v>2792</v>
      </c>
      <c r="F1553" s="5" t="s">
        <v>2762</v>
      </c>
      <c r="G1553" s="5">
        <v>1</v>
      </c>
      <c r="H1553" s="5" t="s">
        <v>2864</v>
      </c>
      <c r="I1553" s="5" t="str">
        <f>IF(INDEX(Manual_Review!$V$6:$V$238,U1553)="","",INDEX(Manual_Review!$V$6:$V$238,U1553))</f>
        <v/>
      </c>
      <c r="J1553" s="5" t="str">
        <f t="shared" si="48"/>
        <v>AI provisional</v>
      </c>
      <c r="K1553" s="5" t="str">
        <f t="shared" si="49"/>
        <v>U</v>
      </c>
      <c r="L1553" s="5" t="s">
        <v>1182</v>
      </c>
      <c r="M1553" s="5" t="s">
        <v>6113</v>
      </c>
      <c r="N1553" s="5" t="s">
        <v>6091</v>
      </c>
      <c r="O1553" s="5" t="s">
        <v>4497</v>
      </c>
      <c r="P1553" s="5" t="s">
        <v>2858</v>
      </c>
      <c r="Q1553" s="11">
        <v>46306.5</v>
      </c>
      <c r="R1553" s="6"/>
      <c r="S1553" s="6"/>
      <c r="T1553" s="6"/>
      <c r="U1553" s="5">
        <f>MATCH(B1553,Manual_Review!$A$6:$A$238,0)</f>
        <v>97</v>
      </c>
      <c r="V1553" s="5" t="str">
        <f>IF(INDEX(Manual_Review!$G$6:$G$238,U1553)="","",INDEX(Manual_Review!$G$6:$G$238,U1553))</f>
        <v/>
      </c>
      <c r="W1553" s="11" t="str">
        <f>IF(INDEX(Manual_Review!$H$6:$H$238,U1553)="","",INDEX(Manual_Review!$H$6:$H$238,U1553))</f>
        <v/>
      </c>
      <c r="X1553" s="5" t="str">
        <f>IF(INDEX(Manual_Review!$I$6:$I$238,U1553)="","",INDEX(Manual_Review!$I$6:$I$238,U1553))</f>
        <v/>
      </c>
      <c r="Y1553" s="5" t="s">
        <v>2859</v>
      </c>
    </row>
    <row r="1554" spans="1:25" ht="38.25">
      <c r="A1554" s="5" t="s">
        <v>6114</v>
      </c>
      <c r="B1554" s="5" t="s">
        <v>1169</v>
      </c>
      <c r="C1554" s="5" t="s">
        <v>1170</v>
      </c>
      <c r="D1554" s="5" t="s">
        <v>118</v>
      </c>
      <c r="E1554" s="5" t="s">
        <v>2793</v>
      </c>
      <c r="F1554" s="5" t="s">
        <v>2762</v>
      </c>
      <c r="G1554" s="5">
        <v>1</v>
      </c>
      <c r="H1554" s="5" t="s">
        <v>2864</v>
      </c>
      <c r="I1554" s="5" t="str">
        <f>IF(INDEX(Manual_Review!$W$6:$W$238,U1554)="","",INDEX(Manual_Review!$W$6:$W$238,U1554))</f>
        <v/>
      </c>
      <c r="J1554" s="5" t="str">
        <f t="shared" si="48"/>
        <v>AI provisional</v>
      </c>
      <c r="K1554" s="5" t="str">
        <f t="shared" si="49"/>
        <v>U</v>
      </c>
      <c r="L1554" s="5" t="s">
        <v>1182</v>
      </c>
      <c r="M1554" s="5" t="s">
        <v>6115</v>
      </c>
      <c r="N1554" s="5" t="s">
        <v>6091</v>
      </c>
      <c r="O1554" s="5" t="s">
        <v>4499</v>
      </c>
      <c r="P1554" s="5" t="s">
        <v>2858</v>
      </c>
      <c r="Q1554" s="11">
        <v>46306.5</v>
      </c>
      <c r="R1554" s="6"/>
      <c r="S1554" s="6"/>
      <c r="T1554" s="6"/>
      <c r="U1554" s="5">
        <f>MATCH(B1554,Manual_Review!$A$6:$A$238,0)</f>
        <v>97</v>
      </c>
      <c r="V1554" s="5" t="str">
        <f>IF(INDEX(Manual_Review!$G$6:$G$238,U1554)="","",INDEX(Manual_Review!$G$6:$G$238,U1554))</f>
        <v/>
      </c>
      <c r="W1554" s="11" t="str">
        <f>IF(INDEX(Manual_Review!$H$6:$H$238,U1554)="","",INDEX(Manual_Review!$H$6:$H$238,U1554))</f>
        <v/>
      </c>
      <c r="X1554" s="5" t="str">
        <f>IF(INDEX(Manual_Review!$I$6:$I$238,U1554)="","",INDEX(Manual_Review!$I$6:$I$238,U1554))</f>
        <v/>
      </c>
      <c r="Y1554" s="5" t="s">
        <v>2859</v>
      </c>
    </row>
    <row r="1555" spans="1:25" ht="38.25">
      <c r="A1555" s="5" t="s">
        <v>6116</v>
      </c>
      <c r="B1555" s="5" t="s">
        <v>1169</v>
      </c>
      <c r="C1555" s="5" t="s">
        <v>1170</v>
      </c>
      <c r="D1555" s="5" t="s">
        <v>118</v>
      </c>
      <c r="E1555" s="5" t="s">
        <v>2794</v>
      </c>
      <c r="F1555" s="5" t="s">
        <v>2764</v>
      </c>
      <c r="G1555" s="5">
        <v>1</v>
      </c>
      <c r="H1555" s="5" t="s">
        <v>2864</v>
      </c>
      <c r="I1555" s="5" t="str">
        <f>IF(INDEX(Manual_Review!$X$6:$X$238,U1555)="","",INDEX(Manual_Review!$X$6:$X$238,U1555))</f>
        <v/>
      </c>
      <c r="J1555" s="5" t="str">
        <f t="shared" si="48"/>
        <v>AI provisional</v>
      </c>
      <c r="K1555" s="5" t="str">
        <f t="shared" si="49"/>
        <v>U</v>
      </c>
      <c r="L1555" s="5" t="s">
        <v>1182</v>
      </c>
      <c r="M1555" s="5" t="s">
        <v>6117</v>
      </c>
      <c r="N1555" s="5" t="s">
        <v>6091</v>
      </c>
      <c r="O1555" s="5" t="s">
        <v>4501</v>
      </c>
      <c r="P1555" s="5" t="s">
        <v>2858</v>
      </c>
      <c r="Q1555" s="11">
        <v>46306.5</v>
      </c>
      <c r="R1555" s="6"/>
      <c r="S1555" s="6"/>
      <c r="T1555" s="6"/>
      <c r="U1555" s="5">
        <f>MATCH(B1555,Manual_Review!$A$6:$A$238,0)</f>
        <v>97</v>
      </c>
      <c r="V1555" s="5" t="str">
        <f>IF(INDEX(Manual_Review!$G$6:$G$238,U1555)="","",INDEX(Manual_Review!$G$6:$G$238,U1555))</f>
        <v/>
      </c>
      <c r="W1555" s="11" t="str">
        <f>IF(INDEX(Manual_Review!$H$6:$H$238,U1555)="","",INDEX(Manual_Review!$H$6:$H$238,U1555))</f>
        <v/>
      </c>
      <c r="X1555" s="5" t="str">
        <f>IF(INDEX(Manual_Review!$I$6:$I$238,U1555)="","",INDEX(Manual_Review!$I$6:$I$238,U1555))</f>
        <v/>
      </c>
      <c r="Y1555" s="5" t="s">
        <v>2859</v>
      </c>
    </row>
    <row r="1556" spans="1:25" ht="51">
      <c r="A1556" s="5" t="s">
        <v>6118</v>
      </c>
      <c r="B1556" s="5" t="s">
        <v>1169</v>
      </c>
      <c r="C1556" s="5" t="s">
        <v>1170</v>
      </c>
      <c r="D1556" s="5" t="s">
        <v>118</v>
      </c>
      <c r="E1556" s="5" t="s">
        <v>2795</v>
      </c>
      <c r="F1556" s="5" t="s">
        <v>2764</v>
      </c>
      <c r="G1556" s="5">
        <v>1</v>
      </c>
      <c r="H1556" s="5" t="s">
        <v>2864</v>
      </c>
      <c r="I1556" s="5" t="str">
        <f>IF(INDEX(Manual_Review!$Y$6:$Y$238,U1556)="","",INDEX(Manual_Review!$Y$6:$Y$238,U1556))</f>
        <v/>
      </c>
      <c r="J1556" s="5" t="str">
        <f t="shared" si="48"/>
        <v>AI provisional</v>
      </c>
      <c r="K1556" s="5" t="str">
        <f t="shared" si="49"/>
        <v>U</v>
      </c>
      <c r="L1556" s="5" t="s">
        <v>1182</v>
      </c>
      <c r="M1556" s="5" t="s">
        <v>6119</v>
      </c>
      <c r="N1556" s="5" t="s">
        <v>6091</v>
      </c>
      <c r="O1556" s="5" t="s">
        <v>4503</v>
      </c>
      <c r="P1556" s="5" t="s">
        <v>2858</v>
      </c>
      <c r="Q1556" s="11">
        <v>46306.5</v>
      </c>
      <c r="R1556" s="6"/>
      <c r="S1556" s="6"/>
      <c r="T1556" s="6"/>
      <c r="U1556" s="5">
        <f>MATCH(B1556,Manual_Review!$A$6:$A$238,0)</f>
        <v>97</v>
      </c>
      <c r="V1556" s="5" t="str">
        <f>IF(INDEX(Manual_Review!$G$6:$G$238,U1556)="","",INDEX(Manual_Review!$G$6:$G$238,U1556))</f>
        <v/>
      </c>
      <c r="W1556" s="11" t="str">
        <f>IF(INDEX(Manual_Review!$H$6:$H$238,U1556)="","",INDEX(Manual_Review!$H$6:$H$238,U1556))</f>
        <v/>
      </c>
      <c r="X1556" s="5" t="str">
        <f>IF(INDEX(Manual_Review!$I$6:$I$238,U1556)="","",INDEX(Manual_Review!$I$6:$I$238,U1556))</f>
        <v/>
      </c>
      <c r="Y1556" s="5" t="s">
        <v>2859</v>
      </c>
    </row>
    <row r="1557" spans="1:25" ht="38.25">
      <c r="A1557" s="5" t="s">
        <v>6120</v>
      </c>
      <c r="B1557" s="5" t="s">
        <v>1169</v>
      </c>
      <c r="C1557" s="5" t="s">
        <v>1170</v>
      </c>
      <c r="D1557" s="5" t="s">
        <v>118</v>
      </c>
      <c r="E1557" s="5" t="s">
        <v>2796</v>
      </c>
      <c r="F1557" s="5" t="s">
        <v>2764</v>
      </c>
      <c r="G1557" s="5">
        <v>1</v>
      </c>
      <c r="H1557" s="5" t="s">
        <v>2864</v>
      </c>
      <c r="I1557" s="5" t="str">
        <f>IF(INDEX(Manual_Review!$Z$6:$Z$238,U1557)="","",INDEX(Manual_Review!$Z$6:$Z$238,U1557))</f>
        <v/>
      </c>
      <c r="J1557" s="5" t="str">
        <f t="shared" si="48"/>
        <v>AI provisional</v>
      </c>
      <c r="K1557" s="5" t="str">
        <f t="shared" si="49"/>
        <v>U</v>
      </c>
      <c r="L1557" s="5" t="s">
        <v>1182</v>
      </c>
      <c r="M1557" s="5" t="s">
        <v>6121</v>
      </c>
      <c r="N1557" s="5" t="s">
        <v>6091</v>
      </c>
      <c r="O1557" s="5" t="s">
        <v>4505</v>
      </c>
      <c r="P1557" s="5" t="s">
        <v>2858</v>
      </c>
      <c r="Q1557" s="11">
        <v>46306.5</v>
      </c>
      <c r="R1557" s="6"/>
      <c r="S1557" s="6"/>
      <c r="T1557" s="6"/>
      <c r="U1557" s="5">
        <f>MATCH(B1557,Manual_Review!$A$6:$A$238,0)</f>
        <v>97</v>
      </c>
      <c r="V1557" s="5" t="str">
        <f>IF(INDEX(Manual_Review!$G$6:$G$238,U1557)="","",INDEX(Manual_Review!$G$6:$G$238,U1557))</f>
        <v/>
      </c>
      <c r="W1557" s="11" t="str">
        <f>IF(INDEX(Manual_Review!$H$6:$H$238,U1557)="","",INDEX(Manual_Review!$H$6:$H$238,U1557))</f>
        <v/>
      </c>
      <c r="X1557" s="5" t="str">
        <f>IF(INDEX(Manual_Review!$I$6:$I$238,U1557)="","",INDEX(Manual_Review!$I$6:$I$238,U1557))</f>
        <v/>
      </c>
      <c r="Y1557" s="5" t="s">
        <v>2859</v>
      </c>
    </row>
    <row r="1558" spans="1:25" ht="38.25">
      <c r="A1558" s="5" t="s">
        <v>6122</v>
      </c>
      <c r="B1558" s="5" t="s">
        <v>1184</v>
      </c>
      <c r="C1558" s="5" t="s">
        <v>1185</v>
      </c>
      <c r="D1558" s="5" t="s">
        <v>118</v>
      </c>
      <c r="E1558" s="5" t="s">
        <v>2781</v>
      </c>
      <c r="F1558" s="5" t="s">
        <v>2754</v>
      </c>
      <c r="G1558" s="5">
        <v>1</v>
      </c>
      <c r="H1558" s="5" t="s">
        <v>2854</v>
      </c>
      <c r="I1558" s="5" t="str">
        <f>IF(INDEX(Manual_Review!$K$6:$K$238,U1558)="","",INDEX(Manual_Review!$K$6:$K$238,U1558))</f>
        <v/>
      </c>
      <c r="J1558" s="5" t="str">
        <f t="shared" si="48"/>
        <v>AI provisional</v>
      </c>
      <c r="K1558" s="5" t="str">
        <f t="shared" si="49"/>
        <v>Y</v>
      </c>
      <c r="L1558" s="5" t="s">
        <v>1190</v>
      </c>
      <c r="M1558" s="5" t="s">
        <v>6123</v>
      </c>
      <c r="N1558" s="5" t="s">
        <v>6124</v>
      </c>
      <c r="O1558" s="5" t="s">
        <v>2857</v>
      </c>
      <c r="P1558" s="5" t="s">
        <v>2858</v>
      </c>
      <c r="Q1558" s="11">
        <v>46306.5</v>
      </c>
      <c r="R1558" s="6"/>
      <c r="S1558" s="6"/>
      <c r="T1558" s="6"/>
      <c r="U1558" s="5">
        <f>MATCH(B1558,Manual_Review!$A$6:$A$238,0)</f>
        <v>98</v>
      </c>
      <c r="V1558" s="5" t="str">
        <f>IF(INDEX(Manual_Review!$G$6:$G$238,U1558)="","",INDEX(Manual_Review!$G$6:$G$238,U1558))</f>
        <v/>
      </c>
      <c r="W1558" s="11" t="str">
        <f>IF(INDEX(Manual_Review!$H$6:$H$238,U1558)="","",INDEX(Manual_Review!$H$6:$H$238,U1558))</f>
        <v/>
      </c>
      <c r="X1558" s="5" t="str">
        <f>IF(INDEX(Manual_Review!$I$6:$I$238,U1558)="","",INDEX(Manual_Review!$I$6:$I$238,U1558))</f>
        <v/>
      </c>
      <c r="Y1558" s="5" t="s">
        <v>2859</v>
      </c>
    </row>
    <row r="1559" spans="1:25" ht="38.25">
      <c r="A1559" s="5" t="s">
        <v>6125</v>
      </c>
      <c r="B1559" s="5" t="s">
        <v>1184</v>
      </c>
      <c r="C1559" s="5" t="s">
        <v>1185</v>
      </c>
      <c r="D1559" s="5" t="s">
        <v>118</v>
      </c>
      <c r="E1559" s="5" t="s">
        <v>2782</v>
      </c>
      <c r="F1559" s="5" t="s">
        <v>2754</v>
      </c>
      <c r="G1559" s="5">
        <v>1</v>
      </c>
      <c r="H1559" s="5" t="s">
        <v>2854</v>
      </c>
      <c r="I1559" s="5" t="str">
        <f>IF(INDEX(Manual_Review!$L$6:$L$238,U1559)="","",INDEX(Manual_Review!$L$6:$L$238,U1559))</f>
        <v/>
      </c>
      <c r="J1559" s="5" t="str">
        <f t="shared" si="48"/>
        <v>AI provisional</v>
      </c>
      <c r="K1559" s="5" t="str">
        <f t="shared" si="49"/>
        <v>Y</v>
      </c>
      <c r="L1559" s="5" t="s">
        <v>1190</v>
      </c>
      <c r="M1559" s="5" t="s">
        <v>6126</v>
      </c>
      <c r="N1559" s="5" t="s">
        <v>6124</v>
      </c>
      <c r="O1559" s="5" t="s">
        <v>2862</v>
      </c>
      <c r="P1559" s="5" t="s">
        <v>2858</v>
      </c>
      <c r="Q1559" s="11">
        <v>46306.5</v>
      </c>
      <c r="R1559" s="6"/>
      <c r="S1559" s="6"/>
      <c r="T1559" s="6"/>
      <c r="U1559" s="5">
        <f>MATCH(B1559,Manual_Review!$A$6:$A$238,0)</f>
        <v>98</v>
      </c>
      <c r="V1559" s="5" t="str">
        <f>IF(INDEX(Manual_Review!$G$6:$G$238,U1559)="","",INDEX(Manual_Review!$G$6:$G$238,U1559))</f>
        <v/>
      </c>
      <c r="W1559" s="11" t="str">
        <f>IF(INDEX(Manual_Review!$H$6:$H$238,U1559)="","",INDEX(Manual_Review!$H$6:$H$238,U1559))</f>
        <v/>
      </c>
      <c r="X1559" s="5" t="str">
        <f>IF(INDEX(Manual_Review!$I$6:$I$238,U1559)="","",INDEX(Manual_Review!$I$6:$I$238,U1559))</f>
        <v/>
      </c>
      <c r="Y1559" s="5" t="s">
        <v>2859</v>
      </c>
    </row>
    <row r="1560" spans="1:25" ht="38.25">
      <c r="A1560" s="5" t="s">
        <v>6127</v>
      </c>
      <c r="B1560" s="5" t="s">
        <v>1184</v>
      </c>
      <c r="C1560" s="5" t="s">
        <v>1185</v>
      </c>
      <c r="D1560" s="5" t="s">
        <v>118</v>
      </c>
      <c r="E1560" s="5" t="s">
        <v>2783</v>
      </c>
      <c r="F1560" s="5" t="s">
        <v>2754</v>
      </c>
      <c r="G1560" s="5">
        <v>1</v>
      </c>
      <c r="H1560" s="5" t="s">
        <v>2864</v>
      </c>
      <c r="I1560" s="5" t="str">
        <f>IF(INDEX(Manual_Review!$M$6:$M$238,U1560)="","",INDEX(Manual_Review!$M$6:$M$238,U1560))</f>
        <v/>
      </c>
      <c r="J1560" s="5" t="str">
        <f t="shared" si="48"/>
        <v>AI provisional</v>
      </c>
      <c r="K1560" s="5" t="str">
        <f t="shared" si="49"/>
        <v>U</v>
      </c>
      <c r="L1560" s="5" t="s">
        <v>1190</v>
      </c>
      <c r="M1560" s="5" t="s">
        <v>6128</v>
      </c>
      <c r="N1560" s="5" t="s">
        <v>6124</v>
      </c>
      <c r="O1560" s="5" t="s">
        <v>2866</v>
      </c>
      <c r="P1560" s="5" t="s">
        <v>2858</v>
      </c>
      <c r="Q1560" s="11">
        <v>46306.5</v>
      </c>
      <c r="R1560" s="6"/>
      <c r="S1560" s="6"/>
      <c r="T1560" s="6"/>
      <c r="U1560" s="5">
        <f>MATCH(B1560,Manual_Review!$A$6:$A$238,0)</f>
        <v>98</v>
      </c>
      <c r="V1560" s="5" t="str">
        <f>IF(INDEX(Manual_Review!$G$6:$G$238,U1560)="","",INDEX(Manual_Review!$G$6:$G$238,U1560))</f>
        <v/>
      </c>
      <c r="W1560" s="11" t="str">
        <f>IF(INDEX(Manual_Review!$H$6:$H$238,U1560)="","",INDEX(Manual_Review!$H$6:$H$238,U1560))</f>
        <v/>
      </c>
      <c r="X1560" s="5" t="str">
        <f>IF(INDEX(Manual_Review!$I$6:$I$238,U1560)="","",INDEX(Manual_Review!$I$6:$I$238,U1560))</f>
        <v/>
      </c>
      <c r="Y1560" s="5" t="s">
        <v>2859</v>
      </c>
    </row>
    <row r="1561" spans="1:25" ht="38.25">
      <c r="A1561" s="5" t="s">
        <v>6129</v>
      </c>
      <c r="B1561" s="5" t="s">
        <v>1184</v>
      </c>
      <c r="C1561" s="5" t="s">
        <v>1185</v>
      </c>
      <c r="D1561" s="5" t="s">
        <v>118</v>
      </c>
      <c r="E1561" s="5" t="s">
        <v>2784</v>
      </c>
      <c r="F1561" s="5" t="s">
        <v>2756</v>
      </c>
      <c r="G1561" s="5">
        <v>1</v>
      </c>
      <c r="H1561" s="5" t="s">
        <v>2864</v>
      </c>
      <c r="I1561" s="5" t="str">
        <f>IF(INDEX(Manual_Review!$N$6:$N$238,U1561)="","",INDEX(Manual_Review!$N$6:$N$238,U1561))</f>
        <v/>
      </c>
      <c r="J1561" s="5" t="str">
        <f t="shared" si="48"/>
        <v>AI provisional</v>
      </c>
      <c r="K1561" s="5" t="str">
        <f t="shared" si="49"/>
        <v>U</v>
      </c>
      <c r="L1561" s="5" t="s">
        <v>1190</v>
      </c>
      <c r="M1561" s="5" t="s">
        <v>6130</v>
      </c>
      <c r="N1561" s="5" t="s">
        <v>6124</v>
      </c>
      <c r="O1561" s="5" t="s">
        <v>2869</v>
      </c>
      <c r="P1561" s="5" t="s">
        <v>2858</v>
      </c>
      <c r="Q1561" s="11">
        <v>46306.5</v>
      </c>
      <c r="R1561" s="6"/>
      <c r="S1561" s="6"/>
      <c r="T1561" s="6"/>
      <c r="U1561" s="5">
        <f>MATCH(B1561,Manual_Review!$A$6:$A$238,0)</f>
        <v>98</v>
      </c>
      <c r="V1561" s="5" t="str">
        <f>IF(INDEX(Manual_Review!$G$6:$G$238,U1561)="","",INDEX(Manual_Review!$G$6:$G$238,U1561))</f>
        <v/>
      </c>
      <c r="W1561" s="11" t="str">
        <f>IF(INDEX(Manual_Review!$H$6:$H$238,U1561)="","",INDEX(Manual_Review!$H$6:$H$238,U1561))</f>
        <v/>
      </c>
      <c r="X1561" s="5" t="str">
        <f>IF(INDEX(Manual_Review!$I$6:$I$238,U1561)="","",INDEX(Manual_Review!$I$6:$I$238,U1561))</f>
        <v/>
      </c>
      <c r="Y1561" s="5" t="s">
        <v>2859</v>
      </c>
    </row>
    <row r="1562" spans="1:25" ht="38.25">
      <c r="A1562" s="5" t="s">
        <v>6131</v>
      </c>
      <c r="B1562" s="5" t="s">
        <v>1184</v>
      </c>
      <c r="C1562" s="5" t="s">
        <v>1185</v>
      </c>
      <c r="D1562" s="5" t="s">
        <v>118</v>
      </c>
      <c r="E1562" s="5" t="s">
        <v>2785</v>
      </c>
      <c r="F1562" s="5" t="s">
        <v>2756</v>
      </c>
      <c r="G1562" s="5">
        <v>1</v>
      </c>
      <c r="H1562" s="5" t="s">
        <v>2864</v>
      </c>
      <c r="I1562" s="5" t="str">
        <f>IF(INDEX(Manual_Review!$O$6:$O$238,U1562)="","",INDEX(Manual_Review!$O$6:$O$238,U1562))</f>
        <v/>
      </c>
      <c r="J1562" s="5" t="str">
        <f t="shared" si="48"/>
        <v>AI provisional</v>
      </c>
      <c r="K1562" s="5" t="str">
        <f t="shared" si="49"/>
        <v>U</v>
      </c>
      <c r="L1562" s="5" t="s">
        <v>1190</v>
      </c>
      <c r="M1562" s="5" t="s">
        <v>6132</v>
      </c>
      <c r="N1562" s="5" t="s">
        <v>6124</v>
      </c>
      <c r="O1562" s="5" t="s">
        <v>2872</v>
      </c>
      <c r="P1562" s="5" t="s">
        <v>2858</v>
      </c>
      <c r="Q1562" s="11">
        <v>46306.5</v>
      </c>
      <c r="R1562" s="6"/>
      <c r="S1562" s="6"/>
      <c r="T1562" s="6"/>
      <c r="U1562" s="5">
        <f>MATCH(B1562,Manual_Review!$A$6:$A$238,0)</f>
        <v>98</v>
      </c>
      <c r="V1562" s="5" t="str">
        <f>IF(INDEX(Manual_Review!$G$6:$G$238,U1562)="","",INDEX(Manual_Review!$G$6:$G$238,U1562))</f>
        <v/>
      </c>
      <c r="W1562" s="11" t="str">
        <f>IF(INDEX(Manual_Review!$H$6:$H$238,U1562)="","",INDEX(Manual_Review!$H$6:$H$238,U1562))</f>
        <v/>
      </c>
      <c r="X1562" s="5" t="str">
        <f>IF(INDEX(Manual_Review!$I$6:$I$238,U1562)="","",INDEX(Manual_Review!$I$6:$I$238,U1562))</f>
        <v/>
      </c>
      <c r="Y1562" s="5" t="s">
        <v>2859</v>
      </c>
    </row>
    <row r="1563" spans="1:25" ht="38.25">
      <c r="A1563" s="5" t="s">
        <v>6133</v>
      </c>
      <c r="B1563" s="5" t="s">
        <v>1184</v>
      </c>
      <c r="C1563" s="5" t="s">
        <v>1185</v>
      </c>
      <c r="D1563" s="5" t="s">
        <v>118</v>
      </c>
      <c r="E1563" s="5" t="s">
        <v>2786</v>
      </c>
      <c r="F1563" s="5" t="s">
        <v>2756</v>
      </c>
      <c r="G1563" s="5">
        <v>1</v>
      </c>
      <c r="H1563" s="5" t="s">
        <v>2864</v>
      </c>
      <c r="I1563" s="5" t="str">
        <f>IF(INDEX(Manual_Review!$P$6:$P$238,U1563)="","",INDEX(Manual_Review!$P$6:$P$238,U1563))</f>
        <v/>
      </c>
      <c r="J1563" s="5" t="str">
        <f t="shared" si="48"/>
        <v>AI provisional</v>
      </c>
      <c r="K1563" s="5" t="str">
        <f t="shared" si="49"/>
        <v>U</v>
      </c>
      <c r="L1563" s="5" t="s">
        <v>1190</v>
      </c>
      <c r="M1563" s="5" t="s">
        <v>6128</v>
      </c>
      <c r="N1563" s="5" t="s">
        <v>6124</v>
      </c>
      <c r="O1563" s="5" t="s">
        <v>2874</v>
      </c>
      <c r="P1563" s="5" t="s">
        <v>2858</v>
      </c>
      <c r="Q1563" s="11">
        <v>46306.5</v>
      </c>
      <c r="R1563" s="6"/>
      <c r="S1563" s="6"/>
      <c r="T1563" s="6"/>
      <c r="U1563" s="5">
        <f>MATCH(B1563,Manual_Review!$A$6:$A$238,0)</f>
        <v>98</v>
      </c>
      <c r="V1563" s="5" t="str">
        <f>IF(INDEX(Manual_Review!$G$6:$G$238,U1563)="","",INDEX(Manual_Review!$G$6:$G$238,U1563))</f>
        <v/>
      </c>
      <c r="W1563" s="11" t="str">
        <f>IF(INDEX(Manual_Review!$H$6:$H$238,U1563)="","",INDEX(Manual_Review!$H$6:$H$238,U1563))</f>
        <v/>
      </c>
      <c r="X1563" s="5" t="str">
        <f>IF(INDEX(Manual_Review!$I$6:$I$238,U1563)="","",INDEX(Manual_Review!$I$6:$I$238,U1563))</f>
        <v/>
      </c>
      <c r="Y1563" s="5" t="s">
        <v>2859</v>
      </c>
    </row>
    <row r="1564" spans="1:25" ht="38.25">
      <c r="A1564" s="5" t="s">
        <v>6134</v>
      </c>
      <c r="B1564" s="5" t="s">
        <v>1184</v>
      </c>
      <c r="C1564" s="5" t="s">
        <v>1185</v>
      </c>
      <c r="D1564" s="5" t="s">
        <v>118</v>
      </c>
      <c r="E1564" s="5" t="s">
        <v>2787</v>
      </c>
      <c r="F1564" s="5" t="s">
        <v>2758</v>
      </c>
      <c r="G1564" s="5">
        <v>1</v>
      </c>
      <c r="H1564" s="5" t="s">
        <v>2864</v>
      </c>
      <c r="I1564" s="5" t="str">
        <f>IF(INDEX(Manual_Review!$Q$6:$Q$238,U1564)="","",INDEX(Manual_Review!$Q$6:$Q$238,U1564))</f>
        <v/>
      </c>
      <c r="J1564" s="5" t="str">
        <f t="shared" si="48"/>
        <v>AI provisional</v>
      </c>
      <c r="K1564" s="5" t="str">
        <f t="shared" si="49"/>
        <v>U</v>
      </c>
      <c r="L1564" s="5" t="s">
        <v>1190</v>
      </c>
      <c r="M1564" s="5" t="s">
        <v>6135</v>
      </c>
      <c r="N1564" s="5" t="s">
        <v>6124</v>
      </c>
      <c r="O1564" s="5" t="s">
        <v>2877</v>
      </c>
      <c r="P1564" s="5" t="s">
        <v>2858</v>
      </c>
      <c r="Q1564" s="11">
        <v>46306.5</v>
      </c>
      <c r="R1564" s="6"/>
      <c r="S1564" s="6"/>
      <c r="T1564" s="6"/>
      <c r="U1564" s="5">
        <f>MATCH(B1564,Manual_Review!$A$6:$A$238,0)</f>
        <v>98</v>
      </c>
      <c r="V1564" s="5" t="str">
        <f>IF(INDEX(Manual_Review!$G$6:$G$238,U1564)="","",INDEX(Manual_Review!$G$6:$G$238,U1564))</f>
        <v/>
      </c>
      <c r="W1564" s="11" t="str">
        <f>IF(INDEX(Manual_Review!$H$6:$H$238,U1564)="","",INDEX(Manual_Review!$H$6:$H$238,U1564))</f>
        <v/>
      </c>
      <c r="X1564" s="5" t="str">
        <f>IF(INDEX(Manual_Review!$I$6:$I$238,U1564)="","",INDEX(Manual_Review!$I$6:$I$238,U1564))</f>
        <v/>
      </c>
      <c r="Y1564" s="5" t="s">
        <v>2859</v>
      </c>
    </row>
    <row r="1565" spans="1:25" ht="38.25">
      <c r="A1565" s="5" t="s">
        <v>6136</v>
      </c>
      <c r="B1565" s="5" t="s">
        <v>1184</v>
      </c>
      <c r="C1565" s="5" t="s">
        <v>1185</v>
      </c>
      <c r="D1565" s="5" t="s">
        <v>118</v>
      </c>
      <c r="E1565" s="5" t="s">
        <v>2788</v>
      </c>
      <c r="F1565" s="5" t="s">
        <v>2758</v>
      </c>
      <c r="G1565" s="5">
        <v>1</v>
      </c>
      <c r="H1565" s="5" t="s">
        <v>2864</v>
      </c>
      <c r="I1565" s="5" t="str">
        <f>IF(INDEX(Manual_Review!$R$6:$R$238,U1565)="","",INDEX(Manual_Review!$R$6:$R$238,U1565))</f>
        <v/>
      </c>
      <c r="J1565" s="5" t="str">
        <f t="shared" si="48"/>
        <v>AI provisional</v>
      </c>
      <c r="K1565" s="5" t="str">
        <f t="shared" si="49"/>
        <v>U</v>
      </c>
      <c r="L1565" s="5" t="s">
        <v>1190</v>
      </c>
      <c r="M1565" s="5" t="s">
        <v>6137</v>
      </c>
      <c r="N1565" s="5" t="s">
        <v>6124</v>
      </c>
      <c r="O1565" s="5" t="s">
        <v>2880</v>
      </c>
      <c r="P1565" s="5" t="s">
        <v>2858</v>
      </c>
      <c r="Q1565" s="11">
        <v>46306.5</v>
      </c>
      <c r="R1565" s="6"/>
      <c r="S1565" s="6"/>
      <c r="T1565" s="6"/>
      <c r="U1565" s="5">
        <f>MATCH(B1565,Manual_Review!$A$6:$A$238,0)</f>
        <v>98</v>
      </c>
      <c r="V1565" s="5" t="str">
        <f>IF(INDEX(Manual_Review!$G$6:$G$238,U1565)="","",INDEX(Manual_Review!$G$6:$G$238,U1565))</f>
        <v/>
      </c>
      <c r="W1565" s="11" t="str">
        <f>IF(INDEX(Manual_Review!$H$6:$H$238,U1565)="","",INDEX(Manual_Review!$H$6:$H$238,U1565))</f>
        <v/>
      </c>
      <c r="X1565" s="5" t="str">
        <f>IF(INDEX(Manual_Review!$I$6:$I$238,U1565)="","",INDEX(Manual_Review!$I$6:$I$238,U1565))</f>
        <v/>
      </c>
      <c r="Y1565" s="5" t="s">
        <v>2859</v>
      </c>
    </row>
    <row r="1566" spans="1:25" ht="38.25">
      <c r="A1566" s="5" t="s">
        <v>6138</v>
      </c>
      <c r="B1566" s="5" t="s">
        <v>1184</v>
      </c>
      <c r="C1566" s="5" t="s">
        <v>1185</v>
      </c>
      <c r="D1566" s="5" t="s">
        <v>118</v>
      </c>
      <c r="E1566" s="5" t="s">
        <v>2789</v>
      </c>
      <c r="F1566" s="5" t="s">
        <v>2758</v>
      </c>
      <c r="G1566" s="5">
        <v>1</v>
      </c>
      <c r="H1566" s="5" t="s">
        <v>2864</v>
      </c>
      <c r="I1566" s="5" t="str">
        <f>IF(INDEX(Manual_Review!$S$6:$S$238,U1566)="","",INDEX(Manual_Review!$S$6:$S$238,U1566))</f>
        <v/>
      </c>
      <c r="J1566" s="5" t="str">
        <f t="shared" si="48"/>
        <v>AI provisional</v>
      </c>
      <c r="K1566" s="5" t="str">
        <f t="shared" si="49"/>
        <v>U</v>
      </c>
      <c r="L1566" s="5" t="s">
        <v>1190</v>
      </c>
      <c r="M1566" s="5" t="s">
        <v>6139</v>
      </c>
      <c r="N1566" s="5" t="s">
        <v>6124</v>
      </c>
      <c r="O1566" s="5" t="s">
        <v>2883</v>
      </c>
      <c r="P1566" s="5" t="s">
        <v>2858</v>
      </c>
      <c r="Q1566" s="11">
        <v>46306.5</v>
      </c>
      <c r="R1566" s="6"/>
      <c r="S1566" s="6"/>
      <c r="T1566" s="6"/>
      <c r="U1566" s="5">
        <f>MATCH(B1566,Manual_Review!$A$6:$A$238,0)</f>
        <v>98</v>
      </c>
      <c r="V1566" s="5" t="str">
        <f>IF(INDEX(Manual_Review!$G$6:$G$238,U1566)="","",INDEX(Manual_Review!$G$6:$G$238,U1566))</f>
        <v/>
      </c>
      <c r="W1566" s="11" t="str">
        <f>IF(INDEX(Manual_Review!$H$6:$H$238,U1566)="","",INDEX(Manual_Review!$H$6:$H$238,U1566))</f>
        <v/>
      </c>
      <c r="X1566" s="5" t="str">
        <f>IF(INDEX(Manual_Review!$I$6:$I$238,U1566)="","",INDEX(Manual_Review!$I$6:$I$238,U1566))</f>
        <v/>
      </c>
      <c r="Y1566" s="5" t="s">
        <v>2859</v>
      </c>
    </row>
    <row r="1567" spans="1:25" ht="38.25">
      <c r="A1567" s="5" t="s">
        <v>6140</v>
      </c>
      <c r="B1567" s="5" t="s">
        <v>1184</v>
      </c>
      <c r="C1567" s="5" t="s">
        <v>1185</v>
      </c>
      <c r="D1567" s="5" t="s">
        <v>118</v>
      </c>
      <c r="E1567" s="5" t="s">
        <v>2790</v>
      </c>
      <c r="F1567" s="5" t="s">
        <v>2760</v>
      </c>
      <c r="G1567" s="5">
        <v>1</v>
      </c>
      <c r="H1567" s="5" t="s">
        <v>2864</v>
      </c>
      <c r="I1567" s="5" t="str">
        <f>IF(INDEX(Manual_Review!$T$6:$T$238,U1567)="","",INDEX(Manual_Review!$T$6:$T$238,U1567))</f>
        <v/>
      </c>
      <c r="J1567" s="5" t="str">
        <f t="shared" si="48"/>
        <v>AI provisional</v>
      </c>
      <c r="K1567" s="5" t="str">
        <f t="shared" si="49"/>
        <v>U</v>
      </c>
      <c r="L1567" s="5" t="s">
        <v>1190</v>
      </c>
      <c r="M1567" s="5" t="s">
        <v>6128</v>
      </c>
      <c r="N1567" s="5" t="s">
        <v>6124</v>
      </c>
      <c r="O1567" s="5" t="s">
        <v>2885</v>
      </c>
      <c r="P1567" s="5" t="s">
        <v>2858</v>
      </c>
      <c r="Q1567" s="11">
        <v>46306.5</v>
      </c>
      <c r="R1567" s="6"/>
      <c r="S1567" s="6"/>
      <c r="T1567" s="6"/>
      <c r="U1567" s="5">
        <f>MATCH(B1567,Manual_Review!$A$6:$A$238,0)</f>
        <v>98</v>
      </c>
      <c r="V1567" s="5" t="str">
        <f>IF(INDEX(Manual_Review!$G$6:$G$238,U1567)="","",INDEX(Manual_Review!$G$6:$G$238,U1567))</f>
        <v/>
      </c>
      <c r="W1567" s="11" t="str">
        <f>IF(INDEX(Manual_Review!$H$6:$H$238,U1567)="","",INDEX(Manual_Review!$H$6:$H$238,U1567))</f>
        <v/>
      </c>
      <c r="X1567" s="5" t="str">
        <f>IF(INDEX(Manual_Review!$I$6:$I$238,U1567)="","",INDEX(Manual_Review!$I$6:$I$238,U1567))</f>
        <v/>
      </c>
      <c r="Y1567" s="5" t="s">
        <v>2859</v>
      </c>
    </row>
    <row r="1568" spans="1:25" ht="38.25">
      <c r="A1568" s="5" t="s">
        <v>6141</v>
      </c>
      <c r="B1568" s="5" t="s">
        <v>1184</v>
      </c>
      <c r="C1568" s="5" t="s">
        <v>1185</v>
      </c>
      <c r="D1568" s="5" t="s">
        <v>118</v>
      </c>
      <c r="E1568" s="5" t="s">
        <v>2791</v>
      </c>
      <c r="F1568" s="5" t="s">
        <v>2760</v>
      </c>
      <c r="G1568" s="5">
        <v>1</v>
      </c>
      <c r="H1568" s="5" t="s">
        <v>2864</v>
      </c>
      <c r="I1568" s="5" t="str">
        <f>IF(INDEX(Manual_Review!$U$6:$U$238,U1568)="","",INDEX(Manual_Review!$U$6:$U$238,U1568))</f>
        <v/>
      </c>
      <c r="J1568" s="5" t="str">
        <f t="shared" si="48"/>
        <v>AI provisional</v>
      </c>
      <c r="K1568" s="5" t="str">
        <f t="shared" si="49"/>
        <v>U</v>
      </c>
      <c r="L1568" s="5" t="s">
        <v>1190</v>
      </c>
      <c r="M1568" s="5" t="s">
        <v>6142</v>
      </c>
      <c r="N1568" s="5" t="s">
        <v>6124</v>
      </c>
      <c r="O1568" s="5" t="s">
        <v>2888</v>
      </c>
      <c r="P1568" s="5" t="s">
        <v>2858</v>
      </c>
      <c r="Q1568" s="11">
        <v>46306.5</v>
      </c>
      <c r="R1568" s="6"/>
      <c r="S1568" s="6"/>
      <c r="T1568" s="6"/>
      <c r="U1568" s="5">
        <f>MATCH(B1568,Manual_Review!$A$6:$A$238,0)</f>
        <v>98</v>
      </c>
      <c r="V1568" s="5" t="str">
        <f>IF(INDEX(Manual_Review!$G$6:$G$238,U1568)="","",INDEX(Manual_Review!$G$6:$G$238,U1568))</f>
        <v/>
      </c>
      <c r="W1568" s="11" t="str">
        <f>IF(INDEX(Manual_Review!$H$6:$H$238,U1568)="","",INDEX(Manual_Review!$H$6:$H$238,U1568))</f>
        <v/>
      </c>
      <c r="X1568" s="5" t="str">
        <f>IF(INDEX(Manual_Review!$I$6:$I$238,U1568)="","",INDEX(Manual_Review!$I$6:$I$238,U1568))</f>
        <v/>
      </c>
      <c r="Y1568" s="5" t="s">
        <v>2859</v>
      </c>
    </row>
    <row r="1569" spans="1:25" ht="38.25">
      <c r="A1569" s="5" t="s">
        <v>6143</v>
      </c>
      <c r="B1569" s="5" t="s">
        <v>1184</v>
      </c>
      <c r="C1569" s="5" t="s">
        <v>1185</v>
      </c>
      <c r="D1569" s="5" t="s">
        <v>118</v>
      </c>
      <c r="E1569" s="5" t="s">
        <v>2792</v>
      </c>
      <c r="F1569" s="5" t="s">
        <v>2762</v>
      </c>
      <c r="G1569" s="5">
        <v>1</v>
      </c>
      <c r="H1569" s="5" t="s">
        <v>2864</v>
      </c>
      <c r="I1569" s="5" t="str">
        <f>IF(INDEX(Manual_Review!$V$6:$V$238,U1569)="","",INDEX(Manual_Review!$V$6:$V$238,U1569))</f>
        <v/>
      </c>
      <c r="J1569" s="5" t="str">
        <f t="shared" si="48"/>
        <v>AI provisional</v>
      </c>
      <c r="K1569" s="5" t="str">
        <f t="shared" si="49"/>
        <v>U</v>
      </c>
      <c r="L1569" s="5" t="s">
        <v>1190</v>
      </c>
      <c r="M1569" s="5" t="s">
        <v>6128</v>
      </c>
      <c r="N1569" s="5" t="s">
        <v>6124</v>
      </c>
      <c r="O1569" s="5" t="s">
        <v>2891</v>
      </c>
      <c r="P1569" s="5" t="s">
        <v>2858</v>
      </c>
      <c r="Q1569" s="11">
        <v>46306.5</v>
      </c>
      <c r="R1569" s="6"/>
      <c r="S1569" s="6"/>
      <c r="T1569" s="6"/>
      <c r="U1569" s="5">
        <f>MATCH(B1569,Manual_Review!$A$6:$A$238,0)</f>
        <v>98</v>
      </c>
      <c r="V1569" s="5" t="str">
        <f>IF(INDEX(Manual_Review!$G$6:$G$238,U1569)="","",INDEX(Manual_Review!$G$6:$G$238,U1569))</f>
        <v/>
      </c>
      <c r="W1569" s="11" t="str">
        <f>IF(INDEX(Manual_Review!$H$6:$H$238,U1569)="","",INDEX(Manual_Review!$H$6:$H$238,U1569))</f>
        <v/>
      </c>
      <c r="X1569" s="5" t="str">
        <f>IF(INDEX(Manual_Review!$I$6:$I$238,U1569)="","",INDEX(Manual_Review!$I$6:$I$238,U1569))</f>
        <v/>
      </c>
      <c r="Y1569" s="5" t="s">
        <v>2859</v>
      </c>
    </row>
    <row r="1570" spans="1:25" ht="38.25">
      <c r="A1570" s="5" t="s">
        <v>6144</v>
      </c>
      <c r="B1570" s="5" t="s">
        <v>1184</v>
      </c>
      <c r="C1570" s="5" t="s">
        <v>1185</v>
      </c>
      <c r="D1570" s="5" t="s">
        <v>118</v>
      </c>
      <c r="E1570" s="5" t="s">
        <v>2793</v>
      </c>
      <c r="F1570" s="5" t="s">
        <v>2762</v>
      </c>
      <c r="G1570" s="5">
        <v>1</v>
      </c>
      <c r="H1570" s="5" t="s">
        <v>2864</v>
      </c>
      <c r="I1570" s="5" t="str">
        <f>IF(INDEX(Manual_Review!$W$6:$W$238,U1570)="","",INDEX(Manual_Review!$W$6:$W$238,U1570))</f>
        <v/>
      </c>
      <c r="J1570" s="5" t="str">
        <f t="shared" si="48"/>
        <v>AI provisional</v>
      </c>
      <c r="K1570" s="5" t="str">
        <f t="shared" si="49"/>
        <v>U</v>
      </c>
      <c r="L1570" s="5" t="s">
        <v>1190</v>
      </c>
      <c r="M1570" s="5" t="s">
        <v>6128</v>
      </c>
      <c r="N1570" s="5" t="s">
        <v>6124</v>
      </c>
      <c r="O1570" s="5" t="s">
        <v>2893</v>
      </c>
      <c r="P1570" s="5" t="s">
        <v>2858</v>
      </c>
      <c r="Q1570" s="11">
        <v>46306.5</v>
      </c>
      <c r="R1570" s="6"/>
      <c r="S1570" s="6"/>
      <c r="T1570" s="6"/>
      <c r="U1570" s="5">
        <f>MATCH(B1570,Manual_Review!$A$6:$A$238,0)</f>
        <v>98</v>
      </c>
      <c r="V1570" s="5" t="str">
        <f>IF(INDEX(Manual_Review!$G$6:$G$238,U1570)="","",INDEX(Manual_Review!$G$6:$G$238,U1570))</f>
        <v/>
      </c>
      <c r="W1570" s="11" t="str">
        <f>IF(INDEX(Manual_Review!$H$6:$H$238,U1570)="","",INDEX(Manual_Review!$H$6:$H$238,U1570))</f>
        <v/>
      </c>
      <c r="X1570" s="5" t="str">
        <f>IF(INDEX(Manual_Review!$I$6:$I$238,U1570)="","",INDEX(Manual_Review!$I$6:$I$238,U1570))</f>
        <v/>
      </c>
      <c r="Y1570" s="5" t="s">
        <v>2859</v>
      </c>
    </row>
    <row r="1571" spans="1:25" ht="38.25">
      <c r="A1571" s="5" t="s">
        <v>6145</v>
      </c>
      <c r="B1571" s="5" t="s">
        <v>1184</v>
      </c>
      <c r="C1571" s="5" t="s">
        <v>1185</v>
      </c>
      <c r="D1571" s="5" t="s">
        <v>118</v>
      </c>
      <c r="E1571" s="5" t="s">
        <v>2794</v>
      </c>
      <c r="F1571" s="5" t="s">
        <v>2764</v>
      </c>
      <c r="G1571" s="5">
        <v>1</v>
      </c>
      <c r="H1571" s="5" t="s">
        <v>2864</v>
      </c>
      <c r="I1571" s="5" t="str">
        <f>IF(INDEX(Manual_Review!$X$6:$X$238,U1571)="","",INDEX(Manual_Review!$X$6:$X$238,U1571))</f>
        <v/>
      </c>
      <c r="J1571" s="5" t="str">
        <f t="shared" si="48"/>
        <v>AI provisional</v>
      </c>
      <c r="K1571" s="5" t="str">
        <f t="shared" si="49"/>
        <v>U</v>
      </c>
      <c r="L1571" s="5" t="s">
        <v>1190</v>
      </c>
      <c r="M1571" s="5" t="s">
        <v>6128</v>
      </c>
      <c r="N1571" s="5" t="s">
        <v>6124</v>
      </c>
      <c r="O1571" s="5" t="s">
        <v>2895</v>
      </c>
      <c r="P1571" s="5" t="s">
        <v>2858</v>
      </c>
      <c r="Q1571" s="11">
        <v>46306.5</v>
      </c>
      <c r="R1571" s="6"/>
      <c r="S1571" s="6"/>
      <c r="T1571" s="6"/>
      <c r="U1571" s="5">
        <f>MATCH(B1571,Manual_Review!$A$6:$A$238,0)</f>
        <v>98</v>
      </c>
      <c r="V1571" s="5" t="str">
        <f>IF(INDEX(Manual_Review!$G$6:$G$238,U1571)="","",INDEX(Manual_Review!$G$6:$G$238,U1571))</f>
        <v/>
      </c>
      <c r="W1571" s="11" t="str">
        <f>IF(INDEX(Manual_Review!$H$6:$H$238,U1571)="","",INDEX(Manual_Review!$H$6:$H$238,U1571))</f>
        <v/>
      </c>
      <c r="X1571" s="5" t="str">
        <f>IF(INDEX(Manual_Review!$I$6:$I$238,U1571)="","",INDEX(Manual_Review!$I$6:$I$238,U1571))</f>
        <v/>
      </c>
      <c r="Y1571" s="5" t="s">
        <v>2859</v>
      </c>
    </row>
    <row r="1572" spans="1:25" ht="38.25">
      <c r="A1572" s="5" t="s">
        <v>6146</v>
      </c>
      <c r="B1572" s="5" t="s">
        <v>1184</v>
      </c>
      <c r="C1572" s="5" t="s">
        <v>1185</v>
      </c>
      <c r="D1572" s="5" t="s">
        <v>118</v>
      </c>
      <c r="E1572" s="5" t="s">
        <v>2795</v>
      </c>
      <c r="F1572" s="5" t="s">
        <v>2764</v>
      </c>
      <c r="G1572" s="5">
        <v>1</v>
      </c>
      <c r="H1572" s="5" t="s">
        <v>2864</v>
      </c>
      <c r="I1572" s="5" t="str">
        <f>IF(INDEX(Manual_Review!$Y$6:$Y$238,U1572)="","",INDEX(Manual_Review!$Y$6:$Y$238,U1572))</f>
        <v/>
      </c>
      <c r="J1572" s="5" t="str">
        <f t="shared" si="48"/>
        <v>AI provisional</v>
      </c>
      <c r="K1572" s="5" t="str">
        <f t="shared" si="49"/>
        <v>U</v>
      </c>
      <c r="L1572" s="5" t="s">
        <v>1190</v>
      </c>
      <c r="M1572" s="5" t="s">
        <v>6128</v>
      </c>
      <c r="N1572" s="5" t="s">
        <v>6124</v>
      </c>
      <c r="O1572" s="5" t="s">
        <v>2897</v>
      </c>
      <c r="P1572" s="5" t="s">
        <v>2858</v>
      </c>
      <c r="Q1572" s="11">
        <v>46306.5</v>
      </c>
      <c r="R1572" s="6"/>
      <c r="S1572" s="6"/>
      <c r="T1572" s="6"/>
      <c r="U1572" s="5">
        <f>MATCH(B1572,Manual_Review!$A$6:$A$238,0)</f>
        <v>98</v>
      </c>
      <c r="V1572" s="5" t="str">
        <f>IF(INDEX(Manual_Review!$G$6:$G$238,U1572)="","",INDEX(Manual_Review!$G$6:$G$238,U1572))</f>
        <v/>
      </c>
      <c r="W1572" s="11" t="str">
        <f>IF(INDEX(Manual_Review!$H$6:$H$238,U1572)="","",INDEX(Manual_Review!$H$6:$H$238,U1572))</f>
        <v/>
      </c>
      <c r="X1572" s="5" t="str">
        <f>IF(INDEX(Manual_Review!$I$6:$I$238,U1572)="","",INDEX(Manual_Review!$I$6:$I$238,U1572))</f>
        <v/>
      </c>
      <c r="Y1572" s="5" t="s">
        <v>2859</v>
      </c>
    </row>
    <row r="1573" spans="1:25" ht="38.25">
      <c r="A1573" s="5" t="s">
        <v>6147</v>
      </c>
      <c r="B1573" s="5" t="s">
        <v>1184</v>
      </c>
      <c r="C1573" s="5" t="s">
        <v>1185</v>
      </c>
      <c r="D1573" s="5" t="s">
        <v>118</v>
      </c>
      <c r="E1573" s="5" t="s">
        <v>2796</v>
      </c>
      <c r="F1573" s="5" t="s">
        <v>2764</v>
      </c>
      <c r="G1573" s="5">
        <v>1</v>
      </c>
      <c r="H1573" s="5" t="s">
        <v>2864</v>
      </c>
      <c r="I1573" s="5" t="str">
        <f>IF(INDEX(Manual_Review!$Z$6:$Z$238,U1573)="","",INDEX(Manual_Review!$Z$6:$Z$238,U1573))</f>
        <v/>
      </c>
      <c r="J1573" s="5" t="str">
        <f t="shared" si="48"/>
        <v>AI provisional</v>
      </c>
      <c r="K1573" s="5" t="str">
        <f t="shared" si="49"/>
        <v>U</v>
      </c>
      <c r="L1573" s="5" t="s">
        <v>1190</v>
      </c>
      <c r="M1573" s="5" t="s">
        <v>6139</v>
      </c>
      <c r="N1573" s="5" t="s">
        <v>6124</v>
      </c>
      <c r="O1573" s="5" t="s">
        <v>2899</v>
      </c>
      <c r="P1573" s="5" t="s">
        <v>2858</v>
      </c>
      <c r="Q1573" s="11">
        <v>46306.5</v>
      </c>
      <c r="R1573" s="6"/>
      <c r="S1573" s="6"/>
      <c r="T1573" s="6"/>
      <c r="U1573" s="5">
        <f>MATCH(B1573,Manual_Review!$A$6:$A$238,0)</f>
        <v>98</v>
      </c>
      <c r="V1573" s="5" t="str">
        <f>IF(INDEX(Manual_Review!$G$6:$G$238,U1573)="","",INDEX(Manual_Review!$G$6:$G$238,U1573))</f>
        <v/>
      </c>
      <c r="W1573" s="11" t="str">
        <f>IF(INDEX(Manual_Review!$H$6:$H$238,U1573)="","",INDEX(Manual_Review!$H$6:$H$238,U1573))</f>
        <v/>
      </c>
      <c r="X1573" s="5" t="str">
        <f>IF(INDEX(Manual_Review!$I$6:$I$238,U1573)="","",INDEX(Manual_Review!$I$6:$I$238,U1573))</f>
        <v/>
      </c>
      <c r="Y1573" s="5" t="s">
        <v>2859</v>
      </c>
    </row>
    <row r="1574" spans="1:25" ht="38.25">
      <c r="A1574" s="5" t="s">
        <v>6148</v>
      </c>
      <c r="B1574" s="5" t="s">
        <v>1192</v>
      </c>
      <c r="C1574" s="5" t="s">
        <v>1193</v>
      </c>
      <c r="D1574" s="5" t="s">
        <v>118</v>
      </c>
      <c r="E1574" s="5" t="s">
        <v>2781</v>
      </c>
      <c r="F1574" s="5" t="s">
        <v>2754</v>
      </c>
      <c r="G1574" s="5">
        <v>1</v>
      </c>
      <c r="H1574" s="5" t="s">
        <v>2864</v>
      </c>
      <c r="I1574" s="5" t="str">
        <f>IF(INDEX(Manual_Review!$K$6:$K$238,U1574)="","",INDEX(Manual_Review!$K$6:$K$238,U1574))</f>
        <v/>
      </c>
      <c r="J1574" s="5" t="str">
        <f t="shared" si="48"/>
        <v>AI provisional</v>
      </c>
      <c r="K1574" s="5" t="str">
        <f t="shared" si="49"/>
        <v>U</v>
      </c>
      <c r="L1574" s="5" t="s">
        <v>1202</v>
      </c>
      <c r="M1574" s="5" t="s">
        <v>6149</v>
      </c>
      <c r="N1574" s="5" t="s">
        <v>6150</v>
      </c>
      <c r="O1574" s="5" t="s">
        <v>5578</v>
      </c>
      <c r="P1574" s="5" t="s">
        <v>2858</v>
      </c>
      <c r="Q1574" s="11">
        <v>46306.5</v>
      </c>
      <c r="R1574" s="6"/>
      <c r="S1574" s="6"/>
      <c r="T1574" s="6"/>
      <c r="U1574" s="5">
        <f>MATCH(B1574,Manual_Review!$A$6:$A$238,0)</f>
        <v>99</v>
      </c>
      <c r="V1574" s="5" t="str">
        <f>IF(INDEX(Manual_Review!$G$6:$G$238,U1574)="","",INDEX(Manual_Review!$G$6:$G$238,U1574))</f>
        <v/>
      </c>
      <c r="W1574" s="11" t="str">
        <f>IF(INDEX(Manual_Review!$H$6:$H$238,U1574)="","",INDEX(Manual_Review!$H$6:$H$238,U1574))</f>
        <v/>
      </c>
      <c r="X1574" s="5" t="str">
        <f>IF(INDEX(Manual_Review!$I$6:$I$238,U1574)="","",INDEX(Manual_Review!$I$6:$I$238,U1574))</f>
        <v/>
      </c>
      <c r="Y1574" s="5" t="s">
        <v>2859</v>
      </c>
    </row>
    <row r="1575" spans="1:25" ht="38.25">
      <c r="A1575" s="5" t="s">
        <v>6151</v>
      </c>
      <c r="B1575" s="5" t="s">
        <v>1192</v>
      </c>
      <c r="C1575" s="5" t="s">
        <v>1193</v>
      </c>
      <c r="D1575" s="5" t="s">
        <v>118</v>
      </c>
      <c r="E1575" s="5" t="s">
        <v>2782</v>
      </c>
      <c r="F1575" s="5" t="s">
        <v>2754</v>
      </c>
      <c r="G1575" s="5">
        <v>1</v>
      </c>
      <c r="H1575" s="5" t="s">
        <v>2864</v>
      </c>
      <c r="I1575" s="5" t="str">
        <f>IF(INDEX(Manual_Review!$L$6:$L$238,U1575)="","",INDEX(Manual_Review!$L$6:$L$238,U1575))</f>
        <v/>
      </c>
      <c r="J1575" s="5" t="str">
        <f t="shared" si="48"/>
        <v>AI provisional</v>
      </c>
      <c r="K1575" s="5" t="str">
        <f t="shared" si="49"/>
        <v>U</v>
      </c>
      <c r="L1575" s="5" t="s">
        <v>1202</v>
      </c>
      <c r="M1575" s="5" t="s">
        <v>6152</v>
      </c>
      <c r="N1575" s="5" t="s">
        <v>6150</v>
      </c>
      <c r="O1575" s="5" t="s">
        <v>4272</v>
      </c>
      <c r="P1575" s="5" t="s">
        <v>2858</v>
      </c>
      <c r="Q1575" s="11">
        <v>46306.5</v>
      </c>
      <c r="R1575" s="6"/>
      <c r="S1575" s="6"/>
      <c r="T1575" s="6"/>
      <c r="U1575" s="5">
        <f>MATCH(B1575,Manual_Review!$A$6:$A$238,0)</f>
        <v>99</v>
      </c>
      <c r="V1575" s="5" t="str">
        <f>IF(INDEX(Manual_Review!$G$6:$G$238,U1575)="","",INDEX(Manual_Review!$G$6:$G$238,U1575))</f>
        <v/>
      </c>
      <c r="W1575" s="11" t="str">
        <f>IF(INDEX(Manual_Review!$H$6:$H$238,U1575)="","",INDEX(Manual_Review!$H$6:$H$238,U1575))</f>
        <v/>
      </c>
      <c r="X1575" s="5" t="str">
        <f>IF(INDEX(Manual_Review!$I$6:$I$238,U1575)="","",INDEX(Manual_Review!$I$6:$I$238,U1575))</f>
        <v/>
      </c>
      <c r="Y1575" s="5" t="s">
        <v>2859</v>
      </c>
    </row>
    <row r="1576" spans="1:25" ht="38.25">
      <c r="A1576" s="5" t="s">
        <v>6153</v>
      </c>
      <c r="B1576" s="5" t="s">
        <v>1192</v>
      </c>
      <c r="C1576" s="5" t="s">
        <v>1193</v>
      </c>
      <c r="D1576" s="5" t="s">
        <v>118</v>
      </c>
      <c r="E1576" s="5" t="s">
        <v>2783</v>
      </c>
      <c r="F1576" s="5" t="s">
        <v>2754</v>
      </c>
      <c r="G1576" s="5">
        <v>1</v>
      </c>
      <c r="H1576" s="5" t="s">
        <v>2854</v>
      </c>
      <c r="I1576" s="5" t="str">
        <f>IF(INDEX(Manual_Review!$M$6:$M$238,U1576)="","",INDEX(Manual_Review!$M$6:$M$238,U1576))</f>
        <v/>
      </c>
      <c r="J1576" s="5" t="str">
        <f t="shared" si="48"/>
        <v>AI provisional</v>
      </c>
      <c r="K1576" s="5" t="str">
        <f t="shared" si="49"/>
        <v>Y</v>
      </c>
      <c r="L1576" s="5" t="s">
        <v>1202</v>
      </c>
      <c r="M1576" s="5" t="s">
        <v>6154</v>
      </c>
      <c r="N1576" s="5" t="s">
        <v>6150</v>
      </c>
      <c r="O1576" s="5" t="s">
        <v>3133</v>
      </c>
      <c r="P1576" s="5" t="s">
        <v>2858</v>
      </c>
      <c r="Q1576" s="11">
        <v>46306.5</v>
      </c>
      <c r="R1576" s="6"/>
      <c r="S1576" s="6"/>
      <c r="T1576" s="6"/>
      <c r="U1576" s="5">
        <f>MATCH(B1576,Manual_Review!$A$6:$A$238,0)</f>
        <v>99</v>
      </c>
      <c r="V1576" s="5" t="str">
        <f>IF(INDEX(Manual_Review!$G$6:$G$238,U1576)="","",INDEX(Manual_Review!$G$6:$G$238,U1576))</f>
        <v/>
      </c>
      <c r="W1576" s="11" t="str">
        <f>IF(INDEX(Manual_Review!$H$6:$H$238,U1576)="","",INDEX(Manual_Review!$H$6:$H$238,U1576))</f>
        <v/>
      </c>
      <c r="X1576" s="5" t="str">
        <f>IF(INDEX(Manual_Review!$I$6:$I$238,U1576)="","",INDEX(Manual_Review!$I$6:$I$238,U1576))</f>
        <v/>
      </c>
      <c r="Y1576" s="5" t="s">
        <v>2859</v>
      </c>
    </row>
    <row r="1577" spans="1:25" ht="38.25">
      <c r="A1577" s="5" t="s">
        <v>6155</v>
      </c>
      <c r="B1577" s="5" t="s">
        <v>1192</v>
      </c>
      <c r="C1577" s="5" t="s">
        <v>1193</v>
      </c>
      <c r="D1577" s="5" t="s">
        <v>118</v>
      </c>
      <c r="E1577" s="5" t="s">
        <v>2784</v>
      </c>
      <c r="F1577" s="5" t="s">
        <v>2756</v>
      </c>
      <c r="G1577" s="5">
        <v>1</v>
      </c>
      <c r="H1577" s="5" t="s">
        <v>2854</v>
      </c>
      <c r="I1577" s="5" t="str">
        <f>IF(INDEX(Manual_Review!$N$6:$N$238,U1577)="","",INDEX(Manual_Review!$N$6:$N$238,U1577))</f>
        <v/>
      </c>
      <c r="J1577" s="5" t="str">
        <f t="shared" si="48"/>
        <v>AI provisional</v>
      </c>
      <c r="K1577" s="5" t="str">
        <f t="shared" si="49"/>
        <v>Y</v>
      </c>
      <c r="L1577" s="5" t="s">
        <v>1202</v>
      </c>
      <c r="M1577" s="5" t="s">
        <v>6156</v>
      </c>
      <c r="N1577" s="5" t="s">
        <v>6150</v>
      </c>
      <c r="O1577" s="5" t="s">
        <v>2963</v>
      </c>
      <c r="P1577" s="5" t="s">
        <v>2858</v>
      </c>
      <c r="Q1577" s="11">
        <v>46306.5</v>
      </c>
      <c r="R1577" s="6"/>
      <c r="S1577" s="6"/>
      <c r="T1577" s="6"/>
      <c r="U1577" s="5">
        <f>MATCH(B1577,Manual_Review!$A$6:$A$238,0)</f>
        <v>99</v>
      </c>
      <c r="V1577" s="5" t="str">
        <f>IF(INDEX(Manual_Review!$G$6:$G$238,U1577)="","",INDEX(Manual_Review!$G$6:$G$238,U1577))</f>
        <v/>
      </c>
      <c r="W1577" s="11" t="str">
        <f>IF(INDEX(Manual_Review!$H$6:$H$238,U1577)="","",INDEX(Manual_Review!$H$6:$H$238,U1577))</f>
        <v/>
      </c>
      <c r="X1577" s="5" t="str">
        <f>IF(INDEX(Manual_Review!$I$6:$I$238,U1577)="","",INDEX(Manual_Review!$I$6:$I$238,U1577))</f>
        <v/>
      </c>
      <c r="Y1577" s="5" t="s">
        <v>2859</v>
      </c>
    </row>
    <row r="1578" spans="1:25" ht="38.25">
      <c r="A1578" s="5" t="s">
        <v>6157</v>
      </c>
      <c r="B1578" s="5" t="s">
        <v>1192</v>
      </c>
      <c r="C1578" s="5" t="s">
        <v>1193</v>
      </c>
      <c r="D1578" s="5" t="s">
        <v>118</v>
      </c>
      <c r="E1578" s="5" t="s">
        <v>2785</v>
      </c>
      <c r="F1578" s="5" t="s">
        <v>2756</v>
      </c>
      <c r="G1578" s="5">
        <v>1</v>
      </c>
      <c r="H1578" s="5" t="s">
        <v>2854</v>
      </c>
      <c r="I1578" s="5" t="str">
        <f>IF(INDEX(Manual_Review!$O$6:$O$238,U1578)="","",INDEX(Manual_Review!$O$6:$O$238,U1578))</f>
        <v/>
      </c>
      <c r="J1578" s="5" t="str">
        <f t="shared" si="48"/>
        <v>AI provisional</v>
      </c>
      <c r="K1578" s="5" t="str">
        <f t="shared" si="49"/>
        <v>Y</v>
      </c>
      <c r="L1578" s="5" t="s">
        <v>1202</v>
      </c>
      <c r="M1578" s="5" t="s">
        <v>6158</v>
      </c>
      <c r="N1578" s="5" t="s">
        <v>6150</v>
      </c>
      <c r="O1578" s="5" t="s">
        <v>3138</v>
      </c>
      <c r="P1578" s="5" t="s">
        <v>2858</v>
      </c>
      <c r="Q1578" s="11">
        <v>46306.5</v>
      </c>
      <c r="R1578" s="6"/>
      <c r="S1578" s="6"/>
      <c r="T1578" s="6"/>
      <c r="U1578" s="5">
        <f>MATCH(B1578,Manual_Review!$A$6:$A$238,0)</f>
        <v>99</v>
      </c>
      <c r="V1578" s="5" t="str">
        <f>IF(INDEX(Manual_Review!$G$6:$G$238,U1578)="","",INDEX(Manual_Review!$G$6:$G$238,U1578))</f>
        <v/>
      </c>
      <c r="W1578" s="11" t="str">
        <f>IF(INDEX(Manual_Review!$H$6:$H$238,U1578)="","",INDEX(Manual_Review!$H$6:$H$238,U1578))</f>
        <v/>
      </c>
      <c r="X1578" s="5" t="str">
        <f>IF(INDEX(Manual_Review!$I$6:$I$238,U1578)="","",INDEX(Manual_Review!$I$6:$I$238,U1578))</f>
        <v/>
      </c>
      <c r="Y1578" s="5" t="s">
        <v>2859</v>
      </c>
    </row>
    <row r="1579" spans="1:25" ht="38.25">
      <c r="A1579" s="5" t="s">
        <v>6159</v>
      </c>
      <c r="B1579" s="5" t="s">
        <v>1192</v>
      </c>
      <c r="C1579" s="5" t="s">
        <v>1193</v>
      </c>
      <c r="D1579" s="5" t="s">
        <v>118</v>
      </c>
      <c r="E1579" s="5" t="s">
        <v>2786</v>
      </c>
      <c r="F1579" s="5" t="s">
        <v>2756</v>
      </c>
      <c r="G1579" s="5">
        <v>1</v>
      </c>
      <c r="H1579" s="5" t="s">
        <v>2864</v>
      </c>
      <c r="I1579" s="5" t="str">
        <f>IF(INDEX(Manual_Review!$P$6:$P$238,U1579)="","",INDEX(Manual_Review!$P$6:$P$238,U1579))</f>
        <v/>
      </c>
      <c r="J1579" s="5" t="str">
        <f t="shared" si="48"/>
        <v>AI provisional</v>
      </c>
      <c r="K1579" s="5" t="str">
        <f t="shared" si="49"/>
        <v>U</v>
      </c>
      <c r="L1579" s="5" t="s">
        <v>1202</v>
      </c>
      <c r="M1579" s="5" t="s">
        <v>6160</v>
      </c>
      <c r="N1579" s="5" t="s">
        <v>6150</v>
      </c>
      <c r="O1579" s="5" t="s">
        <v>2874</v>
      </c>
      <c r="P1579" s="5" t="s">
        <v>2858</v>
      </c>
      <c r="Q1579" s="11">
        <v>46306.5</v>
      </c>
      <c r="R1579" s="6"/>
      <c r="S1579" s="6"/>
      <c r="T1579" s="6"/>
      <c r="U1579" s="5">
        <f>MATCH(B1579,Manual_Review!$A$6:$A$238,0)</f>
        <v>99</v>
      </c>
      <c r="V1579" s="5" t="str">
        <f>IF(INDEX(Manual_Review!$G$6:$G$238,U1579)="","",INDEX(Manual_Review!$G$6:$G$238,U1579))</f>
        <v/>
      </c>
      <c r="W1579" s="11" t="str">
        <f>IF(INDEX(Manual_Review!$H$6:$H$238,U1579)="","",INDEX(Manual_Review!$H$6:$H$238,U1579))</f>
        <v/>
      </c>
      <c r="X1579" s="5" t="str">
        <f>IF(INDEX(Manual_Review!$I$6:$I$238,U1579)="","",INDEX(Manual_Review!$I$6:$I$238,U1579))</f>
        <v/>
      </c>
      <c r="Y1579" s="5" t="s">
        <v>2859</v>
      </c>
    </row>
    <row r="1580" spans="1:25" ht="38.25">
      <c r="A1580" s="5" t="s">
        <v>6161</v>
      </c>
      <c r="B1580" s="5" t="s">
        <v>1192</v>
      </c>
      <c r="C1580" s="5" t="s">
        <v>1193</v>
      </c>
      <c r="D1580" s="5" t="s">
        <v>118</v>
      </c>
      <c r="E1580" s="5" t="s">
        <v>2787</v>
      </c>
      <c r="F1580" s="5" t="s">
        <v>2758</v>
      </c>
      <c r="G1580" s="5">
        <v>1</v>
      </c>
      <c r="H1580" s="5" t="s">
        <v>2864</v>
      </c>
      <c r="I1580" s="5" t="str">
        <f>IF(INDEX(Manual_Review!$Q$6:$Q$238,U1580)="","",INDEX(Manual_Review!$Q$6:$Q$238,U1580))</f>
        <v/>
      </c>
      <c r="J1580" s="5" t="str">
        <f t="shared" si="48"/>
        <v>AI provisional</v>
      </c>
      <c r="K1580" s="5" t="str">
        <f t="shared" si="49"/>
        <v>U</v>
      </c>
      <c r="L1580" s="5" t="s">
        <v>1202</v>
      </c>
      <c r="M1580" s="5" t="s">
        <v>6162</v>
      </c>
      <c r="N1580" s="5" t="s">
        <v>6150</v>
      </c>
      <c r="O1580" s="5" t="s">
        <v>2877</v>
      </c>
      <c r="P1580" s="5" t="s">
        <v>2858</v>
      </c>
      <c r="Q1580" s="11">
        <v>46306.5</v>
      </c>
      <c r="R1580" s="6"/>
      <c r="S1580" s="6"/>
      <c r="T1580" s="6"/>
      <c r="U1580" s="5">
        <f>MATCH(B1580,Manual_Review!$A$6:$A$238,0)</f>
        <v>99</v>
      </c>
      <c r="V1580" s="5" t="str">
        <f>IF(INDEX(Manual_Review!$G$6:$G$238,U1580)="","",INDEX(Manual_Review!$G$6:$G$238,U1580))</f>
        <v/>
      </c>
      <c r="W1580" s="11" t="str">
        <f>IF(INDEX(Manual_Review!$H$6:$H$238,U1580)="","",INDEX(Manual_Review!$H$6:$H$238,U1580))</f>
        <v/>
      </c>
      <c r="X1580" s="5" t="str">
        <f>IF(INDEX(Manual_Review!$I$6:$I$238,U1580)="","",INDEX(Manual_Review!$I$6:$I$238,U1580))</f>
        <v/>
      </c>
      <c r="Y1580" s="5" t="s">
        <v>2859</v>
      </c>
    </row>
    <row r="1581" spans="1:25" ht="38.25">
      <c r="A1581" s="5" t="s">
        <v>6163</v>
      </c>
      <c r="B1581" s="5" t="s">
        <v>1192</v>
      </c>
      <c r="C1581" s="5" t="s">
        <v>1193</v>
      </c>
      <c r="D1581" s="5" t="s">
        <v>118</v>
      </c>
      <c r="E1581" s="5" t="s">
        <v>2788</v>
      </c>
      <c r="F1581" s="5" t="s">
        <v>2758</v>
      </c>
      <c r="G1581" s="5">
        <v>1</v>
      </c>
      <c r="H1581" s="5" t="s">
        <v>2864</v>
      </c>
      <c r="I1581" s="5" t="str">
        <f>IF(INDEX(Manual_Review!$R$6:$R$238,U1581)="","",INDEX(Manual_Review!$R$6:$R$238,U1581))</f>
        <v/>
      </c>
      <c r="J1581" s="5" t="str">
        <f t="shared" si="48"/>
        <v>AI provisional</v>
      </c>
      <c r="K1581" s="5" t="str">
        <f t="shared" si="49"/>
        <v>U</v>
      </c>
      <c r="L1581" s="5" t="s">
        <v>1202</v>
      </c>
      <c r="M1581" s="5" t="s">
        <v>6164</v>
      </c>
      <c r="N1581" s="5" t="s">
        <v>6150</v>
      </c>
      <c r="O1581" s="5" t="s">
        <v>2880</v>
      </c>
      <c r="P1581" s="5" t="s">
        <v>2858</v>
      </c>
      <c r="Q1581" s="11">
        <v>46306.5</v>
      </c>
      <c r="R1581" s="6"/>
      <c r="S1581" s="6"/>
      <c r="T1581" s="6"/>
      <c r="U1581" s="5">
        <f>MATCH(B1581,Manual_Review!$A$6:$A$238,0)</f>
        <v>99</v>
      </c>
      <c r="V1581" s="5" t="str">
        <f>IF(INDEX(Manual_Review!$G$6:$G$238,U1581)="","",INDEX(Manual_Review!$G$6:$G$238,U1581))</f>
        <v/>
      </c>
      <c r="W1581" s="11" t="str">
        <f>IF(INDEX(Manual_Review!$H$6:$H$238,U1581)="","",INDEX(Manual_Review!$H$6:$H$238,U1581))</f>
        <v/>
      </c>
      <c r="X1581" s="5" t="str">
        <f>IF(INDEX(Manual_Review!$I$6:$I$238,U1581)="","",INDEX(Manual_Review!$I$6:$I$238,U1581))</f>
        <v/>
      </c>
      <c r="Y1581" s="5" t="s">
        <v>2859</v>
      </c>
    </row>
    <row r="1582" spans="1:25" ht="38.25">
      <c r="A1582" s="5" t="s">
        <v>6165</v>
      </c>
      <c r="B1582" s="5" t="s">
        <v>1192</v>
      </c>
      <c r="C1582" s="5" t="s">
        <v>1193</v>
      </c>
      <c r="D1582" s="5" t="s">
        <v>118</v>
      </c>
      <c r="E1582" s="5" t="s">
        <v>2789</v>
      </c>
      <c r="F1582" s="5" t="s">
        <v>2758</v>
      </c>
      <c r="G1582" s="5">
        <v>1</v>
      </c>
      <c r="H1582" s="5" t="s">
        <v>2854</v>
      </c>
      <c r="I1582" s="5" t="str">
        <f>IF(INDEX(Manual_Review!$S$6:$S$238,U1582)="","",INDEX(Manual_Review!$S$6:$S$238,U1582))</f>
        <v/>
      </c>
      <c r="J1582" s="5" t="str">
        <f t="shared" si="48"/>
        <v>AI provisional</v>
      </c>
      <c r="K1582" s="5" t="str">
        <f t="shared" si="49"/>
        <v>Y</v>
      </c>
      <c r="L1582" s="5" t="s">
        <v>1202</v>
      </c>
      <c r="M1582" s="5" t="s">
        <v>6166</v>
      </c>
      <c r="N1582" s="5" t="s">
        <v>6150</v>
      </c>
      <c r="O1582" s="5" t="s">
        <v>3178</v>
      </c>
      <c r="P1582" s="5" t="s">
        <v>2858</v>
      </c>
      <c r="Q1582" s="11">
        <v>46306.5</v>
      </c>
      <c r="R1582" s="6"/>
      <c r="S1582" s="6"/>
      <c r="T1582" s="6"/>
      <c r="U1582" s="5">
        <f>MATCH(B1582,Manual_Review!$A$6:$A$238,0)</f>
        <v>99</v>
      </c>
      <c r="V1582" s="5" t="str">
        <f>IF(INDEX(Manual_Review!$G$6:$G$238,U1582)="","",INDEX(Manual_Review!$G$6:$G$238,U1582))</f>
        <v/>
      </c>
      <c r="W1582" s="11" t="str">
        <f>IF(INDEX(Manual_Review!$H$6:$H$238,U1582)="","",INDEX(Manual_Review!$H$6:$H$238,U1582))</f>
        <v/>
      </c>
      <c r="X1582" s="5" t="str">
        <f>IF(INDEX(Manual_Review!$I$6:$I$238,U1582)="","",INDEX(Manual_Review!$I$6:$I$238,U1582))</f>
        <v/>
      </c>
      <c r="Y1582" s="5" t="s">
        <v>2859</v>
      </c>
    </row>
    <row r="1583" spans="1:25" ht="38.25">
      <c r="A1583" s="5" t="s">
        <v>6167</v>
      </c>
      <c r="B1583" s="5" t="s">
        <v>1192</v>
      </c>
      <c r="C1583" s="5" t="s">
        <v>1193</v>
      </c>
      <c r="D1583" s="5" t="s">
        <v>118</v>
      </c>
      <c r="E1583" s="5" t="s">
        <v>2790</v>
      </c>
      <c r="F1583" s="5" t="s">
        <v>2760</v>
      </c>
      <c r="G1583" s="5">
        <v>1</v>
      </c>
      <c r="H1583" s="5" t="s">
        <v>2864</v>
      </c>
      <c r="I1583" s="5" t="str">
        <f>IF(INDEX(Manual_Review!$T$6:$T$238,U1583)="","",INDEX(Manual_Review!$T$6:$T$238,U1583))</f>
        <v/>
      </c>
      <c r="J1583" s="5" t="str">
        <f t="shared" si="48"/>
        <v>AI provisional</v>
      </c>
      <c r="K1583" s="5" t="str">
        <f t="shared" si="49"/>
        <v>U</v>
      </c>
      <c r="L1583" s="5" t="s">
        <v>1202</v>
      </c>
      <c r="M1583" s="5" t="s">
        <v>6168</v>
      </c>
      <c r="N1583" s="5" t="s">
        <v>6150</v>
      </c>
      <c r="O1583" s="5" t="s">
        <v>2885</v>
      </c>
      <c r="P1583" s="5" t="s">
        <v>2858</v>
      </c>
      <c r="Q1583" s="11">
        <v>46306.5</v>
      </c>
      <c r="R1583" s="6"/>
      <c r="S1583" s="6"/>
      <c r="T1583" s="6"/>
      <c r="U1583" s="5">
        <f>MATCH(B1583,Manual_Review!$A$6:$A$238,0)</f>
        <v>99</v>
      </c>
      <c r="V1583" s="5" t="str">
        <f>IF(INDEX(Manual_Review!$G$6:$G$238,U1583)="","",INDEX(Manual_Review!$G$6:$G$238,U1583))</f>
        <v/>
      </c>
      <c r="W1583" s="11" t="str">
        <f>IF(INDEX(Manual_Review!$H$6:$H$238,U1583)="","",INDEX(Manual_Review!$H$6:$H$238,U1583))</f>
        <v/>
      </c>
      <c r="X1583" s="5" t="str">
        <f>IF(INDEX(Manual_Review!$I$6:$I$238,U1583)="","",INDEX(Manual_Review!$I$6:$I$238,U1583))</f>
        <v/>
      </c>
      <c r="Y1583" s="5" t="s">
        <v>2859</v>
      </c>
    </row>
    <row r="1584" spans="1:25" ht="38.25">
      <c r="A1584" s="5" t="s">
        <v>6169</v>
      </c>
      <c r="B1584" s="5" t="s">
        <v>1192</v>
      </c>
      <c r="C1584" s="5" t="s">
        <v>1193</v>
      </c>
      <c r="D1584" s="5" t="s">
        <v>118</v>
      </c>
      <c r="E1584" s="5" t="s">
        <v>2791</v>
      </c>
      <c r="F1584" s="5" t="s">
        <v>2760</v>
      </c>
      <c r="G1584" s="5">
        <v>1</v>
      </c>
      <c r="H1584" s="5" t="s">
        <v>2854</v>
      </c>
      <c r="I1584" s="5" t="str">
        <f>IF(INDEX(Manual_Review!$U$6:$U$238,U1584)="","",INDEX(Manual_Review!$U$6:$U$238,U1584))</f>
        <v/>
      </c>
      <c r="J1584" s="5" t="str">
        <f t="shared" si="48"/>
        <v>AI provisional</v>
      </c>
      <c r="K1584" s="5" t="str">
        <f t="shared" si="49"/>
        <v>Y</v>
      </c>
      <c r="L1584" s="5" t="s">
        <v>1202</v>
      </c>
      <c r="M1584" s="5" t="s">
        <v>6170</v>
      </c>
      <c r="N1584" s="5" t="s">
        <v>6150</v>
      </c>
      <c r="O1584" s="5" t="s">
        <v>3380</v>
      </c>
      <c r="P1584" s="5" t="s">
        <v>2858</v>
      </c>
      <c r="Q1584" s="11">
        <v>46306.5</v>
      </c>
      <c r="R1584" s="6"/>
      <c r="S1584" s="6"/>
      <c r="T1584" s="6"/>
      <c r="U1584" s="5">
        <f>MATCH(B1584,Manual_Review!$A$6:$A$238,0)</f>
        <v>99</v>
      </c>
      <c r="V1584" s="5" t="str">
        <f>IF(INDEX(Manual_Review!$G$6:$G$238,U1584)="","",INDEX(Manual_Review!$G$6:$G$238,U1584))</f>
        <v/>
      </c>
      <c r="W1584" s="11" t="str">
        <f>IF(INDEX(Manual_Review!$H$6:$H$238,U1584)="","",INDEX(Manual_Review!$H$6:$H$238,U1584))</f>
        <v/>
      </c>
      <c r="X1584" s="5" t="str">
        <f>IF(INDEX(Manual_Review!$I$6:$I$238,U1584)="","",INDEX(Manual_Review!$I$6:$I$238,U1584))</f>
        <v/>
      </c>
      <c r="Y1584" s="5" t="s">
        <v>2859</v>
      </c>
    </row>
    <row r="1585" spans="1:25" ht="38.25">
      <c r="A1585" s="5" t="s">
        <v>6171</v>
      </c>
      <c r="B1585" s="5" t="s">
        <v>1192</v>
      </c>
      <c r="C1585" s="5" t="s">
        <v>1193</v>
      </c>
      <c r="D1585" s="5" t="s">
        <v>118</v>
      </c>
      <c r="E1585" s="5" t="s">
        <v>2792</v>
      </c>
      <c r="F1585" s="5" t="s">
        <v>2762</v>
      </c>
      <c r="G1585" s="5">
        <v>1</v>
      </c>
      <c r="H1585" s="5" t="s">
        <v>2864</v>
      </c>
      <c r="I1585" s="5" t="str">
        <f>IF(INDEX(Manual_Review!$V$6:$V$238,U1585)="","",INDEX(Manual_Review!$V$6:$V$238,U1585))</f>
        <v/>
      </c>
      <c r="J1585" s="5" t="str">
        <f t="shared" si="48"/>
        <v>AI provisional</v>
      </c>
      <c r="K1585" s="5" t="str">
        <f t="shared" si="49"/>
        <v>U</v>
      </c>
      <c r="L1585" s="5" t="s">
        <v>1202</v>
      </c>
      <c r="M1585" s="5" t="s">
        <v>6172</v>
      </c>
      <c r="N1585" s="5" t="s">
        <v>6150</v>
      </c>
      <c r="O1585" s="5" t="s">
        <v>2891</v>
      </c>
      <c r="P1585" s="5" t="s">
        <v>2858</v>
      </c>
      <c r="Q1585" s="11">
        <v>46306.5</v>
      </c>
      <c r="R1585" s="6"/>
      <c r="S1585" s="6"/>
      <c r="T1585" s="6"/>
      <c r="U1585" s="5">
        <f>MATCH(B1585,Manual_Review!$A$6:$A$238,0)</f>
        <v>99</v>
      </c>
      <c r="V1585" s="5" t="str">
        <f>IF(INDEX(Manual_Review!$G$6:$G$238,U1585)="","",INDEX(Manual_Review!$G$6:$G$238,U1585))</f>
        <v/>
      </c>
      <c r="W1585" s="11" t="str">
        <f>IF(INDEX(Manual_Review!$H$6:$H$238,U1585)="","",INDEX(Manual_Review!$H$6:$H$238,U1585))</f>
        <v/>
      </c>
      <c r="X1585" s="5" t="str">
        <f>IF(INDEX(Manual_Review!$I$6:$I$238,U1585)="","",INDEX(Manual_Review!$I$6:$I$238,U1585))</f>
        <v/>
      </c>
      <c r="Y1585" s="5" t="s">
        <v>2859</v>
      </c>
    </row>
    <row r="1586" spans="1:25" ht="38.25">
      <c r="A1586" s="5" t="s">
        <v>6173</v>
      </c>
      <c r="B1586" s="5" t="s">
        <v>1192</v>
      </c>
      <c r="C1586" s="5" t="s">
        <v>1193</v>
      </c>
      <c r="D1586" s="5" t="s">
        <v>118</v>
      </c>
      <c r="E1586" s="5" t="s">
        <v>2793</v>
      </c>
      <c r="F1586" s="5" t="s">
        <v>2762</v>
      </c>
      <c r="G1586" s="5">
        <v>1</v>
      </c>
      <c r="H1586" s="5" t="s">
        <v>2854</v>
      </c>
      <c r="I1586" s="5" t="str">
        <f>IF(INDEX(Manual_Review!$W$6:$W$238,U1586)="","",INDEX(Manual_Review!$W$6:$W$238,U1586))</f>
        <v/>
      </c>
      <c r="J1586" s="5" t="str">
        <f t="shared" si="48"/>
        <v>AI provisional</v>
      </c>
      <c r="K1586" s="5" t="str">
        <f t="shared" si="49"/>
        <v>Y</v>
      </c>
      <c r="L1586" s="5" t="s">
        <v>1202</v>
      </c>
      <c r="M1586" s="5" t="s">
        <v>6174</v>
      </c>
      <c r="N1586" s="5" t="s">
        <v>6150</v>
      </c>
      <c r="O1586" s="5" t="s">
        <v>3077</v>
      </c>
      <c r="P1586" s="5" t="s">
        <v>2858</v>
      </c>
      <c r="Q1586" s="11">
        <v>46306.5</v>
      </c>
      <c r="R1586" s="6"/>
      <c r="S1586" s="6"/>
      <c r="T1586" s="6"/>
      <c r="U1586" s="5">
        <f>MATCH(B1586,Manual_Review!$A$6:$A$238,0)</f>
        <v>99</v>
      </c>
      <c r="V1586" s="5" t="str">
        <f>IF(INDEX(Manual_Review!$G$6:$G$238,U1586)="","",INDEX(Manual_Review!$G$6:$G$238,U1586))</f>
        <v/>
      </c>
      <c r="W1586" s="11" t="str">
        <f>IF(INDEX(Manual_Review!$H$6:$H$238,U1586)="","",INDEX(Manual_Review!$H$6:$H$238,U1586))</f>
        <v/>
      </c>
      <c r="X1586" s="5" t="str">
        <f>IF(INDEX(Manual_Review!$I$6:$I$238,U1586)="","",INDEX(Manual_Review!$I$6:$I$238,U1586))</f>
        <v/>
      </c>
      <c r="Y1586" s="5" t="s">
        <v>2859</v>
      </c>
    </row>
    <row r="1587" spans="1:25" ht="38.25">
      <c r="A1587" s="5" t="s">
        <v>6175</v>
      </c>
      <c r="B1587" s="5" t="s">
        <v>1192</v>
      </c>
      <c r="C1587" s="5" t="s">
        <v>1193</v>
      </c>
      <c r="D1587" s="5" t="s">
        <v>118</v>
      </c>
      <c r="E1587" s="5" t="s">
        <v>2794</v>
      </c>
      <c r="F1587" s="5" t="s">
        <v>2764</v>
      </c>
      <c r="G1587" s="5">
        <v>1</v>
      </c>
      <c r="H1587" s="5" t="s">
        <v>2864</v>
      </c>
      <c r="I1587" s="5" t="str">
        <f>IF(INDEX(Manual_Review!$X$6:$X$238,U1587)="","",INDEX(Manual_Review!$X$6:$X$238,U1587))</f>
        <v/>
      </c>
      <c r="J1587" s="5" t="str">
        <f t="shared" si="48"/>
        <v>AI provisional</v>
      </c>
      <c r="K1587" s="5" t="str">
        <f t="shared" si="49"/>
        <v>U</v>
      </c>
      <c r="L1587" s="5" t="s">
        <v>1202</v>
      </c>
      <c r="M1587" s="5" t="s">
        <v>6176</v>
      </c>
      <c r="N1587" s="5" t="s">
        <v>6150</v>
      </c>
      <c r="O1587" s="5" t="s">
        <v>2895</v>
      </c>
      <c r="P1587" s="5" t="s">
        <v>2858</v>
      </c>
      <c r="Q1587" s="11">
        <v>46306.5</v>
      </c>
      <c r="R1587" s="6"/>
      <c r="S1587" s="6"/>
      <c r="T1587" s="6"/>
      <c r="U1587" s="5">
        <f>MATCH(B1587,Manual_Review!$A$6:$A$238,0)</f>
        <v>99</v>
      </c>
      <c r="V1587" s="5" t="str">
        <f>IF(INDEX(Manual_Review!$G$6:$G$238,U1587)="","",INDEX(Manual_Review!$G$6:$G$238,U1587))</f>
        <v/>
      </c>
      <c r="W1587" s="11" t="str">
        <f>IF(INDEX(Manual_Review!$H$6:$H$238,U1587)="","",INDEX(Manual_Review!$H$6:$H$238,U1587))</f>
        <v/>
      </c>
      <c r="X1587" s="5" t="str">
        <f>IF(INDEX(Manual_Review!$I$6:$I$238,U1587)="","",INDEX(Manual_Review!$I$6:$I$238,U1587))</f>
        <v/>
      </c>
      <c r="Y1587" s="5" t="s">
        <v>2859</v>
      </c>
    </row>
    <row r="1588" spans="1:25" ht="38.25">
      <c r="A1588" s="5" t="s">
        <v>6177</v>
      </c>
      <c r="B1588" s="5" t="s">
        <v>1192</v>
      </c>
      <c r="C1588" s="5" t="s">
        <v>1193</v>
      </c>
      <c r="D1588" s="5" t="s">
        <v>118</v>
      </c>
      <c r="E1588" s="5" t="s">
        <v>2795</v>
      </c>
      <c r="F1588" s="5" t="s">
        <v>2764</v>
      </c>
      <c r="G1588" s="5">
        <v>1</v>
      </c>
      <c r="H1588" s="5" t="s">
        <v>2864</v>
      </c>
      <c r="I1588" s="5" t="str">
        <f>IF(INDEX(Manual_Review!$Y$6:$Y$238,U1588)="","",INDEX(Manual_Review!$Y$6:$Y$238,U1588))</f>
        <v/>
      </c>
      <c r="J1588" s="5" t="str">
        <f t="shared" si="48"/>
        <v>AI provisional</v>
      </c>
      <c r="K1588" s="5" t="str">
        <f t="shared" si="49"/>
        <v>U</v>
      </c>
      <c r="L1588" s="5" t="s">
        <v>1202</v>
      </c>
      <c r="M1588" s="5" t="s">
        <v>6178</v>
      </c>
      <c r="N1588" s="5" t="s">
        <v>6150</v>
      </c>
      <c r="O1588" s="5" t="s">
        <v>2897</v>
      </c>
      <c r="P1588" s="5" t="s">
        <v>2858</v>
      </c>
      <c r="Q1588" s="11">
        <v>46306.5</v>
      </c>
      <c r="R1588" s="6"/>
      <c r="S1588" s="6"/>
      <c r="T1588" s="6"/>
      <c r="U1588" s="5">
        <f>MATCH(B1588,Manual_Review!$A$6:$A$238,0)</f>
        <v>99</v>
      </c>
      <c r="V1588" s="5" t="str">
        <f>IF(INDEX(Manual_Review!$G$6:$G$238,U1588)="","",INDEX(Manual_Review!$G$6:$G$238,U1588))</f>
        <v/>
      </c>
      <c r="W1588" s="11" t="str">
        <f>IF(INDEX(Manual_Review!$H$6:$H$238,U1588)="","",INDEX(Manual_Review!$H$6:$H$238,U1588))</f>
        <v/>
      </c>
      <c r="X1588" s="5" t="str">
        <f>IF(INDEX(Manual_Review!$I$6:$I$238,U1588)="","",INDEX(Manual_Review!$I$6:$I$238,U1588))</f>
        <v/>
      </c>
      <c r="Y1588" s="5" t="s">
        <v>2859</v>
      </c>
    </row>
    <row r="1589" spans="1:25" ht="38.25">
      <c r="A1589" s="5" t="s">
        <v>6179</v>
      </c>
      <c r="B1589" s="5" t="s">
        <v>1192</v>
      </c>
      <c r="C1589" s="5" t="s">
        <v>1193</v>
      </c>
      <c r="D1589" s="5" t="s">
        <v>118</v>
      </c>
      <c r="E1589" s="5" t="s">
        <v>2796</v>
      </c>
      <c r="F1589" s="5" t="s">
        <v>2764</v>
      </c>
      <c r="G1589" s="5">
        <v>1</v>
      </c>
      <c r="H1589" s="5" t="s">
        <v>2854</v>
      </c>
      <c r="I1589" s="5" t="str">
        <f>IF(INDEX(Manual_Review!$Z$6:$Z$238,U1589)="","",INDEX(Manual_Review!$Z$6:$Z$238,U1589))</f>
        <v/>
      </c>
      <c r="J1589" s="5" t="str">
        <f t="shared" si="48"/>
        <v>AI provisional</v>
      </c>
      <c r="K1589" s="5" t="str">
        <f t="shared" si="49"/>
        <v>Y</v>
      </c>
      <c r="L1589" s="5" t="s">
        <v>1202</v>
      </c>
      <c r="M1589" s="5" t="s">
        <v>6180</v>
      </c>
      <c r="N1589" s="5" t="s">
        <v>6150</v>
      </c>
      <c r="O1589" s="5" t="s">
        <v>3085</v>
      </c>
      <c r="P1589" s="5" t="s">
        <v>2858</v>
      </c>
      <c r="Q1589" s="11">
        <v>46306.5</v>
      </c>
      <c r="R1589" s="6"/>
      <c r="S1589" s="6"/>
      <c r="T1589" s="6"/>
      <c r="U1589" s="5">
        <f>MATCH(B1589,Manual_Review!$A$6:$A$238,0)</f>
        <v>99</v>
      </c>
      <c r="V1589" s="5" t="str">
        <f>IF(INDEX(Manual_Review!$G$6:$G$238,U1589)="","",INDEX(Manual_Review!$G$6:$G$238,U1589))</f>
        <v/>
      </c>
      <c r="W1589" s="11" t="str">
        <f>IF(INDEX(Manual_Review!$H$6:$H$238,U1589)="","",INDEX(Manual_Review!$H$6:$H$238,U1589))</f>
        <v/>
      </c>
      <c r="X1589" s="5" t="str">
        <f>IF(INDEX(Manual_Review!$I$6:$I$238,U1589)="","",INDEX(Manual_Review!$I$6:$I$238,U1589))</f>
        <v/>
      </c>
      <c r="Y1589" s="5" t="s">
        <v>2859</v>
      </c>
    </row>
    <row r="1590" spans="1:25" ht="25.5">
      <c r="A1590" s="5" t="s">
        <v>6181</v>
      </c>
      <c r="B1590" s="5" t="s">
        <v>1204</v>
      </c>
      <c r="C1590" s="5" t="s">
        <v>1205</v>
      </c>
      <c r="D1590" s="5" t="s">
        <v>118</v>
      </c>
      <c r="E1590" s="5" t="s">
        <v>2781</v>
      </c>
      <c r="F1590" s="5" t="s">
        <v>2754</v>
      </c>
      <c r="G1590" s="5">
        <v>1</v>
      </c>
      <c r="H1590" s="5" t="s">
        <v>2854</v>
      </c>
      <c r="I1590" s="5" t="str">
        <f>IF(INDEX(Manual_Review!$K$6:$K$238,U1590)="","",INDEX(Manual_Review!$K$6:$K$238,U1590))</f>
        <v/>
      </c>
      <c r="J1590" s="5" t="str">
        <f t="shared" si="48"/>
        <v>AI provisional</v>
      </c>
      <c r="K1590" s="5" t="str">
        <f t="shared" si="49"/>
        <v>Y</v>
      </c>
      <c r="L1590" s="5" t="s">
        <v>1218</v>
      </c>
      <c r="M1590" s="5" t="s">
        <v>6182</v>
      </c>
      <c r="N1590" s="5" t="s">
        <v>6183</v>
      </c>
      <c r="O1590" s="5" t="s">
        <v>2991</v>
      </c>
      <c r="P1590" s="5" t="s">
        <v>2992</v>
      </c>
      <c r="Q1590" s="11">
        <v>46306.5</v>
      </c>
      <c r="R1590" s="6"/>
      <c r="S1590" s="6"/>
      <c r="T1590" s="6"/>
      <c r="U1590" s="5">
        <f>MATCH(B1590,Manual_Review!$A$6:$A$238,0)</f>
        <v>100</v>
      </c>
      <c r="V1590" s="5" t="str">
        <f>IF(INDEX(Manual_Review!$G$6:$G$238,U1590)="","",INDEX(Manual_Review!$G$6:$G$238,U1590))</f>
        <v/>
      </c>
      <c r="W1590" s="11" t="str">
        <f>IF(INDEX(Manual_Review!$H$6:$H$238,U1590)="","",INDEX(Manual_Review!$H$6:$H$238,U1590))</f>
        <v/>
      </c>
      <c r="X1590" s="5" t="str">
        <f>IF(INDEX(Manual_Review!$I$6:$I$238,U1590)="","",INDEX(Manual_Review!$I$6:$I$238,U1590))</f>
        <v/>
      </c>
      <c r="Y1590" s="5" t="s">
        <v>2859</v>
      </c>
    </row>
    <row r="1591" spans="1:25" ht="25.5">
      <c r="A1591" s="5" t="s">
        <v>6184</v>
      </c>
      <c r="B1591" s="5" t="s">
        <v>1204</v>
      </c>
      <c r="C1591" s="5" t="s">
        <v>1205</v>
      </c>
      <c r="D1591" s="5" t="s">
        <v>118</v>
      </c>
      <c r="E1591" s="5" t="s">
        <v>2782</v>
      </c>
      <c r="F1591" s="5" t="s">
        <v>2754</v>
      </c>
      <c r="G1591" s="5">
        <v>1</v>
      </c>
      <c r="H1591" s="5" t="s">
        <v>2854</v>
      </c>
      <c r="I1591" s="5" t="str">
        <f>IF(INDEX(Manual_Review!$L$6:$L$238,U1591)="","",INDEX(Manual_Review!$L$6:$L$238,U1591))</f>
        <v/>
      </c>
      <c r="J1591" s="5" t="str">
        <f t="shared" si="48"/>
        <v>AI provisional</v>
      </c>
      <c r="K1591" s="5" t="str">
        <f t="shared" si="49"/>
        <v>Y</v>
      </c>
      <c r="L1591" s="5" t="s">
        <v>1218</v>
      </c>
      <c r="M1591" s="5" t="s">
        <v>6185</v>
      </c>
      <c r="N1591" s="5" t="s">
        <v>6186</v>
      </c>
      <c r="O1591" s="5" t="s">
        <v>2996</v>
      </c>
      <c r="P1591" s="5" t="s">
        <v>2992</v>
      </c>
      <c r="Q1591" s="11">
        <v>46306.5</v>
      </c>
      <c r="R1591" s="6"/>
      <c r="S1591" s="6"/>
      <c r="T1591" s="6"/>
      <c r="U1591" s="5">
        <f>MATCH(B1591,Manual_Review!$A$6:$A$238,0)</f>
        <v>100</v>
      </c>
      <c r="V1591" s="5" t="str">
        <f>IF(INDEX(Manual_Review!$G$6:$G$238,U1591)="","",INDEX(Manual_Review!$G$6:$G$238,U1591))</f>
        <v/>
      </c>
      <c r="W1591" s="11" t="str">
        <f>IF(INDEX(Manual_Review!$H$6:$H$238,U1591)="","",INDEX(Manual_Review!$H$6:$H$238,U1591))</f>
        <v/>
      </c>
      <c r="X1591" s="5" t="str">
        <f>IF(INDEX(Manual_Review!$I$6:$I$238,U1591)="","",INDEX(Manual_Review!$I$6:$I$238,U1591))</f>
        <v/>
      </c>
      <c r="Y1591" s="5" t="s">
        <v>2859</v>
      </c>
    </row>
    <row r="1592" spans="1:25" ht="25.5">
      <c r="A1592" s="5" t="s">
        <v>6187</v>
      </c>
      <c r="B1592" s="5" t="s">
        <v>1204</v>
      </c>
      <c r="C1592" s="5" t="s">
        <v>1205</v>
      </c>
      <c r="D1592" s="5" t="s">
        <v>118</v>
      </c>
      <c r="E1592" s="5" t="s">
        <v>2783</v>
      </c>
      <c r="F1592" s="5" t="s">
        <v>2754</v>
      </c>
      <c r="G1592" s="5">
        <v>1</v>
      </c>
      <c r="H1592" s="5" t="s">
        <v>2854</v>
      </c>
      <c r="I1592" s="5" t="str">
        <f>IF(INDEX(Manual_Review!$M$6:$M$238,U1592)="","",INDEX(Manual_Review!$M$6:$M$238,U1592))</f>
        <v/>
      </c>
      <c r="J1592" s="5" t="str">
        <f t="shared" si="48"/>
        <v>AI provisional</v>
      </c>
      <c r="K1592" s="5" t="str">
        <f t="shared" si="49"/>
        <v>Y</v>
      </c>
      <c r="L1592" s="5" t="s">
        <v>1218</v>
      </c>
      <c r="M1592" s="5" t="s">
        <v>6188</v>
      </c>
      <c r="N1592" s="5" t="s">
        <v>6189</v>
      </c>
      <c r="O1592" s="5" t="s">
        <v>3000</v>
      </c>
      <c r="P1592" s="5" t="s">
        <v>2992</v>
      </c>
      <c r="Q1592" s="11">
        <v>46306.5</v>
      </c>
      <c r="R1592" s="6"/>
      <c r="S1592" s="6"/>
      <c r="T1592" s="6"/>
      <c r="U1592" s="5">
        <f>MATCH(B1592,Manual_Review!$A$6:$A$238,0)</f>
        <v>100</v>
      </c>
      <c r="V1592" s="5" t="str">
        <f>IF(INDEX(Manual_Review!$G$6:$G$238,U1592)="","",INDEX(Manual_Review!$G$6:$G$238,U1592))</f>
        <v/>
      </c>
      <c r="W1592" s="11" t="str">
        <f>IF(INDEX(Manual_Review!$H$6:$H$238,U1592)="","",INDEX(Manual_Review!$H$6:$H$238,U1592))</f>
        <v/>
      </c>
      <c r="X1592" s="5" t="str">
        <f>IF(INDEX(Manual_Review!$I$6:$I$238,U1592)="","",INDEX(Manual_Review!$I$6:$I$238,U1592))</f>
        <v/>
      </c>
      <c r="Y1592" s="5" t="s">
        <v>2859</v>
      </c>
    </row>
    <row r="1593" spans="1:25" ht="25.5">
      <c r="A1593" s="5" t="s">
        <v>6190</v>
      </c>
      <c r="B1593" s="5" t="s">
        <v>1204</v>
      </c>
      <c r="C1593" s="5" t="s">
        <v>1205</v>
      </c>
      <c r="D1593" s="5" t="s">
        <v>118</v>
      </c>
      <c r="E1593" s="5" t="s">
        <v>2784</v>
      </c>
      <c r="F1593" s="5" t="s">
        <v>2756</v>
      </c>
      <c r="G1593" s="5">
        <v>1</v>
      </c>
      <c r="H1593" s="5" t="s">
        <v>2854</v>
      </c>
      <c r="I1593" s="5" t="str">
        <f>IF(INDEX(Manual_Review!$N$6:$N$238,U1593)="","",INDEX(Manual_Review!$N$6:$N$238,U1593))</f>
        <v/>
      </c>
      <c r="J1593" s="5" t="str">
        <f t="shared" si="48"/>
        <v>AI provisional</v>
      </c>
      <c r="K1593" s="5" t="str">
        <f t="shared" si="49"/>
        <v>Y</v>
      </c>
      <c r="L1593" s="5" t="s">
        <v>1218</v>
      </c>
      <c r="M1593" s="5" t="s">
        <v>6191</v>
      </c>
      <c r="N1593" s="5" t="s">
        <v>6192</v>
      </c>
      <c r="O1593" s="5" t="s">
        <v>3004</v>
      </c>
      <c r="P1593" s="5" t="s">
        <v>2992</v>
      </c>
      <c r="Q1593" s="11">
        <v>46306.5</v>
      </c>
      <c r="R1593" s="6"/>
      <c r="S1593" s="6"/>
      <c r="T1593" s="6"/>
      <c r="U1593" s="5">
        <f>MATCH(B1593,Manual_Review!$A$6:$A$238,0)</f>
        <v>100</v>
      </c>
      <c r="V1593" s="5" t="str">
        <f>IF(INDEX(Manual_Review!$G$6:$G$238,U1593)="","",INDEX(Manual_Review!$G$6:$G$238,U1593))</f>
        <v/>
      </c>
      <c r="W1593" s="11" t="str">
        <f>IF(INDEX(Manual_Review!$H$6:$H$238,U1593)="","",INDEX(Manual_Review!$H$6:$H$238,U1593))</f>
        <v/>
      </c>
      <c r="X1593" s="5" t="str">
        <f>IF(INDEX(Manual_Review!$I$6:$I$238,U1593)="","",INDEX(Manual_Review!$I$6:$I$238,U1593))</f>
        <v/>
      </c>
      <c r="Y1593" s="5" t="s">
        <v>2859</v>
      </c>
    </row>
    <row r="1594" spans="1:25" ht="25.5">
      <c r="A1594" s="5" t="s">
        <v>6193</v>
      </c>
      <c r="B1594" s="5" t="s">
        <v>1204</v>
      </c>
      <c r="C1594" s="5" t="s">
        <v>1205</v>
      </c>
      <c r="D1594" s="5" t="s">
        <v>118</v>
      </c>
      <c r="E1594" s="5" t="s">
        <v>2785</v>
      </c>
      <c r="F1594" s="5" t="s">
        <v>2756</v>
      </c>
      <c r="G1594" s="5">
        <v>1</v>
      </c>
      <c r="H1594" s="5" t="s">
        <v>2864</v>
      </c>
      <c r="I1594" s="5" t="str">
        <f>IF(INDEX(Manual_Review!$O$6:$O$238,U1594)="","",INDEX(Manual_Review!$O$6:$O$238,U1594))</f>
        <v/>
      </c>
      <c r="J1594" s="5" t="str">
        <f t="shared" si="48"/>
        <v>AI provisional</v>
      </c>
      <c r="K1594" s="5" t="str">
        <f t="shared" si="49"/>
        <v>U</v>
      </c>
      <c r="L1594" s="5" t="s">
        <v>1218</v>
      </c>
      <c r="M1594" s="5" t="s">
        <v>6191</v>
      </c>
      <c r="N1594" s="5" t="s">
        <v>6192</v>
      </c>
      <c r="O1594" s="5" t="s">
        <v>3006</v>
      </c>
      <c r="P1594" s="5" t="s">
        <v>2992</v>
      </c>
      <c r="Q1594" s="11">
        <v>46306.5</v>
      </c>
      <c r="R1594" s="6"/>
      <c r="S1594" s="6"/>
      <c r="T1594" s="6"/>
      <c r="U1594" s="5">
        <f>MATCH(B1594,Manual_Review!$A$6:$A$238,0)</f>
        <v>100</v>
      </c>
      <c r="V1594" s="5" t="str">
        <f>IF(INDEX(Manual_Review!$G$6:$G$238,U1594)="","",INDEX(Manual_Review!$G$6:$G$238,U1594))</f>
        <v/>
      </c>
      <c r="W1594" s="11" t="str">
        <f>IF(INDEX(Manual_Review!$H$6:$H$238,U1594)="","",INDEX(Manual_Review!$H$6:$H$238,U1594))</f>
        <v/>
      </c>
      <c r="X1594" s="5" t="str">
        <f>IF(INDEX(Manual_Review!$I$6:$I$238,U1594)="","",INDEX(Manual_Review!$I$6:$I$238,U1594))</f>
        <v/>
      </c>
      <c r="Y1594" s="5" t="s">
        <v>2859</v>
      </c>
    </row>
    <row r="1595" spans="1:25" ht="38.25">
      <c r="A1595" s="5" t="s">
        <v>6194</v>
      </c>
      <c r="B1595" s="5" t="s">
        <v>1204</v>
      </c>
      <c r="C1595" s="5" t="s">
        <v>1205</v>
      </c>
      <c r="D1595" s="5" t="s">
        <v>118</v>
      </c>
      <c r="E1595" s="5" t="s">
        <v>2786</v>
      </c>
      <c r="F1595" s="5" t="s">
        <v>2756</v>
      </c>
      <c r="G1595" s="5">
        <v>1</v>
      </c>
      <c r="H1595" s="5" t="s">
        <v>2864</v>
      </c>
      <c r="I1595" s="5" t="str">
        <f>IF(INDEX(Manual_Review!$P$6:$P$238,U1595)="","",INDEX(Manual_Review!$P$6:$P$238,U1595))</f>
        <v/>
      </c>
      <c r="J1595" s="5" t="str">
        <f t="shared" si="48"/>
        <v>AI provisional</v>
      </c>
      <c r="K1595" s="5" t="str">
        <f t="shared" si="49"/>
        <v>U</v>
      </c>
      <c r="L1595" s="5" t="s">
        <v>1218</v>
      </c>
      <c r="M1595" s="5" t="s">
        <v>6195</v>
      </c>
      <c r="N1595" s="5" t="s">
        <v>6196</v>
      </c>
      <c r="O1595" s="5" t="s">
        <v>3010</v>
      </c>
      <c r="P1595" s="5" t="s">
        <v>2992</v>
      </c>
      <c r="Q1595" s="11">
        <v>46306.5</v>
      </c>
      <c r="R1595" s="6"/>
      <c r="S1595" s="6"/>
      <c r="T1595" s="6"/>
      <c r="U1595" s="5">
        <f>MATCH(B1595,Manual_Review!$A$6:$A$238,0)</f>
        <v>100</v>
      </c>
      <c r="V1595" s="5" t="str">
        <f>IF(INDEX(Manual_Review!$G$6:$G$238,U1595)="","",INDEX(Manual_Review!$G$6:$G$238,U1595))</f>
        <v/>
      </c>
      <c r="W1595" s="11" t="str">
        <f>IF(INDEX(Manual_Review!$H$6:$H$238,U1595)="","",INDEX(Manual_Review!$H$6:$H$238,U1595))</f>
        <v/>
      </c>
      <c r="X1595" s="5" t="str">
        <f>IF(INDEX(Manual_Review!$I$6:$I$238,U1595)="","",INDEX(Manual_Review!$I$6:$I$238,U1595))</f>
        <v/>
      </c>
      <c r="Y1595" s="5" t="s">
        <v>2859</v>
      </c>
    </row>
    <row r="1596" spans="1:25" ht="25.5">
      <c r="A1596" s="5" t="s">
        <v>6197</v>
      </c>
      <c r="B1596" s="5" t="s">
        <v>1204</v>
      </c>
      <c r="C1596" s="5" t="s">
        <v>1205</v>
      </c>
      <c r="D1596" s="5" t="s">
        <v>118</v>
      </c>
      <c r="E1596" s="5" t="s">
        <v>2787</v>
      </c>
      <c r="F1596" s="5" t="s">
        <v>2758</v>
      </c>
      <c r="G1596" s="5">
        <v>1</v>
      </c>
      <c r="H1596" s="5" t="s">
        <v>2864</v>
      </c>
      <c r="I1596" s="5" t="str">
        <f>IF(INDEX(Manual_Review!$Q$6:$Q$238,U1596)="","",INDEX(Manual_Review!$Q$6:$Q$238,U1596))</f>
        <v/>
      </c>
      <c r="J1596" s="5" t="str">
        <f t="shared" si="48"/>
        <v>AI provisional</v>
      </c>
      <c r="K1596" s="5" t="str">
        <f t="shared" si="49"/>
        <v>U</v>
      </c>
      <c r="L1596" s="5" t="s">
        <v>1218</v>
      </c>
      <c r="M1596" s="5" t="s">
        <v>6198</v>
      </c>
      <c r="N1596" s="5" t="s">
        <v>6199</v>
      </c>
      <c r="O1596" s="5" t="s">
        <v>3014</v>
      </c>
      <c r="P1596" s="5" t="s">
        <v>2992</v>
      </c>
      <c r="Q1596" s="11">
        <v>46306.5</v>
      </c>
      <c r="R1596" s="6"/>
      <c r="S1596" s="6"/>
      <c r="T1596" s="6"/>
      <c r="U1596" s="5">
        <f>MATCH(B1596,Manual_Review!$A$6:$A$238,0)</f>
        <v>100</v>
      </c>
      <c r="V1596" s="5" t="str">
        <f>IF(INDEX(Manual_Review!$G$6:$G$238,U1596)="","",INDEX(Manual_Review!$G$6:$G$238,U1596))</f>
        <v/>
      </c>
      <c r="W1596" s="11" t="str">
        <f>IF(INDEX(Manual_Review!$H$6:$H$238,U1596)="","",INDEX(Manual_Review!$H$6:$H$238,U1596))</f>
        <v/>
      </c>
      <c r="X1596" s="5" t="str">
        <f>IF(INDEX(Manual_Review!$I$6:$I$238,U1596)="","",INDEX(Manual_Review!$I$6:$I$238,U1596))</f>
        <v/>
      </c>
      <c r="Y1596" s="5" t="s">
        <v>2859</v>
      </c>
    </row>
    <row r="1597" spans="1:25" ht="51">
      <c r="A1597" s="5" t="s">
        <v>6200</v>
      </c>
      <c r="B1597" s="5" t="s">
        <v>1204</v>
      </c>
      <c r="C1597" s="5" t="s">
        <v>1205</v>
      </c>
      <c r="D1597" s="5" t="s">
        <v>118</v>
      </c>
      <c r="E1597" s="5" t="s">
        <v>2788</v>
      </c>
      <c r="F1597" s="5" t="s">
        <v>2758</v>
      </c>
      <c r="G1597" s="5">
        <v>1</v>
      </c>
      <c r="H1597" s="5" t="s">
        <v>2854</v>
      </c>
      <c r="I1597" s="5" t="str">
        <f>IF(INDEX(Manual_Review!$R$6:$R$238,U1597)="","",INDEX(Manual_Review!$R$6:$R$238,U1597))</f>
        <v/>
      </c>
      <c r="J1597" s="5" t="str">
        <f t="shared" si="48"/>
        <v>AI provisional</v>
      </c>
      <c r="K1597" s="5" t="str">
        <f t="shared" si="49"/>
        <v>Y</v>
      </c>
      <c r="L1597" s="5" t="s">
        <v>1218</v>
      </c>
      <c r="M1597" s="5" t="s">
        <v>6201</v>
      </c>
      <c r="N1597" s="5" t="s">
        <v>6202</v>
      </c>
      <c r="O1597" s="5" t="s">
        <v>3018</v>
      </c>
      <c r="P1597" s="5" t="s">
        <v>2992</v>
      </c>
      <c r="Q1597" s="11">
        <v>46306.5</v>
      </c>
      <c r="R1597" s="6"/>
      <c r="S1597" s="6"/>
      <c r="T1597" s="6"/>
      <c r="U1597" s="5">
        <f>MATCH(B1597,Manual_Review!$A$6:$A$238,0)</f>
        <v>100</v>
      </c>
      <c r="V1597" s="5" t="str">
        <f>IF(INDEX(Manual_Review!$G$6:$G$238,U1597)="","",INDEX(Manual_Review!$G$6:$G$238,U1597))</f>
        <v/>
      </c>
      <c r="W1597" s="11" t="str">
        <f>IF(INDEX(Manual_Review!$H$6:$H$238,U1597)="","",INDEX(Manual_Review!$H$6:$H$238,U1597))</f>
        <v/>
      </c>
      <c r="X1597" s="5" t="str">
        <f>IF(INDEX(Manual_Review!$I$6:$I$238,U1597)="","",INDEX(Manual_Review!$I$6:$I$238,U1597))</f>
        <v/>
      </c>
      <c r="Y1597" s="5" t="s">
        <v>2859</v>
      </c>
    </row>
    <row r="1598" spans="1:25" ht="38.25">
      <c r="A1598" s="5" t="s">
        <v>6203</v>
      </c>
      <c r="B1598" s="5" t="s">
        <v>1204</v>
      </c>
      <c r="C1598" s="5" t="s">
        <v>1205</v>
      </c>
      <c r="D1598" s="5" t="s">
        <v>118</v>
      </c>
      <c r="E1598" s="5" t="s">
        <v>2789</v>
      </c>
      <c r="F1598" s="5" t="s">
        <v>2758</v>
      </c>
      <c r="G1598" s="5">
        <v>1</v>
      </c>
      <c r="H1598" s="5" t="s">
        <v>2854</v>
      </c>
      <c r="I1598" s="5" t="str">
        <f>IF(INDEX(Manual_Review!$S$6:$S$238,U1598)="","",INDEX(Manual_Review!$S$6:$S$238,U1598))</f>
        <v/>
      </c>
      <c r="J1598" s="5" t="str">
        <f t="shared" si="48"/>
        <v>AI provisional</v>
      </c>
      <c r="K1598" s="5" t="str">
        <f t="shared" si="49"/>
        <v>Y</v>
      </c>
      <c r="L1598" s="5" t="s">
        <v>1218</v>
      </c>
      <c r="M1598" s="5" t="s">
        <v>6204</v>
      </c>
      <c r="N1598" s="5" t="s">
        <v>6205</v>
      </c>
      <c r="O1598" s="5" t="s">
        <v>3022</v>
      </c>
      <c r="P1598" s="5" t="s">
        <v>2992</v>
      </c>
      <c r="Q1598" s="11">
        <v>46306.5</v>
      </c>
      <c r="R1598" s="6"/>
      <c r="S1598" s="6"/>
      <c r="T1598" s="6"/>
      <c r="U1598" s="5">
        <f>MATCH(B1598,Manual_Review!$A$6:$A$238,0)</f>
        <v>100</v>
      </c>
      <c r="V1598" s="5" t="str">
        <f>IF(INDEX(Manual_Review!$G$6:$G$238,U1598)="","",INDEX(Manual_Review!$G$6:$G$238,U1598))</f>
        <v/>
      </c>
      <c r="W1598" s="11" t="str">
        <f>IF(INDEX(Manual_Review!$H$6:$H$238,U1598)="","",INDEX(Manual_Review!$H$6:$H$238,U1598))</f>
        <v/>
      </c>
      <c r="X1598" s="5" t="str">
        <f>IF(INDEX(Manual_Review!$I$6:$I$238,U1598)="","",INDEX(Manual_Review!$I$6:$I$238,U1598))</f>
        <v/>
      </c>
      <c r="Y1598" s="5" t="s">
        <v>2859</v>
      </c>
    </row>
    <row r="1599" spans="1:25" ht="25.5">
      <c r="A1599" s="5" t="s">
        <v>6206</v>
      </c>
      <c r="B1599" s="5" t="s">
        <v>1204</v>
      </c>
      <c r="C1599" s="5" t="s">
        <v>1205</v>
      </c>
      <c r="D1599" s="5" t="s">
        <v>118</v>
      </c>
      <c r="E1599" s="5" t="s">
        <v>2790</v>
      </c>
      <c r="F1599" s="5" t="s">
        <v>2760</v>
      </c>
      <c r="G1599" s="5">
        <v>1</v>
      </c>
      <c r="H1599" s="5" t="s">
        <v>2854</v>
      </c>
      <c r="I1599" s="5" t="str">
        <f>IF(INDEX(Manual_Review!$T$6:$T$238,U1599)="","",INDEX(Manual_Review!$T$6:$T$238,U1599))</f>
        <v/>
      </c>
      <c r="J1599" s="5" t="str">
        <f t="shared" si="48"/>
        <v>AI provisional</v>
      </c>
      <c r="K1599" s="5" t="str">
        <f t="shared" si="49"/>
        <v>Y</v>
      </c>
      <c r="L1599" s="5" t="s">
        <v>1218</v>
      </c>
      <c r="M1599" s="5" t="s">
        <v>6207</v>
      </c>
      <c r="N1599" s="5" t="s">
        <v>6208</v>
      </c>
      <c r="O1599" s="5" t="s">
        <v>3451</v>
      </c>
      <c r="P1599" s="5" t="s">
        <v>2992</v>
      </c>
      <c r="Q1599" s="11">
        <v>46306.5</v>
      </c>
      <c r="R1599" s="6"/>
      <c r="S1599" s="6"/>
      <c r="T1599" s="6"/>
      <c r="U1599" s="5">
        <f>MATCH(B1599,Manual_Review!$A$6:$A$238,0)</f>
        <v>100</v>
      </c>
      <c r="V1599" s="5" t="str">
        <f>IF(INDEX(Manual_Review!$G$6:$G$238,U1599)="","",INDEX(Manual_Review!$G$6:$G$238,U1599))</f>
        <v/>
      </c>
      <c r="W1599" s="11" t="str">
        <f>IF(INDEX(Manual_Review!$H$6:$H$238,U1599)="","",INDEX(Manual_Review!$H$6:$H$238,U1599))</f>
        <v/>
      </c>
      <c r="X1599" s="5" t="str">
        <f>IF(INDEX(Manual_Review!$I$6:$I$238,U1599)="","",INDEX(Manual_Review!$I$6:$I$238,U1599))</f>
        <v/>
      </c>
      <c r="Y1599" s="5" t="s">
        <v>2859</v>
      </c>
    </row>
    <row r="1600" spans="1:25" ht="25.5">
      <c r="A1600" s="5" t="s">
        <v>6209</v>
      </c>
      <c r="B1600" s="5" t="s">
        <v>1204</v>
      </c>
      <c r="C1600" s="5" t="s">
        <v>1205</v>
      </c>
      <c r="D1600" s="5" t="s">
        <v>118</v>
      </c>
      <c r="E1600" s="5" t="s">
        <v>2791</v>
      </c>
      <c r="F1600" s="5" t="s">
        <v>2760</v>
      </c>
      <c r="G1600" s="5">
        <v>1</v>
      </c>
      <c r="H1600" s="5" t="s">
        <v>2864</v>
      </c>
      <c r="I1600" s="5" t="str">
        <f>IF(INDEX(Manual_Review!$U$6:$U$238,U1600)="","",INDEX(Manual_Review!$U$6:$U$238,U1600))</f>
        <v/>
      </c>
      <c r="J1600" s="5" t="str">
        <f t="shared" si="48"/>
        <v>AI provisional</v>
      </c>
      <c r="K1600" s="5" t="str">
        <f t="shared" si="49"/>
        <v>U</v>
      </c>
      <c r="L1600" s="5" t="s">
        <v>1218</v>
      </c>
      <c r="M1600" s="5" t="s">
        <v>6210</v>
      </c>
      <c r="N1600" s="5" t="s">
        <v>6211</v>
      </c>
      <c r="O1600" s="5" t="s">
        <v>3030</v>
      </c>
      <c r="P1600" s="5" t="s">
        <v>2992</v>
      </c>
      <c r="Q1600" s="11">
        <v>46306.5</v>
      </c>
      <c r="R1600" s="6"/>
      <c r="S1600" s="6"/>
      <c r="T1600" s="6"/>
      <c r="U1600" s="5">
        <f>MATCH(B1600,Manual_Review!$A$6:$A$238,0)</f>
        <v>100</v>
      </c>
      <c r="V1600" s="5" t="str">
        <f>IF(INDEX(Manual_Review!$G$6:$G$238,U1600)="","",INDEX(Manual_Review!$G$6:$G$238,U1600))</f>
        <v/>
      </c>
      <c r="W1600" s="11" t="str">
        <f>IF(INDEX(Manual_Review!$H$6:$H$238,U1600)="","",INDEX(Manual_Review!$H$6:$H$238,U1600))</f>
        <v/>
      </c>
      <c r="X1600" s="5" t="str">
        <f>IF(INDEX(Manual_Review!$I$6:$I$238,U1600)="","",INDEX(Manual_Review!$I$6:$I$238,U1600))</f>
        <v/>
      </c>
      <c r="Y1600" s="5" t="s">
        <v>2859</v>
      </c>
    </row>
    <row r="1601" spans="1:25" ht="25.5">
      <c r="A1601" s="5" t="s">
        <v>6212</v>
      </c>
      <c r="B1601" s="5" t="s">
        <v>1204</v>
      </c>
      <c r="C1601" s="5" t="s">
        <v>1205</v>
      </c>
      <c r="D1601" s="5" t="s">
        <v>118</v>
      </c>
      <c r="E1601" s="5" t="s">
        <v>2792</v>
      </c>
      <c r="F1601" s="5" t="s">
        <v>2762</v>
      </c>
      <c r="G1601" s="5">
        <v>1</v>
      </c>
      <c r="H1601" s="5" t="s">
        <v>2854</v>
      </c>
      <c r="I1601" s="5" t="str">
        <f>IF(INDEX(Manual_Review!$V$6:$V$238,U1601)="","",INDEX(Manual_Review!$V$6:$V$238,U1601))</f>
        <v/>
      </c>
      <c r="J1601" s="5" t="str">
        <f t="shared" si="48"/>
        <v>AI provisional</v>
      </c>
      <c r="K1601" s="5" t="str">
        <f t="shared" si="49"/>
        <v>Y</v>
      </c>
      <c r="L1601" s="5" t="s">
        <v>1218</v>
      </c>
      <c r="M1601" s="5" t="s">
        <v>6213</v>
      </c>
      <c r="N1601" s="5" t="s">
        <v>6214</v>
      </c>
      <c r="O1601" s="5" t="s">
        <v>3034</v>
      </c>
      <c r="P1601" s="5" t="s">
        <v>2992</v>
      </c>
      <c r="Q1601" s="11">
        <v>46306.5</v>
      </c>
      <c r="R1601" s="6"/>
      <c r="S1601" s="6"/>
      <c r="T1601" s="6"/>
      <c r="U1601" s="5">
        <f>MATCH(B1601,Manual_Review!$A$6:$A$238,0)</f>
        <v>100</v>
      </c>
      <c r="V1601" s="5" t="str">
        <f>IF(INDEX(Manual_Review!$G$6:$G$238,U1601)="","",INDEX(Manual_Review!$G$6:$G$238,U1601))</f>
        <v/>
      </c>
      <c r="W1601" s="11" t="str">
        <f>IF(INDEX(Manual_Review!$H$6:$H$238,U1601)="","",INDEX(Manual_Review!$H$6:$H$238,U1601))</f>
        <v/>
      </c>
      <c r="X1601" s="5" t="str">
        <f>IF(INDEX(Manual_Review!$I$6:$I$238,U1601)="","",INDEX(Manual_Review!$I$6:$I$238,U1601))</f>
        <v/>
      </c>
      <c r="Y1601" s="5" t="s">
        <v>2859</v>
      </c>
    </row>
    <row r="1602" spans="1:25" ht="51">
      <c r="A1602" s="5" t="s">
        <v>6215</v>
      </c>
      <c r="B1602" s="5" t="s">
        <v>1204</v>
      </c>
      <c r="C1602" s="5" t="s">
        <v>1205</v>
      </c>
      <c r="D1602" s="5" t="s">
        <v>118</v>
      </c>
      <c r="E1602" s="5" t="s">
        <v>2793</v>
      </c>
      <c r="F1602" s="5" t="s">
        <v>2762</v>
      </c>
      <c r="G1602" s="5">
        <v>1</v>
      </c>
      <c r="H1602" s="5" t="s">
        <v>2854</v>
      </c>
      <c r="I1602" s="5" t="str">
        <f>IF(INDEX(Manual_Review!$W$6:$W$238,U1602)="","",INDEX(Manual_Review!$W$6:$W$238,U1602))</f>
        <v/>
      </c>
      <c r="J1602" s="5" t="str">
        <f t="shared" si="48"/>
        <v>AI provisional</v>
      </c>
      <c r="K1602" s="5" t="str">
        <f t="shared" si="49"/>
        <v>Y</v>
      </c>
      <c r="L1602" s="5" t="s">
        <v>1218</v>
      </c>
      <c r="M1602" s="5" t="s">
        <v>6216</v>
      </c>
      <c r="N1602" s="5" t="s">
        <v>6217</v>
      </c>
      <c r="O1602" s="5" t="s">
        <v>3038</v>
      </c>
      <c r="P1602" s="5" t="s">
        <v>2992</v>
      </c>
      <c r="Q1602" s="11">
        <v>46306.5</v>
      </c>
      <c r="R1602" s="6"/>
      <c r="S1602" s="6"/>
      <c r="T1602" s="6"/>
      <c r="U1602" s="5">
        <f>MATCH(B1602,Manual_Review!$A$6:$A$238,0)</f>
        <v>100</v>
      </c>
      <c r="V1602" s="5" t="str">
        <f>IF(INDEX(Manual_Review!$G$6:$G$238,U1602)="","",INDEX(Manual_Review!$G$6:$G$238,U1602))</f>
        <v/>
      </c>
      <c r="W1602" s="11" t="str">
        <f>IF(INDEX(Manual_Review!$H$6:$H$238,U1602)="","",INDEX(Manual_Review!$H$6:$H$238,U1602))</f>
        <v/>
      </c>
      <c r="X1602" s="5" t="str">
        <f>IF(INDEX(Manual_Review!$I$6:$I$238,U1602)="","",INDEX(Manual_Review!$I$6:$I$238,U1602))</f>
        <v/>
      </c>
      <c r="Y1602" s="5" t="s">
        <v>2859</v>
      </c>
    </row>
    <row r="1603" spans="1:25" ht="25.5">
      <c r="A1603" s="5" t="s">
        <v>6218</v>
      </c>
      <c r="B1603" s="5" t="s">
        <v>1204</v>
      </c>
      <c r="C1603" s="5" t="s">
        <v>1205</v>
      </c>
      <c r="D1603" s="5" t="s">
        <v>118</v>
      </c>
      <c r="E1603" s="5" t="s">
        <v>2794</v>
      </c>
      <c r="F1603" s="5" t="s">
        <v>2764</v>
      </c>
      <c r="G1603" s="5">
        <v>1</v>
      </c>
      <c r="H1603" s="5" t="s">
        <v>2854</v>
      </c>
      <c r="I1603" s="5" t="str">
        <f>IF(INDEX(Manual_Review!$X$6:$X$238,U1603)="","",INDEX(Manual_Review!$X$6:$X$238,U1603))</f>
        <v/>
      </c>
      <c r="J1603" s="5" t="str">
        <f t="shared" si="48"/>
        <v>AI provisional</v>
      </c>
      <c r="K1603" s="5" t="str">
        <f t="shared" si="49"/>
        <v>Y</v>
      </c>
      <c r="L1603" s="5" t="s">
        <v>1218</v>
      </c>
      <c r="M1603" s="5" t="s">
        <v>6219</v>
      </c>
      <c r="N1603" s="5" t="s">
        <v>6220</v>
      </c>
      <c r="O1603" s="5" t="s">
        <v>3042</v>
      </c>
      <c r="P1603" s="5" t="s">
        <v>2992</v>
      </c>
      <c r="Q1603" s="11">
        <v>46306.5</v>
      </c>
      <c r="R1603" s="6"/>
      <c r="S1603" s="6"/>
      <c r="T1603" s="6"/>
      <c r="U1603" s="5">
        <f>MATCH(B1603,Manual_Review!$A$6:$A$238,0)</f>
        <v>100</v>
      </c>
      <c r="V1603" s="5" t="str">
        <f>IF(INDEX(Manual_Review!$G$6:$G$238,U1603)="","",INDEX(Manual_Review!$G$6:$G$238,U1603))</f>
        <v/>
      </c>
      <c r="W1603" s="11" t="str">
        <f>IF(INDEX(Manual_Review!$H$6:$H$238,U1603)="","",INDEX(Manual_Review!$H$6:$H$238,U1603))</f>
        <v/>
      </c>
      <c r="X1603" s="5" t="str">
        <f>IF(INDEX(Manual_Review!$I$6:$I$238,U1603)="","",INDEX(Manual_Review!$I$6:$I$238,U1603))</f>
        <v/>
      </c>
      <c r="Y1603" s="5" t="s">
        <v>2859</v>
      </c>
    </row>
    <row r="1604" spans="1:25" ht="25.5">
      <c r="A1604" s="5" t="s">
        <v>6221</v>
      </c>
      <c r="B1604" s="5" t="s">
        <v>1204</v>
      </c>
      <c r="C1604" s="5" t="s">
        <v>1205</v>
      </c>
      <c r="D1604" s="5" t="s">
        <v>118</v>
      </c>
      <c r="E1604" s="5" t="s">
        <v>2795</v>
      </c>
      <c r="F1604" s="5" t="s">
        <v>2764</v>
      </c>
      <c r="G1604" s="5">
        <v>1</v>
      </c>
      <c r="H1604" s="5" t="s">
        <v>2854</v>
      </c>
      <c r="I1604" s="5" t="str">
        <f>IF(INDEX(Manual_Review!$Y$6:$Y$238,U1604)="","",INDEX(Manual_Review!$Y$6:$Y$238,U1604))</f>
        <v/>
      </c>
      <c r="J1604" s="5" t="str">
        <f t="shared" si="48"/>
        <v>AI provisional</v>
      </c>
      <c r="K1604" s="5" t="str">
        <f t="shared" si="49"/>
        <v>Y</v>
      </c>
      <c r="L1604" s="5" t="s">
        <v>1218</v>
      </c>
      <c r="M1604" s="5" t="s">
        <v>6222</v>
      </c>
      <c r="N1604" s="5" t="s">
        <v>6223</v>
      </c>
      <c r="O1604" s="5" t="s">
        <v>3046</v>
      </c>
      <c r="P1604" s="5" t="s">
        <v>2992</v>
      </c>
      <c r="Q1604" s="11">
        <v>46306.5</v>
      </c>
      <c r="R1604" s="6"/>
      <c r="S1604" s="6"/>
      <c r="T1604" s="6"/>
      <c r="U1604" s="5">
        <f>MATCH(B1604,Manual_Review!$A$6:$A$238,0)</f>
        <v>100</v>
      </c>
      <c r="V1604" s="5" t="str">
        <f>IF(INDEX(Manual_Review!$G$6:$G$238,U1604)="","",INDEX(Manual_Review!$G$6:$G$238,U1604))</f>
        <v/>
      </c>
      <c r="W1604" s="11" t="str">
        <f>IF(INDEX(Manual_Review!$H$6:$H$238,U1604)="","",INDEX(Manual_Review!$H$6:$H$238,U1604))</f>
        <v/>
      </c>
      <c r="X1604" s="5" t="str">
        <f>IF(INDEX(Manual_Review!$I$6:$I$238,U1604)="","",INDEX(Manual_Review!$I$6:$I$238,U1604))</f>
        <v/>
      </c>
      <c r="Y1604" s="5" t="s">
        <v>2859</v>
      </c>
    </row>
    <row r="1605" spans="1:25" ht="51">
      <c r="A1605" s="5" t="s">
        <v>6224</v>
      </c>
      <c r="B1605" s="5" t="s">
        <v>1204</v>
      </c>
      <c r="C1605" s="5" t="s">
        <v>1205</v>
      </c>
      <c r="D1605" s="5" t="s">
        <v>118</v>
      </c>
      <c r="E1605" s="5" t="s">
        <v>2796</v>
      </c>
      <c r="F1605" s="5" t="s">
        <v>2764</v>
      </c>
      <c r="G1605" s="5">
        <v>1</v>
      </c>
      <c r="H1605" s="5" t="s">
        <v>2854</v>
      </c>
      <c r="I1605" s="5" t="str">
        <f>IF(INDEX(Manual_Review!$Z$6:$Z$238,U1605)="","",INDEX(Manual_Review!$Z$6:$Z$238,U1605))</f>
        <v/>
      </c>
      <c r="J1605" s="5" t="str">
        <f t="shared" si="48"/>
        <v>AI provisional</v>
      </c>
      <c r="K1605" s="5" t="str">
        <f t="shared" si="49"/>
        <v>Y</v>
      </c>
      <c r="L1605" s="5" t="s">
        <v>1218</v>
      </c>
      <c r="M1605" s="5" t="s">
        <v>6225</v>
      </c>
      <c r="N1605" s="5" t="s">
        <v>6226</v>
      </c>
      <c r="O1605" s="5" t="s">
        <v>3960</v>
      </c>
      <c r="P1605" s="5" t="s">
        <v>2992</v>
      </c>
      <c r="Q1605" s="11">
        <v>46306.5</v>
      </c>
      <c r="R1605" s="6"/>
      <c r="S1605" s="6"/>
      <c r="T1605" s="6"/>
      <c r="U1605" s="5">
        <f>MATCH(B1605,Manual_Review!$A$6:$A$238,0)</f>
        <v>100</v>
      </c>
      <c r="V1605" s="5" t="str">
        <f>IF(INDEX(Manual_Review!$G$6:$G$238,U1605)="","",INDEX(Manual_Review!$G$6:$G$238,U1605))</f>
        <v/>
      </c>
      <c r="W1605" s="11" t="str">
        <f>IF(INDEX(Manual_Review!$H$6:$H$238,U1605)="","",INDEX(Manual_Review!$H$6:$H$238,U1605))</f>
        <v/>
      </c>
      <c r="X1605" s="5" t="str">
        <f>IF(INDEX(Manual_Review!$I$6:$I$238,U1605)="","",INDEX(Manual_Review!$I$6:$I$238,U1605))</f>
        <v/>
      </c>
      <c r="Y1605" s="5" t="s">
        <v>2859</v>
      </c>
    </row>
    <row r="1606" spans="1:25" ht="25.5">
      <c r="A1606" s="5" t="s">
        <v>6227</v>
      </c>
      <c r="B1606" s="5" t="s">
        <v>1221</v>
      </c>
      <c r="C1606" s="5" t="s">
        <v>1222</v>
      </c>
      <c r="D1606" s="5" t="s">
        <v>118</v>
      </c>
      <c r="E1606" s="5" t="s">
        <v>2781</v>
      </c>
      <c r="F1606" s="5" t="s">
        <v>2754</v>
      </c>
      <c r="G1606" s="5">
        <v>1</v>
      </c>
      <c r="H1606" s="5" t="s">
        <v>2854</v>
      </c>
      <c r="I1606" s="5" t="str">
        <f>IF(INDEX(Manual_Review!$K$6:$K$238,U1606)="","",INDEX(Manual_Review!$K$6:$K$238,U1606))</f>
        <v/>
      </c>
      <c r="J1606" s="5" t="str">
        <f t="shared" ref="J1606:J1669" si="50">IF(G1606=0,"Not applicable",IF(I1606="","AI provisional",IF(AND(OR(I1606="Y",I1606="N",I1606="U",I1606="X"),V1606&lt;&gt;"",ISNUMBER(W1606),W1606&gt;0,X1606="Confirmed",R1606&lt;&gt;"",S1606&lt;&gt;"",T1606&lt;&gt;""),"Human valid","Evidence needed")))</f>
        <v>AI provisional</v>
      </c>
      <c r="K1606" s="5" t="str">
        <f t="shared" ref="K1606:K1669" si="51">IF(G1606=0,"N/A",IF(I1606="",H1606,IF(J1606="Human valid",I1606,"U")))</f>
        <v>Y</v>
      </c>
      <c r="L1606" s="5" t="s">
        <v>1230</v>
      </c>
      <c r="M1606" s="5" t="s">
        <v>6228</v>
      </c>
      <c r="N1606" s="5" t="s">
        <v>6229</v>
      </c>
      <c r="O1606" s="5" t="s">
        <v>2857</v>
      </c>
      <c r="P1606" s="5" t="s">
        <v>2858</v>
      </c>
      <c r="Q1606" s="11">
        <v>46306.5</v>
      </c>
      <c r="R1606" s="6"/>
      <c r="S1606" s="6"/>
      <c r="T1606" s="6"/>
      <c r="U1606" s="5">
        <f>MATCH(B1606,Manual_Review!$A$6:$A$238,0)</f>
        <v>101</v>
      </c>
      <c r="V1606" s="5" t="str">
        <f>IF(INDEX(Manual_Review!$G$6:$G$238,U1606)="","",INDEX(Manual_Review!$G$6:$G$238,U1606))</f>
        <v/>
      </c>
      <c r="W1606" s="11" t="str">
        <f>IF(INDEX(Manual_Review!$H$6:$H$238,U1606)="","",INDEX(Manual_Review!$H$6:$H$238,U1606))</f>
        <v/>
      </c>
      <c r="X1606" s="5" t="str">
        <f>IF(INDEX(Manual_Review!$I$6:$I$238,U1606)="","",INDEX(Manual_Review!$I$6:$I$238,U1606))</f>
        <v/>
      </c>
      <c r="Y1606" s="5" t="s">
        <v>2859</v>
      </c>
    </row>
    <row r="1607" spans="1:25" ht="25.5">
      <c r="A1607" s="5" t="s">
        <v>6230</v>
      </c>
      <c r="B1607" s="5" t="s">
        <v>1221</v>
      </c>
      <c r="C1607" s="5" t="s">
        <v>1222</v>
      </c>
      <c r="D1607" s="5" t="s">
        <v>118</v>
      </c>
      <c r="E1607" s="5" t="s">
        <v>2782</v>
      </c>
      <c r="F1607" s="5" t="s">
        <v>2754</v>
      </c>
      <c r="G1607" s="5">
        <v>1</v>
      </c>
      <c r="H1607" s="5" t="s">
        <v>2854</v>
      </c>
      <c r="I1607" s="5" t="str">
        <f>IF(INDEX(Manual_Review!$L$6:$L$238,U1607)="","",INDEX(Manual_Review!$L$6:$L$238,U1607))</f>
        <v/>
      </c>
      <c r="J1607" s="5" t="str">
        <f t="shared" si="50"/>
        <v>AI provisional</v>
      </c>
      <c r="K1607" s="5" t="str">
        <f t="shared" si="51"/>
        <v>Y</v>
      </c>
      <c r="L1607" s="5" t="s">
        <v>1230</v>
      </c>
      <c r="M1607" s="5" t="s">
        <v>6231</v>
      </c>
      <c r="N1607" s="5" t="s">
        <v>6229</v>
      </c>
      <c r="O1607" s="5" t="s">
        <v>2862</v>
      </c>
      <c r="P1607" s="5" t="s">
        <v>2858</v>
      </c>
      <c r="Q1607" s="11">
        <v>46306.5</v>
      </c>
      <c r="R1607" s="6"/>
      <c r="S1607" s="6"/>
      <c r="T1607" s="6"/>
      <c r="U1607" s="5">
        <f>MATCH(B1607,Manual_Review!$A$6:$A$238,0)</f>
        <v>101</v>
      </c>
      <c r="V1607" s="5" t="str">
        <f>IF(INDEX(Manual_Review!$G$6:$G$238,U1607)="","",INDEX(Manual_Review!$G$6:$G$238,U1607))</f>
        <v/>
      </c>
      <c r="W1607" s="11" t="str">
        <f>IF(INDEX(Manual_Review!$H$6:$H$238,U1607)="","",INDEX(Manual_Review!$H$6:$H$238,U1607))</f>
        <v/>
      </c>
      <c r="X1607" s="5" t="str">
        <f>IF(INDEX(Manual_Review!$I$6:$I$238,U1607)="","",INDEX(Manual_Review!$I$6:$I$238,U1607))</f>
        <v/>
      </c>
      <c r="Y1607" s="5" t="s">
        <v>2859</v>
      </c>
    </row>
    <row r="1608" spans="1:25" ht="25.5">
      <c r="A1608" s="5" t="s">
        <v>6232</v>
      </c>
      <c r="B1608" s="5" t="s">
        <v>1221</v>
      </c>
      <c r="C1608" s="5" t="s">
        <v>1222</v>
      </c>
      <c r="D1608" s="5" t="s">
        <v>118</v>
      </c>
      <c r="E1608" s="5" t="s">
        <v>2783</v>
      </c>
      <c r="F1608" s="5" t="s">
        <v>2754</v>
      </c>
      <c r="G1608" s="5">
        <v>1</v>
      </c>
      <c r="H1608" s="5" t="s">
        <v>2864</v>
      </c>
      <c r="I1608" s="5" t="str">
        <f>IF(INDEX(Manual_Review!$M$6:$M$238,U1608)="","",INDEX(Manual_Review!$M$6:$M$238,U1608))</f>
        <v/>
      </c>
      <c r="J1608" s="5" t="str">
        <f t="shared" si="50"/>
        <v>AI provisional</v>
      </c>
      <c r="K1608" s="5" t="str">
        <f t="shared" si="51"/>
        <v>U</v>
      </c>
      <c r="L1608" s="5" t="s">
        <v>1230</v>
      </c>
      <c r="M1608" s="5" t="s">
        <v>6233</v>
      </c>
      <c r="N1608" s="5" t="s">
        <v>6229</v>
      </c>
      <c r="O1608" s="5" t="s">
        <v>2866</v>
      </c>
      <c r="P1608" s="5" t="s">
        <v>2858</v>
      </c>
      <c r="Q1608" s="11">
        <v>46306.5</v>
      </c>
      <c r="R1608" s="6"/>
      <c r="S1608" s="6"/>
      <c r="T1608" s="6"/>
      <c r="U1608" s="5">
        <f>MATCH(B1608,Manual_Review!$A$6:$A$238,0)</f>
        <v>101</v>
      </c>
      <c r="V1608" s="5" t="str">
        <f>IF(INDEX(Manual_Review!$G$6:$G$238,U1608)="","",INDEX(Manual_Review!$G$6:$G$238,U1608))</f>
        <v/>
      </c>
      <c r="W1608" s="11" t="str">
        <f>IF(INDEX(Manual_Review!$H$6:$H$238,U1608)="","",INDEX(Manual_Review!$H$6:$H$238,U1608))</f>
        <v/>
      </c>
      <c r="X1608" s="5" t="str">
        <f>IF(INDEX(Manual_Review!$I$6:$I$238,U1608)="","",INDEX(Manual_Review!$I$6:$I$238,U1608))</f>
        <v/>
      </c>
      <c r="Y1608" s="5" t="s">
        <v>2859</v>
      </c>
    </row>
    <row r="1609" spans="1:25" ht="25.5">
      <c r="A1609" s="5" t="s">
        <v>6234</v>
      </c>
      <c r="B1609" s="5" t="s">
        <v>1221</v>
      </c>
      <c r="C1609" s="5" t="s">
        <v>1222</v>
      </c>
      <c r="D1609" s="5" t="s">
        <v>118</v>
      </c>
      <c r="E1609" s="5" t="s">
        <v>2784</v>
      </c>
      <c r="F1609" s="5" t="s">
        <v>2756</v>
      </c>
      <c r="G1609" s="5">
        <v>1</v>
      </c>
      <c r="H1609" s="5" t="s">
        <v>2864</v>
      </c>
      <c r="I1609" s="5" t="str">
        <f>IF(INDEX(Manual_Review!$N$6:$N$238,U1609)="","",INDEX(Manual_Review!$N$6:$N$238,U1609))</f>
        <v/>
      </c>
      <c r="J1609" s="5" t="str">
        <f t="shared" si="50"/>
        <v>AI provisional</v>
      </c>
      <c r="K1609" s="5" t="str">
        <f t="shared" si="51"/>
        <v>U</v>
      </c>
      <c r="L1609" s="5" t="s">
        <v>1230</v>
      </c>
      <c r="M1609" s="5" t="s">
        <v>6235</v>
      </c>
      <c r="N1609" s="5" t="s">
        <v>6229</v>
      </c>
      <c r="O1609" s="5" t="s">
        <v>2869</v>
      </c>
      <c r="P1609" s="5" t="s">
        <v>2858</v>
      </c>
      <c r="Q1609" s="11">
        <v>46306.5</v>
      </c>
      <c r="R1609" s="6"/>
      <c r="S1609" s="6"/>
      <c r="T1609" s="6"/>
      <c r="U1609" s="5">
        <f>MATCH(B1609,Manual_Review!$A$6:$A$238,0)</f>
        <v>101</v>
      </c>
      <c r="V1609" s="5" t="str">
        <f>IF(INDEX(Manual_Review!$G$6:$G$238,U1609)="","",INDEX(Manual_Review!$G$6:$G$238,U1609))</f>
        <v/>
      </c>
      <c r="W1609" s="11" t="str">
        <f>IF(INDEX(Manual_Review!$H$6:$H$238,U1609)="","",INDEX(Manual_Review!$H$6:$H$238,U1609))</f>
        <v/>
      </c>
      <c r="X1609" s="5" t="str">
        <f>IF(INDEX(Manual_Review!$I$6:$I$238,U1609)="","",INDEX(Manual_Review!$I$6:$I$238,U1609))</f>
        <v/>
      </c>
      <c r="Y1609" s="5" t="s">
        <v>2859</v>
      </c>
    </row>
    <row r="1610" spans="1:25" ht="25.5">
      <c r="A1610" s="5" t="s">
        <v>6236</v>
      </c>
      <c r="B1610" s="5" t="s">
        <v>1221</v>
      </c>
      <c r="C1610" s="5" t="s">
        <v>1222</v>
      </c>
      <c r="D1610" s="5" t="s">
        <v>118</v>
      </c>
      <c r="E1610" s="5" t="s">
        <v>2785</v>
      </c>
      <c r="F1610" s="5" t="s">
        <v>2756</v>
      </c>
      <c r="G1610" s="5">
        <v>1</v>
      </c>
      <c r="H1610" s="5" t="s">
        <v>2864</v>
      </c>
      <c r="I1610" s="5" t="str">
        <f>IF(INDEX(Manual_Review!$O$6:$O$238,U1610)="","",INDEX(Manual_Review!$O$6:$O$238,U1610))</f>
        <v/>
      </c>
      <c r="J1610" s="5" t="str">
        <f t="shared" si="50"/>
        <v>AI provisional</v>
      </c>
      <c r="K1610" s="5" t="str">
        <f t="shared" si="51"/>
        <v>U</v>
      </c>
      <c r="L1610" s="5" t="s">
        <v>1230</v>
      </c>
      <c r="M1610" s="5" t="s">
        <v>6237</v>
      </c>
      <c r="N1610" s="5" t="s">
        <v>6229</v>
      </c>
      <c r="O1610" s="5" t="s">
        <v>2872</v>
      </c>
      <c r="P1610" s="5" t="s">
        <v>2858</v>
      </c>
      <c r="Q1610" s="11">
        <v>46306.5</v>
      </c>
      <c r="R1610" s="6"/>
      <c r="S1610" s="6"/>
      <c r="T1610" s="6"/>
      <c r="U1610" s="5">
        <f>MATCH(B1610,Manual_Review!$A$6:$A$238,0)</f>
        <v>101</v>
      </c>
      <c r="V1610" s="5" t="str">
        <f>IF(INDEX(Manual_Review!$G$6:$G$238,U1610)="","",INDEX(Manual_Review!$G$6:$G$238,U1610))</f>
        <v/>
      </c>
      <c r="W1610" s="11" t="str">
        <f>IF(INDEX(Manual_Review!$H$6:$H$238,U1610)="","",INDEX(Manual_Review!$H$6:$H$238,U1610))</f>
        <v/>
      </c>
      <c r="X1610" s="5" t="str">
        <f>IF(INDEX(Manual_Review!$I$6:$I$238,U1610)="","",INDEX(Manual_Review!$I$6:$I$238,U1610))</f>
        <v/>
      </c>
      <c r="Y1610" s="5" t="s">
        <v>2859</v>
      </c>
    </row>
    <row r="1611" spans="1:25" ht="25.5">
      <c r="A1611" s="5" t="s">
        <v>6238</v>
      </c>
      <c r="B1611" s="5" t="s">
        <v>1221</v>
      </c>
      <c r="C1611" s="5" t="s">
        <v>1222</v>
      </c>
      <c r="D1611" s="5" t="s">
        <v>118</v>
      </c>
      <c r="E1611" s="5" t="s">
        <v>2786</v>
      </c>
      <c r="F1611" s="5" t="s">
        <v>2756</v>
      </c>
      <c r="G1611" s="5">
        <v>1</v>
      </c>
      <c r="H1611" s="5" t="s">
        <v>2864</v>
      </c>
      <c r="I1611" s="5" t="str">
        <f>IF(INDEX(Manual_Review!$P$6:$P$238,U1611)="","",INDEX(Manual_Review!$P$6:$P$238,U1611))</f>
        <v/>
      </c>
      <c r="J1611" s="5" t="str">
        <f t="shared" si="50"/>
        <v>AI provisional</v>
      </c>
      <c r="K1611" s="5" t="str">
        <f t="shared" si="51"/>
        <v>U</v>
      </c>
      <c r="L1611" s="5" t="s">
        <v>1230</v>
      </c>
      <c r="M1611" s="5" t="s">
        <v>6239</v>
      </c>
      <c r="N1611" s="5" t="s">
        <v>6229</v>
      </c>
      <c r="O1611" s="5" t="s">
        <v>2874</v>
      </c>
      <c r="P1611" s="5" t="s">
        <v>2858</v>
      </c>
      <c r="Q1611" s="11">
        <v>46306.5</v>
      </c>
      <c r="R1611" s="6"/>
      <c r="S1611" s="6"/>
      <c r="T1611" s="6"/>
      <c r="U1611" s="5">
        <f>MATCH(B1611,Manual_Review!$A$6:$A$238,0)</f>
        <v>101</v>
      </c>
      <c r="V1611" s="5" t="str">
        <f>IF(INDEX(Manual_Review!$G$6:$G$238,U1611)="","",INDEX(Manual_Review!$G$6:$G$238,U1611))</f>
        <v/>
      </c>
      <c r="W1611" s="11" t="str">
        <f>IF(INDEX(Manual_Review!$H$6:$H$238,U1611)="","",INDEX(Manual_Review!$H$6:$H$238,U1611))</f>
        <v/>
      </c>
      <c r="X1611" s="5" t="str">
        <f>IF(INDEX(Manual_Review!$I$6:$I$238,U1611)="","",INDEX(Manual_Review!$I$6:$I$238,U1611))</f>
        <v/>
      </c>
      <c r="Y1611" s="5" t="s">
        <v>2859</v>
      </c>
    </row>
    <row r="1612" spans="1:25" ht="25.5">
      <c r="A1612" s="5" t="s">
        <v>6240</v>
      </c>
      <c r="B1612" s="5" t="s">
        <v>1221</v>
      </c>
      <c r="C1612" s="5" t="s">
        <v>1222</v>
      </c>
      <c r="D1612" s="5" t="s">
        <v>118</v>
      </c>
      <c r="E1612" s="5" t="s">
        <v>2787</v>
      </c>
      <c r="F1612" s="5" t="s">
        <v>2758</v>
      </c>
      <c r="G1612" s="5">
        <v>1</v>
      </c>
      <c r="H1612" s="5" t="s">
        <v>2864</v>
      </c>
      <c r="I1612" s="5" t="str">
        <f>IF(INDEX(Manual_Review!$Q$6:$Q$238,U1612)="","",INDEX(Manual_Review!$Q$6:$Q$238,U1612))</f>
        <v/>
      </c>
      <c r="J1612" s="5" t="str">
        <f t="shared" si="50"/>
        <v>AI provisional</v>
      </c>
      <c r="K1612" s="5" t="str">
        <f t="shared" si="51"/>
        <v>U</v>
      </c>
      <c r="L1612" s="5" t="s">
        <v>1230</v>
      </c>
      <c r="M1612" s="5" t="s">
        <v>6241</v>
      </c>
      <c r="N1612" s="5" t="s">
        <v>6229</v>
      </c>
      <c r="O1612" s="5" t="s">
        <v>2877</v>
      </c>
      <c r="P1612" s="5" t="s">
        <v>2858</v>
      </c>
      <c r="Q1612" s="11">
        <v>46306.5</v>
      </c>
      <c r="R1612" s="6"/>
      <c r="S1612" s="6"/>
      <c r="T1612" s="6"/>
      <c r="U1612" s="5">
        <f>MATCH(B1612,Manual_Review!$A$6:$A$238,0)</f>
        <v>101</v>
      </c>
      <c r="V1612" s="5" t="str">
        <f>IF(INDEX(Manual_Review!$G$6:$G$238,U1612)="","",INDEX(Manual_Review!$G$6:$G$238,U1612))</f>
        <v/>
      </c>
      <c r="W1612" s="11" t="str">
        <f>IF(INDEX(Manual_Review!$H$6:$H$238,U1612)="","",INDEX(Manual_Review!$H$6:$H$238,U1612))</f>
        <v/>
      </c>
      <c r="X1612" s="5" t="str">
        <f>IF(INDEX(Manual_Review!$I$6:$I$238,U1612)="","",INDEX(Manual_Review!$I$6:$I$238,U1612))</f>
        <v/>
      </c>
      <c r="Y1612" s="5" t="s">
        <v>2859</v>
      </c>
    </row>
    <row r="1613" spans="1:25" ht="25.5">
      <c r="A1613" s="5" t="s">
        <v>6242</v>
      </c>
      <c r="B1613" s="5" t="s">
        <v>1221</v>
      </c>
      <c r="C1613" s="5" t="s">
        <v>1222</v>
      </c>
      <c r="D1613" s="5" t="s">
        <v>118</v>
      </c>
      <c r="E1613" s="5" t="s">
        <v>2788</v>
      </c>
      <c r="F1613" s="5" t="s">
        <v>2758</v>
      </c>
      <c r="G1613" s="5">
        <v>1</v>
      </c>
      <c r="H1613" s="5" t="s">
        <v>2864</v>
      </c>
      <c r="I1613" s="5" t="str">
        <f>IF(INDEX(Manual_Review!$R$6:$R$238,U1613)="","",INDEX(Manual_Review!$R$6:$R$238,U1613))</f>
        <v/>
      </c>
      <c r="J1613" s="5" t="str">
        <f t="shared" si="50"/>
        <v>AI provisional</v>
      </c>
      <c r="K1613" s="5" t="str">
        <f t="shared" si="51"/>
        <v>U</v>
      </c>
      <c r="L1613" s="5" t="s">
        <v>1230</v>
      </c>
      <c r="M1613" s="5" t="s">
        <v>6243</v>
      </c>
      <c r="N1613" s="5" t="s">
        <v>6229</v>
      </c>
      <c r="O1613" s="5" t="s">
        <v>2880</v>
      </c>
      <c r="P1613" s="5" t="s">
        <v>2858</v>
      </c>
      <c r="Q1613" s="11">
        <v>46306.5</v>
      </c>
      <c r="R1613" s="6"/>
      <c r="S1613" s="6"/>
      <c r="T1613" s="6"/>
      <c r="U1613" s="5">
        <f>MATCH(B1613,Manual_Review!$A$6:$A$238,0)</f>
        <v>101</v>
      </c>
      <c r="V1613" s="5" t="str">
        <f>IF(INDEX(Manual_Review!$G$6:$G$238,U1613)="","",INDEX(Manual_Review!$G$6:$G$238,U1613))</f>
        <v/>
      </c>
      <c r="W1613" s="11" t="str">
        <f>IF(INDEX(Manual_Review!$H$6:$H$238,U1613)="","",INDEX(Manual_Review!$H$6:$H$238,U1613))</f>
        <v/>
      </c>
      <c r="X1613" s="5" t="str">
        <f>IF(INDEX(Manual_Review!$I$6:$I$238,U1613)="","",INDEX(Manual_Review!$I$6:$I$238,U1613))</f>
        <v/>
      </c>
      <c r="Y1613" s="5" t="s">
        <v>2859</v>
      </c>
    </row>
    <row r="1614" spans="1:25" ht="25.5">
      <c r="A1614" s="5" t="s">
        <v>6244</v>
      </c>
      <c r="B1614" s="5" t="s">
        <v>1221</v>
      </c>
      <c r="C1614" s="5" t="s">
        <v>1222</v>
      </c>
      <c r="D1614" s="5" t="s">
        <v>118</v>
      </c>
      <c r="E1614" s="5" t="s">
        <v>2789</v>
      </c>
      <c r="F1614" s="5" t="s">
        <v>2758</v>
      </c>
      <c r="G1614" s="5">
        <v>1</v>
      </c>
      <c r="H1614" s="5" t="s">
        <v>2864</v>
      </c>
      <c r="I1614" s="5" t="str">
        <f>IF(INDEX(Manual_Review!$S$6:$S$238,U1614)="","",INDEX(Manual_Review!$S$6:$S$238,U1614))</f>
        <v/>
      </c>
      <c r="J1614" s="5" t="str">
        <f t="shared" si="50"/>
        <v>AI provisional</v>
      </c>
      <c r="K1614" s="5" t="str">
        <f t="shared" si="51"/>
        <v>U</v>
      </c>
      <c r="L1614" s="5" t="s">
        <v>1230</v>
      </c>
      <c r="M1614" s="5" t="s">
        <v>6245</v>
      </c>
      <c r="N1614" s="5" t="s">
        <v>6229</v>
      </c>
      <c r="O1614" s="5" t="s">
        <v>2883</v>
      </c>
      <c r="P1614" s="5" t="s">
        <v>2858</v>
      </c>
      <c r="Q1614" s="11">
        <v>46306.5</v>
      </c>
      <c r="R1614" s="6"/>
      <c r="S1614" s="6"/>
      <c r="T1614" s="6"/>
      <c r="U1614" s="5">
        <f>MATCH(B1614,Manual_Review!$A$6:$A$238,0)</f>
        <v>101</v>
      </c>
      <c r="V1614" s="5" t="str">
        <f>IF(INDEX(Manual_Review!$G$6:$G$238,U1614)="","",INDEX(Manual_Review!$G$6:$G$238,U1614))</f>
        <v/>
      </c>
      <c r="W1614" s="11" t="str">
        <f>IF(INDEX(Manual_Review!$H$6:$H$238,U1614)="","",INDEX(Manual_Review!$H$6:$H$238,U1614))</f>
        <v/>
      </c>
      <c r="X1614" s="5" t="str">
        <f>IF(INDEX(Manual_Review!$I$6:$I$238,U1614)="","",INDEX(Manual_Review!$I$6:$I$238,U1614))</f>
        <v/>
      </c>
      <c r="Y1614" s="5" t="s">
        <v>2859</v>
      </c>
    </row>
    <row r="1615" spans="1:25" ht="25.5">
      <c r="A1615" s="5" t="s">
        <v>6246</v>
      </c>
      <c r="B1615" s="5" t="s">
        <v>1221</v>
      </c>
      <c r="C1615" s="5" t="s">
        <v>1222</v>
      </c>
      <c r="D1615" s="5" t="s">
        <v>118</v>
      </c>
      <c r="E1615" s="5" t="s">
        <v>2790</v>
      </c>
      <c r="F1615" s="5" t="s">
        <v>2760</v>
      </c>
      <c r="G1615" s="5">
        <v>1</v>
      </c>
      <c r="H1615" s="5" t="s">
        <v>2854</v>
      </c>
      <c r="I1615" s="5" t="str">
        <f>IF(INDEX(Manual_Review!$T$6:$T$238,U1615)="","",INDEX(Manual_Review!$T$6:$T$238,U1615))</f>
        <v/>
      </c>
      <c r="J1615" s="5" t="str">
        <f t="shared" si="50"/>
        <v>AI provisional</v>
      </c>
      <c r="K1615" s="5" t="str">
        <f t="shared" si="51"/>
        <v>Y</v>
      </c>
      <c r="L1615" s="5" t="s">
        <v>1230</v>
      </c>
      <c r="M1615" s="5" t="s">
        <v>6247</v>
      </c>
      <c r="N1615" s="5" t="s">
        <v>6229</v>
      </c>
      <c r="O1615" s="5" t="s">
        <v>2976</v>
      </c>
      <c r="P1615" s="5" t="s">
        <v>2858</v>
      </c>
      <c r="Q1615" s="11">
        <v>46306.5</v>
      </c>
      <c r="R1615" s="6"/>
      <c r="S1615" s="6"/>
      <c r="T1615" s="6"/>
      <c r="U1615" s="5">
        <f>MATCH(B1615,Manual_Review!$A$6:$A$238,0)</f>
        <v>101</v>
      </c>
      <c r="V1615" s="5" t="str">
        <f>IF(INDEX(Manual_Review!$G$6:$G$238,U1615)="","",INDEX(Manual_Review!$G$6:$G$238,U1615))</f>
        <v/>
      </c>
      <c r="W1615" s="11" t="str">
        <f>IF(INDEX(Manual_Review!$H$6:$H$238,U1615)="","",INDEX(Manual_Review!$H$6:$H$238,U1615))</f>
        <v/>
      </c>
      <c r="X1615" s="5" t="str">
        <f>IF(INDEX(Manual_Review!$I$6:$I$238,U1615)="","",INDEX(Manual_Review!$I$6:$I$238,U1615))</f>
        <v/>
      </c>
      <c r="Y1615" s="5" t="s">
        <v>2859</v>
      </c>
    </row>
    <row r="1616" spans="1:25" ht="25.5">
      <c r="A1616" s="5" t="s">
        <v>6248</v>
      </c>
      <c r="B1616" s="5" t="s">
        <v>1221</v>
      </c>
      <c r="C1616" s="5" t="s">
        <v>1222</v>
      </c>
      <c r="D1616" s="5" t="s">
        <v>118</v>
      </c>
      <c r="E1616" s="5" t="s">
        <v>2791</v>
      </c>
      <c r="F1616" s="5" t="s">
        <v>2760</v>
      </c>
      <c r="G1616" s="5">
        <v>1</v>
      </c>
      <c r="H1616" s="5" t="s">
        <v>2864</v>
      </c>
      <c r="I1616" s="5" t="str">
        <f>IF(INDEX(Manual_Review!$U$6:$U$238,U1616)="","",INDEX(Manual_Review!$U$6:$U$238,U1616))</f>
        <v/>
      </c>
      <c r="J1616" s="5" t="str">
        <f t="shared" si="50"/>
        <v>AI provisional</v>
      </c>
      <c r="K1616" s="5" t="str">
        <f t="shared" si="51"/>
        <v>U</v>
      </c>
      <c r="L1616" s="5" t="s">
        <v>1230</v>
      </c>
      <c r="M1616" s="5" t="s">
        <v>6249</v>
      </c>
      <c r="N1616" s="5" t="s">
        <v>6229</v>
      </c>
      <c r="O1616" s="5" t="s">
        <v>2888</v>
      </c>
      <c r="P1616" s="5" t="s">
        <v>2858</v>
      </c>
      <c r="Q1616" s="11">
        <v>46306.5</v>
      </c>
      <c r="R1616" s="6"/>
      <c r="S1616" s="6"/>
      <c r="T1616" s="6"/>
      <c r="U1616" s="5">
        <f>MATCH(B1616,Manual_Review!$A$6:$A$238,0)</f>
        <v>101</v>
      </c>
      <c r="V1616" s="5" t="str">
        <f>IF(INDEX(Manual_Review!$G$6:$G$238,U1616)="","",INDEX(Manual_Review!$G$6:$G$238,U1616))</f>
        <v/>
      </c>
      <c r="W1616" s="11" t="str">
        <f>IF(INDEX(Manual_Review!$H$6:$H$238,U1616)="","",INDEX(Manual_Review!$H$6:$H$238,U1616))</f>
        <v/>
      </c>
      <c r="X1616" s="5" t="str">
        <f>IF(INDEX(Manual_Review!$I$6:$I$238,U1616)="","",INDEX(Manual_Review!$I$6:$I$238,U1616))</f>
        <v/>
      </c>
      <c r="Y1616" s="5" t="s">
        <v>2859</v>
      </c>
    </row>
    <row r="1617" spans="1:25" ht="25.5">
      <c r="A1617" s="5" t="s">
        <v>6250</v>
      </c>
      <c r="B1617" s="5" t="s">
        <v>1221</v>
      </c>
      <c r="C1617" s="5" t="s">
        <v>1222</v>
      </c>
      <c r="D1617" s="5" t="s">
        <v>118</v>
      </c>
      <c r="E1617" s="5" t="s">
        <v>2792</v>
      </c>
      <c r="F1617" s="5" t="s">
        <v>2762</v>
      </c>
      <c r="G1617" s="5">
        <v>1</v>
      </c>
      <c r="H1617" s="5" t="s">
        <v>2864</v>
      </c>
      <c r="I1617" s="5" t="str">
        <f>IF(INDEX(Manual_Review!$V$6:$V$238,U1617)="","",INDEX(Manual_Review!$V$6:$V$238,U1617))</f>
        <v/>
      </c>
      <c r="J1617" s="5" t="str">
        <f t="shared" si="50"/>
        <v>AI provisional</v>
      </c>
      <c r="K1617" s="5" t="str">
        <f t="shared" si="51"/>
        <v>U</v>
      </c>
      <c r="L1617" s="5" t="s">
        <v>1230</v>
      </c>
      <c r="M1617" s="5" t="s">
        <v>6239</v>
      </c>
      <c r="N1617" s="5" t="s">
        <v>6229</v>
      </c>
      <c r="O1617" s="5" t="s">
        <v>2891</v>
      </c>
      <c r="P1617" s="5" t="s">
        <v>2858</v>
      </c>
      <c r="Q1617" s="11">
        <v>46306.5</v>
      </c>
      <c r="R1617" s="6"/>
      <c r="S1617" s="6"/>
      <c r="T1617" s="6"/>
      <c r="U1617" s="5">
        <f>MATCH(B1617,Manual_Review!$A$6:$A$238,0)</f>
        <v>101</v>
      </c>
      <c r="V1617" s="5" t="str">
        <f>IF(INDEX(Manual_Review!$G$6:$G$238,U1617)="","",INDEX(Manual_Review!$G$6:$G$238,U1617))</f>
        <v/>
      </c>
      <c r="W1617" s="11" t="str">
        <f>IF(INDEX(Manual_Review!$H$6:$H$238,U1617)="","",INDEX(Manual_Review!$H$6:$H$238,U1617))</f>
        <v/>
      </c>
      <c r="X1617" s="5" t="str">
        <f>IF(INDEX(Manual_Review!$I$6:$I$238,U1617)="","",INDEX(Manual_Review!$I$6:$I$238,U1617))</f>
        <v/>
      </c>
      <c r="Y1617" s="5" t="s">
        <v>2859</v>
      </c>
    </row>
    <row r="1618" spans="1:25" ht="25.5">
      <c r="A1618" s="5" t="s">
        <v>6251</v>
      </c>
      <c r="B1618" s="5" t="s">
        <v>1221</v>
      </c>
      <c r="C1618" s="5" t="s">
        <v>1222</v>
      </c>
      <c r="D1618" s="5" t="s">
        <v>118</v>
      </c>
      <c r="E1618" s="5" t="s">
        <v>2793</v>
      </c>
      <c r="F1618" s="5" t="s">
        <v>2762</v>
      </c>
      <c r="G1618" s="5">
        <v>1</v>
      </c>
      <c r="H1618" s="5" t="s">
        <v>2864</v>
      </c>
      <c r="I1618" s="5" t="str">
        <f>IF(INDEX(Manual_Review!$W$6:$W$238,U1618)="","",INDEX(Manual_Review!$W$6:$W$238,U1618))</f>
        <v/>
      </c>
      <c r="J1618" s="5" t="str">
        <f t="shared" si="50"/>
        <v>AI provisional</v>
      </c>
      <c r="K1618" s="5" t="str">
        <f t="shared" si="51"/>
        <v>U</v>
      </c>
      <c r="L1618" s="5" t="s">
        <v>1230</v>
      </c>
      <c r="M1618" s="5" t="s">
        <v>6239</v>
      </c>
      <c r="N1618" s="5" t="s">
        <v>6229</v>
      </c>
      <c r="O1618" s="5" t="s">
        <v>2893</v>
      </c>
      <c r="P1618" s="5" t="s">
        <v>2858</v>
      </c>
      <c r="Q1618" s="11">
        <v>46306.5</v>
      </c>
      <c r="R1618" s="6"/>
      <c r="S1618" s="6"/>
      <c r="T1618" s="6"/>
      <c r="U1618" s="5">
        <f>MATCH(B1618,Manual_Review!$A$6:$A$238,0)</f>
        <v>101</v>
      </c>
      <c r="V1618" s="5" t="str">
        <f>IF(INDEX(Manual_Review!$G$6:$G$238,U1618)="","",INDEX(Manual_Review!$G$6:$G$238,U1618))</f>
        <v/>
      </c>
      <c r="W1618" s="11" t="str">
        <f>IF(INDEX(Manual_Review!$H$6:$H$238,U1618)="","",INDEX(Manual_Review!$H$6:$H$238,U1618))</f>
        <v/>
      </c>
      <c r="X1618" s="5" t="str">
        <f>IF(INDEX(Manual_Review!$I$6:$I$238,U1618)="","",INDEX(Manual_Review!$I$6:$I$238,U1618))</f>
        <v/>
      </c>
      <c r="Y1618" s="5" t="s">
        <v>2859</v>
      </c>
    </row>
    <row r="1619" spans="1:25" ht="25.5">
      <c r="A1619" s="5" t="s">
        <v>6252</v>
      </c>
      <c r="B1619" s="5" t="s">
        <v>1221</v>
      </c>
      <c r="C1619" s="5" t="s">
        <v>1222</v>
      </c>
      <c r="D1619" s="5" t="s">
        <v>118</v>
      </c>
      <c r="E1619" s="5" t="s">
        <v>2794</v>
      </c>
      <c r="F1619" s="5" t="s">
        <v>2764</v>
      </c>
      <c r="G1619" s="5">
        <v>1</v>
      </c>
      <c r="H1619" s="5" t="s">
        <v>2864</v>
      </c>
      <c r="I1619" s="5" t="str">
        <f>IF(INDEX(Manual_Review!$X$6:$X$238,U1619)="","",INDEX(Manual_Review!$X$6:$X$238,U1619))</f>
        <v/>
      </c>
      <c r="J1619" s="5" t="str">
        <f t="shared" si="50"/>
        <v>AI provisional</v>
      </c>
      <c r="K1619" s="5" t="str">
        <f t="shared" si="51"/>
        <v>U</v>
      </c>
      <c r="L1619" s="5" t="s">
        <v>1230</v>
      </c>
      <c r="M1619" s="5" t="s">
        <v>6239</v>
      </c>
      <c r="N1619" s="5" t="s">
        <v>6229</v>
      </c>
      <c r="O1619" s="5" t="s">
        <v>2895</v>
      </c>
      <c r="P1619" s="5" t="s">
        <v>2858</v>
      </c>
      <c r="Q1619" s="11">
        <v>46306.5</v>
      </c>
      <c r="R1619" s="6"/>
      <c r="S1619" s="6"/>
      <c r="T1619" s="6"/>
      <c r="U1619" s="5">
        <f>MATCH(B1619,Manual_Review!$A$6:$A$238,0)</f>
        <v>101</v>
      </c>
      <c r="V1619" s="5" t="str">
        <f>IF(INDEX(Manual_Review!$G$6:$G$238,U1619)="","",INDEX(Manual_Review!$G$6:$G$238,U1619))</f>
        <v/>
      </c>
      <c r="W1619" s="11" t="str">
        <f>IF(INDEX(Manual_Review!$H$6:$H$238,U1619)="","",INDEX(Manual_Review!$H$6:$H$238,U1619))</f>
        <v/>
      </c>
      <c r="X1619" s="5" t="str">
        <f>IF(INDEX(Manual_Review!$I$6:$I$238,U1619)="","",INDEX(Manual_Review!$I$6:$I$238,U1619))</f>
        <v/>
      </c>
      <c r="Y1619" s="5" t="s">
        <v>2859</v>
      </c>
    </row>
    <row r="1620" spans="1:25" ht="25.5">
      <c r="A1620" s="5" t="s">
        <v>6253</v>
      </c>
      <c r="B1620" s="5" t="s">
        <v>1221</v>
      </c>
      <c r="C1620" s="5" t="s">
        <v>1222</v>
      </c>
      <c r="D1620" s="5" t="s">
        <v>118</v>
      </c>
      <c r="E1620" s="5" t="s">
        <v>2795</v>
      </c>
      <c r="F1620" s="5" t="s">
        <v>2764</v>
      </c>
      <c r="G1620" s="5">
        <v>1</v>
      </c>
      <c r="H1620" s="5" t="s">
        <v>2864</v>
      </c>
      <c r="I1620" s="5" t="str">
        <f>IF(INDEX(Manual_Review!$Y$6:$Y$238,U1620)="","",INDEX(Manual_Review!$Y$6:$Y$238,U1620))</f>
        <v/>
      </c>
      <c r="J1620" s="5" t="str">
        <f t="shared" si="50"/>
        <v>AI provisional</v>
      </c>
      <c r="K1620" s="5" t="str">
        <f t="shared" si="51"/>
        <v>U</v>
      </c>
      <c r="L1620" s="5" t="s">
        <v>1230</v>
      </c>
      <c r="M1620" s="5" t="s">
        <v>6239</v>
      </c>
      <c r="N1620" s="5" t="s">
        <v>6229</v>
      </c>
      <c r="O1620" s="5" t="s">
        <v>2897</v>
      </c>
      <c r="P1620" s="5" t="s">
        <v>2858</v>
      </c>
      <c r="Q1620" s="11">
        <v>46306.5</v>
      </c>
      <c r="R1620" s="6"/>
      <c r="S1620" s="6"/>
      <c r="T1620" s="6"/>
      <c r="U1620" s="5">
        <f>MATCH(B1620,Manual_Review!$A$6:$A$238,0)</f>
        <v>101</v>
      </c>
      <c r="V1620" s="5" t="str">
        <f>IF(INDEX(Manual_Review!$G$6:$G$238,U1620)="","",INDEX(Manual_Review!$G$6:$G$238,U1620))</f>
        <v/>
      </c>
      <c r="W1620" s="11" t="str">
        <f>IF(INDEX(Manual_Review!$H$6:$H$238,U1620)="","",INDEX(Manual_Review!$H$6:$H$238,U1620))</f>
        <v/>
      </c>
      <c r="X1620" s="5" t="str">
        <f>IF(INDEX(Manual_Review!$I$6:$I$238,U1620)="","",INDEX(Manual_Review!$I$6:$I$238,U1620))</f>
        <v/>
      </c>
      <c r="Y1620" s="5" t="s">
        <v>2859</v>
      </c>
    </row>
    <row r="1621" spans="1:25" ht="25.5">
      <c r="A1621" s="5" t="s">
        <v>6254</v>
      </c>
      <c r="B1621" s="5" t="s">
        <v>1221</v>
      </c>
      <c r="C1621" s="5" t="s">
        <v>1222</v>
      </c>
      <c r="D1621" s="5" t="s">
        <v>118</v>
      </c>
      <c r="E1621" s="5" t="s">
        <v>2796</v>
      </c>
      <c r="F1621" s="5" t="s">
        <v>2764</v>
      </c>
      <c r="G1621" s="5">
        <v>1</v>
      </c>
      <c r="H1621" s="5" t="s">
        <v>2864</v>
      </c>
      <c r="I1621" s="5" t="str">
        <f>IF(INDEX(Manual_Review!$Z$6:$Z$238,U1621)="","",INDEX(Manual_Review!$Z$6:$Z$238,U1621))</f>
        <v/>
      </c>
      <c r="J1621" s="5" t="str">
        <f t="shared" si="50"/>
        <v>AI provisional</v>
      </c>
      <c r="K1621" s="5" t="str">
        <f t="shared" si="51"/>
        <v>U</v>
      </c>
      <c r="L1621" s="5" t="s">
        <v>1230</v>
      </c>
      <c r="M1621" s="5" t="s">
        <v>6245</v>
      </c>
      <c r="N1621" s="5" t="s">
        <v>6229</v>
      </c>
      <c r="O1621" s="5" t="s">
        <v>2899</v>
      </c>
      <c r="P1621" s="5" t="s">
        <v>2858</v>
      </c>
      <c r="Q1621" s="11">
        <v>46306.5</v>
      </c>
      <c r="R1621" s="6"/>
      <c r="S1621" s="6"/>
      <c r="T1621" s="6"/>
      <c r="U1621" s="5">
        <f>MATCH(B1621,Manual_Review!$A$6:$A$238,0)</f>
        <v>101</v>
      </c>
      <c r="V1621" s="5" t="str">
        <f>IF(INDEX(Manual_Review!$G$6:$G$238,U1621)="","",INDEX(Manual_Review!$G$6:$G$238,U1621))</f>
        <v/>
      </c>
      <c r="W1621" s="11" t="str">
        <f>IF(INDEX(Manual_Review!$H$6:$H$238,U1621)="","",INDEX(Manual_Review!$H$6:$H$238,U1621))</f>
        <v/>
      </c>
      <c r="X1621" s="5" t="str">
        <f>IF(INDEX(Manual_Review!$I$6:$I$238,U1621)="","",INDEX(Manual_Review!$I$6:$I$238,U1621))</f>
        <v/>
      </c>
      <c r="Y1621" s="5" t="s">
        <v>2859</v>
      </c>
    </row>
    <row r="1622" spans="1:25" ht="25.5">
      <c r="A1622" s="5" t="s">
        <v>6255</v>
      </c>
      <c r="B1622" s="5" t="s">
        <v>1232</v>
      </c>
      <c r="C1622" s="5" t="s">
        <v>1233</v>
      </c>
      <c r="D1622" s="5" t="s">
        <v>118</v>
      </c>
      <c r="E1622" s="5" t="s">
        <v>2781</v>
      </c>
      <c r="F1622" s="5" t="s">
        <v>2754</v>
      </c>
      <c r="G1622" s="5">
        <v>1</v>
      </c>
      <c r="H1622" s="5" t="s">
        <v>2854</v>
      </c>
      <c r="I1622" s="5" t="str">
        <f>IF(INDEX(Manual_Review!$K$6:$K$238,U1622)="","",INDEX(Manual_Review!$K$6:$K$238,U1622))</f>
        <v/>
      </c>
      <c r="J1622" s="5" t="str">
        <f t="shared" si="50"/>
        <v>AI provisional</v>
      </c>
      <c r="K1622" s="5" t="str">
        <f t="shared" si="51"/>
        <v>Y</v>
      </c>
      <c r="L1622" s="5" t="s">
        <v>1242</v>
      </c>
      <c r="M1622" s="5" t="s">
        <v>6256</v>
      </c>
      <c r="N1622" s="5" t="s">
        <v>6257</v>
      </c>
      <c r="O1622" s="5" t="s">
        <v>2857</v>
      </c>
      <c r="P1622" s="5" t="s">
        <v>2858</v>
      </c>
      <c r="Q1622" s="11">
        <v>46306.5</v>
      </c>
      <c r="R1622" s="6"/>
      <c r="S1622" s="6"/>
      <c r="T1622" s="6"/>
      <c r="U1622" s="5">
        <f>MATCH(B1622,Manual_Review!$A$6:$A$238,0)</f>
        <v>102</v>
      </c>
      <c r="V1622" s="5" t="str">
        <f>IF(INDEX(Manual_Review!$G$6:$G$238,U1622)="","",INDEX(Manual_Review!$G$6:$G$238,U1622))</f>
        <v/>
      </c>
      <c r="W1622" s="11" t="str">
        <f>IF(INDEX(Manual_Review!$H$6:$H$238,U1622)="","",INDEX(Manual_Review!$H$6:$H$238,U1622))</f>
        <v/>
      </c>
      <c r="X1622" s="5" t="str">
        <f>IF(INDEX(Manual_Review!$I$6:$I$238,U1622)="","",INDEX(Manual_Review!$I$6:$I$238,U1622))</f>
        <v/>
      </c>
      <c r="Y1622" s="5" t="s">
        <v>2859</v>
      </c>
    </row>
    <row r="1623" spans="1:25" ht="25.5">
      <c r="A1623" s="5" t="s">
        <v>6258</v>
      </c>
      <c r="B1623" s="5" t="s">
        <v>1232</v>
      </c>
      <c r="C1623" s="5" t="s">
        <v>1233</v>
      </c>
      <c r="D1623" s="5" t="s">
        <v>118</v>
      </c>
      <c r="E1623" s="5" t="s">
        <v>2782</v>
      </c>
      <c r="F1623" s="5" t="s">
        <v>2754</v>
      </c>
      <c r="G1623" s="5">
        <v>1</v>
      </c>
      <c r="H1623" s="5" t="s">
        <v>2854</v>
      </c>
      <c r="I1623" s="5" t="str">
        <f>IF(INDEX(Manual_Review!$L$6:$L$238,U1623)="","",INDEX(Manual_Review!$L$6:$L$238,U1623))</f>
        <v/>
      </c>
      <c r="J1623" s="5" t="str">
        <f t="shared" si="50"/>
        <v>AI provisional</v>
      </c>
      <c r="K1623" s="5" t="str">
        <f t="shared" si="51"/>
        <v>Y</v>
      </c>
      <c r="L1623" s="5" t="s">
        <v>1242</v>
      </c>
      <c r="M1623" s="5" t="s">
        <v>6259</v>
      </c>
      <c r="N1623" s="5" t="s">
        <v>6257</v>
      </c>
      <c r="O1623" s="5" t="s">
        <v>2862</v>
      </c>
      <c r="P1623" s="5" t="s">
        <v>2858</v>
      </c>
      <c r="Q1623" s="11">
        <v>46306.5</v>
      </c>
      <c r="R1623" s="6"/>
      <c r="S1623" s="6"/>
      <c r="T1623" s="6"/>
      <c r="U1623" s="5">
        <f>MATCH(B1623,Manual_Review!$A$6:$A$238,0)</f>
        <v>102</v>
      </c>
      <c r="V1623" s="5" t="str">
        <f>IF(INDEX(Manual_Review!$G$6:$G$238,U1623)="","",INDEX(Manual_Review!$G$6:$G$238,U1623))</f>
        <v/>
      </c>
      <c r="W1623" s="11" t="str">
        <f>IF(INDEX(Manual_Review!$H$6:$H$238,U1623)="","",INDEX(Manual_Review!$H$6:$H$238,U1623))</f>
        <v/>
      </c>
      <c r="X1623" s="5" t="str">
        <f>IF(INDEX(Manual_Review!$I$6:$I$238,U1623)="","",INDEX(Manual_Review!$I$6:$I$238,U1623))</f>
        <v/>
      </c>
      <c r="Y1623" s="5" t="s">
        <v>2859</v>
      </c>
    </row>
    <row r="1624" spans="1:25" ht="25.5">
      <c r="A1624" s="5" t="s">
        <v>6260</v>
      </c>
      <c r="B1624" s="5" t="s">
        <v>1232</v>
      </c>
      <c r="C1624" s="5" t="s">
        <v>1233</v>
      </c>
      <c r="D1624" s="5" t="s">
        <v>118</v>
      </c>
      <c r="E1624" s="5" t="s">
        <v>2783</v>
      </c>
      <c r="F1624" s="5" t="s">
        <v>2754</v>
      </c>
      <c r="G1624" s="5">
        <v>1</v>
      </c>
      <c r="H1624" s="5" t="s">
        <v>2854</v>
      </c>
      <c r="I1624" s="5" t="str">
        <f>IF(INDEX(Manual_Review!$M$6:$M$238,U1624)="","",INDEX(Manual_Review!$M$6:$M$238,U1624))</f>
        <v/>
      </c>
      <c r="J1624" s="5" t="str">
        <f t="shared" si="50"/>
        <v>AI provisional</v>
      </c>
      <c r="K1624" s="5" t="str">
        <f t="shared" si="51"/>
        <v>Y</v>
      </c>
      <c r="L1624" s="5" t="s">
        <v>1242</v>
      </c>
      <c r="M1624" s="5" t="s">
        <v>6261</v>
      </c>
      <c r="N1624" s="5" t="s">
        <v>6257</v>
      </c>
      <c r="O1624" s="5" t="s">
        <v>3133</v>
      </c>
      <c r="P1624" s="5" t="s">
        <v>2858</v>
      </c>
      <c r="Q1624" s="11">
        <v>46306.5</v>
      </c>
      <c r="R1624" s="6"/>
      <c r="S1624" s="6"/>
      <c r="T1624" s="6"/>
      <c r="U1624" s="5">
        <f>MATCH(B1624,Manual_Review!$A$6:$A$238,0)</f>
        <v>102</v>
      </c>
      <c r="V1624" s="5" t="str">
        <f>IF(INDEX(Manual_Review!$G$6:$G$238,U1624)="","",INDEX(Manual_Review!$G$6:$G$238,U1624))</f>
        <v/>
      </c>
      <c r="W1624" s="11" t="str">
        <f>IF(INDEX(Manual_Review!$H$6:$H$238,U1624)="","",INDEX(Manual_Review!$H$6:$H$238,U1624))</f>
        <v/>
      </c>
      <c r="X1624" s="5" t="str">
        <f>IF(INDEX(Manual_Review!$I$6:$I$238,U1624)="","",INDEX(Manual_Review!$I$6:$I$238,U1624))</f>
        <v/>
      </c>
      <c r="Y1624" s="5" t="s">
        <v>2859</v>
      </c>
    </row>
    <row r="1625" spans="1:25" ht="25.5">
      <c r="A1625" s="5" t="s">
        <v>6262</v>
      </c>
      <c r="B1625" s="5" t="s">
        <v>1232</v>
      </c>
      <c r="C1625" s="5" t="s">
        <v>1233</v>
      </c>
      <c r="D1625" s="5" t="s">
        <v>118</v>
      </c>
      <c r="E1625" s="5" t="s">
        <v>2784</v>
      </c>
      <c r="F1625" s="5" t="s">
        <v>2756</v>
      </c>
      <c r="G1625" s="5">
        <v>1</v>
      </c>
      <c r="H1625" s="5" t="s">
        <v>2864</v>
      </c>
      <c r="I1625" s="5" t="str">
        <f>IF(INDEX(Manual_Review!$N$6:$N$238,U1625)="","",INDEX(Manual_Review!$N$6:$N$238,U1625))</f>
        <v/>
      </c>
      <c r="J1625" s="5" t="str">
        <f t="shared" si="50"/>
        <v>AI provisional</v>
      </c>
      <c r="K1625" s="5" t="str">
        <f t="shared" si="51"/>
        <v>U</v>
      </c>
      <c r="L1625" s="5" t="s">
        <v>1242</v>
      </c>
      <c r="M1625" s="5" t="s">
        <v>6263</v>
      </c>
      <c r="N1625" s="5" t="s">
        <v>6257</v>
      </c>
      <c r="O1625" s="5" t="s">
        <v>2869</v>
      </c>
      <c r="P1625" s="5" t="s">
        <v>2858</v>
      </c>
      <c r="Q1625" s="11">
        <v>46306.5</v>
      </c>
      <c r="R1625" s="6"/>
      <c r="S1625" s="6"/>
      <c r="T1625" s="6"/>
      <c r="U1625" s="5">
        <f>MATCH(B1625,Manual_Review!$A$6:$A$238,0)</f>
        <v>102</v>
      </c>
      <c r="V1625" s="5" t="str">
        <f>IF(INDEX(Manual_Review!$G$6:$G$238,U1625)="","",INDEX(Manual_Review!$G$6:$G$238,U1625))</f>
        <v/>
      </c>
      <c r="W1625" s="11" t="str">
        <f>IF(INDEX(Manual_Review!$H$6:$H$238,U1625)="","",INDEX(Manual_Review!$H$6:$H$238,U1625))</f>
        <v/>
      </c>
      <c r="X1625" s="5" t="str">
        <f>IF(INDEX(Manual_Review!$I$6:$I$238,U1625)="","",INDEX(Manual_Review!$I$6:$I$238,U1625))</f>
        <v/>
      </c>
      <c r="Y1625" s="5" t="s">
        <v>2859</v>
      </c>
    </row>
    <row r="1626" spans="1:25" ht="25.5">
      <c r="A1626" s="5" t="s">
        <v>6264</v>
      </c>
      <c r="B1626" s="5" t="s">
        <v>1232</v>
      </c>
      <c r="C1626" s="5" t="s">
        <v>1233</v>
      </c>
      <c r="D1626" s="5" t="s">
        <v>118</v>
      </c>
      <c r="E1626" s="5" t="s">
        <v>2785</v>
      </c>
      <c r="F1626" s="5" t="s">
        <v>2756</v>
      </c>
      <c r="G1626" s="5">
        <v>1</v>
      </c>
      <c r="H1626" s="5" t="s">
        <v>2864</v>
      </c>
      <c r="I1626" s="5" t="str">
        <f>IF(INDEX(Manual_Review!$O$6:$O$238,U1626)="","",INDEX(Manual_Review!$O$6:$O$238,U1626))</f>
        <v/>
      </c>
      <c r="J1626" s="5" t="str">
        <f t="shared" si="50"/>
        <v>AI provisional</v>
      </c>
      <c r="K1626" s="5" t="str">
        <f t="shared" si="51"/>
        <v>U</v>
      </c>
      <c r="L1626" s="5" t="s">
        <v>1242</v>
      </c>
      <c r="M1626" s="5" t="s">
        <v>6265</v>
      </c>
      <c r="N1626" s="5" t="s">
        <v>6257</v>
      </c>
      <c r="O1626" s="5" t="s">
        <v>2872</v>
      </c>
      <c r="P1626" s="5" t="s">
        <v>2858</v>
      </c>
      <c r="Q1626" s="11">
        <v>46306.5</v>
      </c>
      <c r="R1626" s="6"/>
      <c r="S1626" s="6"/>
      <c r="T1626" s="6"/>
      <c r="U1626" s="5">
        <f>MATCH(B1626,Manual_Review!$A$6:$A$238,0)</f>
        <v>102</v>
      </c>
      <c r="V1626" s="5" t="str">
        <f>IF(INDEX(Manual_Review!$G$6:$G$238,U1626)="","",INDEX(Manual_Review!$G$6:$G$238,U1626))</f>
        <v/>
      </c>
      <c r="W1626" s="11" t="str">
        <f>IF(INDEX(Manual_Review!$H$6:$H$238,U1626)="","",INDEX(Manual_Review!$H$6:$H$238,U1626))</f>
        <v/>
      </c>
      <c r="X1626" s="5" t="str">
        <f>IF(INDEX(Manual_Review!$I$6:$I$238,U1626)="","",INDEX(Manual_Review!$I$6:$I$238,U1626))</f>
        <v/>
      </c>
      <c r="Y1626" s="5" t="s">
        <v>2859</v>
      </c>
    </row>
    <row r="1627" spans="1:25" ht="25.5">
      <c r="A1627" s="5" t="s">
        <v>6266</v>
      </c>
      <c r="B1627" s="5" t="s">
        <v>1232</v>
      </c>
      <c r="C1627" s="5" t="s">
        <v>1233</v>
      </c>
      <c r="D1627" s="5" t="s">
        <v>118</v>
      </c>
      <c r="E1627" s="5" t="s">
        <v>2786</v>
      </c>
      <c r="F1627" s="5" t="s">
        <v>2756</v>
      </c>
      <c r="G1627" s="5">
        <v>1</v>
      </c>
      <c r="H1627" s="5" t="s">
        <v>2864</v>
      </c>
      <c r="I1627" s="5" t="str">
        <f>IF(INDEX(Manual_Review!$P$6:$P$238,U1627)="","",INDEX(Manual_Review!$P$6:$P$238,U1627))</f>
        <v/>
      </c>
      <c r="J1627" s="5" t="str">
        <f t="shared" si="50"/>
        <v>AI provisional</v>
      </c>
      <c r="K1627" s="5" t="str">
        <f t="shared" si="51"/>
        <v>U</v>
      </c>
      <c r="L1627" s="5" t="s">
        <v>1242</v>
      </c>
      <c r="M1627" s="5" t="s">
        <v>6267</v>
      </c>
      <c r="N1627" s="5" t="s">
        <v>6257</v>
      </c>
      <c r="O1627" s="5" t="s">
        <v>2874</v>
      </c>
      <c r="P1627" s="5" t="s">
        <v>2858</v>
      </c>
      <c r="Q1627" s="11">
        <v>46306.5</v>
      </c>
      <c r="R1627" s="6"/>
      <c r="S1627" s="6"/>
      <c r="T1627" s="6"/>
      <c r="U1627" s="5">
        <f>MATCH(B1627,Manual_Review!$A$6:$A$238,0)</f>
        <v>102</v>
      </c>
      <c r="V1627" s="5" t="str">
        <f>IF(INDEX(Manual_Review!$G$6:$G$238,U1627)="","",INDEX(Manual_Review!$G$6:$G$238,U1627))</f>
        <v/>
      </c>
      <c r="W1627" s="11" t="str">
        <f>IF(INDEX(Manual_Review!$H$6:$H$238,U1627)="","",INDEX(Manual_Review!$H$6:$H$238,U1627))</f>
        <v/>
      </c>
      <c r="X1627" s="5" t="str">
        <f>IF(INDEX(Manual_Review!$I$6:$I$238,U1627)="","",INDEX(Manual_Review!$I$6:$I$238,U1627))</f>
        <v/>
      </c>
      <c r="Y1627" s="5" t="s">
        <v>2859</v>
      </c>
    </row>
    <row r="1628" spans="1:25" ht="25.5">
      <c r="A1628" s="5" t="s">
        <v>6268</v>
      </c>
      <c r="B1628" s="5" t="s">
        <v>1232</v>
      </c>
      <c r="C1628" s="5" t="s">
        <v>1233</v>
      </c>
      <c r="D1628" s="5" t="s">
        <v>118</v>
      </c>
      <c r="E1628" s="5" t="s">
        <v>2787</v>
      </c>
      <c r="F1628" s="5" t="s">
        <v>2758</v>
      </c>
      <c r="G1628" s="5">
        <v>1</v>
      </c>
      <c r="H1628" s="5" t="s">
        <v>2864</v>
      </c>
      <c r="I1628" s="5" t="str">
        <f>IF(INDEX(Manual_Review!$Q$6:$Q$238,U1628)="","",INDEX(Manual_Review!$Q$6:$Q$238,U1628))</f>
        <v/>
      </c>
      <c r="J1628" s="5" t="str">
        <f t="shared" si="50"/>
        <v>AI provisional</v>
      </c>
      <c r="K1628" s="5" t="str">
        <f t="shared" si="51"/>
        <v>U</v>
      </c>
      <c r="L1628" s="5" t="s">
        <v>1242</v>
      </c>
      <c r="M1628" s="5" t="s">
        <v>6269</v>
      </c>
      <c r="N1628" s="5" t="s">
        <v>6257</v>
      </c>
      <c r="O1628" s="5" t="s">
        <v>2877</v>
      </c>
      <c r="P1628" s="5" t="s">
        <v>2858</v>
      </c>
      <c r="Q1628" s="11">
        <v>46306.5</v>
      </c>
      <c r="R1628" s="6"/>
      <c r="S1628" s="6"/>
      <c r="T1628" s="6"/>
      <c r="U1628" s="5">
        <f>MATCH(B1628,Manual_Review!$A$6:$A$238,0)</f>
        <v>102</v>
      </c>
      <c r="V1628" s="5" t="str">
        <f>IF(INDEX(Manual_Review!$G$6:$G$238,U1628)="","",INDEX(Manual_Review!$G$6:$G$238,U1628))</f>
        <v/>
      </c>
      <c r="W1628" s="11" t="str">
        <f>IF(INDEX(Manual_Review!$H$6:$H$238,U1628)="","",INDEX(Manual_Review!$H$6:$H$238,U1628))</f>
        <v/>
      </c>
      <c r="X1628" s="5" t="str">
        <f>IF(INDEX(Manual_Review!$I$6:$I$238,U1628)="","",INDEX(Manual_Review!$I$6:$I$238,U1628))</f>
        <v/>
      </c>
      <c r="Y1628" s="5" t="s">
        <v>2859</v>
      </c>
    </row>
    <row r="1629" spans="1:25" ht="25.5">
      <c r="A1629" s="5" t="s">
        <v>6270</v>
      </c>
      <c r="B1629" s="5" t="s">
        <v>1232</v>
      </c>
      <c r="C1629" s="5" t="s">
        <v>1233</v>
      </c>
      <c r="D1629" s="5" t="s">
        <v>118</v>
      </c>
      <c r="E1629" s="5" t="s">
        <v>2788</v>
      </c>
      <c r="F1629" s="5" t="s">
        <v>2758</v>
      </c>
      <c r="G1629" s="5">
        <v>1</v>
      </c>
      <c r="H1629" s="5" t="s">
        <v>2854</v>
      </c>
      <c r="I1629" s="5" t="str">
        <f>IF(INDEX(Manual_Review!$R$6:$R$238,U1629)="","",INDEX(Manual_Review!$R$6:$R$238,U1629))</f>
        <v/>
      </c>
      <c r="J1629" s="5" t="str">
        <f t="shared" si="50"/>
        <v>AI provisional</v>
      </c>
      <c r="K1629" s="5" t="str">
        <f t="shared" si="51"/>
        <v>Y</v>
      </c>
      <c r="L1629" s="5" t="s">
        <v>1242</v>
      </c>
      <c r="M1629" s="5" t="s">
        <v>6271</v>
      </c>
      <c r="N1629" s="5" t="s">
        <v>6257</v>
      </c>
      <c r="O1629" s="5" t="s">
        <v>3067</v>
      </c>
      <c r="P1629" s="5" t="s">
        <v>2858</v>
      </c>
      <c r="Q1629" s="11">
        <v>46306.5</v>
      </c>
      <c r="R1629" s="6"/>
      <c r="S1629" s="6"/>
      <c r="T1629" s="6"/>
      <c r="U1629" s="5">
        <f>MATCH(B1629,Manual_Review!$A$6:$A$238,0)</f>
        <v>102</v>
      </c>
      <c r="V1629" s="5" t="str">
        <f>IF(INDEX(Manual_Review!$G$6:$G$238,U1629)="","",INDEX(Manual_Review!$G$6:$G$238,U1629))</f>
        <v/>
      </c>
      <c r="W1629" s="11" t="str">
        <f>IF(INDEX(Manual_Review!$H$6:$H$238,U1629)="","",INDEX(Manual_Review!$H$6:$H$238,U1629))</f>
        <v/>
      </c>
      <c r="X1629" s="5" t="str">
        <f>IF(INDEX(Manual_Review!$I$6:$I$238,U1629)="","",INDEX(Manual_Review!$I$6:$I$238,U1629))</f>
        <v/>
      </c>
      <c r="Y1629" s="5" t="s">
        <v>2859</v>
      </c>
    </row>
    <row r="1630" spans="1:25" ht="25.5">
      <c r="A1630" s="5" t="s">
        <v>6272</v>
      </c>
      <c r="B1630" s="5" t="s">
        <v>1232</v>
      </c>
      <c r="C1630" s="5" t="s">
        <v>1233</v>
      </c>
      <c r="D1630" s="5" t="s">
        <v>118</v>
      </c>
      <c r="E1630" s="5" t="s">
        <v>2789</v>
      </c>
      <c r="F1630" s="5" t="s">
        <v>2758</v>
      </c>
      <c r="G1630" s="5">
        <v>1</v>
      </c>
      <c r="H1630" s="5" t="s">
        <v>2864</v>
      </c>
      <c r="I1630" s="5" t="str">
        <f>IF(INDEX(Manual_Review!$S$6:$S$238,U1630)="","",INDEX(Manual_Review!$S$6:$S$238,U1630))</f>
        <v/>
      </c>
      <c r="J1630" s="5" t="str">
        <f t="shared" si="50"/>
        <v>AI provisional</v>
      </c>
      <c r="K1630" s="5" t="str">
        <f t="shared" si="51"/>
        <v>U</v>
      </c>
      <c r="L1630" s="5" t="s">
        <v>1242</v>
      </c>
      <c r="M1630" s="5" t="s">
        <v>6273</v>
      </c>
      <c r="N1630" s="5" t="s">
        <v>6257</v>
      </c>
      <c r="O1630" s="5" t="s">
        <v>2883</v>
      </c>
      <c r="P1630" s="5" t="s">
        <v>2858</v>
      </c>
      <c r="Q1630" s="11">
        <v>46306.5</v>
      </c>
      <c r="R1630" s="6"/>
      <c r="S1630" s="6"/>
      <c r="T1630" s="6"/>
      <c r="U1630" s="5">
        <f>MATCH(B1630,Manual_Review!$A$6:$A$238,0)</f>
        <v>102</v>
      </c>
      <c r="V1630" s="5" t="str">
        <f>IF(INDEX(Manual_Review!$G$6:$G$238,U1630)="","",INDEX(Manual_Review!$G$6:$G$238,U1630))</f>
        <v/>
      </c>
      <c r="W1630" s="11" t="str">
        <f>IF(INDEX(Manual_Review!$H$6:$H$238,U1630)="","",INDEX(Manual_Review!$H$6:$H$238,U1630))</f>
        <v/>
      </c>
      <c r="X1630" s="5" t="str">
        <f>IF(INDEX(Manual_Review!$I$6:$I$238,U1630)="","",INDEX(Manual_Review!$I$6:$I$238,U1630))</f>
        <v/>
      </c>
      <c r="Y1630" s="5" t="s">
        <v>2859</v>
      </c>
    </row>
    <row r="1631" spans="1:25" ht="25.5">
      <c r="A1631" s="5" t="s">
        <v>6274</v>
      </c>
      <c r="B1631" s="5" t="s">
        <v>1232</v>
      </c>
      <c r="C1631" s="5" t="s">
        <v>1233</v>
      </c>
      <c r="D1631" s="5" t="s">
        <v>118</v>
      </c>
      <c r="E1631" s="5" t="s">
        <v>2790</v>
      </c>
      <c r="F1631" s="5" t="s">
        <v>2760</v>
      </c>
      <c r="G1631" s="5">
        <v>1</v>
      </c>
      <c r="H1631" s="5" t="s">
        <v>2864</v>
      </c>
      <c r="I1631" s="5" t="str">
        <f>IF(INDEX(Manual_Review!$T$6:$T$238,U1631)="","",INDEX(Manual_Review!$T$6:$T$238,U1631))</f>
        <v/>
      </c>
      <c r="J1631" s="5" t="str">
        <f t="shared" si="50"/>
        <v>AI provisional</v>
      </c>
      <c r="K1631" s="5" t="str">
        <f t="shared" si="51"/>
        <v>U</v>
      </c>
      <c r="L1631" s="5" t="s">
        <v>1242</v>
      </c>
      <c r="M1631" s="5" t="s">
        <v>6275</v>
      </c>
      <c r="N1631" s="5" t="s">
        <v>6257</v>
      </c>
      <c r="O1631" s="5" t="s">
        <v>2885</v>
      </c>
      <c r="P1631" s="5" t="s">
        <v>2858</v>
      </c>
      <c r="Q1631" s="11">
        <v>46306.5</v>
      </c>
      <c r="R1631" s="6"/>
      <c r="S1631" s="6"/>
      <c r="T1631" s="6"/>
      <c r="U1631" s="5">
        <f>MATCH(B1631,Manual_Review!$A$6:$A$238,0)</f>
        <v>102</v>
      </c>
      <c r="V1631" s="5" t="str">
        <f>IF(INDEX(Manual_Review!$G$6:$G$238,U1631)="","",INDEX(Manual_Review!$G$6:$G$238,U1631))</f>
        <v/>
      </c>
      <c r="W1631" s="11" t="str">
        <f>IF(INDEX(Manual_Review!$H$6:$H$238,U1631)="","",INDEX(Manual_Review!$H$6:$H$238,U1631))</f>
        <v/>
      </c>
      <c r="X1631" s="5" t="str">
        <f>IF(INDEX(Manual_Review!$I$6:$I$238,U1631)="","",INDEX(Manual_Review!$I$6:$I$238,U1631))</f>
        <v/>
      </c>
      <c r="Y1631" s="5" t="s">
        <v>2859</v>
      </c>
    </row>
    <row r="1632" spans="1:25" ht="25.5">
      <c r="A1632" s="5" t="s">
        <v>6276</v>
      </c>
      <c r="B1632" s="5" t="s">
        <v>1232</v>
      </c>
      <c r="C1632" s="5" t="s">
        <v>1233</v>
      </c>
      <c r="D1632" s="5" t="s">
        <v>118</v>
      </c>
      <c r="E1632" s="5" t="s">
        <v>2791</v>
      </c>
      <c r="F1632" s="5" t="s">
        <v>2760</v>
      </c>
      <c r="G1632" s="5">
        <v>1</v>
      </c>
      <c r="H1632" s="5" t="s">
        <v>2864</v>
      </c>
      <c r="I1632" s="5" t="str">
        <f>IF(INDEX(Manual_Review!$U$6:$U$238,U1632)="","",INDEX(Manual_Review!$U$6:$U$238,U1632))</f>
        <v/>
      </c>
      <c r="J1632" s="5" t="str">
        <f t="shared" si="50"/>
        <v>AI provisional</v>
      </c>
      <c r="K1632" s="5" t="str">
        <f t="shared" si="51"/>
        <v>U</v>
      </c>
      <c r="L1632" s="5" t="s">
        <v>1242</v>
      </c>
      <c r="M1632" s="5" t="s">
        <v>6277</v>
      </c>
      <c r="N1632" s="5" t="s">
        <v>6257</v>
      </c>
      <c r="O1632" s="5" t="s">
        <v>2888</v>
      </c>
      <c r="P1632" s="5" t="s">
        <v>2858</v>
      </c>
      <c r="Q1632" s="11">
        <v>46306.5</v>
      </c>
      <c r="R1632" s="6"/>
      <c r="S1632" s="6"/>
      <c r="T1632" s="6"/>
      <c r="U1632" s="5">
        <f>MATCH(B1632,Manual_Review!$A$6:$A$238,0)</f>
        <v>102</v>
      </c>
      <c r="V1632" s="5" t="str">
        <f>IF(INDEX(Manual_Review!$G$6:$G$238,U1632)="","",INDEX(Manual_Review!$G$6:$G$238,U1632))</f>
        <v/>
      </c>
      <c r="W1632" s="11" t="str">
        <f>IF(INDEX(Manual_Review!$H$6:$H$238,U1632)="","",INDEX(Manual_Review!$H$6:$H$238,U1632))</f>
        <v/>
      </c>
      <c r="X1632" s="5" t="str">
        <f>IF(INDEX(Manual_Review!$I$6:$I$238,U1632)="","",INDEX(Manual_Review!$I$6:$I$238,U1632))</f>
        <v/>
      </c>
      <c r="Y1632" s="5" t="s">
        <v>2859</v>
      </c>
    </row>
    <row r="1633" spans="1:25" ht="25.5">
      <c r="A1633" s="5" t="s">
        <v>6278</v>
      </c>
      <c r="B1633" s="5" t="s">
        <v>1232</v>
      </c>
      <c r="C1633" s="5" t="s">
        <v>1233</v>
      </c>
      <c r="D1633" s="5" t="s">
        <v>118</v>
      </c>
      <c r="E1633" s="5" t="s">
        <v>2792</v>
      </c>
      <c r="F1633" s="5" t="s">
        <v>2762</v>
      </c>
      <c r="G1633" s="5">
        <v>1</v>
      </c>
      <c r="H1633" s="5" t="s">
        <v>2864</v>
      </c>
      <c r="I1633" s="5" t="str">
        <f>IF(INDEX(Manual_Review!$V$6:$V$238,U1633)="","",INDEX(Manual_Review!$V$6:$V$238,U1633))</f>
        <v/>
      </c>
      <c r="J1633" s="5" t="str">
        <f t="shared" si="50"/>
        <v>AI provisional</v>
      </c>
      <c r="K1633" s="5" t="str">
        <f t="shared" si="51"/>
        <v>U</v>
      </c>
      <c r="L1633" s="5" t="s">
        <v>1242</v>
      </c>
      <c r="M1633" s="5" t="s">
        <v>6279</v>
      </c>
      <c r="N1633" s="5" t="s">
        <v>6257</v>
      </c>
      <c r="O1633" s="5" t="s">
        <v>2891</v>
      </c>
      <c r="P1633" s="5" t="s">
        <v>2858</v>
      </c>
      <c r="Q1633" s="11">
        <v>46306.5</v>
      </c>
      <c r="R1633" s="6"/>
      <c r="S1633" s="6"/>
      <c r="T1633" s="6"/>
      <c r="U1633" s="5">
        <f>MATCH(B1633,Manual_Review!$A$6:$A$238,0)</f>
        <v>102</v>
      </c>
      <c r="V1633" s="5" t="str">
        <f>IF(INDEX(Manual_Review!$G$6:$G$238,U1633)="","",INDEX(Manual_Review!$G$6:$G$238,U1633))</f>
        <v/>
      </c>
      <c r="W1633" s="11" t="str">
        <f>IF(INDEX(Manual_Review!$H$6:$H$238,U1633)="","",INDEX(Manual_Review!$H$6:$H$238,U1633))</f>
        <v/>
      </c>
      <c r="X1633" s="5" t="str">
        <f>IF(INDEX(Manual_Review!$I$6:$I$238,U1633)="","",INDEX(Manual_Review!$I$6:$I$238,U1633))</f>
        <v/>
      </c>
      <c r="Y1633" s="5" t="s">
        <v>2859</v>
      </c>
    </row>
    <row r="1634" spans="1:25" ht="25.5">
      <c r="A1634" s="5" t="s">
        <v>6280</v>
      </c>
      <c r="B1634" s="5" t="s">
        <v>1232</v>
      </c>
      <c r="C1634" s="5" t="s">
        <v>1233</v>
      </c>
      <c r="D1634" s="5" t="s">
        <v>118</v>
      </c>
      <c r="E1634" s="5" t="s">
        <v>2793</v>
      </c>
      <c r="F1634" s="5" t="s">
        <v>2762</v>
      </c>
      <c r="G1634" s="5">
        <v>1</v>
      </c>
      <c r="H1634" s="5" t="s">
        <v>2864</v>
      </c>
      <c r="I1634" s="5" t="str">
        <f>IF(INDEX(Manual_Review!$W$6:$W$238,U1634)="","",INDEX(Manual_Review!$W$6:$W$238,U1634))</f>
        <v/>
      </c>
      <c r="J1634" s="5" t="str">
        <f t="shared" si="50"/>
        <v>AI provisional</v>
      </c>
      <c r="K1634" s="5" t="str">
        <f t="shared" si="51"/>
        <v>U</v>
      </c>
      <c r="L1634" s="5" t="s">
        <v>1242</v>
      </c>
      <c r="M1634" s="5" t="s">
        <v>6281</v>
      </c>
      <c r="N1634" s="5" t="s">
        <v>6257</v>
      </c>
      <c r="O1634" s="5" t="s">
        <v>2893</v>
      </c>
      <c r="P1634" s="5" t="s">
        <v>2858</v>
      </c>
      <c r="Q1634" s="11">
        <v>46306.5</v>
      </c>
      <c r="R1634" s="6"/>
      <c r="S1634" s="6"/>
      <c r="T1634" s="6"/>
      <c r="U1634" s="5">
        <f>MATCH(B1634,Manual_Review!$A$6:$A$238,0)</f>
        <v>102</v>
      </c>
      <c r="V1634" s="5" t="str">
        <f>IF(INDEX(Manual_Review!$G$6:$G$238,U1634)="","",INDEX(Manual_Review!$G$6:$G$238,U1634))</f>
        <v/>
      </c>
      <c r="W1634" s="11" t="str">
        <f>IF(INDEX(Manual_Review!$H$6:$H$238,U1634)="","",INDEX(Manual_Review!$H$6:$H$238,U1634))</f>
        <v/>
      </c>
      <c r="X1634" s="5" t="str">
        <f>IF(INDEX(Manual_Review!$I$6:$I$238,U1634)="","",INDEX(Manual_Review!$I$6:$I$238,U1634))</f>
        <v/>
      </c>
      <c r="Y1634" s="5" t="s">
        <v>2859</v>
      </c>
    </row>
    <row r="1635" spans="1:25" ht="25.5">
      <c r="A1635" s="5" t="s">
        <v>6282</v>
      </c>
      <c r="B1635" s="5" t="s">
        <v>1232</v>
      </c>
      <c r="C1635" s="5" t="s">
        <v>1233</v>
      </c>
      <c r="D1635" s="5" t="s">
        <v>118</v>
      </c>
      <c r="E1635" s="5" t="s">
        <v>2794</v>
      </c>
      <c r="F1635" s="5" t="s">
        <v>2764</v>
      </c>
      <c r="G1635" s="5">
        <v>1</v>
      </c>
      <c r="H1635" s="5" t="s">
        <v>2864</v>
      </c>
      <c r="I1635" s="5" t="str">
        <f>IF(INDEX(Manual_Review!$X$6:$X$238,U1635)="","",INDEX(Manual_Review!$X$6:$X$238,U1635))</f>
        <v/>
      </c>
      <c r="J1635" s="5" t="str">
        <f t="shared" si="50"/>
        <v>AI provisional</v>
      </c>
      <c r="K1635" s="5" t="str">
        <f t="shared" si="51"/>
        <v>U</v>
      </c>
      <c r="L1635" s="5" t="s">
        <v>1242</v>
      </c>
      <c r="M1635" s="5" t="s">
        <v>6283</v>
      </c>
      <c r="N1635" s="5" t="s">
        <v>6257</v>
      </c>
      <c r="O1635" s="5" t="s">
        <v>2895</v>
      </c>
      <c r="P1635" s="5" t="s">
        <v>2858</v>
      </c>
      <c r="Q1635" s="11">
        <v>46306.5</v>
      </c>
      <c r="R1635" s="6"/>
      <c r="S1635" s="6"/>
      <c r="T1635" s="6"/>
      <c r="U1635" s="5">
        <f>MATCH(B1635,Manual_Review!$A$6:$A$238,0)</f>
        <v>102</v>
      </c>
      <c r="V1635" s="5" t="str">
        <f>IF(INDEX(Manual_Review!$G$6:$G$238,U1635)="","",INDEX(Manual_Review!$G$6:$G$238,U1635))</f>
        <v/>
      </c>
      <c r="W1635" s="11" t="str">
        <f>IF(INDEX(Manual_Review!$H$6:$H$238,U1635)="","",INDEX(Manual_Review!$H$6:$H$238,U1635))</f>
        <v/>
      </c>
      <c r="X1635" s="5" t="str">
        <f>IF(INDEX(Manual_Review!$I$6:$I$238,U1635)="","",INDEX(Manual_Review!$I$6:$I$238,U1635))</f>
        <v/>
      </c>
      <c r="Y1635" s="5" t="s">
        <v>2859</v>
      </c>
    </row>
    <row r="1636" spans="1:25" ht="25.5">
      <c r="A1636" s="5" t="s">
        <v>6284</v>
      </c>
      <c r="B1636" s="5" t="s">
        <v>1232</v>
      </c>
      <c r="C1636" s="5" t="s">
        <v>1233</v>
      </c>
      <c r="D1636" s="5" t="s">
        <v>118</v>
      </c>
      <c r="E1636" s="5" t="s">
        <v>2795</v>
      </c>
      <c r="F1636" s="5" t="s">
        <v>2764</v>
      </c>
      <c r="G1636" s="5">
        <v>1</v>
      </c>
      <c r="H1636" s="5" t="s">
        <v>2854</v>
      </c>
      <c r="I1636" s="5" t="str">
        <f>IF(INDEX(Manual_Review!$Y$6:$Y$238,U1636)="","",INDEX(Manual_Review!$Y$6:$Y$238,U1636))</f>
        <v/>
      </c>
      <c r="J1636" s="5" t="str">
        <f t="shared" si="50"/>
        <v>AI provisional</v>
      </c>
      <c r="K1636" s="5" t="str">
        <f t="shared" si="51"/>
        <v>Y</v>
      </c>
      <c r="L1636" s="5" t="s">
        <v>1242</v>
      </c>
      <c r="M1636" s="5" t="s">
        <v>6285</v>
      </c>
      <c r="N1636" s="5" t="s">
        <v>6257</v>
      </c>
      <c r="O1636" s="5" t="s">
        <v>3082</v>
      </c>
      <c r="P1636" s="5" t="s">
        <v>2858</v>
      </c>
      <c r="Q1636" s="11">
        <v>46306.5</v>
      </c>
      <c r="R1636" s="6"/>
      <c r="S1636" s="6"/>
      <c r="T1636" s="6"/>
      <c r="U1636" s="5">
        <f>MATCH(B1636,Manual_Review!$A$6:$A$238,0)</f>
        <v>102</v>
      </c>
      <c r="V1636" s="5" t="str">
        <f>IF(INDEX(Manual_Review!$G$6:$G$238,U1636)="","",INDEX(Manual_Review!$G$6:$G$238,U1636))</f>
        <v/>
      </c>
      <c r="W1636" s="11" t="str">
        <f>IF(INDEX(Manual_Review!$H$6:$H$238,U1636)="","",INDEX(Manual_Review!$H$6:$H$238,U1636))</f>
        <v/>
      </c>
      <c r="X1636" s="5" t="str">
        <f>IF(INDEX(Manual_Review!$I$6:$I$238,U1636)="","",INDEX(Manual_Review!$I$6:$I$238,U1636))</f>
        <v/>
      </c>
      <c r="Y1636" s="5" t="s">
        <v>2859</v>
      </c>
    </row>
    <row r="1637" spans="1:25" ht="25.5">
      <c r="A1637" s="5" t="s">
        <v>6286</v>
      </c>
      <c r="B1637" s="5" t="s">
        <v>1232</v>
      </c>
      <c r="C1637" s="5" t="s">
        <v>1233</v>
      </c>
      <c r="D1637" s="5" t="s">
        <v>118</v>
      </c>
      <c r="E1637" s="5" t="s">
        <v>2796</v>
      </c>
      <c r="F1637" s="5" t="s">
        <v>2764</v>
      </c>
      <c r="G1637" s="5">
        <v>1</v>
      </c>
      <c r="H1637" s="5" t="s">
        <v>2864</v>
      </c>
      <c r="I1637" s="5" t="str">
        <f>IF(INDEX(Manual_Review!$Z$6:$Z$238,U1637)="","",INDEX(Manual_Review!$Z$6:$Z$238,U1637))</f>
        <v/>
      </c>
      <c r="J1637" s="5" t="str">
        <f t="shared" si="50"/>
        <v>AI provisional</v>
      </c>
      <c r="K1637" s="5" t="str">
        <f t="shared" si="51"/>
        <v>U</v>
      </c>
      <c r="L1637" s="5" t="s">
        <v>1242</v>
      </c>
      <c r="M1637" s="5" t="s">
        <v>6287</v>
      </c>
      <c r="N1637" s="5" t="s">
        <v>6257</v>
      </c>
      <c r="O1637" s="5" t="s">
        <v>2899</v>
      </c>
      <c r="P1637" s="5" t="s">
        <v>2858</v>
      </c>
      <c r="Q1637" s="11">
        <v>46306.5</v>
      </c>
      <c r="R1637" s="6"/>
      <c r="S1637" s="6"/>
      <c r="T1637" s="6"/>
      <c r="U1637" s="5">
        <f>MATCH(B1637,Manual_Review!$A$6:$A$238,0)</f>
        <v>102</v>
      </c>
      <c r="V1637" s="5" t="str">
        <f>IF(INDEX(Manual_Review!$G$6:$G$238,U1637)="","",INDEX(Manual_Review!$G$6:$G$238,U1637))</f>
        <v/>
      </c>
      <c r="W1637" s="11" t="str">
        <f>IF(INDEX(Manual_Review!$H$6:$H$238,U1637)="","",INDEX(Manual_Review!$H$6:$H$238,U1637))</f>
        <v/>
      </c>
      <c r="X1637" s="5" t="str">
        <f>IF(INDEX(Manual_Review!$I$6:$I$238,U1637)="","",INDEX(Manual_Review!$I$6:$I$238,U1637))</f>
        <v/>
      </c>
      <c r="Y1637" s="5" t="s">
        <v>2859</v>
      </c>
    </row>
    <row r="1638" spans="1:25" ht="25.5">
      <c r="A1638" s="5" t="s">
        <v>6288</v>
      </c>
      <c r="B1638" s="5" t="s">
        <v>1244</v>
      </c>
      <c r="C1638" s="5" t="s">
        <v>1245</v>
      </c>
      <c r="D1638" s="5" t="s">
        <v>118</v>
      </c>
      <c r="E1638" s="5" t="s">
        <v>2781</v>
      </c>
      <c r="F1638" s="5" t="s">
        <v>2754</v>
      </c>
      <c r="G1638" s="5">
        <v>1</v>
      </c>
      <c r="H1638" s="5" t="s">
        <v>2854</v>
      </c>
      <c r="I1638" s="5" t="str">
        <f>IF(INDEX(Manual_Review!$K$6:$K$238,U1638)="","",INDEX(Manual_Review!$K$6:$K$238,U1638))</f>
        <v/>
      </c>
      <c r="J1638" s="5" t="str">
        <f t="shared" si="50"/>
        <v>AI provisional</v>
      </c>
      <c r="K1638" s="5" t="str">
        <f t="shared" si="51"/>
        <v>Y</v>
      </c>
      <c r="L1638" s="5" t="s">
        <v>1248</v>
      </c>
      <c r="M1638" s="5" t="s">
        <v>6289</v>
      </c>
      <c r="N1638" s="5" t="s">
        <v>6290</v>
      </c>
      <c r="O1638" s="5" t="s">
        <v>2857</v>
      </c>
      <c r="P1638" s="5" t="s">
        <v>2858</v>
      </c>
      <c r="Q1638" s="11">
        <v>46306.5</v>
      </c>
      <c r="R1638" s="6"/>
      <c r="S1638" s="6"/>
      <c r="T1638" s="6"/>
      <c r="U1638" s="5">
        <f>MATCH(B1638,Manual_Review!$A$6:$A$238,0)</f>
        <v>103</v>
      </c>
      <c r="V1638" s="5" t="str">
        <f>IF(INDEX(Manual_Review!$G$6:$G$238,U1638)="","",INDEX(Manual_Review!$G$6:$G$238,U1638))</f>
        <v/>
      </c>
      <c r="W1638" s="11" t="str">
        <f>IF(INDEX(Manual_Review!$H$6:$H$238,U1638)="","",INDEX(Manual_Review!$H$6:$H$238,U1638))</f>
        <v/>
      </c>
      <c r="X1638" s="5" t="str">
        <f>IF(INDEX(Manual_Review!$I$6:$I$238,U1638)="","",INDEX(Manual_Review!$I$6:$I$238,U1638))</f>
        <v/>
      </c>
      <c r="Y1638" s="5" t="s">
        <v>2859</v>
      </c>
    </row>
    <row r="1639" spans="1:25" ht="25.5">
      <c r="A1639" s="5" t="s">
        <v>6291</v>
      </c>
      <c r="B1639" s="5" t="s">
        <v>1244</v>
      </c>
      <c r="C1639" s="5" t="s">
        <v>1245</v>
      </c>
      <c r="D1639" s="5" t="s">
        <v>118</v>
      </c>
      <c r="E1639" s="5" t="s">
        <v>2782</v>
      </c>
      <c r="F1639" s="5" t="s">
        <v>2754</v>
      </c>
      <c r="G1639" s="5">
        <v>1</v>
      </c>
      <c r="H1639" s="5" t="s">
        <v>2854</v>
      </c>
      <c r="I1639" s="5" t="str">
        <f>IF(INDEX(Manual_Review!$L$6:$L$238,U1639)="","",INDEX(Manual_Review!$L$6:$L$238,U1639))</f>
        <v/>
      </c>
      <c r="J1639" s="5" t="str">
        <f t="shared" si="50"/>
        <v>AI provisional</v>
      </c>
      <c r="K1639" s="5" t="str">
        <f t="shared" si="51"/>
        <v>Y</v>
      </c>
      <c r="L1639" s="5" t="s">
        <v>1248</v>
      </c>
      <c r="M1639" s="5" t="s">
        <v>6292</v>
      </c>
      <c r="N1639" s="5" t="s">
        <v>6290</v>
      </c>
      <c r="O1639" s="5" t="s">
        <v>2862</v>
      </c>
      <c r="P1639" s="5" t="s">
        <v>2858</v>
      </c>
      <c r="Q1639" s="11">
        <v>46306.5</v>
      </c>
      <c r="R1639" s="6"/>
      <c r="S1639" s="6"/>
      <c r="T1639" s="6"/>
      <c r="U1639" s="5">
        <f>MATCH(B1639,Manual_Review!$A$6:$A$238,0)</f>
        <v>103</v>
      </c>
      <c r="V1639" s="5" t="str">
        <f>IF(INDEX(Manual_Review!$G$6:$G$238,U1639)="","",INDEX(Manual_Review!$G$6:$G$238,U1639))</f>
        <v/>
      </c>
      <c r="W1639" s="11" t="str">
        <f>IF(INDEX(Manual_Review!$H$6:$H$238,U1639)="","",INDEX(Manual_Review!$H$6:$H$238,U1639))</f>
        <v/>
      </c>
      <c r="X1639" s="5" t="str">
        <f>IF(INDEX(Manual_Review!$I$6:$I$238,U1639)="","",INDEX(Manual_Review!$I$6:$I$238,U1639))</f>
        <v/>
      </c>
      <c r="Y1639" s="5" t="s">
        <v>2859</v>
      </c>
    </row>
    <row r="1640" spans="1:25" ht="25.5">
      <c r="A1640" s="5" t="s">
        <v>6293</v>
      </c>
      <c r="B1640" s="5" t="s">
        <v>1244</v>
      </c>
      <c r="C1640" s="5" t="s">
        <v>1245</v>
      </c>
      <c r="D1640" s="5" t="s">
        <v>118</v>
      </c>
      <c r="E1640" s="5" t="s">
        <v>2783</v>
      </c>
      <c r="F1640" s="5" t="s">
        <v>2754</v>
      </c>
      <c r="G1640" s="5">
        <v>1</v>
      </c>
      <c r="H1640" s="5" t="s">
        <v>2864</v>
      </c>
      <c r="I1640" s="5" t="str">
        <f>IF(INDEX(Manual_Review!$M$6:$M$238,U1640)="","",INDEX(Manual_Review!$M$6:$M$238,U1640))</f>
        <v/>
      </c>
      <c r="J1640" s="5" t="str">
        <f t="shared" si="50"/>
        <v>AI provisional</v>
      </c>
      <c r="K1640" s="5" t="str">
        <f t="shared" si="51"/>
        <v>U</v>
      </c>
      <c r="L1640" s="5" t="s">
        <v>1248</v>
      </c>
      <c r="M1640" s="5" t="s">
        <v>6294</v>
      </c>
      <c r="N1640" s="5" t="s">
        <v>6290</v>
      </c>
      <c r="O1640" s="5" t="s">
        <v>2866</v>
      </c>
      <c r="P1640" s="5" t="s">
        <v>2858</v>
      </c>
      <c r="Q1640" s="11">
        <v>46306.5</v>
      </c>
      <c r="R1640" s="6"/>
      <c r="S1640" s="6"/>
      <c r="T1640" s="6"/>
      <c r="U1640" s="5">
        <f>MATCH(B1640,Manual_Review!$A$6:$A$238,0)</f>
        <v>103</v>
      </c>
      <c r="V1640" s="5" t="str">
        <f>IF(INDEX(Manual_Review!$G$6:$G$238,U1640)="","",INDEX(Manual_Review!$G$6:$G$238,U1640))</f>
        <v/>
      </c>
      <c r="W1640" s="11" t="str">
        <f>IF(INDEX(Manual_Review!$H$6:$H$238,U1640)="","",INDEX(Manual_Review!$H$6:$H$238,U1640))</f>
        <v/>
      </c>
      <c r="X1640" s="5" t="str">
        <f>IF(INDEX(Manual_Review!$I$6:$I$238,U1640)="","",INDEX(Manual_Review!$I$6:$I$238,U1640))</f>
        <v/>
      </c>
      <c r="Y1640" s="5" t="s">
        <v>2859</v>
      </c>
    </row>
    <row r="1641" spans="1:25" ht="25.5">
      <c r="A1641" s="5" t="s">
        <v>6295</v>
      </c>
      <c r="B1641" s="5" t="s">
        <v>1244</v>
      </c>
      <c r="C1641" s="5" t="s">
        <v>1245</v>
      </c>
      <c r="D1641" s="5" t="s">
        <v>118</v>
      </c>
      <c r="E1641" s="5" t="s">
        <v>2784</v>
      </c>
      <c r="F1641" s="5" t="s">
        <v>2756</v>
      </c>
      <c r="G1641" s="5">
        <v>1</v>
      </c>
      <c r="H1641" s="5" t="s">
        <v>2854</v>
      </c>
      <c r="I1641" s="5" t="str">
        <f>IF(INDEX(Manual_Review!$N$6:$N$238,U1641)="","",INDEX(Manual_Review!$N$6:$N$238,U1641))</f>
        <v/>
      </c>
      <c r="J1641" s="5" t="str">
        <f t="shared" si="50"/>
        <v>AI provisional</v>
      </c>
      <c r="K1641" s="5" t="str">
        <f t="shared" si="51"/>
        <v>Y</v>
      </c>
      <c r="L1641" s="5" t="s">
        <v>1248</v>
      </c>
      <c r="M1641" s="5" t="s">
        <v>6296</v>
      </c>
      <c r="N1641" s="5" t="s">
        <v>6290</v>
      </c>
      <c r="O1641" s="5" t="s">
        <v>2963</v>
      </c>
      <c r="P1641" s="5" t="s">
        <v>2858</v>
      </c>
      <c r="Q1641" s="11">
        <v>46306.5</v>
      </c>
      <c r="R1641" s="6"/>
      <c r="S1641" s="6"/>
      <c r="T1641" s="6"/>
      <c r="U1641" s="5">
        <f>MATCH(B1641,Manual_Review!$A$6:$A$238,0)</f>
        <v>103</v>
      </c>
      <c r="V1641" s="5" t="str">
        <f>IF(INDEX(Manual_Review!$G$6:$G$238,U1641)="","",INDEX(Manual_Review!$G$6:$G$238,U1641))</f>
        <v/>
      </c>
      <c r="W1641" s="11" t="str">
        <f>IF(INDEX(Manual_Review!$H$6:$H$238,U1641)="","",INDEX(Manual_Review!$H$6:$H$238,U1641))</f>
        <v/>
      </c>
      <c r="X1641" s="5" t="str">
        <f>IF(INDEX(Manual_Review!$I$6:$I$238,U1641)="","",INDEX(Manual_Review!$I$6:$I$238,U1641))</f>
        <v/>
      </c>
      <c r="Y1641" s="5" t="s">
        <v>2859</v>
      </c>
    </row>
    <row r="1642" spans="1:25" ht="25.5">
      <c r="A1642" s="5" t="s">
        <v>6297</v>
      </c>
      <c r="B1642" s="5" t="s">
        <v>1244</v>
      </c>
      <c r="C1642" s="5" t="s">
        <v>1245</v>
      </c>
      <c r="D1642" s="5" t="s">
        <v>118</v>
      </c>
      <c r="E1642" s="5" t="s">
        <v>2785</v>
      </c>
      <c r="F1642" s="5" t="s">
        <v>2756</v>
      </c>
      <c r="G1642" s="5">
        <v>1</v>
      </c>
      <c r="H1642" s="5" t="s">
        <v>2864</v>
      </c>
      <c r="I1642" s="5" t="str">
        <f>IF(INDEX(Manual_Review!$O$6:$O$238,U1642)="","",INDEX(Manual_Review!$O$6:$O$238,U1642))</f>
        <v/>
      </c>
      <c r="J1642" s="5" t="str">
        <f t="shared" si="50"/>
        <v>AI provisional</v>
      </c>
      <c r="K1642" s="5" t="str">
        <f t="shared" si="51"/>
        <v>U</v>
      </c>
      <c r="L1642" s="5" t="s">
        <v>1248</v>
      </c>
      <c r="M1642" s="5" t="s">
        <v>6298</v>
      </c>
      <c r="N1642" s="5" t="s">
        <v>6290</v>
      </c>
      <c r="O1642" s="5" t="s">
        <v>2872</v>
      </c>
      <c r="P1642" s="5" t="s">
        <v>2858</v>
      </c>
      <c r="Q1642" s="11">
        <v>46306.5</v>
      </c>
      <c r="R1642" s="6"/>
      <c r="S1642" s="6"/>
      <c r="T1642" s="6"/>
      <c r="U1642" s="5">
        <f>MATCH(B1642,Manual_Review!$A$6:$A$238,0)</f>
        <v>103</v>
      </c>
      <c r="V1642" s="5" t="str">
        <f>IF(INDEX(Manual_Review!$G$6:$G$238,U1642)="","",INDEX(Manual_Review!$G$6:$G$238,U1642))</f>
        <v/>
      </c>
      <c r="W1642" s="11" t="str">
        <f>IF(INDEX(Manual_Review!$H$6:$H$238,U1642)="","",INDEX(Manual_Review!$H$6:$H$238,U1642))</f>
        <v/>
      </c>
      <c r="X1642" s="5" t="str">
        <f>IF(INDEX(Manual_Review!$I$6:$I$238,U1642)="","",INDEX(Manual_Review!$I$6:$I$238,U1642))</f>
        <v/>
      </c>
      <c r="Y1642" s="5" t="s">
        <v>2859</v>
      </c>
    </row>
    <row r="1643" spans="1:25" ht="25.5">
      <c r="A1643" s="5" t="s">
        <v>6299</v>
      </c>
      <c r="B1643" s="5" t="s">
        <v>1244</v>
      </c>
      <c r="C1643" s="5" t="s">
        <v>1245</v>
      </c>
      <c r="D1643" s="5" t="s">
        <v>118</v>
      </c>
      <c r="E1643" s="5" t="s">
        <v>2786</v>
      </c>
      <c r="F1643" s="5" t="s">
        <v>2756</v>
      </c>
      <c r="G1643" s="5">
        <v>1</v>
      </c>
      <c r="H1643" s="5" t="s">
        <v>2864</v>
      </c>
      <c r="I1643" s="5" t="str">
        <f>IF(INDEX(Manual_Review!$P$6:$P$238,U1643)="","",INDEX(Manual_Review!$P$6:$P$238,U1643))</f>
        <v/>
      </c>
      <c r="J1643" s="5" t="str">
        <f t="shared" si="50"/>
        <v>AI provisional</v>
      </c>
      <c r="K1643" s="5" t="str">
        <f t="shared" si="51"/>
        <v>U</v>
      </c>
      <c r="L1643" s="5" t="s">
        <v>1248</v>
      </c>
      <c r="M1643" s="5" t="s">
        <v>6294</v>
      </c>
      <c r="N1643" s="5" t="s">
        <v>6290</v>
      </c>
      <c r="O1643" s="5" t="s">
        <v>2874</v>
      </c>
      <c r="P1643" s="5" t="s">
        <v>2858</v>
      </c>
      <c r="Q1643" s="11">
        <v>46306.5</v>
      </c>
      <c r="R1643" s="6"/>
      <c r="S1643" s="6"/>
      <c r="T1643" s="6"/>
      <c r="U1643" s="5">
        <f>MATCH(B1643,Manual_Review!$A$6:$A$238,0)</f>
        <v>103</v>
      </c>
      <c r="V1643" s="5" t="str">
        <f>IF(INDEX(Manual_Review!$G$6:$G$238,U1643)="","",INDEX(Manual_Review!$G$6:$G$238,U1643))</f>
        <v/>
      </c>
      <c r="W1643" s="11" t="str">
        <f>IF(INDEX(Manual_Review!$H$6:$H$238,U1643)="","",INDEX(Manual_Review!$H$6:$H$238,U1643))</f>
        <v/>
      </c>
      <c r="X1643" s="5" t="str">
        <f>IF(INDEX(Manual_Review!$I$6:$I$238,U1643)="","",INDEX(Manual_Review!$I$6:$I$238,U1643))</f>
        <v/>
      </c>
      <c r="Y1643" s="5" t="s">
        <v>2859</v>
      </c>
    </row>
    <row r="1644" spans="1:25" ht="25.5">
      <c r="A1644" s="5" t="s">
        <v>6300</v>
      </c>
      <c r="B1644" s="5" t="s">
        <v>1244</v>
      </c>
      <c r="C1644" s="5" t="s">
        <v>1245</v>
      </c>
      <c r="D1644" s="5" t="s">
        <v>118</v>
      </c>
      <c r="E1644" s="5" t="s">
        <v>2787</v>
      </c>
      <c r="F1644" s="5" t="s">
        <v>2758</v>
      </c>
      <c r="G1644" s="5">
        <v>1</v>
      </c>
      <c r="H1644" s="5" t="s">
        <v>2854</v>
      </c>
      <c r="I1644" s="5" t="str">
        <f>IF(INDEX(Manual_Review!$Q$6:$Q$238,U1644)="","",INDEX(Manual_Review!$Q$6:$Q$238,U1644))</f>
        <v/>
      </c>
      <c r="J1644" s="5" t="str">
        <f t="shared" si="50"/>
        <v>AI provisional</v>
      </c>
      <c r="K1644" s="5" t="str">
        <f t="shared" si="51"/>
        <v>Y</v>
      </c>
      <c r="L1644" s="5" t="s">
        <v>1248</v>
      </c>
      <c r="M1644" s="5" t="s">
        <v>6298</v>
      </c>
      <c r="N1644" s="5" t="s">
        <v>6290</v>
      </c>
      <c r="O1644" s="5" t="s">
        <v>2969</v>
      </c>
      <c r="P1644" s="5" t="s">
        <v>2858</v>
      </c>
      <c r="Q1644" s="11">
        <v>46306.5</v>
      </c>
      <c r="R1644" s="6"/>
      <c r="S1644" s="6"/>
      <c r="T1644" s="6"/>
      <c r="U1644" s="5">
        <f>MATCH(B1644,Manual_Review!$A$6:$A$238,0)</f>
        <v>103</v>
      </c>
      <c r="V1644" s="5" t="str">
        <f>IF(INDEX(Manual_Review!$G$6:$G$238,U1644)="","",INDEX(Manual_Review!$G$6:$G$238,U1644))</f>
        <v/>
      </c>
      <c r="W1644" s="11" t="str">
        <f>IF(INDEX(Manual_Review!$H$6:$H$238,U1644)="","",INDEX(Manual_Review!$H$6:$H$238,U1644))</f>
        <v/>
      </c>
      <c r="X1644" s="5" t="str">
        <f>IF(INDEX(Manual_Review!$I$6:$I$238,U1644)="","",INDEX(Manual_Review!$I$6:$I$238,U1644))</f>
        <v/>
      </c>
      <c r="Y1644" s="5" t="s">
        <v>2859</v>
      </c>
    </row>
    <row r="1645" spans="1:25" ht="25.5">
      <c r="A1645" s="5" t="s">
        <v>6301</v>
      </c>
      <c r="B1645" s="5" t="s">
        <v>1244</v>
      </c>
      <c r="C1645" s="5" t="s">
        <v>1245</v>
      </c>
      <c r="D1645" s="5" t="s">
        <v>118</v>
      </c>
      <c r="E1645" s="5" t="s">
        <v>2788</v>
      </c>
      <c r="F1645" s="5" t="s">
        <v>2758</v>
      </c>
      <c r="G1645" s="5">
        <v>1</v>
      </c>
      <c r="H1645" s="5" t="s">
        <v>2864</v>
      </c>
      <c r="I1645" s="5" t="str">
        <f>IF(INDEX(Manual_Review!$R$6:$R$238,U1645)="","",INDEX(Manual_Review!$R$6:$R$238,U1645))</f>
        <v/>
      </c>
      <c r="J1645" s="5" t="str">
        <f t="shared" si="50"/>
        <v>AI provisional</v>
      </c>
      <c r="K1645" s="5" t="str">
        <f t="shared" si="51"/>
        <v>U</v>
      </c>
      <c r="L1645" s="5" t="s">
        <v>1248</v>
      </c>
      <c r="M1645" s="5" t="s">
        <v>6302</v>
      </c>
      <c r="N1645" s="5" t="s">
        <v>6290</v>
      </c>
      <c r="O1645" s="5" t="s">
        <v>2880</v>
      </c>
      <c r="P1645" s="5" t="s">
        <v>2858</v>
      </c>
      <c r="Q1645" s="11">
        <v>46306.5</v>
      </c>
      <c r="R1645" s="6"/>
      <c r="S1645" s="6"/>
      <c r="T1645" s="6"/>
      <c r="U1645" s="5">
        <f>MATCH(B1645,Manual_Review!$A$6:$A$238,0)</f>
        <v>103</v>
      </c>
      <c r="V1645" s="5" t="str">
        <f>IF(INDEX(Manual_Review!$G$6:$G$238,U1645)="","",INDEX(Manual_Review!$G$6:$G$238,U1645))</f>
        <v/>
      </c>
      <c r="W1645" s="11" t="str">
        <f>IF(INDEX(Manual_Review!$H$6:$H$238,U1645)="","",INDEX(Manual_Review!$H$6:$H$238,U1645))</f>
        <v/>
      </c>
      <c r="X1645" s="5" t="str">
        <f>IF(INDEX(Manual_Review!$I$6:$I$238,U1645)="","",INDEX(Manual_Review!$I$6:$I$238,U1645))</f>
        <v/>
      </c>
      <c r="Y1645" s="5" t="s">
        <v>2859</v>
      </c>
    </row>
    <row r="1646" spans="1:25" ht="25.5">
      <c r="A1646" s="5" t="s">
        <v>6303</v>
      </c>
      <c r="B1646" s="5" t="s">
        <v>1244</v>
      </c>
      <c r="C1646" s="5" t="s">
        <v>1245</v>
      </c>
      <c r="D1646" s="5" t="s">
        <v>118</v>
      </c>
      <c r="E1646" s="5" t="s">
        <v>2789</v>
      </c>
      <c r="F1646" s="5" t="s">
        <v>2758</v>
      </c>
      <c r="G1646" s="5">
        <v>1</v>
      </c>
      <c r="H1646" s="5" t="s">
        <v>2864</v>
      </c>
      <c r="I1646" s="5" t="str">
        <f>IF(INDEX(Manual_Review!$S$6:$S$238,U1646)="","",INDEX(Manual_Review!$S$6:$S$238,U1646))</f>
        <v/>
      </c>
      <c r="J1646" s="5" t="str">
        <f t="shared" si="50"/>
        <v>AI provisional</v>
      </c>
      <c r="K1646" s="5" t="str">
        <f t="shared" si="51"/>
        <v>U</v>
      </c>
      <c r="L1646" s="5" t="s">
        <v>1248</v>
      </c>
      <c r="M1646" s="5" t="s">
        <v>6304</v>
      </c>
      <c r="N1646" s="5" t="s">
        <v>6290</v>
      </c>
      <c r="O1646" s="5" t="s">
        <v>2883</v>
      </c>
      <c r="P1646" s="5" t="s">
        <v>2858</v>
      </c>
      <c r="Q1646" s="11">
        <v>46306.5</v>
      </c>
      <c r="R1646" s="6"/>
      <c r="S1646" s="6"/>
      <c r="T1646" s="6"/>
      <c r="U1646" s="5">
        <f>MATCH(B1646,Manual_Review!$A$6:$A$238,0)</f>
        <v>103</v>
      </c>
      <c r="V1646" s="5" t="str">
        <f>IF(INDEX(Manual_Review!$G$6:$G$238,U1646)="","",INDEX(Manual_Review!$G$6:$G$238,U1646))</f>
        <v/>
      </c>
      <c r="W1646" s="11" t="str">
        <f>IF(INDEX(Manual_Review!$H$6:$H$238,U1646)="","",INDEX(Manual_Review!$H$6:$H$238,U1646))</f>
        <v/>
      </c>
      <c r="X1646" s="5" t="str">
        <f>IF(INDEX(Manual_Review!$I$6:$I$238,U1646)="","",INDEX(Manual_Review!$I$6:$I$238,U1646))</f>
        <v/>
      </c>
      <c r="Y1646" s="5" t="s">
        <v>2859</v>
      </c>
    </row>
    <row r="1647" spans="1:25" ht="25.5">
      <c r="A1647" s="5" t="s">
        <v>6305</v>
      </c>
      <c r="B1647" s="5" t="s">
        <v>1244</v>
      </c>
      <c r="C1647" s="5" t="s">
        <v>1245</v>
      </c>
      <c r="D1647" s="5" t="s">
        <v>118</v>
      </c>
      <c r="E1647" s="5" t="s">
        <v>2790</v>
      </c>
      <c r="F1647" s="5" t="s">
        <v>2760</v>
      </c>
      <c r="G1647" s="5">
        <v>1</v>
      </c>
      <c r="H1647" s="5" t="s">
        <v>2854</v>
      </c>
      <c r="I1647" s="5" t="str">
        <f>IF(INDEX(Manual_Review!$T$6:$T$238,U1647)="","",INDEX(Manual_Review!$T$6:$T$238,U1647))</f>
        <v/>
      </c>
      <c r="J1647" s="5" t="str">
        <f t="shared" si="50"/>
        <v>AI provisional</v>
      </c>
      <c r="K1647" s="5" t="str">
        <f t="shared" si="51"/>
        <v>Y</v>
      </c>
      <c r="L1647" s="5" t="s">
        <v>1248</v>
      </c>
      <c r="M1647" s="5" t="s">
        <v>6294</v>
      </c>
      <c r="N1647" s="5" t="s">
        <v>6290</v>
      </c>
      <c r="O1647" s="5" t="s">
        <v>2976</v>
      </c>
      <c r="P1647" s="5" t="s">
        <v>2858</v>
      </c>
      <c r="Q1647" s="11">
        <v>46306.5</v>
      </c>
      <c r="R1647" s="6"/>
      <c r="S1647" s="6"/>
      <c r="T1647" s="6"/>
      <c r="U1647" s="5">
        <f>MATCH(B1647,Manual_Review!$A$6:$A$238,0)</f>
        <v>103</v>
      </c>
      <c r="V1647" s="5" t="str">
        <f>IF(INDEX(Manual_Review!$G$6:$G$238,U1647)="","",INDEX(Manual_Review!$G$6:$G$238,U1647))</f>
        <v/>
      </c>
      <c r="W1647" s="11" t="str">
        <f>IF(INDEX(Manual_Review!$H$6:$H$238,U1647)="","",INDEX(Manual_Review!$H$6:$H$238,U1647))</f>
        <v/>
      </c>
      <c r="X1647" s="5" t="str">
        <f>IF(INDEX(Manual_Review!$I$6:$I$238,U1647)="","",INDEX(Manual_Review!$I$6:$I$238,U1647))</f>
        <v/>
      </c>
      <c r="Y1647" s="5" t="s">
        <v>2859</v>
      </c>
    </row>
    <row r="1648" spans="1:25" ht="25.5">
      <c r="A1648" s="5" t="s">
        <v>6306</v>
      </c>
      <c r="B1648" s="5" t="s">
        <v>1244</v>
      </c>
      <c r="C1648" s="5" t="s">
        <v>1245</v>
      </c>
      <c r="D1648" s="5" t="s">
        <v>118</v>
      </c>
      <c r="E1648" s="5" t="s">
        <v>2791</v>
      </c>
      <c r="F1648" s="5" t="s">
        <v>2760</v>
      </c>
      <c r="G1648" s="5">
        <v>1</v>
      </c>
      <c r="H1648" s="5" t="s">
        <v>2854</v>
      </c>
      <c r="I1648" s="5" t="str">
        <f>IF(INDEX(Manual_Review!$U$6:$U$238,U1648)="","",INDEX(Manual_Review!$U$6:$U$238,U1648))</f>
        <v/>
      </c>
      <c r="J1648" s="5" t="str">
        <f t="shared" si="50"/>
        <v>AI provisional</v>
      </c>
      <c r="K1648" s="5" t="str">
        <f t="shared" si="51"/>
        <v>Y</v>
      </c>
      <c r="L1648" s="5" t="s">
        <v>1248</v>
      </c>
      <c r="M1648" s="5" t="s">
        <v>6298</v>
      </c>
      <c r="N1648" s="5" t="s">
        <v>6290</v>
      </c>
      <c r="O1648" s="5" t="s">
        <v>3380</v>
      </c>
      <c r="P1648" s="5" t="s">
        <v>2858</v>
      </c>
      <c r="Q1648" s="11">
        <v>46306.5</v>
      </c>
      <c r="R1648" s="6"/>
      <c r="S1648" s="6"/>
      <c r="T1648" s="6"/>
      <c r="U1648" s="5">
        <f>MATCH(B1648,Manual_Review!$A$6:$A$238,0)</f>
        <v>103</v>
      </c>
      <c r="V1648" s="5" t="str">
        <f>IF(INDEX(Manual_Review!$G$6:$G$238,U1648)="","",INDEX(Manual_Review!$G$6:$G$238,U1648))</f>
        <v/>
      </c>
      <c r="W1648" s="11" t="str">
        <f>IF(INDEX(Manual_Review!$H$6:$H$238,U1648)="","",INDEX(Manual_Review!$H$6:$H$238,U1648))</f>
        <v/>
      </c>
      <c r="X1648" s="5" t="str">
        <f>IF(INDEX(Manual_Review!$I$6:$I$238,U1648)="","",INDEX(Manual_Review!$I$6:$I$238,U1648))</f>
        <v/>
      </c>
      <c r="Y1648" s="5" t="s">
        <v>2859</v>
      </c>
    </row>
    <row r="1649" spans="1:25" ht="25.5">
      <c r="A1649" s="5" t="s">
        <v>6307</v>
      </c>
      <c r="B1649" s="5" t="s">
        <v>1244</v>
      </c>
      <c r="C1649" s="5" t="s">
        <v>1245</v>
      </c>
      <c r="D1649" s="5" t="s">
        <v>118</v>
      </c>
      <c r="E1649" s="5" t="s">
        <v>2792</v>
      </c>
      <c r="F1649" s="5" t="s">
        <v>2762</v>
      </c>
      <c r="G1649" s="5">
        <v>1</v>
      </c>
      <c r="H1649" s="5" t="s">
        <v>2864</v>
      </c>
      <c r="I1649" s="5" t="str">
        <f>IF(INDEX(Manual_Review!$V$6:$V$238,U1649)="","",INDEX(Manual_Review!$V$6:$V$238,U1649))</f>
        <v/>
      </c>
      <c r="J1649" s="5" t="str">
        <f t="shared" si="50"/>
        <v>AI provisional</v>
      </c>
      <c r="K1649" s="5" t="str">
        <f t="shared" si="51"/>
        <v>U</v>
      </c>
      <c r="L1649" s="5" t="s">
        <v>1248</v>
      </c>
      <c r="M1649" s="5" t="s">
        <v>6294</v>
      </c>
      <c r="N1649" s="5" t="s">
        <v>6290</v>
      </c>
      <c r="O1649" s="5" t="s">
        <v>2891</v>
      </c>
      <c r="P1649" s="5" t="s">
        <v>2858</v>
      </c>
      <c r="Q1649" s="11">
        <v>46306.5</v>
      </c>
      <c r="R1649" s="6"/>
      <c r="S1649" s="6"/>
      <c r="T1649" s="6"/>
      <c r="U1649" s="5">
        <f>MATCH(B1649,Manual_Review!$A$6:$A$238,0)</f>
        <v>103</v>
      </c>
      <c r="V1649" s="5" t="str">
        <f>IF(INDEX(Manual_Review!$G$6:$G$238,U1649)="","",INDEX(Manual_Review!$G$6:$G$238,U1649))</f>
        <v/>
      </c>
      <c r="W1649" s="11" t="str">
        <f>IF(INDEX(Manual_Review!$H$6:$H$238,U1649)="","",INDEX(Manual_Review!$H$6:$H$238,U1649))</f>
        <v/>
      </c>
      <c r="X1649" s="5" t="str">
        <f>IF(INDEX(Manual_Review!$I$6:$I$238,U1649)="","",INDEX(Manual_Review!$I$6:$I$238,U1649))</f>
        <v/>
      </c>
      <c r="Y1649" s="5" t="s">
        <v>2859</v>
      </c>
    </row>
    <row r="1650" spans="1:25" ht="25.5">
      <c r="A1650" s="5" t="s">
        <v>6308</v>
      </c>
      <c r="B1650" s="5" t="s">
        <v>1244</v>
      </c>
      <c r="C1650" s="5" t="s">
        <v>1245</v>
      </c>
      <c r="D1650" s="5" t="s">
        <v>118</v>
      </c>
      <c r="E1650" s="5" t="s">
        <v>2793</v>
      </c>
      <c r="F1650" s="5" t="s">
        <v>2762</v>
      </c>
      <c r="G1650" s="5">
        <v>1</v>
      </c>
      <c r="H1650" s="5" t="s">
        <v>2864</v>
      </c>
      <c r="I1650" s="5" t="str">
        <f>IF(INDEX(Manual_Review!$W$6:$W$238,U1650)="","",INDEX(Manual_Review!$W$6:$W$238,U1650))</f>
        <v/>
      </c>
      <c r="J1650" s="5" t="str">
        <f t="shared" si="50"/>
        <v>AI provisional</v>
      </c>
      <c r="K1650" s="5" t="str">
        <f t="shared" si="51"/>
        <v>U</v>
      </c>
      <c r="L1650" s="5" t="s">
        <v>1248</v>
      </c>
      <c r="M1650" s="5" t="s">
        <v>6294</v>
      </c>
      <c r="N1650" s="5" t="s">
        <v>6290</v>
      </c>
      <c r="O1650" s="5" t="s">
        <v>2893</v>
      </c>
      <c r="P1650" s="5" t="s">
        <v>2858</v>
      </c>
      <c r="Q1650" s="11">
        <v>46306.5</v>
      </c>
      <c r="R1650" s="6"/>
      <c r="S1650" s="6"/>
      <c r="T1650" s="6"/>
      <c r="U1650" s="5">
        <f>MATCH(B1650,Manual_Review!$A$6:$A$238,0)</f>
        <v>103</v>
      </c>
      <c r="V1650" s="5" t="str">
        <f>IF(INDEX(Manual_Review!$G$6:$G$238,U1650)="","",INDEX(Manual_Review!$G$6:$G$238,U1650))</f>
        <v/>
      </c>
      <c r="W1650" s="11" t="str">
        <f>IF(INDEX(Manual_Review!$H$6:$H$238,U1650)="","",INDEX(Manual_Review!$H$6:$H$238,U1650))</f>
        <v/>
      </c>
      <c r="X1650" s="5" t="str">
        <f>IF(INDEX(Manual_Review!$I$6:$I$238,U1650)="","",INDEX(Manual_Review!$I$6:$I$238,U1650))</f>
        <v/>
      </c>
      <c r="Y1650" s="5" t="s">
        <v>2859</v>
      </c>
    </row>
    <row r="1651" spans="1:25" ht="25.5">
      <c r="A1651" s="5" t="s">
        <v>6309</v>
      </c>
      <c r="B1651" s="5" t="s">
        <v>1244</v>
      </c>
      <c r="C1651" s="5" t="s">
        <v>1245</v>
      </c>
      <c r="D1651" s="5" t="s">
        <v>118</v>
      </c>
      <c r="E1651" s="5" t="s">
        <v>2794</v>
      </c>
      <c r="F1651" s="5" t="s">
        <v>2764</v>
      </c>
      <c r="G1651" s="5">
        <v>1</v>
      </c>
      <c r="H1651" s="5" t="s">
        <v>2864</v>
      </c>
      <c r="I1651" s="5" t="str">
        <f>IF(INDEX(Manual_Review!$X$6:$X$238,U1651)="","",INDEX(Manual_Review!$X$6:$X$238,U1651))</f>
        <v/>
      </c>
      <c r="J1651" s="5" t="str">
        <f t="shared" si="50"/>
        <v>AI provisional</v>
      </c>
      <c r="K1651" s="5" t="str">
        <f t="shared" si="51"/>
        <v>U</v>
      </c>
      <c r="L1651" s="5" t="s">
        <v>1248</v>
      </c>
      <c r="M1651" s="5" t="s">
        <v>6294</v>
      </c>
      <c r="N1651" s="5" t="s">
        <v>6290</v>
      </c>
      <c r="O1651" s="5" t="s">
        <v>2895</v>
      </c>
      <c r="P1651" s="5" t="s">
        <v>2858</v>
      </c>
      <c r="Q1651" s="11">
        <v>46306.5</v>
      </c>
      <c r="R1651" s="6"/>
      <c r="S1651" s="6"/>
      <c r="T1651" s="6"/>
      <c r="U1651" s="5">
        <f>MATCH(B1651,Manual_Review!$A$6:$A$238,0)</f>
        <v>103</v>
      </c>
      <c r="V1651" s="5" t="str">
        <f>IF(INDEX(Manual_Review!$G$6:$G$238,U1651)="","",INDEX(Manual_Review!$G$6:$G$238,U1651))</f>
        <v/>
      </c>
      <c r="W1651" s="11" t="str">
        <f>IF(INDEX(Manual_Review!$H$6:$H$238,U1651)="","",INDEX(Manual_Review!$H$6:$H$238,U1651))</f>
        <v/>
      </c>
      <c r="X1651" s="5" t="str">
        <f>IF(INDEX(Manual_Review!$I$6:$I$238,U1651)="","",INDEX(Manual_Review!$I$6:$I$238,U1651))</f>
        <v/>
      </c>
      <c r="Y1651" s="5" t="s">
        <v>2859</v>
      </c>
    </row>
    <row r="1652" spans="1:25" ht="25.5">
      <c r="A1652" s="5" t="s">
        <v>6310</v>
      </c>
      <c r="B1652" s="5" t="s">
        <v>1244</v>
      </c>
      <c r="C1652" s="5" t="s">
        <v>1245</v>
      </c>
      <c r="D1652" s="5" t="s">
        <v>118</v>
      </c>
      <c r="E1652" s="5" t="s">
        <v>2795</v>
      </c>
      <c r="F1652" s="5" t="s">
        <v>2764</v>
      </c>
      <c r="G1652" s="5">
        <v>1</v>
      </c>
      <c r="H1652" s="5" t="s">
        <v>2864</v>
      </c>
      <c r="I1652" s="5" t="str">
        <f>IF(INDEX(Manual_Review!$Y$6:$Y$238,U1652)="","",INDEX(Manual_Review!$Y$6:$Y$238,U1652))</f>
        <v/>
      </c>
      <c r="J1652" s="5" t="str">
        <f t="shared" si="50"/>
        <v>AI provisional</v>
      </c>
      <c r="K1652" s="5" t="str">
        <f t="shared" si="51"/>
        <v>U</v>
      </c>
      <c r="L1652" s="5" t="s">
        <v>1248</v>
      </c>
      <c r="M1652" s="5" t="s">
        <v>6294</v>
      </c>
      <c r="N1652" s="5" t="s">
        <v>6290</v>
      </c>
      <c r="O1652" s="5" t="s">
        <v>2897</v>
      </c>
      <c r="P1652" s="5" t="s">
        <v>2858</v>
      </c>
      <c r="Q1652" s="11">
        <v>46306.5</v>
      </c>
      <c r="R1652" s="6"/>
      <c r="S1652" s="6"/>
      <c r="T1652" s="6"/>
      <c r="U1652" s="5">
        <f>MATCH(B1652,Manual_Review!$A$6:$A$238,0)</f>
        <v>103</v>
      </c>
      <c r="V1652" s="5" t="str">
        <f>IF(INDEX(Manual_Review!$G$6:$G$238,U1652)="","",INDEX(Manual_Review!$G$6:$G$238,U1652))</f>
        <v/>
      </c>
      <c r="W1652" s="11" t="str">
        <f>IF(INDEX(Manual_Review!$H$6:$H$238,U1652)="","",INDEX(Manual_Review!$H$6:$H$238,U1652))</f>
        <v/>
      </c>
      <c r="X1652" s="5" t="str">
        <f>IF(INDEX(Manual_Review!$I$6:$I$238,U1652)="","",INDEX(Manual_Review!$I$6:$I$238,U1652))</f>
        <v/>
      </c>
      <c r="Y1652" s="5" t="s">
        <v>2859</v>
      </c>
    </row>
    <row r="1653" spans="1:25" ht="25.5">
      <c r="A1653" s="5" t="s">
        <v>6311</v>
      </c>
      <c r="B1653" s="5" t="s">
        <v>1244</v>
      </c>
      <c r="C1653" s="5" t="s">
        <v>1245</v>
      </c>
      <c r="D1653" s="5" t="s">
        <v>118</v>
      </c>
      <c r="E1653" s="5" t="s">
        <v>2796</v>
      </c>
      <c r="F1653" s="5" t="s">
        <v>2764</v>
      </c>
      <c r="G1653" s="5">
        <v>1</v>
      </c>
      <c r="H1653" s="5" t="s">
        <v>2864</v>
      </c>
      <c r="I1653" s="5" t="str">
        <f>IF(INDEX(Manual_Review!$Z$6:$Z$238,U1653)="","",INDEX(Manual_Review!$Z$6:$Z$238,U1653))</f>
        <v/>
      </c>
      <c r="J1653" s="5" t="str">
        <f t="shared" si="50"/>
        <v>AI provisional</v>
      </c>
      <c r="K1653" s="5" t="str">
        <f t="shared" si="51"/>
        <v>U</v>
      </c>
      <c r="L1653" s="5" t="s">
        <v>1248</v>
      </c>
      <c r="M1653" s="5" t="s">
        <v>6304</v>
      </c>
      <c r="N1653" s="5" t="s">
        <v>6290</v>
      </c>
      <c r="O1653" s="5" t="s">
        <v>2899</v>
      </c>
      <c r="P1653" s="5" t="s">
        <v>2858</v>
      </c>
      <c r="Q1653" s="11">
        <v>46306.5</v>
      </c>
      <c r="R1653" s="6"/>
      <c r="S1653" s="6"/>
      <c r="T1653" s="6"/>
      <c r="U1653" s="5">
        <f>MATCH(B1653,Manual_Review!$A$6:$A$238,0)</f>
        <v>103</v>
      </c>
      <c r="V1653" s="5" t="str">
        <f>IF(INDEX(Manual_Review!$G$6:$G$238,U1653)="","",INDEX(Manual_Review!$G$6:$G$238,U1653))</f>
        <v/>
      </c>
      <c r="W1653" s="11" t="str">
        <f>IF(INDEX(Manual_Review!$H$6:$H$238,U1653)="","",INDEX(Manual_Review!$H$6:$H$238,U1653))</f>
        <v/>
      </c>
      <c r="X1653" s="5" t="str">
        <f>IF(INDEX(Manual_Review!$I$6:$I$238,U1653)="","",INDEX(Manual_Review!$I$6:$I$238,U1653))</f>
        <v/>
      </c>
      <c r="Y1653" s="5" t="s">
        <v>2859</v>
      </c>
    </row>
    <row r="1654" spans="1:25" ht="89.25">
      <c r="A1654" s="5" t="s">
        <v>6312</v>
      </c>
      <c r="B1654" s="5" t="s">
        <v>1250</v>
      </c>
      <c r="C1654" s="5" t="s">
        <v>1251</v>
      </c>
      <c r="D1654" s="5" t="s">
        <v>118</v>
      </c>
      <c r="E1654" s="5" t="s">
        <v>2781</v>
      </c>
      <c r="F1654" s="5" t="s">
        <v>2754</v>
      </c>
      <c r="G1654" s="5">
        <v>1</v>
      </c>
      <c r="H1654" s="5" t="s">
        <v>2854</v>
      </c>
      <c r="I1654" s="5" t="str">
        <f>IF(INDEX(Manual_Review!$K$6:$K$238,U1654)="","",INDEX(Manual_Review!$K$6:$K$238,U1654))</f>
        <v/>
      </c>
      <c r="J1654" s="5" t="str">
        <f t="shared" si="50"/>
        <v>AI provisional</v>
      </c>
      <c r="K1654" s="5" t="str">
        <f t="shared" si="51"/>
        <v>Y</v>
      </c>
      <c r="L1654" s="5" t="s">
        <v>1259</v>
      </c>
      <c r="M1654" s="5" t="s">
        <v>6313</v>
      </c>
      <c r="N1654" s="5" t="s">
        <v>6314</v>
      </c>
      <c r="O1654" s="5" t="s">
        <v>2857</v>
      </c>
      <c r="P1654" s="5" t="s">
        <v>2858</v>
      </c>
      <c r="Q1654" s="11">
        <v>46306.5</v>
      </c>
      <c r="R1654" s="6"/>
      <c r="S1654" s="6"/>
      <c r="T1654" s="6"/>
      <c r="U1654" s="5">
        <f>MATCH(B1654,Manual_Review!$A$6:$A$238,0)</f>
        <v>104</v>
      </c>
      <c r="V1654" s="5" t="str">
        <f>IF(INDEX(Manual_Review!$G$6:$G$238,U1654)="","",INDEX(Manual_Review!$G$6:$G$238,U1654))</f>
        <v/>
      </c>
      <c r="W1654" s="11" t="str">
        <f>IF(INDEX(Manual_Review!$H$6:$H$238,U1654)="","",INDEX(Manual_Review!$H$6:$H$238,U1654))</f>
        <v/>
      </c>
      <c r="X1654" s="5" t="str">
        <f>IF(INDEX(Manual_Review!$I$6:$I$238,U1654)="","",INDEX(Manual_Review!$I$6:$I$238,U1654))</f>
        <v/>
      </c>
      <c r="Y1654" s="5" t="s">
        <v>2859</v>
      </c>
    </row>
    <row r="1655" spans="1:25" ht="89.25">
      <c r="A1655" s="5" t="s">
        <v>6315</v>
      </c>
      <c r="B1655" s="5" t="s">
        <v>1250</v>
      </c>
      <c r="C1655" s="5" t="s">
        <v>1251</v>
      </c>
      <c r="D1655" s="5" t="s">
        <v>118</v>
      </c>
      <c r="E1655" s="5" t="s">
        <v>2782</v>
      </c>
      <c r="F1655" s="5" t="s">
        <v>2754</v>
      </c>
      <c r="G1655" s="5">
        <v>1</v>
      </c>
      <c r="H1655" s="5" t="s">
        <v>2854</v>
      </c>
      <c r="I1655" s="5" t="str">
        <f>IF(INDEX(Manual_Review!$L$6:$L$238,U1655)="","",INDEX(Manual_Review!$L$6:$L$238,U1655))</f>
        <v/>
      </c>
      <c r="J1655" s="5" t="str">
        <f t="shared" si="50"/>
        <v>AI provisional</v>
      </c>
      <c r="K1655" s="5" t="str">
        <f t="shared" si="51"/>
        <v>Y</v>
      </c>
      <c r="L1655" s="5" t="s">
        <v>1259</v>
      </c>
      <c r="M1655" s="5" t="s">
        <v>6316</v>
      </c>
      <c r="N1655" s="5" t="s">
        <v>6314</v>
      </c>
      <c r="O1655" s="5" t="s">
        <v>2862</v>
      </c>
      <c r="P1655" s="5" t="s">
        <v>2858</v>
      </c>
      <c r="Q1655" s="11">
        <v>46306.5</v>
      </c>
      <c r="R1655" s="6"/>
      <c r="S1655" s="6"/>
      <c r="T1655" s="6"/>
      <c r="U1655" s="5">
        <f>MATCH(B1655,Manual_Review!$A$6:$A$238,0)</f>
        <v>104</v>
      </c>
      <c r="V1655" s="5" t="str">
        <f>IF(INDEX(Manual_Review!$G$6:$G$238,U1655)="","",INDEX(Manual_Review!$G$6:$G$238,U1655))</f>
        <v/>
      </c>
      <c r="W1655" s="11" t="str">
        <f>IF(INDEX(Manual_Review!$H$6:$H$238,U1655)="","",INDEX(Manual_Review!$H$6:$H$238,U1655))</f>
        <v/>
      </c>
      <c r="X1655" s="5" t="str">
        <f>IF(INDEX(Manual_Review!$I$6:$I$238,U1655)="","",INDEX(Manual_Review!$I$6:$I$238,U1655))</f>
        <v/>
      </c>
      <c r="Y1655" s="5" t="s">
        <v>2859</v>
      </c>
    </row>
    <row r="1656" spans="1:25" ht="89.25">
      <c r="A1656" s="5" t="s">
        <v>6317</v>
      </c>
      <c r="B1656" s="5" t="s">
        <v>1250</v>
      </c>
      <c r="C1656" s="5" t="s">
        <v>1251</v>
      </c>
      <c r="D1656" s="5" t="s">
        <v>118</v>
      </c>
      <c r="E1656" s="5" t="s">
        <v>2783</v>
      </c>
      <c r="F1656" s="5" t="s">
        <v>2754</v>
      </c>
      <c r="G1656" s="5">
        <v>1</v>
      </c>
      <c r="H1656" s="5" t="s">
        <v>2854</v>
      </c>
      <c r="I1656" s="5" t="str">
        <f>IF(INDEX(Manual_Review!$M$6:$M$238,U1656)="","",INDEX(Manual_Review!$M$6:$M$238,U1656))</f>
        <v/>
      </c>
      <c r="J1656" s="5" t="str">
        <f t="shared" si="50"/>
        <v>AI provisional</v>
      </c>
      <c r="K1656" s="5" t="str">
        <f t="shared" si="51"/>
        <v>Y</v>
      </c>
      <c r="L1656" s="5" t="s">
        <v>1259</v>
      </c>
      <c r="M1656" s="5" t="s">
        <v>6318</v>
      </c>
      <c r="N1656" s="5" t="s">
        <v>6314</v>
      </c>
      <c r="O1656" s="5" t="s">
        <v>3133</v>
      </c>
      <c r="P1656" s="5" t="s">
        <v>2858</v>
      </c>
      <c r="Q1656" s="11">
        <v>46306.5</v>
      </c>
      <c r="R1656" s="6"/>
      <c r="S1656" s="6"/>
      <c r="T1656" s="6"/>
      <c r="U1656" s="5">
        <f>MATCH(B1656,Manual_Review!$A$6:$A$238,0)</f>
        <v>104</v>
      </c>
      <c r="V1656" s="5" t="str">
        <f>IF(INDEX(Manual_Review!$G$6:$G$238,U1656)="","",INDEX(Manual_Review!$G$6:$G$238,U1656))</f>
        <v/>
      </c>
      <c r="W1656" s="11" t="str">
        <f>IF(INDEX(Manual_Review!$H$6:$H$238,U1656)="","",INDEX(Manual_Review!$H$6:$H$238,U1656))</f>
        <v/>
      </c>
      <c r="X1656" s="5" t="str">
        <f>IF(INDEX(Manual_Review!$I$6:$I$238,U1656)="","",INDEX(Manual_Review!$I$6:$I$238,U1656))</f>
        <v/>
      </c>
      <c r="Y1656" s="5" t="s">
        <v>2859</v>
      </c>
    </row>
    <row r="1657" spans="1:25" ht="89.25">
      <c r="A1657" s="5" t="s">
        <v>6319</v>
      </c>
      <c r="B1657" s="5" t="s">
        <v>1250</v>
      </c>
      <c r="C1657" s="5" t="s">
        <v>1251</v>
      </c>
      <c r="D1657" s="5" t="s">
        <v>118</v>
      </c>
      <c r="E1657" s="5" t="s">
        <v>2784</v>
      </c>
      <c r="F1657" s="5" t="s">
        <v>2756</v>
      </c>
      <c r="G1657" s="5">
        <v>1</v>
      </c>
      <c r="H1657" s="5" t="s">
        <v>2854</v>
      </c>
      <c r="I1657" s="5" t="str">
        <f>IF(INDEX(Manual_Review!$N$6:$N$238,U1657)="","",INDEX(Manual_Review!$N$6:$N$238,U1657))</f>
        <v/>
      </c>
      <c r="J1657" s="5" t="str">
        <f t="shared" si="50"/>
        <v>AI provisional</v>
      </c>
      <c r="K1657" s="5" t="str">
        <f t="shared" si="51"/>
        <v>Y</v>
      </c>
      <c r="L1657" s="5" t="s">
        <v>1259</v>
      </c>
      <c r="M1657" s="5" t="s">
        <v>6320</v>
      </c>
      <c r="N1657" s="5" t="s">
        <v>6314</v>
      </c>
      <c r="O1657" s="5" t="s">
        <v>2963</v>
      </c>
      <c r="P1657" s="5" t="s">
        <v>2858</v>
      </c>
      <c r="Q1657" s="11">
        <v>46306.5</v>
      </c>
      <c r="R1657" s="6"/>
      <c r="S1657" s="6"/>
      <c r="T1657" s="6"/>
      <c r="U1657" s="5">
        <f>MATCH(B1657,Manual_Review!$A$6:$A$238,0)</f>
        <v>104</v>
      </c>
      <c r="V1657" s="5" t="str">
        <f>IF(INDEX(Manual_Review!$G$6:$G$238,U1657)="","",INDEX(Manual_Review!$G$6:$G$238,U1657))</f>
        <v/>
      </c>
      <c r="W1657" s="11" t="str">
        <f>IF(INDEX(Manual_Review!$H$6:$H$238,U1657)="","",INDEX(Manual_Review!$H$6:$H$238,U1657))</f>
        <v/>
      </c>
      <c r="X1657" s="5" t="str">
        <f>IF(INDEX(Manual_Review!$I$6:$I$238,U1657)="","",INDEX(Manual_Review!$I$6:$I$238,U1657))</f>
        <v/>
      </c>
      <c r="Y1657" s="5" t="s">
        <v>2859</v>
      </c>
    </row>
    <row r="1658" spans="1:25" ht="89.25">
      <c r="A1658" s="5" t="s">
        <v>6321</v>
      </c>
      <c r="B1658" s="5" t="s">
        <v>1250</v>
      </c>
      <c r="C1658" s="5" t="s">
        <v>1251</v>
      </c>
      <c r="D1658" s="5" t="s">
        <v>118</v>
      </c>
      <c r="E1658" s="5" t="s">
        <v>2785</v>
      </c>
      <c r="F1658" s="5" t="s">
        <v>2756</v>
      </c>
      <c r="G1658" s="5">
        <v>1</v>
      </c>
      <c r="H1658" s="5" t="s">
        <v>2854</v>
      </c>
      <c r="I1658" s="5" t="str">
        <f>IF(INDEX(Manual_Review!$O$6:$O$238,U1658)="","",INDEX(Manual_Review!$O$6:$O$238,U1658))</f>
        <v/>
      </c>
      <c r="J1658" s="5" t="str">
        <f t="shared" si="50"/>
        <v>AI provisional</v>
      </c>
      <c r="K1658" s="5" t="str">
        <f t="shared" si="51"/>
        <v>Y</v>
      </c>
      <c r="L1658" s="5" t="s">
        <v>1259</v>
      </c>
      <c r="M1658" s="5" t="s">
        <v>6322</v>
      </c>
      <c r="N1658" s="5" t="s">
        <v>6314</v>
      </c>
      <c r="O1658" s="5" t="s">
        <v>3138</v>
      </c>
      <c r="P1658" s="5" t="s">
        <v>2858</v>
      </c>
      <c r="Q1658" s="11">
        <v>46306.5</v>
      </c>
      <c r="R1658" s="6"/>
      <c r="S1658" s="6"/>
      <c r="T1658" s="6"/>
      <c r="U1658" s="5">
        <f>MATCH(B1658,Manual_Review!$A$6:$A$238,0)</f>
        <v>104</v>
      </c>
      <c r="V1658" s="5" t="str">
        <f>IF(INDEX(Manual_Review!$G$6:$G$238,U1658)="","",INDEX(Manual_Review!$G$6:$G$238,U1658))</f>
        <v/>
      </c>
      <c r="W1658" s="11" t="str">
        <f>IF(INDEX(Manual_Review!$H$6:$H$238,U1658)="","",INDEX(Manual_Review!$H$6:$H$238,U1658))</f>
        <v/>
      </c>
      <c r="X1658" s="5" t="str">
        <f>IF(INDEX(Manual_Review!$I$6:$I$238,U1658)="","",INDEX(Manual_Review!$I$6:$I$238,U1658))</f>
        <v/>
      </c>
      <c r="Y1658" s="5" t="s">
        <v>2859</v>
      </c>
    </row>
    <row r="1659" spans="1:25" ht="89.25">
      <c r="A1659" s="5" t="s">
        <v>6323</v>
      </c>
      <c r="B1659" s="5" t="s">
        <v>1250</v>
      </c>
      <c r="C1659" s="5" t="s">
        <v>1251</v>
      </c>
      <c r="D1659" s="5" t="s">
        <v>118</v>
      </c>
      <c r="E1659" s="5" t="s">
        <v>2786</v>
      </c>
      <c r="F1659" s="5" t="s">
        <v>2756</v>
      </c>
      <c r="G1659" s="5">
        <v>1</v>
      </c>
      <c r="H1659" s="5" t="s">
        <v>2854</v>
      </c>
      <c r="I1659" s="5" t="str">
        <f>IF(INDEX(Manual_Review!$P$6:$P$238,U1659)="","",INDEX(Manual_Review!$P$6:$P$238,U1659))</f>
        <v/>
      </c>
      <c r="J1659" s="5" t="str">
        <f t="shared" si="50"/>
        <v>AI provisional</v>
      </c>
      <c r="K1659" s="5" t="str">
        <f t="shared" si="51"/>
        <v>Y</v>
      </c>
      <c r="L1659" s="5" t="s">
        <v>1259</v>
      </c>
      <c r="M1659" s="5" t="s">
        <v>6324</v>
      </c>
      <c r="N1659" s="5" t="s">
        <v>6314</v>
      </c>
      <c r="O1659" s="5" t="s">
        <v>6325</v>
      </c>
      <c r="P1659" s="5" t="s">
        <v>2858</v>
      </c>
      <c r="Q1659" s="11">
        <v>46306.5</v>
      </c>
      <c r="R1659" s="6"/>
      <c r="S1659" s="6"/>
      <c r="T1659" s="6"/>
      <c r="U1659" s="5">
        <f>MATCH(B1659,Manual_Review!$A$6:$A$238,0)</f>
        <v>104</v>
      </c>
      <c r="V1659" s="5" t="str">
        <f>IF(INDEX(Manual_Review!$G$6:$G$238,U1659)="","",INDEX(Manual_Review!$G$6:$G$238,U1659))</f>
        <v/>
      </c>
      <c r="W1659" s="11" t="str">
        <f>IF(INDEX(Manual_Review!$H$6:$H$238,U1659)="","",INDEX(Manual_Review!$H$6:$H$238,U1659))</f>
        <v/>
      </c>
      <c r="X1659" s="5" t="str">
        <f>IF(INDEX(Manual_Review!$I$6:$I$238,U1659)="","",INDEX(Manual_Review!$I$6:$I$238,U1659))</f>
        <v/>
      </c>
      <c r="Y1659" s="5" t="s">
        <v>2859</v>
      </c>
    </row>
    <row r="1660" spans="1:25" ht="89.25">
      <c r="A1660" s="5" t="s">
        <v>6326</v>
      </c>
      <c r="B1660" s="5" t="s">
        <v>1250</v>
      </c>
      <c r="C1660" s="5" t="s">
        <v>1251</v>
      </c>
      <c r="D1660" s="5" t="s">
        <v>118</v>
      </c>
      <c r="E1660" s="5" t="s">
        <v>2787</v>
      </c>
      <c r="F1660" s="5" t="s">
        <v>2758</v>
      </c>
      <c r="G1660" s="5">
        <v>1</v>
      </c>
      <c r="H1660" s="5" t="s">
        <v>2854</v>
      </c>
      <c r="I1660" s="5" t="str">
        <f>IF(INDEX(Manual_Review!$Q$6:$Q$238,U1660)="","",INDEX(Manual_Review!$Q$6:$Q$238,U1660))</f>
        <v/>
      </c>
      <c r="J1660" s="5" t="str">
        <f t="shared" si="50"/>
        <v>AI provisional</v>
      </c>
      <c r="K1660" s="5" t="str">
        <f t="shared" si="51"/>
        <v>Y</v>
      </c>
      <c r="L1660" s="5" t="s">
        <v>1259</v>
      </c>
      <c r="M1660" s="5" t="s">
        <v>6327</v>
      </c>
      <c r="N1660" s="5" t="s">
        <v>6314</v>
      </c>
      <c r="O1660" s="5" t="s">
        <v>2969</v>
      </c>
      <c r="P1660" s="5" t="s">
        <v>2858</v>
      </c>
      <c r="Q1660" s="11">
        <v>46306.5</v>
      </c>
      <c r="R1660" s="6"/>
      <c r="S1660" s="6"/>
      <c r="T1660" s="6"/>
      <c r="U1660" s="5">
        <f>MATCH(B1660,Manual_Review!$A$6:$A$238,0)</f>
        <v>104</v>
      </c>
      <c r="V1660" s="5" t="str">
        <f>IF(INDEX(Manual_Review!$G$6:$G$238,U1660)="","",INDEX(Manual_Review!$G$6:$G$238,U1660))</f>
        <v/>
      </c>
      <c r="W1660" s="11" t="str">
        <f>IF(INDEX(Manual_Review!$H$6:$H$238,U1660)="","",INDEX(Manual_Review!$H$6:$H$238,U1660))</f>
        <v/>
      </c>
      <c r="X1660" s="5" t="str">
        <f>IF(INDEX(Manual_Review!$I$6:$I$238,U1660)="","",INDEX(Manual_Review!$I$6:$I$238,U1660))</f>
        <v/>
      </c>
      <c r="Y1660" s="5" t="s">
        <v>2859</v>
      </c>
    </row>
    <row r="1661" spans="1:25" ht="89.25">
      <c r="A1661" s="5" t="s">
        <v>6328</v>
      </c>
      <c r="B1661" s="5" t="s">
        <v>1250</v>
      </c>
      <c r="C1661" s="5" t="s">
        <v>1251</v>
      </c>
      <c r="D1661" s="5" t="s">
        <v>118</v>
      </c>
      <c r="E1661" s="5" t="s">
        <v>2788</v>
      </c>
      <c r="F1661" s="5" t="s">
        <v>2758</v>
      </c>
      <c r="G1661" s="5">
        <v>1</v>
      </c>
      <c r="H1661" s="5" t="s">
        <v>2854</v>
      </c>
      <c r="I1661" s="5" t="str">
        <f>IF(INDEX(Manual_Review!$R$6:$R$238,U1661)="","",INDEX(Manual_Review!$R$6:$R$238,U1661))</f>
        <v/>
      </c>
      <c r="J1661" s="5" t="str">
        <f t="shared" si="50"/>
        <v>AI provisional</v>
      </c>
      <c r="K1661" s="5" t="str">
        <f t="shared" si="51"/>
        <v>Y</v>
      </c>
      <c r="L1661" s="5" t="s">
        <v>1259</v>
      </c>
      <c r="M1661" s="5" t="s">
        <v>6329</v>
      </c>
      <c r="N1661" s="5" t="s">
        <v>6314</v>
      </c>
      <c r="O1661" s="5" t="s">
        <v>3067</v>
      </c>
      <c r="P1661" s="5" t="s">
        <v>2858</v>
      </c>
      <c r="Q1661" s="11">
        <v>46306.5</v>
      </c>
      <c r="R1661" s="6"/>
      <c r="S1661" s="6"/>
      <c r="T1661" s="6"/>
      <c r="U1661" s="5">
        <f>MATCH(B1661,Manual_Review!$A$6:$A$238,0)</f>
        <v>104</v>
      </c>
      <c r="V1661" s="5" t="str">
        <f>IF(INDEX(Manual_Review!$G$6:$G$238,U1661)="","",INDEX(Manual_Review!$G$6:$G$238,U1661))</f>
        <v/>
      </c>
      <c r="W1661" s="11" t="str">
        <f>IF(INDEX(Manual_Review!$H$6:$H$238,U1661)="","",INDEX(Manual_Review!$H$6:$H$238,U1661))</f>
        <v/>
      </c>
      <c r="X1661" s="5" t="str">
        <f>IF(INDEX(Manual_Review!$I$6:$I$238,U1661)="","",INDEX(Manual_Review!$I$6:$I$238,U1661))</f>
        <v/>
      </c>
      <c r="Y1661" s="5" t="s">
        <v>2859</v>
      </c>
    </row>
    <row r="1662" spans="1:25" ht="89.25">
      <c r="A1662" s="5" t="s">
        <v>6330</v>
      </c>
      <c r="B1662" s="5" t="s">
        <v>1250</v>
      </c>
      <c r="C1662" s="5" t="s">
        <v>1251</v>
      </c>
      <c r="D1662" s="5" t="s">
        <v>118</v>
      </c>
      <c r="E1662" s="5" t="s">
        <v>2789</v>
      </c>
      <c r="F1662" s="5" t="s">
        <v>2758</v>
      </c>
      <c r="G1662" s="5">
        <v>1</v>
      </c>
      <c r="H1662" s="5" t="s">
        <v>2854</v>
      </c>
      <c r="I1662" s="5" t="str">
        <f>IF(INDEX(Manual_Review!$S$6:$S$238,U1662)="","",INDEX(Manual_Review!$S$6:$S$238,U1662))</f>
        <v/>
      </c>
      <c r="J1662" s="5" t="str">
        <f t="shared" si="50"/>
        <v>AI provisional</v>
      </c>
      <c r="K1662" s="5" t="str">
        <f t="shared" si="51"/>
        <v>Y</v>
      </c>
      <c r="L1662" s="5" t="s">
        <v>1259</v>
      </c>
      <c r="M1662" s="5" t="s">
        <v>6331</v>
      </c>
      <c r="N1662" s="5" t="s">
        <v>6314</v>
      </c>
      <c r="O1662" s="5" t="s">
        <v>3178</v>
      </c>
      <c r="P1662" s="5" t="s">
        <v>2858</v>
      </c>
      <c r="Q1662" s="11">
        <v>46306.5</v>
      </c>
      <c r="R1662" s="6"/>
      <c r="S1662" s="6"/>
      <c r="T1662" s="6"/>
      <c r="U1662" s="5">
        <f>MATCH(B1662,Manual_Review!$A$6:$A$238,0)</f>
        <v>104</v>
      </c>
      <c r="V1662" s="5" t="str">
        <f>IF(INDEX(Manual_Review!$G$6:$G$238,U1662)="","",INDEX(Manual_Review!$G$6:$G$238,U1662))</f>
        <v/>
      </c>
      <c r="W1662" s="11" t="str">
        <f>IF(INDEX(Manual_Review!$H$6:$H$238,U1662)="","",INDEX(Manual_Review!$H$6:$H$238,U1662))</f>
        <v/>
      </c>
      <c r="X1662" s="5" t="str">
        <f>IF(INDEX(Manual_Review!$I$6:$I$238,U1662)="","",INDEX(Manual_Review!$I$6:$I$238,U1662))</f>
        <v/>
      </c>
      <c r="Y1662" s="5" t="s">
        <v>2859</v>
      </c>
    </row>
    <row r="1663" spans="1:25" ht="89.25">
      <c r="A1663" s="5" t="s">
        <v>6332</v>
      </c>
      <c r="B1663" s="5" t="s">
        <v>1250</v>
      </c>
      <c r="C1663" s="5" t="s">
        <v>1251</v>
      </c>
      <c r="D1663" s="5" t="s">
        <v>118</v>
      </c>
      <c r="E1663" s="5" t="s">
        <v>2790</v>
      </c>
      <c r="F1663" s="5" t="s">
        <v>2760</v>
      </c>
      <c r="G1663" s="5">
        <v>1</v>
      </c>
      <c r="H1663" s="5" t="s">
        <v>2854</v>
      </c>
      <c r="I1663" s="5" t="str">
        <f>IF(INDEX(Manual_Review!$T$6:$T$238,U1663)="","",INDEX(Manual_Review!$T$6:$T$238,U1663))</f>
        <v/>
      </c>
      <c r="J1663" s="5" t="str">
        <f t="shared" si="50"/>
        <v>AI provisional</v>
      </c>
      <c r="K1663" s="5" t="str">
        <f t="shared" si="51"/>
        <v>Y</v>
      </c>
      <c r="L1663" s="5" t="s">
        <v>1259</v>
      </c>
      <c r="M1663" s="5" t="s">
        <v>6333</v>
      </c>
      <c r="N1663" s="5" t="s">
        <v>6314</v>
      </c>
      <c r="O1663" s="5" t="s">
        <v>2976</v>
      </c>
      <c r="P1663" s="5" t="s">
        <v>2858</v>
      </c>
      <c r="Q1663" s="11">
        <v>46306.5</v>
      </c>
      <c r="R1663" s="6"/>
      <c r="S1663" s="6"/>
      <c r="T1663" s="6"/>
      <c r="U1663" s="5">
        <f>MATCH(B1663,Manual_Review!$A$6:$A$238,0)</f>
        <v>104</v>
      </c>
      <c r="V1663" s="5" t="str">
        <f>IF(INDEX(Manual_Review!$G$6:$G$238,U1663)="","",INDEX(Manual_Review!$G$6:$G$238,U1663))</f>
        <v/>
      </c>
      <c r="W1663" s="11" t="str">
        <f>IF(INDEX(Manual_Review!$H$6:$H$238,U1663)="","",INDEX(Manual_Review!$H$6:$H$238,U1663))</f>
        <v/>
      </c>
      <c r="X1663" s="5" t="str">
        <f>IF(INDEX(Manual_Review!$I$6:$I$238,U1663)="","",INDEX(Manual_Review!$I$6:$I$238,U1663))</f>
        <v/>
      </c>
      <c r="Y1663" s="5" t="s">
        <v>2859</v>
      </c>
    </row>
    <row r="1664" spans="1:25" ht="89.25">
      <c r="A1664" s="5" t="s">
        <v>6334</v>
      </c>
      <c r="B1664" s="5" t="s">
        <v>1250</v>
      </c>
      <c r="C1664" s="5" t="s">
        <v>1251</v>
      </c>
      <c r="D1664" s="5" t="s">
        <v>118</v>
      </c>
      <c r="E1664" s="5" t="s">
        <v>2791</v>
      </c>
      <c r="F1664" s="5" t="s">
        <v>2760</v>
      </c>
      <c r="G1664" s="5">
        <v>1</v>
      </c>
      <c r="H1664" s="5" t="s">
        <v>2854</v>
      </c>
      <c r="I1664" s="5" t="str">
        <f>IF(INDEX(Manual_Review!$U$6:$U$238,U1664)="","",INDEX(Manual_Review!$U$6:$U$238,U1664))</f>
        <v/>
      </c>
      <c r="J1664" s="5" t="str">
        <f t="shared" si="50"/>
        <v>AI provisional</v>
      </c>
      <c r="K1664" s="5" t="str">
        <f t="shared" si="51"/>
        <v>Y</v>
      </c>
      <c r="L1664" s="5" t="s">
        <v>1259</v>
      </c>
      <c r="M1664" s="5" t="s">
        <v>6335</v>
      </c>
      <c r="N1664" s="5" t="s">
        <v>6314</v>
      </c>
      <c r="O1664" s="5" t="s">
        <v>3380</v>
      </c>
      <c r="P1664" s="5" t="s">
        <v>2858</v>
      </c>
      <c r="Q1664" s="11">
        <v>46306.5</v>
      </c>
      <c r="R1664" s="6"/>
      <c r="S1664" s="6"/>
      <c r="T1664" s="6"/>
      <c r="U1664" s="5">
        <f>MATCH(B1664,Manual_Review!$A$6:$A$238,0)</f>
        <v>104</v>
      </c>
      <c r="V1664" s="5" t="str">
        <f>IF(INDEX(Manual_Review!$G$6:$G$238,U1664)="","",INDEX(Manual_Review!$G$6:$G$238,U1664))</f>
        <v/>
      </c>
      <c r="W1664" s="11" t="str">
        <f>IF(INDEX(Manual_Review!$H$6:$H$238,U1664)="","",INDEX(Manual_Review!$H$6:$H$238,U1664))</f>
        <v/>
      </c>
      <c r="X1664" s="5" t="str">
        <f>IF(INDEX(Manual_Review!$I$6:$I$238,U1664)="","",INDEX(Manual_Review!$I$6:$I$238,U1664))</f>
        <v/>
      </c>
      <c r="Y1664" s="5" t="s">
        <v>2859</v>
      </c>
    </row>
    <row r="1665" spans="1:25" ht="89.25">
      <c r="A1665" s="5" t="s">
        <v>6336</v>
      </c>
      <c r="B1665" s="5" t="s">
        <v>1250</v>
      </c>
      <c r="C1665" s="5" t="s">
        <v>1251</v>
      </c>
      <c r="D1665" s="5" t="s">
        <v>118</v>
      </c>
      <c r="E1665" s="5" t="s">
        <v>2792</v>
      </c>
      <c r="F1665" s="5" t="s">
        <v>2762</v>
      </c>
      <c r="G1665" s="5">
        <v>1</v>
      </c>
      <c r="H1665" s="5" t="s">
        <v>2864</v>
      </c>
      <c r="I1665" s="5" t="str">
        <f>IF(INDEX(Manual_Review!$V$6:$V$238,U1665)="","",INDEX(Manual_Review!$V$6:$V$238,U1665))</f>
        <v/>
      </c>
      <c r="J1665" s="5" t="str">
        <f t="shared" si="50"/>
        <v>AI provisional</v>
      </c>
      <c r="K1665" s="5" t="str">
        <f t="shared" si="51"/>
        <v>U</v>
      </c>
      <c r="L1665" s="5" t="s">
        <v>1259</v>
      </c>
      <c r="M1665" s="5" t="s">
        <v>6337</v>
      </c>
      <c r="N1665" s="5" t="s">
        <v>6314</v>
      </c>
      <c r="O1665" s="5" t="s">
        <v>2891</v>
      </c>
      <c r="P1665" s="5" t="s">
        <v>2858</v>
      </c>
      <c r="Q1665" s="11">
        <v>46306.5</v>
      </c>
      <c r="R1665" s="6"/>
      <c r="S1665" s="6"/>
      <c r="T1665" s="6"/>
      <c r="U1665" s="5">
        <f>MATCH(B1665,Manual_Review!$A$6:$A$238,0)</f>
        <v>104</v>
      </c>
      <c r="V1665" s="5" t="str">
        <f>IF(INDEX(Manual_Review!$G$6:$G$238,U1665)="","",INDEX(Manual_Review!$G$6:$G$238,U1665))</f>
        <v/>
      </c>
      <c r="W1665" s="11" t="str">
        <f>IF(INDEX(Manual_Review!$H$6:$H$238,U1665)="","",INDEX(Manual_Review!$H$6:$H$238,U1665))</f>
        <v/>
      </c>
      <c r="X1665" s="5" t="str">
        <f>IF(INDEX(Manual_Review!$I$6:$I$238,U1665)="","",INDEX(Manual_Review!$I$6:$I$238,U1665))</f>
        <v/>
      </c>
      <c r="Y1665" s="5" t="s">
        <v>2859</v>
      </c>
    </row>
    <row r="1666" spans="1:25" ht="89.25">
      <c r="A1666" s="5" t="s">
        <v>6338</v>
      </c>
      <c r="B1666" s="5" t="s">
        <v>1250</v>
      </c>
      <c r="C1666" s="5" t="s">
        <v>1251</v>
      </c>
      <c r="D1666" s="5" t="s">
        <v>118</v>
      </c>
      <c r="E1666" s="5" t="s">
        <v>2793</v>
      </c>
      <c r="F1666" s="5" t="s">
        <v>2762</v>
      </c>
      <c r="G1666" s="5">
        <v>1</v>
      </c>
      <c r="H1666" s="5" t="s">
        <v>2854</v>
      </c>
      <c r="I1666" s="5" t="str">
        <f>IF(INDEX(Manual_Review!$W$6:$W$238,U1666)="","",INDEX(Manual_Review!$W$6:$W$238,U1666))</f>
        <v/>
      </c>
      <c r="J1666" s="5" t="str">
        <f t="shared" si="50"/>
        <v>AI provisional</v>
      </c>
      <c r="K1666" s="5" t="str">
        <f t="shared" si="51"/>
        <v>Y</v>
      </c>
      <c r="L1666" s="5" t="s">
        <v>1259</v>
      </c>
      <c r="M1666" s="5" t="s">
        <v>6339</v>
      </c>
      <c r="N1666" s="5" t="s">
        <v>6314</v>
      </c>
      <c r="O1666" s="5" t="s">
        <v>3077</v>
      </c>
      <c r="P1666" s="5" t="s">
        <v>2858</v>
      </c>
      <c r="Q1666" s="11">
        <v>46306.5</v>
      </c>
      <c r="R1666" s="6"/>
      <c r="S1666" s="6"/>
      <c r="T1666" s="6"/>
      <c r="U1666" s="5">
        <f>MATCH(B1666,Manual_Review!$A$6:$A$238,0)</f>
        <v>104</v>
      </c>
      <c r="V1666" s="5" t="str">
        <f>IF(INDEX(Manual_Review!$G$6:$G$238,U1666)="","",INDEX(Manual_Review!$G$6:$G$238,U1666))</f>
        <v/>
      </c>
      <c r="W1666" s="11" t="str">
        <f>IF(INDEX(Manual_Review!$H$6:$H$238,U1666)="","",INDEX(Manual_Review!$H$6:$H$238,U1666))</f>
        <v/>
      </c>
      <c r="X1666" s="5" t="str">
        <f>IF(INDEX(Manual_Review!$I$6:$I$238,U1666)="","",INDEX(Manual_Review!$I$6:$I$238,U1666))</f>
        <v/>
      </c>
      <c r="Y1666" s="5" t="s">
        <v>2859</v>
      </c>
    </row>
    <row r="1667" spans="1:25" ht="89.25">
      <c r="A1667" s="5" t="s">
        <v>6340</v>
      </c>
      <c r="B1667" s="5" t="s">
        <v>1250</v>
      </c>
      <c r="C1667" s="5" t="s">
        <v>1251</v>
      </c>
      <c r="D1667" s="5" t="s">
        <v>118</v>
      </c>
      <c r="E1667" s="5" t="s">
        <v>2794</v>
      </c>
      <c r="F1667" s="5" t="s">
        <v>2764</v>
      </c>
      <c r="G1667" s="5">
        <v>1</v>
      </c>
      <c r="H1667" s="5" t="s">
        <v>2854</v>
      </c>
      <c r="I1667" s="5" t="str">
        <f>IF(INDEX(Manual_Review!$X$6:$X$238,U1667)="","",INDEX(Manual_Review!$X$6:$X$238,U1667))</f>
        <v/>
      </c>
      <c r="J1667" s="5" t="str">
        <f t="shared" si="50"/>
        <v>AI provisional</v>
      </c>
      <c r="K1667" s="5" t="str">
        <f t="shared" si="51"/>
        <v>Y</v>
      </c>
      <c r="L1667" s="5" t="s">
        <v>1259</v>
      </c>
      <c r="M1667" s="5" t="s">
        <v>6341</v>
      </c>
      <c r="N1667" s="5" t="s">
        <v>6314</v>
      </c>
      <c r="O1667" s="5" t="s">
        <v>2984</v>
      </c>
      <c r="P1667" s="5" t="s">
        <v>2858</v>
      </c>
      <c r="Q1667" s="11">
        <v>46306.5</v>
      </c>
      <c r="R1667" s="6"/>
      <c r="S1667" s="6"/>
      <c r="T1667" s="6"/>
      <c r="U1667" s="5">
        <f>MATCH(B1667,Manual_Review!$A$6:$A$238,0)</f>
        <v>104</v>
      </c>
      <c r="V1667" s="5" t="str">
        <f>IF(INDEX(Manual_Review!$G$6:$G$238,U1667)="","",INDEX(Manual_Review!$G$6:$G$238,U1667))</f>
        <v/>
      </c>
      <c r="W1667" s="11" t="str">
        <f>IF(INDEX(Manual_Review!$H$6:$H$238,U1667)="","",INDEX(Manual_Review!$H$6:$H$238,U1667))</f>
        <v/>
      </c>
      <c r="X1667" s="5" t="str">
        <f>IF(INDEX(Manual_Review!$I$6:$I$238,U1667)="","",INDEX(Manual_Review!$I$6:$I$238,U1667))</f>
        <v/>
      </c>
      <c r="Y1667" s="5" t="s">
        <v>2859</v>
      </c>
    </row>
    <row r="1668" spans="1:25" ht="89.25">
      <c r="A1668" s="5" t="s">
        <v>6342</v>
      </c>
      <c r="B1668" s="5" t="s">
        <v>1250</v>
      </c>
      <c r="C1668" s="5" t="s">
        <v>1251</v>
      </c>
      <c r="D1668" s="5" t="s">
        <v>118</v>
      </c>
      <c r="E1668" s="5" t="s">
        <v>2795</v>
      </c>
      <c r="F1668" s="5" t="s">
        <v>2764</v>
      </c>
      <c r="G1668" s="5">
        <v>1</v>
      </c>
      <c r="H1668" s="5" t="s">
        <v>2864</v>
      </c>
      <c r="I1668" s="5" t="str">
        <f>IF(INDEX(Manual_Review!$Y$6:$Y$238,U1668)="","",INDEX(Manual_Review!$Y$6:$Y$238,U1668))</f>
        <v/>
      </c>
      <c r="J1668" s="5" t="str">
        <f t="shared" si="50"/>
        <v>AI provisional</v>
      </c>
      <c r="K1668" s="5" t="str">
        <f t="shared" si="51"/>
        <v>U</v>
      </c>
      <c r="L1668" s="5" t="s">
        <v>1259</v>
      </c>
      <c r="M1668" s="5" t="s">
        <v>6343</v>
      </c>
      <c r="N1668" s="5" t="s">
        <v>6314</v>
      </c>
      <c r="O1668" s="5" t="s">
        <v>2897</v>
      </c>
      <c r="P1668" s="5" t="s">
        <v>2858</v>
      </c>
      <c r="Q1668" s="11">
        <v>46306.5</v>
      </c>
      <c r="R1668" s="6"/>
      <c r="S1668" s="6"/>
      <c r="T1668" s="6"/>
      <c r="U1668" s="5">
        <f>MATCH(B1668,Manual_Review!$A$6:$A$238,0)</f>
        <v>104</v>
      </c>
      <c r="V1668" s="5" t="str">
        <f>IF(INDEX(Manual_Review!$G$6:$G$238,U1668)="","",INDEX(Manual_Review!$G$6:$G$238,U1668))</f>
        <v/>
      </c>
      <c r="W1668" s="11" t="str">
        <f>IF(INDEX(Manual_Review!$H$6:$H$238,U1668)="","",INDEX(Manual_Review!$H$6:$H$238,U1668))</f>
        <v/>
      </c>
      <c r="X1668" s="5" t="str">
        <f>IF(INDEX(Manual_Review!$I$6:$I$238,U1668)="","",INDEX(Manual_Review!$I$6:$I$238,U1668))</f>
        <v/>
      </c>
      <c r="Y1668" s="5" t="s">
        <v>2859</v>
      </c>
    </row>
    <row r="1669" spans="1:25" ht="89.25">
      <c r="A1669" s="5" t="s">
        <v>6344</v>
      </c>
      <c r="B1669" s="5" t="s">
        <v>1250</v>
      </c>
      <c r="C1669" s="5" t="s">
        <v>1251</v>
      </c>
      <c r="D1669" s="5" t="s">
        <v>118</v>
      </c>
      <c r="E1669" s="5" t="s">
        <v>2796</v>
      </c>
      <c r="F1669" s="5" t="s">
        <v>2764</v>
      </c>
      <c r="G1669" s="5">
        <v>1</v>
      </c>
      <c r="H1669" s="5" t="s">
        <v>2854</v>
      </c>
      <c r="I1669" s="5" t="str">
        <f>IF(INDEX(Manual_Review!$Z$6:$Z$238,U1669)="","",INDEX(Manual_Review!$Z$6:$Z$238,U1669))</f>
        <v/>
      </c>
      <c r="J1669" s="5" t="str">
        <f t="shared" si="50"/>
        <v>AI provisional</v>
      </c>
      <c r="K1669" s="5" t="str">
        <f t="shared" si="51"/>
        <v>Y</v>
      </c>
      <c r="L1669" s="5" t="s">
        <v>1259</v>
      </c>
      <c r="M1669" s="5" t="s">
        <v>6345</v>
      </c>
      <c r="N1669" s="5" t="s">
        <v>6314</v>
      </c>
      <c r="O1669" s="5" t="s">
        <v>3085</v>
      </c>
      <c r="P1669" s="5" t="s">
        <v>2858</v>
      </c>
      <c r="Q1669" s="11">
        <v>46306.5</v>
      </c>
      <c r="R1669" s="6"/>
      <c r="S1669" s="6"/>
      <c r="T1669" s="6"/>
      <c r="U1669" s="5">
        <f>MATCH(B1669,Manual_Review!$A$6:$A$238,0)</f>
        <v>104</v>
      </c>
      <c r="V1669" s="5" t="str">
        <f>IF(INDEX(Manual_Review!$G$6:$G$238,U1669)="","",INDEX(Manual_Review!$G$6:$G$238,U1669))</f>
        <v/>
      </c>
      <c r="W1669" s="11" t="str">
        <f>IF(INDEX(Manual_Review!$H$6:$H$238,U1669)="","",INDEX(Manual_Review!$H$6:$H$238,U1669))</f>
        <v/>
      </c>
      <c r="X1669" s="5" t="str">
        <f>IF(INDEX(Manual_Review!$I$6:$I$238,U1669)="","",INDEX(Manual_Review!$I$6:$I$238,U1669))</f>
        <v/>
      </c>
      <c r="Y1669" s="5" t="s">
        <v>2859</v>
      </c>
    </row>
    <row r="1670" spans="1:25" ht="38.25">
      <c r="A1670" s="5" t="s">
        <v>6346</v>
      </c>
      <c r="B1670" s="5" t="s">
        <v>1261</v>
      </c>
      <c r="C1670" s="5" t="s">
        <v>1262</v>
      </c>
      <c r="D1670" s="5" t="s">
        <v>118</v>
      </c>
      <c r="E1670" s="5" t="s">
        <v>2781</v>
      </c>
      <c r="F1670" s="5" t="s">
        <v>2754</v>
      </c>
      <c r="G1670" s="5">
        <v>1</v>
      </c>
      <c r="H1670" s="5" t="s">
        <v>2854</v>
      </c>
      <c r="I1670" s="5" t="str">
        <f>IF(INDEX(Manual_Review!$K$6:$K$238,U1670)="","",INDEX(Manual_Review!$K$6:$K$238,U1670))</f>
        <v/>
      </c>
      <c r="J1670" s="5" t="str">
        <f t="shared" ref="J1670:J1733" si="52">IF(G1670=0,"Not applicable",IF(I1670="","AI provisional",IF(AND(OR(I1670="Y",I1670="N",I1670="U",I1670="X"),V1670&lt;&gt;"",ISNUMBER(W1670),W1670&gt;0,X1670="Confirmed",R1670&lt;&gt;"",S1670&lt;&gt;"",T1670&lt;&gt;""),"Human valid","Evidence needed")))</f>
        <v>AI provisional</v>
      </c>
      <c r="K1670" s="5" t="str">
        <f t="shared" ref="K1670:K1733" si="53">IF(G1670=0,"N/A",IF(I1670="",H1670,IF(J1670="Human valid",I1670,"U")))</f>
        <v>Y</v>
      </c>
      <c r="L1670" s="5" t="s">
        <v>1268</v>
      </c>
      <c r="M1670" s="5" t="s">
        <v>6347</v>
      </c>
      <c r="N1670" s="5" t="s">
        <v>6348</v>
      </c>
      <c r="O1670" s="5" t="s">
        <v>2857</v>
      </c>
      <c r="P1670" s="5" t="s">
        <v>2858</v>
      </c>
      <c r="Q1670" s="11">
        <v>46306.5</v>
      </c>
      <c r="R1670" s="6"/>
      <c r="S1670" s="6"/>
      <c r="T1670" s="6"/>
      <c r="U1670" s="5">
        <f>MATCH(B1670,Manual_Review!$A$6:$A$238,0)</f>
        <v>105</v>
      </c>
      <c r="V1670" s="5" t="str">
        <f>IF(INDEX(Manual_Review!$G$6:$G$238,U1670)="","",INDEX(Manual_Review!$G$6:$G$238,U1670))</f>
        <v/>
      </c>
      <c r="W1670" s="11" t="str">
        <f>IF(INDEX(Manual_Review!$H$6:$H$238,U1670)="","",INDEX(Manual_Review!$H$6:$H$238,U1670))</f>
        <v/>
      </c>
      <c r="X1670" s="5" t="str">
        <f>IF(INDEX(Manual_Review!$I$6:$I$238,U1670)="","",INDEX(Manual_Review!$I$6:$I$238,U1670))</f>
        <v/>
      </c>
      <c r="Y1670" s="5" t="s">
        <v>2859</v>
      </c>
    </row>
    <row r="1671" spans="1:25" ht="38.25">
      <c r="A1671" s="5" t="s">
        <v>6349</v>
      </c>
      <c r="B1671" s="5" t="s">
        <v>1261</v>
      </c>
      <c r="C1671" s="5" t="s">
        <v>1262</v>
      </c>
      <c r="D1671" s="5" t="s">
        <v>118</v>
      </c>
      <c r="E1671" s="5" t="s">
        <v>2782</v>
      </c>
      <c r="F1671" s="5" t="s">
        <v>2754</v>
      </c>
      <c r="G1671" s="5">
        <v>1</v>
      </c>
      <c r="H1671" s="5" t="s">
        <v>2854</v>
      </c>
      <c r="I1671" s="5" t="str">
        <f>IF(INDEX(Manual_Review!$L$6:$L$238,U1671)="","",INDEX(Manual_Review!$L$6:$L$238,U1671))</f>
        <v/>
      </c>
      <c r="J1671" s="5" t="str">
        <f t="shared" si="52"/>
        <v>AI provisional</v>
      </c>
      <c r="K1671" s="5" t="str">
        <f t="shared" si="53"/>
        <v>Y</v>
      </c>
      <c r="L1671" s="5" t="s">
        <v>1268</v>
      </c>
      <c r="M1671" s="5" t="s">
        <v>6350</v>
      </c>
      <c r="N1671" s="5" t="s">
        <v>6348</v>
      </c>
      <c r="O1671" s="5" t="s">
        <v>2862</v>
      </c>
      <c r="P1671" s="5" t="s">
        <v>2858</v>
      </c>
      <c r="Q1671" s="11">
        <v>46306.5</v>
      </c>
      <c r="R1671" s="6"/>
      <c r="S1671" s="6"/>
      <c r="T1671" s="6"/>
      <c r="U1671" s="5">
        <f>MATCH(B1671,Manual_Review!$A$6:$A$238,0)</f>
        <v>105</v>
      </c>
      <c r="V1671" s="5" t="str">
        <f>IF(INDEX(Manual_Review!$G$6:$G$238,U1671)="","",INDEX(Manual_Review!$G$6:$G$238,U1671))</f>
        <v/>
      </c>
      <c r="W1671" s="11" t="str">
        <f>IF(INDEX(Manual_Review!$H$6:$H$238,U1671)="","",INDEX(Manual_Review!$H$6:$H$238,U1671))</f>
        <v/>
      </c>
      <c r="X1671" s="5" t="str">
        <f>IF(INDEX(Manual_Review!$I$6:$I$238,U1671)="","",INDEX(Manual_Review!$I$6:$I$238,U1671))</f>
        <v/>
      </c>
      <c r="Y1671" s="5" t="s">
        <v>2859</v>
      </c>
    </row>
    <row r="1672" spans="1:25" ht="38.25">
      <c r="A1672" s="5" t="s">
        <v>6351</v>
      </c>
      <c r="B1672" s="5" t="s">
        <v>1261</v>
      </c>
      <c r="C1672" s="5" t="s">
        <v>1262</v>
      </c>
      <c r="D1672" s="5" t="s">
        <v>118</v>
      </c>
      <c r="E1672" s="5" t="s">
        <v>2783</v>
      </c>
      <c r="F1672" s="5" t="s">
        <v>2754</v>
      </c>
      <c r="G1672" s="5">
        <v>1</v>
      </c>
      <c r="H1672" s="5" t="s">
        <v>2864</v>
      </c>
      <c r="I1672" s="5" t="str">
        <f>IF(INDEX(Manual_Review!$M$6:$M$238,U1672)="","",INDEX(Manual_Review!$M$6:$M$238,U1672))</f>
        <v/>
      </c>
      <c r="J1672" s="5" t="str">
        <f t="shared" si="52"/>
        <v>AI provisional</v>
      </c>
      <c r="K1672" s="5" t="str">
        <f t="shared" si="53"/>
        <v>U</v>
      </c>
      <c r="L1672" s="5" t="s">
        <v>1268</v>
      </c>
      <c r="M1672" s="5" t="s">
        <v>6352</v>
      </c>
      <c r="N1672" s="5" t="s">
        <v>6348</v>
      </c>
      <c r="O1672" s="5" t="s">
        <v>2866</v>
      </c>
      <c r="P1672" s="5" t="s">
        <v>2858</v>
      </c>
      <c r="Q1672" s="11">
        <v>46306.5</v>
      </c>
      <c r="R1672" s="6"/>
      <c r="S1672" s="6"/>
      <c r="T1672" s="6"/>
      <c r="U1672" s="5">
        <f>MATCH(B1672,Manual_Review!$A$6:$A$238,0)</f>
        <v>105</v>
      </c>
      <c r="V1672" s="5" t="str">
        <f>IF(INDEX(Manual_Review!$G$6:$G$238,U1672)="","",INDEX(Manual_Review!$G$6:$G$238,U1672))</f>
        <v/>
      </c>
      <c r="W1672" s="11" t="str">
        <f>IF(INDEX(Manual_Review!$H$6:$H$238,U1672)="","",INDEX(Manual_Review!$H$6:$H$238,U1672))</f>
        <v/>
      </c>
      <c r="X1672" s="5" t="str">
        <f>IF(INDEX(Manual_Review!$I$6:$I$238,U1672)="","",INDEX(Manual_Review!$I$6:$I$238,U1672))</f>
        <v/>
      </c>
      <c r="Y1672" s="5" t="s">
        <v>2859</v>
      </c>
    </row>
    <row r="1673" spans="1:25" ht="38.25">
      <c r="A1673" s="5" t="s">
        <v>6353</v>
      </c>
      <c r="B1673" s="5" t="s">
        <v>1261</v>
      </c>
      <c r="C1673" s="5" t="s">
        <v>1262</v>
      </c>
      <c r="D1673" s="5" t="s">
        <v>118</v>
      </c>
      <c r="E1673" s="5" t="s">
        <v>2784</v>
      </c>
      <c r="F1673" s="5" t="s">
        <v>2756</v>
      </c>
      <c r="G1673" s="5">
        <v>1</v>
      </c>
      <c r="H1673" s="5" t="s">
        <v>2854</v>
      </c>
      <c r="I1673" s="5" t="str">
        <f>IF(INDEX(Manual_Review!$N$6:$N$238,U1673)="","",INDEX(Manual_Review!$N$6:$N$238,U1673))</f>
        <v/>
      </c>
      <c r="J1673" s="5" t="str">
        <f t="shared" si="52"/>
        <v>AI provisional</v>
      </c>
      <c r="K1673" s="5" t="str">
        <f t="shared" si="53"/>
        <v>Y</v>
      </c>
      <c r="L1673" s="5" t="s">
        <v>1268</v>
      </c>
      <c r="M1673" s="5" t="s">
        <v>6354</v>
      </c>
      <c r="N1673" s="5" t="s">
        <v>6348</v>
      </c>
      <c r="O1673" s="5" t="s">
        <v>2963</v>
      </c>
      <c r="P1673" s="5" t="s">
        <v>2858</v>
      </c>
      <c r="Q1673" s="11">
        <v>46306.5</v>
      </c>
      <c r="R1673" s="6"/>
      <c r="S1673" s="6"/>
      <c r="T1673" s="6"/>
      <c r="U1673" s="5">
        <f>MATCH(B1673,Manual_Review!$A$6:$A$238,0)</f>
        <v>105</v>
      </c>
      <c r="V1673" s="5" t="str">
        <f>IF(INDEX(Manual_Review!$G$6:$G$238,U1673)="","",INDEX(Manual_Review!$G$6:$G$238,U1673))</f>
        <v/>
      </c>
      <c r="W1673" s="11" t="str">
        <f>IF(INDEX(Manual_Review!$H$6:$H$238,U1673)="","",INDEX(Manual_Review!$H$6:$H$238,U1673))</f>
        <v/>
      </c>
      <c r="X1673" s="5" t="str">
        <f>IF(INDEX(Manual_Review!$I$6:$I$238,U1673)="","",INDEX(Manual_Review!$I$6:$I$238,U1673))</f>
        <v/>
      </c>
      <c r="Y1673" s="5" t="s">
        <v>2859</v>
      </c>
    </row>
    <row r="1674" spans="1:25" ht="38.25">
      <c r="A1674" s="5" t="s">
        <v>6355</v>
      </c>
      <c r="B1674" s="5" t="s">
        <v>1261</v>
      </c>
      <c r="C1674" s="5" t="s">
        <v>1262</v>
      </c>
      <c r="D1674" s="5" t="s">
        <v>118</v>
      </c>
      <c r="E1674" s="5" t="s">
        <v>2785</v>
      </c>
      <c r="F1674" s="5" t="s">
        <v>2756</v>
      </c>
      <c r="G1674" s="5">
        <v>1</v>
      </c>
      <c r="H1674" s="5" t="s">
        <v>2854</v>
      </c>
      <c r="I1674" s="5" t="str">
        <f>IF(INDEX(Manual_Review!$O$6:$O$238,U1674)="","",INDEX(Manual_Review!$O$6:$O$238,U1674))</f>
        <v/>
      </c>
      <c r="J1674" s="5" t="str">
        <f t="shared" si="52"/>
        <v>AI provisional</v>
      </c>
      <c r="K1674" s="5" t="str">
        <f t="shared" si="53"/>
        <v>Y</v>
      </c>
      <c r="L1674" s="5" t="s">
        <v>1268</v>
      </c>
      <c r="M1674" s="5" t="s">
        <v>6356</v>
      </c>
      <c r="N1674" s="5" t="s">
        <v>6348</v>
      </c>
      <c r="O1674" s="5" t="s">
        <v>3138</v>
      </c>
      <c r="P1674" s="5" t="s">
        <v>2858</v>
      </c>
      <c r="Q1674" s="11">
        <v>46306.5</v>
      </c>
      <c r="R1674" s="6"/>
      <c r="S1674" s="6"/>
      <c r="T1674" s="6"/>
      <c r="U1674" s="5">
        <f>MATCH(B1674,Manual_Review!$A$6:$A$238,0)</f>
        <v>105</v>
      </c>
      <c r="V1674" s="5" t="str">
        <f>IF(INDEX(Manual_Review!$G$6:$G$238,U1674)="","",INDEX(Manual_Review!$G$6:$G$238,U1674))</f>
        <v/>
      </c>
      <c r="W1674" s="11" t="str">
        <f>IF(INDEX(Manual_Review!$H$6:$H$238,U1674)="","",INDEX(Manual_Review!$H$6:$H$238,U1674))</f>
        <v/>
      </c>
      <c r="X1674" s="5" t="str">
        <f>IF(INDEX(Manual_Review!$I$6:$I$238,U1674)="","",INDEX(Manual_Review!$I$6:$I$238,U1674))</f>
        <v/>
      </c>
      <c r="Y1674" s="5" t="s">
        <v>2859</v>
      </c>
    </row>
    <row r="1675" spans="1:25" ht="38.25">
      <c r="A1675" s="5" t="s">
        <v>6357</v>
      </c>
      <c r="B1675" s="5" t="s">
        <v>1261</v>
      </c>
      <c r="C1675" s="5" t="s">
        <v>1262</v>
      </c>
      <c r="D1675" s="5" t="s">
        <v>118</v>
      </c>
      <c r="E1675" s="5" t="s">
        <v>2786</v>
      </c>
      <c r="F1675" s="5" t="s">
        <v>2756</v>
      </c>
      <c r="G1675" s="5">
        <v>1</v>
      </c>
      <c r="H1675" s="5" t="s">
        <v>2864</v>
      </c>
      <c r="I1675" s="5" t="str">
        <f>IF(INDEX(Manual_Review!$P$6:$P$238,U1675)="","",INDEX(Manual_Review!$P$6:$P$238,U1675))</f>
        <v/>
      </c>
      <c r="J1675" s="5" t="str">
        <f t="shared" si="52"/>
        <v>AI provisional</v>
      </c>
      <c r="K1675" s="5" t="str">
        <f t="shared" si="53"/>
        <v>U</v>
      </c>
      <c r="L1675" s="5" t="s">
        <v>1268</v>
      </c>
      <c r="M1675" s="5" t="s">
        <v>6358</v>
      </c>
      <c r="N1675" s="5" t="s">
        <v>6348</v>
      </c>
      <c r="O1675" s="5" t="s">
        <v>2874</v>
      </c>
      <c r="P1675" s="5" t="s">
        <v>2858</v>
      </c>
      <c r="Q1675" s="11">
        <v>46306.5</v>
      </c>
      <c r="R1675" s="6"/>
      <c r="S1675" s="6"/>
      <c r="T1675" s="6"/>
      <c r="U1675" s="5">
        <f>MATCH(B1675,Manual_Review!$A$6:$A$238,0)</f>
        <v>105</v>
      </c>
      <c r="V1675" s="5" t="str">
        <f>IF(INDEX(Manual_Review!$G$6:$G$238,U1675)="","",INDEX(Manual_Review!$G$6:$G$238,U1675))</f>
        <v/>
      </c>
      <c r="W1675" s="11" t="str">
        <f>IF(INDEX(Manual_Review!$H$6:$H$238,U1675)="","",INDEX(Manual_Review!$H$6:$H$238,U1675))</f>
        <v/>
      </c>
      <c r="X1675" s="5" t="str">
        <f>IF(INDEX(Manual_Review!$I$6:$I$238,U1675)="","",INDEX(Manual_Review!$I$6:$I$238,U1675))</f>
        <v/>
      </c>
      <c r="Y1675" s="5" t="s">
        <v>2859</v>
      </c>
    </row>
    <row r="1676" spans="1:25" ht="38.25">
      <c r="A1676" s="5" t="s">
        <v>6359</v>
      </c>
      <c r="B1676" s="5" t="s">
        <v>1261</v>
      </c>
      <c r="C1676" s="5" t="s">
        <v>1262</v>
      </c>
      <c r="D1676" s="5" t="s">
        <v>118</v>
      </c>
      <c r="E1676" s="5" t="s">
        <v>2787</v>
      </c>
      <c r="F1676" s="5" t="s">
        <v>2758</v>
      </c>
      <c r="G1676" s="5">
        <v>1</v>
      </c>
      <c r="H1676" s="5" t="s">
        <v>2854</v>
      </c>
      <c r="I1676" s="5" t="str">
        <f>IF(INDEX(Manual_Review!$Q$6:$Q$238,U1676)="","",INDEX(Manual_Review!$Q$6:$Q$238,U1676))</f>
        <v/>
      </c>
      <c r="J1676" s="5" t="str">
        <f t="shared" si="52"/>
        <v>AI provisional</v>
      </c>
      <c r="K1676" s="5" t="str">
        <f t="shared" si="53"/>
        <v>Y</v>
      </c>
      <c r="L1676" s="5" t="s">
        <v>1268</v>
      </c>
      <c r="M1676" s="5" t="s">
        <v>6360</v>
      </c>
      <c r="N1676" s="5" t="s">
        <v>6348</v>
      </c>
      <c r="O1676" s="5" t="s">
        <v>2969</v>
      </c>
      <c r="P1676" s="5" t="s">
        <v>2858</v>
      </c>
      <c r="Q1676" s="11">
        <v>46306.5</v>
      </c>
      <c r="R1676" s="6"/>
      <c r="S1676" s="6"/>
      <c r="T1676" s="6"/>
      <c r="U1676" s="5">
        <f>MATCH(B1676,Manual_Review!$A$6:$A$238,0)</f>
        <v>105</v>
      </c>
      <c r="V1676" s="5" t="str">
        <f>IF(INDEX(Manual_Review!$G$6:$G$238,U1676)="","",INDEX(Manual_Review!$G$6:$G$238,U1676))</f>
        <v/>
      </c>
      <c r="W1676" s="11" t="str">
        <f>IF(INDEX(Manual_Review!$H$6:$H$238,U1676)="","",INDEX(Manual_Review!$H$6:$H$238,U1676))</f>
        <v/>
      </c>
      <c r="X1676" s="5" t="str">
        <f>IF(INDEX(Manual_Review!$I$6:$I$238,U1676)="","",INDEX(Manual_Review!$I$6:$I$238,U1676))</f>
        <v/>
      </c>
      <c r="Y1676" s="5" t="s">
        <v>2859</v>
      </c>
    </row>
    <row r="1677" spans="1:25" ht="38.25">
      <c r="A1677" s="5" t="s">
        <v>6361</v>
      </c>
      <c r="B1677" s="5" t="s">
        <v>1261</v>
      </c>
      <c r="C1677" s="5" t="s">
        <v>1262</v>
      </c>
      <c r="D1677" s="5" t="s">
        <v>118</v>
      </c>
      <c r="E1677" s="5" t="s">
        <v>2788</v>
      </c>
      <c r="F1677" s="5" t="s">
        <v>2758</v>
      </c>
      <c r="G1677" s="5">
        <v>1</v>
      </c>
      <c r="H1677" s="5" t="s">
        <v>2854</v>
      </c>
      <c r="I1677" s="5" t="str">
        <f>IF(INDEX(Manual_Review!$R$6:$R$238,U1677)="","",INDEX(Manual_Review!$R$6:$R$238,U1677))</f>
        <v/>
      </c>
      <c r="J1677" s="5" t="str">
        <f t="shared" si="52"/>
        <v>AI provisional</v>
      </c>
      <c r="K1677" s="5" t="str">
        <f t="shared" si="53"/>
        <v>Y</v>
      </c>
      <c r="L1677" s="5" t="s">
        <v>1268</v>
      </c>
      <c r="M1677" s="5" t="s">
        <v>6362</v>
      </c>
      <c r="N1677" s="5" t="s">
        <v>6348</v>
      </c>
      <c r="O1677" s="5" t="s">
        <v>3067</v>
      </c>
      <c r="P1677" s="5" t="s">
        <v>2858</v>
      </c>
      <c r="Q1677" s="11">
        <v>46306.5</v>
      </c>
      <c r="R1677" s="6"/>
      <c r="S1677" s="6"/>
      <c r="T1677" s="6"/>
      <c r="U1677" s="5">
        <f>MATCH(B1677,Manual_Review!$A$6:$A$238,0)</f>
        <v>105</v>
      </c>
      <c r="V1677" s="5" t="str">
        <f>IF(INDEX(Manual_Review!$G$6:$G$238,U1677)="","",INDEX(Manual_Review!$G$6:$G$238,U1677))</f>
        <v/>
      </c>
      <c r="W1677" s="11" t="str">
        <f>IF(INDEX(Manual_Review!$H$6:$H$238,U1677)="","",INDEX(Manual_Review!$H$6:$H$238,U1677))</f>
        <v/>
      </c>
      <c r="X1677" s="5" t="str">
        <f>IF(INDEX(Manual_Review!$I$6:$I$238,U1677)="","",INDEX(Manual_Review!$I$6:$I$238,U1677))</f>
        <v/>
      </c>
      <c r="Y1677" s="5" t="s">
        <v>2859</v>
      </c>
    </row>
    <row r="1678" spans="1:25" ht="38.25">
      <c r="A1678" s="5" t="s">
        <v>6363</v>
      </c>
      <c r="B1678" s="5" t="s">
        <v>1261</v>
      </c>
      <c r="C1678" s="5" t="s">
        <v>1262</v>
      </c>
      <c r="D1678" s="5" t="s">
        <v>118</v>
      </c>
      <c r="E1678" s="5" t="s">
        <v>2789</v>
      </c>
      <c r="F1678" s="5" t="s">
        <v>2758</v>
      </c>
      <c r="G1678" s="5">
        <v>1</v>
      </c>
      <c r="H1678" s="5" t="s">
        <v>2854</v>
      </c>
      <c r="I1678" s="5" t="str">
        <f>IF(INDEX(Manual_Review!$S$6:$S$238,U1678)="","",INDEX(Manual_Review!$S$6:$S$238,U1678))</f>
        <v/>
      </c>
      <c r="J1678" s="5" t="str">
        <f t="shared" si="52"/>
        <v>AI provisional</v>
      </c>
      <c r="K1678" s="5" t="str">
        <f t="shared" si="53"/>
        <v>Y</v>
      </c>
      <c r="L1678" s="5" t="s">
        <v>1268</v>
      </c>
      <c r="M1678" s="5" t="s">
        <v>6364</v>
      </c>
      <c r="N1678" s="5" t="s">
        <v>6348</v>
      </c>
      <c r="O1678" s="5" t="s">
        <v>3178</v>
      </c>
      <c r="P1678" s="5" t="s">
        <v>2858</v>
      </c>
      <c r="Q1678" s="11">
        <v>46306.5</v>
      </c>
      <c r="R1678" s="6"/>
      <c r="S1678" s="6"/>
      <c r="T1678" s="6"/>
      <c r="U1678" s="5">
        <f>MATCH(B1678,Manual_Review!$A$6:$A$238,0)</f>
        <v>105</v>
      </c>
      <c r="V1678" s="5" t="str">
        <f>IF(INDEX(Manual_Review!$G$6:$G$238,U1678)="","",INDEX(Manual_Review!$G$6:$G$238,U1678))</f>
        <v/>
      </c>
      <c r="W1678" s="11" t="str">
        <f>IF(INDEX(Manual_Review!$H$6:$H$238,U1678)="","",INDEX(Manual_Review!$H$6:$H$238,U1678))</f>
        <v/>
      </c>
      <c r="X1678" s="5" t="str">
        <f>IF(INDEX(Manual_Review!$I$6:$I$238,U1678)="","",INDEX(Manual_Review!$I$6:$I$238,U1678))</f>
        <v/>
      </c>
      <c r="Y1678" s="5" t="s">
        <v>2859</v>
      </c>
    </row>
    <row r="1679" spans="1:25" ht="38.25">
      <c r="A1679" s="5" t="s">
        <v>6365</v>
      </c>
      <c r="B1679" s="5" t="s">
        <v>1261</v>
      </c>
      <c r="C1679" s="5" t="s">
        <v>1262</v>
      </c>
      <c r="D1679" s="5" t="s">
        <v>118</v>
      </c>
      <c r="E1679" s="5" t="s">
        <v>2790</v>
      </c>
      <c r="F1679" s="5" t="s">
        <v>2760</v>
      </c>
      <c r="G1679" s="5">
        <v>1</v>
      </c>
      <c r="H1679" s="5" t="s">
        <v>2854</v>
      </c>
      <c r="I1679" s="5" t="str">
        <f>IF(INDEX(Manual_Review!$T$6:$T$238,U1679)="","",INDEX(Manual_Review!$T$6:$T$238,U1679))</f>
        <v/>
      </c>
      <c r="J1679" s="5" t="str">
        <f t="shared" si="52"/>
        <v>AI provisional</v>
      </c>
      <c r="K1679" s="5" t="str">
        <f t="shared" si="53"/>
        <v>Y</v>
      </c>
      <c r="L1679" s="5" t="s">
        <v>1268</v>
      </c>
      <c r="M1679" s="5" t="s">
        <v>6366</v>
      </c>
      <c r="N1679" s="5" t="s">
        <v>6348</v>
      </c>
      <c r="O1679" s="5" t="s">
        <v>2976</v>
      </c>
      <c r="P1679" s="5" t="s">
        <v>2858</v>
      </c>
      <c r="Q1679" s="11">
        <v>46306.5</v>
      </c>
      <c r="R1679" s="6"/>
      <c r="S1679" s="6"/>
      <c r="T1679" s="6"/>
      <c r="U1679" s="5">
        <f>MATCH(B1679,Manual_Review!$A$6:$A$238,0)</f>
        <v>105</v>
      </c>
      <c r="V1679" s="5" t="str">
        <f>IF(INDEX(Manual_Review!$G$6:$G$238,U1679)="","",INDEX(Manual_Review!$G$6:$G$238,U1679))</f>
        <v/>
      </c>
      <c r="W1679" s="11" t="str">
        <f>IF(INDEX(Manual_Review!$H$6:$H$238,U1679)="","",INDEX(Manual_Review!$H$6:$H$238,U1679))</f>
        <v/>
      </c>
      <c r="X1679" s="5" t="str">
        <f>IF(INDEX(Manual_Review!$I$6:$I$238,U1679)="","",INDEX(Manual_Review!$I$6:$I$238,U1679))</f>
        <v/>
      </c>
      <c r="Y1679" s="5" t="s">
        <v>2859</v>
      </c>
    </row>
    <row r="1680" spans="1:25" ht="38.25">
      <c r="A1680" s="5" t="s">
        <v>6367</v>
      </c>
      <c r="B1680" s="5" t="s">
        <v>1261</v>
      </c>
      <c r="C1680" s="5" t="s">
        <v>1262</v>
      </c>
      <c r="D1680" s="5" t="s">
        <v>118</v>
      </c>
      <c r="E1680" s="5" t="s">
        <v>2791</v>
      </c>
      <c r="F1680" s="5" t="s">
        <v>2760</v>
      </c>
      <c r="G1680" s="5">
        <v>1</v>
      </c>
      <c r="H1680" s="5" t="s">
        <v>2854</v>
      </c>
      <c r="I1680" s="5" t="str">
        <f>IF(INDEX(Manual_Review!$U$6:$U$238,U1680)="","",INDEX(Manual_Review!$U$6:$U$238,U1680))</f>
        <v/>
      </c>
      <c r="J1680" s="5" t="str">
        <f t="shared" si="52"/>
        <v>AI provisional</v>
      </c>
      <c r="K1680" s="5" t="str">
        <f t="shared" si="53"/>
        <v>Y</v>
      </c>
      <c r="L1680" s="5" t="s">
        <v>1268</v>
      </c>
      <c r="M1680" s="5" t="s">
        <v>6368</v>
      </c>
      <c r="N1680" s="5" t="s">
        <v>6348</v>
      </c>
      <c r="O1680" s="5" t="s">
        <v>3380</v>
      </c>
      <c r="P1680" s="5" t="s">
        <v>2858</v>
      </c>
      <c r="Q1680" s="11">
        <v>46306.5</v>
      </c>
      <c r="R1680" s="6"/>
      <c r="S1680" s="6"/>
      <c r="T1680" s="6"/>
      <c r="U1680" s="5">
        <f>MATCH(B1680,Manual_Review!$A$6:$A$238,0)</f>
        <v>105</v>
      </c>
      <c r="V1680" s="5" t="str">
        <f>IF(INDEX(Manual_Review!$G$6:$G$238,U1680)="","",INDEX(Manual_Review!$G$6:$G$238,U1680))</f>
        <v/>
      </c>
      <c r="W1680" s="11" t="str">
        <f>IF(INDEX(Manual_Review!$H$6:$H$238,U1680)="","",INDEX(Manual_Review!$H$6:$H$238,U1680))</f>
        <v/>
      </c>
      <c r="X1680" s="5" t="str">
        <f>IF(INDEX(Manual_Review!$I$6:$I$238,U1680)="","",INDEX(Manual_Review!$I$6:$I$238,U1680))</f>
        <v/>
      </c>
      <c r="Y1680" s="5" t="s">
        <v>2859</v>
      </c>
    </row>
    <row r="1681" spans="1:25" ht="38.25">
      <c r="A1681" s="5" t="s">
        <v>6369</v>
      </c>
      <c r="B1681" s="5" t="s">
        <v>1261</v>
      </c>
      <c r="C1681" s="5" t="s">
        <v>1262</v>
      </c>
      <c r="D1681" s="5" t="s">
        <v>118</v>
      </c>
      <c r="E1681" s="5" t="s">
        <v>2792</v>
      </c>
      <c r="F1681" s="5" t="s">
        <v>2762</v>
      </c>
      <c r="G1681" s="5">
        <v>1</v>
      </c>
      <c r="H1681" s="5" t="s">
        <v>2864</v>
      </c>
      <c r="I1681" s="5" t="str">
        <f>IF(INDEX(Manual_Review!$V$6:$V$238,U1681)="","",INDEX(Manual_Review!$V$6:$V$238,U1681))</f>
        <v/>
      </c>
      <c r="J1681" s="5" t="str">
        <f t="shared" si="52"/>
        <v>AI provisional</v>
      </c>
      <c r="K1681" s="5" t="str">
        <f t="shared" si="53"/>
        <v>U</v>
      </c>
      <c r="L1681" s="5" t="s">
        <v>1268</v>
      </c>
      <c r="M1681" s="5" t="s">
        <v>6370</v>
      </c>
      <c r="N1681" s="5" t="s">
        <v>6348</v>
      </c>
      <c r="O1681" s="5" t="s">
        <v>2891</v>
      </c>
      <c r="P1681" s="5" t="s">
        <v>2858</v>
      </c>
      <c r="Q1681" s="11">
        <v>46306.5</v>
      </c>
      <c r="R1681" s="6"/>
      <c r="S1681" s="6"/>
      <c r="T1681" s="6"/>
      <c r="U1681" s="5">
        <f>MATCH(B1681,Manual_Review!$A$6:$A$238,0)</f>
        <v>105</v>
      </c>
      <c r="V1681" s="5" t="str">
        <f>IF(INDEX(Manual_Review!$G$6:$G$238,U1681)="","",INDEX(Manual_Review!$G$6:$G$238,U1681))</f>
        <v/>
      </c>
      <c r="W1681" s="11" t="str">
        <f>IF(INDEX(Manual_Review!$H$6:$H$238,U1681)="","",INDEX(Manual_Review!$H$6:$H$238,U1681))</f>
        <v/>
      </c>
      <c r="X1681" s="5" t="str">
        <f>IF(INDEX(Manual_Review!$I$6:$I$238,U1681)="","",INDEX(Manual_Review!$I$6:$I$238,U1681))</f>
        <v/>
      </c>
      <c r="Y1681" s="5" t="s">
        <v>2859</v>
      </c>
    </row>
    <row r="1682" spans="1:25" ht="38.25">
      <c r="A1682" s="5" t="s">
        <v>6371</v>
      </c>
      <c r="B1682" s="5" t="s">
        <v>1261</v>
      </c>
      <c r="C1682" s="5" t="s">
        <v>1262</v>
      </c>
      <c r="D1682" s="5" t="s">
        <v>118</v>
      </c>
      <c r="E1682" s="5" t="s">
        <v>2793</v>
      </c>
      <c r="F1682" s="5" t="s">
        <v>2762</v>
      </c>
      <c r="G1682" s="5">
        <v>1</v>
      </c>
      <c r="H1682" s="5" t="s">
        <v>2864</v>
      </c>
      <c r="I1682" s="5" t="str">
        <f>IF(INDEX(Manual_Review!$W$6:$W$238,U1682)="","",INDEX(Manual_Review!$W$6:$W$238,U1682))</f>
        <v/>
      </c>
      <c r="J1682" s="5" t="str">
        <f t="shared" si="52"/>
        <v>AI provisional</v>
      </c>
      <c r="K1682" s="5" t="str">
        <f t="shared" si="53"/>
        <v>U</v>
      </c>
      <c r="L1682" s="5" t="s">
        <v>1268</v>
      </c>
      <c r="M1682" s="5" t="s">
        <v>6372</v>
      </c>
      <c r="N1682" s="5" t="s">
        <v>6348</v>
      </c>
      <c r="O1682" s="5" t="s">
        <v>2893</v>
      </c>
      <c r="P1682" s="5" t="s">
        <v>2858</v>
      </c>
      <c r="Q1682" s="11">
        <v>46306.5</v>
      </c>
      <c r="R1682" s="6"/>
      <c r="S1682" s="6"/>
      <c r="T1682" s="6"/>
      <c r="U1682" s="5">
        <f>MATCH(B1682,Manual_Review!$A$6:$A$238,0)</f>
        <v>105</v>
      </c>
      <c r="V1682" s="5" t="str">
        <f>IF(INDEX(Manual_Review!$G$6:$G$238,U1682)="","",INDEX(Manual_Review!$G$6:$G$238,U1682))</f>
        <v/>
      </c>
      <c r="W1682" s="11" t="str">
        <f>IF(INDEX(Manual_Review!$H$6:$H$238,U1682)="","",INDEX(Manual_Review!$H$6:$H$238,U1682))</f>
        <v/>
      </c>
      <c r="X1682" s="5" t="str">
        <f>IF(INDEX(Manual_Review!$I$6:$I$238,U1682)="","",INDEX(Manual_Review!$I$6:$I$238,U1682))</f>
        <v/>
      </c>
      <c r="Y1682" s="5" t="s">
        <v>2859</v>
      </c>
    </row>
    <row r="1683" spans="1:25" ht="38.25">
      <c r="A1683" s="5" t="s">
        <v>6373</v>
      </c>
      <c r="B1683" s="5" t="s">
        <v>1261</v>
      </c>
      <c r="C1683" s="5" t="s">
        <v>1262</v>
      </c>
      <c r="D1683" s="5" t="s">
        <v>118</v>
      </c>
      <c r="E1683" s="5" t="s">
        <v>2794</v>
      </c>
      <c r="F1683" s="5" t="s">
        <v>2764</v>
      </c>
      <c r="G1683" s="5">
        <v>1</v>
      </c>
      <c r="H1683" s="5" t="s">
        <v>2854</v>
      </c>
      <c r="I1683" s="5" t="str">
        <f>IF(INDEX(Manual_Review!$X$6:$X$238,U1683)="","",INDEX(Manual_Review!$X$6:$X$238,U1683))</f>
        <v/>
      </c>
      <c r="J1683" s="5" t="str">
        <f t="shared" si="52"/>
        <v>AI provisional</v>
      </c>
      <c r="K1683" s="5" t="str">
        <f t="shared" si="53"/>
        <v>Y</v>
      </c>
      <c r="L1683" s="5" t="s">
        <v>1268</v>
      </c>
      <c r="M1683" s="5" t="s">
        <v>6374</v>
      </c>
      <c r="N1683" s="5" t="s">
        <v>6348</v>
      </c>
      <c r="O1683" s="5" t="s">
        <v>2984</v>
      </c>
      <c r="P1683" s="5" t="s">
        <v>2858</v>
      </c>
      <c r="Q1683" s="11">
        <v>46306.5</v>
      </c>
      <c r="R1683" s="6"/>
      <c r="S1683" s="6"/>
      <c r="T1683" s="6"/>
      <c r="U1683" s="5">
        <f>MATCH(B1683,Manual_Review!$A$6:$A$238,0)</f>
        <v>105</v>
      </c>
      <c r="V1683" s="5" t="str">
        <f>IF(INDEX(Manual_Review!$G$6:$G$238,U1683)="","",INDEX(Manual_Review!$G$6:$G$238,U1683))</f>
        <v/>
      </c>
      <c r="W1683" s="11" t="str">
        <f>IF(INDEX(Manual_Review!$H$6:$H$238,U1683)="","",INDEX(Manual_Review!$H$6:$H$238,U1683))</f>
        <v/>
      </c>
      <c r="X1683" s="5" t="str">
        <f>IF(INDEX(Manual_Review!$I$6:$I$238,U1683)="","",INDEX(Manual_Review!$I$6:$I$238,U1683))</f>
        <v/>
      </c>
      <c r="Y1683" s="5" t="s">
        <v>2859</v>
      </c>
    </row>
    <row r="1684" spans="1:25" ht="38.25">
      <c r="A1684" s="5" t="s">
        <v>6375</v>
      </c>
      <c r="B1684" s="5" t="s">
        <v>1261</v>
      </c>
      <c r="C1684" s="5" t="s">
        <v>1262</v>
      </c>
      <c r="D1684" s="5" t="s">
        <v>118</v>
      </c>
      <c r="E1684" s="5" t="s">
        <v>2795</v>
      </c>
      <c r="F1684" s="5" t="s">
        <v>2764</v>
      </c>
      <c r="G1684" s="5">
        <v>1</v>
      </c>
      <c r="H1684" s="5" t="s">
        <v>2864</v>
      </c>
      <c r="I1684" s="5" t="str">
        <f>IF(INDEX(Manual_Review!$Y$6:$Y$238,U1684)="","",INDEX(Manual_Review!$Y$6:$Y$238,U1684))</f>
        <v/>
      </c>
      <c r="J1684" s="5" t="str">
        <f t="shared" si="52"/>
        <v>AI provisional</v>
      </c>
      <c r="K1684" s="5" t="str">
        <f t="shared" si="53"/>
        <v>U</v>
      </c>
      <c r="L1684" s="5" t="s">
        <v>1268</v>
      </c>
      <c r="M1684" s="5" t="s">
        <v>6376</v>
      </c>
      <c r="N1684" s="5" t="s">
        <v>6348</v>
      </c>
      <c r="O1684" s="5" t="s">
        <v>2897</v>
      </c>
      <c r="P1684" s="5" t="s">
        <v>2858</v>
      </c>
      <c r="Q1684" s="11">
        <v>46306.5</v>
      </c>
      <c r="R1684" s="6"/>
      <c r="S1684" s="6"/>
      <c r="T1684" s="6"/>
      <c r="U1684" s="5">
        <f>MATCH(B1684,Manual_Review!$A$6:$A$238,0)</f>
        <v>105</v>
      </c>
      <c r="V1684" s="5" t="str">
        <f>IF(INDEX(Manual_Review!$G$6:$G$238,U1684)="","",INDEX(Manual_Review!$G$6:$G$238,U1684))</f>
        <v/>
      </c>
      <c r="W1684" s="11" t="str">
        <f>IF(INDEX(Manual_Review!$H$6:$H$238,U1684)="","",INDEX(Manual_Review!$H$6:$H$238,U1684))</f>
        <v/>
      </c>
      <c r="X1684" s="5" t="str">
        <f>IF(INDEX(Manual_Review!$I$6:$I$238,U1684)="","",INDEX(Manual_Review!$I$6:$I$238,U1684))</f>
        <v/>
      </c>
      <c r="Y1684" s="5" t="s">
        <v>2859</v>
      </c>
    </row>
    <row r="1685" spans="1:25" ht="38.25">
      <c r="A1685" s="5" t="s">
        <v>6377</v>
      </c>
      <c r="B1685" s="5" t="s">
        <v>1261</v>
      </c>
      <c r="C1685" s="5" t="s">
        <v>1262</v>
      </c>
      <c r="D1685" s="5" t="s">
        <v>118</v>
      </c>
      <c r="E1685" s="5" t="s">
        <v>2796</v>
      </c>
      <c r="F1685" s="5" t="s">
        <v>2764</v>
      </c>
      <c r="G1685" s="5">
        <v>1</v>
      </c>
      <c r="H1685" s="5" t="s">
        <v>2854</v>
      </c>
      <c r="I1685" s="5" t="str">
        <f>IF(INDEX(Manual_Review!$Z$6:$Z$238,U1685)="","",INDEX(Manual_Review!$Z$6:$Z$238,U1685))</f>
        <v/>
      </c>
      <c r="J1685" s="5" t="str">
        <f t="shared" si="52"/>
        <v>AI provisional</v>
      </c>
      <c r="K1685" s="5" t="str">
        <f t="shared" si="53"/>
        <v>Y</v>
      </c>
      <c r="L1685" s="5" t="s">
        <v>1268</v>
      </c>
      <c r="M1685" s="5" t="s">
        <v>6378</v>
      </c>
      <c r="N1685" s="5" t="s">
        <v>6348</v>
      </c>
      <c r="O1685" s="5" t="s">
        <v>3085</v>
      </c>
      <c r="P1685" s="5" t="s">
        <v>2858</v>
      </c>
      <c r="Q1685" s="11">
        <v>46306.5</v>
      </c>
      <c r="R1685" s="6"/>
      <c r="S1685" s="6"/>
      <c r="T1685" s="6"/>
      <c r="U1685" s="5">
        <f>MATCH(B1685,Manual_Review!$A$6:$A$238,0)</f>
        <v>105</v>
      </c>
      <c r="V1685" s="5" t="str">
        <f>IF(INDEX(Manual_Review!$G$6:$G$238,U1685)="","",INDEX(Manual_Review!$G$6:$G$238,U1685))</f>
        <v/>
      </c>
      <c r="W1685" s="11" t="str">
        <f>IF(INDEX(Manual_Review!$H$6:$H$238,U1685)="","",INDEX(Manual_Review!$H$6:$H$238,U1685))</f>
        <v/>
      </c>
      <c r="X1685" s="5" t="str">
        <f>IF(INDEX(Manual_Review!$I$6:$I$238,U1685)="","",INDEX(Manual_Review!$I$6:$I$238,U1685))</f>
        <v/>
      </c>
      <c r="Y1685" s="5" t="s">
        <v>2859</v>
      </c>
    </row>
    <row r="1686" spans="1:25" ht="25.5">
      <c r="A1686" s="5" t="s">
        <v>6379</v>
      </c>
      <c r="B1686" s="5" t="s">
        <v>1270</v>
      </c>
      <c r="C1686" s="5" t="s">
        <v>1271</v>
      </c>
      <c r="D1686" s="5" t="s">
        <v>118</v>
      </c>
      <c r="E1686" s="5" t="s">
        <v>2781</v>
      </c>
      <c r="F1686" s="5" t="s">
        <v>2754</v>
      </c>
      <c r="G1686" s="5">
        <v>1</v>
      </c>
      <c r="H1686" s="5" t="s">
        <v>2854</v>
      </c>
      <c r="I1686" s="5" t="str">
        <f>IF(INDEX(Manual_Review!$K$6:$K$238,U1686)="","",INDEX(Manual_Review!$K$6:$K$238,U1686))</f>
        <v/>
      </c>
      <c r="J1686" s="5" t="str">
        <f t="shared" si="52"/>
        <v>AI provisional</v>
      </c>
      <c r="K1686" s="5" t="str">
        <f t="shared" si="53"/>
        <v>Y</v>
      </c>
      <c r="L1686" s="5" t="s">
        <v>1278</v>
      </c>
      <c r="M1686" s="5" t="s">
        <v>6380</v>
      </c>
      <c r="N1686" s="5" t="s">
        <v>6381</v>
      </c>
      <c r="O1686" s="5" t="s">
        <v>2857</v>
      </c>
      <c r="P1686" s="5" t="s">
        <v>2858</v>
      </c>
      <c r="Q1686" s="11">
        <v>46306.5</v>
      </c>
      <c r="R1686" s="6"/>
      <c r="S1686" s="6"/>
      <c r="T1686" s="6"/>
      <c r="U1686" s="5">
        <f>MATCH(B1686,Manual_Review!$A$6:$A$238,0)</f>
        <v>106</v>
      </c>
      <c r="V1686" s="5" t="str">
        <f>IF(INDEX(Manual_Review!$G$6:$G$238,U1686)="","",INDEX(Manual_Review!$G$6:$G$238,U1686))</f>
        <v/>
      </c>
      <c r="W1686" s="11" t="str">
        <f>IF(INDEX(Manual_Review!$H$6:$H$238,U1686)="","",INDEX(Manual_Review!$H$6:$H$238,U1686))</f>
        <v/>
      </c>
      <c r="X1686" s="5" t="str">
        <f>IF(INDEX(Manual_Review!$I$6:$I$238,U1686)="","",INDEX(Manual_Review!$I$6:$I$238,U1686))</f>
        <v/>
      </c>
      <c r="Y1686" s="5" t="s">
        <v>2859</v>
      </c>
    </row>
    <row r="1687" spans="1:25" ht="25.5">
      <c r="A1687" s="5" t="s">
        <v>6382</v>
      </c>
      <c r="B1687" s="5" t="s">
        <v>1270</v>
      </c>
      <c r="C1687" s="5" t="s">
        <v>1271</v>
      </c>
      <c r="D1687" s="5" t="s">
        <v>118</v>
      </c>
      <c r="E1687" s="5" t="s">
        <v>2782</v>
      </c>
      <c r="F1687" s="5" t="s">
        <v>2754</v>
      </c>
      <c r="G1687" s="5">
        <v>1</v>
      </c>
      <c r="H1687" s="5" t="s">
        <v>2854</v>
      </c>
      <c r="I1687" s="5" t="str">
        <f>IF(INDEX(Manual_Review!$L$6:$L$238,U1687)="","",INDEX(Manual_Review!$L$6:$L$238,U1687))</f>
        <v/>
      </c>
      <c r="J1687" s="5" t="str">
        <f t="shared" si="52"/>
        <v>AI provisional</v>
      </c>
      <c r="K1687" s="5" t="str">
        <f t="shared" si="53"/>
        <v>Y</v>
      </c>
      <c r="L1687" s="5" t="s">
        <v>1278</v>
      </c>
      <c r="M1687" s="5" t="s">
        <v>6383</v>
      </c>
      <c r="N1687" s="5" t="s">
        <v>6381</v>
      </c>
      <c r="O1687" s="5" t="s">
        <v>2862</v>
      </c>
      <c r="P1687" s="5" t="s">
        <v>2858</v>
      </c>
      <c r="Q1687" s="11">
        <v>46306.5</v>
      </c>
      <c r="R1687" s="6"/>
      <c r="S1687" s="6"/>
      <c r="T1687" s="6"/>
      <c r="U1687" s="5">
        <f>MATCH(B1687,Manual_Review!$A$6:$A$238,0)</f>
        <v>106</v>
      </c>
      <c r="V1687" s="5" t="str">
        <f>IF(INDEX(Manual_Review!$G$6:$G$238,U1687)="","",INDEX(Manual_Review!$G$6:$G$238,U1687))</f>
        <v/>
      </c>
      <c r="W1687" s="11" t="str">
        <f>IF(INDEX(Manual_Review!$H$6:$H$238,U1687)="","",INDEX(Manual_Review!$H$6:$H$238,U1687))</f>
        <v/>
      </c>
      <c r="X1687" s="5" t="str">
        <f>IF(INDEX(Manual_Review!$I$6:$I$238,U1687)="","",INDEX(Manual_Review!$I$6:$I$238,U1687))</f>
        <v/>
      </c>
      <c r="Y1687" s="5" t="s">
        <v>2859</v>
      </c>
    </row>
    <row r="1688" spans="1:25" ht="25.5">
      <c r="A1688" s="5" t="s">
        <v>6384</v>
      </c>
      <c r="B1688" s="5" t="s">
        <v>1270</v>
      </c>
      <c r="C1688" s="5" t="s">
        <v>1271</v>
      </c>
      <c r="D1688" s="5" t="s">
        <v>118</v>
      </c>
      <c r="E1688" s="5" t="s">
        <v>2783</v>
      </c>
      <c r="F1688" s="5" t="s">
        <v>2754</v>
      </c>
      <c r="G1688" s="5">
        <v>1</v>
      </c>
      <c r="H1688" s="5" t="s">
        <v>2864</v>
      </c>
      <c r="I1688" s="5" t="str">
        <f>IF(INDEX(Manual_Review!$M$6:$M$238,U1688)="","",INDEX(Manual_Review!$M$6:$M$238,U1688))</f>
        <v/>
      </c>
      <c r="J1688" s="5" t="str">
        <f t="shared" si="52"/>
        <v>AI provisional</v>
      </c>
      <c r="K1688" s="5" t="str">
        <f t="shared" si="53"/>
        <v>U</v>
      </c>
      <c r="L1688" s="5" t="s">
        <v>1278</v>
      </c>
      <c r="M1688" s="5" t="s">
        <v>6385</v>
      </c>
      <c r="N1688" s="5" t="s">
        <v>6381</v>
      </c>
      <c r="O1688" s="5" t="s">
        <v>2866</v>
      </c>
      <c r="P1688" s="5" t="s">
        <v>2858</v>
      </c>
      <c r="Q1688" s="11">
        <v>46306.5</v>
      </c>
      <c r="R1688" s="6"/>
      <c r="S1688" s="6"/>
      <c r="T1688" s="6"/>
      <c r="U1688" s="5">
        <f>MATCH(B1688,Manual_Review!$A$6:$A$238,0)</f>
        <v>106</v>
      </c>
      <c r="V1688" s="5" t="str">
        <f>IF(INDEX(Manual_Review!$G$6:$G$238,U1688)="","",INDEX(Manual_Review!$G$6:$G$238,U1688))</f>
        <v/>
      </c>
      <c r="W1688" s="11" t="str">
        <f>IF(INDEX(Manual_Review!$H$6:$H$238,U1688)="","",INDEX(Manual_Review!$H$6:$H$238,U1688))</f>
        <v/>
      </c>
      <c r="X1688" s="5" t="str">
        <f>IF(INDEX(Manual_Review!$I$6:$I$238,U1688)="","",INDEX(Manual_Review!$I$6:$I$238,U1688))</f>
        <v/>
      </c>
      <c r="Y1688" s="5" t="s">
        <v>2859</v>
      </c>
    </row>
    <row r="1689" spans="1:25" ht="25.5">
      <c r="A1689" s="5" t="s">
        <v>6386</v>
      </c>
      <c r="B1689" s="5" t="s">
        <v>1270</v>
      </c>
      <c r="C1689" s="5" t="s">
        <v>1271</v>
      </c>
      <c r="D1689" s="5" t="s">
        <v>118</v>
      </c>
      <c r="E1689" s="5" t="s">
        <v>2784</v>
      </c>
      <c r="F1689" s="5" t="s">
        <v>2756</v>
      </c>
      <c r="G1689" s="5">
        <v>1</v>
      </c>
      <c r="H1689" s="5" t="s">
        <v>2864</v>
      </c>
      <c r="I1689" s="5" t="str">
        <f>IF(INDEX(Manual_Review!$N$6:$N$238,U1689)="","",INDEX(Manual_Review!$N$6:$N$238,U1689))</f>
        <v/>
      </c>
      <c r="J1689" s="5" t="str">
        <f t="shared" si="52"/>
        <v>AI provisional</v>
      </c>
      <c r="K1689" s="5" t="str">
        <f t="shared" si="53"/>
        <v>U</v>
      </c>
      <c r="L1689" s="5" t="s">
        <v>1278</v>
      </c>
      <c r="M1689" s="5" t="s">
        <v>6387</v>
      </c>
      <c r="N1689" s="5" t="s">
        <v>6381</v>
      </c>
      <c r="O1689" s="5" t="s">
        <v>2869</v>
      </c>
      <c r="P1689" s="5" t="s">
        <v>2858</v>
      </c>
      <c r="Q1689" s="11">
        <v>46306.5</v>
      </c>
      <c r="R1689" s="6"/>
      <c r="S1689" s="6"/>
      <c r="T1689" s="6"/>
      <c r="U1689" s="5">
        <f>MATCH(B1689,Manual_Review!$A$6:$A$238,0)</f>
        <v>106</v>
      </c>
      <c r="V1689" s="5" t="str">
        <f>IF(INDEX(Manual_Review!$G$6:$G$238,U1689)="","",INDEX(Manual_Review!$G$6:$G$238,U1689))</f>
        <v/>
      </c>
      <c r="W1689" s="11" t="str">
        <f>IF(INDEX(Manual_Review!$H$6:$H$238,U1689)="","",INDEX(Manual_Review!$H$6:$H$238,U1689))</f>
        <v/>
      </c>
      <c r="X1689" s="5" t="str">
        <f>IF(INDEX(Manual_Review!$I$6:$I$238,U1689)="","",INDEX(Manual_Review!$I$6:$I$238,U1689))</f>
        <v/>
      </c>
      <c r="Y1689" s="5" t="s">
        <v>2859</v>
      </c>
    </row>
    <row r="1690" spans="1:25" ht="25.5">
      <c r="A1690" s="5" t="s">
        <v>6388</v>
      </c>
      <c r="B1690" s="5" t="s">
        <v>1270</v>
      </c>
      <c r="C1690" s="5" t="s">
        <v>1271</v>
      </c>
      <c r="D1690" s="5" t="s">
        <v>118</v>
      </c>
      <c r="E1690" s="5" t="s">
        <v>2785</v>
      </c>
      <c r="F1690" s="5" t="s">
        <v>2756</v>
      </c>
      <c r="G1690" s="5">
        <v>1</v>
      </c>
      <c r="H1690" s="5" t="s">
        <v>2864</v>
      </c>
      <c r="I1690" s="5" t="str">
        <f>IF(INDEX(Manual_Review!$O$6:$O$238,U1690)="","",INDEX(Manual_Review!$O$6:$O$238,U1690))</f>
        <v/>
      </c>
      <c r="J1690" s="5" t="str">
        <f t="shared" si="52"/>
        <v>AI provisional</v>
      </c>
      <c r="K1690" s="5" t="str">
        <f t="shared" si="53"/>
        <v>U</v>
      </c>
      <c r="L1690" s="5" t="s">
        <v>1278</v>
      </c>
      <c r="M1690" s="5" t="s">
        <v>6389</v>
      </c>
      <c r="N1690" s="5" t="s">
        <v>6381</v>
      </c>
      <c r="O1690" s="5" t="s">
        <v>2872</v>
      </c>
      <c r="P1690" s="5" t="s">
        <v>2858</v>
      </c>
      <c r="Q1690" s="11">
        <v>46306.5</v>
      </c>
      <c r="R1690" s="6"/>
      <c r="S1690" s="6"/>
      <c r="T1690" s="6"/>
      <c r="U1690" s="5">
        <f>MATCH(B1690,Manual_Review!$A$6:$A$238,0)</f>
        <v>106</v>
      </c>
      <c r="V1690" s="5" t="str">
        <f>IF(INDEX(Manual_Review!$G$6:$G$238,U1690)="","",INDEX(Manual_Review!$G$6:$G$238,U1690))</f>
        <v/>
      </c>
      <c r="W1690" s="11" t="str">
        <f>IF(INDEX(Manual_Review!$H$6:$H$238,U1690)="","",INDEX(Manual_Review!$H$6:$H$238,U1690))</f>
        <v/>
      </c>
      <c r="X1690" s="5" t="str">
        <f>IF(INDEX(Manual_Review!$I$6:$I$238,U1690)="","",INDEX(Manual_Review!$I$6:$I$238,U1690))</f>
        <v/>
      </c>
      <c r="Y1690" s="5" t="s">
        <v>2859</v>
      </c>
    </row>
    <row r="1691" spans="1:25" ht="25.5">
      <c r="A1691" s="5" t="s">
        <v>6390</v>
      </c>
      <c r="B1691" s="5" t="s">
        <v>1270</v>
      </c>
      <c r="C1691" s="5" t="s">
        <v>1271</v>
      </c>
      <c r="D1691" s="5" t="s">
        <v>118</v>
      </c>
      <c r="E1691" s="5" t="s">
        <v>2786</v>
      </c>
      <c r="F1691" s="5" t="s">
        <v>2756</v>
      </c>
      <c r="G1691" s="5">
        <v>1</v>
      </c>
      <c r="H1691" s="5" t="s">
        <v>2864</v>
      </c>
      <c r="I1691" s="5" t="str">
        <f>IF(INDEX(Manual_Review!$P$6:$P$238,U1691)="","",INDEX(Manual_Review!$P$6:$P$238,U1691))</f>
        <v/>
      </c>
      <c r="J1691" s="5" t="str">
        <f t="shared" si="52"/>
        <v>AI provisional</v>
      </c>
      <c r="K1691" s="5" t="str">
        <f t="shared" si="53"/>
        <v>U</v>
      </c>
      <c r="L1691" s="5" t="s">
        <v>1278</v>
      </c>
      <c r="M1691" s="5" t="s">
        <v>6385</v>
      </c>
      <c r="N1691" s="5" t="s">
        <v>6381</v>
      </c>
      <c r="O1691" s="5" t="s">
        <v>2874</v>
      </c>
      <c r="P1691" s="5" t="s">
        <v>2858</v>
      </c>
      <c r="Q1691" s="11">
        <v>46306.5</v>
      </c>
      <c r="R1691" s="6"/>
      <c r="S1691" s="6"/>
      <c r="T1691" s="6"/>
      <c r="U1691" s="5">
        <f>MATCH(B1691,Manual_Review!$A$6:$A$238,0)</f>
        <v>106</v>
      </c>
      <c r="V1691" s="5" t="str">
        <f>IF(INDEX(Manual_Review!$G$6:$G$238,U1691)="","",INDEX(Manual_Review!$G$6:$G$238,U1691))</f>
        <v/>
      </c>
      <c r="W1691" s="11" t="str">
        <f>IF(INDEX(Manual_Review!$H$6:$H$238,U1691)="","",INDEX(Manual_Review!$H$6:$H$238,U1691))</f>
        <v/>
      </c>
      <c r="X1691" s="5" t="str">
        <f>IF(INDEX(Manual_Review!$I$6:$I$238,U1691)="","",INDEX(Manual_Review!$I$6:$I$238,U1691))</f>
        <v/>
      </c>
      <c r="Y1691" s="5" t="s">
        <v>2859</v>
      </c>
    </row>
    <row r="1692" spans="1:25" ht="25.5">
      <c r="A1692" s="5" t="s">
        <v>6391</v>
      </c>
      <c r="B1692" s="5" t="s">
        <v>1270</v>
      </c>
      <c r="C1692" s="5" t="s">
        <v>1271</v>
      </c>
      <c r="D1692" s="5" t="s">
        <v>118</v>
      </c>
      <c r="E1692" s="5" t="s">
        <v>2787</v>
      </c>
      <c r="F1692" s="5" t="s">
        <v>2758</v>
      </c>
      <c r="G1692" s="5">
        <v>1</v>
      </c>
      <c r="H1692" s="5" t="s">
        <v>2864</v>
      </c>
      <c r="I1692" s="5" t="str">
        <f>IF(INDEX(Manual_Review!$Q$6:$Q$238,U1692)="","",INDEX(Manual_Review!$Q$6:$Q$238,U1692))</f>
        <v/>
      </c>
      <c r="J1692" s="5" t="str">
        <f t="shared" si="52"/>
        <v>AI provisional</v>
      </c>
      <c r="K1692" s="5" t="str">
        <f t="shared" si="53"/>
        <v>U</v>
      </c>
      <c r="L1692" s="5" t="s">
        <v>1278</v>
      </c>
      <c r="M1692" s="5" t="s">
        <v>6392</v>
      </c>
      <c r="N1692" s="5" t="s">
        <v>6381</v>
      </c>
      <c r="O1692" s="5" t="s">
        <v>2877</v>
      </c>
      <c r="P1692" s="5" t="s">
        <v>2858</v>
      </c>
      <c r="Q1692" s="11">
        <v>46306.5</v>
      </c>
      <c r="R1692" s="6"/>
      <c r="S1692" s="6"/>
      <c r="T1692" s="6"/>
      <c r="U1692" s="5">
        <f>MATCH(B1692,Manual_Review!$A$6:$A$238,0)</f>
        <v>106</v>
      </c>
      <c r="V1692" s="5" t="str">
        <f>IF(INDEX(Manual_Review!$G$6:$G$238,U1692)="","",INDEX(Manual_Review!$G$6:$G$238,U1692))</f>
        <v/>
      </c>
      <c r="W1692" s="11" t="str">
        <f>IF(INDEX(Manual_Review!$H$6:$H$238,U1692)="","",INDEX(Manual_Review!$H$6:$H$238,U1692))</f>
        <v/>
      </c>
      <c r="X1692" s="5" t="str">
        <f>IF(INDEX(Manual_Review!$I$6:$I$238,U1692)="","",INDEX(Manual_Review!$I$6:$I$238,U1692))</f>
        <v/>
      </c>
      <c r="Y1692" s="5" t="s">
        <v>2859</v>
      </c>
    </row>
    <row r="1693" spans="1:25" ht="25.5">
      <c r="A1693" s="5" t="s">
        <v>6393</v>
      </c>
      <c r="B1693" s="5" t="s">
        <v>1270</v>
      </c>
      <c r="C1693" s="5" t="s">
        <v>1271</v>
      </c>
      <c r="D1693" s="5" t="s">
        <v>118</v>
      </c>
      <c r="E1693" s="5" t="s">
        <v>2788</v>
      </c>
      <c r="F1693" s="5" t="s">
        <v>2758</v>
      </c>
      <c r="G1693" s="5">
        <v>1</v>
      </c>
      <c r="H1693" s="5" t="s">
        <v>2864</v>
      </c>
      <c r="I1693" s="5" t="str">
        <f>IF(INDEX(Manual_Review!$R$6:$R$238,U1693)="","",INDEX(Manual_Review!$R$6:$R$238,U1693))</f>
        <v/>
      </c>
      <c r="J1693" s="5" t="str">
        <f t="shared" si="52"/>
        <v>AI provisional</v>
      </c>
      <c r="K1693" s="5" t="str">
        <f t="shared" si="53"/>
        <v>U</v>
      </c>
      <c r="L1693" s="5" t="s">
        <v>1278</v>
      </c>
      <c r="M1693" s="5" t="s">
        <v>6394</v>
      </c>
      <c r="N1693" s="5" t="s">
        <v>6381</v>
      </c>
      <c r="O1693" s="5" t="s">
        <v>2880</v>
      </c>
      <c r="P1693" s="5" t="s">
        <v>2858</v>
      </c>
      <c r="Q1693" s="11">
        <v>46306.5</v>
      </c>
      <c r="R1693" s="6"/>
      <c r="S1693" s="6"/>
      <c r="T1693" s="6"/>
      <c r="U1693" s="5">
        <f>MATCH(B1693,Manual_Review!$A$6:$A$238,0)</f>
        <v>106</v>
      </c>
      <c r="V1693" s="5" t="str">
        <f>IF(INDEX(Manual_Review!$G$6:$G$238,U1693)="","",INDEX(Manual_Review!$G$6:$G$238,U1693))</f>
        <v/>
      </c>
      <c r="W1693" s="11" t="str">
        <f>IF(INDEX(Manual_Review!$H$6:$H$238,U1693)="","",INDEX(Manual_Review!$H$6:$H$238,U1693))</f>
        <v/>
      </c>
      <c r="X1693" s="5" t="str">
        <f>IF(INDEX(Manual_Review!$I$6:$I$238,U1693)="","",INDEX(Manual_Review!$I$6:$I$238,U1693))</f>
        <v/>
      </c>
      <c r="Y1693" s="5" t="s">
        <v>2859</v>
      </c>
    </row>
    <row r="1694" spans="1:25" ht="25.5">
      <c r="A1694" s="5" t="s">
        <v>6395</v>
      </c>
      <c r="B1694" s="5" t="s">
        <v>1270</v>
      </c>
      <c r="C1694" s="5" t="s">
        <v>1271</v>
      </c>
      <c r="D1694" s="5" t="s">
        <v>118</v>
      </c>
      <c r="E1694" s="5" t="s">
        <v>2789</v>
      </c>
      <c r="F1694" s="5" t="s">
        <v>2758</v>
      </c>
      <c r="G1694" s="5">
        <v>1</v>
      </c>
      <c r="H1694" s="5" t="s">
        <v>2864</v>
      </c>
      <c r="I1694" s="5" t="str">
        <f>IF(INDEX(Manual_Review!$S$6:$S$238,U1694)="","",INDEX(Manual_Review!$S$6:$S$238,U1694))</f>
        <v/>
      </c>
      <c r="J1694" s="5" t="str">
        <f t="shared" si="52"/>
        <v>AI provisional</v>
      </c>
      <c r="K1694" s="5" t="str">
        <f t="shared" si="53"/>
        <v>U</v>
      </c>
      <c r="L1694" s="5" t="s">
        <v>1278</v>
      </c>
      <c r="M1694" s="5" t="s">
        <v>6396</v>
      </c>
      <c r="N1694" s="5" t="s">
        <v>6381</v>
      </c>
      <c r="O1694" s="5" t="s">
        <v>2883</v>
      </c>
      <c r="P1694" s="5" t="s">
        <v>2858</v>
      </c>
      <c r="Q1694" s="11">
        <v>46306.5</v>
      </c>
      <c r="R1694" s="6"/>
      <c r="S1694" s="6"/>
      <c r="T1694" s="6"/>
      <c r="U1694" s="5">
        <f>MATCH(B1694,Manual_Review!$A$6:$A$238,0)</f>
        <v>106</v>
      </c>
      <c r="V1694" s="5" t="str">
        <f>IF(INDEX(Manual_Review!$G$6:$G$238,U1694)="","",INDEX(Manual_Review!$G$6:$G$238,U1694))</f>
        <v/>
      </c>
      <c r="W1694" s="11" t="str">
        <f>IF(INDEX(Manual_Review!$H$6:$H$238,U1694)="","",INDEX(Manual_Review!$H$6:$H$238,U1694))</f>
        <v/>
      </c>
      <c r="X1694" s="5" t="str">
        <f>IF(INDEX(Manual_Review!$I$6:$I$238,U1694)="","",INDEX(Manual_Review!$I$6:$I$238,U1694))</f>
        <v/>
      </c>
      <c r="Y1694" s="5" t="s">
        <v>2859</v>
      </c>
    </row>
    <row r="1695" spans="1:25" ht="25.5">
      <c r="A1695" s="5" t="s">
        <v>6397</v>
      </c>
      <c r="B1695" s="5" t="s">
        <v>1270</v>
      </c>
      <c r="C1695" s="5" t="s">
        <v>1271</v>
      </c>
      <c r="D1695" s="5" t="s">
        <v>118</v>
      </c>
      <c r="E1695" s="5" t="s">
        <v>2790</v>
      </c>
      <c r="F1695" s="5" t="s">
        <v>2760</v>
      </c>
      <c r="G1695" s="5">
        <v>1</v>
      </c>
      <c r="H1695" s="5" t="s">
        <v>2854</v>
      </c>
      <c r="I1695" s="5" t="str">
        <f>IF(INDEX(Manual_Review!$T$6:$T$238,U1695)="","",INDEX(Manual_Review!$T$6:$T$238,U1695))</f>
        <v/>
      </c>
      <c r="J1695" s="5" t="str">
        <f t="shared" si="52"/>
        <v>AI provisional</v>
      </c>
      <c r="K1695" s="5" t="str">
        <f t="shared" si="53"/>
        <v>Y</v>
      </c>
      <c r="L1695" s="5" t="s">
        <v>1278</v>
      </c>
      <c r="M1695" s="5" t="s">
        <v>6398</v>
      </c>
      <c r="N1695" s="5" t="s">
        <v>6381</v>
      </c>
      <c r="O1695" s="5" t="s">
        <v>2976</v>
      </c>
      <c r="P1695" s="5" t="s">
        <v>2858</v>
      </c>
      <c r="Q1695" s="11">
        <v>46306.5</v>
      </c>
      <c r="R1695" s="6"/>
      <c r="S1695" s="6"/>
      <c r="T1695" s="6"/>
      <c r="U1695" s="5">
        <f>MATCH(B1695,Manual_Review!$A$6:$A$238,0)</f>
        <v>106</v>
      </c>
      <c r="V1695" s="5" t="str">
        <f>IF(INDEX(Manual_Review!$G$6:$G$238,U1695)="","",INDEX(Manual_Review!$G$6:$G$238,U1695))</f>
        <v/>
      </c>
      <c r="W1695" s="11" t="str">
        <f>IF(INDEX(Manual_Review!$H$6:$H$238,U1695)="","",INDEX(Manual_Review!$H$6:$H$238,U1695))</f>
        <v/>
      </c>
      <c r="X1695" s="5" t="str">
        <f>IF(INDEX(Manual_Review!$I$6:$I$238,U1695)="","",INDEX(Manual_Review!$I$6:$I$238,U1695))</f>
        <v/>
      </c>
      <c r="Y1695" s="5" t="s">
        <v>2859</v>
      </c>
    </row>
    <row r="1696" spans="1:25" ht="25.5">
      <c r="A1696" s="5" t="s">
        <v>6399</v>
      </c>
      <c r="B1696" s="5" t="s">
        <v>1270</v>
      </c>
      <c r="C1696" s="5" t="s">
        <v>1271</v>
      </c>
      <c r="D1696" s="5" t="s">
        <v>118</v>
      </c>
      <c r="E1696" s="5" t="s">
        <v>2791</v>
      </c>
      <c r="F1696" s="5" t="s">
        <v>2760</v>
      </c>
      <c r="G1696" s="5">
        <v>1</v>
      </c>
      <c r="H1696" s="5" t="s">
        <v>2864</v>
      </c>
      <c r="I1696" s="5" t="str">
        <f>IF(INDEX(Manual_Review!$U$6:$U$238,U1696)="","",INDEX(Manual_Review!$U$6:$U$238,U1696))</f>
        <v/>
      </c>
      <c r="J1696" s="5" t="str">
        <f t="shared" si="52"/>
        <v>AI provisional</v>
      </c>
      <c r="K1696" s="5" t="str">
        <f t="shared" si="53"/>
        <v>U</v>
      </c>
      <c r="L1696" s="5" t="s">
        <v>1278</v>
      </c>
      <c r="M1696" s="5" t="s">
        <v>6400</v>
      </c>
      <c r="N1696" s="5" t="s">
        <v>6381</v>
      </c>
      <c r="O1696" s="5" t="s">
        <v>2888</v>
      </c>
      <c r="P1696" s="5" t="s">
        <v>2858</v>
      </c>
      <c r="Q1696" s="11">
        <v>46306.5</v>
      </c>
      <c r="R1696" s="6"/>
      <c r="S1696" s="6"/>
      <c r="T1696" s="6"/>
      <c r="U1696" s="5">
        <f>MATCH(B1696,Manual_Review!$A$6:$A$238,0)</f>
        <v>106</v>
      </c>
      <c r="V1696" s="5" t="str">
        <f>IF(INDEX(Manual_Review!$G$6:$G$238,U1696)="","",INDEX(Manual_Review!$G$6:$G$238,U1696))</f>
        <v/>
      </c>
      <c r="W1696" s="11" t="str">
        <f>IF(INDEX(Manual_Review!$H$6:$H$238,U1696)="","",INDEX(Manual_Review!$H$6:$H$238,U1696))</f>
        <v/>
      </c>
      <c r="X1696" s="5" t="str">
        <f>IF(INDEX(Manual_Review!$I$6:$I$238,U1696)="","",INDEX(Manual_Review!$I$6:$I$238,U1696))</f>
        <v/>
      </c>
      <c r="Y1696" s="5" t="s">
        <v>2859</v>
      </c>
    </row>
    <row r="1697" spans="1:25" ht="25.5">
      <c r="A1697" s="5" t="s">
        <v>6401</v>
      </c>
      <c r="B1697" s="5" t="s">
        <v>1270</v>
      </c>
      <c r="C1697" s="5" t="s">
        <v>1271</v>
      </c>
      <c r="D1697" s="5" t="s">
        <v>118</v>
      </c>
      <c r="E1697" s="5" t="s">
        <v>2792</v>
      </c>
      <c r="F1697" s="5" t="s">
        <v>2762</v>
      </c>
      <c r="G1697" s="5">
        <v>1</v>
      </c>
      <c r="H1697" s="5" t="s">
        <v>2864</v>
      </c>
      <c r="I1697" s="5" t="str">
        <f>IF(INDEX(Manual_Review!$V$6:$V$238,U1697)="","",INDEX(Manual_Review!$V$6:$V$238,U1697))</f>
        <v/>
      </c>
      <c r="J1697" s="5" t="str">
        <f t="shared" si="52"/>
        <v>AI provisional</v>
      </c>
      <c r="K1697" s="5" t="str">
        <f t="shared" si="53"/>
        <v>U</v>
      </c>
      <c r="L1697" s="5" t="s">
        <v>1278</v>
      </c>
      <c r="M1697" s="5" t="s">
        <v>6385</v>
      </c>
      <c r="N1697" s="5" t="s">
        <v>6381</v>
      </c>
      <c r="O1697" s="5" t="s">
        <v>2891</v>
      </c>
      <c r="P1697" s="5" t="s">
        <v>2858</v>
      </c>
      <c r="Q1697" s="11">
        <v>46306.5</v>
      </c>
      <c r="R1697" s="6"/>
      <c r="S1697" s="6"/>
      <c r="T1697" s="6"/>
      <c r="U1697" s="5">
        <f>MATCH(B1697,Manual_Review!$A$6:$A$238,0)</f>
        <v>106</v>
      </c>
      <c r="V1697" s="5" t="str">
        <f>IF(INDEX(Manual_Review!$G$6:$G$238,U1697)="","",INDEX(Manual_Review!$G$6:$G$238,U1697))</f>
        <v/>
      </c>
      <c r="W1697" s="11" t="str">
        <f>IF(INDEX(Manual_Review!$H$6:$H$238,U1697)="","",INDEX(Manual_Review!$H$6:$H$238,U1697))</f>
        <v/>
      </c>
      <c r="X1697" s="5" t="str">
        <f>IF(INDEX(Manual_Review!$I$6:$I$238,U1697)="","",INDEX(Manual_Review!$I$6:$I$238,U1697))</f>
        <v/>
      </c>
      <c r="Y1697" s="5" t="s">
        <v>2859</v>
      </c>
    </row>
    <row r="1698" spans="1:25" ht="25.5">
      <c r="A1698" s="5" t="s">
        <v>6402</v>
      </c>
      <c r="B1698" s="5" t="s">
        <v>1270</v>
      </c>
      <c r="C1698" s="5" t="s">
        <v>1271</v>
      </c>
      <c r="D1698" s="5" t="s">
        <v>118</v>
      </c>
      <c r="E1698" s="5" t="s">
        <v>2793</v>
      </c>
      <c r="F1698" s="5" t="s">
        <v>2762</v>
      </c>
      <c r="G1698" s="5">
        <v>1</v>
      </c>
      <c r="H1698" s="5" t="s">
        <v>2864</v>
      </c>
      <c r="I1698" s="5" t="str">
        <f>IF(INDEX(Manual_Review!$W$6:$W$238,U1698)="","",INDEX(Manual_Review!$W$6:$W$238,U1698))</f>
        <v/>
      </c>
      <c r="J1698" s="5" t="str">
        <f t="shared" si="52"/>
        <v>AI provisional</v>
      </c>
      <c r="K1698" s="5" t="str">
        <f t="shared" si="53"/>
        <v>U</v>
      </c>
      <c r="L1698" s="5" t="s">
        <v>1278</v>
      </c>
      <c r="M1698" s="5" t="s">
        <v>6385</v>
      </c>
      <c r="N1698" s="5" t="s">
        <v>6381</v>
      </c>
      <c r="O1698" s="5" t="s">
        <v>2893</v>
      </c>
      <c r="P1698" s="5" t="s">
        <v>2858</v>
      </c>
      <c r="Q1698" s="11">
        <v>46306.5</v>
      </c>
      <c r="R1698" s="6"/>
      <c r="S1698" s="6"/>
      <c r="T1698" s="6"/>
      <c r="U1698" s="5">
        <f>MATCH(B1698,Manual_Review!$A$6:$A$238,0)</f>
        <v>106</v>
      </c>
      <c r="V1698" s="5" t="str">
        <f>IF(INDEX(Manual_Review!$G$6:$G$238,U1698)="","",INDEX(Manual_Review!$G$6:$G$238,U1698))</f>
        <v/>
      </c>
      <c r="W1698" s="11" t="str">
        <f>IF(INDEX(Manual_Review!$H$6:$H$238,U1698)="","",INDEX(Manual_Review!$H$6:$H$238,U1698))</f>
        <v/>
      </c>
      <c r="X1698" s="5" t="str">
        <f>IF(INDEX(Manual_Review!$I$6:$I$238,U1698)="","",INDEX(Manual_Review!$I$6:$I$238,U1698))</f>
        <v/>
      </c>
      <c r="Y1698" s="5" t="s">
        <v>2859</v>
      </c>
    </row>
    <row r="1699" spans="1:25" ht="25.5">
      <c r="A1699" s="5" t="s">
        <v>6403</v>
      </c>
      <c r="B1699" s="5" t="s">
        <v>1270</v>
      </c>
      <c r="C1699" s="5" t="s">
        <v>1271</v>
      </c>
      <c r="D1699" s="5" t="s">
        <v>118</v>
      </c>
      <c r="E1699" s="5" t="s">
        <v>2794</v>
      </c>
      <c r="F1699" s="5" t="s">
        <v>2764</v>
      </c>
      <c r="G1699" s="5">
        <v>1</v>
      </c>
      <c r="H1699" s="5" t="s">
        <v>2864</v>
      </c>
      <c r="I1699" s="5" t="str">
        <f>IF(INDEX(Manual_Review!$X$6:$X$238,U1699)="","",INDEX(Manual_Review!$X$6:$X$238,U1699))</f>
        <v/>
      </c>
      <c r="J1699" s="5" t="str">
        <f t="shared" si="52"/>
        <v>AI provisional</v>
      </c>
      <c r="K1699" s="5" t="str">
        <f t="shared" si="53"/>
        <v>U</v>
      </c>
      <c r="L1699" s="5" t="s">
        <v>1278</v>
      </c>
      <c r="M1699" s="5" t="s">
        <v>6385</v>
      </c>
      <c r="N1699" s="5" t="s">
        <v>6381</v>
      </c>
      <c r="O1699" s="5" t="s">
        <v>2895</v>
      </c>
      <c r="P1699" s="5" t="s">
        <v>2858</v>
      </c>
      <c r="Q1699" s="11">
        <v>46306.5</v>
      </c>
      <c r="R1699" s="6"/>
      <c r="S1699" s="6"/>
      <c r="T1699" s="6"/>
      <c r="U1699" s="5">
        <f>MATCH(B1699,Manual_Review!$A$6:$A$238,0)</f>
        <v>106</v>
      </c>
      <c r="V1699" s="5" t="str">
        <f>IF(INDEX(Manual_Review!$G$6:$G$238,U1699)="","",INDEX(Manual_Review!$G$6:$G$238,U1699))</f>
        <v/>
      </c>
      <c r="W1699" s="11" t="str">
        <f>IF(INDEX(Manual_Review!$H$6:$H$238,U1699)="","",INDEX(Manual_Review!$H$6:$H$238,U1699))</f>
        <v/>
      </c>
      <c r="X1699" s="5" t="str">
        <f>IF(INDEX(Manual_Review!$I$6:$I$238,U1699)="","",INDEX(Manual_Review!$I$6:$I$238,U1699))</f>
        <v/>
      </c>
      <c r="Y1699" s="5" t="s">
        <v>2859</v>
      </c>
    </row>
    <row r="1700" spans="1:25" ht="25.5">
      <c r="A1700" s="5" t="s">
        <v>6404</v>
      </c>
      <c r="B1700" s="5" t="s">
        <v>1270</v>
      </c>
      <c r="C1700" s="5" t="s">
        <v>1271</v>
      </c>
      <c r="D1700" s="5" t="s">
        <v>118</v>
      </c>
      <c r="E1700" s="5" t="s">
        <v>2795</v>
      </c>
      <c r="F1700" s="5" t="s">
        <v>2764</v>
      </c>
      <c r="G1700" s="5">
        <v>1</v>
      </c>
      <c r="H1700" s="5" t="s">
        <v>2864</v>
      </c>
      <c r="I1700" s="5" t="str">
        <f>IF(INDEX(Manual_Review!$Y$6:$Y$238,U1700)="","",INDEX(Manual_Review!$Y$6:$Y$238,U1700))</f>
        <v/>
      </c>
      <c r="J1700" s="5" t="str">
        <f t="shared" si="52"/>
        <v>AI provisional</v>
      </c>
      <c r="K1700" s="5" t="str">
        <f t="shared" si="53"/>
        <v>U</v>
      </c>
      <c r="L1700" s="5" t="s">
        <v>1278</v>
      </c>
      <c r="M1700" s="5" t="s">
        <v>6385</v>
      </c>
      <c r="N1700" s="5" t="s">
        <v>6381</v>
      </c>
      <c r="O1700" s="5" t="s">
        <v>2897</v>
      </c>
      <c r="P1700" s="5" t="s">
        <v>2858</v>
      </c>
      <c r="Q1700" s="11">
        <v>46306.5</v>
      </c>
      <c r="R1700" s="6"/>
      <c r="S1700" s="6"/>
      <c r="T1700" s="6"/>
      <c r="U1700" s="5">
        <f>MATCH(B1700,Manual_Review!$A$6:$A$238,0)</f>
        <v>106</v>
      </c>
      <c r="V1700" s="5" t="str">
        <f>IF(INDEX(Manual_Review!$G$6:$G$238,U1700)="","",INDEX(Manual_Review!$G$6:$G$238,U1700))</f>
        <v/>
      </c>
      <c r="W1700" s="11" t="str">
        <f>IF(INDEX(Manual_Review!$H$6:$H$238,U1700)="","",INDEX(Manual_Review!$H$6:$H$238,U1700))</f>
        <v/>
      </c>
      <c r="X1700" s="5" t="str">
        <f>IF(INDEX(Manual_Review!$I$6:$I$238,U1700)="","",INDEX(Manual_Review!$I$6:$I$238,U1700))</f>
        <v/>
      </c>
      <c r="Y1700" s="5" t="s">
        <v>2859</v>
      </c>
    </row>
    <row r="1701" spans="1:25" ht="25.5">
      <c r="A1701" s="5" t="s">
        <v>6405</v>
      </c>
      <c r="B1701" s="5" t="s">
        <v>1270</v>
      </c>
      <c r="C1701" s="5" t="s">
        <v>1271</v>
      </c>
      <c r="D1701" s="5" t="s">
        <v>118</v>
      </c>
      <c r="E1701" s="5" t="s">
        <v>2796</v>
      </c>
      <c r="F1701" s="5" t="s">
        <v>2764</v>
      </c>
      <c r="G1701" s="5">
        <v>1</v>
      </c>
      <c r="H1701" s="5" t="s">
        <v>2864</v>
      </c>
      <c r="I1701" s="5" t="str">
        <f>IF(INDEX(Manual_Review!$Z$6:$Z$238,U1701)="","",INDEX(Manual_Review!$Z$6:$Z$238,U1701))</f>
        <v/>
      </c>
      <c r="J1701" s="5" t="str">
        <f t="shared" si="52"/>
        <v>AI provisional</v>
      </c>
      <c r="K1701" s="5" t="str">
        <f t="shared" si="53"/>
        <v>U</v>
      </c>
      <c r="L1701" s="5" t="s">
        <v>1278</v>
      </c>
      <c r="M1701" s="5" t="s">
        <v>6396</v>
      </c>
      <c r="N1701" s="5" t="s">
        <v>6381</v>
      </c>
      <c r="O1701" s="5" t="s">
        <v>2899</v>
      </c>
      <c r="P1701" s="5" t="s">
        <v>2858</v>
      </c>
      <c r="Q1701" s="11">
        <v>46306.5</v>
      </c>
      <c r="R1701" s="6"/>
      <c r="S1701" s="6"/>
      <c r="T1701" s="6"/>
      <c r="U1701" s="5">
        <f>MATCH(B1701,Manual_Review!$A$6:$A$238,0)</f>
        <v>106</v>
      </c>
      <c r="V1701" s="5" t="str">
        <f>IF(INDEX(Manual_Review!$G$6:$G$238,U1701)="","",INDEX(Manual_Review!$G$6:$G$238,U1701))</f>
        <v/>
      </c>
      <c r="W1701" s="11" t="str">
        <f>IF(INDEX(Manual_Review!$H$6:$H$238,U1701)="","",INDEX(Manual_Review!$H$6:$H$238,U1701))</f>
        <v/>
      </c>
      <c r="X1701" s="5" t="str">
        <f>IF(INDEX(Manual_Review!$I$6:$I$238,U1701)="","",INDEX(Manual_Review!$I$6:$I$238,U1701))</f>
        <v/>
      </c>
      <c r="Y1701" s="5" t="s">
        <v>2859</v>
      </c>
    </row>
    <row r="1702" spans="1:25" ht="38.25">
      <c r="A1702" s="5" t="s">
        <v>6406</v>
      </c>
      <c r="B1702" s="5" t="s">
        <v>1280</v>
      </c>
      <c r="C1702" s="5" t="s">
        <v>1281</v>
      </c>
      <c r="D1702" s="5" t="s">
        <v>118</v>
      </c>
      <c r="E1702" s="5" t="s">
        <v>2781</v>
      </c>
      <c r="F1702" s="5" t="s">
        <v>2754</v>
      </c>
      <c r="G1702" s="5">
        <v>1</v>
      </c>
      <c r="H1702" s="5" t="s">
        <v>2854</v>
      </c>
      <c r="I1702" s="5" t="str">
        <f>IF(INDEX(Manual_Review!$K$6:$K$238,U1702)="","",INDEX(Manual_Review!$K$6:$K$238,U1702))</f>
        <v/>
      </c>
      <c r="J1702" s="5" t="str">
        <f t="shared" si="52"/>
        <v>AI provisional</v>
      </c>
      <c r="K1702" s="5" t="str">
        <f t="shared" si="53"/>
        <v>Y</v>
      </c>
      <c r="L1702" s="5" t="s">
        <v>1287</v>
      </c>
      <c r="M1702" s="5" t="s">
        <v>6407</v>
      </c>
      <c r="N1702" s="5" t="s">
        <v>6408</v>
      </c>
      <c r="O1702" s="5" t="s">
        <v>2857</v>
      </c>
      <c r="P1702" s="5" t="s">
        <v>2858</v>
      </c>
      <c r="Q1702" s="11">
        <v>46306.5</v>
      </c>
      <c r="R1702" s="6"/>
      <c r="S1702" s="6"/>
      <c r="T1702" s="6"/>
      <c r="U1702" s="5">
        <f>MATCH(B1702,Manual_Review!$A$6:$A$238,0)</f>
        <v>107</v>
      </c>
      <c r="V1702" s="5" t="str">
        <f>IF(INDEX(Manual_Review!$G$6:$G$238,U1702)="","",INDEX(Manual_Review!$G$6:$G$238,U1702))</f>
        <v/>
      </c>
      <c r="W1702" s="11" t="str">
        <f>IF(INDEX(Manual_Review!$H$6:$H$238,U1702)="","",INDEX(Manual_Review!$H$6:$H$238,U1702))</f>
        <v/>
      </c>
      <c r="X1702" s="5" t="str">
        <f>IF(INDEX(Manual_Review!$I$6:$I$238,U1702)="","",INDEX(Manual_Review!$I$6:$I$238,U1702))</f>
        <v/>
      </c>
      <c r="Y1702" s="5" t="s">
        <v>2859</v>
      </c>
    </row>
    <row r="1703" spans="1:25" ht="38.25">
      <c r="A1703" s="5" t="s">
        <v>6409</v>
      </c>
      <c r="B1703" s="5" t="s">
        <v>1280</v>
      </c>
      <c r="C1703" s="5" t="s">
        <v>1281</v>
      </c>
      <c r="D1703" s="5" t="s">
        <v>118</v>
      </c>
      <c r="E1703" s="5" t="s">
        <v>2782</v>
      </c>
      <c r="F1703" s="5" t="s">
        <v>2754</v>
      </c>
      <c r="G1703" s="5">
        <v>1</v>
      </c>
      <c r="H1703" s="5" t="s">
        <v>2854</v>
      </c>
      <c r="I1703" s="5" t="str">
        <f>IF(INDEX(Manual_Review!$L$6:$L$238,U1703)="","",INDEX(Manual_Review!$L$6:$L$238,U1703))</f>
        <v/>
      </c>
      <c r="J1703" s="5" t="str">
        <f t="shared" si="52"/>
        <v>AI provisional</v>
      </c>
      <c r="K1703" s="5" t="str">
        <f t="shared" si="53"/>
        <v>Y</v>
      </c>
      <c r="L1703" s="5" t="s">
        <v>1287</v>
      </c>
      <c r="M1703" s="5" t="s">
        <v>6410</v>
      </c>
      <c r="N1703" s="5" t="s">
        <v>6408</v>
      </c>
      <c r="O1703" s="5" t="s">
        <v>2862</v>
      </c>
      <c r="P1703" s="5" t="s">
        <v>2858</v>
      </c>
      <c r="Q1703" s="11">
        <v>46306.5</v>
      </c>
      <c r="R1703" s="6"/>
      <c r="S1703" s="6"/>
      <c r="T1703" s="6"/>
      <c r="U1703" s="5">
        <f>MATCH(B1703,Manual_Review!$A$6:$A$238,0)</f>
        <v>107</v>
      </c>
      <c r="V1703" s="5" t="str">
        <f>IF(INDEX(Manual_Review!$G$6:$G$238,U1703)="","",INDEX(Manual_Review!$G$6:$G$238,U1703))</f>
        <v/>
      </c>
      <c r="W1703" s="11" t="str">
        <f>IF(INDEX(Manual_Review!$H$6:$H$238,U1703)="","",INDEX(Manual_Review!$H$6:$H$238,U1703))</f>
        <v/>
      </c>
      <c r="X1703" s="5" t="str">
        <f>IF(INDEX(Manual_Review!$I$6:$I$238,U1703)="","",INDEX(Manual_Review!$I$6:$I$238,U1703))</f>
        <v/>
      </c>
      <c r="Y1703" s="5" t="s">
        <v>2859</v>
      </c>
    </row>
    <row r="1704" spans="1:25" ht="38.25">
      <c r="A1704" s="5" t="s">
        <v>6411</v>
      </c>
      <c r="B1704" s="5" t="s">
        <v>1280</v>
      </c>
      <c r="C1704" s="5" t="s">
        <v>1281</v>
      </c>
      <c r="D1704" s="5" t="s">
        <v>118</v>
      </c>
      <c r="E1704" s="5" t="s">
        <v>2783</v>
      </c>
      <c r="F1704" s="5" t="s">
        <v>2754</v>
      </c>
      <c r="G1704" s="5">
        <v>1</v>
      </c>
      <c r="H1704" s="5" t="s">
        <v>2854</v>
      </c>
      <c r="I1704" s="5" t="str">
        <f>IF(INDEX(Manual_Review!$M$6:$M$238,U1704)="","",INDEX(Manual_Review!$M$6:$M$238,U1704))</f>
        <v/>
      </c>
      <c r="J1704" s="5" t="str">
        <f t="shared" si="52"/>
        <v>AI provisional</v>
      </c>
      <c r="K1704" s="5" t="str">
        <f t="shared" si="53"/>
        <v>Y</v>
      </c>
      <c r="L1704" s="5" t="s">
        <v>1287</v>
      </c>
      <c r="M1704" s="5" t="s">
        <v>6412</v>
      </c>
      <c r="N1704" s="5" t="s">
        <v>6408</v>
      </c>
      <c r="O1704" s="5" t="s">
        <v>3133</v>
      </c>
      <c r="P1704" s="5" t="s">
        <v>2858</v>
      </c>
      <c r="Q1704" s="11">
        <v>46306.5</v>
      </c>
      <c r="R1704" s="6"/>
      <c r="S1704" s="6"/>
      <c r="T1704" s="6"/>
      <c r="U1704" s="5">
        <f>MATCH(B1704,Manual_Review!$A$6:$A$238,0)</f>
        <v>107</v>
      </c>
      <c r="V1704" s="5" t="str">
        <f>IF(INDEX(Manual_Review!$G$6:$G$238,U1704)="","",INDEX(Manual_Review!$G$6:$G$238,U1704))</f>
        <v/>
      </c>
      <c r="W1704" s="11" t="str">
        <f>IF(INDEX(Manual_Review!$H$6:$H$238,U1704)="","",INDEX(Manual_Review!$H$6:$H$238,U1704))</f>
        <v/>
      </c>
      <c r="X1704" s="5" t="str">
        <f>IF(INDEX(Manual_Review!$I$6:$I$238,U1704)="","",INDEX(Manual_Review!$I$6:$I$238,U1704))</f>
        <v/>
      </c>
      <c r="Y1704" s="5" t="s">
        <v>2859</v>
      </c>
    </row>
    <row r="1705" spans="1:25" ht="38.25">
      <c r="A1705" s="5" t="s">
        <v>6413</v>
      </c>
      <c r="B1705" s="5" t="s">
        <v>1280</v>
      </c>
      <c r="C1705" s="5" t="s">
        <v>1281</v>
      </c>
      <c r="D1705" s="5" t="s">
        <v>118</v>
      </c>
      <c r="E1705" s="5" t="s">
        <v>2784</v>
      </c>
      <c r="F1705" s="5" t="s">
        <v>2756</v>
      </c>
      <c r="G1705" s="5">
        <v>1</v>
      </c>
      <c r="H1705" s="5" t="s">
        <v>2864</v>
      </c>
      <c r="I1705" s="5" t="str">
        <f>IF(INDEX(Manual_Review!$N$6:$N$238,U1705)="","",INDEX(Manual_Review!$N$6:$N$238,U1705))</f>
        <v/>
      </c>
      <c r="J1705" s="5" t="str">
        <f t="shared" si="52"/>
        <v>AI provisional</v>
      </c>
      <c r="K1705" s="5" t="str">
        <f t="shared" si="53"/>
        <v>U</v>
      </c>
      <c r="L1705" s="5" t="s">
        <v>1287</v>
      </c>
      <c r="M1705" s="5" t="s">
        <v>6414</v>
      </c>
      <c r="N1705" s="5" t="s">
        <v>6408</v>
      </c>
      <c r="O1705" s="5" t="s">
        <v>2869</v>
      </c>
      <c r="P1705" s="5" t="s">
        <v>2858</v>
      </c>
      <c r="Q1705" s="11">
        <v>46306.5</v>
      </c>
      <c r="R1705" s="6"/>
      <c r="S1705" s="6"/>
      <c r="T1705" s="6"/>
      <c r="U1705" s="5">
        <f>MATCH(B1705,Manual_Review!$A$6:$A$238,0)</f>
        <v>107</v>
      </c>
      <c r="V1705" s="5" t="str">
        <f>IF(INDEX(Manual_Review!$G$6:$G$238,U1705)="","",INDEX(Manual_Review!$G$6:$G$238,U1705))</f>
        <v/>
      </c>
      <c r="W1705" s="11" t="str">
        <f>IF(INDEX(Manual_Review!$H$6:$H$238,U1705)="","",INDEX(Manual_Review!$H$6:$H$238,U1705))</f>
        <v/>
      </c>
      <c r="X1705" s="5" t="str">
        <f>IF(INDEX(Manual_Review!$I$6:$I$238,U1705)="","",INDEX(Manual_Review!$I$6:$I$238,U1705))</f>
        <v/>
      </c>
      <c r="Y1705" s="5" t="s">
        <v>2859</v>
      </c>
    </row>
    <row r="1706" spans="1:25" ht="38.25">
      <c r="A1706" s="5" t="s">
        <v>6415</v>
      </c>
      <c r="B1706" s="5" t="s">
        <v>1280</v>
      </c>
      <c r="C1706" s="5" t="s">
        <v>1281</v>
      </c>
      <c r="D1706" s="5" t="s">
        <v>118</v>
      </c>
      <c r="E1706" s="5" t="s">
        <v>2785</v>
      </c>
      <c r="F1706" s="5" t="s">
        <v>2756</v>
      </c>
      <c r="G1706" s="5">
        <v>1</v>
      </c>
      <c r="H1706" s="5" t="s">
        <v>2864</v>
      </c>
      <c r="I1706" s="5" t="str">
        <f>IF(INDEX(Manual_Review!$O$6:$O$238,U1706)="","",INDEX(Manual_Review!$O$6:$O$238,U1706))</f>
        <v/>
      </c>
      <c r="J1706" s="5" t="str">
        <f t="shared" si="52"/>
        <v>AI provisional</v>
      </c>
      <c r="K1706" s="5" t="str">
        <f t="shared" si="53"/>
        <v>U</v>
      </c>
      <c r="L1706" s="5" t="s">
        <v>1287</v>
      </c>
      <c r="M1706" s="5" t="s">
        <v>6416</v>
      </c>
      <c r="N1706" s="5" t="s">
        <v>6408</v>
      </c>
      <c r="O1706" s="5" t="s">
        <v>2872</v>
      </c>
      <c r="P1706" s="5" t="s">
        <v>2858</v>
      </c>
      <c r="Q1706" s="11">
        <v>46306.5</v>
      </c>
      <c r="R1706" s="6"/>
      <c r="S1706" s="6"/>
      <c r="T1706" s="6"/>
      <c r="U1706" s="5">
        <f>MATCH(B1706,Manual_Review!$A$6:$A$238,0)</f>
        <v>107</v>
      </c>
      <c r="V1706" s="5" t="str">
        <f>IF(INDEX(Manual_Review!$G$6:$G$238,U1706)="","",INDEX(Manual_Review!$G$6:$G$238,U1706))</f>
        <v/>
      </c>
      <c r="W1706" s="11" t="str">
        <f>IF(INDEX(Manual_Review!$H$6:$H$238,U1706)="","",INDEX(Manual_Review!$H$6:$H$238,U1706))</f>
        <v/>
      </c>
      <c r="X1706" s="5" t="str">
        <f>IF(INDEX(Manual_Review!$I$6:$I$238,U1706)="","",INDEX(Manual_Review!$I$6:$I$238,U1706))</f>
        <v/>
      </c>
      <c r="Y1706" s="5" t="s">
        <v>2859</v>
      </c>
    </row>
    <row r="1707" spans="1:25" ht="38.25">
      <c r="A1707" s="5" t="s">
        <v>6417</v>
      </c>
      <c r="B1707" s="5" t="s">
        <v>1280</v>
      </c>
      <c r="C1707" s="5" t="s">
        <v>1281</v>
      </c>
      <c r="D1707" s="5" t="s">
        <v>118</v>
      </c>
      <c r="E1707" s="5" t="s">
        <v>2786</v>
      </c>
      <c r="F1707" s="5" t="s">
        <v>2756</v>
      </c>
      <c r="G1707" s="5">
        <v>1</v>
      </c>
      <c r="H1707" s="5" t="s">
        <v>2864</v>
      </c>
      <c r="I1707" s="5" t="str">
        <f>IF(INDEX(Manual_Review!$P$6:$P$238,U1707)="","",INDEX(Manual_Review!$P$6:$P$238,U1707))</f>
        <v/>
      </c>
      <c r="J1707" s="5" t="str">
        <f t="shared" si="52"/>
        <v>AI provisional</v>
      </c>
      <c r="K1707" s="5" t="str">
        <f t="shared" si="53"/>
        <v>U</v>
      </c>
      <c r="L1707" s="5" t="s">
        <v>1287</v>
      </c>
      <c r="M1707" s="5" t="s">
        <v>6418</v>
      </c>
      <c r="N1707" s="5" t="s">
        <v>6408</v>
      </c>
      <c r="O1707" s="5" t="s">
        <v>2874</v>
      </c>
      <c r="P1707" s="5" t="s">
        <v>2858</v>
      </c>
      <c r="Q1707" s="11">
        <v>46306.5</v>
      </c>
      <c r="R1707" s="6"/>
      <c r="S1707" s="6"/>
      <c r="T1707" s="6"/>
      <c r="U1707" s="5">
        <f>MATCH(B1707,Manual_Review!$A$6:$A$238,0)</f>
        <v>107</v>
      </c>
      <c r="V1707" s="5" t="str">
        <f>IF(INDEX(Manual_Review!$G$6:$G$238,U1707)="","",INDEX(Manual_Review!$G$6:$G$238,U1707))</f>
        <v/>
      </c>
      <c r="W1707" s="11" t="str">
        <f>IF(INDEX(Manual_Review!$H$6:$H$238,U1707)="","",INDEX(Manual_Review!$H$6:$H$238,U1707))</f>
        <v/>
      </c>
      <c r="X1707" s="5" t="str">
        <f>IF(INDEX(Manual_Review!$I$6:$I$238,U1707)="","",INDEX(Manual_Review!$I$6:$I$238,U1707))</f>
        <v/>
      </c>
      <c r="Y1707" s="5" t="s">
        <v>2859</v>
      </c>
    </row>
    <row r="1708" spans="1:25" ht="38.25">
      <c r="A1708" s="5" t="s">
        <v>6419</v>
      </c>
      <c r="B1708" s="5" t="s">
        <v>1280</v>
      </c>
      <c r="C1708" s="5" t="s">
        <v>1281</v>
      </c>
      <c r="D1708" s="5" t="s">
        <v>118</v>
      </c>
      <c r="E1708" s="5" t="s">
        <v>2787</v>
      </c>
      <c r="F1708" s="5" t="s">
        <v>2758</v>
      </c>
      <c r="G1708" s="5">
        <v>1</v>
      </c>
      <c r="H1708" s="5" t="s">
        <v>2864</v>
      </c>
      <c r="I1708" s="5" t="str">
        <f>IF(INDEX(Manual_Review!$Q$6:$Q$238,U1708)="","",INDEX(Manual_Review!$Q$6:$Q$238,U1708))</f>
        <v/>
      </c>
      <c r="J1708" s="5" t="str">
        <f t="shared" si="52"/>
        <v>AI provisional</v>
      </c>
      <c r="K1708" s="5" t="str">
        <f t="shared" si="53"/>
        <v>U</v>
      </c>
      <c r="L1708" s="5" t="s">
        <v>1287</v>
      </c>
      <c r="M1708" s="5" t="s">
        <v>6420</v>
      </c>
      <c r="N1708" s="5" t="s">
        <v>6408</v>
      </c>
      <c r="O1708" s="5" t="s">
        <v>2877</v>
      </c>
      <c r="P1708" s="5" t="s">
        <v>2858</v>
      </c>
      <c r="Q1708" s="11">
        <v>46306.5</v>
      </c>
      <c r="R1708" s="6"/>
      <c r="S1708" s="6"/>
      <c r="T1708" s="6"/>
      <c r="U1708" s="5">
        <f>MATCH(B1708,Manual_Review!$A$6:$A$238,0)</f>
        <v>107</v>
      </c>
      <c r="V1708" s="5" t="str">
        <f>IF(INDEX(Manual_Review!$G$6:$G$238,U1708)="","",INDEX(Manual_Review!$G$6:$G$238,U1708))</f>
        <v/>
      </c>
      <c r="W1708" s="11" t="str">
        <f>IF(INDEX(Manual_Review!$H$6:$H$238,U1708)="","",INDEX(Manual_Review!$H$6:$H$238,U1708))</f>
        <v/>
      </c>
      <c r="X1708" s="5" t="str">
        <f>IF(INDEX(Manual_Review!$I$6:$I$238,U1708)="","",INDEX(Manual_Review!$I$6:$I$238,U1708))</f>
        <v/>
      </c>
      <c r="Y1708" s="5" t="s">
        <v>2859</v>
      </c>
    </row>
    <row r="1709" spans="1:25" ht="38.25">
      <c r="A1709" s="5" t="s">
        <v>6421</v>
      </c>
      <c r="B1709" s="5" t="s">
        <v>1280</v>
      </c>
      <c r="C1709" s="5" t="s">
        <v>1281</v>
      </c>
      <c r="D1709" s="5" t="s">
        <v>118</v>
      </c>
      <c r="E1709" s="5" t="s">
        <v>2788</v>
      </c>
      <c r="F1709" s="5" t="s">
        <v>2758</v>
      </c>
      <c r="G1709" s="5">
        <v>1</v>
      </c>
      <c r="H1709" s="5" t="s">
        <v>2864</v>
      </c>
      <c r="I1709" s="5" t="str">
        <f>IF(INDEX(Manual_Review!$R$6:$R$238,U1709)="","",INDEX(Manual_Review!$R$6:$R$238,U1709))</f>
        <v/>
      </c>
      <c r="J1709" s="5" t="str">
        <f t="shared" si="52"/>
        <v>AI provisional</v>
      </c>
      <c r="K1709" s="5" t="str">
        <f t="shared" si="53"/>
        <v>U</v>
      </c>
      <c r="L1709" s="5" t="s">
        <v>1287</v>
      </c>
      <c r="M1709" s="5" t="s">
        <v>6422</v>
      </c>
      <c r="N1709" s="5" t="s">
        <v>6408</v>
      </c>
      <c r="O1709" s="5" t="s">
        <v>2880</v>
      </c>
      <c r="P1709" s="5" t="s">
        <v>2858</v>
      </c>
      <c r="Q1709" s="11">
        <v>46306.5</v>
      </c>
      <c r="R1709" s="6"/>
      <c r="S1709" s="6"/>
      <c r="T1709" s="6"/>
      <c r="U1709" s="5">
        <f>MATCH(B1709,Manual_Review!$A$6:$A$238,0)</f>
        <v>107</v>
      </c>
      <c r="V1709" s="5" t="str">
        <f>IF(INDEX(Manual_Review!$G$6:$G$238,U1709)="","",INDEX(Manual_Review!$G$6:$G$238,U1709))</f>
        <v/>
      </c>
      <c r="W1709" s="11" t="str">
        <f>IF(INDEX(Manual_Review!$H$6:$H$238,U1709)="","",INDEX(Manual_Review!$H$6:$H$238,U1709))</f>
        <v/>
      </c>
      <c r="X1709" s="5" t="str">
        <f>IF(INDEX(Manual_Review!$I$6:$I$238,U1709)="","",INDEX(Manual_Review!$I$6:$I$238,U1709))</f>
        <v/>
      </c>
      <c r="Y1709" s="5" t="s">
        <v>2859</v>
      </c>
    </row>
    <row r="1710" spans="1:25" ht="38.25">
      <c r="A1710" s="5" t="s">
        <v>6423</v>
      </c>
      <c r="B1710" s="5" t="s">
        <v>1280</v>
      </c>
      <c r="C1710" s="5" t="s">
        <v>1281</v>
      </c>
      <c r="D1710" s="5" t="s">
        <v>118</v>
      </c>
      <c r="E1710" s="5" t="s">
        <v>2789</v>
      </c>
      <c r="F1710" s="5" t="s">
        <v>2758</v>
      </c>
      <c r="G1710" s="5">
        <v>1</v>
      </c>
      <c r="H1710" s="5" t="s">
        <v>2864</v>
      </c>
      <c r="I1710" s="5" t="str">
        <f>IF(INDEX(Manual_Review!$S$6:$S$238,U1710)="","",INDEX(Manual_Review!$S$6:$S$238,U1710))</f>
        <v/>
      </c>
      <c r="J1710" s="5" t="str">
        <f t="shared" si="52"/>
        <v>AI provisional</v>
      </c>
      <c r="K1710" s="5" t="str">
        <f t="shared" si="53"/>
        <v>U</v>
      </c>
      <c r="L1710" s="5" t="s">
        <v>1287</v>
      </c>
      <c r="M1710" s="5" t="s">
        <v>6424</v>
      </c>
      <c r="N1710" s="5" t="s">
        <v>6408</v>
      </c>
      <c r="O1710" s="5" t="s">
        <v>2883</v>
      </c>
      <c r="P1710" s="5" t="s">
        <v>2858</v>
      </c>
      <c r="Q1710" s="11">
        <v>46306.5</v>
      </c>
      <c r="R1710" s="6"/>
      <c r="S1710" s="6"/>
      <c r="T1710" s="6"/>
      <c r="U1710" s="5">
        <f>MATCH(B1710,Manual_Review!$A$6:$A$238,0)</f>
        <v>107</v>
      </c>
      <c r="V1710" s="5" t="str">
        <f>IF(INDEX(Manual_Review!$G$6:$G$238,U1710)="","",INDEX(Manual_Review!$G$6:$G$238,U1710))</f>
        <v/>
      </c>
      <c r="W1710" s="11" t="str">
        <f>IF(INDEX(Manual_Review!$H$6:$H$238,U1710)="","",INDEX(Manual_Review!$H$6:$H$238,U1710))</f>
        <v/>
      </c>
      <c r="X1710" s="5" t="str">
        <f>IF(INDEX(Manual_Review!$I$6:$I$238,U1710)="","",INDEX(Manual_Review!$I$6:$I$238,U1710))</f>
        <v/>
      </c>
      <c r="Y1710" s="5" t="s">
        <v>2859</v>
      </c>
    </row>
    <row r="1711" spans="1:25" ht="38.25">
      <c r="A1711" s="5" t="s">
        <v>6425</v>
      </c>
      <c r="B1711" s="5" t="s">
        <v>1280</v>
      </c>
      <c r="C1711" s="5" t="s">
        <v>1281</v>
      </c>
      <c r="D1711" s="5" t="s">
        <v>118</v>
      </c>
      <c r="E1711" s="5" t="s">
        <v>2790</v>
      </c>
      <c r="F1711" s="5" t="s">
        <v>2760</v>
      </c>
      <c r="G1711" s="5">
        <v>1</v>
      </c>
      <c r="H1711" s="5" t="s">
        <v>2864</v>
      </c>
      <c r="I1711" s="5" t="str">
        <f>IF(INDEX(Manual_Review!$T$6:$T$238,U1711)="","",INDEX(Manual_Review!$T$6:$T$238,U1711))</f>
        <v/>
      </c>
      <c r="J1711" s="5" t="str">
        <f t="shared" si="52"/>
        <v>AI provisional</v>
      </c>
      <c r="K1711" s="5" t="str">
        <f t="shared" si="53"/>
        <v>U</v>
      </c>
      <c r="L1711" s="5" t="s">
        <v>1287</v>
      </c>
      <c r="M1711" s="5" t="s">
        <v>6426</v>
      </c>
      <c r="N1711" s="5" t="s">
        <v>6408</v>
      </c>
      <c r="O1711" s="5" t="s">
        <v>2885</v>
      </c>
      <c r="P1711" s="5" t="s">
        <v>2858</v>
      </c>
      <c r="Q1711" s="11">
        <v>46306.5</v>
      </c>
      <c r="R1711" s="6"/>
      <c r="S1711" s="6"/>
      <c r="T1711" s="6"/>
      <c r="U1711" s="5">
        <f>MATCH(B1711,Manual_Review!$A$6:$A$238,0)</f>
        <v>107</v>
      </c>
      <c r="V1711" s="5" t="str">
        <f>IF(INDEX(Manual_Review!$G$6:$G$238,U1711)="","",INDEX(Manual_Review!$G$6:$G$238,U1711))</f>
        <v/>
      </c>
      <c r="W1711" s="11" t="str">
        <f>IF(INDEX(Manual_Review!$H$6:$H$238,U1711)="","",INDEX(Manual_Review!$H$6:$H$238,U1711))</f>
        <v/>
      </c>
      <c r="X1711" s="5" t="str">
        <f>IF(INDEX(Manual_Review!$I$6:$I$238,U1711)="","",INDEX(Manual_Review!$I$6:$I$238,U1711))</f>
        <v/>
      </c>
      <c r="Y1711" s="5" t="s">
        <v>2859</v>
      </c>
    </row>
    <row r="1712" spans="1:25" ht="38.25">
      <c r="A1712" s="5" t="s">
        <v>6427</v>
      </c>
      <c r="B1712" s="5" t="s">
        <v>1280</v>
      </c>
      <c r="C1712" s="5" t="s">
        <v>1281</v>
      </c>
      <c r="D1712" s="5" t="s">
        <v>118</v>
      </c>
      <c r="E1712" s="5" t="s">
        <v>2791</v>
      </c>
      <c r="F1712" s="5" t="s">
        <v>2760</v>
      </c>
      <c r="G1712" s="5">
        <v>1</v>
      </c>
      <c r="H1712" s="5" t="s">
        <v>2864</v>
      </c>
      <c r="I1712" s="5" t="str">
        <f>IF(INDEX(Manual_Review!$U$6:$U$238,U1712)="","",INDEX(Manual_Review!$U$6:$U$238,U1712))</f>
        <v/>
      </c>
      <c r="J1712" s="5" t="str">
        <f t="shared" si="52"/>
        <v>AI provisional</v>
      </c>
      <c r="K1712" s="5" t="str">
        <f t="shared" si="53"/>
        <v>U</v>
      </c>
      <c r="L1712" s="5" t="s">
        <v>1287</v>
      </c>
      <c r="M1712" s="5" t="s">
        <v>6418</v>
      </c>
      <c r="N1712" s="5" t="s">
        <v>6408</v>
      </c>
      <c r="O1712" s="5" t="s">
        <v>2888</v>
      </c>
      <c r="P1712" s="5" t="s">
        <v>2858</v>
      </c>
      <c r="Q1712" s="11">
        <v>46306.5</v>
      </c>
      <c r="R1712" s="6"/>
      <c r="S1712" s="6"/>
      <c r="T1712" s="6"/>
      <c r="U1712" s="5">
        <f>MATCH(B1712,Manual_Review!$A$6:$A$238,0)</f>
        <v>107</v>
      </c>
      <c r="V1712" s="5" t="str">
        <f>IF(INDEX(Manual_Review!$G$6:$G$238,U1712)="","",INDEX(Manual_Review!$G$6:$G$238,U1712))</f>
        <v/>
      </c>
      <c r="W1712" s="11" t="str">
        <f>IF(INDEX(Manual_Review!$H$6:$H$238,U1712)="","",INDEX(Manual_Review!$H$6:$H$238,U1712))</f>
        <v/>
      </c>
      <c r="X1712" s="5" t="str">
        <f>IF(INDEX(Manual_Review!$I$6:$I$238,U1712)="","",INDEX(Manual_Review!$I$6:$I$238,U1712))</f>
        <v/>
      </c>
      <c r="Y1712" s="5" t="s">
        <v>2859</v>
      </c>
    </row>
    <row r="1713" spans="1:25" ht="38.25">
      <c r="A1713" s="5" t="s">
        <v>6428</v>
      </c>
      <c r="B1713" s="5" t="s">
        <v>1280</v>
      </c>
      <c r="C1713" s="5" t="s">
        <v>1281</v>
      </c>
      <c r="D1713" s="5" t="s">
        <v>118</v>
      </c>
      <c r="E1713" s="5" t="s">
        <v>2792</v>
      </c>
      <c r="F1713" s="5" t="s">
        <v>2762</v>
      </c>
      <c r="G1713" s="5">
        <v>1</v>
      </c>
      <c r="H1713" s="5" t="s">
        <v>2864</v>
      </c>
      <c r="I1713" s="5" t="str">
        <f>IF(INDEX(Manual_Review!$V$6:$V$238,U1713)="","",INDEX(Manual_Review!$V$6:$V$238,U1713))</f>
        <v/>
      </c>
      <c r="J1713" s="5" t="str">
        <f t="shared" si="52"/>
        <v>AI provisional</v>
      </c>
      <c r="K1713" s="5" t="str">
        <f t="shared" si="53"/>
        <v>U</v>
      </c>
      <c r="L1713" s="5" t="s">
        <v>1287</v>
      </c>
      <c r="M1713" s="5" t="s">
        <v>6429</v>
      </c>
      <c r="N1713" s="5" t="s">
        <v>6408</v>
      </c>
      <c r="O1713" s="5" t="s">
        <v>2891</v>
      </c>
      <c r="P1713" s="5" t="s">
        <v>2858</v>
      </c>
      <c r="Q1713" s="11">
        <v>46306.5</v>
      </c>
      <c r="R1713" s="6"/>
      <c r="S1713" s="6"/>
      <c r="T1713" s="6"/>
      <c r="U1713" s="5">
        <f>MATCH(B1713,Manual_Review!$A$6:$A$238,0)</f>
        <v>107</v>
      </c>
      <c r="V1713" s="5" t="str">
        <f>IF(INDEX(Manual_Review!$G$6:$G$238,U1713)="","",INDEX(Manual_Review!$G$6:$G$238,U1713))</f>
        <v/>
      </c>
      <c r="W1713" s="11" t="str">
        <f>IF(INDEX(Manual_Review!$H$6:$H$238,U1713)="","",INDEX(Manual_Review!$H$6:$H$238,U1713))</f>
        <v/>
      </c>
      <c r="X1713" s="5" t="str">
        <f>IF(INDEX(Manual_Review!$I$6:$I$238,U1713)="","",INDEX(Manual_Review!$I$6:$I$238,U1713))</f>
        <v/>
      </c>
      <c r="Y1713" s="5" t="s">
        <v>2859</v>
      </c>
    </row>
    <row r="1714" spans="1:25" ht="38.25">
      <c r="A1714" s="5" t="s">
        <v>6430</v>
      </c>
      <c r="B1714" s="5" t="s">
        <v>1280</v>
      </c>
      <c r="C1714" s="5" t="s">
        <v>1281</v>
      </c>
      <c r="D1714" s="5" t="s">
        <v>118</v>
      </c>
      <c r="E1714" s="5" t="s">
        <v>2793</v>
      </c>
      <c r="F1714" s="5" t="s">
        <v>2762</v>
      </c>
      <c r="G1714" s="5">
        <v>1</v>
      </c>
      <c r="H1714" s="5" t="s">
        <v>2864</v>
      </c>
      <c r="I1714" s="5" t="str">
        <f>IF(INDEX(Manual_Review!$W$6:$W$238,U1714)="","",INDEX(Manual_Review!$W$6:$W$238,U1714))</f>
        <v/>
      </c>
      <c r="J1714" s="5" t="str">
        <f t="shared" si="52"/>
        <v>AI provisional</v>
      </c>
      <c r="K1714" s="5" t="str">
        <f t="shared" si="53"/>
        <v>U</v>
      </c>
      <c r="L1714" s="5" t="s">
        <v>1287</v>
      </c>
      <c r="M1714" s="5" t="s">
        <v>6429</v>
      </c>
      <c r="N1714" s="5" t="s">
        <v>6408</v>
      </c>
      <c r="O1714" s="5" t="s">
        <v>2893</v>
      </c>
      <c r="P1714" s="5" t="s">
        <v>2858</v>
      </c>
      <c r="Q1714" s="11">
        <v>46306.5</v>
      </c>
      <c r="R1714" s="6"/>
      <c r="S1714" s="6"/>
      <c r="T1714" s="6"/>
      <c r="U1714" s="5">
        <f>MATCH(B1714,Manual_Review!$A$6:$A$238,0)</f>
        <v>107</v>
      </c>
      <c r="V1714" s="5" t="str">
        <f>IF(INDEX(Manual_Review!$G$6:$G$238,U1714)="","",INDEX(Manual_Review!$G$6:$G$238,U1714))</f>
        <v/>
      </c>
      <c r="W1714" s="11" t="str">
        <f>IF(INDEX(Manual_Review!$H$6:$H$238,U1714)="","",INDEX(Manual_Review!$H$6:$H$238,U1714))</f>
        <v/>
      </c>
      <c r="X1714" s="5" t="str">
        <f>IF(INDEX(Manual_Review!$I$6:$I$238,U1714)="","",INDEX(Manual_Review!$I$6:$I$238,U1714))</f>
        <v/>
      </c>
      <c r="Y1714" s="5" t="s">
        <v>2859</v>
      </c>
    </row>
    <row r="1715" spans="1:25" ht="38.25">
      <c r="A1715" s="5" t="s">
        <v>6431</v>
      </c>
      <c r="B1715" s="5" t="s">
        <v>1280</v>
      </c>
      <c r="C1715" s="5" t="s">
        <v>1281</v>
      </c>
      <c r="D1715" s="5" t="s">
        <v>118</v>
      </c>
      <c r="E1715" s="5" t="s">
        <v>2794</v>
      </c>
      <c r="F1715" s="5" t="s">
        <v>2764</v>
      </c>
      <c r="G1715" s="5">
        <v>1</v>
      </c>
      <c r="H1715" s="5" t="s">
        <v>2864</v>
      </c>
      <c r="I1715" s="5" t="str">
        <f>IF(INDEX(Manual_Review!$X$6:$X$238,U1715)="","",INDEX(Manual_Review!$X$6:$X$238,U1715))</f>
        <v/>
      </c>
      <c r="J1715" s="5" t="str">
        <f t="shared" si="52"/>
        <v>AI provisional</v>
      </c>
      <c r="K1715" s="5" t="str">
        <f t="shared" si="53"/>
        <v>U</v>
      </c>
      <c r="L1715" s="5" t="s">
        <v>1287</v>
      </c>
      <c r="M1715" s="5" t="s">
        <v>6432</v>
      </c>
      <c r="N1715" s="5" t="s">
        <v>6408</v>
      </c>
      <c r="O1715" s="5" t="s">
        <v>2895</v>
      </c>
      <c r="P1715" s="5" t="s">
        <v>2858</v>
      </c>
      <c r="Q1715" s="11">
        <v>46306.5</v>
      </c>
      <c r="R1715" s="6"/>
      <c r="S1715" s="6"/>
      <c r="T1715" s="6"/>
      <c r="U1715" s="5">
        <f>MATCH(B1715,Manual_Review!$A$6:$A$238,0)</f>
        <v>107</v>
      </c>
      <c r="V1715" s="5" t="str">
        <f>IF(INDEX(Manual_Review!$G$6:$G$238,U1715)="","",INDEX(Manual_Review!$G$6:$G$238,U1715))</f>
        <v/>
      </c>
      <c r="W1715" s="11" t="str">
        <f>IF(INDEX(Manual_Review!$H$6:$H$238,U1715)="","",INDEX(Manual_Review!$H$6:$H$238,U1715))</f>
        <v/>
      </c>
      <c r="X1715" s="5" t="str">
        <f>IF(INDEX(Manual_Review!$I$6:$I$238,U1715)="","",INDEX(Manual_Review!$I$6:$I$238,U1715))</f>
        <v/>
      </c>
      <c r="Y1715" s="5" t="s">
        <v>2859</v>
      </c>
    </row>
    <row r="1716" spans="1:25" ht="38.25">
      <c r="A1716" s="5" t="s">
        <v>6433</v>
      </c>
      <c r="B1716" s="5" t="s">
        <v>1280</v>
      </c>
      <c r="C1716" s="5" t="s">
        <v>1281</v>
      </c>
      <c r="D1716" s="5" t="s">
        <v>118</v>
      </c>
      <c r="E1716" s="5" t="s">
        <v>2795</v>
      </c>
      <c r="F1716" s="5" t="s">
        <v>2764</v>
      </c>
      <c r="G1716" s="5">
        <v>1</v>
      </c>
      <c r="H1716" s="5" t="s">
        <v>2864</v>
      </c>
      <c r="I1716" s="5" t="str">
        <f>IF(INDEX(Manual_Review!$Y$6:$Y$238,U1716)="","",INDEX(Manual_Review!$Y$6:$Y$238,U1716))</f>
        <v/>
      </c>
      <c r="J1716" s="5" t="str">
        <f t="shared" si="52"/>
        <v>AI provisional</v>
      </c>
      <c r="K1716" s="5" t="str">
        <f t="shared" si="53"/>
        <v>U</v>
      </c>
      <c r="L1716" s="5" t="s">
        <v>1287</v>
      </c>
      <c r="M1716" s="5" t="s">
        <v>6434</v>
      </c>
      <c r="N1716" s="5" t="s">
        <v>6408</v>
      </c>
      <c r="O1716" s="5" t="s">
        <v>2897</v>
      </c>
      <c r="P1716" s="5" t="s">
        <v>2858</v>
      </c>
      <c r="Q1716" s="11">
        <v>46306.5</v>
      </c>
      <c r="R1716" s="6"/>
      <c r="S1716" s="6"/>
      <c r="T1716" s="6"/>
      <c r="U1716" s="5">
        <f>MATCH(B1716,Manual_Review!$A$6:$A$238,0)</f>
        <v>107</v>
      </c>
      <c r="V1716" s="5" t="str">
        <f>IF(INDEX(Manual_Review!$G$6:$G$238,U1716)="","",INDEX(Manual_Review!$G$6:$G$238,U1716))</f>
        <v/>
      </c>
      <c r="W1716" s="11" t="str">
        <f>IF(INDEX(Manual_Review!$H$6:$H$238,U1716)="","",INDEX(Manual_Review!$H$6:$H$238,U1716))</f>
        <v/>
      </c>
      <c r="X1716" s="5" t="str">
        <f>IF(INDEX(Manual_Review!$I$6:$I$238,U1716)="","",INDEX(Manual_Review!$I$6:$I$238,U1716))</f>
        <v/>
      </c>
      <c r="Y1716" s="5" t="s">
        <v>2859</v>
      </c>
    </row>
    <row r="1717" spans="1:25" ht="38.25">
      <c r="A1717" s="5" t="s">
        <v>6435</v>
      </c>
      <c r="B1717" s="5" t="s">
        <v>1280</v>
      </c>
      <c r="C1717" s="5" t="s">
        <v>1281</v>
      </c>
      <c r="D1717" s="5" t="s">
        <v>118</v>
      </c>
      <c r="E1717" s="5" t="s">
        <v>2796</v>
      </c>
      <c r="F1717" s="5" t="s">
        <v>2764</v>
      </c>
      <c r="G1717" s="5">
        <v>1</v>
      </c>
      <c r="H1717" s="5" t="s">
        <v>2864</v>
      </c>
      <c r="I1717" s="5" t="str">
        <f>IF(INDEX(Manual_Review!$Z$6:$Z$238,U1717)="","",INDEX(Manual_Review!$Z$6:$Z$238,U1717))</f>
        <v/>
      </c>
      <c r="J1717" s="5" t="str">
        <f t="shared" si="52"/>
        <v>AI provisional</v>
      </c>
      <c r="K1717" s="5" t="str">
        <f t="shared" si="53"/>
        <v>U</v>
      </c>
      <c r="L1717" s="5" t="s">
        <v>1287</v>
      </c>
      <c r="M1717" s="5" t="s">
        <v>6424</v>
      </c>
      <c r="N1717" s="5" t="s">
        <v>6408</v>
      </c>
      <c r="O1717" s="5" t="s">
        <v>2899</v>
      </c>
      <c r="P1717" s="5" t="s">
        <v>2858</v>
      </c>
      <c r="Q1717" s="11">
        <v>46306.5</v>
      </c>
      <c r="R1717" s="6"/>
      <c r="S1717" s="6"/>
      <c r="T1717" s="6"/>
      <c r="U1717" s="5">
        <f>MATCH(B1717,Manual_Review!$A$6:$A$238,0)</f>
        <v>107</v>
      </c>
      <c r="V1717" s="5" t="str">
        <f>IF(INDEX(Manual_Review!$G$6:$G$238,U1717)="","",INDEX(Manual_Review!$G$6:$G$238,U1717))</f>
        <v/>
      </c>
      <c r="W1717" s="11" t="str">
        <f>IF(INDEX(Manual_Review!$H$6:$H$238,U1717)="","",INDEX(Manual_Review!$H$6:$H$238,U1717))</f>
        <v/>
      </c>
      <c r="X1717" s="5" t="str">
        <f>IF(INDEX(Manual_Review!$I$6:$I$238,U1717)="","",INDEX(Manual_Review!$I$6:$I$238,U1717))</f>
        <v/>
      </c>
      <c r="Y1717" s="5" t="s">
        <v>2859</v>
      </c>
    </row>
    <row r="1718" spans="1:25" ht="25.5">
      <c r="A1718" s="5" t="s">
        <v>6436</v>
      </c>
      <c r="B1718" s="5" t="s">
        <v>1289</v>
      </c>
      <c r="C1718" s="5" t="s">
        <v>1290</v>
      </c>
      <c r="D1718" s="5" t="s">
        <v>118</v>
      </c>
      <c r="E1718" s="5" t="s">
        <v>2781</v>
      </c>
      <c r="F1718" s="5" t="s">
        <v>2754</v>
      </c>
      <c r="G1718" s="5">
        <v>1</v>
      </c>
      <c r="H1718" s="5" t="s">
        <v>2854</v>
      </c>
      <c r="I1718" s="5" t="str">
        <f>IF(INDEX(Manual_Review!$K$6:$K$238,U1718)="","",INDEX(Manual_Review!$K$6:$K$238,U1718))</f>
        <v/>
      </c>
      <c r="J1718" s="5" t="str">
        <f t="shared" si="52"/>
        <v>AI provisional</v>
      </c>
      <c r="K1718" s="5" t="str">
        <f t="shared" si="53"/>
        <v>Y</v>
      </c>
      <c r="L1718" s="5" t="s">
        <v>1297</v>
      </c>
      <c r="M1718" s="5" t="s">
        <v>6437</v>
      </c>
      <c r="N1718" s="5" t="s">
        <v>6438</v>
      </c>
      <c r="O1718" s="5" t="s">
        <v>2857</v>
      </c>
      <c r="P1718" s="5" t="s">
        <v>2858</v>
      </c>
      <c r="Q1718" s="11">
        <v>46306.5</v>
      </c>
      <c r="R1718" s="6"/>
      <c r="S1718" s="6"/>
      <c r="T1718" s="6"/>
      <c r="U1718" s="5">
        <f>MATCH(B1718,Manual_Review!$A$6:$A$238,0)</f>
        <v>108</v>
      </c>
      <c r="V1718" s="5" t="str">
        <f>IF(INDEX(Manual_Review!$G$6:$G$238,U1718)="","",INDEX(Manual_Review!$G$6:$G$238,U1718))</f>
        <v/>
      </c>
      <c r="W1718" s="11" t="str">
        <f>IF(INDEX(Manual_Review!$H$6:$H$238,U1718)="","",INDEX(Manual_Review!$H$6:$H$238,U1718))</f>
        <v/>
      </c>
      <c r="X1718" s="5" t="str">
        <f>IF(INDEX(Manual_Review!$I$6:$I$238,U1718)="","",INDEX(Manual_Review!$I$6:$I$238,U1718))</f>
        <v/>
      </c>
      <c r="Y1718" s="5" t="s">
        <v>2859</v>
      </c>
    </row>
    <row r="1719" spans="1:25" ht="25.5">
      <c r="A1719" s="5" t="s">
        <v>6439</v>
      </c>
      <c r="B1719" s="5" t="s">
        <v>1289</v>
      </c>
      <c r="C1719" s="5" t="s">
        <v>1290</v>
      </c>
      <c r="D1719" s="5" t="s">
        <v>118</v>
      </c>
      <c r="E1719" s="5" t="s">
        <v>2782</v>
      </c>
      <c r="F1719" s="5" t="s">
        <v>2754</v>
      </c>
      <c r="G1719" s="5">
        <v>1</v>
      </c>
      <c r="H1719" s="5" t="s">
        <v>2854</v>
      </c>
      <c r="I1719" s="5" t="str">
        <f>IF(INDEX(Manual_Review!$L$6:$L$238,U1719)="","",INDEX(Manual_Review!$L$6:$L$238,U1719))</f>
        <v/>
      </c>
      <c r="J1719" s="5" t="str">
        <f t="shared" si="52"/>
        <v>AI provisional</v>
      </c>
      <c r="K1719" s="5" t="str">
        <f t="shared" si="53"/>
        <v>Y</v>
      </c>
      <c r="L1719" s="5" t="s">
        <v>1297</v>
      </c>
      <c r="M1719" s="5" t="s">
        <v>6440</v>
      </c>
      <c r="N1719" s="5" t="s">
        <v>6438</v>
      </c>
      <c r="O1719" s="5" t="s">
        <v>2862</v>
      </c>
      <c r="P1719" s="5" t="s">
        <v>2858</v>
      </c>
      <c r="Q1719" s="11">
        <v>46306.5</v>
      </c>
      <c r="R1719" s="6"/>
      <c r="S1719" s="6"/>
      <c r="T1719" s="6"/>
      <c r="U1719" s="5">
        <f>MATCH(B1719,Manual_Review!$A$6:$A$238,0)</f>
        <v>108</v>
      </c>
      <c r="V1719" s="5" t="str">
        <f>IF(INDEX(Manual_Review!$G$6:$G$238,U1719)="","",INDEX(Manual_Review!$G$6:$G$238,U1719))</f>
        <v/>
      </c>
      <c r="W1719" s="11" t="str">
        <f>IF(INDEX(Manual_Review!$H$6:$H$238,U1719)="","",INDEX(Manual_Review!$H$6:$H$238,U1719))</f>
        <v/>
      </c>
      <c r="X1719" s="5" t="str">
        <f>IF(INDEX(Manual_Review!$I$6:$I$238,U1719)="","",INDEX(Manual_Review!$I$6:$I$238,U1719))</f>
        <v/>
      </c>
      <c r="Y1719" s="5" t="s">
        <v>2859</v>
      </c>
    </row>
    <row r="1720" spans="1:25" ht="25.5">
      <c r="A1720" s="5" t="s">
        <v>6441</v>
      </c>
      <c r="B1720" s="5" t="s">
        <v>1289</v>
      </c>
      <c r="C1720" s="5" t="s">
        <v>1290</v>
      </c>
      <c r="D1720" s="5" t="s">
        <v>118</v>
      </c>
      <c r="E1720" s="5" t="s">
        <v>2783</v>
      </c>
      <c r="F1720" s="5" t="s">
        <v>2754</v>
      </c>
      <c r="G1720" s="5">
        <v>1</v>
      </c>
      <c r="H1720" s="5" t="s">
        <v>2854</v>
      </c>
      <c r="I1720" s="5" t="str">
        <f>IF(INDEX(Manual_Review!$M$6:$M$238,U1720)="","",INDEX(Manual_Review!$M$6:$M$238,U1720))</f>
        <v/>
      </c>
      <c r="J1720" s="5" t="str">
        <f t="shared" si="52"/>
        <v>AI provisional</v>
      </c>
      <c r="K1720" s="5" t="str">
        <f t="shared" si="53"/>
        <v>Y</v>
      </c>
      <c r="L1720" s="5" t="s">
        <v>1297</v>
      </c>
      <c r="M1720" s="5" t="s">
        <v>6442</v>
      </c>
      <c r="N1720" s="5" t="s">
        <v>6438</v>
      </c>
      <c r="O1720" s="5" t="s">
        <v>3133</v>
      </c>
      <c r="P1720" s="5" t="s">
        <v>2858</v>
      </c>
      <c r="Q1720" s="11">
        <v>46306.5</v>
      </c>
      <c r="R1720" s="6"/>
      <c r="S1720" s="6"/>
      <c r="T1720" s="6"/>
      <c r="U1720" s="5">
        <f>MATCH(B1720,Manual_Review!$A$6:$A$238,0)</f>
        <v>108</v>
      </c>
      <c r="V1720" s="5" t="str">
        <f>IF(INDEX(Manual_Review!$G$6:$G$238,U1720)="","",INDEX(Manual_Review!$G$6:$G$238,U1720))</f>
        <v/>
      </c>
      <c r="W1720" s="11" t="str">
        <f>IF(INDEX(Manual_Review!$H$6:$H$238,U1720)="","",INDEX(Manual_Review!$H$6:$H$238,U1720))</f>
        <v/>
      </c>
      <c r="X1720" s="5" t="str">
        <f>IF(INDEX(Manual_Review!$I$6:$I$238,U1720)="","",INDEX(Manual_Review!$I$6:$I$238,U1720))</f>
        <v/>
      </c>
      <c r="Y1720" s="5" t="s">
        <v>2859</v>
      </c>
    </row>
    <row r="1721" spans="1:25" ht="25.5">
      <c r="A1721" s="5" t="s">
        <v>6443</v>
      </c>
      <c r="B1721" s="5" t="s">
        <v>1289</v>
      </c>
      <c r="C1721" s="5" t="s">
        <v>1290</v>
      </c>
      <c r="D1721" s="5" t="s">
        <v>118</v>
      </c>
      <c r="E1721" s="5" t="s">
        <v>2784</v>
      </c>
      <c r="F1721" s="5" t="s">
        <v>2756</v>
      </c>
      <c r="G1721" s="5">
        <v>1</v>
      </c>
      <c r="H1721" s="5" t="s">
        <v>2854</v>
      </c>
      <c r="I1721" s="5" t="str">
        <f>IF(INDEX(Manual_Review!$N$6:$N$238,U1721)="","",INDEX(Manual_Review!$N$6:$N$238,U1721))</f>
        <v/>
      </c>
      <c r="J1721" s="5" t="str">
        <f t="shared" si="52"/>
        <v>AI provisional</v>
      </c>
      <c r="K1721" s="5" t="str">
        <f t="shared" si="53"/>
        <v>Y</v>
      </c>
      <c r="L1721" s="5" t="s">
        <v>1297</v>
      </c>
      <c r="M1721" s="5" t="s">
        <v>6444</v>
      </c>
      <c r="N1721" s="5" t="s">
        <v>6438</v>
      </c>
      <c r="O1721" s="5" t="s">
        <v>2963</v>
      </c>
      <c r="P1721" s="5" t="s">
        <v>2858</v>
      </c>
      <c r="Q1721" s="11">
        <v>46306.5</v>
      </c>
      <c r="R1721" s="6"/>
      <c r="S1721" s="6"/>
      <c r="T1721" s="6"/>
      <c r="U1721" s="5">
        <f>MATCH(B1721,Manual_Review!$A$6:$A$238,0)</f>
        <v>108</v>
      </c>
      <c r="V1721" s="5" t="str">
        <f>IF(INDEX(Manual_Review!$G$6:$G$238,U1721)="","",INDEX(Manual_Review!$G$6:$G$238,U1721))</f>
        <v/>
      </c>
      <c r="W1721" s="11" t="str">
        <f>IF(INDEX(Manual_Review!$H$6:$H$238,U1721)="","",INDEX(Manual_Review!$H$6:$H$238,U1721))</f>
        <v/>
      </c>
      <c r="X1721" s="5" t="str">
        <f>IF(INDEX(Manual_Review!$I$6:$I$238,U1721)="","",INDEX(Manual_Review!$I$6:$I$238,U1721))</f>
        <v/>
      </c>
      <c r="Y1721" s="5" t="s">
        <v>2859</v>
      </c>
    </row>
    <row r="1722" spans="1:25" ht="25.5">
      <c r="A1722" s="5" t="s">
        <v>6445</v>
      </c>
      <c r="B1722" s="5" t="s">
        <v>1289</v>
      </c>
      <c r="C1722" s="5" t="s">
        <v>1290</v>
      </c>
      <c r="D1722" s="5" t="s">
        <v>118</v>
      </c>
      <c r="E1722" s="5" t="s">
        <v>2785</v>
      </c>
      <c r="F1722" s="5" t="s">
        <v>2756</v>
      </c>
      <c r="G1722" s="5">
        <v>1</v>
      </c>
      <c r="H1722" s="5" t="s">
        <v>2854</v>
      </c>
      <c r="I1722" s="5" t="str">
        <f>IF(INDEX(Manual_Review!$O$6:$O$238,U1722)="","",INDEX(Manual_Review!$O$6:$O$238,U1722))</f>
        <v/>
      </c>
      <c r="J1722" s="5" t="str">
        <f t="shared" si="52"/>
        <v>AI provisional</v>
      </c>
      <c r="K1722" s="5" t="str">
        <f t="shared" si="53"/>
        <v>Y</v>
      </c>
      <c r="L1722" s="5" t="s">
        <v>1297</v>
      </c>
      <c r="M1722" s="5" t="s">
        <v>6446</v>
      </c>
      <c r="N1722" s="5" t="s">
        <v>6438</v>
      </c>
      <c r="O1722" s="5" t="s">
        <v>3138</v>
      </c>
      <c r="P1722" s="5" t="s">
        <v>2858</v>
      </c>
      <c r="Q1722" s="11">
        <v>46306.5</v>
      </c>
      <c r="R1722" s="6"/>
      <c r="S1722" s="6"/>
      <c r="T1722" s="6"/>
      <c r="U1722" s="5">
        <f>MATCH(B1722,Manual_Review!$A$6:$A$238,0)</f>
        <v>108</v>
      </c>
      <c r="V1722" s="5" t="str">
        <f>IF(INDEX(Manual_Review!$G$6:$G$238,U1722)="","",INDEX(Manual_Review!$G$6:$G$238,U1722))</f>
        <v/>
      </c>
      <c r="W1722" s="11" t="str">
        <f>IF(INDEX(Manual_Review!$H$6:$H$238,U1722)="","",INDEX(Manual_Review!$H$6:$H$238,U1722))</f>
        <v/>
      </c>
      <c r="X1722" s="5" t="str">
        <f>IF(INDEX(Manual_Review!$I$6:$I$238,U1722)="","",INDEX(Manual_Review!$I$6:$I$238,U1722))</f>
        <v/>
      </c>
      <c r="Y1722" s="5" t="s">
        <v>2859</v>
      </c>
    </row>
    <row r="1723" spans="1:25" ht="25.5">
      <c r="A1723" s="5" t="s">
        <v>6447</v>
      </c>
      <c r="B1723" s="5" t="s">
        <v>1289</v>
      </c>
      <c r="C1723" s="5" t="s">
        <v>1290</v>
      </c>
      <c r="D1723" s="5" t="s">
        <v>118</v>
      </c>
      <c r="E1723" s="5" t="s">
        <v>2786</v>
      </c>
      <c r="F1723" s="5" t="s">
        <v>2756</v>
      </c>
      <c r="G1723" s="5">
        <v>1</v>
      </c>
      <c r="H1723" s="5" t="s">
        <v>2864</v>
      </c>
      <c r="I1723" s="5" t="str">
        <f>IF(INDEX(Manual_Review!$P$6:$P$238,U1723)="","",INDEX(Manual_Review!$P$6:$P$238,U1723))</f>
        <v/>
      </c>
      <c r="J1723" s="5" t="str">
        <f t="shared" si="52"/>
        <v>AI provisional</v>
      </c>
      <c r="K1723" s="5" t="str">
        <f t="shared" si="53"/>
        <v>U</v>
      </c>
      <c r="L1723" s="5" t="s">
        <v>1297</v>
      </c>
      <c r="M1723" s="5" t="s">
        <v>6448</v>
      </c>
      <c r="N1723" s="5" t="s">
        <v>6438</v>
      </c>
      <c r="O1723" s="5" t="s">
        <v>2874</v>
      </c>
      <c r="P1723" s="5" t="s">
        <v>2858</v>
      </c>
      <c r="Q1723" s="11">
        <v>46306.5</v>
      </c>
      <c r="R1723" s="6"/>
      <c r="S1723" s="6"/>
      <c r="T1723" s="6"/>
      <c r="U1723" s="5">
        <f>MATCH(B1723,Manual_Review!$A$6:$A$238,0)</f>
        <v>108</v>
      </c>
      <c r="V1723" s="5" t="str">
        <f>IF(INDEX(Manual_Review!$G$6:$G$238,U1723)="","",INDEX(Manual_Review!$G$6:$G$238,U1723))</f>
        <v/>
      </c>
      <c r="W1723" s="11" t="str">
        <f>IF(INDEX(Manual_Review!$H$6:$H$238,U1723)="","",INDEX(Manual_Review!$H$6:$H$238,U1723))</f>
        <v/>
      </c>
      <c r="X1723" s="5" t="str">
        <f>IF(INDEX(Manual_Review!$I$6:$I$238,U1723)="","",INDEX(Manual_Review!$I$6:$I$238,U1723))</f>
        <v/>
      </c>
      <c r="Y1723" s="5" t="s">
        <v>2859</v>
      </c>
    </row>
    <row r="1724" spans="1:25" ht="25.5">
      <c r="A1724" s="5" t="s">
        <v>6449</v>
      </c>
      <c r="B1724" s="5" t="s">
        <v>1289</v>
      </c>
      <c r="C1724" s="5" t="s">
        <v>1290</v>
      </c>
      <c r="D1724" s="5" t="s">
        <v>118</v>
      </c>
      <c r="E1724" s="5" t="s">
        <v>2787</v>
      </c>
      <c r="F1724" s="5" t="s">
        <v>2758</v>
      </c>
      <c r="G1724" s="5">
        <v>1</v>
      </c>
      <c r="H1724" s="5" t="s">
        <v>2864</v>
      </c>
      <c r="I1724" s="5" t="str">
        <f>IF(INDEX(Manual_Review!$Q$6:$Q$238,U1724)="","",INDEX(Manual_Review!$Q$6:$Q$238,U1724))</f>
        <v/>
      </c>
      <c r="J1724" s="5" t="str">
        <f t="shared" si="52"/>
        <v>AI provisional</v>
      </c>
      <c r="K1724" s="5" t="str">
        <f t="shared" si="53"/>
        <v>U</v>
      </c>
      <c r="L1724" s="5" t="s">
        <v>1297</v>
      </c>
      <c r="M1724" s="5" t="s">
        <v>6450</v>
      </c>
      <c r="N1724" s="5" t="s">
        <v>6438</v>
      </c>
      <c r="O1724" s="5" t="s">
        <v>2877</v>
      </c>
      <c r="P1724" s="5" t="s">
        <v>2858</v>
      </c>
      <c r="Q1724" s="11">
        <v>46306.5</v>
      </c>
      <c r="R1724" s="6"/>
      <c r="S1724" s="6"/>
      <c r="T1724" s="6"/>
      <c r="U1724" s="5">
        <f>MATCH(B1724,Manual_Review!$A$6:$A$238,0)</f>
        <v>108</v>
      </c>
      <c r="V1724" s="5" t="str">
        <f>IF(INDEX(Manual_Review!$G$6:$G$238,U1724)="","",INDEX(Manual_Review!$G$6:$G$238,U1724))</f>
        <v/>
      </c>
      <c r="W1724" s="11" t="str">
        <f>IF(INDEX(Manual_Review!$H$6:$H$238,U1724)="","",INDEX(Manual_Review!$H$6:$H$238,U1724))</f>
        <v/>
      </c>
      <c r="X1724" s="5" t="str">
        <f>IF(INDEX(Manual_Review!$I$6:$I$238,U1724)="","",INDEX(Manual_Review!$I$6:$I$238,U1724))</f>
        <v/>
      </c>
      <c r="Y1724" s="5" t="s">
        <v>2859</v>
      </c>
    </row>
    <row r="1725" spans="1:25" ht="25.5">
      <c r="A1725" s="5" t="s">
        <v>6451</v>
      </c>
      <c r="B1725" s="5" t="s">
        <v>1289</v>
      </c>
      <c r="C1725" s="5" t="s">
        <v>1290</v>
      </c>
      <c r="D1725" s="5" t="s">
        <v>118</v>
      </c>
      <c r="E1725" s="5" t="s">
        <v>2788</v>
      </c>
      <c r="F1725" s="5" t="s">
        <v>2758</v>
      </c>
      <c r="G1725" s="5">
        <v>1</v>
      </c>
      <c r="H1725" s="5" t="s">
        <v>2854</v>
      </c>
      <c r="I1725" s="5" t="str">
        <f>IF(INDEX(Manual_Review!$R$6:$R$238,U1725)="","",INDEX(Manual_Review!$R$6:$R$238,U1725))</f>
        <v/>
      </c>
      <c r="J1725" s="5" t="str">
        <f t="shared" si="52"/>
        <v>AI provisional</v>
      </c>
      <c r="K1725" s="5" t="str">
        <f t="shared" si="53"/>
        <v>Y</v>
      </c>
      <c r="L1725" s="5" t="s">
        <v>1297</v>
      </c>
      <c r="M1725" s="5" t="s">
        <v>6452</v>
      </c>
      <c r="N1725" s="5" t="s">
        <v>6438</v>
      </c>
      <c r="O1725" s="5" t="s">
        <v>3067</v>
      </c>
      <c r="P1725" s="5" t="s">
        <v>2858</v>
      </c>
      <c r="Q1725" s="11">
        <v>46306.5</v>
      </c>
      <c r="R1725" s="6"/>
      <c r="S1725" s="6"/>
      <c r="T1725" s="6"/>
      <c r="U1725" s="5">
        <f>MATCH(B1725,Manual_Review!$A$6:$A$238,0)</f>
        <v>108</v>
      </c>
      <c r="V1725" s="5" t="str">
        <f>IF(INDEX(Manual_Review!$G$6:$G$238,U1725)="","",INDEX(Manual_Review!$G$6:$G$238,U1725))</f>
        <v/>
      </c>
      <c r="W1725" s="11" t="str">
        <f>IF(INDEX(Manual_Review!$H$6:$H$238,U1725)="","",INDEX(Manual_Review!$H$6:$H$238,U1725))</f>
        <v/>
      </c>
      <c r="X1725" s="5" t="str">
        <f>IF(INDEX(Manual_Review!$I$6:$I$238,U1725)="","",INDEX(Manual_Review!$I$6:$I$238,U1725))</f>
        <v/>
      </c>
      <c r="Y1725" s="5" t="s">
        <v>2859</v>
      </c>
    </row>
    <row r="1726" spans="1:25" ht="25.5">
      <c r="A1726" s="5" t="s">
        <v>6453</v>
      </c>
      <c r="B1726" s="5" t="s">
        <v>1289</v>
      </c>
      <c r="C1726" s="5" t="s">
        <v>1290</v>
      </c>
      <c r="D1726" s="5" t="s">
        <v>118</v>
      </c>
      <c r="E1726" s="5" t="s">
        <v>2789</v>
      </c>
      <c r="F1726" s="5" t="s">
        <v>2758</v>
      </c>
      <c r="G1726" s="5">
        <v>1</v>
      </c>
      <c r="H1726" s="5" t="s">
        <v>2854</v>
      </c>
      <c r="I1726" s="5" t="str">
        <f>IF(INDEX(Manual_Review!$S$6:$S$238,U1726)="","",INDEX(Manual_Review!$S$6:$S$238,U1726))</f>
        <v/>
      </c>
      <c r="J1726" s="5" t="str">
        <f t="shared" si="52"/>
        <v>AI provisional</v>
      </c>
      <c r="K1726" s="5" t="str">
        <f t="shared" si="53"/>
        <v>Y</v>
      </c>
      <c r="L1726" s="5" t="s">
        <v>1297</v>
      </c>
      <c r="M1726" s="5" t="s">
        <v>6454</v>
      </c>
      <c r="N1726" s="5" t="s">
        <v>6438</v>
      </c>
      <c r="O1726" s="5" t="s">
        <v>3178</v>
      </c>
      <c r="P1726" s="5" t="s">
        <v>2858</v>
      </c>
      <c r="Q1726" s="11">
        <v>46306.5</v>
      </c>
      <c r="R1726" s="6"/>
      <c r="S1726" s="6"/>
      <c r="T1726" s="6"/>
      <c r="U1726" s="5">
        <f>MATCH(B1726,Manual_Review!$A$6:$A$238,0)</f>
        <v>108</v>
      </c>
      <c r="V1726" s="5" t="str">
        <f>IF(INDEX(Manual_Review!$G$6:$G$238,U1726)="","",INDEX(Manual_Review!$G$6:$G$238,U1726))</f>
        <v/>
      </c>
      <c r="W1726" s="11" t="str">
        <f>IF(INDEX(Manual_Review!$H$6:$H$238,U1726)="","",INDEX(Manual_Review!$H$6:$H$238,U1726))</f>
        <v/>
      </c>
      <c r="X1726" s="5" t="str">
        <f>IF(INDEX(Manual_Review!$I$6:$I$238,U1726)="","",INDEX(Manual_Review!$I$6:$I$238,U1726))</f>
        <v/>
      </c>
      <c r="Y1726" s="5" t="s">
        <v>2859</v>
      </c>
    </row>
    <row r="1727" spans="1:25" ht="25.5">
      <c r="A1727" s="5" t="s">
        <v>6455</v>
      </c>
      <c r="B1727" s="5" t="s">
        <v>1289</v>
      </c>
      <c r="C1727" s="5" t="s">
        <v>1290</v>
      </c>
      <c r="D1727" s="5" t="s">
        <v>118</v>
      </c>
      <c r="E1727" s="5" t="s">
        <v>2790</v>
      </c>
      <c r="F1727" s="5" t="s">
        <v>2760</v>
      </c>
      <c r="G1727" s="5">
        <v>1</v>
      </c>
      <c r="H1727" s="5" t="s">
        <v>2854</v>
      </c>
      <c r="I1727" s="5" t="str">
        <f>IF(INDEX(Manual_Review!$T$6:$T$238,U1727)="","",INDEX(Manual_Review!$T$6:$T$238,U1727))</f>
        <v/>
      </c>
      <c r="J1727" s="5" t="str">
        <f t="shared" si="52"/>
        <v>AI provisional</v>
      </c>
      <c r="K1727" s="5" t="str">
        <f t="shared" si="53"/>
        <v>Y</v>
      </c>
      <c r="L1727" s="5" t="s">
        <v>1297</v>
      </c>
      <c r="M1727" s="5" t="s">
        <v>6456</v>
      </c>
      <c r="N1727" s="5" t="s">
        <v>6438</v>
      </c>
      <c r="O1727" s="5" t="s">
        <v>2976</v>
      </c>
      <c r="P1727" s="5" t="s">
        <v>2858</v>
      </c>
      <c r="Q1727" s="11">
        <v>46306.5</v>
      </c>
      <c r="R1727" s="6"/>
      <c r="S1727" s="6"/>
      <c r="T1727" s="6"/>
      <c r="U1727" s="5">
        <f>MATCH(B1727,Manual_Review!$A$6:$A$238,0)</f>
        <v>108</v>
      </c>
      <c r="V1727" s="5" t="str">
        <f>IF(INDEX(Manual_Review!$G$6:$G$238,U1727)="","",INDEX(Manual_Review!$G$6:$G$238,U1727))</f>
        <v/>
      </c>
      <c r="W1727" s="11" t="str">
        <f>IF(INDEX(Manual_Review!$H$6:$H$238,U1727)="","",INDEX(Manual_Review!$H$6:$H$238,U1727))</f>
        <v/>
      </c>
      <c r="X1727" s="5" t="str">
        <f>IF(INDEX(Manual_Review!$I$6:$I$238,U1727)="","",INDEX(Manual_Review!$I$6:$I$238,U1727))</f>
        <v/>
      </c>
      <c r="Y1727" s="5" t="s">
        <v>2859</v>
      </c>
    </row>
    <row r="1728" spans="1:25" ht="25.5">
      <c r="A1728" s="5" t="s">
        <v>6457</v>
      </c>
      <c r="B1728" s="5" t="s">
        <v>1289</v>
      </c>
      <c r="C1728" s="5" t="s">
        <v>1290</v>
      </c>
      <c r="D1728" s="5" t="s">
        <v>118</v>
      </c>
      <c r="E1728" s="5" t="s">
        <v>2791</v>
      </c>
      <c r="F1728" s="5" t="s">
        <v>2760</v>
      </c>
      <c r="G1728" s="5">
        <v>1</v>
      </c>
      <c r="H1728" s="5" t="s">
        <v>2854</v>
      </c>
      <c r="I1728" s="5" t="str">
        <f>IF(INDEX(Manual_Review!$U$6:$U$238,U1728)="","",INDEX(Manual_Review!$U$6:$U$238,U1728))</f>
        <v/>
      </c>
      <c r="J1728" s="5" t="str">
        <f t="shared" si="52"/>
        <v>AI provisional</v>
      </c>
      <c r="K1728" s="5" t="str">
        <f t="shared" si="53"/>
        <v>Y</v>
      </c>
      <c r="L1728" s="5" t="s">
        <v>1297</v>
      </c>
      <c r="M1728" s="5" t="s">
        <v>6458</v>
      </c>
      <c r="N1728" s="5" t="s">
        <v>6438</v>
      </c>
      <c r="O1728" s="5" t="s">
        <v>3380</v>
      </c>
      <c r="P1728" s="5" t="s">
        <v>2858</v>
      </c>
      <c r="Q1728" s="11">
        <v>46306.5</v>
      </c>
      <c r="R1728" s="6"/>
      <c r="S1728" s="6"/>
      <c r="T1728" s="6"/>
      <c r="U1728" s="5">
        <f>MATCH(B1728,Manual_Review!$A$6:$A$238,0)</f>
        <v>108</v>
      </c>
      <c r="V1728" s="5" t="str">
        <f>IF(INDEX(Manual_Review!$G$6:$G$238,U1728)="","",INDEX(Manual_Review!$G$6:$G$238,U1728))</f>
        <v/>
      </c>
      <c r="W1728" s="11" t="str">
        <f>IF(INDEX(Manual_Review!$H$6:$H$238,U1728)="","",INDEX(Manual_Review!$H$6:$H$238,U1728))</f>
        <v/>
      </c>
      <c r="X1728" s="5" t="str">
        <f>IF(INDEX(Manual_Review!$I$6:$I$238,U1728)="","",INDEX(Manual_Review!$I$6:$I$238,U1728))</f>
        <v/>
      </c>
      <c r="Y1728" s="5" t="s">
        <v>2859</v>
      </c>
    </row>
    <row r="1729" spans="1:25" ht="25.5">
      <c r="A1729" s="5" t="s">
        <v>6459</v>
      </c>
      <c r="B1729" s="5" t="s">
        <v>1289</v>
      </c>
      <c r="C1729" s="5" t="s">
        <v>1290</v>
      </c>
      <c r="D1729" s="5" t="s">
        <v>118</v>
      </c>
      <c r="E1729" s="5" t="s">
        <v>2792</v>
      </c>
      <c r="F1729" s="5" t="s">
        <v>2762</v>
      </c>
      <c r="G1729" s="5">
        <v>1</v>
      </c>
      <c r="H1729" s="5" t="s">
        <v>2864</v>
      </c>
      <c r="I1729" s="5" t="str">
        <f>IF(INDEX(Manual_Review!$V$6:$V$238,U1729)="","",INDEX(Manual_Review!$V$6:$V$238,U1729))</f>
        <v/>
      </c>
      <c r="J1729" s="5" t="str">
        <f t="shared" si="52"/>
        <v>AI provisional</v>
      </c>
      <c r="K1729" s="5" t="str">
        <f t="shared" si="53"/>
        <v>U</v>
      </c>
      <c r="L1729" s="5" t="s">
        <v>1297</v>
      </c>
      <c r="M1729" s="5" t="s">
        <v>6460</v>
      </c>
      <c r="N1729" s="5" t="s">
        <v>6438</v>
      </c>
      <c r="O1729" s="5" t="s">
        <v>2891</v>
      </c>
      <c r="P1729" s="5" t="s">
        <v>2858</v>
      </c>
      <c r="Q1729" s="11">
        <v>46306.5</v>
      </c>
      <c r="R1729" s="6"/>
      <c r="S1729" s="6"/>
      <c r="T1729" s="6"/>
      <c r="U1729" s="5">
        <f>MATCH(B1729,Manual_Review!$A$6:$A$238,0)</f>
        <v>108</v>
      </c>
      <c r="V1729" s="5" t="str">
        <f>IF(INDEX(Manual_Review!$G$6:$G$238,U1729)="","",INDEX(Manual_Review!$G$6:$G$238,U1729))</f>
        <v/>
      </c>
      <c r="W1729" s="11" t="str">
        <f>IF(INDEX(Manual_Review!$H$6:$H$238,U1729)="","",INDEX(Manual_Review!$H$6:$H$238,U1729))</f>
        <v/>
      </c>
      <c r="X1729" s="5" t="str">
        <f>IF(INDEX(Manual_Review!$I$6:$I$238,U1729)="","",INDEX(Manual_Review!$I$6:$I$238,U1729))</f>
        <v/>
      </c>
      <c r="Y1729" s="5" t="s">
        <v>2859</v>
      </c>
    </row>
    <row r="1730" spans="1:25" ht="25.5">
      <c r="A1730" s="5" t="s">
        <v>6461</v>
      </c>
      <c r="B1730" s="5" t="s">
        <v>1289</v>
      </c>
      <c r="C1730" s="5" t="s">
        <v>1290</v>
      </c>
      <c r="D1730" s="5" t="s">
        <v>118</v>
      </c>
      <c r="E1730" s="5" t="s">
        <v>2793</v>
      </c>
      <c r="F1730" s="5" t="s">
        <v>2762</v>
      </c>
      <c r="G1730" s="5">
        <v>1</v>
      </c>
      <c r="H1730" s="5" t="s">
        <v>2854</v>
      </c>
      <c r="I1730" s="5" t="str">
        <f>IF(INDEX(Manual_Review!$W$6:$W$238,U1730)="","",INDEX(Manual_Review!$W$6:$W$238,U1730))</f>
        <v/>
      </c>
      <c r="J1730" s="5" t="str">
        <f t="shared" si="52"/>
        <v>AI provisional</v>
      </c>
      <c r="K1730" s="5" t="str">
        <f t="shared" si="53"/>
        <v>Y</v>
      </c>
      <c r="L1730" s="5" t="s">
        <v>1297</v>
      </c>
      <c r="M1730" s="5" t="s">
        <v>6462</v>
      </c>
      <c r="N1730" s="5" t="s">
        <v>6438</v>
      </c>
      <c r="O1730" s="5" t="s">
        <v>3077</v>
      </c>
      <c r="P1730" s="5" t="s">
        <v>2858</v>
      </c>
      <c r="Q1730" s="11">
        <v>46306.5</v>
      </c>
      <c r="R1730" s="6"/>
      <c r="S1730" s="6"/>
      <c r="T1730" s="6"/>
      <c r="U1730" s="5">
        <f>MATCH(B1730,Manual_Review!$A$6:$A$238,0)</f>
        <v>108</v>
      </c>
      <c r="V1730" s="5" t="str">
        <f>IF(INDEX(Manual_Review!$G$6:$G$238,U1730)="","",INDEX(Manual_Review!$G$6:$G$238,U1730))</f>
        <v/>
      </c>
      <c r="W1730" s="11" t="str">
        <f>IF(INDEX(Manual_Review!$H$6:$H$238,U1730)="","",INDEX(Manual_Review!$H$6:$H$238,U1730))</f>
        <v/>
      </c>
      <c r="X1730" s="5" t="str">
        <f>IF(INDEX(Manual_Review!$I$6:$I$238,U1730)="","",INDEX(Manual_Review!$I$6:$I$238,U1730))</f>
        <v/>
      </c>
      <c r="Y1730" s="5" t="s">
        <v>2859</v>
      </c>
    </row>
    <row r="1731" spans="1:25" ht="25.5">
      <c r="A1731" s="5" t="s">
        <v>6463</v>
      </c>
      <c r="B1731" s="5" t="s">
        <v>1289</v>
      </c>
      <c r="C1731" s="5" t="s">
        <v>1290</v>
      </c>
      <c r="D1731" s="5" t="s">
        <v>118</v>
      </c>
      <c r="E1731" s="5" t="s">
        <v>2794</v>
      </c>
      <c r="F1731" s="5" t="s">
        <v>2764</v>
      </c>
      <c r="G1731" s="5">
        <v>1</v>
      </c>
      <c r="H1731" s="5" t="s">
        <v>2854</v>
      </c>
      <c r="I1731" s="5" t="str">
        <f>IF(INDEX(Manual_Review!$X$6:$X$238,U1731)="","",INDEX(Manual_Review!$X$6:$X$238,U1731))</f>
        <v/>
      </c>
      <c r="J1731" s="5" t="str">
        <f t="shared" si="52"/>
        <v>AI provisional</v>
      </c>
      <c r="K1731" s="5" t="str">
        <f t="shared" si="53"/>
        <v>Y</v>
      </c>
      <c r="L1731" s="5" t="s">
        <v>1297</v>
      </c>
      <c r="M1731" s="5" t="s">
        <v>6464</v>
      </c>
      <c r="N1731" s="5" t="s">
        <v>6438</v>
      </c>
      <c r="O1731" s="5" t="s">
        <v>2984</v>
      </c>
      <c r="P1731" s="5" t="s">
        <v>2858</v>
      </c>
      <c r="Q1731" s="11">
        <v>46306.5</v>
      </c>
      <c r="R1731" s="6"/>
      <c r="S1731" s="6"/>
      <c r="T1731" s="6"/>
      <c r="U1731" s="5">
        <f>MATCH(B1731,Manual_Review!$A$6:$A$238,0)</f>
        <v>108</v>
      </c>
      <c r="V1731" s="5" t="str">
        <f>IF(INDEX(Manual_Review!$G$6:$G$238,U1731)="","",INDEX(Manual_Review!$G$6:$G$238,U1731))</f>
        <v/>
      </c>
      <c r="W1731" s="11" t="str">
        <f>IF(INDEX(Manual_Review!$H$6:$H$238,U1731)="","",INDEX(Manual_Review!$H$6:$H$238,U1731))</f>
        <v/>
      </c>
      <c r="X1731" s="5" t="str">
        <f>IF(INDEX(Manual_Review!$I$6:$I$238,U1731)="","",INDEX(Manual_Review!$I$6:$I$238,U1731))</f>
        <v/>
      </c>
      <c r="Y1731" s="5" t="s">
        <v>2859</v>
      </c>
    </row>
    <row r="1732" spans="1:25" ht="25.5">
      <c r="A1732" s="5" t="s">
        <v>6465</v>
      </c>
      <c r="B1732" s="5" t="s">
        <v>1289</v>
      </c>
      <c r="C1732" s="5" t="s">
        <v>1290</v>
      </c>
      <c r="D1732" s="5" t="s">
        <v>118</v>
      </c>
      <c r="E1732" s="5" t="s">
        <v>2795</v>
      </c>
      <c r="F1732" s="5" t="s">
        <v>2764</v>
      </c>
      <c r="G1732" s="5">
        <v>1</v>
      </c>
      <c r="H1732" s="5" t="s">
        <v>2864</v>
      </c>
      <c r="I1732" s="5" t="str">
        <f>IF(INDEX(Manual_Review!$Y$6:$Y$238,U1732)="","",INDEX(Manual_Review!$Y$6:$Y$238,U1732))</f>
        <v/>
      </c>
      <c r="J1732" s="5" t="str">
        <f t="shared" si="52"/>
        <v>AI provisional</v>
      </c>
      <c r="K1732" s="5" t="str">
        <f t="shared" si="53"/>
        <v>U</v>
      </c>
      <c r="L1732" s="5" t="s">
        <v>1297</v>
      </c>
      <c r="M1732" s="5" t="s">
        <v>6466</v>
      </c>
      <c r="N1732" s="5" t="s">
        <v>6438</v>
      </c>
      <c r="O1732" s="5" t="s">
        <v>2897</v>
      </c>
      <c r="P1732" s="5" t="s">
        <v>2858</v>
      </c>
      <c r="Q1732" s="11">
        <v>46306.5</v>
      </c>
      <c r="R1732" s="6"/>
      <c r="S1732" s="6"/>
      <c r="T1732" s="6"/>
      <c r="U1732" s="5">
        <f>MATCH(B1732,Manual_Review!$A$6:$A$238,0)</f>
        <v>108</v>
      </c>
      <c r="V1732" s="5" t="str">
        <f>IF(INDEX(Manual_Review!$G$6:$G$238,U1732)="","",INDEX(Manual_Review!$G$6:$G$238,U1732))</f>
        <v/>
      </c>
      <c r="W1732" s="11" t="str">
        <f>IF(INDEX(Manual_Review!$H$6:$H$238,U1732)="","",INDEX(Manual_Review!$H$6:$H$238,U1732))</f>
        <v/>
      </c>
      <c r="X1732" s="5" t="str">
        <f>IF(INDEX(Manual_Review!$I$6:$I$238,U1732)="","",INDEX(Manual_Review!$I$6:$I$238,U1732))</f>
        <v/>
      </c>
      <c r="Y1732" s="5" t="s">
        <v>2859</v>
      </c>
    </row>
    <row r="1733" spans="1:25" ht="25.5">
      <c r="A1733" s="5" t="s">
        <v>6467</v>
      </c>
      <c r="B1733" s="5" t="s">
        <v>1289</v>
      </c>
      <c r="C1733" s="5" t="s">
        <v>1290</v>
      </c>
      <c r="D1733" s="5" t="s">
        <v>118</v>
      </c>
      <c r="E1733" s="5" t="s">
        <v>2796</v>
      </c>
      <c r="F1733" s="5" t="s">
        <v>2764</v>
      </c>
      <c r="G1733" s="5">
        <v>1</v>
      </c>
      <c r="H1733" s="5" t="s">
        <v>2864</v>
      </c>
      <c r="I1733" s="5" t="str">
        <f>IF(INDEX(Manual_Review!$Z$6:$Z$238,U1733)="","",INDEX(Manual_Review!$Z$6:$Z$238,U1733))</f>
        <v/>
      </c>
      <c r="J1733" s="5" t="str">
        <f t="shared" si="52"/>
        <v>AI provisional</v>
      </c>
      <c r="K1733" s="5" t="str">
        <f t="shared" si="53"/>
        <v>U</v>
      </c>
      <c r="L1733" s="5" t="s">
        <v>1297</v>
      </c>
      <c r="M1733" s="5" t="s">
        <v>6468</v>
      </c>
      <c r="N1733" s="5" t="s">
        <v>6438</v>
      </c>
      <c r="O1733" s="5" t="s">
        <v>2899</v>
      </c>
      <c r="P1733" s="5" t="s">
        <v>2858</v>
      </c>
      <c r="Q1733" s="11">
        <v>46306.5</v>
      </c>
      <c r="R1733" s="6"/>
      <c r="S1733" s="6"/>
      <c r="T1733" s="6"/>
      <c r="U1733" s="5">
        <f>MATCH(B1733,Manual_Review!$A$6:$A$238,0)</f>
        <v>108</v>
      </c>
      <c r="V1733" s="5" t="str">
        <f>IF(INDEX(Manual_Review!$G$6:$G$238,U1733)="","",INDEX(Manual_Review!$G$6:$G$238,U1733))</f>
        <v/>
      </c>
      <c r="W1733" s="11" t="str">
        <f>IF(INDEX(Manual_Review!$H$6:$H$238,U1733)="","",INDEX(Manual_Review!$H$6:$H$238,U1733))</f>
        <v/>
      </c>
      <c r="X1733" s="5" t="str">
        <f>IF(INDEX(Manual_Review!$I$6:$I$238,U1733)="","",INDEX(Manual_Review!$I$6:$I$238,U1733))</f>
        <v/>
      </c>
      <c r="Y1733" s="5" t="s">
        <v>2859</v>
      </c>
    </row>
    <row r="1734" spans="1:25" ht="38.25">
      <c r="A1734" s="5" t="s">
        <v>6469</v>
      </c>
      <c r="B1734" s="5" t="s">
        <v>1299</v>
      </c>
      <c r="C1734" s="5" t="s">
        <v>1300</v>
      </c>
      <c r="D1734" s="5" t="s">
        <v>118</v>
      </c>
      <c r="E1734" s="5" t="s">
        <v>2781</v>
      </c>
      <c r="F1734" s="5" t="s">
        <v>2754</v>
      </c>
      <c r="G1734" s="5">
        <v>1</v>
      </c>
      <c r="H1734" s="5" t="s">
        <v>2854</v>
      </c>
      <c r="I1734" s="5" t="str">
        <f>IF(INDEX(Manual_Review!$K$6:$K$238,U1734)="","",INDEX(Manual_Review!$K$6:$K$238,U1734))</f>
        <v/>
      </c>
      <c r="J1734" s="5" t="str">
        <f t="shared" ref="J1734:J1797" si="54">IF(G1734=0,"Not applicable",IF(I1734="","AI provisional",IF(AND(OR(I1734="Y",I1734="N",I1734="U",I1734="X"),V1734&lt;&gt;"",ISNUMBER(W1734),W1734&gt;0,X1734="Confirmed",R1734&lt;&gt;"",S1734&lt;&gt;"",T1734&lt;&gt;""),"Human valid","Evidence needed")))</f>
        <v>AI provisional</v>
      </c>
      <c r="K1734" s="5" t="str">
        <f t="shared" ref="K1734:K1797" si="55">IF(G1734=0,"N/A",IF(I1734="",H1734,IF(J1734="Human valid",I1734,"U")))</f>
        <v>Y</v>
      </c>
      <c r="L1734" s="5" t="s">
        <v>1309</v>
      </c>
      <c r="M1734" s="5" t="s">
        <v>6470</v>
      </c>
      <c r="N1734" s="5" t="s">
        <v>6471</v>
      </c>
      <c r="O1734" s="5" t="s">
        <v>2857</v>
      </c>
      <c r="P1734" s="5" t="s">
        <v>2858</v>
      </c>
      <c r="Q1734" s="11">
        <v>46306.5</v>
      </c>
      <c r="R1734" s="6"/>
      <c r="S1734" s="6"/>
      <c r="T1734" s="6"/>
      <c r="U1734" s="5">
        <f>MATCH(B1734,Manual_Review!$A$6:$A$238,0)</f>
        <v>109</v>
      </c>
      <c r="V1734" s="5" t="str">
        <f>IF(INDEX(Manual_Review!$G$6:$G$238,U1734)="","",INDEX(Manual_Review!$G$6:$G$238,U1734))</f>
        <v/>
      </c>
      <c r="W1734" s="11" t="str">
        <f>IF(INDEX(Manual_Review!$H$6:$H$238,U1734)="","",INDEX(Manual_Review!$H$6:$H$238,U1734))</f>
        <v/>
      </c>
      <c r="X1734" s="5" t="str">
        <f>IF(INDEX(Manual_Review!$I$6:$I$238,U1734)="","",INDEX(Manual_Review!$I$6:$I$238,U1734))</f>
        <v/>
      </c>
      <c r="Y1734" s="5" t="s">
        <v>2859</v>
      </c>
    </row>
    <row r="1735" spans="1:25" ht="38.25">
      <c r="A1735" s="5" t="s">
        <v>6472</v>
      </c>
      <c r="B1735" s="5" t="s">
        <v>1299</v>
      </c>
      <c r="C1735" s="5" t="s">
        <v>1300</v>
      </c>
      <c r="D1735" s="5" t="s">
        <v>118</v>
      </c>
      <c r="E1735" s="5" t="s">
        <v>2782</v>
      </c>
      <c r="F1735" s="5" t="s">
        <v>2754</v>
      </c>
      <c r="G1735" s="5">
        <v>1</v>
      </c>
      <c r="H1735" s="5" t="s">
        <v>2854</v>
      </c>
      <c r="I1735" s="5" t="str">
        <f>IF(INDEX(Manual_Review!$L$6:$L$238,U1735)="","",INDEX(Manual_Review!$L$6:$L$238,U1735))</f>
        <v/>
      </c>
      <c r="J1735" s="5" t="str">
        <f t="shared" si="54"/>
        <v>AI provisional</v>
      </c>
      <c r="K1735" s="5" t="str">
        <f t="shared" si="55"/>
        <v>Y</v>
      </c>
      <c r="L1735" s="5" t="s">
        <v>1309</v>
      </c>
      <c r="M1735" s="5" t="s">
        <v>6473</v>
      </c>
      <c r="N1735" s="5" t="s">
        <v>6471</v>
      </c>
      <c r="O1735" s="5" t="s">
        <v>2862</v>
      </c>
      <c r="P1735" s="5" t="s">
        <v>2858</v>
      </c>
      <c r="Q1735" s="11">
        <v>46306.5</v>
      </c>
      <c r="R1735" s="6"/>
      <c r="S1735" s="6"/>
      <c r="T1735" s="6"/>
      <c r="U1735" s="5">
        <f>MATCH(B1735,Manual_Review!$A$6:$A$238,0)</f>
        <v>109</v>
      </c>
      <c r="V1735" s="5" t="str">
        <f>IF(INDEX(Manual_Review!$G$6:$G$238,U1735)="","",INDEX(Manual_Review!$G$6:$G$238,U1735))</f>
        <v/>
      </c>
      <c r="W1735" s="11" t="str">
        <f>IF(INDEX(Manual_Review!$H$6:$H$238,U1735)="","",INDEX(Manual_Review!$H$6:$H$238,U1735))</f>
        <v/>
      </c>
      <c r="X1735" s="5" t="str">
        <f>IF(INDEX(Manual_Review!$I$6:$I$238,U1735)="","",INDEX(Manual_Review!$I$6:$I$238,U1735))</f>
        <v/>
      </c>
      <c r="Y1735" s="5" t="s">
        <v>2859</v>
      </c>
    </row>
    <row r="1736" spans="1:25" ht="38.25">
      <c r="A1736" s="5" t="s">
        <v>6474</v>
      </c>
      <c r="B1736" s="5" t="s">
        <v>1299</v>
      </c>
      <c r="C1736" s="5" t="s">
        <v>1300</v>
      </c>
      <c r="D1736" s="5" t="s">
        <v>118</v>
      </c>
      <c r="E1736" s="5" t="s">
        <v>2783</v>
      </c>
      <c r="F1736" s="5" t="s">
        <v>2754</v>
      </c>
      <c r="G1736" s="5">
        <v>1</v>
      </c>
      <c r="H1736" s="5" t="s">
        <v>2854</v>
      </c>
      <c r="I1736" s="5" t="str">
        <f>IF(INDEX(Manual_Review!$M$6:$M$238,U1736)="","",INDEX(Manual_Review!$M$6:$M$238,U1736))</f>
        <v/>
      </c>
      <c r="J1736" s="5" t="str">
        <f t="shared" si="54"/>
        <v>AI provisional</v>
      </c>
      <c r="K1736" s="5" t="str">
        <f t="shared" si="55"/>
        <v>Y</v>
      </c>
      <c r="L1736" s="5" t="s">
        <v>1309</v>
      </c>
      <c r="M1736" s="5" t="s">
        <v>6475</v>
      </c>
      <c r="N1736" s="5" t="s">
        <v>6471</v>
      </c>
      <c r="O1736" s="5" t="s">
        <v>3133</v>
      </c>
      <c r="P1736" s="5" t="s">
        <v>2858</v>
      </c>
      <c r="Q1736" s="11">
        <v>46306.5</v>
      </c>
      <c r="R1736" s="6"/>
      <c r="S1736" s="6"/>
      <c r="T1736" s="6"/>
      <c r="U1736" s="5">
        <f>MATCH(B1736,Manual_Review!$A$6:$A$238,0)</f>
        <v>109</v>
      </c>
      <c r="V1736" s="5" t="str">
        <f>IF(INDEX(Manual_Review!$G$6:$G$238,U1736)="","",INDEX(Manual_Review!$G$6:$G$238,U1736))</f>
        <v/>
      </c>
      <c r="W1736" s="11" t="str">
        <f>IF(INDEX(Manual_Review!$H$6:$H$238,U1736)="","",INDEX(Manual_Review!$H$6:$H$238,U1736))</f>
        <v/>
      </c>
      <c r="X1736" s="5" t="str">
        <f>IF(INDEX(Manual_Review!$I$6:$I$238,U1736)="","",INDEX(Manual_Review!$I$6:$I$238,U1736))</f>
        <v/>
      </c>
      <c r="Y1736" s="5" t="s">
        <v>2859</v>
      </c>
    </row>
    <row r="1737" spans="1:25" ht="38.25">
      <c r="A1737" s="5" t="s">
        <v>6476</v>
      </c>
      <c r="B1737" s="5" t="s">
        <v>1299</v>
      </c>
      <c r="C1737" s="5" t="s">
        <v>1300</v>
      </c>
      <c r="D1737" s="5" t="s">
        <v>118</v>
      </c>
      <c r="E1737" s="5" t="s">
        <v>2784</v>
      </c>
      <c r="F1737" s="5" t="s">
        <v>2756</v>
      </c>
      <c r="G1737" s="5">
        <v>1</v>
      </c>
      <c r="H1737" s="5" t="s">
        <v>2854</v>
      </c>
      <c r="I1737" s="5" t="str">
        <f>IF(INDEX(Manual_Review!$N$6:$N$238,U1737)="","",INDEX(Manual_Review!$N$6:$N$238,U1737))</f>
        <v/>
      </c>
      <c r="J1737" s="5" t="str">
        <f t="shared" si="54"/>
        <v>AI provisional</v>
      </c>
      <c r="K1737" s="5" t="str">
        <f t="shared" si="55"/>
        <v>Y</v>
      </c>
      <c r="L1737" s="5" t="s">
        <v>1309</v>
      </c>
      <c r="M1737" s="5" t="s">
        <v>6477</v>
      </c>
      <c r="N1737" s="5" t="s">
        <v>6471</v>
      </c>
      <c r="O1737" s="5" t="s">
        <v>2963</v>
      </c>
      <c r="P1737" s="5" t="s">
        <v>2858</v>
      </c>
      <c r="Q1737" s="11">
        <v>46306.5</v>
      </c>
      <c r="R1737" s="6"/>
      <c r="S1737" s="6"/>
      <c r="T1737" s="6"/>
      <c r="U1737" s="5">
        <f>MATCH(B1737,Manual_Review!$A$6:$A$238,0)</f>
        <v>109</v>
      </c>
      <c r="V1737" s="5" t="str">
        <f>IF(INDEX(Manual_Review!$G$6:$G$238,U1737)="","",INDEX(Manual_Review!$G$6:$G$238,U1737))</f>
        <v/>
      </c>
      <c r="W1737" s="11" t="str">
        <f>IF(INDEX(Manual_Review!$H$6:$H$238,U1737)="","",INDEX(Manual_Review!$H$6:$H$238,U1737))</f>
        <v/>
      </c>
      <c r="X1737" s="5" t="str">
        <f>IF(INDEX(Manual_Review!$I$6:$I$238,U1737)="","",INDEX(Manual_Review!$I$6:$I$238,U1737))</f>
        <v/>
      </c>
      <c r="Y1737" s="5" t="s">
        <v>2859</v>
      </c>
    </row>
    <row r="1738" spans="1:25" ht="38.25">
      <c r="A1738" s="5" t="s">
        <v>6478</v>
      </c>
      <c r="B1738" s="5" t="s">
        <v>1299</v>
      </c>
      <c r="C1738" s="5" t="s">
        <v>1300</v>
      </c>
      <c r="D1738" s="5" t="s">
        <v>118</v>
      </c>
      <c r="E1738" s="5" t="s">
        <v>2785</v>
      </c>
      <c r="F1738" s="5" t="s">
        <v>2756</v>
      </c>
      <c r="G1738" s="5">
        <v>1</v>
      </c>
      <c r="H1738" s="5" t="s">
        <v>2864</v>
      </c>
      <c r="I1738" s="5" t="str">
        <f>IF(INDEX(Manual_Review!$O$6:$O$238,U1738)="","",INDEX(Manual_Review!$O$6:$O$238,U1738))</f>
        <v/>
      </c>
      <c r="J1738" s="5" t="str">
        <f t="shared" si="54"/>
        <v>AI provisional</v>
      </c>
      <c r="K1738" s="5" t="str">
        <f t="shared" si="55"/>
        <v>U</v>
      </c>
      <c r="L1738" s="5" t="s">
        <v>1309</v>
      </c>
      <c r="M1738" s="5" t="s">
        <v>6479</v>
      </c>
      <c r="N1738" s="5" t="s">
        <v>6471</v>
      </c>
      <c r="O1738" s="5" t="s">
        <v>2872</v>
      </c>
      <c r="P1738" s="5" t="s">
        <v>2858</v>
      </c>
      <c r="Q1738" s="11">
        <v>46306.5</v>
      </c>
      <c r="R1738" s="6"/>
      <c r="S1738" s="6"/>
      <c r="T1738" s="6"/>
      <c r="U1738" s="5">
        <f>MATCH(B1738,Manual_Review!$A$6:$A$238,0)</f>
        <v>109</v>
      </c>
      <c r="V1738" s="5" t="str">
        <f>IF(INDEX(Manual_Review!$G$6:$G$238,U1738)="","",INDEX(Manual_Review!$G$6:$G$238,U1738))</f>
        <v/>
      </c>
      <c r="W1738" s="11" t="str">
        <f>IF(INDEX(Manual_Review!$H$6:$H$238,U1738)="","",INDEX(Manual_Review!$H$6:$H$238,U1738))</f>
        <v/>
      </c>
      <c r="X1738" s="5" t="str">
        <f>IF(INDEX(Manual_Review!$I$6:$I$238,U1738)="","",INDEX(Manual_Review!$I$6:$I$238,U1738))</f>
        <v/>
      </c>
      <c r="Y1738" s="5" t="s">
        <v>2859</v>
      </c>
    </row>
    <row r="1739" spans="1:25" ht="38.25">
      <c r="A1739" s="5" t="s">
        <v>6480</v>
      </c>
      <c r="B1739" s="5" t="s">
        <v>1299</v>
      </c>
      <c r="C1739" s="5" t="s">
        <v>1300</v>
      </c>
      <c r="D1739" s="5" t="s">
        <v>118</v>
      </c>
      <c r="E1739" s="5" t="s">
        <v>2786</v>
      </c>
      <c r="F1739" s="5" t="s">
        <v>2756</v>
      </c>
      <c r="G1739" s="5">
        <v>1</v>
      </c>
      <c r="H1739" s="5" t="s">
        <v>2854</v>
      </c>
      <c r="I1739" s="5" t="str">
        <f>IF(INDEX(Manual_Review!$P$6:$P$238,U1739)="","",INDEX(Manual_Review!$P$6:$P$238,U1739))</f>
        <v/>
      </c>
      <c r="J1739" s="5" t="str">
        <f t="shared" si="54"/>
        <v>AI provisional</v>
      </c>
      <c r="K1739" s="5" t="str">
        <f t="shared" si="55"/>
        <v>Y</v>
      </c>
      <c r="L1739" s="5" t="s">
        <v>1309</v>
      </c>
      <c r="M1739" s="5" t="s">
        <v>6481</v>
      </c>
      <c r="N1739" s="5" t="s">
        <v>6471</v>
      </c>
      <c r="O1739" s="5" t="s">
        <v>5106</v>
      </c>
      <c r="P1739" s="5" t="s">
        <v>2858</v>
      </c>
      <c r="Q1739" s="11">
        <v>46306.5</v>
      </c>
      <c r="R1739" s="6"/>
      <c r="S1739" s="6"/>
      <c r="T1739" s="6"/>
      <c r="U1739" s="5">
        <f>MATCH(B1739,Manual_Review!$A$6:$A$238,0)</f>
        <v>109</v>
      </c>
      <c r="V1739" s="5" t="str">
        <f>IF(INDEX(Manual_Review!$G$6:$G$238,U1739)="","",INDEX(Manual_Review!$G$6:$G$238,U1739))</f>
        <v/>
      </c>
      <c r="W1739" s="11" t="str">
        <f>IF(INDEX(Manual_Review!$H$6:$H$238,U1739)="","",INDEX(Manual_Review!$H$6:$H$238,U1739))</f>
        <v/>
      </c>
      <c r="X1739" s="5" t="str">
        <f>IF(INDEX(Manual_Review!$I$6:$I$238,U1739)="","",INDEX(Manual_Review!$I$6:$I$238,U1739))</f>
        <v/>
      </c>
      <c r="Y1739" s="5" t="s">
        <v>2859</v>
      </c>
    </row>
    <row r="1740" spans="1:25" ht="38.25">
      <c r="A1740" s="5" t="s">
        <v>6482</v>
      </c>
      <c r="B1740" s="5" t="s">
        <v>1299</v>
      </c>
      <c r="C1740" s="5" t="s">
        <v>1300</v>
      </c>
      <c r="D1740" s="5" t="s">
        <v>118</v>
      </c>
      <c r="E1740" s="5" t="s">
        <v>2787</v>
      </c>
      <c r="F1740" s="5" t="s">
        <v>2758</v>
      </c>
      <c r="G1740" s="5">
        <v>1</v>
      </c>
      <c r="H1740" s="5" t="s">
        <v>2864</v>
      </c>
      <c r="I1740" s="5" t="str">
        <f>IF(INDEX(Manual_Review!$Q$6:$Q$238,U1740)="","",INDEX(Manual_Review!$Q$6:$Q$238,U1740))</f>
        <v/>
      </c>
      <c r="J1740" s="5" t="str">
        <f t="shared" si="54"/>
        <v>AI provisional</v>
      </c>
      <c r="K1740" s="5" t="str">
        <f t="shared" si="55"/>
        <v>U</v>
      </c>
      <c r="L1740" s="5" t="s">
        <v>1309</v>
      </c>
      <c r="M1740" s="5" t="s">
        <v>6483</v>
      </c>
      <c r="N1740" s="5" t="s">
        <v>6471</v>
      </c>
      <c r="O1740" s="5" t="s">
        <v>2877</v>
      </c>
      <c r="P1740" s="5" t="s">
        <v>2858</v>
      </c>
      <c r="Q1740" s="11">
        <v>46306.5</v>
      </c>
      <c r="R1740" s="6"/>
      <c r="S1740" s="6"/>
      <c r="T1740" s="6"/>
      <c r="U1740" s="5">
        <f>MATCH(B1740,Manual_Review!$A$6:$A$238,0)</f>
        <v>109</v>
      </c>
      <c r="V1740" s="5" t="str">
        <f>IF(INDEX(Manual_Review!$G$6:$G$238,U1740)="","",INDEX(Manual_Review!$G$6:$G$238,U1740))</f>
        <v/>
      </c>
      <c r="W1740" s="11" t="str">
        <f>IF(INDEX(Manual_Review!$H$6:$H$238,U1740)="","",INDEX(Manual_Review!$H$6:$H$238,U1740))</f>
        <v/>
      </c>
      <c r="X1740" s="5" t="str">
        <f>IF(INDEX(Manual_Review!$I$6:$I$238,U1740)="","",INDEX(Manual_Review!$I$6:$I$238,U1740))</f>
        <v/>
      </c>
      <c r="Y1740" s="5" t="s">
        <v>2859</v>
      </c>
    </row>
    <row r="1741" spans="1:25" ht="38.25">
      <c r="A1741" s="5" t="s">
        <v>6484</v>
      </c>
      <c r="B1741" s="5" t="s">
        <v>1299</v>
      </c>
      <c r="C1741" s="5" t="s">
        <v>1300</v>
      </c>
      <c r="D1741" s="5" t="s">
        <v>118</v>
      </c>
      <c r="E1741" s="5" t="s">
        <v>2788</v>
      </c>
      <c r="F1741" s="5" t="s">
        <v>2758</v>
      </c>
      <c r="G1741" s="5">
        <v>1</v>
      </c>
      <c r="H1741" s="5" t="s">
        <v>2854</v>
      </c>
      <c r="I1741" s="5" t="str">
        <f>IF(INDEX(Manual_Review!$R$6:$R$238,U1741)="","",INDEX(Manual_Review!$R$6:$R$238,U1741))</f>
        <v/>
      </c>
      <c r="J1741" s="5" t="str">
        <f t="shared" si="54"/>
        <v>AI provisional</v>
      </c>
      <c r="K1741" s="5" t="str">
        <f t="shared" si="55"/>
        <v>Y</v>
      </c>
      <c r="L1741" s="5" t="s">
        <v>1309</v>
      </c>
      <c r="M1741" s="5" t="s">
        <v>6485</v>
      </c>
      <c r="N1741" s="5" t="s">
        <v>6471</v>
      </c>
      <c r="O1741" s="5" t="s">
        <v>3067</v>
      </c>
      <c r="P1741" s="5" t="s">
        <v>2858</v>
      </c>
      <c r="Q1741" s="11">
        <v>46306.5</v>
      </c>
      <c r="R1741" s="6"/>
      <c r="S1741" s="6"/>
      <c r="T1741" s="6"/>
      <c r="U1741" s="5">
        <f>MATCH(B1741,Manual_Review!$A$6:$A$238,0)</f>
        <v>109</v>
      </c>
      <c r="V1741" s="5" t="str">
        <f>IF(INDEX(Manual_Review!$G$6:$G$238,U1741)="","",INDEX(Manual_Review!$G$6:$G$238,U1741))</f>
        <v/>
      </c>
      <c r="W1741" s="11" t="str">
        <f>IF(INDEX(Manual_Review!$H$6:$H$238,U1741)="","",INDEX(Manual_Review!$H$6:$H$238,U1741))</f>
        <v/>
      </c>
      <c r="X1741" s="5" t="str">
        <f>IF(INDEX(Manual_Review!$I$6:$I$238,U1741)="","",INDEX(Manual_Review!$I$6:$I$238,U1741))</f>
        <v/>
      </c>
      <c r="Y1741" s="5" t="s">
        <v>2859</v>
      </c>
    </row>
    <row r="1742" spans="1:25" ht="38.25">
      <c r="A1742" s="5" t="s">
        <v>6486</v>
      </c>
      <c r="B1742" s="5" t="s">
        <v>1299</v>
      </c>
      <c r="C1742" s="5" t="s">
        <v>1300</v>
      </c>
      <c r="D1742" s="5" t="s">
        <v>118</v>
      </c>
      <c r="E1742" s="5" t="s">
        <v>2789</v>
      </c>
      <c r="F1742" s="5" t="s">
        <v>2758</v>
      </c>
      <c r="G1742" s="5">
        <v>1</v>
      </c>
      <c r="H1742" s="5" t="s">
        <v>2864</v>
      </c>
      <c r="I1742" s="5" t="str">
        <f>IF(INDEX(Manual_Review!$S$6:$S$238,U1742)="","",INDEX(Manual_Review!$S$6:$S$238,U1742))</f>
        <v/>
      </c>
      <c r="J1742" s="5" t="str">
        <f t="shared" si="54"/>
        <v>AI provisional</v>
      </c>
      <c r="K1742" s="5" t="str">
        <f t="shared" si="55"/>
        <v>U</v>
      </c>
      <c r="L1742" s="5" t="s">
        <v>1309</v>
      </c>
      <c r="M1742" s="5" t="s">
        <v>6487</v>
      </c>
      <c r="N1742" s="5" t="s">
        <v>6471</v>
      </c>
      <c r="O1742" s="5" t="s">
        <v>2883</v>
      </c>
      <c r="P1742" s="5" t="s">
        <v>2858</v>
      </c>
      <c r="Q1742" s="11">
        <v>46306.5</v>
      </c>
      <c r="R1742" s="6"/>
      <c r="S1742" s="6"/>
      <c r="T1742" s="6"/>
      <c r="U1742" s="5">
        <f>MATCH(B1742,Manual_Review!$A$6:$A$238,0)</f>
        <v>109</v>
      </c>
      <c r="V1742" s="5" t="str">
        <f>IF(INDEX(Manual_Review!$G$6:$G$238,U1742)="","",INDEX(Manual_Review!$G$6:$G$238,U1742))</f>
        <v/>
      </c>
      <c r="W1742" s="11" t="str">
        <f>IF(INDEX(Manual_Review!$H$6:$H$238,U1742)="","",INDEX(Manual_Review!$H$6:$H$238,U1742))</f>
        <v/>
      </c>
      <c r="X1742" s="5" t="str">
        <f>IF(INDEX(Manual_Review!$I$6:$I$238,U1742)="","",INDEX(Manual_Review!$I$6:$I$238,U1742))</f>
        <v/>
      </c>
      <c r="Y1742" s="5" t="s">
        <v>2859</v>
      </c>
    </row>
    <row r="1743" spans="1:25" ht="38.25">
      <c r="A1743" s="5" t="s">
        <v>6488</v>
      </c>
      <c r="B1743" s="5" t="s">
        <v>1299</v>
      </c>
      <c r="C1743" s="5" t="s">
        <v>1300</v>
      </c>
      <c r="D1743" s="5" t="s">
        <v>118</v>
      </c>
      <c r="E1743" s="5" t="s">
        <v>2790</v>
      </c>
      <c r="F1743" s="5" t="s">
        <v>2760</v>
      </c>
      <c r="G1743" s="5">
        <v>1</v>
      </c>
      <c r="H1743" s="5" t="s">
        <v>2854</v>
      </c>
      <c r="I1743" s="5" t="str">
        <f>IF(INDEX(Manual_Review!$T$6:$T$238,U1743)="","",INDEX(Manual_Review!$T$6:$T$238,U1743))</f>
        <v/>
      </c>
      <c r="J1743" s="5" t="str">
        <f t="shared" si="54"/>
        <v>AI provisional</v>
      </c>
      <c r="K1743" s="5" t="str">
        <f t="shared" si="55"/>
        <v>Y</v>
      </c>
      <c r="L1743" s="5" t="s">
        <v>1309</v>
      </c>
      <c r="M1743" s="5" t="s">
        <v>6489</v>
      </c>
      <c r="N1743" s="5" t="s">
        <v>6471</v>
      </c>
      <c r="O1743" s="5" t="s">
        <v>2976</v>
      </c>
      <c r="P1743" s="5" t="s">
        <v>2858</v>
      </c>
      <c r="Q1743" s="11">
        <v>46306.5</v>
      </c>
      <c r="R1743" s="6"/>
      <c r="S1743" s="6"/>
      <c r="T1743" s="6"/>
      <c r="U1743" s="5">
        <f>MATCH(B1743,Manual_Review!$A$6:$A$238,0)</f>
        <v>109</v>
      </c>
      <c r="V1743" s="5" t="str">
        <f>IF(INDEX(Manual_Review!$G$6:$G$238,U1743)="","",INDEX(Manual_Review!$G$6:$G$238,U1743))</f>
        <v/>
      </c>
      <c r="W1743" s="11" t="str">
        <f>IF(INDEX(Manual_Review!$H$6:$H$238,U1743)="","",INDEX(Manual_Review!$H$6:$H$238,U1743))</f>
        <v/>
      </c>
      <c r="X1743" s="5" t="str">
        <f>IF(INDEX(Manual_Review!$I$6:$I$238,U1743)="","",INDEX(Manual_Review!$I$6:$I$238,U1743))</f>
        <v/>
      </c>
      <c r="Y1743" s="5" t="s">
        <v>2859</v>
      </c>
    </row>
    <row r="1744" spans="1:25" ht="38.25">
      <c r="A1744" s="5" t="s">
        <v>6490</v>
      </c>
      <c r="B1744" s="5" t="s">
        <v>1299</v>
      </c>
      <c r="C1744" s="5" t="s">
        <v>1300</v>
      </c>
      <c r="D1744" s="5" t="s">
        <v>118</v>
      </c>
      <c r="E1744" s="5" t="s">
        <v>2791</v>
      </c>
      <c r="F1744" s="5" t="s">
        <v>2760</v>
      </c>
      <c r="G1744" s="5">
        <v>1</v>
      </c>
      <c r="H1744" s="5" t="s">
        <v>2854</v>
      </c>
      <c r="I1744" s="5" t="str">
        <f>IF(INDEX(Manual_Review!$U$6:$U$238,U1744)="","",INDEX(Manual_Review!$U$6:$U$238,U1744))</f>
        <v/>
      </c>
      <c r="J1744" s="5" t="str">
        <f t="shared" si="54"/>
        <v>AI provisional</v>
      </c>
      <c r="K1744" s="5" t="str">
        <f t="shared" si="55"/>
        <v>Y</v>
      </c>
      <c r="L1744" s="5" t="s">
        <v>1309</v>
      </c>
      <c r="M1744" s="5" t="s">
        <v>6491</v>
      </c>
      <c r="N1744" s="5" t="s">
        <v>6471</v>
      </c>
      <c r="O1744" s="5" t="s">
        <v>3380</v>
      </c>
      <c r="P1744" s="5" t="s">
        <v>2858</v>
      </c>
      <c r="Q1744" s="11">
        <v>46306.5</v>
      </c>
      <c r="R1744" s="6"/>
      <c r="S1744" s="6"/>
      <c r="T1744" s="6"/>
      <c r="U1744" s="5">
        <f>MATCH(B1744,Manual_Review!$A$6:$A$238,0)</f>
        <v>109</v>
      </c>
      <c r="V1744" s="5" t="str">
        <f>IF(INDEX(Manual_Review!$G$6:$G$238,U1744)="","",INDEX(Manual_Review!$G$6:$G$238,U1744))</f>
        <v/>
      </c>
      <c r="W1744" s="11" t="str">
        <f>IF(INDEX(Manual_Review!$H$6:$H$238,U1744)="","",INDEX(Manual_Review!$H$6:$H$238,U1744))</f>
        <v/>
      </c>
      <c r="X1744" s="5" t="str">
        <f>IF(INDEX(Manual_Review!$I$6:$I$238,U1744)="","",INDEX(Manual_Review!$I$6:$I$238,U1744))</f>
        <v/>
      </c>
      <c r="Y1744" s="5" t="s">
        <v>2859</v>
      </c>
    </row>
    <row r="1745" spans="1:25" ht="38.25">
      <c r="A1745" s="5" t="s">
        <v>6492</v>
      </c>
      <c r="B1745" s="5" t="s">
        <v>1299</v>
      </c>
      <c r="C1745" s="5" t="s">
        <v>1300</v>
      </c>
      <c r="D1745" s="5" t="s">
        <v>118</v>
      </c>
      <c r="E1745" s="5" t="s">
        <v>2792</v>
      </c>
      <c r="F1745" s="5" t="s">
        <v>2762</v>
      </c>
      <c r="G1745" s="5">
        <v>1</v>
      </c>
      <c r="H1745" s="5" t="s">
        <v>2854</v>
      </c>
      <c r="I1745" s="5" t="str">
        <f>IF(INDEX(Manual_Review!$V$6:$V$238,U1745)="","",INDEX(Manual_Review!$V$6:$V$238,U1745))</f>
        <v/>
      </c>
      <c r="J1745" s="5" t="str">
        <f t="shared" si="54"/>
        <v>AI provisional</v>
      </c>
      <c r="K1745" s="5" t="str">
        <f t="shared" si="55"/>
        <v>Y</v>
      </c>
      <c r="L1745" s="5" t="s">
        <v>1309</v>
      </c>
      <c r="M1745" s="5" t="s">
        <v>6493</v>
      </c>
      <c r="N1745" s="5" t="s">
        <v>6471</v>
      </c>
      <c r="O1745" s="5" t="s">
        <v>3152</v>
      </c>
      <c r="P1745" s="5" t="s">
        <v>2858</v>
      </c>
      <c r="Q1745" s="11">
        <v>46306.5</v>
      </c>
      <c r="R1745" s="6"/>
      <c r="S1745" s="6"/>
      <c r="T1745" s="6"/>
      <c r="U1745" s="5">
        <f>MATCH(B1745,Manual_Review!$A$6:$A$238,0)</f>
        <v>109</v>
      </c>
      <c r="V1745" s="5" t="str">
        <f>IF(INDEX(Manual_Review!$G$6:$G$238,U1745)="","",INDEX(Manual_Review!$G$6:$G$238,U1745))</f>
        <v/>
      </c>
      <c r="W1745" s="11" t="str">
        <f>IF(INDEX(Manual_Review!$H$6:$H$238,U1745)="","",INDEX(Manual_Review!$H$6:$H$238,U1745))</f>
        <v/>
      </c>
      <c r="X1745" s="5" t="str">
        <f>IF(INDEX(Manual_Review!$I$6:$I$238,U1745)="","",INDEX(Manual_Review!$I$6:$I$238,U1745))</f>
        <v/>
      </c>
      <c r="Y1745" s="5" t="s">
        <v>2859</v>
      </c>
    </row>
    <row r="1746" spans="1:25" ht="38.25">
      <c r="A1746" s="5" t="s">
        <v>6494</v>
      </c>
      <c r="B1746" s="5" t="s">
        <v>1299</v>
      </c>
      <c r="C1746" s="5" t="s">
        <v>1300</v>
      </c>
      <c r="D1746" s="5" t="s">
        <v>118</v>
      </c>
      <c r="E1746" s="5" t="s">
        <v>2793</v>
      </c>
      <c r="F1746" s="5" t="s">
        <v>2762</v>
      </c>
      <c r="G1746" s="5">
        <v>1</v>
      </c>
      <c r="H1746" s="5" t="s">
        <v>2854</v>
      </c>
      <c r="I1746" s="5" t="str">
        <f>IF(INDEX(Manual_Review!$W$6:$W$238,U1746)="","",INDEX(Manual_Review!$W$6:$W$238,U1746))</f>
        <v/>
      </c>
      <c r="J1746" s="5" t="str">
        <f t="shared" si="54"/>
        <v>AI provisional</v>
      </c>
      <c r="K1746" s="5" t="str">
        <f t="shared" si="55"/>
        <v>Y</v>
      </c>
      <c r="L1746" s="5" t="s">
        <v>1309</v>
      </c>
      <c r="M1746" s="5" t="s">
        <v>6495</v>
      </c>
      <c r="N1746" s="5" t="s">
        <v>6471</v>
      </c>
      <c r="O1746" s="5" t="s">
        <v>3077</v>
      </c>
      <c r="P1746" s="5" t="s">
        <v>2858</v>
      </c>
      <c r="Q1746" s="11">
        <v>46306.5</v>
      </c>
      <c r="R1746" s="6"/>
      <c r="S1746" s="6"/>
      <c r="T1746" s="6"/>
      <c r="U1746" s="5">
        <f>MATCH(B1746,Manual_Review!$A$6:$A$238,0)</f>
        <v>109</v>
      </c>
      <c r="V1746" s="5" t="str">
        <f>IF(INDEX(Manual_Review!$G$6:$G$238,U1746)="","",INDEX(Manual_Review!$G$6:$G$238,U1746))</f>
        <v/>
      </c>
      <c r="W1746" s="11" t="str">
        <f>IF(INDEX(Manual_Review!$H$6:$H$238,U1746)="","",INDEX(Manual_Review!$H$6:$H$238,U1746))</f>
        <v/>
      </c>
      <c r="X1746" s="5" t="str">
        <f>IF(INDEX(Manual_Review!$I$6:$I$238,U1746)="","",INDEX(Manual_Review!$I$6:$I$238,U1746))</f>
        <v/>
      </c>
      <c r="Y1746" s="5" t="s">
        <v>2859</v>
      </c>
    </row>
    <row r="1747" spans="1:25" ht="38.25">
      <c r="A1747" s="5" t="s">
        <v>6496</v>
      </c>
      <c r="B1747" s="5" t="s">
        <v>1299</v>
      </c>
      <c r="C1747" s="5" t="s">
        <v>1300</v>
      </c>
      <c r="D1747" s="5" t="s">
        <v>118</v>
      </c>
      <c r="E1747" s="5" t="s">
        <v>2794</v>
      </c>
      <c r="F1747" s="5" t="s">
        <v>2764</v>
      </c>
      <c r="G1747" s="5">
        <v>1</v>
      </c>
      <c r="H1747" s="5" t="s">
        <v>2864</v>
      </c>
      <c r="I1747" s="5" t="str">
        <f>IF(INDEX(Manual_Review!$X$6:$X$238,U1747)="","",INDEX(Manual_Review!$X$6:$X$238,U1747))</f>
        <v/>
      </c>
      <c r="J1747" s="5" t="str">
        <f t="shared" si="54"/>
        <v>AI provisional</v>
      </c>
      <c r="K1747" s="5" t="str">
        <f t="shared" si="55"/>
        <v>U</v>
      </c>
      <c r="L1747" s="5" t="s">
        <v>1309</v>
      </c>
      <c r="M1747" s="5" t="s">
        <v>6497</v>
      </c>
      <c r="N1747" s="5" t="s">
        <v>6471</v>
      </c>
      <c r="O1747" s="5" t="s">
        <v>2895</v>
      </c>
      <c r="P1747" s="5" t="s">
        <v>2858</v>
      </c>
      <c r="Q1747" s="11">
        <v>46306.5</v>
      </c>
      <c r="R1747" s="6"/>
      <c r="S1747" s="6"/>
      <c r="T1747" s="6"/>
      <c r="U1747" s="5">
        <f>MATCH(B1747,Manual_Review!$A$6:$A$238,0)</f>
        <v>109</v>
      </c>
      <c r="V1747" s="5" t="str">
        <f>IF(INDEX(Manual_Review!$G$6:$G$238,U1747)="","",INDEX(Manual_Review!$G$6:$G$238,U1747))</f>
        <v/>
      </c>
      <c r="W1747" s="11" t="str">
        <f>IF(INDEX(Manual_Review!$H$6:$H$238,U1747)="","",INDEX(Manual_Review!$H$6:$H$238,U1747))</f>
        <v/>
      </c>
      <c r="X1747" s="5" t="str">
        <f>IF(INDEX(Manual_Review!$I$6:$I$238,U1747)="","",INDEX(Manual_Review!$I$6:$I$238,U1747))</f>
        <v/>
      </c>
      <c r="Y1747" s="5" t="s">
        <v>2859</v>
      </c>
    </row>
    <row r="1748" spans="1:25" ht="38.25">
      <c r="A1748" s="5" t="s">
        <v>6498</v>
      </c>
      <c r="B1748" s="5" t="s">
        <v>1299</v>
      </c>
      <c r="C1748" s="5" t="s">
        <v>1300</v>
      </c>
      <c r="D1748" s="5" t="s">
        <v>118</v>
      </c>
      <c r="E1748" s="5" t="s">
        <v>2795</v>
      </c>
      <c r="F1748" s="5" t="s">
        <v>2764</v>
      </c>
      <c r="G1748" s="5">
        <v>1</v>
      </c>
      <c r="H1748" s="5" t="s">
        <v>2864</v>
      </c>
      <c r="I1748" s="5" t="str">
        <f>IF(INDEX(Manual_Review!$Y$6:$Y$238,U1748)="","",INDEX(Manual_Review!$Y$6:$Y$238,U1748))</f>
        <v/>
      </c>
      <c r="J1748" s="5" t="str">
        <f t="shared" si="54"/>
        <v>AI provisional</v>
      </c>
      <c r="K1748" s="5" t="str">
        <f t="shared" si="55"/>
        <v>U</v>
      </c>
      <c r="L1748" s="5" t="s">
        <v>1309</v>
      </c>
      <c r="M1748" s="5" t="s">
        <v>6499</v>
      </c>
      <c r="N1748" s="5" t="s">
        <v>6471</v>
      </c>
      <c r="O1748" s="5" t="s">
        <v>2897</v>
      </c>
      <c r="P1748" s="5" t="s">
        <v>2858</v>
      </c>
      <c r="Q1748" s="11">
        <v>46306.5</v>
      </c>
      <c r="R1748" s="6"/>
      <c r="S1748" s="6"/>
      <c r="T1748" s="6"/>
      <c r="U1748" s="5">
        <f>MATCH(B1748,Manual_Review!$A$6:$A$238,0)</f>
        <v>109</v>
      </c>
      <c r="V1748" s="5" t="str">
        <f>IF(INDEX(Manual_Review!$G$6:$G$238,U1748)="","",INDEX(Manual_Review!$G$6:$G$238,U1748))</f>
        <v/>
      </c>
      <c r="W1748" s="11" t="str">
        <f>IF(INDEX(Manual_Review!$H$6:$H$238,U1748)="","",INDEX(Manual_Review!$H$6:$H$238,U1748))</f>
        <v/>
      </c>
      <c r="X1748" s="5" t="str">
        <f>IF(INDEX(Manual_Review!$I$6:$I$238,U1748)="","",INDEX(Manual_Review!$I$6:$I$238,U1748))</f>
        <v/>
      </c>
      <c r="Y1748" s="5" t="s">
        <v>2859</v>
      </c>
    </row>
    <row r="1749" spans="1:25" ht="38.25">
      <c r="A1749" s="5" t="s">
        <v>6500</v>
      </c>
      <c r="B1749" s="5" t="s">
        <v>1299</v>
      </c>
      <c r="C1749" s="5" t="s">
        <v>1300</v>
      </c>
      <c r="D1749" s="5" t="s">
        <v>118</v>
      </c>
      <c r="E1749" s="5" t="s">
        <v>2796</v>
      </c>
      <c r="F1749" s="5" t="s">
        <v>2764</v>
      </c>
      <c r="G1749" s="5">
        <v>1</v>
      </c>
      <c r="H1749" s="5" t="s">
        <v>2864</v>
      </c>
      <c r="I1749" s="5" t="str">
        <f>IF(INDEX(Manual_Review!$Z$6:$Z$238,U1749)="","",INDEX(Manual_Review!$Z$6:$Z$238,U1749))</f>
        <v/>
      </c>
      <c r="J1749" s="5" t="str">
        <f t="shared" si="54"/>
        <v>AI provisional</v>
      </c>
      <c r="K1749" s="5" t="str">
        <f t="shared" si="55"/>
        <v>U</v>
      </c>
      <c r="L1749" s="5" t="s">
        <v>1309</v>
      </c>
      <c r="M1749" s="5" t="s">
        <v>6501</v>
      </c>
      <c r="N1749" s="5" t="s">
        <v>6471</v>
      </c>
      <c r="O1749" s="5" t="s">
        <v>2899</v>
      </c>
      <c r="P1749" s="5" t="s">
        <v>2858</v>
      </c>
      <c r="Q1749" s="11">
        <v>46306.5</v>
      </c>
      <c r="R1749" s="6"/>
      <c r="S1749" s="6"/>
      <c r="T1749" s="6"/>
      <c r="U1749" s="5">
        <f>MATCH(B1749,Manual_Review!$A$6:$A$238,0)</f>
        <v>109</v>
      </c>
      <c r="V1749" s="5" t="str">
        <f>IF(INDEX(Manual_Review!$G$6:$G$238,U1749)="","",INDEX(Manual_Review!$G$6:$G$238,U1749))</f>
        <v/>
      </c>
      <c r="W1749" s="11" t="str">
        <f>IF(INDEX(Manual_Review!$H$6:$H$238,U1749)="","",INDEX(Manual_Review!$H$6:$H$238,U1749))</f>
        <v/>
      </c>
      <c r="X1749" s="5" t="str">
        <f>IF(INDEX(Manual_Review!$I$6:$I$238,U1749)="","",INDEX(Manual_Review!$I$6:$I$238,U1749))</f>
        <v/>
      </c>
      <c r="Y1749" s="5" t="s">
        <v>2859</v>
      </c>
    </row>
    <row r="1750" spans="1:25" ht="38.25">
      <c r="A1750" s="5" t="s">
        <v>6502</v>
      </c>
      <c r="B1750" s="5" t="s">
        <v>1311</v>
      </c>
      <c r="C1750" s="5" t="s">
        <v>1312</v>
      </c>
      <c r="D1750" s="5" t="s">
        <v>118</v>
      </c>
      <c r="E1750" s="5" t="s">
        <v>2781</v>
      </c>
      <c r="F1750" s="5" t="s">
        <v>2754</v>
      </c>
      <c r="G1750" s="5">
        <v>1</v>
      </c>
      <c r="H1750" s="5" t="s">
        <v>2854</v>
      </c>
      <c r="I1750" s="5" t="str">
        <f>IF(INDEX(Manual_Review!$K$6:$K$238,U1750)="","",INDEX(Manual_Review!$K$6:$K$238,U1750))</f>
        <v/>
      </c>
      <c r="J1750" s="5" t="str">
        <f t="shared" si="54"/>
        <v>AI provisional</v>
      </c>
      <c r="K1750" s="5" t="str">
        <f t="shared" si="55"/>
        <v>Y</v>
      </c>
      <c r="L1750" s="5" t="s">
        <v>1318</v>
      </c>
      <c r="M1750" s="5" t="s">
        <v>6503</v>
      </c>
      <c r="N1750" s="5" t="s">
        <v>6504</v>
      </c>
      <c r="O1750" s="5" t="s">
        <v>2857</v>
      </c>
      <c r="P1750" s="5" t="s">
        <v>2858</v>
      </c>
      <c r="Q1750" s="11">
        <v>46306.5</v>
      </c>
      <c r="R1750" s="6"/>
      <c r="S1750" s="6"/>
      <c r="T1750" s="6"/>
      <c r="U1750" s="5">
        <f>MATCH(B1750,Manual_Review!$A$6:$A$238,0)</f>
        <v>110</v>
      </c>
      <c r="V1750" s="5" t="str">
        <f>IF(INDEX(Manual_Review!$G$6:$G$238,U1750)="","",INDEX(Manual_Review!$G$6:$G$238,U1750))</f>
        <v/>
      </c>
      <c r="W1750" s="11" t="str">
        <f>IF(INDEX(Manual_Review!$H$6:$H$238,U1750)="","",INDEX(Manual_Review!$H$6:$H$238,U1750))</f>
        <v/>
      </c>
      <c r="X1750" s="5" t="str">
        <f>IF(INDEX(Manual_Review!$I$6:$I$238,U1750)="","",INDEX(Manual_Review!$I$6:$I$238,U1750))</f>
        <v/>
      </c>
      <c r="Y1750" s="5" t="s">
        <v>2859</v>
      </c>
    </row>
    <row r="1751" spans="1:25" ht="38.25">
      <c r="A1751" s="5" t="s">
        <v>6505</v>
      </c>
      <c r="B1751" s="5" t="s">
        <v>1311</v>
      </c>
      <c r="C1751" s="5" t="s">
        <v>1312</v>
      </c>
      <c r="D1751" s="5" t="s">
        <v>118</v>
      </c>
      <c r="E1751" s="5" t="s">
        <v>2782</v>
      </c>
      <c r="F1751" s="5" t="s">
        <v>2754</v>
      </c>
      <c r="G1751" s="5">
        <v>1</v>
      </c>
      <c r="H1751" s="5" t="s">
        <v>2854</v>
      </c>
      <c r="I1751" s="5" t="str">
        <f>IF(INDEX(Manual_Review!$L$6:$L$238,U1751)="","",INDEX(Manual_Review!$L$6:$L$238,U1751))</f>
        <v/>
      </c>
      <c r="J1751" s="5" t="str">
        <f t="shared" si="54"/>
        <v>AI provisional</v>
      </c>
      <c r="K1751" s="5" t="str">
        <f t="shared" si="55"/>
        <v>Y</v>
      </c>
      <c r="L1751" s="5" t="s">
        <v>1318</v>
      </c>
      <c r="M1751" s="5" t="s">
        <v>6506</v>
      </c>
      <c r="N1751" s="5" t="s">
        <v>6504</v>
      </c>
      <c r="O1751" s="5" t="s">
        <v>2862</v>
      </c>
      <c r="P1751" s="5" t="s">
        <v>2858</v>
      </c>
      <c r="Q1751" s="11">
        <v>46306.5</v>
      </c>
      <c r="R1751" s="6"/>
      <c r="S1751" s="6"/>
      <c r="T1751" s="6"/>
      <c r="U1751" s="5">
        <f>MATCH(B1751,Manual_Review!$A$6:$A$238,0)</f>
        <v>110</v>
      </c>
      <c r="V1751" s="5" t="str">
        <f>IF(INDEX(Manual_Review!$G$6:$G$238,U1751)="","",INDEX(Manual_Review!$G$6:$G$238,U1751))</f>
        <v/>
      </c>
      <c r="W1751" s="11" t="str">
        <f>IF(INDEX(Manual_Review!$H$6:$H$238,U1751)="","",INDEX(Manual_Review!$H$6:$H$238,U1751))</f>
        <v/>
      </c>
      <c r="X1751" s="5" t="str">
        <f>IF(INDEX(Manual_Review!$I$6:$I$238,U1751)="","",INDEX(Manual_Review!$I$6:$I$238,U1751))</f>
        <v/>
      </c>
      <c r="Y1751" s="5" t="s">
        <v>2859</v>
      </c>
    </row>
    <row r="1752" spans="1:25" ht="38.25">
      <c r="A1752" s="5" t="s">
        <v>6507</v>
      </c>
      <c r="B1752" s="5" t="s">
        <v>1311</v>
      </c>
      <c r="C1752" s="5" t="s">
        <v>1312</v>
      </c>
      <c r="D1752" s="5" t="s">
        <v>118</v>
      </c>
      <c r="E1752" s="5" t="s">
        <v>2783</v>
      </c>
      <c r="F1752" s="5" t="s">
        <v>2754</v>
      </c>
      <c r="G1752" s="5">
        <v>1</v>
      </c>
      <c r="H1752" s="5" t="s">
        <v>2854</v>
      </c>
      <c r="I1752" s="5" t="str">
        <f>IF(INDEX(Manual_Review!$M$6:$M$238,U1752)="","",INDEX(Manual_Review!$M$6:$M$238,U1752))</f>
        <v/>
      </c>
      <c r="J1752" s="5" t="str">
        <f t="shared" si="54"/>
        <v>AI provisional</v>
      </c>
      <c r="K1752" s="5" t="str">
        <f t="shared" si="55"/>
        <v>Y</v>
      </c>
      <c r="L1752" s="5" t="s">
        <v>1318</v>
      </c>
      <c r="M1752" s="5" t="s">
        <v>6508</v>
      </c>
      <c r="N1752" s="5" t="s">
        <v>6504</v>
      </c>
      <c r="O1752" s="5" t="s">
        <v>3133</v>
      </c>
      <c r="P1752" s="5" t="s">
        <v>2858</v>
      </c>
      <c r="Q1752" s="11">
        <v>46306.5</v>
      </c>
      <c r="R1752" s="6"/>
      <c r="S1752" s="6"/>
      <c r="T1752" s="6"/>
      <c r="U1752" s="5">
        <f>MATCH(B1752,Manual_Review!$A$6:$A$238,0)</f>
        <v>110</v>
      </c>
      <c r="V1752" s="5" t="str">
        <f>IF(INDEX(Manual_Review!$G$6:$G$238,U1752)="","",INDEX(Manual_Review!$G$6:$G$238,U1752))</f>
        <v/>
      </c>
      <c r="W1752" s="11" t="str">
        <f>IF(INDEX(Manual_Review!$H$6:$H$238,U1752)="","",INDEX(Manual_Review!$H$6:$H$238,U1752))</f>
        <v/>
      </c>
      <c r="X1752" s="5" t="str">
        <f>IF(INDEX(Manual_Review!$I$6:$I$238,U1752)="","",INDEX(Manual_Review!$I$6:$I$238,U1752))</f>
        <v/>
      </c>
      <c r="Y1752" s="5" t="s">
        <v>2859</v>
      </c>
    </row>
    <row r="1753" spans="1:25" ht="38.25">
      <c r="A1753" s="5" t="s">
        <v>6509</v>
      </c>
      <c r="B1753" s="5" t="s">
        <v>1311</v>
      </c>
      <c r="C1753" s="5" t="s">
        <v>1312</v>
      </c>
      <c r="D1753" s="5" t="s">
        <v>118</v>
      </c>
      <c r="E1753" s="5" t="s">
        <v>2784</v>
      </c>
      <c r="F1753" s="5" t="s">
        <v>2756</v>
      </c>
      <c r="G1753" s="5">
        <v>1</v>
      </c>
      <c r="H1753" s="5" t="s">
        <v>2854</v>
      </c>
      <c r="I1753" s="5" t="str">
        <f>IF(INDEX(Manual_Review!$N$6:$N$238,U1753)="","",INDEX(Manual_Review!$N$6:$N$238,U1753))</f>
        <v/>
      </c>
      <c r="J1753" s="5" t="str">
        <f t="shared" si="54"/>
        <v>AI provisional</v>
      </c>
      <c r="K1753" s="5" t="str">
        <f t="shared" si="55"/>
        <v>Y</v>
      </c>
      <c r="L1753" s="5" t="s">
        <v>1318</v>
      </c>
      <c r="M1753" s="5" t="s">
        <v>6510</v>
      </c>
      <c r="N1753" s="5" t="s">
        <v>6504</v>
      </c>
      <c r="O1753" s="5" t="s">
        <v>2963</v>
      </c>
      <c r="P1753" s="5" t="s">
        <v>2858</v>
      </c>
      <c r="Q1753" s="11">
        <v>46306.5</v>
      </c>
      <c r="R1753" s="6"/>
      <c r="S1753" s="6"/>
      <c r="T1753" s="6"/>
      <c r="U1753" s="5">
        <f>MATCH(B1753,Manual_Review!$A$6:$A$238,0)</f>
        <v>110</v>
      </c>
      <c r="V1753" s="5" t="str">
        <f>IF(INDEX(Manual_Review!$G$6:$G$238,U1753)="","",INDEX(Manual_Review!$G$6:$G$238,U1753))</f>
        <v/>
      </c>
      <c r="W1753" s="11" t="str">
        <f>IF(INDEX(Manual_Review!$H$6:$H$238,U1753)="","",INDEX(Manual_Review!$H$6:$H$238,U1753))</f>
        <v/>
      </c>
      <c r="X1753" s="5" t="str">
        <f>IF(INDEX(Manual_Review!$I$6:$I$238,U1753)="","",INDEX(Manual_Review!$I$6:$I$238,U1753))</f>
        <v/>
      </c>
      <c r="Y1753" s="5" t="s">
        <v>2859</v>
      </c>
    </row>
    <row r="1754" spans="1:25" ht="38.25">
      <c r="A1754" s="5" t="s">
        <v>6511</v>
      </c>
      <c r="B1754" s="5" t="s">
        <v>1311</v>
      </c>
      <c r="C1754" s="5" t="s">
        <v>1312</v>
      </c>
      <c r="D1754" s="5" t="s">
        <v>118</v>
      </c>
      <c r="E1754" s="5" t="s">
        <v>2785</v>
      </c>
      <c r="F1754" s="5" t="s">
        <v>2756</v>
      </c>
      <c r="G1754" s="5">
        <v>1</v>
      </c>
      <c r="H1754" s="5" t="s">
        <v>2854</v>
      </c>
      <c r="I1754" s="5" t="str">
        <f>IF(INDEX(Manual_Review!$O$6:$O$238,U1754)="","",INDEX(Manual_Review!$O$6:$O$238,U1754))</f>
        <v/>
      </c>
      <c r="J1754" s="5" t="str">
        <f t="shared" si="54"/>
        <v>AI provisional</v>
      </c>
      <c r="K1754" s="5" t="str">
        <f t="shared" si="55"/>
        <v>Y</v>
      </c>
      <c r="L1754" s="5" t="s">
        <v>1318</v>
      </c>
      <c r="M1754" s="5" t="s">
        <v>6512</v>
      </c>
      <c r="N1754" s="5" t="s">
        <v>6504</v>
      </c>
      <c r="O1754" s="5" t="s">
        <v>3138</v>
      </c>
      <c r="P1754" s="5" t="s">
        <v>2858</v>
      </c>
      <c r="Q1754" s="11">
        <v>46306.5</v>
      </c>
      <c r="R1754" s="6"/>
      <c r="S1754" s="6"/>
      <c r="T1754" s="6"/>
      <c r="U1754" s="5">
        <f>MATCH(B1754,Manual_Review!$A$6:$A$238,0)</f>
        <v>110</v>
      </c>
      <c r="V1754" s="5" t="str">
        <f>IF(INDEX(Manual_Review!$G$6:$G$238,U1754)="","",INDEX(Manual_Review!$G$6:$G$238,U1754))</f>
        <v/>
      </c>
      <c r="W1754" s="11" t="str">
        <f>IF(INDEX(Manual_Review!$H$6:$H$238,U1754)="","",INDEX(Manual_Review!$H$6:$H$238,U1754))</f>
        <v/>
      </c>
      <c r="X1754" s="5" t="str">
        <f>IF(INDEX(Manual_Review!$I$6:$I$238,U1754)="","",INDEX(Manual_Review!$I$6:$I$238,U1754))</f>
        <v/>
      </c>
      <c r="Y1754" s="5" t="s">
        <v>2859</v>
      </c>
    </row>
    <row r="1755" spans="1:25" ht="38.25">
      <c r="A1755" s="5" t="s">
        <v>6513</v>
      </c>
      <c r="B1755" s="5" t="s">
        <v>1311</v>
      </c>
      <c r="C1755" s="5" t="s">
        <v>1312</v>
      </c>
      <c r="D1755" s="5" t="s">
        <v>118</v>
      </c>
      <c r="E1755" s="5" t="s">
        <v>2786</v>
      </c>
      <c r="F1755" s="5" t="s">
        <v>2756</v>
      </c>
      <c r="G1755" s="5">
        <v>1</v>
      </c>
      <c r="H1755" s="5" t="s">
        <v>2854</v>
      </c>
      <c r="I1755" s="5" t="str">
        <f>IF(INDEX(Manual_Review!$P$6:$P$238,U1755)="","",INDEX(Manual_Review!$P$6:$P$238,U1755))</f>
        <v/>
      </c>
      <c r="J1755" s="5" t="str">
        <f t="shared" si="54"/>
        <v>AI provisional</v>
      </c>
      <c r="K1755" s="5" t="str">
        <f t="shared" si="55"/>
        <v>Y</v>
      </c>
      <c r="L1755" s="5" t="s">
        <v>1318</v>
      </c>
      <c r="M1755" s="5" t="s">
        <v>6514</v>
      </c>
      <c r="N1755" s="5" t="s">
        <v>6504</v>
      </c>
      <c r="O1755" s="5" t="s">
        <v>5106</v>
      </c>
      <c r="P1755" s="5" t="s">
        <v>2858</v>
      </c>
      <c r="Q1755" s="11">
        <v>46306.5</v>
      </c>
      <c r="R1755" s="6"/>
      <c r="S1755" s="6"/>
      <c r="T1755" s="6"/>
      <c r="U1755" s="5">
        <f>MATCH(B1755,Manual_Review!$A$6:$A$238,0)</f>
        <v>110</v>
      </c>
      <c r="V1755" s="5" t="str">
        <f>IF(INDEX(Manual_Review!$G$6:$G$238,U1755)="","",INDEX(Manual_Review!$G$6:$G$238,U1755))</f>
        <v/>
      </c>
      <c r="W1755" s="11" t="str">
        <f>IF(INDEX(Manual_Review!$H$6:$H$238,U1755)="","",INDEX(Manual_Review!$H$6:$H$238,U1755))</f>
        <v/>
      </c>
      <c r="X1755" s="5" t="str">
        <f>IF(INDEX(Manual_Review!$I$6:$I$238,U1755)="","",INDEX(Manual_Review!$I$6:$I$238,U1755))</f>
        <v/>
      </c>
      <c r="Y1755" s="5" t="s">
        <v>2859</v>
      </c>
    </row>
    <row r="1756" spans="1:25" ht="38.25">
      <c r="A1756" s="5" t="s">
        <v>6515</v>
      </c>
      <c r="B1756" s="5" t="s">
        <v>1311</v>
      </c>
      <c r="C1756" s="5" t="s">
        <v>1312</v>
      </c>
      <c r="D1756" s="5" t="s">
        <v>118</v>
      </c>
      <c r="E1756" s="5" t="s">
        <v>2787</v>
      </c>
      <c r="F1756" s="5" t="s">
        <v>2758</v>
      </c>
      <c r="G1756" s="5">
        <v>1</v>
      </c>
      <c r="H1756" s="5" t="s">
        <v>2854</v>
      </c>
      <c r="I1756" s="5" t="str">
        <f>IF(INDEX(Manual_Review!$Q$6:$Q$238,U1756)="","",INDEX(Manual_Review!$Q$6:$Q$238,U1756))</f>
        <v/>
      </c>
      <c r="J1756" s="5" t="str">
        <f t="shared" si="54"/>
        <v>AI provisional</v>
      </c>
      <c r="K1756" s="5" t="str">
        <f t="shared" si="55"/>
        <v>Y</v>
      </c>
      <c r="L1756" s="5" t="s">
        <v>1318</v>
      </c>
      <c r="M1756" s="5" t="s">
        <v>6516</v>
      </c>
      <c r="N1756" s="5" t="s">
        <v>6504</v>
      </c>
      <c r="O1756" s="5" t="s">
        <v>2969</v>
      </c>
      <c r="P1756" s="5" t="s">
        <v>2858</v>
      </c>
      <c r="Q1756" s="11">
        <v>46306.5</v>
      </c>
      <c r="R1756" s="6"/>
      <c r="S1756" s="6"/>
      <c r="T1756" s="6"/>
      <c r="U1756" s="5">
        <f>MATCH(B1756,Manual_Review!$A$6:$A$238,0)</f>
        <v>110</v>
      </c>
      <c r="V1756" s="5" t="str">
        <f>IF(INDEX(Manual_Review!$G$6:$G$238,U1756)="","",INDEX(Manual_Review!$G$6:$G$238,U1756))</f>
        <v/>
      </c>
      <c r="W1756" s="11" t="str">
        <f>IF(INDEX(Manual_Review!$H$6:$H$238,U1756)="","",INDEX(Manual_Review!$H$6:$H$238,U1756))</f>
        <v/>
      </c>
      <c r="X1756" s="5" t="str">
        <f>IF(INDEX(Manual_Review!$I$6:$I$238,U1756)="","",INDEX(Manual_Review!$I$6:$I$238,U1756))</f>
        <v/>
      </c>
      <c r="Y1756" s="5" t="s">
        <v>2859</v>
      </c>
    </row>
    <row r="1757" spans="1:25" ht="38.25">
      <c r="A1757" s="5" t="s">
        <v>6517</v>
      </c>
      <c r="B1757" s="5" t="s">
        <v>1311</v>
      </c>
      <c r="C1757" s="5" t="s">
        <v>1312</v>
      </c>
      <c r="D1757" s="5" t="s">
        <v>118</v>
      </c>
      <c r="E1757" s="5" t="s">
        <v>2788</v>
      </c>
      <c r="F1757" s="5" t="s">
        <v>2758</v>
      </c>
      <c r="G1757" s="5">
        <v>1</v>
      </c>
      <c r="H1757" s="5" t="s">
        <v>2854</v>
      </c>
      <c r="I1757" s="5" t="str">
        <f>IF(INDEX(Manual_Review!$R$6:$R$238,U1757)="","",INDEX(Manual_Review!$R$6:$R$238,U1757))</f>
        <v/>
      </c>
      <c r="J1757" s="5" t="str">
        <f t="shared" si="54"/>
        <v>AI provisional</v>
      </c>
      <c r="K1757" s="5" t="str">
        <f t="shared" si="55"/>
        <v>Y</v>
      </c>
      <c r="L1757" s="5" t="s">
        <v>1318</v>
      </c>
      <c r="M1757" s="5" t="s">
        <v>6518</v>
      </c>
      <c r="N1757" s="5" t="s">
        <v>6504</v>
      </c>
      <c r="O1757" s="5" t="s">
        <v>3067</v>
      </c>
      <c r="P1757" s="5" t="s">
        <v>2858</v>
      </c>
      <c r="Q1757" s="11">
        <v>46306.5</v>
      </c>
      <c r="R1757" s="6"/>
      <c r="S1757" s="6"/>
      <c r="T1757" s="6"/>
      <c r="U1757" s="5">
        <f>MATCH(B1757,Manual_Review!$A$6:$A$238,0)</f>
        <v>110</v>
      </c>
      <c r="V1757" s="5" t="str">
        <f>IF(INDEX(Manual_Review!$G$6:$G$238,U1757)="","",INDEX(Manual_Review!$G$6:$G$238,U1757))</f>
        <v/>
      </c>
      <c r="W1757" s="11" t="str">
        <f>IF(INDEX(Manual_Review!$H$6:$H$238,U1757)="","",INDEX(Manual_Review!$H$6:$H$238,U1757))</f>
        <v/>
      </c>
      <c r="X1757" s="5" t="str">
        <f>IF(INDEX(Manual_Review!$I$6:$I$238,U1757)="","",INDEX(Manual_Review!$I$6:$I$238,U1757))</f>
        <v/>
      </c>
      <c r="Y1757" s="5" t="s">
        <v>2859</v>
      </c>
    </row>
    <row r="1758" spans="1:25" ht="38.25">
      <c r="A1758" s="5" t="s">
        <v>6519</v>
      </c>
      <c r="B1758" s="5" t="s">
        <v>1311</v>
      </c>
      <c r="C1758" s="5" t="s">
        <v>1312</v>
      </c>
      <c r="D1758" s="5" t="s">
        <v>118</v>
      </c>
      <c r="E1758" s="5" t="s">
        <v>2789</v>
      </c>
      <c r="F1758" s="5" t="s">
        <v>2758</v>
      </c>
      <c r="G1758" s="5">
        <v>1</v>
      </c>
      <c r="H1758" s="5" t="s">
        <v>2854</v>
      </c>
      <c r="I1758" s="5" t="str">
        <f>IF(INDEX(Manual_Review!$S$6:$S$238,U1758)="","",INDEX(Manual_Review!$S$6:$S$238,U1758))</f>
        <v/>
      </c>
      <c r="J1758" s="5" t="str">
        <f t="shared" si="54"/>
        <v>AI provisional</v>
      </c>
      <c r="K1758" s="5" t="str">
        <f t="shared" si="55"/>
        <v>Y</v>
      </c>
      <c r="L1758" s="5" t="s">
        <v>1318</v>
      </c>
      <c r="M1758" s="5" t="s">
        <v>6520</v>
      </c>
      <c r="N1758" s="5" t="s">
        <v>6504</v>
      </c>
      <c r="O1758" s="5" t="s">
        <v>3178</v>
      </c>
      <c r="P1758" s="5" t="s">
        <v>2858</v>
      </c>
      <c r="Q1758" s="11">
        <v>46306.5</v>
      </c>
      <c r="R1758" s="6"/>
      <c r="S1758" s="6"/>
      <c r="T1758" s="6"/>
      <c r="U1758" s="5">
        <f>MATCH(B1758,Manual_Review!$A$6:$A$238,0)</f>
        <v>110</v>
      </c>
      <c r="V1758" s="5" t="str">
        <f>IF(INDEX(Manual_Review!$G$6:$G$238,U1758)="","",INDEX(Manual_Review!$G$6:$G$238,U1758))</f>
        <v/>
      </c>
      <c r="W1758" s="11" t="str">
        <f>IF(INDEX(Manual_Review!$H$6:$H$238,U1758)="","",INDEX(Manual_Review!$H$6:$H$238,U1758))</f>
        <v/>
      </c>
      <c r="X1758" s="5" t="str">
        <f>IF(INDEX(Manual_Review!$I$6:$I$238,U1758)="","",INDEX(Manual_Review!$I$6:$I$238,U1758))</f>
        <v/>
      </c>
      <c r="Y1758" s="5" t="s">
        <v>2859</v>
      </c>
    </row>
    <row r="1759" spans="1:25" ht="38.25">
      <c r="A1759" s="5" t="s">
        <v>6521</v>
      </c>
      <c r="B1759" s="5" t="s">
        <v>1311</v>
      </c>
      <c r="C1759" s="5" t="s">
        <v>1312</v>
      </c>
      <c r="D1759" s="5" t="s">
        <v>118</v>
      </c>
      <c r="E1759" s="5" t="s">
        <v>2790</v>
      </c>
      <c r="F1759" s="5" t="s">
        <v>2760</v>
      </c>
      <c r="G1759" s="5">
        <v>1</v>
      </c>
      <c r="H1759" s="5" t="s">
        <v>2864</v>
      </c>
      <c r="I1759" s="5" t="str">
        <f>IF(INDEX(Manual_Review!$T$6:$T$238,U1759)="","",INDEX(Manual_Review!$T$6:$T$238,U1759))</f>
        <v/>
      </c>
      <c r="J1759" s="5" t="str">
        <f t="shared" si="54"/>
        <v>AI provisional</v>
      </c>
      <c r="K1759" s="5" t="str">
        <f t="shared" si="55"/>
        <v>U</v>
      </c>
      <c r="L1759" s="5" t="s">
        <v>1318</v>
      </c>
      <c r="M1759" s="5" t="s">
        <v>6522</v>
      </c>
      <c r="N1759" s="5" t="s">
        <v>6504</v>
      </c>
      <c r="O1759" s="5" t="s">
        <v>2885</v>
      </c>
      <c r="P1759" s="5" t="s">
        <v>2858</v>
      </c>
      <c r="Q1759" s="11">
        <v>46306.5</v>
      </c>
      <c r="R1759" s="6"/>
      <c r="S1759" s="6"/>
      <c r="T1759" s="6"/>
      <c r="U1759" s="5">
        <f>MATCH(B1759,Manual_Review!$A$6:$A$238,0)</f>
        <v>110</v>
      </c>
      <c r="V1759" s="5" t="str">
        <f>IF(INDEX(Manual_Review!$G$6:$G$238,U1759)="","",INDEX(Manual_Review!$G$6:$G$238,U1759))</f>
        <v/>
      </c>
      <c r="W1759" s="11" t="str">
        <f>IF(INDEX(Manual_Review!$H$6:$H$238,U1759)="","",INDEX(Manual_Review!$H$6:$H$238,U1759))</f>
        <v/>
      </c>
      <c r="X1759" s="5" t="str">
        <f>IF(INDEX(Manual_Review!$I$6:$I$238,U1759)="","",INDEX(Manual_Review!$I$6:$I$238,U1759))</f>
        <v/>
      </c>
      <c r="Y1759" s="5" t="s">
        <v>2859</v>
      </c>
    </row>
    <row r="1760" spans="1:25" ht="38.25">
      <c r="A1760" s="5" t="s">
        <v>6523</v>
      </c>
      <c r="B1760" s="5" t="s">
        <v>1311</v>
      </c>
      <c r="C1760" s="5" t="s">
        <v>1312</v>
      </c>
      <c r="D1760" s="5" t="s">
        <v>118</v>
      </c>
      <c r="E1760" s="5" t="s">
        <v>2791</v>
      </c>
      <c r="F1760" s="5" t="s">
        <v>2760</v>
      </c>
      <c r="G1760" s="5">
        <v>1</v>
      </c>
      <c r="H1760" s="5" t="s">
        <v>2854</v>
      </c>
      <c r="I1760" s="5" t="str">
        <f>IF(INDEX(Manual_Review!$U$6:$U$238,U1760)="","",INDEX(Manual_Review!$U$6:$U$238,U1760))</f>
        <v/>
      </c>
      <c r="J1760" s="5" t="str">
        <f t="shared" si="54"/>
        <v>AI provisional</v>
      </c>
      <c r="K1760" s="5" t="str">
        <f t="shared" si="55"/>
        <v>Y</v>
      </c>
      <c r="L1760" s="5" t="s">
        <v>1318</v>
      </c>
      <c r="M1760" s="5" t="s">
        <v>6524</v>
      </c>
      <c r="N1760" s="5" t="s">
        <v>6504</v>
      </c>
      <c r="O1760" s="5" t="s">
        <v>3380</v>
      </c>
      <c r="P1760" s="5" t="s">
        <v>2858</v>
      </c>
      <c r="Q1760" s="11">
        <v>46306.5</v>
      </c>
      <c r="R1760" s="6"/>
      <c r="S1760" s="6"/>
      <c r="T1760" s="6"/>
      <c r="U1760" s="5">
        <f>MATCH(B1760,Manual_Review!$A$6:$A$238,0)</f>
        <v>110</v>
      </c>
      <c r="V1760" s="5" t="str">
        <f>IF(INDEX(Manual_Review!$G$6:$G$238,U1760)="","",INDEX(Manual_Review!$G$6:$G$238,U1760))</f>
        <v/>
      </c>
      <c r="W1760" s="11" t="str">
        <f>IF(INDEX(Manual_Review!$H$6:$H$238,U1760)="","",INDEX(Manual_Review!$H$6:$H$238,U1760))</f>
        <v/>
      </c>
      <c r="X1760" s="5" t="str">
        <f>IF(INDEX(Manual_Review!$I$6:$I$238,U1760)="","",INDEX(Manual_Review!$I$6:$I$238,U1760))</f>
        <v/>
      </c>
      <c r="Y1760" s="5" t="s">
        <v>2859</v>
      </c>
    </row>
    <row r="1761" spans="1:25" ht="38.25">
      <c r="A1761" s="5" t="s">
        <v>6525</v>
      </c>
      <c r="B1761" s="5" t="s">
        <v>1311</v>
      </c>
      <c r="C1761" s="5" t="s">
        <v>1312</v>
      </c>
      <c r="D1761" s="5" t="s">
        <v>118</v>
      </c>
      <c r="E1761" s="5" t="s">
        <v>2792</v>
      </c>
      <c r="F1761" s="5" t="s">
        <v>2762</v>
      </c>
      <c r="G1761" s="5">
        <v>1</v>
      </c>
      <c r="H1761" s="5" t="s">
        <v>2854</v>
      </c>
      <c r="I1761" s="5" t="str">
        <f>IF(INDEX(Manual_Review!$V$6:$V$238,U1761)="","",INDEX(Manual_Review!$V$6:$V$238,U1761))</f>
        <v/>
      </c>
      <c r="J1761" s="5" t="str">
        <f t="shared" si="54"/>
        <v>AI provisional</v>
      </c>
      <c r="K1761" s="5" t="str">
        <f t="shared" si="55"/>
        <v>Y</v>
      </c>
      <c r="L1761" s="5" t="s">
        <v>1318</v>
      </c>
      <c r="M1761" s="5" t="s">
        <v>6526</v>
      </c>
      <c r="N1761" s="5" t="s">
        <v>6504</v>
      </c>
      <c r="O1761" s="5" t="s">
        <v>3152</v>
      </c>
      <c r="P1761" s="5" t="s">
        <v>2858</v>
      </c>
      <c r="Q1761" s="11">
        <v>46306.5</v>
      </c>
      <c r="R1761" s="6"/>
      <c r="S1761" s="6"/>
      <c r="T1761" s="6"/>
      <c r="U1761" s="5">
        <f>MATCH(B1761,Manual_Review!$A$6:$A$238,0)</f>
        <v>110</v>
      </c>
      <c r="V1761" s="5" t="str">
        <f>IF(INDEX(Manual_Review!$G$6:$G$238,U1761)="","",INDEX(Manual_Review!$G$6:$G$238,U1761))</f>
        <v/>
      </c>
      <c r="W1761" s="11" t="str">
        <f>IF(INDEX(Manual_Review!$H$6:$H$238,U1761)="","",INDEX(Manual_Review!$H$6:$H$238,U1761))</f>
        <v/>
      </c>
      <c r="X1761" s="5" t="str">
        <f>IF(INDEX(Manual_Review!$I$6:$I$238,U1761)="","",INDEX(Manual_Review!$I$6:$I$238,U1761))</f>
        <v/>
      </c>
      <c r="Y1761" s="5" t="s">
        <v>2859</v>
      </c>
    </row>
    <row r="1762" spans="1:25" ht="38.25">
      <c r="A1762" s="5" t="s">
        <v>6527</v>
      </c>
      <c r="B1762" s="5" t="s">
        <v>1311</v>
      </c>
      <c r="C1762" s="5" t="s">
        <v>1312</v>
      </c>
      <c r="D1762" s="5" t="s">
        <v>118</v>
      </c>
      <c r="E1762" s="5" t="s">
        <v>2793</v>
      </c>
      <c r="F1762" s="5" t="s">
        <v>2762</v>
      </c>
      <c r="G1762" s="5">
        <v>1</v>
      </c>
      <c r="H1762" s="5" t="s">
        <v>2854</v>
      </c>
      <c r="I1762" s="5" t="str">
        <f>IF(INDEX(Manual_Review!$W$6:$W$238,U1762)="","",INDEX(Manual_Review!$W$6:$W$238,U1762))</f>
        <v/>
      </c>
      <c r="J1762" s="5" t="str">
        <f t="shared" si="54"/>
        <v>AI provisional</v>
      </c>
      <c r="K1762" s="5" t="str">
        <f t="shared" si="55"/>
        <v>Y</v>
      </c>
      <c r="L1762" s="5" t="s">
        <v>1318</v>
      </c>
      <c r="M1762" s="5" t="s">
        <v>6528</v>
      </c>
      <c r="N1762" s="5" t="s">
        <v>6504</v>
      </c>
      <c r="O1762" s="5" t="s">
        <v>3077</v>
      </c>
      <c r="P1762" s="5" t="s">
        <v>2858</v>
      </c>
      <c r="Q1762" s="11">
        <v>46306.5</v>
      </c>
      <c r="R1762" s="6"/>
      <c r="S1762" s="6"/>
      <c r="T1762" s="6"/>
      <c r="U1762" s="5">
        <f>MATCH(B1762,Manual_Review!$A$6:$A$238,0)</f>
        <v>110</v>
      </c>
      <c r="V1762" s="5" t="str">
        <f>IF(INDEX(Manual_Review!$G$6:$G$238,U1762)="","",INDEX(Manual_Review!$G$6:$G$238,U1762))</f>
        <v/>
      </c>
      <c r="W1762" s="11" t="str">
        <f>IF(INDEX(Manual_Review!$H$6:$H$238,U1762)="","",INDEX(Manual_Review!$H$6:$H$238,U1762))</f>
        <v/>
      </c>
      <c r="X1762" s="5" t="str">
        <f>IF(INDEX(Manual_Review!$I$6:$I$238,U1762)="","",INDEX(Manual_Review!$I$6:$I$238,U1762))</f>
        <v/>
      </c>
      <c r="Y1762" s="5" t="s">
        <v>2859</v>
      </c>
    </row>
    <row r="1763" spans="1:25" ht="38.25">
      <c r="A1763" s="5" t="s">
        <v>6529</v>
      </c>
      <c r="B1763" s="5" t="s">
        <v>1311</v>
      </c>
      <c r="C1763" s="5" t="s">
        <v>1312</v>
      </c>
      <c r="D1763" s="5" t="s">
        <v>118</v>
      </c>
      <c r="E1763" s="5" t="s">
        <v>2794</v>
      </c>
      <c r="F1763" s="5" t="s">
        <v>2764</v>
      </c>
      <c r="G1763" s="5">
        <v>1</v>
      </c>
      <c r="H1763" s="5" t="s">
        <v>2854</v>
      </c>
      <c r="I1763" s="5" t="str">
        <f>IF(INDEX(Manual_Review!$X$6:$X$238,U1763)="","",INDEX(Manual_Review!$X$6:$X$238,U1763))</f>
        <v/>
      </c>
      <c r="J1763" s="5" t="str">
        <f t="shared" si="54"/>
        <v>AI provisional</v>
      </c>
      <c r="K1763" s="5" t="str">
        <f t="shared" si="55"/>
        <v>Y</v>
      </c>
      <c r="L1763" s="5" t="s">
        <v>1318</v>
      </c>
      <c r="M1763" s="5" t="s">
        <v>6530</v>
      </c>
      <c r="N1763" s="5" t="s">
        <v>6504</v>
      </c>
      <c r="O1763" s="5" t="s">
        <v>2984</v>
      </c>
      <c r="P1763" s="5" t="s">
        <v>2858</v>
      </c>
      <c r="Q1763" s="11">
        <v>46306.5</v>
      </c>
      <c r="R1763" s="6"/>
      <c r="S1763" s="6"/>
      <c r="T1763" s="6"/>
      <c r="U1763" s="5">
        <f>MATCH(B1763,Manual_Review!$A$6:$A$238,0)</f>
        <v>110</v>
      </c>
      <c r="V1763" s="5" t="str">
        <f>IF(INDEX(Manual_Review!$G$6:$G$238,U1763)="","",INDEX(Manual_Review!$G$6:$G$238,U1763))</f>
        <v/>
      </c>
      <c r="W1763" s="11" t="str">
        <f>IF(INDEX(Manual_Review!$H$6:$H$238,U1763)="","",INDEX(Manual_Review!$H$6:$H$238,U1763))</f>
        <v/>
      </c>
      <c r="X1763" s="5" t="str">
        <f>IF(INDEX(Manual_Review!$I$6:$I$238,U1763)="","",INDEX(Manual_Review!$I$6:$I$238,U1763))</f>
        <v/>
      </c>
      <c r="Y1763" s="5" t="s">
        <v>2859</v>
      </c>
    </row>
    <row r="1764" spans="1:25" ht="38.25">
      <c r="A1764" s="5" t="s">
        <v>6531</v>
      </c>
      <c r="B1764" s="5" t="s">
        <v>1311</v>
      </c>
      <c r="C1764" s="5" t="s">
        <v>1312</v>
      </c>
      <c r="D1764" s="5" t="s">
        <v>118</v>
      </c>
      <c r="E1764" s="5" t="s">
        <v>2795</v>
      </c>
      <c r="F1764" s="5" t="s">
        <v>2764</v>
      </c>
      <c r="G1764" s="5">
        <v>1</v>
      </c>
      <c r="H1764" s="5" t="s">
        <v>2854</v>
      </c>
      <c r="I1764" s="5" t="str">
        <f>IF(INDEX(Manual_Review!$Y$6:$Y$238,U1764)="","",INDEX(Manual_Review!$Y$6:$Y$238,U1764))</f>
        <v/>
      </c>
      <c r="J1764" s="5" t="str">
        <f t="shared" si="54"/>
        <v>AI provisional</v>
      </c>
      <c r="K1764" s="5" t="str">
        <f t="shared" si="55"/>
        <v>Y</v>
      </c>
      <c r="L1764" s="5" t="s">
        <v>1318</v>
      </c>
      <c r="M1764" s="5" t="s">
        <v>6532</v>
      </c>
      <c r="N1764" s="5" t="s">
        <v>6504</v>
      </c>
      <c r="O1764" s="5" t="s">
        <v>3082</v>
      </c>
      <c r="P1764" s="5" t="s">
        <v>2858</v>
      </c>
      <c r="Q1764" s="11">
        <v>46306.5</v>
      </c>
      <c r="R1764" s="6"/>
      <c r="S1764" s="6"/>
      <c r="T1764" s="6"/>
      <c r="U1764" s="5">
        <f>MATCH(B1764,Manual_Review!$A$6:$A$238,0)</f>
        <v>110</v>
      </c>
      <c r="V1764" s="5" t="str">
        <f>IF(INDEX(Manual_Review!$G$6:$G$238,U1764)="","",INDEX(Manual_Review!$G$6:$G$238,U1764))</f>
        <v/>
      </c>
      <c r="W1764" s="11" t="str">
        <f>IF(INDEX(Manual_Review!$H$6:$H$238,U1764)="","",INDEX(Manual_Review!$H$6:$H$238,U1764))</f>
        <v/>
      </c>
      <c r="X1764" s="5" t="str">
        <f>IF(INDEX(Manual_Review!$I$6:$I$238,U1764)="","",INDEX(Manual_Review!$I$6:$I$238,U1764))</f>
        <v/>
      </c>
      <c r="Y1764" s="5" t="s">
        <v>2859</v>
      </c>
    </row>
    <row r="1765" spans="1:25" ht="38.25">
      <c r="A1765" s="5" t="s">
        <v>6533</v>
      </c>
      <c r="B1765" s="5" t="s">
        <v>1311</v>
      </c>
      <c r="C1765" s="5" t="s">
        <v>1312</v>
      </c>
      <c r="D1765" s="5" t="s">
        <v>118</v>
      </c>
      <c r="E1765" s="5" t="s">
        <v>2796</v>
      </c>
      <c r="F1765" s="5" t="s">
        <v>2764</v>
      </c>
      <c r="G1765" s="5">
        <v>1</v>
      </c>
      <c r="H1765" s="5" t="s">
        <v>2854</v>
      </c>
      <c r="I1765" s="5" t="str">
        <f>IF(INDEX(Manual_Review!$Z$6:$Z$238,U1765)="","",INDEX(Manual_Review!$Z$6:$Z$238,U1765))</f>
        <v/>
      </c>
      <c r="J1765" s="5" t="str">
        <f t="shared" si="54"/>
        <v>AI provisional</v>
      </c>
      <c r="K1765" s="5" t="str">
        <f t="shared" si="55"/>
        <v>Y</v>
      </c>
      <c r="L1765" s="5" t="s">
        <v>1318</v>
      </c>
      <c r="M1765" s="5" t="s">
        <v>6534</v>
      </c>
      <c r="N1765" s="5" t="s">
        <v>6504</v>
      </c>
      <c r="O1765" s="5" t="s">
        <v>3085</v>
      </c>
      <c r="P1765" s="5" t="s">
        <v>2858</v>
      </c>
      <c r="Q1765" s="11">
        <v>46306.5</v>
      </c>
      <c r="R1765" s="6"/>
      <c r="S1765" s="6"/>
      <c r="T1765" s="6"/>
      <c r="U1765" s="5">
        <f>MATCH(B1765,Manual_Review!$A$6:$A$238,0)</f>
        <v>110</v>
      </c>
      <c r="V1765" s="5" t="str">
        <f>IF(INDEX(Manual_Review!$G$6:$G$238,U1765)="","",INDEX(Manual_Review!$G$6:$G$238,U1765))</f>
        <v/>
      </c>
      <c r="W1765" s="11" t="str">
        <f>IF(INDEX(Manual_Review!$H$6:$H$238,U1765)="","",INDEX(Manual_Review!$H$6:$H$238,U1765))</f>
        <v/>
      </c>
      <c r="X1765" s="5" t="str">
        <f>IF(INDEX(Manual_Review!$I$6:$I$238,U1765)="","",INDEX(Manual_Review!$I$6:$I$238,U1765))</f>
        <v/>
      </c>
      <c r="Y1765" s="5" t="s">
        <v>2859</v>
      </c>
    </row>
    <row r="1766" spans="1:25" ht="25.5">
      <c r="A1766" s="5" t="s">
        <v>6535</v>
      </c>
      <c r="B1766" s="5" t="s">
        <v>1320</v>
      </c>
      <c r="C1766" s="5" t="s">
        <v>1321</v>
      </c>
      <c r="D1766" s="5" t="s">
        <v>118</v>
      </c>
      <c r="E1766" s="5" t="s">
        <v>2781</v>
      </c>
      <c r="F1766" s="5" t="s">
        <v>2754</v>
      </c>
      <c r="G1766" s="5">
        <v>1</v>
      </c>
      <c r="H1766" s="5" t="s">
        <v>2854</v>
      </c>
      <c r="I1766" s="5" t="str">
        <f>IF(INDEX(Manual_Review!$K$6:$K$238,U1766)="","",INDEX(Manual_Review!$K$6:$K$238,U1766))</f>
        <v/>
      </c>
      <c r="J1766" s="5" t="str">
        <f t="shared" si="54"/>
        <v>AI provisional</v>
      </c>
      <c r="K1766" s="5" t="str">
        <f t="shared" si="55"/>
        <v>Y</v>
      </c>
      <c r="L1766" s="5" t="s">
        <v>1332</v>
      </c>
      <c r="M1766" s="5" t="s">
        <v>6536</v>
      </c>
      <c r="N1766" s="5" t="s">
        <v>6537</v>
      </c>
      <c r="O1766" s="5" t="s">
        <v>6538</v>
      </c>
      <c r="P1766" s="5" t="s">
        <v>3090</v>
      </c>
      <c r="Q1766" s="11">
        <v>46307.5</v>
      </c>
      <c r="R1766" s="6"/>
      <c r="S1766" s="6"/>
      <c r="T1766" s="6"/>
      <c r="U1766" s="5">
        <f>MATCH(B1766,Manual_Review!$A$6:$A$238,0)</f>
        <v>111</v>
      </c>
      <c r="V1766" s="5" t="str">
        <f>IF(INDEX(Manual_Review!$G$6:$G$238,U1766)="","",INDEX(Manual_Review!$G$6:$G$238,U1766))</f>
        <v/>
      </c>
      <c r="W1766" s="11" t="str">
        <f>IF(INDEX(Manual_Review!$H$6:$H$238,U1766)="","",INDEX(Manual_Review!$H$6:$H$238,U1766))</f>
        <v/>
      </c>
      <c r="X1766" s="5" t="str">
        <f>IF(INDEX(Manual_Review!$I$6:$I$238,U1766)="","",INDEX(Manual_Review!$I$6:$I$238,U1766))</f>
        <v/>
      </c>
      <c r="Y1766" s="5" t="s">
        <v>2859</v>
      </c>
    </row>
    <row r="1767" spans="1:25" ht="25.5">
      <c r="A1767" s="5" t="s">
        <v>6539</v>
      </c>
      <c r="B1767" s="5" t="s">
        <v>1320</v>
      </c>
      <c r="C1767" s="5" t="s">
        <v>1321</v>
      </c>
      <c r="D1767" s="5" t="s">
        <v>118</v>
      </c>
      <c r="E1767" s="5" t="s">
        <v>2782</v>
      </c>
      <c r="F1767" s="5" t="s">
        <v>2754</v>
      </c>
      <c r="G1767" s="5">
        <v>1</v>
      </c>
      <c r="H1767" s="5" t="s">
        <v>2854</v>
      </c>
      <c r="I1767" s="5" t="str">
        <f>IF(INDEX(Manual_Review!$L$6:$L$238,U1767)="","",INDEX(Manual_Review!$L$6:$L$238,U1767))</f>
        <v/>
      </c>
      <c r="J1767" s="5" t="str">
        <f t="shared" si="54"/>
        <v>AI provisional</v>
      </c>
      <c r="K1767" s="5" t="str">
        <f t="shared" si="55"/>
        <v>Y</v>
      </c>
      <c r="L1767" s="5" t="s">
        <v>1332</v>
      </c>
      <c r="M1767" s="5" t="s">
        <v>6536</v>
      </c>
      <c r="N1767" s="5" t="s">
        <v>6540</v>
      </c>
      <c r="O1767" s="5" t="s">
        <v>6538</v>
      </c>
      <c r="P1767" s="5" t="s">
        <v>3090</v>
      </c>
      <c r="Q1767" s="11">
        <v>46307.5</v>
      </c>
      <c r="R1767" s="6"/>
      <c r="S1767" s="6"/>
      <c r="T1767" s="6"/>
      <c r="U1767" s="5">
        <f>MATCH(B1767,Manual_Review!$A$6:$A$238,0)</f>
        <v>111</v>
      </c>
      <c r="V1767" s="5" t="str">
        <f>IF(INDEX(Manual_Review!$G$6:$G$238,U1767)="","",INDEX(Manual_Review!$G$6:$G$238,U1767))</f>
        <v/>
      </c>
      <c r="W1767" s="11" t="str">
        <f>IF(INDEX(Manual_Review!$H$6:$H$238,U1767)="","",INDEX(Manual_Review!$H$6:$H$238,U1767))</f>
        <v/>
      </c>
      <c r="X1767" s="5" t="str">
        <f>IF(INDEX(Manual_Review!$I$6:$I$238,U1767)="","",INDEX(Manual_Review!$I$6:$I$238,U1767))</f>
        <v/>
      </c>
      <c r="Y1767" s="5" t="s">
        <v>2859</v>
      </c>
    </row>
    <row r="1768" spans="1:25" ht="25.5">
      <c r="A1768" s="5" t="s">
        <v>6541</v>
      </c>
      <c r="B1768" s="5" t="s">
        <v>1320</v>
      </c>
      <c r="C1768" s="5" t="s">
        <v>1321</v>
      </c>
      <c r="D1768" s="5" t="s">
        <v>118</v>
      </c>
      <c r="E1768" s="5" t="s">
        <v>2783</v>
      </c>
      <c r="F1768" s="5" t="s">
        <v>2754</v>
      </c>
      <c r="G1768" s="5">
        <v>1</v>
      </c>
      <c r="H1768" s="5" t="s">
        <v>2864</v>
      </c>
      <c r="I1768" s="5" t="str">
        <f>IF(INDEX(Manual_Review!$M$6:$M$238,U1768)="","",INDEX(Manual_Review!$M$6:$M$238,U1768))</f>
        <v/>
      </c>
      <c r="J1768" s="5" t="str">
        <f t="shared" si="54"/>
        <v>AI provisional</v>
      </c>
      <c r="K1768" s="5" t="str">
        <f t="shared" si="55"/>
        <v>U</v>
      </c>
      <c r="L1768" s="5" t="s">
        <v>1332</v>
      </c>
      <c r="M1768" s="5" t="s">
        <v>6536</v>
      </c>
      <c r="N1768" s="5" t="s">
        <v>6542</v>
      </c>
      <c r="O1768" s="5" t="s">
        <v>6538</v>
      </c>
      <c r="P1768" s="5" t="s">
        <v>3090</v>
      </c>
      <c r="Q1768" s="11">
        <v>46307.5</v>
      </c>
      <c r="R1768" s="6"/>
      <c r="S1768" s="6"/>
      <c r="T1768" s="6"/>
      <c r="U1768" s="5">
        <f>MATCH(B1768,Manual_Review!$A$6:$A$238,0)</f>
        <v>111</v>
      </c>
      <c r="V1768" s="5" t="str">
        <f>IF(INDEX(Manual_Review!$G$6:$G$238,U1768)="","",INDEX(Manual_Review!$G$6:$G$238,U1768))</f>
        <v/>
      </c>
      <c r="W1768" s="11" t="str">
        <f>IF(INDEX(Manual_Review!$H$6:$H$238,U1768)="","",INDEX(Manual_Review!$H$6:$H$238,U1768))</f>
        <v/>
      </c>
      <c r="X1768" s="5" t="str">
        <f>IF(INDEX(Manual_Review!$I$6:$I$238,U1768)="","",INDEX(Manual_Review!$I$6:$I$238,U1768))</f>
        <v/>
      </c>
      <c r="Y1768" s="5" t="s">
        <v>2859</v>
      </c>
    </row>
    <row r="1769" spans="1:25" ht="25.5">
      <c r="A1769" s="5" t="s">
        <v>6543</v>
      </c>
      <c r="B1769" s="5" t="s">
        <v>1320</v>
      </c>
      <c r="C1769" s="5" t="s">
        <v>1321</v>
      </c>
      <c r="D1769" s="5" t="s">
        <v>118</v>
      </c>
      <c r="E1769" s="5" t="s">
        <v>2784</v>
      </c>
      <c r="F1769" s="5" t="s">
        <v>2756</v>
      </c>
      <c r="G1769" s="5">
        <v>1</v>
      </c>
      <c r="H1769" s="5" t="s">
        <v>2854</v>
      </c>
      <c r="I1769" s="5" t="str">
        <f>IF(INDEX(Manual_Review!$N$6:$N$238,U1769)="","",INDEX(Manual_Review!$N$6:$N$238,U1769))</f>
        <v/>
      </c>
      <c r="J1769" s="5" t="str">
        <f t="shared" si="54"/>
        <v>AI provisional</v>
      </c>
      <c r="K1769" s="5" t="str">
        <f t="shared" si="55"/>
        <v>Y</v>
      </c>
      <c r="L1769" s="5" t="s">
        <v>1332</v>
      </c>
      <c r="M1769" s="5" t="s">
        <v>6536</v>
      </c>
      <c r="N1769" s="5" t="s">
        <v>6544</v>
      </c>
      <c r="O1769" s="5" t="s">
        <v>6538</v>
      </c>
      <c r="P1769" s="5" t="s">
        <v>3090</v>
      </c>
      <c r="Q1769" s="11">
        <v>46307.5</v>
      </c>
      <c r="R1769" s="6"/>
      <c r="S1769" s="6"/>
      <c r="T1769" s="6"/>
      <c r="U1769" s="5">
        <f>MATCH(B1769,Manual_Review!$A$6:$A$238,0)</f>
        <v>111</v>
      </c>
      <c r="V1769" s="5" t="str">
        <f>IF(INDEX(Manual_Review!$G$6:$G$238,U1769)="","",INDEX(Manual_Review!$G$6:$G$238,U1769))</f>
        <v/>
      </c>
      <c r="W1769" s="11" t="str">
        <f>IF(INDEX(Manual_Review!$H$6:$H$238,U1769)="","",INDEX(Manual_Review!$H$6:$H$238,U1769))</f>
        <v/>
      </c>
      <c r="X1769" s="5" t="str">
        <f>IF(INDEX(Manual_Review!$I$6:$I$238,U1769)="","",INDEX(Manual_Review!$I$6:$I$238,U1769))</f>
        <v/>
      </c>
      <c r="Y1769" s="5" t="s">
        <v>2859</v>
      </c>
    </row>
    <row r="1770" spans="1:25" ht="25.5">
      <c r="A1770" s="5" t="s">
        <v>6545</v>
      </c>
      <c r="B1770" s="5" t="s">
        <v>1320</v>
      </c>
      <c r="C1770" s="5" t="s">
        <v>1321</v>
      </c>
      <c r="D1770" s="5" t="s">
        <v>118</v>
      </c>
      <c r="E1770" s="5" t="s">
        <v>2785</v>
      </c>
      <c r="F1770" s="5" t="s">
        <v>2756</v>
      </c>
      <c r="G1770" s="5">
        <v>1</v>
      </c>
      <c r="H1770" s="5" t="s">
        <v>2864</v>
      </c>
      <c r="I1770" s="5" t="str">
        <f>IF(INDEX(Manual_Review!$O$6:$O$238,U1770)="","",INDEX(Manual_Review!$O$6:$O$238,U1770))</f>
        <v/>
      </c>
      <c r="J1770" s="5" t="str">
        <f t="shared" si="54"/>
        <v>AI provisional</v>
      </c>
      <c r="K1770" s="5" t="str">
        <f t="shared" si="55"/>
        <v>U</v>
      </c>
      <c r="L1770" s="5" t="s">
        <v>1332</v>
      </c>
      <c r="M1770" s="5" t="s">
        <v>6536</v>
      </c>
      <c r="N1770" s="5" t="s">
        <v>6546</v>
      </c>
      <c r="O1770" s="5" t="s">
        <v>6538</v>
      </c>
      <c r="P1770" s="5" t="s">
        <v>3090</v>
      </c>
      <c r="Q1770" s="11">
        <v>46307.5</v>
      </c>
      <c r="R1770" s="6"/>
      <c r="S1770" s="6"/>
      <c r="T1770" s="6"/>
      <c r="U1770" s="5">
        <f>MATCH(B1770,Manual_Review!$A$6:$A$238,0)</f>
        <v>111</v>
      </c>
      <c r="V1770" s="5" t="str">
        <f>IF(INDEX(Manual_Review!$G$6:$G$238,U1770)="","",INDEX(Manual_Review!$G$6:$G$238,U1770))</f>
        <v/>
      </c>
      <c r="W1770" s="11" t="str">
        <f>IF(INDEX(Manual_Review!$H$6:$H$238,U1770)="","",INDEX(Manual_Review!$H$6:$H$238,U1770))</f>
        <v/>
      </c>
      <c r="X1770" s="5" t="str">
        <f>IF(INDEX(Manual_Review!$I$6:$I$238,U1770)="","",INDEX(Manual_Review!$I$6:$I$238,U1770))</f>
        <v/>
      </c>
      <c r="Y1770" s="5" t="s">
        <v>2859</v>
      </c>
    </row>
    <row r="1771" spans="1:25" ht="25.5">
      <c r="A1771" s="5" t="s">
        <v>6547</v>
      </c>
      <c r="B1771" s="5" t="s">
        <v>1320</v>
      </c>
      <c r="C1771" s="5" t="s">
        <v>1321</v>
      </c>
      <c r="D1771" s="5" t="s">
        <v>118</v>
      </c>
      <c r="E1771" s="5" t="s">
        <v>2786</v>
      </c>
      <c r="F1771" s="5" t="s">
        <v>2756</v>
      </c>
      <c r="G1771" s="5">
        <v>1</v>
      </c>
      <c r="H1771" s="5" t="s">
        <v>2864</v>
      </c>
      <c r="I1771" s="5" t="str">
        <f>IF(INDEX(Manual_Review!$P$6:$P$238,U1771)="","",INDEX(Manual_Review!$P$6:$P$238,U1771))</f>
        <v/>
      </c>
      <c r="J1771" s="5" t="str">
        <f t="shared" si="54"/>
        <v>AI provisional</v>
      </c>
      <c r="K1771" s="5" t="str">
        <f t="shared" si="55"/>
        <v>U</v>
      </c>
      <c r="L1771" s="5" t="s">
        <v>1332</v>
      </c>
      <c r="M1771" s="5" t="s">
        <v>6536</v>
      </c>
      <c r="N1771" s="5" t="s">
        <v>6548</v>
      </c>
      <c r="O1771" s="5" t="s">
        <v>6538</v>
      </c>
      <c r="P1771" s="5" t="s">
        <v>3090</v>
      </c>
      <c r="Q1771" s="11">
        <v>46307.5</v>
      </c>
      <c r="R1771" s="6"/>
      <c r="S1771" s="6"/>
      <c r="T1771" s="6"/>
      <c r="U1771" s="5">
        <f>MATCH(B1771,Manual_Review!$A$6:$A$238,0)</f>
        <v>111</v>
      </c>
      <c r="V1771" s="5" t="str">
        <f>IF(INDEX(Manual_Review!$G$6:$G$238,U1771)="","",INDEX(Manual_Review!$G$6:$G$238,U1771))</f>
        <v/>
      </c>
      <c r="W1771" s="11" t="str">
        <f>IF(INDEX(Manual_Review!$H$6:$H$238,U1771)="","",INDEX(Manual_Review!$H$6:$H$238,U1771))</f>
        <v/>
      </c>
      <c r="X1771" s="5" t="str">
        <f>IF(INDEX(Manual_Review!$I$6:$I$238,U1771)="","",INDEX(Manual_Review!$I$6:$I$238,U1771))</f>
        <v/>
      </c>
      <c r="Y1771" s="5" t="s">
        <v>2859</v>
      </c>
    </row>
    <row r="1772" spans="1:25" ht="25.5">
      <c r="A1772" s="5" t="s">
        <v>6549</v>
      </c>
      <c r="B1772" s="5" t="s">
        <v>1320</v>
      </c>
      <c r="C1772" s="5" t="s">
        <v>1321</v>
      </c>
      <c r="D1772" s="5" t="s">
        <v>118</v>
      </c>
      <c r="E1772" s="5" t="s">
        <v>2787</v>
      </c>
      <c r="F1772" s="5" t="s">
        <v>2758</v>
      </c>
      <c r="G1772" s="5">
        <v>1</v>
      </c>
      <c r="H1772" s="5" t="s">
        <v>2864</v>
      </c>
      <c r="I1772" s="5" t="str">
        <f>IF(INDEX(Manual_Review!$Q$6:$Q$238,U1772)="","",INDEX(Manual_Review!$Q$6:$Q$238,U1772))</f>
        <v/>
      </c>
      <c r="J1772" s="5" t="str">
        <f t="shared" si="54"/>
        <v>AI provisional</v>
      </c>
      <c r="K1772" s="5" t="str">
        <f t="shared" si="55"/>
        <v>U</v>
      </c>
      <c r="L1772" s="5" t="s">
        <v>1332</v>
      </c>
      <c r="M1772" s="5" t="s">
        <v>6536</v>
      </c>
      <c r="N1772" s="5" t="s">
        <v>6550</v>
      </c>
      <c r="O1772" s="5" t="s">
        <v>6538</v>
      </c>
      <c r="P1772" s="5" t="s">
        <v>3090</v>
      </c>
      <c r="Q1772" s="11">
        <v>46307.5</v>
      </c>
      <c r="R1772" s="6"/>
      <c r="S1772" s="6"/>
      <c r="T1772" s="6"/>
      <c r="U1772" s="5">
        <f>MATCH(B1772,Manual_Review!$A$6:$A$238,0)</f>
        <v>111</v>
      </c>
      <c r="V1772" s="5" t="str">
        <f>IF(INDEX(Manual_Review!$G$6:$G$238,U1772)="","",INDEX(Manual_Review!$G$6:$G$238,U1772))</f>
        <v/>
      </c>
      <c r="W1772" s="11" t="str">
        <f>IF(INDEX(Manual_Review!$H$6:$H$238,U1772)="","",INDEX(Manual_Review!$H$6:$H$238,U1772))</f>
        <v/>
      </c>
      <c r="X1772" s="5" t="str">
        <f>IF(INDEX(Manual_Review!$I$6:$I$238,U1772)="","",INDEX(Manual_Review!$I$6:$I$238,U1772))</f>
        <v/>
      </c>
      <c r="Y1772" s="5" t="s">
        <v>2859</v>
      </c>
    </row>
    <row r="1773" spans="1:25" ht="25.5">
      <c r="A1773" s="5" t="s">
        <v>6551</v>
      </c>
      <c r="B1773" s="5" t="s">
        <v>1320</v>
      </c>
      <c r="C1773" s="5" t="s">
        <v>1321</v>
      </c>
      <c r="D1773" s="5" t="s">
        <v>118</v>
      </c>
      <c r="E1773" s="5" t="s">
        <v>2788</v>
      </c>
      <c r="F1773" s="5" t="s">
        <v>2758</v>
      </c>
      <c r="G1773" s="5">
        <v>1</v>
      </c>
      <c r="H1773" s="5" t="s">
        <v>2854</v>
      </c>
      <c r="I1773" s="5" t="str">
        <f>IF(INDEX(Manual_Review!$R$6:$R$238,U1773)="","",INDEX(Manual_Review!$R$6:$R$238,U1773))</f>
        <v/>
      </c>
      <c r="J1773" s="5" t="str">
        <f t="shared" si="54"/>
        <v>AI provisional</v>
      </c>
      <c r="K1773" s="5" t="str">
        <f t="shared" si="55"/>
        <v>Y</v>
      </c>
      <c r="L1773" s="5" t="s">
        <v>1332</v>
      </c>
      <c r="M1773" s="5" t="s">
        <v>6536</v>
      </c>
      <c r="N1773" s="5" t="s">
        <v>6552</v>
      </c>
      <c r="O1773" s="5" t="s">
        <v>6538</v>
      </c>
      <c r="P1773" s="5" t="s">
        <v>3090</v>
      </c>
      <c r="Q1773" s="11">
        <v>46307.5</v>
      </c>
      <c r="R1773" s="6"/>
      <c r="S1773" s="6"/>
      <c r="T1773" s="6"/>
      <c r="U1773" s="5">
        <f>MATCH(B1773,Manual_Review!$A$6:$A$238,0)</f>
        <v>111</v>
      </c>
      <c r="V1773" s="5" t="str">
        <f>IF(INDEX(Manual_Review!$G$6:$G$238,U1773)="","",INDEX(Manual_Review!$G$6:$G$238,U1773))</f>
        <v/>
      </c>
      <c r="W1773" s="11" t="str">
        <f>IF(INDEX(Manual_Review!$H$6:$H$238,U1773)="","",INDEX(Manual_Review!$H$6:$H$238,U1773))</f>
        <v/>
      </c>
      <c r="X1773" s="5" t="str">
        <f>IF(INDEX(Manual_Review!$I$6:$I$238,U1773)="","",INDEX(Manual_Review!$I$6:$I$238,U1773))</f>
        <v/>
      </c>
      <c r="Y1773" s="5" t="s">
        <v>2859</v>
      </c>
    </row>
    <row r="1774" spans="1:25" ht="25.5">
      <c r="A1774" s="5" t="s">
        <v>6553</v>
      </c>
      <c r="B1774" s="5" t="s">
        <v>1320</v>
      </c>
      <c r="C1774" s="5" t="s">
        <v>1321</v>
      </c>
      <c r="D1774" s="5" t="s">
        <v>118</v>
      </c>
      <c r="E1774" s="5" t="s">
        <v>2789</v>
      </c>
      <c r="F1774" s="5" t="s">
        <v>2758</v>
      </c>
      <c r="G1774" s="5">
        <v>1</v>
      </c>
      <c r="H1774" s="5" t="s">
        <v>2854</v>
      </c>
      <c r="I1774" s="5" t="str">
        <f>IF(INDEX(Manual_Review!$S$6:$S$238,U1774)="","",INDEX(Manual_Review!$S$6:$S$238,U1774))</f>
        <v/>
      </c>
      <c r="J1774" s="5" t="str">
        <f t="shared" si="54"/>
        <v>AI provisional</v>
      </c>
      <c r="K1774" s="5" t="str">
        <f t="shared" si="55"/>
        <v>Y</v>
      </c>
      <c r="L1774" s="5" t="s">
        <v>1332</v>
      </c>
      <c r="M1774" s="5" t="s">
        <v>6536</v>
      </c>
      <c r="N1774" s="5" t="s">
        <v>6554</v>
      </c>
      <c r="O1774" s="5" t="s">
        <v>6538</v>
      </c>
      <c r="P1774" s="5" t="s">
        <v>3090</v>
      </c>
      <c r="Q1774" s="11">
        <v>46307.5</v>
      </c>
      <c r="R1774" s="6"/>
      <c r="S1774" s="6"/>
      <c r="T1774" s="6"/>
      <c r="U1774" s="5">
        <f>MATCH(B1774,Manual_Review!$A$6:$A$238,0)</f>
        <v>111</v>
      </c>
      <c r="V1774" s="5" t="str">
        <f>IF(INDEX(Manual_Review!$G$6:$G$238,U1774)="","",INDEX(Manual_Review!$G$6:$G$238,U1774))</f>
        <v/>
      </c>
      <c r="W1774" s="11" t="str">
        <f>IF(INDEX(Manual_Review!$H$6:$H$238,U1774)="","",INDEX(Manual_Review!$H$6:$H$238,U1774))</f>
        <v/>
      </c>
      <c r="X1774" s="5" t="str">
        <f>IF(INDEX(Manual_Review!$I$6:$I$238,U1774)="","",INDEX(Manual_Review!$I$6:$I$238,U1774))</f>
        <v/>
      </c>
      <c r="Y1774" s="5" t="s">
        <v>2859</v>
      </c>
    </row>
    <row r="1775" spans="1:25" ht="25.5">
      <c r="A1775" s="5" t="s">
        <v>6555</v>
      </c>
      <c r="B1775" s="5" t="s">
        <v>1320</v>
      </c>
      <c r="C1775" s="5" t="s">
        <v>1321</v>
      </c>
      <c r="D1775" s="5" t="s">
        <v>118</v>
      </c>
      <c r="E1775" s="5" t="s">
        <v>2790</v>
      </c>
      <c r="F1775" s="5" t="s">
        <v>2760</v>
      </c>
      <c r="G1775" s="5">
        <v>1</v>
      </c>
      <c r="H1775" s="5" t="s">
        <v>2854</v>
      </c>
      <c r="I1775" s="5" t="str">
        <f>IF(INDEX(Manual_Review!$T$6:$T$238,U1775)="","",INDEX(Manual_Review!$T$6:$T$238,U1775))</f>
        <v/>
      </c>
      <c r="J1775" s="5" t="str">
        <f t="shared" si="54"/>
        <v>AI provisional</v>
      </c>
      <c r="K1775" s="5" t="str">
        <f t="shared" si="55"/>
        <v>Y</v>
      </c>
      <c r="L1775" s="5" t="s">
        <v>1332</v>
      </c>
      <c r="M1775" s="5" t="s">
        <v>6536</v>
      </c>
      <c r="N1775" s="5" t="s">
        <v>6556</v>
      </c>
      <c r="O1775" s="5" t="s">
        <v>6538</v>
      </c>
      <c r="P1775" s="5" t="s">
        <v>3090</v>
      </c>
      <c r="Q1775" s="11">
        <v>46307.5</v>
      </c>
      <c r="R1775" s="6"/>
      <c r="S1775" s="6"/>
      <c r="T1775" s="6"/>
      <c r="U1775" s="5">
        <f>MATCH(B1775,Manual_Review!$A$6:$A$238,0)</f>
        <v>111</v>
      </c>
      <c r="V1775" s="5" t="str">
        <f>IF(INDEX(Manual_Review!$G$6:$G$238,U1775)="","",INDEX(Manual_Review!$G$6:$G$238,U1775))</f>
        <v/>
      </c>
      <c r="W1775" s="11" t="str">
        <f>IF(INDEX(Manual_Review!$H$6:$H$238,U1775)="","",INDEX(Manual_Review!$H$6:$H$238,U1775))</f>
        <v/>
      </c>
      <c r="X1775" s="5" t="str">
        <f>IF(INDEX(Manual_Review!$I$6:$I$238,U1775)="","",INDEX(Manual_Review!$I$6:$I$238,U1775))</f>
        <v/>
      </c>
      <c r="Y1775" s="5" t="s">
        <v>2859</v>
      </c>
    </row>
    <row r="1776" spans="1:25" ht="25.5">
      <c r="A1776" s="5" t="s">
        <v>6557</v>
      </c>
      <c r="B1776" s="5" t="s">
        <v>1320</v>
      </c>
      <c r="C1776" s="5" t="s">
        <v>1321</v>
      </c>
      <c r="D1776" s="5" t="s">
        <v>118</v>
      </c>
      <c r="E1776" s="5" t="s">
        <v>2791</v>
      </c>
      <c r="F1776" s="5" t="s">
        <v>2760</v>
      </c>
      <c r="G1776" s="5">
        <v>1</v>
      </c>
      <c r="H1776" s="5" t="s">
        <v>2864</v>
      </c>
      <c r="I1776" s="5" t="str">
        <f>IF(INDEX(Manual_Review!$U$6:$U$238,U1776)="","",INDEX(Manual_Review!$U$6:$U$238,U1776))</f>
        <v/>
      </c>
      <c r="J1776" s="5" t="str">
        <f t="shared" si="54"/>
        <v>AI provisional</v>
      </c>
      <c r="K1776" s="5" t="str">
        <f t="shared" si="55"/>
        <v>U</v>
      </c>
      <c r="L1776" s="5" t="s">
        <v>1332</v>
      </c>
      <c r="M1776" s="5" t="s">
        <v>6536</v>
      </c>
      <c r="N1776" s="5" t="s">
        <v>6558</v>
      </c>
      <c r="O1776" s="5" t="s">
        <v>6538</v>
      </c>
      <c r="P1776" s="5" t="s">
        <v>3090</v>
      </c>
      <c r="Q1776" s="11">
        <v>46307.5</v>
      </c>
      <c r="R1776" s="6"/>
      <c r="S1776" s="6"/>
      <c r="T1776" s="6"/>
      <c r="U1776" s="5">
        <f>MATCH(B1776,Manual_Review!$A$6:$A$238,0)</f>
        <v>111</v>
      </c>
      <c r="V1776" s="5" t="str">
        <f>IF(INDEX(Manual_Review!$G$6:$G$238,U1776)="","",INDEX(Manual_Review!$G$6:$G$238,U1776))</f>
        <v/>
      </c>
      <c r="W1776" s="11" t="str">
        <f>IF(INDEX(Manual_Review!$H$6:$H$238,U1776)="","",INDEX(Manual_Review!$H$6:$H$238,U1776))</f>
        <v/>
      </c>
      <c r="X1776" s="5" t="str">
        <f>IF(INDEX(Manual_Review!$I$6:$I$238,U1776)="","",INDEX(Manual_Review!$I$6:$I$238,U1776))</f>
        <v/>
      </c>
      <c r="Y1776" s="5" t="s">
        <v>2859</v>
      </c>
    </row>
    <row r="1777" spans="1:25" ht="25.5">
      <c r="A1777" s="5" t="s">
        <v>6559</v>
      </c>
      <c r="B1777" s="5" t="s">
        <v>1320</v>
      </c>
      <c r="C1777" s="5" t="s">
        <v>1321</v>
      </c>
      <c r="D1777" s="5" t="s">
        <v>118</v>
      </c>
      <c r="E1777" s="5" t="s">
        <v>2792</v>
      </c>
      <c r="F1777" s="5" t="s">
        <v>2762</v>
      </c>
      <c r="G1777" s="5">
        <v>1</v>
      </c>
      <c r="H1777" s="5" t="s">
        <v>2864</v>
      </c>
      <c r="I1777" s="5" t="str">
        <f>IF(INDEX(Manual_Review!$V$6:$V$238,U1777)="","",INDEX(Manual_Review!$V$6:$V$238,U1777))</f>
        <v/>
      </c>
      <c r="J1777" s="5" t="str">
        <f t="shared" si="54"/>
        <v>AI provisional</v>
      </c>
      <c r="K1777" s="5" t="str">
        <f t="shared" si="55"/>
        <v>U</v>
      </c>
      <c r="L1777" s="5" t="s">
        <v>1332</v>
      </c>
      <c r="M1777" s="5" t="s">
        <v>6536</v>
      </c>
      <c r="N1777" s="5" t="s">
        <v>6560</v>
      </c>
      <c r="O1777" s="5" t="s">
        <v>6538</v>
      </c>
      <c r="P1777" s="5" t="s">
        <v>3090</v>
      </c>
      <c r="Q1777" s="11">
        <v>46307.5</v>
      </c>
      <c r="R1777" s="6"/>
      <c r="S1777" s="6"/>
      <c r="T1777" s="6"/>
      <c r="U1777" s="5">
        <f>MATCH(B1777,Manual_Review!$A$6:$A$238,0)</f>
        <v>111</v>
      </c>
      <c r="V1777" s="5" t="str">
        <f>IF(INDEX(Manual_Review!$G$6:$G$238,U1777)="","",INDEX(Manual_Review!$G$6:$G$238,U1777))</f>
        <v/>
      </c>
      <c r="W1777" s="11" t="str">
        <f>IF(INDEX(Manual_Review!$H$6:$H$238,U1777)="","",INDEX(Manual_Review!$H$6:$H$238,U1777))</f>
        <v/>
      </c>
      <c r="X1777" s="5" t="str">
        <f>IF(INDEX(Manual_Review!$I$6:$I$238,U1777)="","",INDEX(Manual_Review!$I$6:$I$238,U1777))</f>
        <v/>
      </c>
      <c r="Y1777" s="5" t="s">
        <v>2859</v>
      </c>
    </row>
    <row r="1778" spans="1:25" ht="25.5">
      <c r="A1778" s="5" t="s">
        <v>6561</v>
      </c>
      <c r="B1778" s="5" t="s">
        <v>1320</v>
      </c>
      <c r="C1778" s="5" t="s">
        <v>1321</v>
      </c>
      <c r="D1778" s="5" t="s">
        <v>118</v>
      </c>
      <c r="E1778" s="5" t="s">
        <v>2793</v>
      </c>
      <c r="F1778" s="5" t="s">
        <v>2762</v>
      </c>
      <c r="G1778" s="5">
        <v>1</v>
      </c>
      <c r="H1778" s="5" t="s">
        <v>2854</v>
      </c>
      <c r="I1778" s="5" t="str">
        <f>IF(INDEX(Manual_Review!$W$6:$W$238,U1778)="","",INDEX(Manual_Review!$W$6:$W$238,U1778))</f>
        <v/>
      </c>
      <c r="J1778" s="5" t="str">
        <f t="shared" si="54"/>
        <v>AI provisional</v>
      </c>
      <c r="K1778" s="5" t="str">
        <f t="shared" si="55"/>
        <v>Y</v>
      </c>
      <c r="L1778" s="5" t="s">
        <v>1332</v>
      </c>
      <c r="M1778" s="5" t="s">
        <v>6536</v>
      </c>
      <c r="N1778" s="5" t="s">
        <v>6562</v>
      </c>
      <c r="O1778" s="5" t="s">
        <v>6538</v>
      </c>
      <c r="P1778" s="5" t="s">
        <v>3090</v>
      </c>
      <c r="Q1778" s="11">
        <v>46307.5</v>
      </c>
      <c r="R1778" s="6"/>
      <c r="S1778" s="6"/>
      <c r="T1778" s="6"/>
      <c r="U1778" s="5">
        <f>MATCH(B1778,Manual_Review!$A$6:$A$238,0)</f>
        <v>111</v>
      </c>
      <c r="V1778" s="5" t="str">
        <f>IF(INDEX(Manual_Review!$G$6:$G$238,U1778)="","",INDEX(Manual_Review!$G$6:$G$238,U1778))</f>
        <v/>
      </c>
      <c r="W1778" s="11" t="str">
        <f>IF(INDEX(Manual_Review!$H$6:$H$238,U1778)="","",INDEX(Manual_Review!$H$6:$H$238,U1778))</f>
        <v/>
      </c>
      <c r="X1778" s="5" t="str">
        <f>IF(INDEX(Manual_Review!$I$6:$I$238,U1778)="","",INDEX(Manual_Review!$I$6:$I$238,U1778))</f>
        <v/>
      </c>
      <c r="Y1778" s="5" t="s">
        <v>2859</v>
      </c>
    </row>
    <row r="1779" spans="1:25" ht="25.5">
      <c r="A1779" s="5" t="s">
        <v>6563</v>
      </c>
      <c r="B1779" s="5" t="s">
        <v>1320</v>
      </c>
      <c r="C1779" s="5" t="s">
        <v>1321</v>
      </c>
      <c r="D1779" s="5" t="s">
        <v>118</v>
      </c>
      <c r="E1779" s="5" t="s">
        <v>2794</v>
      </c>
      <c r="F1779" s="5" t="s">
        <v>2764</v>
      </c>
      <c r="G1779" s="5">
        <v>1</v>
      </c>
      <c r="H1779" s="5" t="s">
        <v>2854</v>
      </c>
      <c r="I1779" s="5" t="str">
        <f>IF(INDEX(Manual_Review!$X$6:$X$238,U1779)="","",INDEX(Manual_Review!$X$6:$X$238,U1779))</f>
        <v/>
      </c>
      <c r="J1779" s="5" t="str">
        <f t="shared" si="54"/>
        <v>AI provisional</v>
      </c>
      <c r="K1779" s="5" t="str">
        <f t="shared" si="55"/>
        <v>Y</v>
      </c>
      <c r="L1779" s="5" t="s">
        <v>1332</v>
      </c>
      <c r="M1779" s="5" t="s">
        <v>6536</v>
      </c>
      <c r="N1779" s="5" t="s">
        <v>6564</v>
      </c>
      <c r="O1779" s="5" t="s">
        <v>6538</v>
      </c>
      <c r="P1779" s="5" t="s">
        <v>3090</v>
      </c>
      <c r="Q1779" s="11">
        <v>46307.5</v>
      </c>
      <c r="R1779" s="6"/>
      <c r="S1779" s="6"/>
      <c r="T1779" s="6"/>
      <c r="U1779" s="5">
        <f>MATCH(B1779,Manual_Review!$A$6:$A$238,0)</f>
        <v>111</v>
      </c>
      <c r="V1779" s="5" t="str">
        <f>IF(INDEX(Manual_Review!$G$6:$G$238,U1779)="","",INDEX(Manual_Review!$G$6:$G$238,U1779))</f>
        <v/>
      </c>
      <c r="W1779" s="11" t="str">
        <f>IF(INDEX(Manual_Review!$H$6:$H$238,U1779)="","",INDEX(Manual_Review!$H$6:$H$238,U1779))</f>
        <v/>
      </c>
      <c r="X1779" s="5" t="str">
        <f>IF(INDEX(Manual_Review!$I$6:$I$238,U1779)="","",INDEX(Manual_Review!$I$6:$I$238,U1779))</f>
        <v/>
      </c>
      <c r="Y1779" s="5" t="s">
        <v>2859</v>
      </c>
    </row>
    <row r="1780" spans="1:25" ht="25.5">
      <c r="A1780" s="5" t="s">
        <v>6565</v>
      </c>
      <c r="B1780" s="5" t="s">
        <v>1320</v>
      </c>
      <c r="C1780" s="5" t="s">
        <v>1321</v>
      </c>
      <c r="D1780" s="5" t="s">
        <v>118</v>
      </c>
      <c r="E1780" s="5" t="s">
        <v>2795</v>
      </c>
      <c r="F1780" s="5" t="s">
        <v>2764</v>
      </c>
      <c r="G1780" s="5">
        <v>1</v>
      </c>
      <c r="H1780" s="5" t="s">
        <v>2864</v>
      </c>
      <c r="I1780" s="5" t="str">
        <f>IF(INDEX(Manual_Review!$Y$6:$Y$238,U1780)="","",INDEX(Manual_Review!$Y$6:$Y$238,U1780))</f>
        <v/>
      </c>
      <c r="J1780" s="5" t="str">
        <f t="shared" si="54"/>
        <v>AI provisional</v>
      </c>
      <c r="K1780" s="5" t="str">
        <f t="shared" si="55"/>
        <v>U</v>
      </c>
      <c r="L1780" s="5" t="s">
        <v>1332</v>
      </c>
      <c r="M1780" s="5" t="s">
        <v>6536</v>
      </c>
      <c r="N1780" s="5" t="s">
        <v>6566</v>
      </c>
      <c r="O1780" s="5" t="s">
        <v>6538</v>
      </c>
      <c r="P1780" s="5" t="s">
        <v>3090</v>
      </c>
      <c r="Q1780" s="11">
        <v>46307.5</v>
      </c>
      <c r="R1780" s="6"/>
      <c r="S1780" s="6"/>
      <c r="T1780" s="6"/>
      <c r="U1780" s="5">
        <f>MATCH(B1780,Manual_Review!$A$6:$A$238,0)</f>
        <v>111</v>
      </c>
      <c r="V1780" s="5" t="str">
        <f>IF(INDEX(Manual_Review!$G$6:$G$238,U1780)="","",INDEX(Manual_Review!$G$6:$G$238,U1780))</f>
        <v/>
      </c>
      <c r="W1780" s="11" t="str">
        <f>IF(INDEX(Manual_Review!$H$6:$H$238,U1780)="","",INDEX(Manual_Review!$H$6:$H$238,U1780))</f>
        <v/>
      </c>
      <c r="X1780" s="5" t="str">
        <f>IF(INDEX(Manual_Review!$I$6:$I$238,U1780)="","",INDEX(Manual_Review!$I$6:$I$238,U1780))</f>
        <v/>
      </c>
      <c r="Y1780" s="5" t="s">
        <v>2859</v>
      </c>
    </row>
    <row r="1781" spans="1:25" ht="25.5">
      <c r="A1781" s="5" t="s">
        <v>6567</v>
      </c>
      <c r="B1781" s="5" t="s">
        <v>1320</v>
      </c>
      <c r="C1781" s="5" t="s">
        <v>1321</v>
      </c>
      <c r="D1781" s="5" t="s">
        <v>118</v>
      </c>
      <c r="E1781" s="5" t="s">
        <v>2796</v>
      </c>
      <c r="F1781" s="5" t="s">
        <v>2764</v>
      </c>
      <c r="G1781" s="5">
        <v>1</v>
      </c>
      <c r="H1781" s="5" t="s">
        <v>2854</v>
      </c>
      <c r="I1781" s="5" t="str">
        <f>IF(INDEX(Manual_Review!$Z$6:$Z$238,U1781)="","",INDEX(Manual_Review!$Z$6:$Z$238,U1781))</f>
        <v/>
      </c>
      <c r="J1781" s="5" t="str">
        <f t="shared" si="54"/>
        <v>AI provisional</v>
      </c>
      <c r="K1781" s="5" t="str">
        <f t="shared" si="55"/>
        <v>Y</v>
      </c>
      <c r="L1781" s="5" t="s">
        <v>1332</v>
      </c>
      <c r="M1781" s="5" t="s">
        <v>6536</v>
      </c>
      <c r="N1781" s="5" t="s">
        <v>6568</v>
      </c>
      <c r="O1781" s="5" t="s">
        <v>6538</v>
      </c>
      <c r="P1781" s="5" t="s">
        <v>3090</v>
      </c>
      <c r="Q1781" s="11">
        <v>46307.5</v>
      </c>
      <c r="R1781" s="6"/>
      <c r="S1781" s="6"/>
      <c r="T1781" s="6"/>
      <c r="U1781" s="5">
        <f>MATCH(B1781,Manual_Review!$A$6:$A$238,0)</f>
        <v>111</v>
      </c>
      <c r="V1781" s="5" t="str">
        <f>IF(INDEX(Manual_Review!$G$6:$G$238,U1781)="","",INDEX(Manual_Review!$G$6:$G$238,U1781))</f>
        <v/>
      </c>
      <c r="W1781" s="11" t="str">
        <f>IF(INDEX(Manual_Review!$H$6:$H$238,U1781)="","",INDEX(Manual_Review!$H$6:$H$238,U1781))</f>
        <v/>
      </c>
      <c r="X1781" s="5" t="str">
        <f>IF(INDEX(Manual_Review!$I$6:$I$238,U1781)="","",INDEX(Manual_Review!$I$6:$I$238,U1781))</f>
        <v/>
      </c>
      <c r="Y1781" s="5" t="s">
        <v>2859</v>
      </c>
    </row>
    <row r="1782" spans="1:25" ht="25.5">
      <c r="A1782" s="5" t="s">
        <v>6569</v>
      </c>
      <c r="B1782" s="5" t="s">
        <v>1334</v>
      </c>
      <c r="C1782" s="5" t="s">
        <v>1335</v>
      </c>
      <c r="D1782" s="5" t="s">
        <v>1336</v>
      </c>
      <c r="E1782" s="5" t="s">
        <v>2781</v>
      </c>
      <c r="F1782" s="5" t="s">
        <v>2754</v>
      </c>
      <c r="G1782" s="5">
        <v>1</v>
      </c>
      <c r="H1782" s="5" t="s">
        <v>2854</v>
      </c>
      <c r="I1782" s="5" t="str">
        <f>IF(INDEX(Manual_Review!$K$6:$K$238,U1782)="","",INDEX(Manual_Review!$K$6:$K$238,U1782))</f>
        <v/>
      </c>
      <c r="J1782" s="5" t="str">
        <f t="shared" si="54"/>
        <v>AI provisional</v>
      </c>
      <c r="K1782" s="5" t="str">
        <f t="shared" si="55"/>
        <v>Y</v>
      </c>
      <c r="L1782" s="5" t="s">
        <v>1343</v>
      </c>
      <c r="M1782" s="5" t="s">
        <v>6570</v>
      </c>
      <c r="N1782" s="5" t="s">
        <v>6571</v>
      </c>
      <c r="O1782" s="5" t="s">
        <v>2857</v>
      </c>
      <c r="P1782" s="5" t="s">
        <v>2858</v>
      </c>
      <c r="Q1782" s="11">
        <v>46306.5</v>
      </c>
      <c r="R1782" s="6"/>
      <c r="S1782" s="6"/>
      <c r="T1782" s="6"/>
      <c r="U1782" s="5">
        <f>MATCH(B1782,Manual_Review!$A$6:$A$238,0)</f>
        <v>112</v>
      </c>
      <c r="V1782" s="5" t="str">
        <f>IF(INDEX(Manual_Review!$G$6:$G$238,U1782)="","",INDEX(Manual_Review!$G$6:$G$238,U1782))</f>
        <v/>
      </c>
      <c r="W1782" s="11" t="str">
        <f>IF(INDEX(Manual_Review!$H$6:$H$238,U1782)="","",INDEX(Manual_Review!$H$6:$H$238,U1782))</f>
        <v/>
      </c>
      <c r="X1782" s="5" t="str">
        <f>IF(INDEX(Manual_Review!$I$6:$I$238,U1782)="","",INDEX(Manual_Review!$I$6:$I$238,U1782))</f>
        <v/>
      </c>
      <c r="Y1782" s="5" t="s">
        <v>2859</v>
      </c>
    </row>
    <row r="1783" spans="1:25" ht="25.5">
      <c r="A1783" s="5" t="s">
        <v>6572</v>
      </c>
      <c r="B1783" s="5" t="s">
        <v>1334</v>
      </c>
      <c r="C1783" s="5" t="s">
        <v>1335</v>
      </c>
      <c r="D1783" s="5" t="s">
        <v>1336</v>
      </c>
      <c r="E1783" s="5" t="s">
        <v>2782</v>
      </c>
      <c r="F1783" s="5" t="s">
        <v>2754</v>
      </c>
      <c r="G1783" s="5">
        <v>1</v>
      </c>
      <c r="H1783" s="5" t="s">
        <v>2854</v>
      </c>
      <c r="I1783" s="5" t="str">
        <f>IF(INDEX(Manual_Review!$L$6:$L$238,U1783)="","",INDEX(Manual_Review!$L$6:$L$238,U1783))</f>
        <v/>
      </c>
      <c r="J1783" s="5" t="str">
        <f t="shared" si="54"/>
        <v>AI provisional</v>
      </c>
      <c r="K1783" s="5" t="str">
        <f t="shared" si="55"/>
        <v>Y</v>
      </c>
      <c r="L1783" s="5" t="s">
        <v>1343</v>
      </c>
      <c r="M1783" s="5" t="s">
        <v>6573</v>
      </c>
      <c r="N1783" s="5" t="s">
        <v>6571</v>
      </c>
      <c r="O1783" s="5" t="s">
        <v>2862</v>
      </c>
      <c r="P1783" s="5" t="s">
        <v>2858</v>
      </c>
      <c r="Q1783" s="11">
        <v>46306.5</v>
      </c>
      <c r="R1783" s="6"/>
      <c r="S1783" s="6"/>
      <c r="T1783" s="6"/>
      <c r="U1783" s="5">
        <f>MATCH(B1783,Manual_Review!$A$6:$A$238,0)</f>
        <v>112</v>
      </c>
      <c r="V1783" s="5" t="str">
        <f>IF(INDEX(Manual_Review!$G$6:$G$238,U1783)="","",INDEX(Manual_Review!$G$6:$G$238,U1783))</f>
        <v/>
      </c>
      <c r="W1783" s="11" t="str">
        <f>IF(INDEX(Manual_Review!$H$6:$H$238,U1783)="","",INDEX(Manual_Review!$H$6:$H$238,U1783))</f>
        <v/>
      </c>
      <c r="X1783" s="5" t="str">
        <f>IF(INDEX(Manual_Review!$I$6:$I$238,U1783)="","",INDEX(Manual_Review!$I$6:$I$238,U1783))</f>
        <v/>
      </c>
      <c r="Y1783" s="5" t="s">
        <v>2859</v>
      </c>
    </row>
    <row r="1784" spans="1:25" ht="25.5">
      <c r="A1784" s="5" t="s">
        <v>6574</v>
      </c>
      <c r="B1784" s="5" t="s">
        <v>1334</v>
      </c>
      <c r="C1784" s="5" t="s">
        <v>1335</v>
      </c>
      <c r="D1784" s="5" t="s">
        <v>1336</v>
      </c>
      <c r="E1784" s="5" t="s">
        <v>2783</v>
      </c>
      <c r="F1784" s="5" t="s">
        <v>2754</v>
      </c>
      <c r="G1784" s="5">
        <v>1</v>
      </c>
      <c r="H1784" s="5" t="s">
        <v>2854</v>
      </c>
      <c r="I1784" s="5" t="str">
        <f>IF(INDEX(Manual_Review!$M$6:$M$238,U1784)="","",INDEX(Manual_Review!$M$6:$M$238,U1784))</f>
        <v/>
      </c>
      <c r="J1784" s="5" t="str">
        <f t="shared" si="54"/>
        <v>AI provisional</v>
      </c>
      <c r="K1784" s="5" t="str">
        <f t="shared" si="55"/>
        <v>Y</v>
      </c>
      <c r="L1784" s="5" t="s">
        <v>1343</v>
      </c>
      <c r="M1784" s="5" t="s">
        <v>6575</v>
      </c>
      <c r="N1784" s="5" t="s">
        <v>6571</v>
      </c>
      <c r="O1784" s="5" t="s">
        <v>3133</v>
      </c>
      <c r="P1784" s="5" t="s">
        <v>2858</v>
      </c>
      <c r="Q1784" s="11">
        <v>46306.5</v>
      </c>
      <c r="R1784" s="6"/>
      <c r="S1784" s="6"/>
      <c r="T1784" s="6"/>
      <c r="U1784" s="5">
        <f>MATCH(B1784,Manual_Review!$A$6:$A$238,0)</f>
        <v>112</v>
      </c>
      <c r="V1784" s="5" t="str">
        <f>IF(INDEX(Manual_Review!$G$6:$G$238,U1784)="","",INDEX(Manual_Review!$G$6:$G$238,U1784))</f>
        <v/>
      </c>
      <c r="W1784" s="11" t="str">
        <f>IF(INDEX(Manual_Review!$H$6:$H$238,U1784)="","",INDEX(Manual_Review!$H$6:$H$238,U1784))</f>
        <v/>
      </c>
      <c r="X1784" s="5" t="str">
        <f>IF(INDEX(Manual_Review!$I$6:$I$238,U1784)="","",INDEX(Manual_Review!$I$6:$I$238,U1784))</f>
        <v/>
      </c>
      <c r="Y1784" s="5" t="s">
        <v>2859</v>
      </c>
    </row>
    <row r="1785" spans="1:25" ht="25.5">
      <c r="A1785" s="5" t="s">
        <v>6576</v>
      </c>
      <c r="B1785" s="5" t="s">
        <v>1334</v>
      </c>
      <c r="C1785" s="5" t="s">
        <v>1335</v>
      </c>
      <c r="D1785" s="5" t="s">
        <v>1336</v>
      </c>
      <c r="E1785" s="5" t="s">
        <v>2784</v>
      </c>
      <c r="F1785" s="5" t="s">
        <v>2756</v>
      </c>
      <c r="G1785" s="5">
        <v>0</v>
      </c>
      <c r="H1785" s="5" t="s">
        <v>6577</v>
      </c>
      <c r="I1785" s="5" t="str">
        <f>IF(INDEX(Manual_Review!$N$6:$N$238,U1785)="","",INDEX(Manual_Review!$N$6:$N$238,U1785))</f>
        <v/>
      </c>
      <c r="J1785" s="5" t="str">
        <f t="shared" si="54"/>
        <v>Not applicable</v>
      </c>
      <c r="K1785" s="5" t="str">
        <f t="shared" si="55"/>
        <v>N/A</v>
      </c>
      <c r="L1785" s="5" t="s">
        <v>1343</v>
      </c>
      <c r="M1785" s="5" t="s">
        <v>6578</v>
      </c>
      <c r="N1785" s="5" t="s">
        <v>6571</v>
      </c>
      <c r="O1785" s="5" t="s">
        <v>6579</v>
      </c>
      <c r="P1785" s="5" t="s">
        <v>2858</v>
      </c>
      <c r="Q1785" s="11">
        <v>46306.5</v>
      </c>
      <c r="R1785" s="6"/>
      <c r="S1785" s="6"/>
      <c r="T1785" s="6"/>
      <c r="U1785" s="5">
        <f>MATCH(B1785,Manual_Review!$A$6:$A$238,0)</f>
        <v>112</v>
      </c>
      <c r="V1785" s="5" t="str">
        <f>IF(INDEX(Manual_Review!$G$6:$G$238,U1785)="","",INDEX(Manual_Review!$G$6:$G$238,U1785))</f>
        <v/>
      </c>
      <c r="W1785" s="11" t="str">
        <f>IF(INDEX(Manual_Review!$H$6:$H$238,U1785)="","",INDEX(Manual_Review!$H$6:$H$238,U1785))</f>
        <v/>
      </c>
      <c r="X1785" s="5" t="str">
        <f>IF(INDEX(Manual_Review!$I$6:$I$238,U1785)="","",INDEX(Manual_Review!$I$6:$I$238,U1785))</f>
        <v/>
      </c>
      <c r="Y1785" s="5" t="s">
        <v>2859</v>
      </c>
    </row>
    <row r="1786" spans="1:25" ht="25.5">
      <c r="A1786" s="5" t="s">
        <v>6580</v>
      </c>
      <c r="B1786" s="5" t="s">
        <v>1334</v>
      </c>
      <c r="C1786" s="5" t="s">
        <v>1335</v>
      </c>
      <c r="D1786" s="5" t="s">
        <v>1336</v>
      </c>
      <c r="E1786" s="5" t="s">
        <v>2785</v>
      </c>
      <c r="F1786" s="5" t="s">
        <v>2756</v>
      </c>
      <c r="G1786" s="5">
        <v>0</v>
      </c>
      <c r="H1786" s="5" t="s">
        <v>6577</v>
      </c>
      <c r="I1786" s="5" t="str">
        <f>IF(INDEX(Manual_Review!$O$6:$O$238,U1786)="","",INDEX(Manual_Review!$O$6:$O$238,U1786))</f>
        <v/>
      </c>
      <c r="J1786" s="5" t="str">
        <f t="shared" si="54"/>
        <v>Not applicable</v>
      </c>
      <c r="K1786" s="5" t="str">
        <f t="shared" si="55"/>
        <v>N/A</v>
      </c>
      <c r="L1786" s="5" t="s">
        <v>1343</v>
      </c>
      <c r="M1786" s="5" t="s">
        <v>6578</v>
      </c>
      <c r="N1786" s="5" t="s">
        <v>6571</v>
      </c>
      <c r="O1786" s="5" t="s">
        <v>2872</v>
      </c>
      <c r="P1786" s="5" t="s">
        <v>2858</v>
      </c>
      <c r="Q1786" s="11">
        <v>46306.5</v>
      </c>
      <c r="R1786" s="6"/>
      <c r="S1786" s="6"/>
      <c r="T1786" s="6"/>
      <c r="U1786" s="5">
        <f>MATCH(B1786,Manual_Review!$A$6:$A$238,0)</f>
        <v>112</v>
      </c>
      <c r="V1786" s="5" t="str">
        <f>IF(INDEX(Manual_Review!$G$6:$G$238,U1786)="","",INDEX(Manual_Review!$G$6:$G$238,U1786))</f>
        <v/>
      </c>
      <c r="W1786" s="11" t="str">
        <f>IF(INDEX(Manual_Review!$H$6:$H$238,U1786)="","",INDEX(Manual_Review!$H$6:$H$238,U1786))</f>
        <v/>
      </c>
      <c r="X1786" s="5" t="str">
        <f>IF(INDEX(Manual_Review!$I$6:$I$238,U1786)="","",INDEX(Manual_Review!$I$6:$I$238,U1786))</f>
        <v/>
      </c>
      <c r="Y1786" s="5" t="s">
        <v>2859</v>
      </c>
    </row>
    <row r="1787" spans="1:25" ht="25.5">
      <c r="A1787" s="5" t="s">
        <v>6581</v>
      </c>
      <c r="B1787" s="5" t="s">
        <v>1334</v>
      </c>
      <c r="C1787" s="5" t="s">
        <v>1335</v>
      </c>
      <c r="D1787" s="5" t="s">
        <v>1336</v>
      </c>
      <c r="E1787" s="5" t="s">
        <v>2786</v>
      </c>
      <c r="F1787" s="5" t="s">
        <v>2756</v>
      </c>
      <c r="G1787" s="5">
        <v>0</v>
      </c>
      <c r="H1787" s="5" t="s">
        <v>6577</v>
      </c>
      <c r="I1787" s="5" t="str">
        <f>IF(INDEX(Manual_Review!$P$6:$P$238,U1787)="","",INDEX(Manual_Review!$P$6:$P$238,U1787))</f>
        <v/>
      </c>
      <c r="J1787" s="5" t="str">
        <f t="shared" si="54"/>
        <v>Not applicable</v>
      </c>
      <c r="K1787" s="5" t="str">
        <f t="shared" si="55"/>
        <v>N/A</v>
      </c>
      <c r="L1787" s="5" t="s">
        <v>1343</v>
      </c>
      <c r="M1787" s="5" t="s">
        <v>6582</v>
      </c>
      <c r="N1787" s="5" t="s">
        <v>6571</v>
      </c>
      <c r="O1787" s="5" t="s">
        <v>2874</v>
      </c>
      <c r="P1787" s="5" t="s">
        <v>2858</v>
      </c>
      <c r="Q1787" s="11">
        <v>46306.5</v>
      </c>
      <c r="R1787" s="6"/>
      <c r="S1787" s="6"/>
      <c r="T1787" s="6"/>
      <c r="U1787" s="5">
        <f>MATCH(B1787,Manual_Review!$A$6:$A$238,0)</f>
        <v>112</v>
      </c>
      <c r="V1787" s="5" t="str">
        <f>IF(INDEX(Manual_Review!$G$6:$G$238,U1787)="","",INDEX(Manual_Review!$G$6:$G$238,U1787))</f>
        <v/>
      </c>
      <c r="W1787" s="11" t="str">
        <f>IF(INDEX(Manual_Review!$H$6:$H$238,U1787)="","",INDEX(Manual_Review!$H$6:$H$238,U1787))</f>
        <v/>
      </c>
      <c r="X1787" s="5" t="str">
        <f>IF(INDEX(Manual_Review!$I$6:$I$238,U1787)="","",INDEX(Manual_Review!$I$6:$I$238,U1787))</f>
        <v/>
      </c>
      <c r="Y1787" s="5" t="s">
        <v>2859</v>
      </c>
    </row>
    <row r="1788" spans="1:25" ht="25.5">
      <c r="A1788" s="5" t="s">
        <v>6583</v>
      </c>
      <c r="B1788" s="5" t="s">
        <v>1334</v>
      </c>
      <c r="C1788" s="5" t="s">
        <v>1335</v>
      </c>
      <c r="D1788" s="5" t="s">
        <v>1336</v>
      </c>
      <c r="E1788" s="5" t="s">
        <v>2787</v>
      </c>
      <c r="F1788" s="5" t="s">
        <v>2758</v>
      </c>
      <c r="G1788" s="5">
        <v>1</v>
      </c>
      <c r="H1788" s="5" t="s">
        <v>2864</v>
      </c>
      <c r="I1788" s="5" t="str">
        <f>IF(INDEX(Manual_Review!$Q$6:$Q$238,U1788)="","",INDEX(Manual_Review!$Q$6:$Q$238,U1788))</f>
        <v/>
      </c>
      <c r="J1788" s="5" t="str">
        <f t="shared" si="54"/>
        <v>AI provisional</v>
      </c>
      <c r="K1788" s="5" t="str">
        <f t="shared" si="55"/>
        <v>U</v>
      </c>
      <c r="L1788" s="5" t="s">
        <v>1343</v>
      </c>
      <c r="M1788" s="5" t="s">
        <v>6578</v>
      </c>
      <c r="N1788" s="5" t="s">
        <v>6571</v>
      </c>
      <c r="O1788" s="5" t="s">
        <v>2877</v>
      </c>
      <c r="P1788" s="5" t="s">
        <v>2858</v>
      </c>
      <c r="Q1788" s="11">
        <v>46306.5</v>
      </c>
      <c r="R1788" s="6"/>
      <c r="S1788" s="6"/>
      <c r="T1788" s="6"/>
      <c r="U1788" s="5">
        <f>MATCH(B1788,Manual_Review!$A$6:$A$238,0)</f>
        <v>112</v>
      </c>
      <c r="V1788" s="5" t="str">
        <f>IF(INDEX(Manual_Review!$G$6:$G$238,U1788)="","",INDEX(Manual_Review!$G$6:$G$238,U1788))</f>
        <v/>
      </c>
      <c r="W1788" s="11" t="str">
        <f>IF(INDEX(Manual_Review!$H$6:$H$238,U1788)="","",INDEX(Manual_Review!$H$6:$H$238,U1788))</f>
        <v/>
      </c>
      <c r="X1788" s="5" t="str">
        <f>IF(INDEX(Manual_Review!$I$6:$I$238,U1788)="","",INDEX(Manual_Review!$I$6:$I$238,U1788))</f>
        <v/>
      </c>
      <c r="Y1788" s="5" t="s">
        <v>2859</v>
      </c>
    </row>
    <row r="1789" spans="1:25" ht="25.5">
      <c r="A1789" s="5" t="s">
        <v>6584</v>
      </c>
      <c r="B1789" s="5" t="s">
        <v>1334</v>
      </c>
      <c r="C1789" s="5" t="s">
        <v>1335</v>
      </c>
      <c r="D1789" s="5" t="s">
        <v>1336</v>
      </c>
      <c r="E1789" s="5" t="s">
        <v>2788</v>
      </c>
      <c r="F1789" s="5" t="s">
        <v>2758</v>
      </c>
      <c r="G1789" s="5">
        <v>1</v>
      </c>
      <c r="H1789" s="5" t="s">
        <v>2854</v>
      </c>
      <c r="I1789" s="5" t="str">
        <f>IF(INDEX(Manual_Review!$R$6:$R$238,U1789)="","",INDEX(Manual_Review!$R$6:$R$238,U1789))</f>
        <v/>
      </c>
      <c r="J1789" s="5" t="str">
        <f t="shared" si="54"/>
        <v>AI provisional</v>
      </c>
      <c r="K1789" s="5" t="str">
        <f t="shared" si="55"/>
        <v>Y</v>
      </c>
      <c r="L1789" s="5" t="s">
        <v>1343</v>
      </c>
      <c r="M1789" s="5" t="s">
        <v>6585</v>
      </c>
      <c r="N1789" s="5" t="s">
        <v>6571</v>
      </c>
      <c r="O1789" s="5" t="s">
        <v>3067</v>
      </c>
      <c r="P1789" s="5" t="s">
        <v>2858</v>
      </c>
      <c r="Q1789" s="11">
        <v>46306.5</v>
      </c>
      <c r="R1789" s="6"/>
      <c r="S1789" s="6"/>
      <c r="T1789" s="6"/>
      <c r="U1789" s="5">
        <f>MATCH(B1789,Manual_Review!$A$6:$A$238,0)</f>
        <v>112</v>
      </c>
      <c r="V1789" s="5" t="str">
        <f>IF(INDEX(Manual_Review!$G$6:$G$238,U1789)="","",INDEX(Manual_Review!$G$6:$G$238,U1789))</f>
        <v/>
      </c>
      <c r="W1789" s="11" t="str">
        <f>IF(INDEX(Manual_Review!$H$6:$H$238,U1789)="","",INDEX(Manual_Review!$H$6:$H$238,U1789))</f>
        <v/>
      </c>
      <c r="X1789" s="5" t="str">
        <f>IF(INDEX(Manual_Review!$I$6:$I$238,U1789)="","",INDEX(Manual_Review!$I$6:$I$238,U1789))</f>
        <v/>
      </c>
      <c r="Y1789" s="5" t="s">
        <v>2859</v>
      </c>
    </row>
    <row r="1790" spans="1:25" ht="25.5">
      <c r="A1790" s="5" t="s">
        <v>6586</v>
      </c>
      <c r="B1790" s="5" t="s">
        <v>1334</v>
      </c>
      <c r="C1790" s="5" t="s">
        <v>1335</v>
      </c>
      <c r="D1790" s="5" t="s">
        <v>1336</v>
      </c>
      <c r="E1790" s="5" t="s">
        <v>2789</v>
      </c>
      <c r="F1790" s="5" t="s">
        <v>2758</v>
      </c>
      <c r="G1790" s="5">
        <v>1</v>
      </c>
      <c r="H1790" s="5" t="s">
        <v>2854</v>
      </c>
      <c r="I1790" s="5" t="str">
        <f>IF(INDEX(Manual_Review!$S$6:$S$238,U1790)="","",INDEX(Manual_Review!$S$6:$S$238,U1790))</f>
        <v/>
      </c>
      <c r="J1790" s="5" t="str">
        <f t="shared" si="54"/>
        <v>AI provisional</v>
      </c>
      <c r="K1790" s="5" t="str">
        <f t="shared" si="55"/>
        <v>Y</v>
      </c>
      <c r="L1790" s="5" t="s">
        <v>1343</v>
      </c>
      <c r="M1790" s="5" t="s">
        <v>6587</v>
      </c>
      <c r="N1790" s="5" t="s">
        <v>6571</v>
      </c>
      <c r="O1790" s="5" t="s">
        <v>3178</v>
      </c>
      <c r="P1790" s="5" t="s">
        <v>2858</v>
      </c>
      <c r="Q1790" s="11">
        <v>46306.5</v>
      </c>
      <c r="R1790" s="6"/>
      <c r="S1790" s="6"/>
      <c r="T1790" s="6"/>
      <c r="U1790" s="5">
        <f>MATCH(B1790,Manual_Review!$A$6:$A$238,0)</f>
        <v>112</v>
      </c>
      <c r="V1790" s="5" t="str">
        <f>IF(INDEX(Manual_Review!$G$6:$G$238,U1790)="","",INDEX(Manual_Review!$G$6:$G$238,U1790))</f>
        <v/>
      </c>
      <c r="W1790" s="11" t="str">
        <f>IF(INDEX(Manual_Review!$H$6:$H$238,U1790)="","",INDEX(Manual_Review!$H$6:$H$238,U1790))</f>
        <v/>
      </c>
      <c r="X1790" s="5" t="str">
        <f>IF(INDEX(Manual_Review!$I$6:$I$238,U1790)="","",INDEX(Manual_Review!$I$6:$I$238,U1790))</f>
        <v/>
      </c>
      <c r="Y1790" s="5" t="s">
        <v>2859</v>
      </c>
    </row>
    <row r="1791" spans="1:25" ht="25.5">
      <c r="A1791" s="5" t="s">
        <v>6588</v>
      </c>
      <c r="B1791" s="5" t="s">
        <v>1334</v>
      </c>
      <c r="C1791" s="5" t="s">
        <v>1335</v>
      </c>
      <c r="D1791" s="5" t="s">
        <v>1336</v>
      </c>
      <c r="E1791" s="5" t="s">
        <v>2790</v>
      </c>
      <c r="F1791" s="5" t="s">
        <v>2760</v>
      </c>
      <c r="G1791" s="5">
        <v>1</v>
      </c>
      <c r="H1791" s="5" t="s">
        <v>2864</v>
      </c>
      <c r="I1791" s="5" t="str">
        <f>IF(INDEX(Manual_Review!$T$6:$T$238,U1791)="","",INDEX(Manual_Review!$T$6:$T$238,U1791))</f>
        <v/>
      </c>
      <c r="J1791" s="5" t="str">
        <f t="shared" si="54"/>
        <v>AI provisional</v>
      </c>
      <c r="K1791" s="5" t="str">
        <f t="shared" si="55"/>
        <v>U</v>
      </c>
      <c r="L1791" s="5" t="s">
        <v>1343</v>
      </c>
      <c r="M1791" s="5" t="s">
        <v>6578</v>
      </c>
      <c r="N1791" s="5" t="s">
        <v>6571</v>
      </c>
      <c r="O1791" s="5" t="s">
        <v>2885</v>
      </c>
      <c r="P1791" s="5" t="s">
        <v>2858</v>
      </c>
      <c r="Q1791" s="11">
        <v>46306.5</v>
      </c>
      <c r="R1791" s="6"/>
      <c r="S1791" s="6"/>
      <c r="T1791" s="6"/>
      <c r="U1791" s="5">
        <f>MATCH(B1791,Manual_Review!$A$6:$A$238,0)</f>
        <v>112</v>
      </c>
      <c r="V1791" s="5" t="str">
        <f>IF(INDEX(Manual_Review!$G$6:$G$238,U1791)="","",INDEX(Manual_Review!$G$6:$G$238,U1791))</f>
        <v/>
      </c>
      <c r="W1791" s="11" t="str">
        <f>IF(INDEX(Manual_Review!$H$6:$H$238,U1791)="","",INDEX(Manual_Review!$H$6:$H$238,U1791))</f>
        <v/>
      </c>
      <c r="X1791" s="5" t="str">
        <f>IF(INDEX(Manual_Review!$I$6:$I$238,U1791)="","",INDEX(Manual_Review!$I$6:$I$238,U1791))</f>
        <v/>
      </c>
      <c r="Y1791" s="5" t="s">
        <v>2859</v>
      </c>
    </row>
    <row r="1792" spans="1:25" ht="25.5">
      <c r="A1792" s="5" t="s">
        <v>6589</v>
      </c>
      <c r="B1792" s="5" t="s">
        <v>1334</v>
      </c>
      <c r="C1792" s="5" t="s">
        <v>1335</v>
      </c>
      <c r="D1792" s="5" t="s">
        <v>1336</v>
      </c>
      <c r="E1792" s="5" t="s">
        <v>2791</v>
      </c>
      <c r="F1792" s="5" t="s">
        <v>2760</v>
      </c>
      <c r="G1792" s="5">
        <v>1</v>
      </c>
      <c r="H1792" s="5" t="s">
        <v>2864</v>
      </c>
      <c r="I1792" s="5" t="str">
        <f>IF(INDEX(Manual_Review!$U$6:$U$238,U1792)="","",INDEX(Manual_Review!$U$6:$U$238,U1792))</f>
        <v/>
      </c>
      <c r="J1792" s="5" t="str">
        <f t="shared" si="54"/>
        <v>AI provisional</v>
      </c>
      <c r="K1792" s="5" t="str">
        <f t="shared" si="55"/>
        <v>U</v>
      </c>
      <c r="L1792" s="5" t="s">
        <v>1343</v>
      </c>
      <c r="M1792" s="5" t="s">
        <v>6578</v>
      </c>
      <c r="N1792" s="5" t="s">
        <v>6571</v>
      </c>
      <c r="O1792" s="5" t="s">
        <v>2888</v>
      </c>
      <c r="P1792" s="5" t="s">
        <v>2858</v>
      </c>
      <c r="Q1792" s="11">
        <v>46306.5</v>
      </c>
      <c r="R1792" s="6"/>
      <c r="S1792" s="6"/>
      <c r="T1792" s="6"/>
      <c r="U1792" s="5">
        <f>MATCH(B1792,Manual_Review!$A$6:$A$238,0)</f>
        <v>112</v>
      </c>
      <c r="V1792" s="5" t="str">
        <f>IF(INDEX(Manual_Review!$G$6:$G$238,U1792)="","",INDEX(Manual_Review!$G$6:$G$238,U1792))</f>
        <v/>
      </c>
      <c r="W1792" s="11" t="str">
        <f>IF(INDEX(Manual_Review!$H$6:$H$238,U1792)="","",INDEX(Manual_Review!$H$6:$H$238,U1792))</f>
        <v/>
      </c>
      <c r="X1792" s="5" t="str">
        <f>IF(INDEX(Manual_Review!$I$6:$I$238,U1792)="","",INDEX(Manual_Review!$I$6:$I$238,U1792))</f>
        <v/>
      </c>
      <c r="Y1792" s="5" t="s">
        <v>2859</v>
      </c>
    </row>
    <row r="1793" spans="1:25" ht="25.5">
      <c r="A1793" s="5" t="s">
        <v>6590</v>
      </c>
      <c r="B1793" s="5" t="s">
        <v>1334</v>
      </c>
      <c r="C1793" s="5" t="s">
        <v>1335</v>
      </c>
      <c r="D1793" s="5" t="s">
        <v>1336</v>
      </c>
      <c r="E1793" s="5" t="s">
        <v>2792</v>
      </c>
      <c r="F1793" s="5" t="s">
        <v>2762</v>
      </c>
      <c r="G1793" s="5">
        <v>1</v>
      </c>
      <c r="H1793" s="5" t="s">
        <v>2854</v>
      </c>
      <c r="I1793" s="5" t="str">
        <f>IF(INDEX(Manual_Review!$V$6:$V$238,U1793)="","",INDEX(Manual_Review!$V$6:$V$238,U1793))</f>
        <v/>
      </c>
      <c r="J1793" s="5" t="str">
        <f t="shared" si="54"/>
        <v>AI provisional</v>
      </c>
      <c r="K1793" s="5" t="str">
        <f t="shared" si="55"/>
        <v>Y</v>
      </c>
      <c r="L1793" s="5" t="s">
        <v>1343</v>
      </c>
      <c r="M1793" s="5" t="s">
        <v>6591</v>
      </c>
      <c r="N1793" s="5" t="s">
        <v>6571</v>
      </c>
      <c r="O1793" s="5" t="s">
        <v>3152</v>
      </c>
      <c r="P1793" s="5" t="s">
        <v>2858</v>
      </c>
      <c r="Q1793" s="11">
        <v>46306.5</v>
      </c>
      <c r="R1793" s="6"/>
      <c r="S1793" s="6"/>
      <c r="T1793" s="6"/>
      <c r="U1793" s="5">
        <f>MATCH(B1793,Manual_Review!$A$6:$A$238,0)</f>
        <v>112</v>
      </c>
      <c r="V1793" s="5" t="str">
        <f>IF(INDEX(Manual_Review!$G$6:$G$238,U1793)="","",INDEX(Manual_Review!$G$6:$G$238,U1793))</f>
        <v/>
      </c>
      <c r="W1793" s="11" t="str">
        <f>IF(INDEX(Manual_Review!$H$6:$H$238,U1793)="","",INDEX(Manual_Review!$H$6:$H$238,U1793))</f>
        <v/>
      </c>
      <c r="X1793" s="5" t="str">
        <f>IF(INDEX(Manual_Review!$I$6:$I$238,U1793)="","",INDEX(Manual_Review!$I$6:$I$238,U1793))</f>
        <v/>
      </c>
      <c r="Y1793" s="5" t="s">
        <v>2859</v>
      </c>
    </row>
    <row r="1794" spans="1:25" ht="25.5">
      <c r="A1794" s="5" t="s">
        <v>6592</v>
      </c>
      <c r="B1794" s="5" t="s">
        <v>1334</v>
      </c>
      <c r="C1794" s="5" t="s">
        <v>1335</v>
      </c>
      <c r="D1794" s="5" t="s">
        <v>1336</v>
      </c>
      <c r="E1794" s="5" t="s">
        <v>2793</v>
      </c>
      <c r="F1794" s="5" t="s">
        <v>2762</v>
      </c>
      <c r="G1794" s="5">
        <v>1</v>
      </c>
      <c r="H1794" s="5" t="s">
        <v>2854</v>
      </c>
      <c r="I1794" s="5" t="str">
        <f>IF(INDEX(Manual_Review!$W$6:$W$238,U1794)="","",INDEX(Manual_Review!$W$6:$W$238,U1794))</f>
        <v/>
      </c>
      <c r="J1794" s="5" t="str">
        <f t="shared" si="54"/>
        <v>AI provisional</v>
      </c>
      <c r="K1794" s="5" t="str">
        <f t="shared" si="55"/>
        <v>Y</v>
      </c>
      <c r="L1794" s="5" t="s">
        <v>1343</v>
      </c>
      <c r="M1794" s="5" t="s">
        <v>6593</v>
      </c>
      <c r="N1794" s="5" t="s">
        <v>6571</v>
      </c>
      <c r="O1794" s="5" t="s">
        <v>3077</v>
      </c>
      <c r="P1794" s="5" t="s">
        <v>2858</v>
      </c>
      <c r="Q1794" s="11">
        <v>46306.5</v>
      </c>
      <c r="R1794" s="6"/>
      <c r="S1794" s="6"/>
      <c r="T1794" s="6"/>
      <c r="U1794" s="5">
        <f>MATCH(B1794,Manual_Review!$A$6:$A$238,0)</f>
        <v>112</v>
      </c>
      <c r="V1794" s="5" t="str">
        <f>IF(INDEX(Manual_Review!$G$6:$G$238,U1794)="","",INDEX(Manual_Review!$G$6:$G$238,U1794))</f>
        <v/>
      </c>
      <c r="W1794" s="11" t="str">
        <f>IF(INDEX(Manual_Review!$H$6:$H$238,U1794)="","",INDEX(Manual_Review!$H$6:$H$238,U1794))</f>
        <v/>
      </c>
      <c r="X1794" s="5" t="str">
        <f>IF(INDEX(Manual_Review!$I$6:$I$238,U1794)="","",INDEX(Manual_Review!$I$6:$I$238,U1794))</f>
        <v/>
      </c>
      <c r="Y1794" s="5" t="s">
        <v>2859</v>
      </c>
    </row>
    <row r="1795" spans="1:25" ht="25.5">
      <c r="A1795" s="5" t="s">
        <v>6594</v>
      </c>
      <c r="B1795" s="5" t="s">
        <v>1334</v>
      </c>
      <c r="C1795" s="5" t="s">
        <v>1335</v>
      </c>
      <c r="D1795" s="5" t="s">
        <v>1336</v>
      </c>
      <c r="E1795" s="5" t="s">
        <v>2794</v>
      </c>
      <c r="F1795" s="5" t="s">
        <v>2764</v>
      </c>
      <c r="G1795" s="5">
        <v>1</v>
      </c>
      <c r="H1795" s="5" t="s">
        <v>2854</v>
      </c>
      <c r="I1795" s="5" t="str">
        <f>IF(INDEX(Manual_Review!$X$6:$X$238,U1795)="","",INDEX(Manual_Review!$X$6:$X$238,U1795))</f>
        <v/>
      </c>
      <c r="J1795" s="5" t="str">
        <f t="shared" si="54"/>
        <v>AI provisional</v>
      </c>
      <c r="K1795" s="5" t="str">
        <f t="shared" si="55"/>
        <v>Y</v>
      </c>
      <c r="L1795" s="5" t="s">
        <v>1343</v>
      </c>
      <c r="M1795" s="5" t="s">
        <v>6595</v>
      </c>
      <c r="N1795" s="5" t="s">
        <v>6571</v>
      </c>
      <c r="O1795" s="5" t="s">
        <v>2984</v>
      </c>
      <c r="P1795" s="5" t="s">
        <v>2858</v>
      </c>
      <c r="Q1795" s="11">
        <v>46306.5</v>
      </c>
      <c r="R1795" s="6"/>
      <c r="S1795" s="6"/>
      <c r="T1795" s="6"/>
      <c r="U1795" s="5">
        <f>MATCH(B1795,Manual_Review!$A$6:$A$238,0)</f>
        <v>112</v>
      </c>
      <c r="V1795" s="5" t="str">
        <f>IF(INDEX(Manual_Review!$G$6:$G$238,U1795)="","",INDEX(Manual_Review!$G$6:$G$238,U1795))</f>
        <v/>
      </c>
      <c r="W1795" s="11" t="str">
        <f>IF(INDEX(Manual_Review!$H$6:$H$238,U1795)="","",INDEX(Manual_Review!$H$6:$H$238,U1795))</f>
        <v/>
      </c>
      <c r="X1795" s="5" t="str">
        <f>IF(INDEX(Manual_Review!$I$6:$I$238,U1795)="","",INDEX(Manual_Review!$I$6:$I$238,U1795))</f>
        <v/>
      </c>
      <c r="Y1795" s="5" t="s">
        <v>2859</v>
      </c>
    </row>
    <row r="1796" spans="1:25" ht="25.5">
      <c r="A1796" s="5" t="s">
        <v>6596</v>
      </c>
      <c r="B1796" s="5" t="s">
        <v>1334</v>
      </c>
      <c r="C1796" s="5" t="s">
        <v>1335</v>
      </c>
      <c r="D1796" s="5" t="s">
        <v>1336</v>
      </c>
      <c r="E1796" s="5" t="s">
        <v>2795</v>
      </c>
      <c r="F1796" s="5" t="s">
        <v>2764</v>
      </c>
      <c r="G1796" s="5">
        <v>1</v>
      </c>
      <c r="H1796" s="5" t="s">
        <v>2864</v>
      </c>
      <c r="I1796" s="5" t="str">
        <f>IF(INDEX(Manual_Review!$Y$6:$Y$238,U1796)="","",INDEX(Manual_Review!$Y$6:$Y$238,U1796))</f>
        <v/>
      </c>
      <c r="J1796" s="5" t="str">
        <f t="shared" si="54"/>
        <v>AI provisional</v>
      </c>
      <c r="K1796" s="5" t="str">
        <f t="shared" si="55"/>
        <v>U</v>
      </c>
      <c r="L1796" s="5" t="s">
        <v>1343</v>
      </c>
      <c r="M1796" s="5" t="s">
        <v>6597</v>
      </c>
      <c r="N1796" s="5" t="s">
        <v>6571</v>
      </c>
      <c r="O1796" s="5" t="s">
        <v>2897</v>
      </c>
      <c r="P1796" s="5" t="s">
        <v>2858</v>
      </c>
      <c r="Q1796" s="11">
        <v>46306.5</v>
      </c>
      <c r="R1796" s="6"/>
      <c r="S1796" s="6"/>
      <c r="T1796" s="6"/>
      <c r="U1796" s="5">
        <f>MATCH(B1796,Manual_Review!$A$6:$A$238,0)</f>
        <v>112</v>
      </c>
      <c r="V1796" s="5" t="str">
        <f>IF(INDEX(Manual_Review!$G$6:$G$238,U1796)="","",INDEX(Manual_Review!$G$6:$G$238,U1796))</f>
        <v/>
      </c>
      <c r="W1796" s="11" t="str">
        <f>IF(INDEX(Manual_Review!$H$6:$H$238,U1796)="","",INDEX(Manual_Review!$H$6:$H$238,U1796))</f>
        <v/>
      </c>
      <c r="X1796" s="5" t="str">
        <f>IF(INDEX(Manual_Review!$I$6:$I$238,U1796)="","",INDEX(Manual_Review!$I$6:$I$238,U1796))</f>
        <v/>
      </c>
      <c r="Y1796" s="5" t="s">
        <v>2859</v>
      </c>
    </row>
    <row r="1797" spans="1:25" ht="25.5">
      <c r="A1797" s="5" t="s">
        <v>6598</v>
      </c>
      <c r="B1797" s="5" t="s">
        <v>1334</v>
      </c>
      <c r="C1797" s="5" t="s">
        <v>1335</v>
      </c>
      <c r="D1797" s="5" t="s">
        <v>1336</v>
      </c>
      <c r="E1797" s="5" t="s">
        <v>2796</v>
      </c>
      <c r="F1797" s="5" t="s">
        <v>2764</v>
      </c>
      <c r="G1797" s="5">
        <v>1</v>
      </c>
      <c r="H1797" s="5" t="s">
        <v>2864</v>
      </c>
      <c r="I1797" s="5" t="str">
        <f>IF(INDEX(Manual_Review!$Z$6:$Z$238,U1797)="","",INDEX(Manual_Review!$Z$6:$Z$238,U1797))</f>
        <v/>
      </c>
      <c r="J1797" s="5" t="str">
        <f t="shared" si="54"/>
        <v>AI provisional</v>
      </c>
      <c r="K1797" s="5" t="str">
        <f t="shared" si="55"/>
        <v>U</v>
      </c>
      <c r="L1797" s="5" t="s">
        <v>1343</v>
      </c>
      <c r="M1797" s="5" t="s">
        <v>6587</v>
      </c>
      <c r="N1797" s="5" t="s">
        <v>6571</v>
      </c>
      <c r="O1797" s="5" t="s">
        <v>2899</v>
      </c>
      <c r="P1797" s="5" t="s">
        <v>2858</v>
      </c>
      <c r="Q1797" s="11">
        <v>46306.5</v>
      </c>
      <c r="R1797" s="6"/>
      <c r="S1797" s="6"/>
      <c r="T1797" s="6"/>
      <c r="U1797" s="5">
        <f>MATCH(B1797,Manual_Review!$A$6:$A$238,0)</f>
        <v>112</v>
      </c>
      <c r="V1797" s="5" t="str">
        <f>IF(INDEX(Manual_Review!$G$6:$G$238,U1797)="","",INDEX(Manual_Review!$G$6:$G$238,U1797))</f>
        <v/>
      </c>
      <c r="W1797" s="11" t="str">
        <f>IF(INDEX(Manual_Review!$H$6:$H$238,U1797)="","",INDEX(Manual_Review!$H$6:$H$238,U1797))</f>
        <v/>
      </c>
      <c r="X1797" s="5" t="str">
        <f>IF(INDEX(Manual_Review!$I$6:$I$238,U1797)="","",INDEX(Manual_Review!$I$6:$I$238,U1797))</f>
        <v/>
      </c>
      <c r="Y1797" s="5" t="s">
        <v>2859</v>
      </c>
    </row>
    <row r="1798" spans="1:25" ht="38.25">
      <c r="A1798" s="5" t="s">
        <v>6599</v>
      </c>
      <c r="B1798" s="5" t="s">
        <v>1345</v>
      </c>
      <c r="C1798" s="5" t="s">
        <v>1346</v>
      </c>
      <c r="D1798" s="5" t="s">
        <v>118</v>
      </c>
      <c r="E1798" s="5" t="s">
        <v>2781</v>
      </c>
      <c r="F1798" s="5" t="s">
        <v>2754</v>
      </c>
      <c r="G1798" s="5">
        <v>1</v>
      </c>
      <c r="H1798" s="5" t="s">
        <v>2854</v>
      </c>
      <c r="I1798" s="5" t="str">
        <f>IF(INDEX(Manual_Review!$K$6:$K$238,U1798)="","",INDEX(Manual_Review!$K$6:$K$238,U1798))</f>
        <v/>
      </c>
      <c r="J1798" s="5" t="str">
        <f t="shared" ref="J1798:J1861" si="56">IF(G1798=0,"Not applicable",IF(I1798="","AI provisional",IF(AND(OR(I1798="Y",I1798="N",I1798="U",I1798="X"),V1798&lt;&gt;"",ISNUMBER(W1798),W1798&gt;0,X1798="Confirmed",R1798&lt;&gt;"",S1798&lt;&gt;"",T1798&lt;&gt;""),"Human valid","Evidence needed")))</f>
        <v>AI provisional</v>
      </c>
      <c r="K1798" s="5" t="str">
        <f t="shared" ref="K1798:K1861" si="57">IF(G1798=0,"N/A",IF(I1798="",H1798,IF(J1798="Human valid",I1798,"U")))</f>
        <v>Y</v>
      </c>
      <c r="L1798" s="5" t="s">
        <v>1352</v>
      </c>
      <c r="M1798" s="5" t="s">
        <v>6600</v>
      </c>
      <c r="N1798" s="5" t="s">
        <v>6601</v>
      </c>
      <c r="O1798" s="5" t="s">
        <v>2857</v>
      </c>
      <c r="P1798" s="5" t="s">
        <v>2858</v>
      </c>
      <c r="Q1798" s="11">
        <v>46306.5</v>
      </c>
      <c r="R1798" s="6"/>
      <c r="S1798" s="6"/>
      <c r="T1798" s="6"/>
      <c r="U1798" s="5">
        <f>MATCH(B1798,Manual_Review!$A$6:$A$238,0)</f>
        <v>113</v>
      </c>
      <c r="V1798" s="5" t="str">
        <f>IF(INDEX(Manual_Review!$G$6:$G$238,U1798)="","",INDEX(Manual_Review!$G$6:$G$238,U1798))</f>
        <v/>
      </c>
      <c r="W1798" s="11" t="str">
        <f>IF(INDEX(Manual_Review!$H$6:$H$238,U1798)="","",INDEX(Manual_Review!$H$6:$H$238,U1798))</f>
        <v/>
      </c>
      <c r="X1798" s="5" t="str">
        <f>IF(INDEX(Manual_Review!$I$6:$I$238,U1798)="","",INDEX(Manual_Review!$I$6:$I$238,U1798))</f>
        <v/>
      </c>
      <c r="Y1798" s="5" t="s">
        <v>2859</v>
      </c>
    </row>
    <row r="1799" spans="1:25" ht="38.25">
      <c r="A1799" s="5" t="s">
        <v>6602</v>
      </c>
      <c r="B1799" s="5" t="s">
        <v>1345</v>
      </c>
      <c r="C1799" s="5" t="s">
        <v>1346</v>
      </c>
      <c r="D1799" s="5" t="s">
        <v>118</v>
      </c>
      <c r="E1799" s="5" t="s">
        <v>2782</v>
      </c>
      <c r="F1799" s="5" t="s">
        <v>2754</v>
      </c>
      <c r="G1799" s="5">
        <v>1</v>
      </c>
      <c r="H1799" s="5" t="s">
        <v>2854</v>
      </c>
      <c r="I1799" s="5" t="str">
        <f>IF(INDEX(Manual_Review!$L$6:$L$238,U1799)="","",INDEX(Manual_Review!$L$6:$L$238,U1799))</f>
        <v/>
      </c>
      <c r="J1799" s="5" t="str">
        <f t="shared" si="56"/>
        <v>AI provisional</v>
      </c>
      <c r="K1799" s="5" t="str">
        <f t="shared" si="57"/>
        <v>Y</v>
      </c>
      <c r="L1799" s="5" t="s">
        <v>1352</v>
      </c>
      <c r="M1799" s="5" t="s">
        <v>6603</v>
      </c>
      <c r="N1799" s="5" t="s">
        <v>6601</v>
      </c>
      <c r="O1799" s="5" t="s">
        <v>2862</v>
      </c>
      <c r="P1799" s="5" t="s">
        <v>2858</v>
      </c>
      <c r="Q1799" s="11">
        <v>46306.5</v>
      </c>
      <c r="R1799" s="6"/>
      <c r="S1799" s="6"/>
      <c r="T1799" s="6"/>
      <c r="U1799" s="5">
        <f>MATCH(B1799,Manual_Review!$A$6:$A$238,0)</f>
        <v>113</v>
      </c>
      <c r="V1799" s="5" t="str">
        <f>IF(INDEX(Manual_Review!$G$6:$G$238,U1799)="","",INDEX(Manual_Review!$G$6:$G$238,U1799))</f>
        <v/>
      </c>
      <c r="W1799" s="11" t="str">
        <f>IF(INDEX(Manual_Review!$H$6:$H$238,U1799)="","",INDEX(Manual_Review!$H$6:$H$238,U1799))</f>
        <v/>
      </c>
      <c r="X1799" s="5" t="str">
        <f>IF(INDEX(Manual_Review!$I$6:$I$238,U1799)="","",INDEX(Manual_Review!$I$6:$I$238,U1799))</f>
        <v/>
      </c>
      <c r="Y1799" s="5" t="s">
        <v>2859</v>
      </c>
    </row>
    <row r="1800" spans="1:25" ht="38.25">
      <c r="A1800" s="5" t="s">
        <v>6604</v>
      </c>
      <c r="B1800" s="5" t="s">
        <v>1345</v>
      </c>
      <c r="C1800" s="5" t="s">
        <v>1346</v>
      </c>
      <c r="D1800" s="5" t="s">
        <v>118</v>
      </c>
      <c r="E1800" s="5" t="s">
        <v>2783</v>
      </c>
      <c r="F1800" s="5" t="s">
        <v>2754</v>
      </c>
      <c r="G1800" s="5">
        <v>1</v>
      </c>
      <c r="H1800" s="5" t="s">
        <v>2854</v>
      </c>
      <c r="I1800" s="5" t="str">
        <f>IF(INDEX(Manual_Review!$M$6:$M$238,U1800)="","",INDEX(Manual_Review!$M$6:$M$238,U1800))</f>
        <v/>
      </c>
      <c r="J1800" s="5" t="str">
        <f t="shared" si="56"/>
        <v>AI provisional</v>
      </c>
      <c r="K1800" s="5" t="str">
        <f t="shared" si="57"/>
        <v>Y</v>
      </c>
      <c r="L1800" s="5" t="s">
        <v>1352</v>
      </c>
      <c r="M1800" s="5" t="s">
        <v>6605</v>
      </c>
      <c r="N1800" s="5" t="s">
        <v>6601</v>
      </c>
      <c r="O1800" s="5" t="s">
        <v>3133</v>
      </c>
      <c r="P1800" s="5" t="s">
        <v>2858</v>
      </c>
      <c r="Q1800" s="11">
        <v>46306.5</v>
      </c>
      <c r="R1800" s="6"/>
      <c r="S1800" s="6"/>
      <c r="T1800" s="6"/>
      <c r="U1800" s="5">
        <f>MATCH(B1800,Manual_Review!$A$6:$A$238,0)</f>
        <v>113</v>
      </c>
      <c r="V1800" s="5" t="str">
        <f>IF(INDEX(Manual_Review!$G$6:$G$238,U1800)="","",INDEX(Manual_Review!$G$6:$G$238,U1800))</f>
        <v/>
      </c>
      <c r="W1800" s="11" t="str">
        <f>IF(INDEX(Manual_Review!$H$6:$H$238,U1800)="","",INDEX(Manual_Review!$H$6:$H$238,U1800))</f>
        <v/>
      </c>
      <c r="X1800" s="5" t="str">
        <f>IF(INDEX(Manual_Review!$I$6:$I$238,U1800)="","",INDEX(Manual_Review!$I$6:$I$238,U1800))</f>
        <v/>
      </c>
      <c r="Y1800" s="5" t="s">
        <v>2859</v>
      </c>
    </row>
    <row r="1801" spans="1:25" ht="38.25">
      <c r="A1801" s="5" t="s">
        <v>6606</v>
      </c>
      <c r="B1801" s="5" t="s">
        <v>1345</v>
      </c>
      <c r="C1801" s="5" t="s">
        <v>1346</v>
      </c>
      <c r="D1801" s="5" t="s">
        <v>118</v>
      </c>
      <c r="E1801" s="5" t="s">
        <v>2784</v>
      </c>
      <c r="F1801" s="5" t="s">
        <v>2756</v>
      </c>
      <c r="G1801" s="5">
        <v>1</v>
      </c>
      <c r="H1801" s="5" t="s">
        <v>2864</v>
      </c>
      <c r="I1801" s="5" t="str">
        <f>IF(INDEX(Manual_Review!$N$6:$N$238,U1801)="","",INDEX(Manual_Review!$N$6:$N$238,U1801))</f>
        <v/>
      </c>
      <c r="J1801" s="5" t="str">
        <f t="shared" si="56"/>
        <v>AI provisional</v>
      </c>
      <c r="K1801" s="5" t="str">
        <f t="shared" si="57"/>
        <v>U</v>
      </c>
      <c r="L1801" s="5" t="s">
        <v>1352</v>
      </c>
      <c r="M1801" s="5" t="s">
        <v>6607</v>
      </c>
      <c r="N1801" s="5" t="s">
        <v>6601</v>
      </c>
      <c r="O1801" s="5" t="s">
        <v>2869</v>
      </c>
      <c r="P1801" s="5" t="s">
        <v>2858</v>
      </c>
      <c r="Q1801" s="11">
        <v>46306.5</v>
      </c>
      <c r="R1801" s="6"/>
      <c r="S1801" s="6"/>
      <c r="T1801" s="6"/>
      <c r="U1801" s="5">
        <f>MATCH(B1801,Manual_Review!$A$6:$A$238,0)</f>
        <v>113</v>
      </c>
      <c r="V1801" s="5" t="str">
        <f>IF(INDEX(Manual_Review!$G$6:$G$238,U1801)="","",INDEX(Manual_Review!$G$6:$G$238,U1801))</f>
        <v/>
      </c>
      <c r="W1801" s="11" t="str">
        <f>IF(INDEX(Manual_Review!$H$6:$H$238,U1801)="","",INDEX(Manual_Review!$H$6:$H$238,U1801))</f>
        <v/>
      </c>
      <c r="X1801" s="5" t="str">
        <f>IF(INDEX(Manual_Review!$I$6:$I$238,U1801)="","",INDEX(Manual_Review!$I$6:$I$238,U1801))</f>
        <v/>
      </c>
      <c r="Y1801" s="5" t="s">
        <v>2859</v>
      </c>
    </row>
    <row r="1802" spans="1:25" ht="38.25">
      <c r="A1802" s="5" t="s">
        <v>6608</v>
      </c>
      <c r="B1802" s="5" t="s">
        <v>1345</v>
      </c>
      <c r="C1802" s="5" t="s">
        <v>1346</v>
      </c>
      <c r="D1802" s="5" t="s">
        <v>118</v>
      </c>
      <c r="E1802" s="5" t="s">
        <v>2785</v>
      </c>
      <c r="F1802" s="5" t="s">
        <v>2756</v>
      </c>
      <c r="G1802" s="5">
        <v>1</v>
      </c>
      <c r="H1802" s="5" t="s">
        <v>2864</v>
      </c>
      <c r="I1802" s="5" t="str">
        <f>IF(INDEX(Manual_Review!$O$6:$O$238,U1802)="","",INDEX(Manual_Review!$O$6:$O$238,U1802))</f>
        <v/>
      </c>
      <c r="J1802" s="5" t="str">
        <f t="shared" si="56"/>
        <v>AI provisional</v>
      </c>
      <c r="K1802" s="5" t="str">
        <f t="shared" si="57"/>
        <v>U</v>
      </c>
      <c r="L1802" s="5" t="s">
        <v>1352</v>
      </c>
      <c r="M1802" s="5" t="s">
        <v>6609</v>
      </c>
      <c r="N1802" s="5" t="s">
        <v>6601</v>
      </c>
      <c r="O1802" s="5" t="s">
        <v>2872</v>
      </c>
      <c r="P1802" s="5" t="s">
        <v>2858</v>
      </c>
      <c r="Q1802" s="11">
        <v>46306.5</v>
      </c>
      <c r="R1802" s="6"/>
      <c r="S1802" s="6"/>
      <c r="T1802" s="6"/>
      <c r="U1802" s="5">
        <f>MATCH(B1802,Manual_Review!$A$6:$A$238,0)</f>
        <v>113</v>
      </c>
      <c r="V1802" s="5" t="str">
        <f>IF(INDEX(Manual_Review!$G$6:$G$238,U1802)="","",INDEX(Manual_Review!$G$6:$G$238,U1802))</f>
        <v/>
      </c>
      <c r="W1802" s="11" t="str">
        <f>IF(INDEX(Manual_Review!$H$6:$H$238,U1802)="","",INDEX(Manual_Review!$H$6:$H$238,U1802))</f>
        <v/>
      </c>
      <c r="X1802" s="5" t="str">
        <f>IF(INDEX(Manual_Review!$I$6:$I$238,U1802)="","",INDEX(Manual_Review!$I$6:$I$238,U1802))</f>
        <v/>
      </c>
      <c r="Y1802" s="5" t="s">
        <v>2859</v>
      </c>
    </row>
    <row r="1803" spans="1:25" ht="38.25">
      <c r="A1803" s="5" t="s">
        <v>6610</v>
      </c>
      <c r="B1803" s="5" t="s">
        <v>1345</v>
      </c>
      <c r="C1803" s="5" t="s">
        <v>1346</v>
      </c>
      <c r="D1803" s="5" t="s">
        <v>118</v>
      </c>
      <c r="E1803" s="5" t="s">
        <v>2786</v>
      </c>
      <c r="F1803" s="5" t="s">
        <v>2756</v>
      </c>
      <c r="G1803" s="5">
        <v>1</v>
      </c>
      <c r="H1803" s="5" t="s">
        <v>2864</v>
      </c>
      <c r="I1803" s="5" t="str">
        <f>IF(INDEX(Manual_Review!$P$6:$P$238,U1803)="","",INDEX(Manual_Review!$P$6:$P$238,U1803))</f>
        <v/>
      </c>
      <c r="J1803" s="5" t="str">
        <f t="shared" si="56"/>
        <v>AI provisional</v>
      </c>
      <c r="K1803" s="5" t="str">
        <f t="shared" si="57"/>
        <v>U</v>
      </c>
      <c r="L1803" s="5" t="s">
        <v>1352</v>
      </c>
      <c r="M1803" s="5" t="s">
        <v>6611</v>
      </c>
      <c r="N1803" s="5" t="s">
        <v>6601</v>
      </c>
      <c r="O1803" s="5" t="s">
        <v>2874</v>
      </c>
      <c r="P1803" s="5" t="s">
        <v>2858</v>
      </c>
      <c r="Q1803" s="11">
        <v>46306.5</v>
      </c>
      <c r="R1803" s="6"/>
      <c r="S1803" s="6"/>
      <c r="T1803" s="6"/>
      <c r="U1803" s="5">
        <f>MATCH(B1803,Manual_Review!$A$6:$A$238,0)</f>
        <v>113</v>
      </c>
      <c r="V1803" s="5" t="str">
        <f>IF(INDEX(Manual_Review!$G$6:$G$238,U1803)="","",INDEX(Manual_Review!$G$6:$G$238,U1803))</f>
        <v/>
      </c>
      <c r="W1803" s="11" t="str">
        <f>IF(INDEX(Manual_Review!$H$6:$H$238,U1803)="","",INDEX(Manual_Review!$H$6:$H$238,U1803))</f>
        <v/>
      </c>
      <c r="X1803" s="5" t="str">
        <f>IF(INDEX(Manual_Review!$I$6:$I$238,U1803)="","",INDEX(Manual_Review!$I$6:$I$238,U1803))</f>
        <v/>
      </c>
      <c r="Y1803" s="5" t="s">
        <v>2859</v>
      </c>
    </row>
    <row r="1804" spans="1:25" ht="38.25">
      <c r="A1804" s="5" t="s">
        <v>6612</v>
      </c>
      <c r="B1804" s="5" t="s">
        <v>1345</v>
      </c>
      <c r="C1804" s="5" t="s">
        <v>1346</v>
      </c>
      <c r="D1804" s="5" t="s">
        <v>118</v>
      </c>
      <c r="E1804" s="5" t="s">
        <v>2787</v>
      </c>
      <c r="F1804" s="5" t="s">
        <v>2758</v>
      </c>
      <c r="G1804" s="5">
        <v>1</v>
      </c>
      <c r="H1804" s="5" t="s">
        <v>2854</v>
      </c>
      <c r="I1804" s="5" t="str">
        <f>IF(INDEX(Manual_Review!$Q$6:$Q$238,U1804)="","",INDEX(Manual_Review!$Q$6:$Q$238,U1804))</f>
        <v/>
      </c>
      <c r="J1804" s="5" t="str">
        <f t="shared" si="56"/>
        <v>AI provisional</v>
      </c>
      <c r="K1804" s="5" t="str">
        <f t="shared" si="57"/>
        <v>Y</v>
      </c>
      <c r="L1804" s="5" t="s">
        <v>1352</v>
      </c>
      <c r="M1804" s="5" t="s">
        <v>6613</v>
      </c>
      <c r="N1804" s="5" t="s">
        <v>6601</v>
      </c>
      <c r="O1804" s="5" t="s">
        <v>2969</v>
      </c>
      <c r="P1804" s="5" t="s">
        <v>2858</v>
      </c>
      <c r="Q1804" s="11">
        <v>46306.5</v>
      </c>
      <c r="R1804" s="6"/>
      <c r="S1804" s="6"/>
      <c r="T1804" s="6"/>
      <c r="U1804" s="5">
        <f>MATCH(B1804,Manual_Review!$A$6:$A$238,0)</f>
        <v>113</v>
      </c>
      <c r="V1804" s="5" t="str">
        <f>IF(INDEX(Manual_Review!$G$6:$G$238,U1804)="","",INDEX(Manual_Review!$G$6:$G$238,U1804))</f>
        <v/>
      </c>
      <c r="W1804" s="11" t="str">
        <f>IF(INDEX(Manual_Review!$H$6:$H$238,U1804)="","",INDEX(Manual_Review!$H$6:$H$238,U1804))</f>
        <v/>
      </c>
      <c r="X1804" s="5" t="str">
        <f>IF(INDEX(Manual_Review!$I$6:$I$238,U1804)="","",INDEX(Manual_Review!$I$6:$I$238,U1804))</f>
        <v/>
      </c>
      <c r="Y1804" s="5" t="s">
        <v>2859</v>
      </c>
    </row>
    <row r="1805" spans="1:25" ht="38.25">
      <c r="A1805" s="5" t="s">
        <v>6614</v>
      </c>
      <c r="B1805" s="5" t="s">
        <v>1345</v>
      </c>
      <c r="C1805" s="5" t="s">
        <v>1346</v>
      </c>
      <c r="D1805" s="5" t="s">
        <v>118</v>
      </c>
      <c r="E1805" s="5" t="s">
        <v>2788</v>
      </c>
      <c r="F1805" s="5" t="s">
        <v>2758</v>
      </c>
      <c r="G1805" s="5">
        <v>1</v>
      </c>
      <c r="H1805" s="5" t="s">
        <v>2854</v>
      </c>
      <c r="I1805" s="5" t="str">
        <f>IF(INDEX(Manual_Review!$R$6:$R$238,U1805)="","",INDEX(Manual_Review!$R$6:$R$238,U1805))</f>
        <v/>
      </c>
      <c r="J1805" s="5" t="str">
        <f t="shared" si="56"/>
        <v>AI provisional</v>
      </c>
      <c r="K1805" s="5" t="str">
        <f t="shared" si="57"/>
        <v>Y</v>
      </c>
      <c r="L1805" s="5" t="s">
        <v>1352</v>
      </c>
      <c r="M1805" s="5" t="s">
        <v>6615</v>
      </c>
      <c r="N1805" s="5" t="s">
        <v>6601</v>
      </c>
      <c r="O1805" s="5" t="s">
        <v>3067</v>
      </c>
      <c r="P1805" s="5" t="s">
        <v>2858</v>
      </c>
      <c r="Q1805" s="11">
        <v>46306.5</v>
      </c>
      <c r="R1805" s="6"/>
      <c r="S1805" s="6"/>
      <c r="T1805" s="6"/>
      <c r="U1805" s="5">
        <f>MATCH(B1805,Manual_Review!$A$6:$A$238,0)</f>
        <v>113</v>
      </c>
      <c r="V1805" s="5" t="str">
        <f>IF(INDEX(Manual_Review!$G$6:$G$238,U1805)="","",INDEX(Manual_Review!$G$6:$G$238,U1805))</f>
        <v/>
      </c>
      <c r="W1805" s="11" t="str">
        <f>IF(INDEX(Manual_Review!$H$6:$H$238,U1805)="","",INDEX(Manual_Review!$H$6:$H$238,U1805))</f>
        <v/>
      </c>
      <c r="X1805" s="5" t="str">
        <f>IF(INDEX(Manual_Review!$I$6:$I$238,U1805)="","",INDEX(Manual_Review!$I$6:$I$238,U1805))</f>
        <v/>
      </c>
      <c r="Y1805" s="5" t="s">
        <v>2859</v>
      </c>
    </row>
    <row r="1806" spans="1:25" ht="38.25">
      <c r="A1806" s="5" t="s">
        <v>6616</v>
      </c>
      <c r="B1806" s="5" t="s">
        <v>1345</v>
      </c>
      <c r="C1806" s="5" t="s">
        <v>1346</v>
      </c>
      <c r="D1806" s="5" t="s">
        <v>118</v>
      </c>
      <c r="E1806" s="5" t="s">
        <v>2789</v>
      </c>
      <c r="F1806" s="5" t="s">
        <v>2758</v>
      </c>
      <c r="G1806" s="5">
        <v>1</v>
      </c>
      <c r="H1806" s="5" t="s">
        <v>2864</v>
      </c>
      <c r="I1806" s="5" t="str">
        <f>IF(INDEX(Manual_Review!$S$6:$S$238,U1806)="","",INDEX(Manual_Review!$S$6:$S$238,U1806))</f>
        <v/>
      </c>
      <c r="J1806" s="5" t="str">
        <f t="shared" si="56"/>
        <v>AI provisional</v>
      </c>
      <c r="K1806" s="5" t="str">
        <f t="shared" si="57"/>
        <v>U</v>
      </c>
      <c r="L1806" s="5" t="s">
        <v>1352</v>
      </c>
      <c r="M1806" s="5" t="s">
        <v>6617</v>
      </c>
      <c r="N1806" s="5" t="s">
        <v>6601</v>
      </c>
      <c r="O1806" s="5" t="s">
        <v>2883</v>
      </c>
      <c r="P1806" s="5" t="s">
        <v>2858</v>
      </c>
      <c r="Q1806" s="11">
        <v>46306.5</v>
      </c>
      <c r="R1806" s="6"/>
      <c r="S1806" s="6"/>
      <c r="T1806" s="6"/>
      <c r="U1806" s="5">
        <f>MATCH(B1806,Manual_Review!$A$6:$A$238,0)</f>
        <v>113</v>
      </c>
      <c r="V1806" s="5" t="str">
        <f>IF(INDEX(Manual_Review!$G$6:$G$238,U1806)="","",INDEX(Manual_Review!$G$6:$G$238,U1806))</f>
        <v/>
      </c>
      <c r="W1806" s="11" t="str">
        <f>IF(INDEX(Manual_Review!$H$6:$H$238,U1806)="","",INDEX(Manual_Review!$H$6:$H$238,U1806))</f>
        <v/>
      </c>
      <c r="X1806" s="5" t="str">
        <f>IF(INDEX(Manual_Review!$I$6:$I$238,U1806)="","",INDEX(Manual_Review!$I$6:$I$238,U1806))</f>
        <v/>
      </c>
      <c r="Y1806" s="5" t="s">
        <v>2859</v>
      </c>
    </row>
    <row r="1807" spans="1:25" ht="38.25">
      <c r="A1807" s="5" t="s">
        <v>6618</v>
      </c>
      <c r="B1807" s="5" t="s">
        <v>1345</v>
      </c>
      <c r="C1807" s="5" t="s">
        <v>1346</v>
      </c>
      <c r="D1807" s="5" t="s">
        <v>118</v>
      </c>
      <c r="E1807" s="5" t="s">
        <v>2790</v>
      </c>
      <c r="F1807" s="5" t="s">
        <v>2760</v>
      </c>
      <c r="G1807" s="5">
        <v>1</v>
      </c>
      <c r="H1807" s="5" t="s">
        <v>2864</v>
      </c>
      <c r="I1807" s="5" t="str">
        <f>IF(INDEX(Manual_Review!$T$6:$T$238,U1807)="","",INDEX(Manual_Review!$T$6:$T$238,U1807))</f>
        <v/>
      </c>
      <c r="J1807" s="5" t="str">
        <f t="shared" si="56"/>
        <v>AI provisional</v>
      </c>
      <c r="K1807" s="5" t="str">
        <f t="shared" si="57"/>
        <v>U</v>
      </c>
      <c r="L1807" s="5" t="s">
        <v>1352</v>
      </c>
      <c r="M1807" s="5" t="s">
        <v>6619</v>
      </c>
      <c r="N1807" s="5" t="s">
        <v>6601</v>
      </c>
      <c r="O1807" s="5" t="s">
        <v>2885</v>
      </c>
      <c r="P1807" s="5" t="s">
        <v>2858</v>
      </c>
      <c r="Q1807" s="11">
        <v>46306.5</v>
      </c>
      <c r="R1807" s="6"/>
      <c r="S1807" s="6"/>
      <c r="T1807" s="6"/>
      <c r="U1807" s="5">
        <f>MATCH(B1807,Manual_Review!$A$6:$A$238,0)</f>
        <v>113</v>
      </c>
      <c r="V1807" s="5" t="str">
        <f>IF(INDEX(Manual_Review!$G$6:$G$238,U1807)="","",INDEX(Manual_Review!$G$6:$G$238,U1807))</f>
        <v/>
      </c>
      <c r="W1807" s="11" t="str">
        <f>IF(INDEX(Manual_Review!$H$6:$H$238,U1807)="","",INDEX(Manual_Review!$H$6:$H$238,U1807))</f>
        <v/>
      </c>
      <c r="X1807" s="5" t="str">
        <f>IF(INDEX(Manual_Review!$I$6:$I$238,U1807)="","",INDEX(Manual_Review!$I$6:$I$238,U1807))</f>
        <v/>
      </c>
      <c r="Y1807" s="5" t="s">
        <v>2859</v>
      </c>
    </row>
    <row r="1808" spans="1:25" ht="38.25">
      <c r="A1808" s="5" t="s">
        <v>6620</v>
      </c>
      <c r="B1808" s="5" t="s">
        <v>1345</v>
      </c>
      <c r="C1808" s="5" t="s">
        <v>1346</v>
      </c>
      <c r="D1808" s="5" t="s">
        <v>118</v>
      </c>
      <c r="E1808" s="5" t="s">
        <v>2791</v>
      </c>
      <c r="F1808" s="5" t="s">
        <v>2760</v>
      </c>
      <c r="G1808" s="5">
        <v>1</v>
      </c>
      <c r="H1808" s="5" t="s">
        <v>2864</v>
      </c>
      <c r="I1808" s="5" t="str">
        <f>IF(INDEX(Manual_Review!$U$6:$U$238,U1808)="","",INDEX(Manual_Review!$U$6:$U$238,U1808))</f>
        <v/>
      </c>
      <c r="J1808" s="5" t="str">
        <f t="shared" si="56"/>
        <v>AI provisional</v>
      </c>
      <c r="K1808" s="5" t="str">
        <f t="shared" si="57"/>
        <v>U</v>
      </c>
      <c r="L1808" s="5" t="s">
        <v>1352</v>
      </c>
      <c r="M1808" s="5" t="s">
        <v>6621</v>
      </c>
      <c r="N1808" s="5" t="s">
        <v>6601</v>
      </c>
      <c r="O1808" s="5" t="s">
        <v>2888</v>
      </c>
      <c r="P1808" s="5" t="s">
        <v>2858</v>
      </c>
      <c r="Q1808" s="11">
        <v>46306.5</v>
      </c>
      <c r="R1808" s="6"/>
      <c r="S1808" s="6"/>
      <c r="T1808" s="6"/>
      <c r="U1808" s="5">
        <f>MATCH(B1808,Manual_Review!$A$6:$A$238,0)</f>
        <v>113</v>
      </c>
      <c r="V1808" s="5" t="str">
        <f>IF(INDEX(Manual_Review!$G$6:$G$238,U1808)="","",INDEX(Manual_Review!$G$6:$G$238,U1808))</f>
        <v/>
      </c>
      <c r="W1808" s="11" t="str">
        <f>IF(INDEX(Manual_Review!$H$6:$H$238,U1808)="","",INDEX(Manual_Review!$H$6:$H$238,U1808))</f>
        <v/>
      </c>
      <c r="X1808" s="5" t="str">
        <f>IF(INDEX(Manual_Review!$I$6:$I$238,U1808)="","",INDEX(Manual_Review!$I$6:$I$238,U1808))</f>
        <v/>
      </c>
      <c r="Y1808" s="5" t="s">
        <v>2859</v>
      </c>
    </row>
    <row r="1809" spans="1:25" ht="38.25">
      <c r="A1809" s="5" t="s">
        <v>6622</v>
      </c>
      <c r="B1809" s="5" t="s">
        <v>1345</v>
      </c>
      <c r="C1809" s="5" t="s">
        <v>1346</v>
      </c>
      <c r="D1809" s="5" t="s">
        <v>118</v>
      </c>
      <c r="E1809" s="5" t="s">
        <v>2792</v>
      </c>
      <c r="F1809" s="5" t="s">
        <v>2762</v>
      </c>
      <c r="G1809" s="5">
        <v>1</v>
      </c>
      <c r="H1809" s="5" t="s">
        <v>2864</v>
      </c>
      <c r="I1809" s="5" t="str">
        <f>IF(INDEX(Manual_Review!$V$6:$V$238,U1809)="","",INDEX(Manual_Review!$V$6:$V$238,U1809))</f>
        <v/>
      </c>
      <c r="J1809" s="5" t="str">
        <f t="shared" si="56"/>
        <v>AI provisional</v>
      </c>
      <c r="K1809" s="5" t="str">
        <f t="shared" si="57"/>
        <v>U</v>
      </c>
      <c r="L1809" s="5" t="s">
        <v>1352</v>
      </c>
      <c r="M1809" s="5" t="s">
        <v>6623</v>
      </c>
      <c r="N1809" s="5" t="s">
        <v>6601</v>
      </c>
      <c r="O1809" s="5" t="s">
        <v>2891</v>
      </c>
      <c r="P1809" s="5" t="s">
        <v>2858</v>
      </c>
      <c r="Q1809" s="11">
        <v>46306.5</v>
      </c>
      <c r="R1809" s="6"/>
      <c r="S1809" s="6"/>
      <c r="T1809" s="6"/>
      <c r="U1809" s="5">
        <f>MATCH(B1809,Manual_Review!$A$6:$A$238,0)</f>
        <v>113</v>
      </c>
      <c r="V1809" s="5" t="str">
        <f>IF(INDEX(Manual_Review!$G$6:$G$238,U1809)="","",INDEX(Manual_Review!$G$6:$G$238,U1809))</f>
        <v/>
      </c>
      <c r="W1809" s="11" t="str">
        <f>IF(INDEX(Manual_Review!$H$6:$H$238,U1809)="","",INDEX(Manual_Review!$H$6:$H$238,U1809))</f>
        <v/>
      </c>
      <c r="X1809" s="5" t="str">
        <f>IF(INDEX(Manual_Review!$I$6:$I$238,U1809)="","",INDEX(Manual_Review!$I$6:$I$238,U1809))</f>
        <v/>
      </c>
      <c r="Y1809" s="5" t="s">
        <v>2859</v>
      </c>
    </row>
    <row r="1810" spans="1:25" ht="38.25">
      <c r="A1810" s="5" t="s">
        <v>6624</v>
      </c>
      <c r="B1810" s="5" t="s">
        <v>1345</v>
      </c>
      <c r="C1810" s="5" t="s">
        <v>1346</v>
      </c>
      <c r="D1810" s="5" t="s">
        <v>118</v>
      </c>
      <c r="E1810" s="5" t="s">
        <v>2793</v>
      </c>
      <c r="F1810" s="5" t="s">
        <v>2762</v>
      </c>
      <c r="G1810" s="5">
        <v>1</v>
      </c>
      <c r="H1810" s="5" t="s">
        <v>2854</v>
      </c>
      <c r="I1810" s="5" t="str">
        <f>IF(INDEX(Manual_Review!$W$6:$W$238,U1810)="","",INDEX(Manual_Review!$W$6:$W$238,U1810))</f>
        <v/>
      </c>
      <c r="J1810" s="5" t="str">
        <f t="shared" si="56"/>
        <v>AI provisional</v>
      </c>
      <c r="K1810" s="5" t="str">
        <f t="shared" si="57"/>
        <v>Y</v>
      </c>
      <c r="L1810" s="5" t="s">
        <v>1352</v>
      </c>
      <c r="M1810" s="5" t="s">
        <v>6625</v>
      </c>
      <c r="N1810" s="5" t="s">
        <v>6601</v>
      </c>
      <c r="O1810" s="5" t="s">
        <v>3077</v>
      </c>
      <c r="P1810" s="5" t="s">
        <v>2858</v>
      </c>
      <c r="Q1810" s="11">
        <v>46306.5</v>
      </c>
      <c r="R1810" s="6"/>
      <c r="S1810" s="6"/>
      <c r="T1810" s="6"/>
      <c r="U1810" s="5">
        <f>MATCH(B1810,Manual_Review!$A$6:$A$238,0)</f>
        <v>113</v>
      </c>
      <c r="V1810" s="5" t="str">
        <f>IF(INDEX(Manual_Review!$G$6:$G$238,U1810)="","",INDEX(Manual_Review!$G$6:$G$238,U1810))</f>
        <v/>
      </c>
      <c r="W1810" s="11" t="str">
        <f>IF(INDEX(Manual_Review!$H$6:$H$238,U1810)="","",INDEX(Manual_Review!$H$6:$H$238,U1810))</f>
        <v/>
      </c>
      <c r="X1810" s="5" t="str">
        <f>IF(INDEX(Manual_Review!$I$6:$I$238,U1810)="","",INDEX(Manual_Review!$I$6:$I$238,U1810))</f>
        <v/>
      </c>
      <c r="Y1810" s="5" t="s">
        <v>2859</v>
      </c>
    </row>
    <row r="1811" spans="1:25" ht="38.25">
      <c r="A1811" s="5" t="s">
        <v>6626</v>
      </c>
      <c r="B1811" s="5" t="s">
        <v>1345</v>
      </c>
      <c r="C1811" s="5" t="s">
        <v>1346</v>
      </c>
      <c r="D1811" s="5" t="s">
        <v>118</v>
      </c>
      <c r="E1811" s="5" t="s">
        <v>2794</v>
      </c>
      <c r="F1811" s="5" t="s">
        <v>2764</v>
      </c>
      <c r="G1811" s="5">
        <v>1</v>
      </c>
      <c r="H1811" s="5" t="s">
        <v>2864</v>
      </c>
      <c r="I1811" s="5" t="str">
        <f>IF(INDEX(Manual_Review!$X$6:$X$238,U1811)="","",INDEX(Manual_Review!$X$6:$X$238,U1811))</f>
        <v/>
      </c>
      <c r="J1811" s="5" t="str">
        <f t="shared" si="56"/>
        <v>AI provisional</v>
      </c>
      <c r="K1811" s="5" t="str">
        <f t="shared" si="57"/>
        <v>U</v>
      </c>
      <c r="L1811" s="5" t="s">
        <v>1352</v>
      </c>
      <c r="M1811" s="5" t="s">
        <v>6627</v>
      </c>
      <c r="N1811" s="5" t="s">
        <v>6601</v>
      </c>
      <c r="O1811" s="5" t="s">
        <v>2895</v>
      </c>
      <c r="P1811" s="5" t="s">
        <v>2858</v>
      </c>
      <c r="Q1811" s="11">
        <v>46306.5</v>
      </c>
      <c r="R1811" s="6"/>
      <c r="S1811" s="6"/>
      <c r="T1811" s="6"/>
      <c r="U1811" s="5">
        <f>MATCH(B1811,Manual_Review!$A$6:$A$238,0)</f>
        <v>113</v>
      </c>
      <c r="V1811" s="5" t="str">
        <f>IF(INDEX(Manual_Review!$G$6:$G$238,U1811)="","",INDEX(Manual_Review!$G$6:$G$238,U1811))</f>
        <v/>
      </c>
      <c r="W1811" s="11" t="str">
        <f>IF(INDEX(Manual_Review!$H$6:$H$238,U1811)="","",INDEX(Manual_Review!$H$6:$H$238,U1811))</f>
        <v/>
      </c>
      <c r="X1811" s="5" t="str">
        <f>IF(INDEX(Manual_Review!$I$6:$I$238,U1811)="","",INDEX(Manual_Review!$I$6:$I$238,U1811))</f>
        <v/>
      </c>
      <c r="Y1811" s="5" t="s">
        <v>2859</v>
      </c>
    </row>
    <row r="1812" spans="1:25" ht="38.25">
      <c r="A1812" s="5" t="s">
        <v>6628</v>
      </c>
      <c r="B1812" s="5" t="s">
        <v>1345</v>
      </c>
      <c r="C1812" s="5" t="s">
        <v>1346</v>
      </c>
      <c r="D1812" s="5" t="s">
        <v>118</v>
      </c>
      <c r="E1812" s="5" t="s">
        <v>2795</v>
      </c>
      <c r="F1812" s="5" t="s">
        <v>2764</v>
      </c>
      <c r="G1812" s="5">
        <v>1</v>
      </c>
      <c r="H1812" s="5" t="s">
        <v>2864</v>
      </c>
      <c r="I1812" s="5" t="str">
        <f>IF(INDEX(Manual_Review!$Y$6:$Y$238,U1812)="","",INDEX(Manual_Review!$Y$6:$Y$238,U1812))</f>
        <v/>
      </c>
      <c r="J1812" s="5" t="str">
        <f t="shared" si="56"/>
        <v>AI provisional</v>
      </c>
      <c r="K1812" s="5" t="str">
        <f t="shared" si="57"/>
        <v>U</v>
      </c>
      <c r="L1812" s="5" t="s">
        <v>1352</v>
      </c>
      <c r="M1812" s="5" t="s">
        <v>6619</v>
      </c>
      <c r="N1812" s="5" t="s">
        <v>6601</v>
      </c>
      <c r="O1812" s="5" t="s">
        <v>2897</v>
      </c>
      <c r="P1812" s="5" t="s">
        <v>2858</v>
      </c>
      <c r="Q1812" s="11">
        <v>46306.5</v>
      </c>
      <c r="R1812" s="6"/>
      <c r="S1812" s="6"/>
      <c r="T1812" s="6"/>
      <c r="U1812" s="5">
        <f>MATCH(B1812,Manual_Review!$A$6:$A$238,0)</f>
        <v>113</v>
      </c>
      <c r="V1812" s="5" t="str">
        <f>IF(INDEX(Manual_Review!$G$6:$G$238,U1812)="","",INDEX(Manual_Review!$G$6:$G$238,U1812))</f>
        <v/>
      </c>
      <c r="W1812" s="11" t="str">
        <f>IF(INDEX(Manual_Review!$H$6:$H$238,U1812)="","",INDEX(Manual_Review!$H$6:$H$238,U1812))</f>
        <v/>
      </c>
      <c r="X1812" s="5" t="str">
        <f>IF(INDEX(Manual_Review!$I$6:$I$238,U1812)="","",INDEX(Manual_Review!$I$6:$I$238,U1812))</f>
        <v/>
      </c>
      <c r="Y1812" s="5" t="s">
        <v>2859</v>
      </c>
    </row>
    <row r="1813" spans="1:25" ht="38.25">
      <c r="A1813" s="5" t="s">
        <v>6629</v>
      </c>
      <c r="B1813" s="5" t="s">
        <v>1345</v>
      </c>
      <c r="C1813" s="5" t="s">
        <v>1346</v>
      </c>
      <c r="D1813" s="5" t="s">
        <v>118</v>
      </c>
      <c r="E1813" s="5" t="s">
        <v>2796</v>
      </c>
      <c r="F1813" s="5" t="s">
        <v>2764</v>
      </c>
      <c r="G1813" s="5">
        <v>1</v>
      </c>
      <c r="H1813" s="5" t="s">
        <v>2854</v>
      </c>
      <c r="I1813" s="5" t="str">
        <f>IF(INDEX(Manual_Review!$Z$6:$Z$238,U1813)="","",INDEX(Manual_Review!$Z$6:$Z$238,U1813))</f>
        <v/>
      </c>
      <c r="J1813" s="5" t="str">
        <f t="shared" si="56"/>
        <v>AI provisional</v>
      </c>
      <c r="K1813" s="5" t="str">
        <f t="shared" si="57"/>
        <v>Y</v>
      </c>
      <c r="L1813" s="5" t="s">
        <v>1352</v>
      </c>
      <c r="M1813" s="5" t="s">
        <v>6630</v>
      </c>
      <c r="N1813" s="5" t="s">
        <v>6601</v>
      </c>
      <c r="O1813" s="5" t="s">
        <v>3085</v>
      </c>
      <c r="P1813" s="5" t="s">
        <v>2858</v>
      </c>
      <c r="Q1813" s="11">
        <v>46306.5</v>
      </c>
      <c r="R1813" s="6"/>
      <c r="S1813" s="6"/>
      <c r="T1813" s="6"/>
      <c r="U1813" s="5">
        <f>MATCH(B1813,Manual_Review!$A$6:$A$238,0)</f>
        <v>113</v>
      </c>
      <c r="V1813" s="5" t="str">
        <f>IF(INDEX(Manual_Review!$G$6:$G$238,U1813)="","",INDEX(Manual_Review!$G$6:$G$238,U1813))</f>
        <v/>
      </c>
      <c r="W1813" s="11" t="str">
        <f>IF(INDEX(Manual_Review!$H$6:$H$238,U1813)="","",INDEX(Manual_Review!$H$6:$H$238,U1813))</f>
        <v/>
      </c>
      <c r="X1813" s="5" t="str">
        <f>IF(INDEX(Manual_Review!$I$6:$I$238,U1813)="","",INDEX(Manual_Review!$I$6:$I$238,U1813))</f>
        <v/>
      </c>
      <c r="Y1813" s="5" t="s">
        <v>2859</v>
      </c>
    </row>
    <row r="1814" spans="1:25" ht="25.5">
      <c r="A1814" s="5" t="s">
        <v>6631</v>
      </c>
      <c r="B1814" s="5" t="s">
        <v>1354</v>
      </c>
      <c r="C1814" s="5" t="s">
        <v>1355</v>
      </c>
      <c r="D1814" s="5" t="s">
        <v>118</v>
      </c>
      <c r="E1814" s="5" t="s">
        <v>2781</v>
      </c>
      <c r="F1814" s="5" t="s">
        <v>2754</v>
      </c>
      <c r="G1814" s="5">
        <v>1</v>
      </c>
      <c r="H1814" s="5" t="s">
        <v>2854</v>
      </c>
      <c r="I1814" s="5" t="str">
        <f>IF(INDEX(Manual_Review!$K$6:$K$238,U1814)="","",INDEX(Manual_Review!$K$6:$K$238,U1814))</f>
        <v/>
      </c>
      <c r="J1814" s="5" t="str">
        <f t="shared" si="56"/>
        <v>AI provisional</v>
      </c>
      <c r="K1814" s="5" t="str">
        <f t="shared" si="57"/>
        <v>Y</v>
      </c>
      <c r="L1814" s="5" t="s">
        <v>1357</v>
      </c>
      <c r="M1814" s="5" t="s">
        <v>6632</v>
      </c>
      <c r="N1814" s="5" t="s">
        <v>6633</v>
      </c>
      <c r="O1814" s="5" t="s">
        <v>2857</v>
      </c>
      <c r="P1814" s="5" t="s">
        <v>2858</v>
      </c>
      <c r="Q1814" s="11">
        <v>46306.5</v>
      </c>
      <c r="R1814" s="6"/>
      <c r="S1814" s="6"/>
      <c r="T1814" s="6"/>
      <c r="U1814" s="5">
        <f>MATCH(B1814,Manual_Review!$A$6:$A$238,0)</f>
        <v>114</v>
      </c>
      <c r="V1814" s="5" t="str">
        <f>IF(INDEX(Manual_Review!$G$6:$G$238,U1814)="","",INDEX(Manual_Review!$G$6:$G$238,U1814))</f>
        <v/>
      </c>
      <c r="W1814" s="11" t="str">
        <f>IF(INDEX(Manual_Review!$H$6:$H$238,U1814)="","",INDEX(Manual_Review!$H$6:$H$238,U1814))</f>
        <v/>
      </c>
      <c r="X1814" s="5" t="str">
        <f>IF(INDEX(Manual_Review!$I$6:$I$238,U1814)="","",INDEX(Manual_Review!$I$6:$I$238,U1814))</f>
        <v/>
      </c>
      <c r="Y1814" s="5" t="s">
        <v>2859</v>
      </c>
    </row>
    <row r="1815" spans="1:25" ht="25.5">
      <c r="A1815" s="5" t="s">
        <v>6634</v>
      </c>
      <c r="B1815" s="5" t="s">
        <v>1354</v>
      </c>
      <c r="C1815" s="5" t="s">
        <v>1355</v>
      </c>
      <c r="D1815" s="5" t="s">
        <v>118</v>
      </c>
      <c r="E1815" s="5" t="s">
        <v>2782</v>
      </c>
      <c r="F1815" s="5" t="s">
        <v>2754</v>
      </c>
      <c r="G1815" s="5">
        <v>1</v>
      </c>
      <c r="H1815" s="5" t="s">
        <v>2854</v>
      </c>
      <c r="I1815" s="5" t="str">
        <f>IF(INDEX(Manual_Review!$L$6:$L$238,U1815)="","",INDEX(Manual_Review!$L$6:$L$238,U1815))</f>
        <v/>
      </c>
      <c r="J1815" s="5" t="str">
        <f t="shared" si="56"/>
        <v>AI provisional</v>
      </c>
      <c r="K1815" s="5" t="str">
        <f t="shared" si="57"/>
        <v>Y</v>
      </c>
      <c r="L1815" s="5" t="s">
        <v>1357</v>
      </c>
      <c r="M1815" s="5" t="s">
        <v>6635</v>
      </c>
      <c r="N1815" s="5" t="s">
        <v>6633</v>
      </c>
      <c r="O1815" s="5" t="s">
        <v>2862</v>
      </c>
      <c r="P1815" s="5" t="s">
        <v>2858</v>
      </c>
      <c r="Q1815" s="11">
        <v>46306.5</v>
      </c>
      <c r="R1815" s="6"/>
      <c r="S1815" s="6"/>
      <c r="T1815" s="6"/>
      <c r="U1815" s="5">
        <f>MATCH(B1815,Manual_Review!$A$6:$A$238,0)</f>
        <v>114</v>
      </c>
      <c r="V1815" s="5" t="str">
        <f>IF(INDEX(Manual_Review!$G$6:$G$238,U1815)="","",INDEX(Manual_Review!$G$6:$G$238,U1815))</f>
        <v/>
      </c>
      <c r="W1815" s="11" t="str">
        <f>IF(INDEX(Manual_Review!$H$6:$H$238,U1815)="","",INDEX(Manual_Review!$H$6:$H$238,U1815))</f>
        <v/>
      </c>
      <c r="X1815" s="5" t="str">
        <f>IF(INDEX(Manual_Review!$I$6:$I$238,U1815)="","",INDEX(Manual_Review!$I$6:$I$238,U1815))</f>
        <v/>
      </c>
      <c r="Y1815" s="5" t="s">
        <v>2859</v>
      </c>
    </row>
    <row r="1816" spans="1:25" ht="25.5">
      <c r="A1816" s="5" t="s">
        <v>6636</v>
      </c>
      <c r="B1816" s="5" t="s">
        <v>1354</v>
      </c>
      <c r="C1816" s="5" t="s">
        <v>1355</v>
      </c>
      <c r="D1816" s="5" t="s">
        <v>118</v>
      </c>
      <c r="E1816" s="5" t="s">
        <v>2783</v>
      </c>
      <c r="F1816" s="5" t="s">
        <v>2754</v>
      </c>
      <c r="G1816" s="5">
        <v>1</v>
      </c>
      <c r="H1816" s="5" t="s">
        <v>2854</v>
      </c>
      <c r="I1816" s="5" t="str">
        <f>IF(INDEX(Manual_Review!$M$6:$M$238,U1816)="","",INDEX(Manual_Review!$M$6:$M$238,U1816))</f>
        <v/>
      </c>
      <c r="J1816" s="5" t="str">
        <f t="shared" si="56"/>
        <v>AI provisional</v>
      </c>
      <c r="K1816" s="5" t="str">
        <f t="shared" si="57"/>
        <v>Y</v>
      </c>
      <c r="L1816" s="5" t="s">
        <v>1357</v>
      </c>
      <c r="M1816" s="5" t="s">
        <v>6637</v>
      </c>
      <c r="N1816" s="5" t="s">
        <v>6633</v>
      </c>
      <c r="O1816" s="5" t="s">
        <v>3133</v>
      </c>
      <c r="P1816" s="5" t="s">
        <v>2858</v>
      </c>
      <c r="Q1816" s="11">
        <v>46306.5</v>
      </c>
      <c r="R1816" s="6"/>
      <c r="S1816" s="6"/>
      <c r="T1816" s="6"/>
      <c r="U1816" s="5">
        <f>MATCH(B1816,Manual_Review!$A$6:$A$238,0)</f>
        <v>114</v>
      </c>
      <c r="V1816" s="5" t="str">
        <f>IF(INDEX(Manual_Review!$G$6:$G$238,U1816)="","",INDEX(Manual_Review!$G$6:$G$238,U1816))</f>
        <v/>
      </c>
      <c r="W1816" s="11" t="str">
        <f>IF(INDEX(Manual_Review!$H$6:$H$238,U1816)="","",INDEX(Manual_Review!$H$6:$H$238,U1816))</f>
        <v/>
      </c>
      <c r="X1816" s="5" t="str">
        <f>IF(INDEX(Manual_Review!$I$6:$I$238,U1816)="","",INDEX(Manual_Review!$I$6:$I$238,U1816))</f>
        <v/>
      </c>
      <c r="Y1816" s="5" t="s">
        <v>2859</v>
      </c>
    </row>
    <row r="1817" spans="1:25" ht="25.5">
      <c r="A1817" s="5" t="s">
        <v>6638</v>
      </c>
      <c r="B1817" s="5" t="s">
        <v>1354</v>
      </c>
      <c r="C1817" s="5" t="s">
        <v>1355</v>
      </c>
      <c r="D1817" s="5" t="s">
        <v>118</v>
      </c>
      <c r="E1817" s="5" t="s">
        <v>2784</v>
      </c>
      <c r="F1817" s="5" t="s">
        <v>2756</v>
      </c>
      <c r="G1817" s="5">
        <v>1</v>
      </c>
      <c r="H1817" s="5" t="s">
        <v>2854</v>
      </c>
      <c r="I1817" s="5" t="str">
        <f>IF(INDEX(Manual_Review!$N$6:$N$238,U1817)="","",INDEX(Manual_Review!$N$6:$N$238,U1817))</f>
        <v/>
      </c>
      <c r="J1817" s="5" t="str">
        <f t="shared" si="56"/>
        <v>AI provisional</v>
      </c>
      <c r="K1817" s="5" t="str">
        <f t="shared" si="57"/>
        <v>Y</v>
      </c>
      <c r="L1817" s="5" t="s">
        <v>1357</v>
      </c>
      <c r="M1817" s="5" t="s">
        <v>6639</v>
      </c>
      <c r="N1817" s="5" t="s">
        <v>6633</v>
      </c>
      <c r="O1817" s="5" t="s">
        <v>2963</v>
      </c>
      <c r="P1817" s="5" t="s">
        <v>2858</v>
      </c>
      <c r="Q1817" s="11">
        <v>46306.5</v>
      </c>
      <c r="R1817" s="6"/>
      <c r="S1817" s="6"/>
      <c r="T1817" s="6"/>
      <c r="U1817" s="5">
        <f>MATCH(B1817,Manual_Review!$A$6:$A$238,0)</f>
        <v>114</v>
      </c>
      <c r="V1817" s="5" t="str">
        <f>IF(INDEX(Manual_Review!$G$6:$G$238,U1817)="","",INDEX(Manual_Review!$G$6:$G$238,U1817))</f>
        <v/>
      </c>
      <c r="W1817" s="11" t="str">
        <f>IF(INDEX(Manual_Review!$H$6:$H$238,U1817)="","",INDEX(Manual_Review!$H$6:$H$238,U1817))</f>
        <v/>
      </c>
      <c r="X1817" s="5" t="str">
        <f>IF(INDEX(Manual_Review!$I$6:$I$238,U1817)="","",INDEX(Manual_Review!$I$6:$I$238,U1817))</f>
        <v/>
      </c>
      <c r="Y1817" s="5" t="s">
        <v>2859</v>
      </c>
    </row>
    <row r="1818" spans="1:25" ht="25.5">
      <c r="A1818" s="5" t="s">
        <v>6640</v>
      </c>
      <c r="B1818" s="5" t="s">
        <v>1354</v>
      </c>
      <c r="C1818" s="5" t="s">
        <v>1355</v>
      </c>
      <c r="D1818" s="5" t="s">
        <v>118</v>
      </c>
      <c r="E1818" s="5" t="s">
        <v>2785</v>
      </c>
      <c r="F1818" s="5" t="s">
        <v>2756</v>
      </c>
      <c r="G1818" s="5">
        <v>1</v>
      </c>
      <c r="H1818" s="5" t="s">
        <v>2864</v>
      </c>
      <c r="I1818" s="5" t="str">
        <f>IF(INDEX(Manual_Review!$O$6:$O$238,U1818)="","",INDEX(Manual_Review!$O$6:$O$238,U1818))</f>
        <v/>
      </c>
      <c r="J1818" s="5" t="str">
        <f t="shared" si="56"/>
        <v>AI provisional</v>
      </c>
      <c r="K1818" s="5" t="str">
        <f t="shared" si="57"/>
        <v>U</v>
      </c>
      <c r="L1818" s="5" t="s">
        <v>1357</v>
      </c>
      <c r="M1818" s="5" t="s">
        <v>6641</v>
      </c>
      <c r="N1818" s="5" t="s">
        <v>6633</v>
      </c>
      <c r="O1818" s="5" t="s">
        <v>2872</v>
      </c>
      <c r="P1818" s="5" t="s">
        <v>2858</v>
      </c>
      <c r="Q1818" s="11">
        <v>46306.5</v>
      </c>
      <c r="R1818" s="6"/>
      <c r="S1818" s="6"/>
      <c r="T1818" s="6"/>
      <c r="U1818" s="5">
        <f>MATCH(B1818,Manual_Review!$A$6:$A$238,0)</f>
        <v>114</v>
      </c>
      <c r="V1818" s="5" t="str">
        <f>IF(INDEX(Manual_Review!$G$6:$G$238,U1818)="","",INDEX(Manual_Review!$G$6:$G$238,U1818))</f>
        <v/>
      </c>
      <c r="W1818" s="11" t="str">
        <f>IF(INDEX(Manual_Review!$H$6:$H$238,U1818)="","",INDEX(Manual_Review!$H$6:$H$238,U1818))</f>
        <v/>
      </c>
      <c r="X1818" s="5" t="str">
        <f>IF(INDEX(Manual_Review!$I$6:$I$238,U1818)="","",INDEX(Manual_Review!$I$6:$I$238,U1818))</f>
        <v/>
      </c>
      <c r="Y1818" s="5" t="s">
        <v>2859</v>
      </c>
    </row>
    <row r="1819" spans="1:25" ht="25.5">
      <c r="A1819" s="5" t="s">
        <v>6642</v>
      </c>
      <c r="B1819" s="5" t="s">
        <v>1354</v>
      </c>
      <c r="C1819" s="5" t="s">
        <v>1355</v>
      </c>
      <c r="D1819" s="5" t="s">
        <v>118</v>
      </c>
      <c r="E1819" s="5" t="s">
        <v>2786</v>
      </c>
      <c r="F1819" s="5" t="s">
        <v>2756</v>
      </c>
      <c r="G1819" s="5">
        <v>1</v>
      </c>
      <c r="H1819" s="5" t="s">
        <v>2864</v>
      </c>
      <c r="I1819" s="5" t="str">
        <f>IF(INDEX(Manual_Review!$P$6:$P$238,U1819)="","",INDEX(Manual_Review!$P$6:$P$238,U1819))</f>
        <v/>
      </c>
      <c r="J1819" s="5" t="str">
        <f t="shared" si="56"/>
        <v>AI provisional</v>
      </c>
      <c r="K1819" s="5" t="str">
        <f t="shared" si="57"/>
        <v>U</v>
      </c>
      <c r="L1819" s="5" t="s">
        <v>1357</v>
      </c>
      <c r="M1819" s="5" t="s">
        <v>6643</v>
      </c>
      <c r="N1819" s="5" t="s">
        <v>6633</v>
      </c>
      <c r="O1819" s="5" t="s">
        <v>2874</v>
      </c>
      <c r="P1819" s="5" t="s">
        <v>2858</v>
      </c>
      <c r="Q1819" s="11">
        <v>46306.5</v>
      </c>
      <c r="R1819" s="6"/>
      <c r="S1819" s="6"/>
      <c r="T1819" s="6"/>
      <c r="U1819" s="5">
        <f>MATCH(B1819,Manual_Review!$A$6:$A$238,0)</f>
        <v>114</v>
      </c>
      <c r="V1819" s="5" t="str">
        <f>IF(INDEX(Manual_Review!$G$6:$G$238,U1819)="","",INDEX(Manual_Review!$G$6:$G$238,U1819))</f>
        <v/>
      </c>
      <c r="W1819" s="11" t="str">
        <f>IF(INDEX(Manual_Review!$H$6:$H$238,U1819)="","",INDEX(Manual_Review!$H$6:$H$238,U1819))</f>
        <v/>
      </c>
      <c r="X1819" s="5" t="str">
        <f>IF(INDEX(Manual_Review!$I$6:$I$238,U1819)="","",INDEX(Manual_Review!$I$6:$I$238,U1819))</f>
        <v/>
      </c>
      <c r="Y1819" s="5" t="s">
        <v>2859</v>
      </c>
    </row>
    <row r="1820" spans="1:25" ht="25.5">
      <c r="A1820" s="5" t="s">
        <v>6644</v>
      </c>
      <c r="B1820" s="5" t="s">
        <v>1354</v>
      </c>
      <c r="C1820" s="5" t="s">
        <v>1355</v>
      </c>
      <c r="D1820" s="5" t="s">
        <v>118</v>
      </c>
      <c r="E1820" s="5" t="s">
        <v>2787</v>
      </c>
      <c r="F1820" s="5" t="s">
        <v>2758</v>
      </c>
      <c r="G1820" s="5">
        <v>1</v>
      </c>
      <c r="H1820" s="5" t="s">
        <v>2854</v>
      </c>
      <c r="I1820" s="5" t="str">
        <f>IF(INDEX(Manual_Review!$Q$6:$Q$238,U1820)="","",INDEX(Manual_Review!$Q$6:$Q$238,U1820))</f>
        <v/>
      </c>
      <c r="J1820" s="5" t="str">
        <f t="shared" si="56"/>
        <v>AI provisional</v>
      </c>
      <c r="K1820" s="5" t="str">
        <f t="shared" si="57"/>
        <v>Y</v>
      </c>
      <c r="L1820" s="5" t="s">
        <v>1357</v>
      </c>
      <c r="M1820" s="5" t="s">
        <v>6645</v>
      </c>
      <c r="N1820" s="5" t="s">
        <v>6633</v>
      </c>
      <c r="O1820" s="5" t="s">
        <v>2969</v>
      </c>
      <c r="P1820" s="5" t="s">
        <v>2858</v>
      </c>
      <c r="Q1820" s="11">
        <v>46306.5</v>
      </c>
      <c r="R1820" s="6"/>
      <c r="S1820" s="6"/>
      <c r="T1820" s="6"/>
      <c r="U1820" s="5">
        <f>MATCH(B1820,Manual_Review!$A$6:$A$238,0)</f>
        <v>114</v>
      </c>
      <c r="V1820" s="5" t="str">
        <f>IF(INDEX(Manual_Review!$G$6:$G$238,U1820)="","",INDEX(Manual_Review!$G$6:$G$238,U1820))</f>
        <v/>
      </c>
      <c r="W1820" s="11" t="str">
        <f>IF(INDEX(Manual_Review!$H$6:$H$238,U1820)="","",INDEX(Manual_Review!$H$6:$H$238,U1820))</f>
        <v/>
      </c>
      <c r="X1820" s="5" t="str">
        <f>IF(INDEX(Manual_Review!$I$6:$I$238,U1820)="","",INDEX(Manual_Review!$I$6:$I$238,U1820))</f>
        <v/>
      </c>
      <c r="Y1820" s="5" t="s">
        <v>2859</v>
      </c>
    </row>
    <row r="1821" spans="1:25" ht="25.5">
      <c r="A1821" s="5" t="s">
        <v>6646</v>
      </c>
      <c r="B1821" s="5" t="s">
        <v>1354</v>
      </c>
      <c r="C1821" s="5" t="s">
        <v>1355</v>
      </c>
      <c r="D1821" s="5" t="s">
        <v>118</v>
      </c>
      <c r="E1821" s="5" t="s">
        <v>2788</v>
      </c>
      <c r="F1821" s="5" t="s">
        <v>2758</v>
      </c>
      <c r="G1821" s="5">
        <v>1</v>
      </c>
      <c r="H1821" s="5" t="s">
        <v>2854</v>
      </c>
      <c r="I1821" s="5" t="str">
        <f>IF(INDEX(Manual_Review!$R$6:$R$238,U1821)="","",INDEX(Manual_Review!$R$6:$R$238,U1821))</f>
        <v/>
      </c>
      <c r="J1821" s="5" t="str">
        <f t="shared" si="56"/>
        <v>AI provisional</v>
      </c>
      <c r="K1821" s="5" t="str">
        <f t="shared" si="57"/>
        <v>Y</v>
      </c>
      <c r="L1821" s="5" t="s">
        <v>1357</v>
      </c>
      <c r="M1821" s="5" t="s">
        <v>6647</v>
      </c>
      <c r="N1821" s="5" t="s">
        <v>6633</v>
      </c>
      <c r="O1821" s="5" t="s">
        <v>3067</v>
      </c>
      <c r="P1821" s="5" t="s">
        <v>2858</v>
      </c>
      <c r="Q1821" s="11">
        <v>46306.5</v>
      </c>
      <c r="R1821" s="6"/>
      <c r="S1821" s="6"/>
      <c r="T1821" s="6"/>
      <c r="U1821" s="5">
        <f>MATCH(B1821,Manual_Review!$A$6:$A$238,0)</f>
        <v>114</v>
      </c>
      <c r="V1821" s="5" t="str">
        <f>IF(INDEX(Manual_Review!$G$6:$G$238,U1821)="","",INDEX(Manual_Review!$G$6:$G$238,U1821))</f>
        <v/>
      </c>
      <c r="W1821" s="11" t="str">
        <f>IF(INDEX(Manual_Review!$H$6:$H$238,U1821)="","",INDEX(Manual_Review!$H$6:$H$238,U1821))</f>
        <v/>
      </c>
      <c r="X1821" s="5" t="str">
        <f>IF(INDEX(Manual_Review!$I$6:$I$238,U1821)="","",INDEX(Manual_Review!$I$6:$I$238,U1821))</f>
        <v/>
      </c>
      <c r="Y1821" s="5" t="s">
        <v>2859</v>
      </c>
    </row>
    <row r="1822" spans="1:25" ht="25.5">
      <c r="A1822" s="5" t="s">
        <v>6648</v>
      </c>
      <c r="B1822" s="5" t="s">
        <v>1354</v>
      </c>
      <c r="C1822" s="5" t="s">
        <v>1355</v>
      </c>
      <c r="D1822" s="5" t="s">
        <v>118</v>
      </c>
      <c r="E1822" s="5" t="s">
        <v>2789</v>
      </c>
      <c r="F1822" s="5" t="s">
        <v>2758</v>
      </c>
      <c r="G1822" s="5">
        <v>1</v>
      </c>
      <c r="H1822" s="5" t="s">
        <v>2864</v>
      </c>
      <c r="I1822" s="5" t="str">
        <f>IF(INDEX(Manual_Review!$S$6:$S$238,U1822)="","",INDEX(Manual_Review!$S$6:$S$238,U1822))</f>
        <v/>
      </c>
      <c r="J1822" s="5" t="str">
        <f t="shared" si="56"/>
        <v>AI provisional</v>
      </c>
      <c r="K1822" s="5" t="str">
        <f t="shared" si="57"/>
        <v>U</v>
      </c>
      <c r="L1822" s="5" t="s">
        <v>1357</v>
      </c>
      <c r="M1822" s="5" t="s">
        <v>6649</v>
      </c>
      <c r="N1822" s="5" t="s">
        <v>6633</v>
      </c>
      <c r="O1822" s="5" t="s">
        <v>2883</v>
      </c>
      <c r="P1822" s="5" t="s">
        <v>2858</v>
      </c>
      <c r="Q1822" s="11">
        <v>46306.5</v>
      </c>
      <c r="R1822" s="6"/>
      <c r="S1822" s="6"/>
      <c r="T1822" s="6"/>
      <c r="U1822" s="5">
        <f>MATCH(B1822,Manual_Review!$A$6:$A$238,0)</f>
        <v>114</v>
      </c>
      <c r="V1822" s="5" t="str">
        <f>IF(INDEX(Manual_Review!$G$6:$G$238,U1822)="","",INDEX(Manual_Review!$G$6:$G$238,U1822))</f>
        <v/>
      </c>
      <c r="W1822" s="11" t="str">
        <f>IF(INDEX(Manual_Review!$H$6:$H$238,U1822)="","",INDEX(Manual_Review!$H$6:$H$238,U1822))</f>
        <v/>
      </c>
      <c r="X1822" s="5" t="str">
        <f>IF(INDEX(Manual_Review!$I$6:$I$238,U1822)="","",INDEX(Manual_Review!$I$6:$I$238,U1822))</f>
        <v/>
      </c>
      <c r="Y1822" s="5" t="s">
        <v>2859</v>
      </c>
    </row>
    <row r="1823" spans="1:25" ht="25.5">
      <c r="A1823" s="5" t="s">
        <v>6650</v>
      </c>
      <c r="B1823" s="5" t="s">
        <v>1354</v>
      </c>
      <c r="C1823" s="5" t="s">
        <v>1355</v>
      </c>
      <c r="D1823" s="5" t="s">
        <v>118</v>
      </c>
      <c r="E1823" s="5" t="s">
        <v>2790</v>
      </c>
      <c r="F1823" s="5" t="s">
        <v>2760</v>
      </c>
      <c r="G1823" s="5">
        <v>1</v>
      </c>
      <c r="H1823" s="5" t="s">
        <v>2864</v>
      </c>
      <c r="I1823" s="5" t="str">
        <f>IF(INDEX(Manual_Review!$T$6:$T$238,U1823)="","",INDEX(Manual_Review!$T$6:$T$238,U1823))</f>
        <v/>
      </c>
      <c r="J1823" s="5" t="str">
        <f t="shared" si="56"/>
        <v>AI provisional</v>
      </c>
      <c r="K1823" s="5" t="str">
        <f t="shared" si="57"/>
        <v>U</v>
      </c>
      <c r="L1823" s="5" t="s">
        <v>1357</v>
      </c>
      <c r="M1823" s="5" t="s">
        <v>6651</v>
      </c>
      <c r="N1823" s="5" t="s">
        <v>6633</v>
      </c>
      <c r="O1823" s="5" t="s">
        <v>2885</v>
      </c>
      <c r="P1823" s="5" t="s">
        <v>2858</v>
      </c>
      <c r="Q1823" s="11">
        <v>46306.5</v>
      </c>
      <c r="R1823" s="6"/>
      <c r="S1823" s="6"/>
      <c r="T1823" s="6"/>
      <c r="U1823" s="5">
        <f>MATCH(B1823,Manual_Review!$A$6:$A$238,0)</f>
        <v>114</v>
      </c>
      <c r="V1823" s="5" t="str">
        <f>IF(INDEX(Manual_Review!$G$6:$G$238,U1823)="","",INDEX(Manual_Review!$G$6:$G$238,U1823))</f>
        <v/>
      </c>
      <c r="W1823" s="11" t="str">
        <f>IF(INDEX(Manual_Review!$H$6:$H$238,U1823)="","",INDEX(Manual_Review!$H$6:$H$238,U1823))</f>
        <v/>
      </c>
      <c r="X1823" s="5" t="str">
        <f>IF(INDEX(Manual_Review!$I$6:$I$238,U1823)="","",INDEX(Manual_Review!$I$6:$I$238,U1823))</f>
        <v/>
      </c>
      <c r="Y1823" s="5" t="s">
        <v>2859</v>
      </c>
    </row>
    <row r="1824" spans="1:25" ht="25.5">
      <c r="A1824" s="5" t="s">
        <v>6652</v>
      </c>
      <c r="B1824" s="5" t="s">
        <v>1354</v>
      </c>
      <c r="C1824" s="5" t="s">
        <v>1355</v>
      </c>
      <c r="D1824" s="5" t="s">
        <v>118</v>
      </c>
      <c r="E1824" s="5" t="s">
        <v>2791</v>
      </c>
      <c r="F1824" s="5" t="s">
        <v>2760</v>
      </c>
      <c r="G1824" s="5">
        <v>1</v>
      </c>
      <c r="H1824" s="5" t="s">
        <v>2864</v>
      </c>
      <c r="I1824" s="5" t="str">
        <f>IF(INDEX(Manual_Review!$U$6:$U$238,U1824)="","",INDEX(Manual_Review!$U$6:$U$238,U1824))</f>
        <v/>
      </c>
      <c r="J1824" s="5" t="str">
        <f t="shared" si="56"/>
        <v>AI provisional</v>
      </c>
      <c r="K1824" s="5" t="str">
        <f t="shared" si="57"/>
        <v>U</v>
      </c>
      <c r="L1824" s="5" t="s">
        <v>1357</v>
      </c>
      <c r="M1824" s="5" t="s">
        <v>6653</v>
      </c>
      <c r="N1824" s="5" t="s">
        <v>6633</v>
      </c>
      <c r="O1824" s="5" t="s">
        <v>2888</v>
      </c>
      <c r="P1824" s="5" t="s">
        <v>2858</v>
      </c>
      <c r="Q1824" s="11">
        <v>46306.5</v>
      </c>
      <c r="R1824" s="6"/>
      <c r="S1824" s="6"/>
      <c r="T1824" s="6"/>
      <c r="U1824" s="5">
        <f>MATCH(B1824,Manual_Review!$A$6:$A$238,0)</f>
        <v>114</v>
      </c>
      <c r="V1824" s="5" t="str">
        <f>IF(INDEX(Manual_Review!$G$6:$G$238,U1824)="","",INDEX(Manual_Review!$G$6:$G$238,U1824))</f>
        <v/>
      </c>
      <c r="W1824" s="11" t="str">
        <f>IF(INDEX(Manual_Review!$H$6:$H$238,U1824)="","",INDEX(Manual_Review!$H$6:$H$238,U1824))</f>
        <v/>
      </c>
      <c r="X1824" s="5" t="str">
        <f>IF(INDEX(Manual_Review!$I$6:$I$238,U1824)="","",INDEX(Manual_Review!$I$6:$I$238,U1824))</f>
        <v/>
      </c>
      <c r="Y1824" s="5" t="s">
        <v>2859</v>
      </c>
    </row>
    <row r="1825" spans="1:25" ht="25.5">
      <c r="A1825" s="5" t="s">
        <v>6654</v>
      </c>
      <c r="B1825" s="5" t="s">
        <v>1354</v>
      </c>
      <c r="C1825" s="5" t="s">
        <v>1355</v>
      </c>
      <c r="D1825" s="5" t="s">
        <v>118</v>
      </c>
      <c r="E1825" s="5" t="s">
        <v>2792</v>
      </c>
      <c r="F1825" s="5" t="s">
        <v>2762</v>
      </c>
      <c r="G1825" s="5">
        <v>1</v>
      </c>
      <c r="H1825" s="5" t="s">
        <v>2864</v>
      </c>
      <c r="I1825" s="5" t="str">
        <f>IF(INDEX(Manual_Review!$V$6:$V$238,U1825)="","",INDEX(Manual_Review!$V$6:$V$238,U1825))</f>
        <v/>
      </c>
      <c r="J1825" s="5" t="str">
        <f t="shared" si="56"/>
        <v>AI provisional</v>
      </c>
      <c r="K1825" s="5" t="str">
        <f t="shared" si="57"/>
        <v>U</v>
      </c>
      <c r="L1825" s="5" t="s">
        <v>1357</v>
      </c>
      <c r="M1825" s="5" t="s">
        <v>6655</v>
      </c>
      <c r="N1825" s="5" t="s">
        <v>6633</v>
      </c>
      <c r="O1825" s="5" t="s">
        <v>2891</v>
      </c>
      <c r="P1825" s="5" t="s">
        <v>2858</v>
      </c>
      <c r="Q1825" s="11">
        <v>46306.5</v>
      </c>
      <c r="R1825" s="6"/>
      <c r="S1825" s="6"/>
      <c r="T1825" s="6"/>
      <c r="U1825" s="5">
        <f>MATCH(B1825,Manual_Review!$A$6:$A$238,0)</f>
        <v>114</v>
      </c>
      <c r="V1825" s="5" t="str">
        <f>IF(INDEX(Manual_Review!$G$6:$G$238,U1825)="","",INDEX(Manual_Review!$G$6:$G$238,U1825))</f>
        <v/>
      </c>
      <c r="W1825" s="11" t="str">
        <f>IF(INDEX(Manual_Review!$H$6:$H$238,U1825)="","",INDEX(Manual_Review!$H$6:$H$238,U1825))</f>
        <v/>
      </c>
      <c r="X1825" s="5" t="str">
        <f>IF(INDEX(Manual_Review!$I$6:$I$238,U1825)="","",INDEX(Manual_Review!$I$6:$I$238,U1825))</f>
        <v/>
      </c>
      <c r="Y1825" s="5" t="s">
        <v>2859</v>
      </c>
    </row>
    <row r="1826" spans="1:25" ht="25.5">
      <c r="A1826" s="5" t="s">
        <v>6656</v>
      </c>
      <c r="B1826" s="5" t="s">
        <v>1354</v>
      </c>
      <c r="C1826" s="5" t="s">
        <v>1355</v>
      </c>
      <c r="D1826" s="5" t="s">
        <v>118</v>
      </c>
      <c r="E1826" s="5" t="s">
        <v>2793</v>
      </c>
      <c r="F1826" s="5" t="s">
        <v>2762</v>
      </c>
      <c r="G1826" s="5">
        <v>1</v>
      </c>
      <c r="H1826" s="5" t="s">
        <v>2854</v>
      </c>
      <c r="I1826" s="5" t="str">
        <f>IF(INDEX(Manual_Review!$W$6:$W$238,U1826)="","",INDEX(Manual_Review!$W$6:$W$238,U1826))</f>
        <v/>
      </c>
      <c r="J1826" s="5" t="str">
        <f t="shared" si="56"/>
        <v>AI provisional</v>
      </c>
      <c r="K1826" s="5" t="str">
        <f t="shared" si="57"/>
        <v>Y</v>
      </c>
      <c r="L1826" s="5" t="s">
        <v>1357</v>
      </c>
      <c r="M1826" s="5" t="s">
        <v>6657</v>
      </c>
      <c r="N1826" s="5" t="s">
        <v>6633</v>
      </c>
      <c r="O1826" s="5" t="s">
        <v>3077</v>
      </c>
      <c r="P1826" s="5" t="s">
        <v>2858</v>
      </c>
      <c r="Q1826" s="11">
        <v>46306.5</v>
      </c>
      <c r="R1826" s="6"/>
      <c r="S1826" s="6"/>
      <c r="T1826" s="6"/>
      <c r="U1826" s="5">
        <f>MATCH(B1826,Manual_Review!$A$6:$A$238,0)</f>
        <v>114</v>
      </c>
      <c r="V1826" s="5" t="str">
        <f>IF(INDEX(Manual_Review!$G$6:$G$238,U1826)="","",INDEX(Manual_Review!$G$6:$G$238,U1826))</f>
        <v/>
      </c>
      <c r="W1826" s="11" t="str">
        <f>IF(INDEX(Manual_Review!$H$6:$H$238,U1826)="","",INDEX(Manual_Review!$H$6:$H$238,U1826))</f>
        <v/>
      </c>
      <c r="X1826" s="5" t="str">
        <f>IF(INDEX(Manual_Review!$I$6:$I$238,U1826)="","",INDEX(Manual_Review!$I$6:$I$238,U1826))</f>
        <v/>
      </c>
      <c r="Y1826" s="5" t="s">
        <v>2859</v>
      </c>
    </row>
    <row r="1827" spans="1:25" ht="25.5">
      <c r="A1827" s="5" t="s">
        <v>6658</v>
      </c>
      <c r="B1827" s="5" t="s">
        <v>1354</v>
      </c>
      <c r="C1827" s="5" t="s">
        <v>1355</v>
      </c>
      <c r="D1827" s="5" t="s">
        <v>118</v>
      </c>
      <c r="E1827" s="5" t="s">
        <v>2794</v>
      </c>
      <c r="F1827" s="5" t="s">
        <v>2764</v>
      </c>
      <c r="G1827" s="5">
        <v>1</v>
      </c>
      <c r="H1827" s="5" t="s">
        <v>2864</v>
      </c>
      <c r="I1827" s="5" t="str">
        <f>IF(INDEX(Manual_Review!$X$6:$X$238,U1827)="","",INDEX(Manual_Review!$X$6:$X$238,U1827))</f>
        <v/>
      </c>
      <c r="J1827" s="5" t="str">
        <f t="shared" si="56"/>
        <v>AI provisional</v>
      </c>
      <c r="K1827" s="5" t="str">
        <f t="shared" si="57"/>
        <v>U</v>
      </c>
      <c r="L1827" s="5" t="s">
        <v>1357</v>
      </c>
      <c r="M1827" s="5" t="s">
        <v>6659</v>
      </c>
      <c r="N1827" s="5" t="s">
        <v>6633</v>
      </c>
      <c r="O1827" s="5" t="s">
        <v>2895</v>
      </c>
      <c r="P1827" s="5" t="s">
        <v>2858</v>
      </c>
      <c r="Q1827" s="11">
        <v>46306.5</v>
      </c>
      <c r="R1827" s="6"/>
      <c r="S1827" s="6"/>
      <c r="T1827" s="6"/>
      <c r="U1827" s="5">
        <f>MATCH(B1827,Manual_Review!$A$6:$A$238,0)</f>
        <v>114</v>
      </c>
      <c r="V1827" s="5" t="str">
        <f>IF(INDEX(Manual_Review!$G$6:$G$238,U1827)="","",INDEX(Manual_Review!$G$6:$G$238,U1827))</f>
        <v/>
      </c>
      <c r="W1827" s="11" t="str">
        <f>IF(INDEX(Manual_Review!$H$6:$H$238,U1827)="","",INDEX(Manual_Review!$H$6:$H$238,U1827))</f>
        <v/>
      </c>
      <c r="X1827" s="5" t="str">
        <f>IF(INDEX(Manual_Review!$I$6:$I$238,U1827)="","",INDEX(Manual_Review!$I$6:$I$238,U1827))</f>
        <v/>
      </c>
      <c r="Y1827" s="5" t="s">
        <v>2859</v>
      </c>
    </row>
    <row r="1828" spans="1:25" ht="25.5">
      <c r="A1828" s="5" t="s">
        <v>6660</v>
      </c>
      <c r="B1828" s="5" t="s">
        <v>1354</v>
      </c>
      <c r="C1828" s="5" t="s">
        <v>1355</v>
      </c>
      <c r="D1828" s="5" t="s">
        <v>118</v>
      </c>
      <c r="E1828" s="5" t="s">
        <v>2795</v>
      </c>
      <c r="F1828" s="5" t="s">
        <v>2764</v>
      </c>
      <c r="G1828" s="5">
        <v>1</v>
      </c>
      <c r="H1828" s="5" t="s">
        <v>2864</v>
      </c>
      <c r="I1828" s="5" t="str">
        <f>IF(INDEX(Manual_Review!$Y$6:$Y$238,U1828)="","",INDEX(Manual_Review!$Y$6:$Y$238,U1828))</f>
        <v/>
      </c>
      <c r="J1828" s="5" t="str">
        <f t="shared" si="56"/>
        <v>AI provisional</v>
      </c>
      <c r="K1828" s="5" t="str">
        <f t="shared" si="57"/>
        <v>U</v>
      </c>
      <c r="L1828" s="5" t="s">
        <v>1357</v>
      </c>
      <c r="M1828" s="5" t="s">
        <v>6651</v>
      </c>
      <c r="N1828" s="5" t="s">
        <v>6633</v>
      </c>
      <c r="O1828" s="5" t="s">
        <v>2897</v>
      </c>
      <c r="P1828" s="5" t="s">
        <v>2858</v>
      </c>
      <c r="Q1828" s="11">
        <v>46306.5</v>
      </c>
      <c r="R1828" s="6"/>
      <c r="S1828" s="6"/>
      <c r="T1828" s="6"/>
      <c r="U1828" s="5">
        <f>MATCH(B1828,Manual_Review!$A$6:$A$238,0)</f>
        <v>114</v>
      </c>
      <c r="V1828" s="5" t="str">
        <f>IF(INDEX(Manual_Review!$G$6:$G$238,U1828)="","",INDEX(Manual_Review!$G$6:$G$238,U1828))</f>
        <v/>
      </c>
      <c r="W1828" s="11" t="str">
        <f>IF(INDEX(Manual_Review!$H$6:$H$238,U1828)="","",INDEX(Manual_Review!$H$6:$H$238,U1828))</f>
        <v/>
      </c>
      <c r="X1828" s="5" t="str">
        <f>IF(INDEX(Manual_Review!$I$6:$I$238,U1828)="","",INDEX(Manual_Review!$I$6:$I$238,U1828))</f>
        <v/>
      </c>
      <c r="Y1828" s="5" t="s">
        <v>2859</v>
      </c>
    </row>
    <row r="1829" spans="1:25" ht="25.5">
      <c r="A1829" s="5" t="s">
        <v>6661</v>
      </c>
      <c r="B1829" s="5" t="s">
        <v>1354</v>
      </c>
      <c r="C1829" s="5" t="s">
        <v>1355</v>
      </c>
      <c r="D1829" s="5" t="s">
        <v>118</v>
      </c>
      <c r="E1829" s="5" t="s">
        <v>2796</v>
      </c>
      <c r="F1829" s="5" t="s">
        <v>2764</v>
      </c>
      <c r="G1829" s="5">
        <v>1</v>
      </c>
      <c r="H1829" s="5" t="s">
        <v>2854</v>
      </c>
      <c r="I1829" s="5" t="str">
        <f>IF(INDEX(Manual_Review!$Z$6:$Z$238,U1829)="","",INDEX(Manual_Review!$Z$6:$Z$238,U1829))</f>
        <v/>
      </c>
      <c r="J1829" s="5" t="str">
        <f t="shared" si="56"/>
        <v>AI provisional</v>
      </c>
      <c r="K1829" s="5" t="str">
        <f t="shared" si="57"/>
        <v>Y</v>
      </c>
      <c r="L1829" s="5" t="s">
        <v>1357</v>
      </c>
      <c r="M1829" s="5" t="s">
        <v>6662</v>
      </c>
      <c r="N1829" s="5" t="s">
        <v>6633</v>
      </c>
      <c r="O1829" s="5" t="s">
        <v>3085</v>
      </c>
      <c r="P1829" s="5" t="s">
        <v>2858</v>
      </c>
      <c r="Q1829" s="11">
        <v>46306.5</v>
      </c>
      <c r="R1829" s="6"/>
      <c r="S1829" s="6"/>
      <c r="T1829" s="6"/>
      <c r="U1829" s="5">
        <f>MATCH(B1829,Manual_Review!$A$6:$A$238,0)</f>
        <v>114</v>
      </c>
      <c r="V1829" s="5" t="str">
        <f>IF(INDEX(Manual_Review!$G$6:$G$238,U1829)="","",INDEX(Manual_Review!$G$6:$G$238,U1829))</f>
        <v/>
      </c>
      <c r="W1829" s="11" t="str">
        <f>IF(INDEX(Manual_Review!$H$6:$H$238,U1829)="","",INDEX(Manual_Review!$H$6:$H$238,U1829))</f>
        <v/>
      </c>
      <c r="X1829" s="5" t="str">
        <f>IF(INDEX(Manual_Review!$I$6:$I$238,U1829)="","",INDEX(Manual_Review!$I$6:$I$238,U1829))</f>
        <v/>
      </c>
      <c r="Y1829" s="5" t="s">
        <v>2859</v>
      </c>
    </row>
    <row r="1830" spans="1:25" ht="38.25">
      <c r="A1830" s="5" t="s">
        <v>6663</v>
      </c>
      <c r="B1830" s="5" t="s">
        <v>1359</v>
      </c>
      <c r="C1830" s="5" t="s">
        <v>1360</v>
      </c>
      <c r="D1830" s="5" t="s">
        <v>118</v>
      </c>
      <c r="E1830" s="5" t="s">
        <v>2781</v>
      </c>
      <c r="F1830" s="5" t="s">
        <v>2754</v>
      </c>
      <c r="G1830" s="5">
        <v>1</v>
      </c>
      <c r="H1830" s="5" t="s">
        <v>2864</v>
      </c>
      <c r="I1830" s="5" t="str">
        <f>IF(INDEX(Manual_Review!$K$6:$K$238,U1830)="","",INDEX(Manual_Review!$K$6:$K$238,U1830))</f>
        <v/>
      </c>
      <c r="J1830" s="5" t="str">
        <f t="shared" si="56"/>
        <v>AI provisional</v>
      </c>
      <c r="K1830" s="5" t="str">
        <f t="shared" si="57"/>
        <v>U</v>
      </c>
      <c r="L1830" s="5" t="s">
        <v>1367</v>
      </c>
      <c r="M1830" s="5" t="s">
        <v>6664</v>
      </c>
      <c r="N1830" s="5" t="s">
        <v>6665</v>
      </c>
      <c r="O1830" s="5" t="s">
        <v>4469</v>
      </c>
      <c r="P1830" s="5" t="s">
        <v>2858</v>
      </c>
      <c r="Q1830" s="11">
        <v>46306.5</v>
      </c>
      <c r="R1830" s="6"/>
      <c r="S1830" s="6"/>
      <c r="T1830" s="6"/>
      <c r="U1830" s="5">
        <f>MATCH(B1830,Manual_Review!$A$6:$A$238,0)</f>
        <v>115</v>
      </c>
      <c r="V1830" s="5" t="str">
        <f>IF(INDEX(Manual_Review!$G$6:$G$238,U1830)="","",INDEX(Manual_Review!$G$6:$G$238,U1830))</f>
        <v/>
      </c>
      <c r="W1830" s="11" t="str">
        <f>IF(INDEX(Manual_Review!$H$6:$H$238,U1830)="","",INDEX(Manual_Review!$H$6:$H$238,U1830))</f>
        <v/>
      </c>
      <c r="X1830" s="5" t="str">
        <f>IF(INDEX(Manual_Review!$I$6:$I$238,U1830)="","",INDEX(Manual_Review!$I$6:$I$238,U1830))</f>
        <v/>
      </c>
      <c r="Y1830" s="5" t="s">
        <v>2859</v>
      </c>
    </row>
    <row r="1831" spans="1:25" ht="38.25">
      <c r="A1831" s="5" t="s">
        <v>6666</v>
      </c>
      <c r="B1831" s="5" t="s">
        <v>1359</v>
      </c>
      <c r="C1831" s="5" t="s">
        <v>1360</v>
      </c>
      <c r="D1831" s="5" t="s">
        <v>118</v>
      </c>
      <c r="E1831" s="5" t="s">
        <v>2782</v>
      </c>
      <c r="F1831" s="5" t="s">
        <v>2754</v>
      </c>
      <c r="G1831" s="5">
        <v>1</v>
      </c>
      <c r="H1831" s="5" t="s">
        <v>2864</v>
      </c>
      <c r="I1831" s="5" t="str">
        <f>IF(INDEX(Manual_Review!$L$6:$L$238,U1831)="","",INDEX(Manual_Review!$L$6:$L$238,U1831))</f>
        <v/>
      </c>
      <c r="J1831" s="5" t="str">
        <f t="shared" si="56"/>
        <v>AI provisional</v>
      </c>
      <c r="K1831" s="5" t="str">
        <f t="shared" si="57"/>
        <v>U</v>
      </c>
      <c r="L1831" s="5" t="s">
        <v>1367</v>
      </c>
      <c r="M1831" s="5" t="s">
        <v>6667</v>
      </c>
      <c r="N1831" s="5" t="s">
        <v>6665</v>
      </c>
      <c r="O1831" s="5" t="s">
        <v>4472</v>
      </c>
      <c r="P1831" s="5" t="s">
        <v>2858</v>
      </c>
      <c r="Q1831" s="11">
        <v>46306.5</v>
      </c>
      <c r="R1831" s="6"/>
      <c r="S1831" s="6"/>
      <c r="T1831" s="6"/>
      <c r="U1831" s="5">
        <f>MATCH(B1831,Manual_Review!$A$6:$A$238,0)</f>
        <v>115</v>
      </c>
      <c r="V1831" s="5" t="str">
        <f>IF(INDEX(Manual_Review!$G$6:$G$238,U1831)="","",INDEX(Manual_Review!$G$6:$G$238,U1831))</f>
        <v/>
      </c>
      <c r="W1831" s="11" t="str">
        <f>IF(INDEX(Manual_Review!$H$6:$H$238,U1831)="","",INDEX(Manual_Review!$H$6:$H$238,U1831))</f>
        <v/>
      </c>
      <c r="X1831" s="5" t="str">
        <f>IF(INDEX(Manual_Review!$I$6:$I$238,U1831)="","",INDEX(Manual_Review!$I$6:$I$238,U1831))</f>
        <v/>
      </c>
      <c r="Y1831" s="5" t="s">
        <v>2859</v>
      </c>
    </row>
    <row r="1832" spans="1:25" ht="38.25">
      <c r="A1832" s="5" t="s">
        <v>6668</v>
      </c>
      <c r="B1832" s="5" t="s">
        <v>1359</v>
      </c>
      <c r="C1832" s="5" t="s">
        <v>1360</v>
      </c>
      <c r="D1832" s="5" t="s">
        <v>118</v>
      </c>
      <c r="E1832" s="5" t="s">
        <v>2783</v>
      </c>
      <c r="F1832" s="5" t="s">
        <v>2754</v>
      </c>
      <c r="G1832" s="5">
        <v>1</v>
      </c>
      <c r="H1832" s="5" t="s">
        <v>2864</v>
      </c>
      <c r="I1832" s="5" t="str">
        <f>IF(INDEX(Manual_Review!$M$6:$M$238,U1832)="","",INDEX(Manual_Review!$M$6:$M$238,U1832))</f>
        <v/>
      </c>
      <c r="J1832" s="5" t="str">
        <f t="shared" si="56"/>
        <v>AI provisional</v>
      </c>
      <c r="K1832" s="5" t="str">
        <f t="shared" si="57"/>
        <v>U</v>
      </c>
      <c r="L1832" s="5" t="s">
        <v>1367</v>
      </c>
      <c r="M1832" s="5" t="s">
        <v>6669</v>
      </c>
      <c r="N1832" s="5" t="s">
        <v>6665</v>
      </c>
      <c r="O1832" s="5" t="s">
        <v>4474</v>
      </c>
      <c r="P1832" s="5" t="s">
        <v>2858</v>
      </c>
      <c r="Q1832" s="11">
        <v>46306.5</v>
      </c>
      <c r="R1832" s="6"/>
      <c r="S1832" s="6"/>
      <c r="T1832" s="6"/>
      <c r="U1832" s="5">
        <f>MATCH(B1832,Manual_Review!$A$6:$A$238,0)</f>
        <v>115</v>
      </c>
      <c r="V1832" s="5" t="str">
        <f>IF(INDEX(Manual_Review!$G$6:$G$238,U1832)="","",INDEX(Manual_Review!$G$6:$G$238,U1832))</f>
        <v/>
      </c>
      <c r="W1832" s="11" t="str">
        <f>IF(INDEX(Manual_Review!$H$6:$H$238,U1832)="","",INDEX(Manual_Review!$H$6:$H$238,U1832))</f>
        <v/>
      </c>
      <c r="X1832" s="5" t="str">
        <f>IF(INDEX(Manual_Review!$I$6:$I$238,U1832)="","",INDEX(Manual_Review!$I$6:$I$238,U1832))</f>
        <v/>
      </c>
      <c r="Y1832" s="5" t="s">
        <v>2859</v>
      </c>
    </row>
    <row r="1833" spans="1:25" ht="38.25">
      <c r="A1833" s="5" t="s">
        <v>6670</v>
      </c>
      <c r="B1833" s="5" t="s">
        <v>1359</v>
      </c>
      <c r="C1833" s="5" t="s">
        <v>1360</v>
      </c>
      <c r="D1833" s="5" t="s">
        <v>118</v>
      </c>
      <c r="E1833" s="5" t="s">
        <v>2784</v>
      </c>
      <c r="F1833" s="5" t="s">
        <v>2756</v>
      </c>
      <c r="G1833" s="5">
        <v>1</v>
      </c>
      <c r="H1833" s="5" t="s">
        <v>2864</v>
      </c>
      <c r="I1833" s="5" t="str">
        <f>IF(INDEX(Manual_Review!$N$6:$N$238,U1833)="","",INDEX(Manual_Review!$N$6:$N$238,U1833))</f>
        <v/>
      </c>
      <c r="J1833" s="5" t="str">
        <f t="shared" si="56"/>
        <v>AI provisional</v>
      </c>
      <c r="K1833" s="5" t="str">
        <f t="shared" si="57"/>
        <v>U</v>
      </c>
      <c r="L1833" s="5" t="s">
        <v>1367</v>
      </c>
      <c r="M1833" s="5" t="s">
        <v>6671</v>
      </c>
      <c r="N1833" s="5" t="s">
        <v>6665</v>
      </c>
      <c r="O1833" s="5" t="s">
        <v>4476</v>
      </c>
      <c r="P1833" s="5" t="s">
        <v>2858</v>
      </c>
      <c r="Q1833" s="11">
        <v>46306.5</v>
      </c>
      <c r="R1833" s="6"/>
      <c r="S1833" s="6"/>
      <c r="T1833" s="6"/>
      <c r="U1833" s="5">
        <f>MATCH(B1833,Manual_Review!$A$6:$A$238,0)</f>
        <v>115</v>
      </c>
      <c r="V1833" s="5" t="str">
        <f>IF(INDEX(Manual_Review!$G$6:$G$238,U1833)="","",INDEX(Manual_Review!$G$6:$G$238,U1833))</f>
        <v/>
      </c>
      <c r="W1833" s="11" t="str">
        <f>IF(INDEX(Manual_Review!$H$6:$H$238,U1833)="","",INDEX(Manual_Review!$H$6:$H$238,U1833))</f>
        <v/>
      </c>
      <c r="X1833" s="5" t="str">
        <f>IF(INDEX(Manual_Review!$I$6:$I$238,U1833)="","",INDEX(Manual_Review!$I$6:$I$238,U1833))</f>
        <v/>
      </c>
      <c r="Y1833" s="5" t="s">
        <v>2859</v>
      </c>
    </row>
    <row r="1834" spans="1:25" ht="38.25">
      <c r="A1834" s="5" t="s">
        <v>6672</v>
      </c>
      <c r="B1834" s="5" t="s">
        <v>1359</v>
      </c>
      <c r="C1834" s="5" t="s">
        <v>1360</v>
      </c>
      <c r="D1834" s="5" t="s">
        <v>118</v>
      </c>
      <c r="E1834" s="5" t="s">
        <v>2785</v>
      </c>
      <c r="F1834" s="5" t="s">
        <v>2756</v>
      </c>
      <c r="G1834" s="5">
        <v>1</v>
      </c>
      <c r="H1834" s="5" t="s">
        <v>2864</v>
      </c>
      <c r="I1834" s="5" t="str">
        <f>IF(INDEX(Manual_Review!$O$6:$O$238,U1834)="","",INDEX(Manual_Review!$O$6:$O$238,U1834))</f>
        <v/>
      </c>
      <c r="J1834" s="5" t="str">
        <f t="shared" si="56"/>
        <v>AI provisional</v>
      </c>
      <c r="K1834" s="5" t="str">
        <f t="shared" si="57"/>
        <v>U</v>
      </c>
      <c r="L1834" s="5" t="s">
        <v>1367</v>
      </c>
      <c r="M1834" s="5" t="s">
        <v>6673</v>
      </c>
      <c r="N1834" s="5" t="s">
        <v>6665</v>
      </c>
      <c r="O1834" s="5" t="s">
        <v>4479</v>
      </c>
      <c r="P1834" s="5" t="s">
        <v>2858</v>
      </c>
      <c r="Q1834" s="11">
        <v>46306.5</v>
      </c>
      <c r="R1834" s="6"/>
      <c r="S1834" s="6"/>
      <c r="T1834" s="6"/>
      <c r="U1834" s="5">
        <f>MATCH(B1834,Manual_Review!$A$6:$A$238,0)</f>
        <v>115</v>
      </c>
      <c r="V1834" s="5" t="str">
        <f>IF(INDEX(Manual_Review!$G$6:$G$238,U1834)="","",INDEX(Manual_Review!$G$6:$G$238,U1834))</f>
        <v/>
      </c>
      <c r="W1834" s="11" t="str">
        <f>IF(INDEX(Manual_Review!$H$6:$H$238,U1834)="","",INDEX(Manual_Review!$H$6:$H$238,U1834))</f>
        <v/>
      </c>
      <c r="X1834" s="5" t="str">
        <f>IF(INDEX(Manual_Review!$I$6:$I$238,U1834)="","",INDEX(Manual_Review!$I$6:$I$238,U1834))</f>
        <v/>
      </c>
      <c r="Y1834" s="5" t="s">
        <v>2859</v>
      </c>
    </row>
    <row r="1835" spans="1:25" ht="38.25">
      <c r="A1835" s="5" t="s">
        <v>6674</v>
      </c>
      <c r="B1835" s="5" t="s">
        <v>1359</v>
      </c>
      <c r="C1835" s="5" t="s">
        <v>1360</v>
      </c>
      <c r="D1835" s="5" t="s">
        <v>118</v>
      </c>
      <c r="E1835" s="5" t="s">
        <v>2786</v>
      </c>
      <c r="F1835" s="5" t="s">
        <v>2756</v>
      </c>
      <c r="G1835" s="5">
        <v>1</v>
      </c>
      <c r="H1835" s="5" t="s">
        <v>2864</v>
      </c>
      <c r="I1835" s="5" t="str">
        <f>IF(INDEX(Manual_Review!$P$6:$P$238,U1835)="","",INDEX(Manual_Review!$P$6:$P$238,U1835))</f>
        <v/>
      </c>
      <c r="J1835" s="5" t="str">
        <f t="shared" si="56"/>
        <v>AI provisional</v>
      </c>
      <c r="K1835" s="5" t="str">
        <f t="shared" si="57"/>
        <v>U</v>
      </c>
      <c r="L1835" s="5" t="s">
        <v>1367</v>
      </c>
      <c r="M1835" s="5" t="s">
        <v>6675</v>
      </c>
      <c r="N1835" s="5" t="s">
        <v>6665</v>
      </c>
      <c r="O1835" s="5" t="s">
        <v>4481</v>
      </c>
      <c r="P1835" s="5" t="s">
        <v>2858</v>
      </c>
      <c r="Q1835" s="11">
        <v>46306.5</v>
      </c>
      <c r="R1835" s="6"/>
      <c r="S1835" s="6"/>
      <c r="T1835" s="6"/>
      <c r="U1835" s="5">
        <f>MATCH(B1835,Manual_Review!$A$6:$A$238,0)</f>
        <v>115</v>
      </c>
      <c r="V1835" s="5" t="str">
        <f>IF(INDEX(Manual_Review!$G$6:$G$238,U1835)="","",INDEX(Manual_Review!$G$6:$G$238,U1835))</f>
        <v/>
      </c>
      <c r="W1835" s="11" t="str">
        <f>IF(INDEX(Manual_Review!$H$6:$H$238,U1835)="","",INDEX(Manual_Review!$H$6:$H$238,U1835))</f>
        <v/>
      </c>
      <c r="X1835" s="5" t="str">
        <f>IF(INDEX(Manual_Review!$I$6:$I$238,U1835)="","",INDEX(Manual_Review!$I$6:$I$238,U1835))</f>
        <v/>
      </c>
      <c r="Y1835" s="5" t="s">
        <v>2859</v>
      </c>
    </row>
    <row r="1836" spans="1:25" ht="38.25">
      <c r="A1836" s="5" t="s">
        <v>6676</v>
      </c>
      <c r="B1836" s="5" t="s">
        <v>1359</v>
      </c>
      <c r="C1836" s="5" t="s">
        <v>1360</v>
      </c>
      <c r="D1836" s="5" t="s">
        <v>118</v>
      </c>
      <c r="E1836" s="5" t="s">
        <v>2787</v>
      </c>
      <c r="F1836" s="5" t="s">
        <v>2758</v>
      </c>
      <c r="G1836" s="5">
        <v>1</v>
      </c>
      <c r="H1836" s="5" t="s">
        <v>2864</v>
      </c>
      <c r="I1836" s="5" t="str">
        <f>IF(INDEX(Manual_Review!$Q$6:$Q$238,U1836)="","",INDEX(Manual_Review!$Q$6:$Q$238,U1836))</f>
        <v/>
      </c>
      <c r="J1836" s="5" t="str">
        <f t="shared" si="56"/>
        <v>AI provisional</v>
      </c>
      <c r="K1836" s="5" t="str">
        <f t="shared" si="57"/>
        <v>U</v>
      </c>
      <c r="L1836" s="5" t="s">
        <v>1367</v>
      </c>
      <c r="M1836" s="5" t="s">
        <v>6677</v>
      </c>
      <c r="N1836" s="5" t="s">
        <v>6665</v>
      </c>
      <c r="O1836" s="5" t="s">
        <v>4484</v>
      </c>
      <c r="P1836" s="5" t="s">
        <v>2858</v>
      </c>
      <c r="Q1836" s="11">
        <v>46306.5</v>
      </c>
      <c r="R1836" s="6"/>
      <c r="S1836" s="6"/>
      <c r="T1836" s="6"/>
      <c r="U1836" s="5">
        <f>MATCH(B1836,Manual_Review!$A$6:$A$238,0)</f>
        <v>115</v>
      </c>
      <c r="V1836" s="5" t="str">
        <f>IF(INDEX(Manual_Review!$G$6:$G$238,U1836)="","",INDEX(Manual_Review!$G$6:$G$238,U1836))</f>
        <v/>
      </c>
      <c r="W1836" s="11" t="str">
        <f>IF(INDEX(Manual_Review!$H$6:$H$238,U1836)="","",INDEX(Manual_Review!$H$6:$H$238,U1836))</f>
        <v/>
      </c>
      <c r="X1836" s="5" t="str">
        <f>IF(INDEX(Manual_Review!$I$6:$I$238,U1836)="","",INDEX(Manual_Review!$I$6:$I$238,U1836))</f>
        <v/>
      </c>
      <c r="Y1836" s="5" t="s">
        <v>2859</v>
      </c>
    </row>
    <row r="1837" spans="1:25" ht="38.25">
      <c r="A1837" s="5" t="s">
        <v>6678</v>
      </c>
      <c r="B1837" s="5" t="s">
        <v>1359</v>
      </c>
      <c r="C1837" s="5" t="s">
        <v>1360</v>
      </c>
      <c r="D1837" s="5" t="s">
        <v>118</v>
      </c>
      <c r="E1837" s="5" t="s">
        <v>2788</v>
      </c>
      <c r="F1837" s="5" t="s">
        <v>2758</v>
      </c>
      <c r="G1837" s="5">
        <v>1</v>
      </c>
      <c r="H1837" s="5" t="s">
        <v>2864</v>
      </c>
      <c r="I1837" s="5" t="str">
        <f>IF(INDEX(Manual_Review!$R$6:$R$238,U1837)="","",INDEX(Manual_Review!$R$6:$R$238,U1837))</f>
        <v/>
      </c>
      <c r="J1837" s="5" t="str">
        <f t="shared" si="56"/>
        <v>AI provisional</v>
      </c>
      <c r="K1837" s="5" t="str">
        <f t="shared" si="57"/>
        <v>U</v>
      </c>
      <c r="L1837" s="5" t="s">
        <v>1367</v>
      </c>
      <c r="M1837" s="5" t="s">
        <v>6679</v>
      </c>
      <c r="N1837" s="5" t="s">
        <v>6665</v>
      </c>
      <c r="O1837" s="5" t="s">
        <v>4487</v>
      </c>
      <c r="P1837" s="5" t="s">
        <v>2858</v>
      </c>
      <c r="Q1837" s="11">
        <v>46306.5</v>
      </c>
      <c r="R1837" s="6"/>
      <c r="S1837" s="6"/>
      <c r="T1837" s="6"/>
      <c r="U1837" s="5">
        <f>MATCH(B1837,Manual_Review!$A$6:$A$238,0)</f>
        <v>115</v>
      </c>
      <c r="V1837" s="5" t="str">
        <f>IF(INDEX(Manual_Review!$G$6:$G$238,U1837)="","",INDEX(Manual_Review!$G$6:$G$238,U1837))</f>
        <v/>
      </c>
      <c r="W1837" s="11" t="str">
        <f>IF(INDEX(Manual_Review!$H$6:$H$238,U1837)="","",INDEX(Manual_Review!$H$6:$H$238,U1837))</f>
        <v/>
      </c>
      <c r="X1837" s="5" t="str">
        <f>IF(INDEX(Manual_Review!$I$6:$I$238,U1837)="","",INDEX(Manual_Review!$I$6:$I$238,U1837))</f>
        <v/>
      </c>
      <c r="Y1837" s="5" t="s">
        <v>2859</v>
      </c>
    </row>
    <row r="1838" spans="1:25" ht="38.25">
      <c r="A1838" s="5" t="s">
        <v>6680</v>
      </c>
      <c r="B1838" s="5" t="s">
        <v>1359</v>
      </c>
      <c r="C1838" s="5" t="s">
        <v>1360</v>
      </c>
      <c r="D1838" s="5" t="s">
        <v>118</v>
      </c>
      <c r="E1838" s="5" t="s">
        <v>2789</v>
      </c>
      <c r="F1838" s="5" t="s">
        <v>2758</v>
      </c>
      <c r="G1838" s="5">
        <v>1</v>
      </c>
      <c r="H1838" s="5" t="s">
        <v>2864</v>
      </c>
      <c r="I1838" s="5" t="str">
        <f>IF(INDEX(Manual_Review!$S$6:$S$238,U1838)="","",INDEX(Manual_Review!$S$6:$S$238,U1838))</f>
        <v/>
      </c>
      <c r="J1838" s="5" t="str">
        <f t="shared" si="56"/>
        <v>AI provisional</v>
      </c>
      <c r="K1838" s="5" t="str">
        <f t="shared" si="57"/>
        <v>U</v>
      </c>
      <c r="L1838" s="5" t="s">
        <v>1367</v>
      </c>
      <c r="M1838" s="5" t="s">
        <v>6681</v>
      </c>
      <c r="N1838" s="5" t="s">
        <v>6665</v>
      </c>
      <c r="O1838" s="5" t="s">
        <v>4490</v>
      </c>
      <c r="P1838" s="5" t="s">
        <v>2858</v>
      </c>
      <c r="Q1838" s="11">
        <v>46306.5</v>
      </c>
      <c r="R1838" s="6"/>
      <c r="S1838" s="6"/>
      <c r="T1838" s="6"/>
      <c r="U1838" s="5">
        <f>MATCH(B1838,Manual_Review!$A$6:$A$238,0)</f>
        <v>115</v>
      </c>
      <c r="V1838" s="5" t="str">
        <f>IF(INDEX(Manual_Review!$G$6:$G$238,U1838)="","",INDEX(Manual_Review!$G$6:$G$238,U1838))</f>
        <v/>
      </c>
      <c r="W1838" s="11" t="str">
        <f>IF(INDEX(Manual_Review!$H$6:$H$238,U1838)="","",INDEX(Manual_Review!$H$6:$H$238,U1838))</f>
        <v/>
      </c>
      <c r="X1838" s="5" t="str">
        <f>IF(INDEX(Manual_Review!$I$6:$I$238,U1838)="","",INDEX(Manual_Review!$I$6:$I$238,U1838))</f>
        <v/>
      </c>
      <c r="Y1838" s="5" t="s">
        <v>2859</v>
      </c>
    </row>
    <row r="1839" spans="1:25" ht="38.25">
      <c r="A1839" s="5" t="s">
        <v>6682</v>
      </c>
      <c r="B1839" s="5" t="s">
        <v>1359</v>
      </c>
      <c r="C1839" s="5" t="s">
        <v>1360</v>
      </c>
      <c r="D1839" s="5" t="s">
        <v>118</v>
      </c>
      <c r="E1839" s="5" t="s">
        <v>2790</v>
      </c>
      <c r="F1839" s="5" t="s">
        <v>2760</v>
      </c>
      <c r="G1839" s="5">
        <v>1</v>
      </c>
      <c r="H1839" s="5" t="s">
        <v>2864</v>
      </c>
      <c r="I1839" s="5" t="str">
        <f>IF(INDEX(Manual_Review!$T$6:$T$238,U1839)="","",INDEX(Manual_Review!$T$6:$T$238,U1839))</f>
        <v/>
      </c>
      <c r="J1839" s="5" t="str">
        <f t="shared" si="56"/>
        <v>AI provisional</v>
      </c>
      <c r="K1839" s="5" t="str">
        <f t="shared" si="57"/>
        <v>U</v>
      </c>
      <c r="L1839" s="5" t="s">
        <v>1367</v>
      </c>
      <c r="M1839" s="5" t="s">
        <v>6683</v>
      </c>
      <c r="N1839" s="5" t="s">
        <v>6665</v>
      </c>
      <c r="O1839" s="5" t="s">
        <v>4492</v>
      </c>
      <c r="P1839" s="5" t="s">
        <v>2858</v>
      </c>
      <c r="Q1839" s="11">
        <v>46306.5</v>
      </c>
      <c r="R1839" s="6"/>
      <c r="S1839" s="6"/>
      <c r="T1839" s="6"/>
      <c r="U1839" s="5">
        <f>MATCH(B1839,Manual_Review!$A$6:$A$238,0)</f>
        <v>115</v>
      </c>
      <c r="V1839" s="5" t="str">
        <f>IF(INDEX(Manual_Review!$G$6:$G$238,U1839)="","",INDEX(Manual_Review!$G$6:$G$238,U1839))</f>
        <v/>
      </c>
      <c r="W1839" s="11" t="str">
        <f>IF(INDEX(Manual_Review!$H$6:$H$238,U1839)="","",INDEX(Manual_Review!$H$6:$H$238,U1839))</f>
        <v/>
      </c>
      <c r="X1839" s="5" t="str">
        <f>IF(INDEX(Manual_Review!$I$6:$I$238,U1839)="","",INDEX(Manual_Review!$I$6:$I$238,U1839))</f>
        <v/>
      </c>
      <c r="Y1839" s="5" t="s">
        <v>2859</v>
      </c>
    </row>
    <row r="1840" spans="1:25" ht="38.25">
      <c r="A1840" s="5" t="s">
        <v>6684</v>
      </c>
      <c r="B1840" s="5" t="s">
        <v>1359</v>
      </c>
      <c r="C1840" s="5" t="s">
        <v>1360</v>
      </c>
      <c r="D1840" s="5" t="s">
        <v>118</v>
      </c>
      <c r="E1840" s="5" t="s">
        <v>2791</v>
      </c>
      <c r="F1840" s="5" t="s">
        <v>2760</v>
      </c>
      <c r="G1840" s="5">
        <v>1</v>
      </c>
      <c r="H1840" s="5" t="s">
        <v>2864</v>
      </c>
      <c r="I1840" s="5" t="str">
        <f>IF(INDEX(Manual_Review!$U$6:$U$238,U1840)="","",INDEX(Manual_Review!$U$6:$U$238,U1840))</f>
        <v/>
      </c>
      <c r="J1840" s="5" t="str">
        <f t="shared" si="56"/>
        <v>AI provisional</v>
      </c>
      <c r="K1840" s="5" t="str">
        <f t="shared" si="57"/>
        <v>U</v>
      </c>
      <c r="L1840" s="5" t="s">
        <v>1367</v>
      </c>
      <c r="M1840" s="5" t="s">
        <v>6685</v>
      </c>
      <c r="N1840" s="5" t="s">
        <v>6665</v>
      </c>
      <c r="O1840" s="5" t="s">
        <v>4494</v>
      </c>
      <c r="P1840" s="5" t="s">
        <v>2858</v>
      </c>
      <c r="Q1840" s="11">
        <v>46306.5</v>
      </c>
      <c r="R1840" s="6"/>
      <c r="S1840" s="6"/>
      <c r="T1840" s="6"/>
      <c r="U1840" s="5">
        <f>MATCH(B1840,Manual_Review!$A$6:$A$238,0)</f>
        <v>115</v>
      </c>
      <c r="V1840" s="5" t="str">
        <f>IF(INDEX(Manual_Review!$G$6:$G$238,U1840)="","",INDEX(Manual_Review!$G$6:$G$238,U1840))</f>
        <v/>
      </c>
      <c r="W1840" s="11" t="str">
        <f>IF(INDEX(Manual_Review!$H$6:$H$238,U1840)="","",INDEX(Manual_Review!$H$6:$H$238,U1840))</f>
        <v/>
      </c>
      <c r="X1840" s="5" t="str">
        <f>IF(INDEX(Manual_Review!$I$6:$I$238,U1840)="","",INDEX(Manual_Review!$I$6:$I$238,U1840))</f>
        <v/>
      </c>
      <c r="Y1840" s="5" t="s">
        <v>2859</v>
      </c>
    </row>
    <row r="1841" spans="1:25" ht="38.25">
      <c r="A1841" s="5" t="s">
        <v>6686</v>
      </c>
      <c r="B1841" s="5" t="s">
        <v>1359</v>
      </c>
      <c r="C1841" s="5" t="s">
        <v>1360</v>
      </c>
      <c r="D1841" s="5" t="s">
        <v>118</v>
      </c>
      <c r="E1841" s="5" t="s">
        <v>2792</v>
      </c>
      <c r="F1841" s="5" t="s">
        <v>2762</v>
      </c>
      <c r="G1841" s="5">
        <v>1</v>
      </c>
      <c r="H1841" s="5" t="s">
        <v>2864</v>
      </c>
      <c r="I1841" s="5" t="str">
        <f>IF(INDEX(Manual_Review!$V$6:$V$238,U1841)="","",INDEX(Manual_Review!$V$6:$V$238,U1841))</f>
        <v/>
      </c>
      <c r="J1841" s="5" t="str">
        <f t="shared" si="56"/>
        <v>AI provisional</v>
      </c>
      <c r="K1841" s="5" t="str">
        <f t="shared" si="57"/>
        <v>U</v>
      </c>
      <c r="L1841" s="5" t="s">
        <v>1367</v>
      </c>
      <c r="M1841" s="5" t="s">
        <v>6687</v>
      </c>
      <c r="N1841" s="5" t="s">
        <v>6665</v>
      </c>
      <c r="O1841" s="5" t="s">
        <v>4497</v>
      </c>
      <c r="P1841" s="5" t="s">
        <v>2858</v>
      </c>
      <c r="Q1841" s="11">
        <v>46306.5</v>
      </c>
      <c r="R1841" s="6"/>
      <c r="S1841" s="6"/>
      <c r="T1841" s="6"/>
      <c r="U1841" s="5">
        <f>MATCH(B1841,Manual_Review!$A$6:$A$238,0)</f>
        <v>115</v>
      </c>
      <c r="V1841" s="5" t="str">
        <f>IF(INDEX(Manual_Review!$G$6:$G$238,U1841)="","",INDEX(Manual_Review!$G$6:$G$238,U1841))</f>
        <v/>
      </c>
      <c r="W1841" s="11" t="str">
        <f>IF(INDEX(Manual_Review!$H$6:$H$238,U1841)="","",INDEX(Manual_Review!$H$6:$H$238,U1841))</f>
        <v/>
      </c>
      <c r="X1841" s="5" t="str">
        <f>IF(INDEX(Manual_Review!$I$6:$I$238,U1841)="","",INDEX(Manual_Review!$I$6:$I$238,U1841))</f>
        <v/>
      </c>
      <c r="Y1841" s="5" t="s">
        <v>2859</v>
      </c>
    </row>
    <row r="1842" spans="1:25" ht="38.25">
      <c r="A1842" s="5" t="s">
        <v>6688</v>
      </c>
      <c r="B1842" s="5" t="s">
        <v>1359</v>
      </c>
      <c r="C1842" s="5" t="s">
        <v>1360</v>
      </c>
      <c r="D1842" s="5" t="s">
        <v>118</v>
      </c>
      <c r="E1842" s="5" t="s">
        <v>2793</v>
      </c>
      <c r="F1842" s="5" t="s">
        <v>2762</v>
      </c>
      <c r="G1842" s="5">
        <v>1</v>
      </c>
      <c r="H1842" s="5" t="s">
        <v>2864</v>
      </c>
      <c r="I1842" s="5" t="str">
        <f>IF(INDEX(Manual_Review!$W$6:$W$238,U1842)="","",INDEX(Manual_Review!$W$6:$W$238,U1842))</f>
        <v/>
      </c>
      <c r="J1842" s="5" t="str">
        <f t="shared" si="56"/>
        <v>AI provisional</v>
      </c>
      <c r="K1842" s="5" t="str">
        <f t="shared" si="57"/>
        <v>U</v>
      </c>
      <c r="L1842" s="5" t="s">
        <v>1367</v>
      </c>
      <c r="M1842" s="5" t="s">
        <v>6689</v>
      </c>
      <c r="N1842" s="5" t="s">
        <v>6665</v>
      </c>
      <c r="O1842" s="5" t="s">
        <v>4499</v>
      </c>
      <c r="P1842" s="5" t="s">
        <v>2858</v>
      </c>
      <c r="Q1842" s="11">
        <v>46306.5</v>
      </c>
      <c r="R1842" s="6"/>
      <c r="S1842" s="6"/>
      <c r="T1842" s="6"/>
      <c r="U1842" s="5">
        <f>MATCH(B1842,Manual_Review!$A$6:$A$238,0)</f>
        <v>115</v>
      </c>
      <c r="V1842" s="5" t="str">
        <f>IF(INDEX(Manual_Review!$G$6:$G$238,U1842)="","",INDEX(Manual_Review!$G$6:$G$238,U1842))</f>
        <v/>
      </c>
      <c r="W1842" s="11" t="str">
        <f>IF(INDEX(Manual_Review!$H$6:$H$238,U1842)="","",INDEX(Manual_Review!$H$6:$H$238,U1842))</f>
        <v/>
      </c>
      <c r="X1842" s="5" t="str">
        <f>IF(INDEX(Manual_Review!$I$6:$I$238,U1842)="","",INDEX(Manual_Review!$I$6:$I$238,U1842))</f>
        <v/>
      </c>
      <c r="Y1842" s="5" t="s">
        <v>2859</v>
      </c>
    </row>
    <row r="1843" spans="1:25" ht="38.25">
      <c r="A1843" s="5" t="s">
        <v>6690</v>
      </c>
      <c r="B1843" s="5" t="s">
        <v>1359</v>
      </c>
      <c r="C1843" s="5" t="s">
        <v>1360</v>
      </c>
      <c r="D1843" s="5" t="s">
        <v>118</v>
      </c>
      <c r="E1843" s="5" t="s">
        <v>2794</v>
      </c>
      <c r="F1843" s="5" t="s">
        <v>2764</v>
      </c>
      <c r="G1843" s="5">
        <v>1</v>
      </c>
      <c r="H1843" s="5" t="s">
        <v>2864</v>
      </c>
      <c r="I1843" s="5" t="str">
        <f>IF(INDEX(Manual_Review!$X$6:$X$238,U1843)="","",INDEX(Manual_Review!$X$6:$X$238,U1843))</f>
        <v/>
      </c>
      <c r="J1843" s="5" t="str">
        <f t="shared" si="56"/>
        <v>AI provisional</v>
      </c>
      <c r="K1843" s="5" t="str">
        <f t="shared" si="57"/>
        <v>U</v>
      </c>
      <c r="L1843" s="5" t="s">
        <v>1367</v>
      </c>
      <c r="M1843" s="5" t="s">
        <v>6691</v>
      </c>
      <c r="N1843" s="5" t="s">
        <v>6665</v>
      </c>
      <c r="O1843" s="5" t="s">
        <v>4501</v>
      </c>
      <c r="P1843" s="5" t="s">
        <v>2858</v>
      </c>
      <c r="Q1843" s="11">
        <v>46306.5</v>
      </c>
      <c r="R1843" s="6"/>
      <c r="S1843" s="6"/>
      <c r="T1843" s="6"/>
      <c r="U1843" s="5">
        <f>MATCH(B1843,Manual_Review!$A$6:$A$238,0)</f>
        <v>115</v>
      </c>
      <c r="V1843" s="5" t="str">
        <f>IF(INDEX(Manual_Review!$G$6:$G$238,U1843)="","",INDEX(Manual_Review!$G$6:$G$238,U1843))</f>
        <v/>
      </c>
      <c r="W1843" s="11" t="str">
        <f>IF(INDEX(Manual_Review!$H$6:$H$238,U1843)="","",INDEX(Manual_Review!$H$6:$H$238,U1843))</f>
        <v/>
      </c>
      <c r="X1843" s="5" t="str">
        <f>IF(INDEX(Manual_Review!$I$6:$I$238,U1843)="","",INDEX(Manual_Review!$I$6:$I$238,U1843))</f>
        <v/>
      </c>
      <c r="Y1843" s="5" t="s">
        <v>2859</v>
      </c>
    </row>
    <row r="1844" spans="1:25" ht="51">
      <c r="A1844" s="5" t="s">
        <v>6692</v>
      </c>
      <c r="B1844" s="5" t="s">
        <v>1359</v>
      </c>
      <c r="C1844" s="5" t="s">
        <v>1360</v>
      </c>
      <c r="D1844" s="5" t="s">
        <v>118</v>
      </c>
      <c r="E1844" s="5" t="s">
        <v>2795</v>
      </c>
      <c r="F1844" s="5" t="s">
        <v>2764</v>
      </c>
      <c r="G1844" s="5">
        <v>1</v>
      </c>
      <c r="H1844" s="5" t="s">
        <v>2864</v>
      </c>
      <c r="I1844" s="5" t="str">
        <f>IF(INDEX(Manual_Review!$Y$6:$Y$238,U1844)="","",INDEX(Manual_Review!$Y$6:$Y$238,U1844))</f>
        <v/>
      </c>
      <c r="J1844" s="5" t="str">
        <f t="shared" si="56"/>
        <v>AI provisional</v>
      </c>
      <c r="K1844" s="5" t="str">
        <f t="shared" si="57"/>
        <v>U</v>
      </c>
      <c r="L1844" s="5" t="s">
        <v>1367</v>
      </c>
      <c r="M1844" s="5" t="s">
        <v>6693</v>
      </c>
      <c r="N1844" s="5" t="s">
        <v>6665</v>
      </c>
      <c r="O1844" s="5" t="s">
        <v>4503</v>
      </c>
      <c r="P1844" s="5" t="s">
        <v>2858</v>
      </c>
      <c r="Q1844" s="11">
        <v>46306.5</v>
      </c>
      <c r="R1844" s="6"/>
      <c r="S1844" s="6"/>
      <c r="T1844" s="6"/>
      <c r="U1844" s="5">
        <f>MATCH(B1844,Manual_Review!$A$6:$A$238,0)</f>
        <v>115</v>
      </c>
      <c r="V1844" s="5" t="str">
        <f>IF(INDEX(Manual_Review!$G$6:$G$238,U1844)="","",INDEX(Manual_Review!$G$6:$G$238,U1844))</f>
        <v/>
      </c>
      <c r="W1844" s="11" t="str">
        <f>IF(INDEX(Manual_Review!$H$6:$H$238,U1844)="","",INDEX(Manual_Review!$H$6:$H$238,U1844))</f>
        <v/>
      </c>
      <c r="X1844" s="5" t="str">
        <f>IF(INDEX(Manual_Review!$I$6:$I$238,U1844)="","",INDEX(Manual_Review!$I$6:$I$238,U1844))</f>
        <v/>
      </c>
      <c r="Y1844" s="5" t="s">
        <v>2859</v>
      </c>
    </row>
    <row r="1845" spans="1:25" ht="38.25">
      <c r="A1845" s="5" t="s">
        <v>6694</v>
      </c>
      <c r="B1845" s="5" t="s">
        <v>1359</v>
      </c>
      <c r="C1845" s="5" t="s">
        <v>1360</v>
      </c>
      <c r="D1845" s="5" t="s">
        <v>118</v>
      </c>
      <c r="E1845" s="5" t="s">
        <v>2796</v>
      </c>
      <c r="F1845" s="5" t="s">
        <v>2764</v>
      </c>
      <c r="G1845" s="5">
        <v>1</v>
      </c>
      <c r="H1845" s="5" t="s">
        <v>2864</v>
      </c>
      <c r="I1845" s="5" t="str">
        <f>IF(INDEX(Manual_Review!$Z$6:$Z$238,U1845)="","",INDEX(Manual_Review!$Z$6:$Z$238,U1845))</f>
        <v/>
      </c>
      <c r="J1845" s="5" t="str">
        <f t="shared" si="56"/>
        <v>AI provisional</v>
      </c>
      <c r="K1845" s="5" t="str">
        <f t="shared" si="57"/>
        <v>U</v>
      </c>
      <c r="L1845" s="5" t="s">
        <v>1367</v>
      </c>
      <c r="M1845" s="5" t="s">
        <v>6695</v>
      </c>
      <c r="N1845" s="5" t="s">
        <v>6665</v>
      </c>
      <c r="O1845" s="5" t="s">
        <v>4505</v>
      </c>
      <c r="P1845" s="5" t="s">
        <v>2858</v>
      </c>
      <c r="Q1845" s="11">
        <v>46306.5</v>
      </c>
      <c r="R1845" s="6"/>
      <c r="S1845" s="6"/>
      <c r="T1845" s="6"/>
      <c r="U1845" s="5">
        <f>MATCH(B1845,Manual_Review!$A$6:$A$238,0)</f>
        <v>115</v>
      </c>
      <c r="V1845" s="5" t="str">
        <f>IF(INDEX(Manual_Review!$G$6:$G$238,U1845)="","",INDEX(Manual_Review!$G$6:$G$238,U1845))</f>
        <v/>
      </c>
      <c r="W1845" s="11" t="str">
        <f>IF(INDEX(Manual_Review!$H$6:$H$238,U1845)="","",INDEX(Manual_Review!$H$6:$H$238,U1845))</f>
        <v/>
      </c>
      <c r="X1845" s="5" t="str">
        <f>IF(INDEX(Manual_Review!$I$6:$I$238,U1845)="","",INDEX(Manual_Review!$I$6:$I$238,U1845))</f>
        <v/>
      </c>
      <c r="Y1845" s="5" t="s">
        <v>2859</v>
      </c>
    </row>
    <row r="1846" spans="1:25" ht="38.25">
      <c r="A1846" s="5" t="s">
        <v>6696</v>
      </c>
      <c r="B1846" s="5" t="s">
        <v>1369</v>
      </c>
      <c r="C1846" s="5" t="s">
        <v>1370</v>
      </c>
      <c r="D1846" s="5" t="s">
        <v>118</v>
      </c>
      <c r="E1846" s="5" t="s">
        <v>2781</v>
      </c>
      <c r="F1846" s="5" t="s">
        <v>2754</v>
      </c>
      <c r="G1846" s="5">
        <v>1</v>
      </c>
      <c r="H1846" s="5" t="s">
        <v>2854</v>
      </c>
      <c r="I1846" s="5" t="str">
        <f>IF(INDEX(Manual_Review!$K$6:$K$238,U1846)="","",INDEX(Manual_Review!$K$6:$K$238,U1846))</f>
        <v/>
      </c>
      <c r="J1846" s="5" t="str">
        <f t="shared" si="56"/>
        <v>AI provisional</v>
      </c>
      <c r="K1846" s="5" t="str">
        <f t="shared" si="57"/>
        <v>Y</v>
      </c>
      <c r="L1846" s="5" t="s">
        <v>1377</v>
      </c>
      <c r="M1846" s="5" t="s">
        <v>6697</v>
      </c>
      <c r="N1846" s="5" t="s">
        <v>6698</v>
      </c>
      <c r="O1846" s="5" t="s">
        <v>2857</v>
      </c>
      <c r="P1846" s="5" t="s">
        <v>2858</v>
      </c>
      <c r="Q1846" s="11">
        <v>46306.5</v>
      </c>
      <c r="R1846" s="6"/>
      <c r="S1846" s="6"/>
      <c r="T1846" s="6"/>
      <c r="U1846" s="5">
        <f>MATCH(B1846,Manual_Review!$A$6:$A$238,0)</f>
        <v>116</v>
      </c>
      <c r="V1846" s="5" t="str">
        <f>IF(INDEX(Manual_Review!$G$6:$G$238,U1846)="","",INDEX(Manual_Review!$G$6:$G$238,U1846))</f>
        <v/>
      </c>
      <c r="W1846" s="11" t="str">
        <f>IF(INDEX(Manual_Review!$H$6:$H$238,U1846)="","",INDEX(Manual_Review!$H$6:$H$238,U1846))</f>
        <v/>
      </c>
      <c r="X1846" s="5" t="str">
        <f>IF(INDEX(Manual_Review!$I$6:$I$238,U1846)="","",INDEX(Manual_Review!$I$6:$I$238,U1846))</f>
        <v/>
      </c>
      <c r="Y1846" s="5" t="s">
        <v>2859</v>
      </c>
    </row>
    <row r="1847" spans="1:25" ht="38.25">
      <c r="A1847" s="5" t="s">
        <v>6699</v>
      </c>
      <c r="B1847" s="5" t="s">
        <v>1369</v>
      </c>
      <c r="C1847" s="5" t="s">
        <v>1370</v>
      </c>
      <c r="D1847" s="5" t="s">
        <v>118</v>
      </c>
      <c r="E1847" s="5" t="s">
        <v>2782</v>
      </c>
      <c r="F1847" s="5" t="s">
        <v>2754</v>
      </c>
      <c r="G1847" s="5">
        <v>1</v>
      </c>
      <c r="H1847" s="5" t="s">
        <v>2854</v>
      </c>
      <c r="I1847" s="5" t="str">
        <f>IF(INDEX(Manual_Review!$L$6:$L$238,U1847)="","",INDEX(Manual_Review!$L$6:$L$238,U1847))</f>
        <v/>
      </c>
      <c r="J1847" s="5" t="str">
        <f t="shared" si="56"/>
        <v>AI provisional</v>
      </c>
      <c r="K1847" s="5" t="str">
        <f t="shared" si="57"/>
        <v>Y</v>
      </c>
      <c r="L1847" s="5" t="s">
        <v>1377</v>
      </c>
      <c r="M1847" s="5" t="s">
        <v>6700</v>
      </c>
      <c r="N1847" s="5" t="s">
        <v>6698</v>
      </c>
      <c r="O1847" s="5" t="s">
        <v>2862</v>
      </c>
      <c r="P1847" s="5" t="s">
        <v>2858</v>
      </c>
      <c r="Q1847" s="11">
        <v>46306.5</v>
      </c>
      <c r="R1847" s="6"/>
      <c r="S1847" s="6"/>
      <c r="T1847" s="6"/>
      <c r="U1847" s="5">
        <f>MATCH(B1847,Manual_Review!$A$6:$A$238,0)</f>
        <v>116</v>
      </c>
      <c r="V1847" s="5" t="str">
        <f>IF(INDEX(Manual_Review!$G$6:$G$238,U1847)="","",INDEX(Manual_Review!$G$6:$G$238,U1847))</f>
        <v/>
      </c>
      <c r="W1847" s="11" t="str">
        <f>IF(INDEX(Manual_Review!$H$6:$H$238,U1847)="","",INDEX(Manual_Review!$H$6:$H$238,U1847))</f>
        <v/>
      </c>
      <c r="X1847" s="5" t="str">
        <f>IF(INDEX(Manual_Review!$I$6:$I$238,U1847)="","",INDEX(Manual_Review!$I$6:$I$238,U1847))</f>
        <v/>
      </c>
      <c r="Y1847" s="5" t="s">
        <v>2859</v>
      </c>
    </row>
    <row r="1848" spans="1:25" ht="38.25">
      <c r="A1848" s="5" t="s">
        <v>6701</v>
      </c>
      <c r="B1848" s="5" t="s">
        <v>1369</v>
      </c>
      <c r="C1848" s="5" t="s">
        <v>1370</v>
      </c>
      <c r="D1848" s="5" t="s">
        <v>118</v>
      </c>
      <c r="E1848" s="5" t="s">
        <v>2783</v>
      </c>
      <c r="F1848" s="5" t="s">
        <v>2754</v>
      </c>
      <c r="G1848" s="5">
        <v>1</v>
      </c>
      <c r="H1848" s="5" t="s">
        <v>2854</v>
      </c>
      <c r="I1848" s="5" t="str">
        <f>IF(INDEX(Manual_Review!$M$6:$M$238,U1848)="","",INDEX(Manual_Review!$M$6:$M$238,U1848))</f>
        <v/>
      </c>
      <c r="J1848" s="5" t="str">
        <f t="shared" si="56"/>
        <v>AI provisional</v>
      </c>
      <c r="K1848" s="5" t="str">
        <f t="shared" si="57"/>
        <v>Y</v>
      </c>
      <c r="L1848" s="5" t="s">
        <v>1377</v>
      </c>
      <c r="M1848" s="5" t="s">
        <v>6702</v>
      </c>
      <c r="N1848" s="5" t="s">
        <v>6698</v>
      </c>
      <c r="O1848" s="5" t="s">
        <v>3133</v>
      </c>
      <c r="P1848" s="5" t="s">
        <v>2858</v>
      </c>
      <c r="Q1848" s="11">
        <v>46306.5</v>
      </c>
      <c r="R1848" s="6"/>
      <c r="S1848" s="6"/>
      <c r="T1848" s="6"/>
      <c r="U1848" s="5">
        <f>MATCH(B1848,Manual_Review!$A$6:$A$238,0)</f>
        <v>116</v>
      </c>
      <c r="V1848" s="5" t="str">
        <f>IF(INDEX(Manual_Review!$G$6:$G$238,U1848)="","",INDEX(Manual_Review!$G$6:$G$238,U1848))</f>
        <v/>
      </c>
      <c r="W1848" s="11" t="str">
        <f>IF(INDEX(Manual_Review!$H$6:$H$238,U1848)="","",INDEX(Manual_Review!$H$6:$H$238,U1848))</f>
        <v/>
      </c>
      <c r="X1848" s="5" t="str">
        <f>IF(INDEX(Manual_Review!$I$6:$I$238,U1848)="","",INDEX(Manual_Review!$I$6:$I$238,U1848))</f>
        <v/>
      </c>
      <c r="Y1848" s="5" t="s">
        <v>2859</v>
      </c>
    </row>
    <row r="1849" spans="1:25" ht="38.25">
      <c r="A1849" s="5" t="s">
        <v>6703</v>
      </c>
      <c r="B1849" s="5" t="s">
        <v>1369</v>
      </c>
      <c r="C1849" s="5" t="s">
        <v>1370</v>
      </c>
      <c r="D1849" s="5" t="s">
        <v>118</v>
      </c>
      <c r="E1849" s="5" t="s">
        <v>2784</v>
      </c>
      <c r="F1849" s="5" t="s">
        <v>2756</v>
      </c>
      <c r="G1849" s="5">
        <v>1</v>
      </c>
      <c r="H1849" s="5" t="s">
        <v>2854</v>
      </c>
      <c r="I1849" s="5" t="str">
        <f>IF(INDEX(Manual_Review!$N$6:$N$238,U1849)="","",INDEX(Manual_Review!$N$6:$N$238,U1849))</f>
        <v/>
      </c>
      <c r="J1849" s="5" t="str">
        <f t="shared" si="56"/>
        <v>AI provisional</v>
      </c>
      <c r="K1849" s="5" t="str">
        <f t="shared" si="57"/>
        <v>Y</v>
      </c>
      <c r="L1849" s="5" t="s">
        <v>1377</v>
      </c>
      <c r="M1849" s="5" t="s">
        <v>6704</v>
      </c>
      <c r="N1849" s="5" t="s">
        <v>6698</v>
      </c>
      <c r="O1849" s="5" t="s">
        <v>2963</v>
      </c>
      <c r="P1849" s="5" t="s">
        <v>2858</v>
      </c>
      <c r="Q1849" s="11">
        <v>46306.5</v>
      </c>
      <c r="R1849" s="6"/>
      <c r="S1849" s="6"/>
      <c r="T1849" s="6"/>
      <c r="U1849" s="5">
        <f>MATCH(B1849,Manual_Review!$A$6:$A$238,0)</f>
        <v>116</v>
      </c>
      <c r="V1849" s="5" t="str">
        <f>IF(INDEX(Manual_Review!$G$6:$G$238,U1849)="","",INDEX(Manual_Review!$G$6:$G$238,U1849))</f>
        <v/>
      </c>
      <c r="W1849" s="11" t="str">
        <f>IF(INDEX(Manual_Review!$H$6:$H$238,U1849)="","",INDEX(Manual_Review!$H$6:$H$238,U1849))</f>
        <v/>
      </c>
      <c r="X1849" s="5" t="str">
        <f>IF(INDEX(Manual_Review!$I$6:$I$238,U1849)="","",INDEX(Manual_Review!$I$6:$I$238,U1849))</f>
        <v/>
      </c>
      <c r="Y1849" s="5" t="s">
        <v>2859</v>
      </c>
    </row>
    <row r="1850" spans="1:25" ht="38.25">
      <c r="A1850" s="5" t="s">
        <v>6705</v>
      </c>
      <c r="B1850" s="5" t="s">
        <v>1369</v>
      </c>
      <c r="C1850" s="5" t="s">
        <v>1370</v>
      </c>
      <c r="D1850" s="5" t="s">
        <v>118</v>
      </c>
      <c r="E1850" s="5" t="s">
        <v>2785</v>
      </c>
      <c r="F1850" s="5" t="s">
        <v>2756</v>
      </c>
      <c r="G1850" s="5">
        <v>1</v>
      </c>
      <c r="H1850" s="5" t="s">
        <v>2864</v>
      </c>
      <c r="I1850" s="5" t="str">
        <f>IF(INDEX(Manual_Review!$O$6:$O$238,U1850)="","",INDEX(Manual_Review!$O$6:$O$238,U1850))</f>
        <v/>
      </c>
      <c r="J1850" s="5" t="str">
        <f t="shared" si="56"/>
        <v>AI provisional</v>
      </c>
      <c r="K1850" s="5" t="str">
        <f t="shared" si="57"/>
        <v>U</v>
      </c>
      <c r="L1850" s="5" t="s">
        <v>1377</v>
      </c>
      <c r="M1850" s="5" t="s">
        <v>6706</v>
      </c>
      <c r="N1850" s="5" t="s">
        <v>6698</v>
      </c>
      <c r="O1850" s="5" t="s">
        <v>2872</v>
      </c>
      <c r="P1850" s="5" t="s">
        <v>2858</v>
      </c>
      <c r="Q1850" s="11">
        <v>46306.5</v>
      </c>
      <c r="R1850" s="6"/>
      <c r="S1850" s="6"/>
      <c r="T1850" s="6"/>
      <c r="U1850" s="5">
        <f>MATCH(B1850,Manual_Review!$A$6:$A$238,0)</f>
        <v>116</v>
      </c>
      <c r="V1850" s="5" t="str">
        <f>IF(INDEX(Manual_Review!$G$6:$G$238,U1850)="","",INDEX(Manual_Review!$G$6:$G$238,U1850))</f>
        <v/>
      </c>
      <c r="W1850" s="11" t="str">
        <f>IF(INDEX(Manual_Review!$H$6:$H$238,U1850)="","",INDEX(Manual_Review!$H$6:$H$238,U1850))</f>
        <v/>
      </c>
      <c r="X1850" s="5" t="str">
        <f>IF(INDEX(Manual_Review!$I$6:$I$238,U1850)="","",INDEX(Manual_Review!$I$6:$I$238,U1850))</f>
        <v/>
      </c>
      <c r="Y1850" s="5" t="s">
        <v>2859</v>
      </c>
    </row>
    <row r="1851" spans="1:25" ht="38.25">
      <c r="A1851" s="5" t="s">
        <v>6707</v>
      </c>
      <c r="B1851" s="5" t="s">
        <v>1369</v>
      </c>
      <c r="C1851" s="5" t="s">
        <v>1370</v>
      </c>
      <c r="D1851" s="5" t="s">
        <v>118</v>
      </c>
      <c r="E1851" s="5" t="s">
        <v>2786</v>
      </c>
      <c r="F1851" s="5" t="s">
        <v>2756</v>
      </c>
      <c r="G1851" s="5">
        <v>1</v>
      </c>
      <c r="H1851" s="5" t="s">
        <v>2864</v>
      </c>
      <c r="I1851" s="5" t="str">
        <f>IF(INDEX(Manual_Review!$P$6:$P$238,U1851)="","",INDEX(Manual_Review!$P$6:$P$238,U1851))</f>
        <v/>
      </c>
      <c r="J1851" s="5" t="str">
        <f t="shared" si="56"/>
        <v>AI provisional</v>
      </c>
      <c r="K1851" s="5" t="str">
        <f t="shared" si="57"/>
        <v>U</v>
      </c>
      <c r="L1851" s="5" t="s">
        <v>1377</v>
      </c>
      <c r="M1851" s="5" t="s">
        <v>6708</v>
      </c>
      <c r="N1851" s="5" t="s">
        <v>6698</v>
      </c>
      <c r="O1851" s="5" t="s">
        <v>2874</v>
      </c>
      <c r="P1851" s="5" t="s">
        <v>2858</v>
      </c>
      <c r="Q1851" s="11">
        <v>46306.5</v>
      </c>
      <c r="R1851" s="6"/>
      <c r="S1851" s="6"/>
      <c r="T1851" s="6"/>
      <c r="U1851" s="5">
        <f>MATCH(B1851,Manual_Review!$A$6:$A$238,0)</f>
        <v>116</v>
      </c>
      <c r="V1851" s="5" t="str">
        <f>IF(INDEX(Manual_Review!$G$6:$G$238,U1851)="","",INDEX(Manual_Review!$G$6:$G$238,U1851))</f>
        <v/>
      </c>
      <c r="W1851" s="11" t="str">
        <f>IF(INDEX(Manual_Review!$H$6:$H$238,U1851)="","",INDEX(Manual_Review!$H$6:$H$238,U1851))</f>
        <v/>
      </c>
      <c r="X1851" s="5" t="str">
        <f>IF(INDEX(Manual_Review!$I$6:$I$238,U1851)="","",INDEX(Manual_Review!$I$6:$I$238,U1851))</f>
        <v/>
      </c>
      <c r="Y1851" s="5" t="s">
        <v>2859</v>
      </c>
    </row>
    <row r="1852" spans="1:25" ht="38.25">
      <c r="A1852" s="5" t="s">
        <v>6709</v>
      </c>
      <c r="B1852" s="5" t="s">
        <v>1369</v>
      </c>
      <c r="C1852" s="5" t="s">
        <v>1370</v>
      </c>
      <c r="D1852" s="5" t="s">
        <v>118</v>
      </c>
      <c r="E1852" s="5" t="s">
        <v>2787</v>
      </c>
      <c r="F1852" s="5" t="s">
        <v>2758</v>
      </c>
      <c r="G1852" s="5">
        <v>1</v>
      </c>
      <c r="H1852" s="5" t="s">
        <v>2864</v>
      </c>
      <c r="I1852" s="5" t="str">
        <f>IF(INDEX(Manual_Review!$Q$6:$Q$238,U1852)="","",INDEX(Manual_Review!$Q$6:$Q$238,U1852))</f>
        <v/>
      </c>
      <c r="J1852" s="5" t="str">
        <f t="shared" si="56"/>
        <v>AI provisional</v>
      </c>
      <c r="K1852" s="5" t="str">
        <f t="shared" si="57"/>
        <v>U</v>
      </c>
      <c r="L1852" s="5" t="s">
        <v>1377</v>
      </c>
      <c r="M1852" s="5" t="s">
        <v>6710</v>
      </c>
      <c r="N1852" s="5" t="s">
        <v>6698</v>
      </c>
      <c r="O1852" s="5" t="s">
        <v>2877</v>
      </c>
      <c r="P1852" s="5" t="s">
        <v>2858</v>
      </c>
      <c r="Q1852" s="11">
        <v>46306.5</v>
      </c>
      <c r="R1852" s="6"/>
      <c r="S1852" s="6"/>
      <c r="T1852" s="6"/>
      <c r="U1852" s="5">
        <f>MATCH(B1852,Manual_Review!$A$6:$A$238,0)</f>
        <v>116</v>
      </c>
      <c r="V1852" s="5" t="str">
        <f>IF(INDEX(Manual_Review!$G$6:$G$238,U1852)="","",INDEX(Manual_Review!$G$6:$G$238,U1852))</f>
        <v/>
      </c>
      <c r="W1852" s="11" t="str">
        <f>IF(INDEX(Manual_Review!$H$6:$H$238,U1852)="","",INDEX(Manual_Review!$H$6:$H$238,U1852))</f>
        <v/>
      </c>
      <c r="X1852" s="5" t="str">
        <f>IF(INDEX(Manual_Review!$I$6:$I$238,U1852)="","",INDEX(Manual_Review!$I$6:$I$238,U1852))</f>
        <v/>
      </c>
      <c r="Y1852" s="5" t="s">
        <v>2859</v>
      </c>
    </row>
    <row r="1853" spans="1:25" ht="38.25">
      <c r="A1853" s="5" t="s">
        <v>6711</v>
      </c>
      <c r="B1853" s="5" t="s">
        <v>1369</v>
      </c>
      <c r="C1853" s="5" t="s">
        <v>1370</v>
      </c>
      <c r="D1853" s="5" t="s">
        <v>118</v>
      </c>
      <c r="E1853" s="5" t="s">
        <v>2788</v>
      </c>
      <c r="F1853" s="5" t="s">
        <v>2758</v>
      </c>
      <c r="G1853" s="5">
        <v>1</v>
      </c>
      <c r="H1853" s="5" t="s">
        <v>2854</v>
      </c>
      <c r="I1853" s="5" t="str">
        <f>IF(INDEX(Manual_Review!$R$6:$R$238,U1853)="","",INDEX(Manual_Review!$R$6:$R$238,U1853))</f>
        <v/>
      </c>
      <c r="J1853" s="5" t="str">
        <f t="shared" si="56"/>
        <v>AI provisional</v>
      </c>
      <c r="K1853" s="5" t="str">
        <f t="shared" si="57"/>
        <v>Y</v>
      </c>
      <c r="L1853" s="5" t="s">
        <v>1377</v>
      </c>
      <c r="M1853" s="5" t="s">
        <v>6712</v>
      </c>
      <c r="N1853" s="5" t="s">
        <v>6698</v>
      </c>
      <c r="O1853" s="5" t="s">
        <v>3067</v>
      </c>
      <c r="P1853" s="5" t="s">
        <v>2858</v>
      </c>
      <c r="Q1853" s="11">
        <v>46306.5</v>
      </c>
      <c r="R1853" s="6"/>
      <c r="S1853" s="6"/>
      <c r="T1853" s="6"/>
      <c r="U1853" s="5">
        <f>MATCH(B1853,Manual_Review!$A$6:$A$238,0)</f>
        <v>116</v>
      </c>
      <c r="V1853" s="5" t="str">
        <f>IF(INDEX(Manual_Review!$G$6:$G$238,U1853)="","",INDEX(Manual_Review!$G$6:$G$238,U1853))</f>
        <v/>
      </c>
      <c r="W1853" s="11" t="str">
        <f>IF(INDEX(Manual_Review!$H$6:$H$238,U1853)="","",INDEX(Manual_Review!$H$6:$H$238,U1853))</f>
        <v/>
      </c>
      <c r="X1853" s="5" t="str">
        <f>IF(INDEX(Manual_Review!$I$6:$I$238,U1853)="","",INDEX(Manual_Review!$I$6:$I$238,U1853))</f>
        <v/>
      </c>
      <c r="Y1853" s="5" t="s">
        <v>2859</v>
      </c>
    </row>
    <row r="1854" spans="1:25" ht="38.25">
      <c r="A1854" s="5" t="s">
        <v>6713</v>
      </c>
      <c r="B1854" s="5" t="s">
        <v>1369</v>
      </c>
      <c r="C1854" s="5" t="s">
        <v>1370</v>
      </c>
      <c r="D1854" s="5" t="s">
        <v>118</v>
      </c>
      <c r="E1854" s="5" t="s">
        <v>2789</v>
      </c>
      <c r="F1854" s="5" t="s">
        <v>2758</v>
      </c>
      <c r="G1854" s="5">
        <v>1</v>
      </c>
      <c r="H1854" s="5" t="s">
        <v>2864</v>
      </c>
      <c r="I1854" s="5" t="str">
        <f>IF(INDEX(Manual_Review!$S$6:$S$238,U1854)="","",INDEX(Manual_Review!$S$6:$S$238,U1854))</f>
        <v/>
      </c>
      <c r="J1854" s="5" t="str">
        <f t="shared" si="56"/>
        <v>AI provisional</v>
      </c>
      <c r="K1854" s="5" t="str">
        <f t="shared" si="57"/>
        <v>U</v>
      </c>
      <c r="L1854" s="5" t="s">
        <v>1377</v>
      </c>
      <c r="M1854" s="5" t="s">
        <v>6714</v>
      </c>
      <c r="N1854" s="5" t="s">
        <v>6698</v>
      </c>
      <c r="O1854" s="5" t="s">
        <v>2883</v>
      </c>
      <c r="P1854" s="5" t="s">
        <v>2858</v>
      </c>
      <c r="Q1854" s="11">
        <v>46306.5</v>
      </c>
      <c r="R1854" s="6"/>
      <c r="S1854" s="6"/>
      <c r="T1854" s="6"/>
      <c r="U1854" s="5">
        <f>MATCH(B1854,Manual_Review!$A$6:$A$238,0)</f>
        <v>116</v>
      </c>
      <c r="V1854" s="5" t="str">
        <f>IF(INDEX(Manual_Review!$G$6:$G$238,U1854)="","",INDEX(Manual_Review!$G$6:$G$238,U1854))</f>
        <v/>
      </c>
      <c r="W1854" s="11" t="str">
        <f>IF(INDEX(Manual_Review!$H$6:$H$238,U1854)="","",INDEX(Manual_Review!$H$6:$H$238,U1854))</f>
        <v/>
      </c>
      <c r="X1854" s="5" t="str">
        <f>IF(INDEX(Manual_Review!$I$6:$I$238,U1854)="","",INDEX(Manual_Review!$I$6:$I$238,U1854))</f>
        <v/>
      </c>
      <c r="Y1854" s="5" t="s">
        <v>2859</v>
      </c>
    </row>
    <row r="1855" spans="1:25" ht="38.25">
      <c r="A1855" s="5" t="s">
        <v>6715</v>
      </c>
      <c r="B1855" s="5" t="s">
        <v>1369</v>
      </c>
      <c r="C1855" s="5" t="s">
        <v>1370</v>
      </c>
      <c r="D1855" s="5" t="s">
        <v>118</v>
      </c>
      <c r="E1855" s="5" t="s">
        <v>2790</v>
      </c>
      <c r="F1855" s="5" t="s">
        <v>2760</v>
      </c>
      <c r="G1855" s="5">
        <v>1</v>
      </c>
      <c r="H1855" s="5" t="s">
        <v>2908</v>
      </c>
      <c r="I1855" s="5" t="str">
        <f>IF(INDEX(Manual_Review!$T$6:$T$238,U1855)="","",INDEX(Manual_Review!$T$6:$T$238,U1855))</f>
        <v/>
      </c>
      <c r="J1855" s="5" t="str">
        <f t="shared" si="56"/>
        <v>AI provisional</v>
      </c>
      <c r="K1855" s="5" t="str">
        <f t="shared" si="57"/>
        <v>X</v>
      </c>
      <c r="L1855" s="5" t="s">
        <v>1377</v>
      </c>
      <c r="M1855" s="5" t="s">
        <v>6716</v>
      </c>
      <c r="N1855" s="5" t="s">
        <v>6698</v>
      </c>
      <c r="O1855" s="5" t="s">
        <v>6717</v>
      </c>
      <c r="P1855" s="5" t="s">
        <v>2858</v>
      </c>
      <c r="Q1855" s="11">
        <v>46306.5</v>
      </c>
      <c r="R1855" s="6"/>
      <c r="S1855" s="6"/>
      <c r="T1855" s="6"/>
      <c r="U1855" s="5">
        <f>MATCH(B1855,Manual_Review!$A$6:$A$238,0)</f>
        <v>116</v>
      </c>
      <c r="V1855" s="5" t="str">
        <f>IF(INDEX(Manual_Review!$G$6:$G$238,U1855)="","",INDEX(Manual_Review!$G$6:$G$238,U1855))</f>
        <v/>
      </c>
      <c r="W1855" s="11" t="str">
        <f>IF(INDEX(Manual_Review!$H$6:$H$238,U1855)="","",INDEX(Manual_Review!$H$6:$H$238,U1855))</f>
        <v/>
      </c>
      <c r="X1855" s="5" t="str">
        <f>IF(INDEX(Manual_Review!$I$6:$I$238,U1855)="","",INDEX(Manual_Review!$I$6:$I$238,U1855))</f>
        <v/>
      </c>
      <c r="Y1855" s="5" t="s">
        <v>2859</v>
      </c>
    </row>
    <row r="1856" spans="1:25" ht="38.25">
      <c r="A1856" s="5" t="s">
        <v>6718</v>
      </c>
      <c r="B1856" s="5" t="s">
        <v>1369</v>
      </c>
      <c r="C1856" s="5" t="s">
        <v>1370</v>
      </c>
      <c r="D1856" s="5" t="s">
        <v>118</v>
      </c>
      <c r="E1856" s="5" t="s">
        <v>2791</v>
      </c>
      <c r="F1856" s="5" t="s">
        <v>2760</v>
      </c>
      <c r="G1856" s="5">
        <v>1</v>
      </c>
      <c r="H1856" s="5" t="s">
        <v>2864</v>
      </c>
      <c r="I1856" s="5" t="str">
        <f>IF(INDEX(Manual_Review!$U$6:$U$238,U1856)="","",INDEX(Manual_Review!$U$6:$U$238,U1856))</f>
        <v/>
      </c>
      <c r="J1856" s="5" t="str">
        <f t="shared" si="56"/>
        <v>AI provisional</v>
      </c>
      <c r="K1856" s="5" t="str">
        <f t="shared" si="57"/>
        <v>U</v>
      </c>
      <c r="L1856" s="5" t="s">
        <v>1377</v>
      </c>
      <c r="M1856" s="5" t="s">
        <v>6719</v>
      </c>
      <c r="N1856" s="5" t="s">
        <v>6698</v>
      </c>
      <c r="O1856" s="5" t="s">
        <v>2888</v>
      </c>
      <c r="P1856" s="5" t="s">
        <v>2858</v>
      </c>
      <c r="Q1856" s="11">
        <v>46306.5</v>
      </c>
      <c r="R1856" s="6"/>
      <c r="S1856" s="6"/>
      <c r="T1856" s="6"/>
      <c r="U1856" s="5">
        <f>MATCH(B1856,Manual_Review!$A$6:$A$238,0)</f>
        <v>116</v>
      </c>
      <c r="V1856" s="5" t="str">
        <f>IF(INDEX(Manual_Review!$G$6:$G$238,U1856)="","",INDEX(Manual_Review!$G$6:$G$238,U1856))</f>
        <v/>
      </c>
      <c r="W1856" s="11" t="str">
        <f>IF(INDEX(Manual_Review!$H$6:$H$238,U1856)="","",INDEX(Manual_Review!$H$6:$H$238,U1856))</f>
        <v/>
      </c>
      <c r="X1856" s="5" t="str">
        <f>IF(INDEX(Manual_Review!$I$6:$I$238,U1856)="","",INDEX(Manual_Review!$I$6:$I$238,U1856))</f>
        <v/>
      </c>
      <c r="Y1856" s="5" t="s">
        <v>2859</v>
      </c>
    </row>
    <row r="1857" spans="1:25" ht="38.25">
      <c r="A1857" s="5" t="s">
        <v>6720</v>
      </c>
      <c r="B1857" s="5" t="s">
        <v>1369</v>
      </c>
      <c r="C1857" s="5" t="s">
        <v>1370</v>
      </c>
      <c r="D1857" s="5" t="s">
        <v>118</v>
      </c>
      <c r="E1857" s="5" t="s">
        <v>2792</v>
      </c>
      <c r="F1857" s="5" t="s">
        <v>2762</v>
      </c>
      <c r="G1857" s="5">
        <v>1</v>
      </c>
      <c r="H1857" s="5" t="s">
        <v>2854</v>
      </c>
      <c r="I1857" s="5" t="str">
        <f>IF(INDEX(Manual_Review!$V$6:$V$238,U1857)="","",INDEX(Manual_Review!$V$6:$V$238,U1857))</f>
        <v/>
      </c>
      <c r="J1857" s="5" t="str">
        <f t="shared" si="56"/>
        <v>AI provisional</v>
      </c>
      <c r="K1857" s="5" t="str">
        <f t="shared" si="57"/>
        <v>Y</v>
      </c>
      <c r="L1857" s="5" t="s">
        <v>1377</v>
      </c>
      <c r="M1857" s="5" t="s">
        <v>6721</v>
      </c>
      <c r="N1857" s="5" t="s">
        <v>6698</v>
      </c>
      <c r="O1857" s="5" t="s">
        <v>3152</v>
      </c>
      <c r="P1857" s="5" t="s">
        <v>2858</v>
      </c>
      <c r="Q1857" s="11">
        <v>46306.5</v>
      </c>
      <c r="R1857" s="6"/>
      <c r="S1857" s="6"/>
      <c r="T1857" s="6"/>
      <c r="U1857" s="5">
        <f>MATCH(B1857,Manual_Review!$A$6:$A$238,0)</f>
        <v>116</v>
      </c>
      <c r="V1857" s="5" t="str">
        <f>IF(INDEX(Manual_Review!$G$6:$G$238,U1857)="","",INDEX(Manual_Review!$G$6:$G$238,U1857))</f>
        <v/>
      </c>
      <c r="W1857" s="11" t="str">
        <f>IF(INDEX(Manual_Review!$H$6:$H$238,U1857)="","",INDEX(Manual_Review!$H$6:$H$238,U1857))</f>
        <v/>
      </c>
      <c r="X1857" s="5" t="str">
        <f>IF(INDEX(Manual_Review!$I$6:$I$238,U1857)="","",INDEX(Manual_Review!$I$6:$I$238,U1857))</f>
        <v/>
      </c>
      <c r="Y1857" s="5" t="s">
        <v>2859</v>
      </c>
    </row>
    <row r="1858" spans="1:25" ht="38.25">
      <c r="A1858" s="5" t="s">
        <v>6722</v>
      </c>
      <c r="B1858" s="5" t="s">
        <v>1369</v>
      </c>
      <c r="C1858" s="5" t="s">
        <v>1370</v>
      </c>
      <c r="D1858" s="5" t="s">
        <v>118</v>
      </c>
      <c r="E1858" s="5" t="s">
        <v>2793</v>
      </c>
      <c r="F1858" s="5" t="s">
        <v>2762</v>
      </c>
      <c r="G1858" s="5">
        <v>1</v>
      </c>
      <c r="H1858" s="5" t="s">
        <v>2854</v>
      </c>
      <c r="I1858" s="5" t="str">
        <f>IF(INDEX(Manual_Review!$W$6:$W$238,U1858)="","",INDEX(Manual_Review!$W$6:$W$238,U1858))</f>
        <v/>
      </c>
      <c r="J1858" s="5" t="str">
        <f t="shared" si="56"/>
        <v>AI provisional</v>
      </c>
      <c r="K1858" s="5" t="str">
        <f t="shared" si="57"/>
        <v>Y</v>
      </c>
      <c r="L1858" s="5" t="s">
        <v>1377</v>
      </c>
      <c r="M1858" s="5" t="s">
        <v>6723</v>
      </c>
      <c r="N1858" s="5" t="s">
        <v>6698</v>
      </c>
      <c r="O1858" s="5" t="s">
        <v>3077</v>
      </c>
      <c r="P1858" s="5" t="s">
        <v>2858</v>
      </c>
      <c r="Q1858" s="11">
        <v>46306.5</v>
      </c>
      <c r="R1858" s="6"/>
      <c r="S1858" s="6"/>
      <c r="T1858" s="6"/>
      <c r="U1858" s="5">
        <f>MATCH(B1858,Manual_Review!$A$6:$A$238,0)</f>
        <v>116</v>
      </c>
      <c r="V1858" s="5" t="str">
        <f>IF(INDEX(Manual_Review!$G$6:$G$238,U1858)="","",INDEX(Manual_Review!$G$6:$G$238,U1858))</f>
        <v/>
      </c>
      <c r="W1858" s="11" t="str">
        <f>IF(INDEX(Manual_Review!$H$6:$H$238,U1858)="","",INDEX(Manual_Review!$H$6:$H$238,U1858))</f>
        <v/>
      </c>
      <c r="X1858" s="5" t="str">
        <f>IF(INDEX(Manual_Review!$I$6:$I$238,U1858)="","",INDEX(Manual_Review!$I$6:$I$238,U1858))</f>
        <v/>
      </c>
      <c r="Y1858" s="5" t="s">
        <v>2859</v>
      </c>
    </row>
    <row r="1859" spans="1:25" ht="38.25">
      <c r="A1859" s="5" t="s">
        <v>6724</v>
      </c>
      <c r="B1859" s="5" t="s">
        <v>1369</v>
      </c>
      <c r="C1859" s="5" t="s">
        <v>1370</v>
      </c>
      <c r="D1859" s="5" t="s">
        <v>118</v>
      </c>
      <c r="E1859" s="5" t="s">
        <v>2794</v>
      </c>
      <c r="F1859" s="5" t="s">
        <v>2764</v>
      </c>
      <c r="G1859" s="5">
        <v>1</v>
      </c>
      <c r="H1859" s="5" t="s">
        <v>2854</v>
      </c>
      <c r="I1859" s="5" t="str">
        <f>IF(INDEX(Manual_Review!$X$6:$X$238,U1859)="","",INDEX(Manual_Review!$X$6:$X$238,U1859))</f>
        <v/>
      </c>
      <c r="J1859" s="5" t="str">
        <f t="shared" si="56"/>
        <v>AI provisional</v>
      </c>
      <c r="K1859" s="5" t="str">
        <f t="shared" si="57"/>
        <v>Y</v>
      </c>
      <c r="L1859" s="5" t="s">
        <v>1377</v>
      </c>
      <c r="M1859" s="5" t="s">
        <v>6725</v>
      </c>
      <c r="N1859" s="5" t="s">
        <v>6698</v>
      </c>
      <c r="O1859" s="5" t="s">
        <v>2984</v>
      </c>
      <c r="P1859" s="5" t="s">
        <v>2858</v>
      </c>
      <c r="Q1859" s="11">
        <v>46306.5</v>
      </c>
      <c r="R1859" s="6"/>
      <c r="S1859" s="6"/>
      <c r="T1859" s="6"/>
      <c r="U1859" s="5">
        <f>MATCH(B1859,Manual_Review!$A$6:$A$238,0)</f>
        <v>116</v>
      </c>
      <c r="V1859" s="5" t="str">
        <f>IF(INDEX(Manual_Review!$G$6:$G$238,U1859)="","",INDEX(Manual_Review!$G$6:$G$238,U1859))</f>
        <v/>
      </c>
      <c r="W1859" s="11" t="str">
        <f>IF(INDEX(Manual_Review!$H$6:$H$238,U1859)="","",INDEX(Manual_Review!$H$6:$H$238,U1859))</f>
        <v/>
      </c>
      <c r="X1859" s="5" t="str">
        <f>IF(INDEX(Manual_Review!$I$6:$I$238,U1859)="","",INDEX(Manual_Review!$I$6:$I$238,U1859))</f>
        <v/>
      </c>
      <c r="Y1859" s="5" t="s">
        <v>2859</v>
      </c>
    </row>
    <row r="1860" spans="1:25" ht="38.25">
      <c r="A1860" s="5" t="s">
        <v>6726</v>
      </c>
      <c r="B1860" s="5" t="s">
        <v>1369</v>
      </c>
      <c r="C1860" s="5" t="s">
        <v>1370</v>
      </c>
      <c r="D1860" s="5" t="s">
        <v>118</v>
      </c>
      <c r="E1860" s="5" t="s">
        <v>2795</v>
      </c>
      <c r="F1860" s="5" t="s">
        <v>2764</v>
      </c>
      <c r="G1860" s="5">
        <v>1</v>
      </c>
      <c r="H1860" s="5" t="s">
        <v>2864</v>
      </c>
      <c r="I1860" s="5" t="str">
        <f>IF(INDEX(Manual_Review!$Y$6:$Y$238,U1860)="","",INDEX(Manual_Review!$Y$6:$Y$238,U1860))</f>
        <v/>
      </c>
      <c r="J1860" s="5" t="str">
        <f t="shared" si="56"/>
        <v>AI provisional</v>
      </c>
      <c r="K1860" s="5" t="str">
        <f t="shared" si="57"/>
        <v>U</v>
      </c>
      <c r="L1860" s="5" t="s">
        <v>1377</v>
      </c>
      <c r="M1860" s="5" t="s">
        <v>6727</v>
      </c>
      <c r="N1860" s="5" t="s">
        <v>6698</v>
      </c>
      <c r="O1860" s="5" t="s">
        <v>2897</v>
      </c>
      <c r="P1860" s="5" t="s">
        <v>2858</v>
      </c>
      <c r="Q1860" s="11">
        <v>46306.5</v>
      </c>
      <c r="R1860" s="6"/>
      <c r="S1860" s="6"/>
      <c r="T1860" s="6"/>
      <c r="U1860" s="5">
        <f>MATCH(B1860,Manual_Review!$A$6:$A$238,0)</f>
        <v>116</v>
      </c>
      <c r="V1860" s="5" t="str">
        <f>IF(INDEX(Manual_Review!$G$6:$G$238,U1860)="","",INDEX(Manual_Review!$G$6:$G$238,U1860))</f>
        <v/>
      </c>
      <c r="W1860" s="11" t="str">
        <f>IF(INDEX(Manual_Review!$H$6:$H$238,U1860)="","",INDEX(Manual_Review!$H$6:$H$238,U1860))</f>
        <v/>
      </c>
      <c r="X1860" s="5" t="str">
        <f>IF(INDEX(Manual_Review!$I$6:$I$238,U1860)="","",INDEX(Manual_Review!$I$6:$I$238,U1860))</f>
        <v/>
      </c>
      <c r="Y1860" s="5" t="s">
        <v>2859</v>
      </c>
    </row>
    <row r="1861" spans="1:25" ht="38.25">
      <c r="A1861" s="5" t="s">
        <v>6728</v>
      </c>
      <c r="B1861" s="5" t="s">
        <v>1369</v>
      </c>
      <c r="C1861" s="5" t="s">
        <v>1370</v>
      </c>
      <c r="D1861" s="5" t="s">
        <v>118</v>
      </c>
      <c r="E1861" s="5" t="s">
        <v>2796</v>
      </c>
      <c r="F1861" s="5" t="s">
        <v>2764</v>
      </c>
      <c r="G1861" s="5">
        <v>1</v>
      </c>
      <c r="H1861" s="5" t="s">
        <v>2864</v>
      </c>
      <c r="I1861" s="5" t="str">
        <f>IF(INDEX(Manual_Review!$Z$6:$Z$238,U1861)="","",INDEX(Manual_Review!$Z$6:$Z$238,U1861))</f>
        <v/>
      </c>
      <c r="J1861" s="5" t="str">
        <f t="shared" si="56"/>
        <v>AI provisional</v>
      </c>
      <c r="K1861" s="5" t="str">
        <f t="shared" si="57"/>
        <v>U</v>
      </c>
      <c r="L1861" s="5" t="s">
        <v>1377</v>
      </c>
      <c r="M1861" s="5" t="s">
        <v>6729</v>
      </c>
      <c r="N1861" s="5" t="s">
        <v>6698</v>
      </c>
      <c r="O1861" s="5" t="s">
        <v>2899</v>
      </c>
      <c r="P1861" s="5" t="s">
        <v>2858</v>
      </c>
      <c r="Q1861" s="11">
        <v>46306.5</v>
      </c>
      <c r="R1861" s="6"/>
      <c r="S1861" s="6"/>
      <c r="T1861" s="6"/>
      <c r="U1861" s="5">
        <f>MATCH(B1861,Manual_Review!$A$6:$A$238,0)</f>
        <v>116</v>
      </c>
      <c r="V1861" s="5" t="str">
        <f>IF(INDEX(Manual_Review!$G$6:$G$238,U1861)="","",INDEX(Manual_Review!$G$6:$G$238,U1861))</f>
        <v/>
      </c>
      <c r="W1861" s="11" t="str">
        <f>IF(INDEX(Manual_Review!$H$6:$H$238,U1861)="","",INDEX(Manual_Review!$H$6:$H$238,U1861))</f>
        <v/>
      </c>
      <c r="X1861" s="5" t="str">
        <f>IF(INDEX(Manual_Review!$I$6:$I$238,U1861)="","",INDEX(Manual_Review!$I$6:$I$238,U1861))</f>
        <v/>
      </c>
      <c r="Y1861" s="5" t="s">
        <v>2859</v>
      </c>
    </row>
    <row r="1862" spans="1:25" ht="38.25">
      <c r="A1862" s="5" t="s">
        <v>6730</v>
      </c>
      <c r="B1862" s="5" t="s">
        <v>1379</v>
      </c>
      <c r="C1862" s="5" t="s">
        <v>1380</v>
      </c>
      <c r="D1862" s="5" t="s">
        <v>118</v>
      </c>
      <c r="E1862" s="5" t="s">
        <v>2781</v>
      </c>
      <c r="F1862" s="5" t="s">
        <v>2754</v>
      </c>
      <c r="G1862" s="5">
        <v>1</v>
      </c>
      <c r="H1862" s="5" t="s">
        <v>2854</v>
      </c>
      <c r="I1862" s="5" t="str">
        <f>IF(INDEX(Manual_Review!$K$6:$K$238,U1862)="","",INDEX(Manual_Review!$K$6:$K$238,U1862))</f>
        <v/>
      </c>
      <c r="J1862" s="5" t="str">
        <f t="shared" ref="J1862:J1925" si="58">IF(G1862=0,"Not applicable",IF(I1862="","AI provisional",IF(AND(OR(I1862="Y",I1862="N",I1862="U",I1862="X"),V1862&lt;&gt;"",ISNUMBER(W1862),W1862&gt;0,X1862="Confirmed",R1862&lt;&gt;"",S1862&lt;&gt;"",T1862&lt;&gt;""),"Human valid","Evidence needed")))</f>
        <v>AI provisional</v>
      </c>
      <c r="K1862" s="5" t="str">
        <f t="shared" ref="K1862:K1925" si="59">IF(G1862=0,"N/A",IF(I1862="",H1862,IF(J1862="Human valid",I1862,"U")))</f>
        <v>Y</v>
      </c>
      <c r="L1862" s="5" t="s">
        <v>1383</v>
      </c>
      <c r="M1862" s="5" t="s">
        <v>6731</v>
      </c>
      <c r="N1862" s="5" t="s">
        <v>6732</v>
      </c>
      <c r="O1862" s="5" t="s">
        <v>2857</v>
      </c>
      <c r="P1862" s="5" t="s">
        <v>2858</v>
      </c>
      <c r="Q1862" s="11">
        <v>46306.5</v>
      </c>
      <c r="R1862" s="6"/>
      <c r="S1862" s="6"/>
      <c r="T1862" s="6"/>
      <c r="U1862" s="5">
        <f>MATCH(B1862,Manual_Review!$A$6:$A$238,0)</f>
        <v>117</v>
      </c>
      <c r="V1862" s="5" t="str">
        <f>IF(INDEX(Manual_Review!$G$6:$G$238,U1862)="","",INDEX(Manual_Review!$G$6:$G$238,U1862))</f>
        <v/>
      </c>
      <c r="W1862" s="11" t="str">
        <f>IF(INDEX(Manual_Review!$H$6:$H$238,U1862)="","",INDEX(Manual_Review!$H$6:$H$238,U1862))</f>
        <v/>
      </c>
      <c r="X1862" s="5" t="str">
        <f>IF(INDEX(Manual_Review!$I$6:$I$238,U1862)="","",INDEX(Manual_Review!$I$6:$I$238,U1862))</f>
        <v/>
      </c>
      <c r="Y1862" s="5" t="s">
        <v>2859</v>
      </c>
    </row>
    <row r="1863" spans="1:25" ht="38.25">
      <c r="A1863" s="5" t="s">
        <v>6733</v>
      </c>
      <c r="B1863" s="5" t="s">
        <v>1379</v>
      </c>
      <c r="C1863" s="5" t="s">
        <v>1380</v>
      </c>
      <c r="D1863" s="5" t="s">
        <v>118</v>
      </c>
      <c r="E1863" s="5" t="s">
        <v>2782</v>
      </c>
      <c r="F1863" s="5" t="s">
        <v>2754</v>
      </c>
      <c r="G1863" s="5">
        <v>1</v>
      </c>
      <c r="H1863" s="5" t="s">
        <v>2854</v>
      </c>
      <c r="I1863" s="5" t="str">
        <f>IF(INDEX(Manual_Review!$L$6:$L$238,U1863)="","",INDEX(Manual_Review!$L$6:$L$238,U1863))</f>
        <v/>
      </c>
      <c r="J1863" s="5" t="str">
        <f t="shared" si="58"/>
        <v>AI provisional</v>
      </c>
      <c r="K1863" s="5" t="str">
        <f t="shared" si="59"/>
        <v>Y</v>
      </c>
      <c r="L1863" s="5" t="s">
        <v>1383</v>
      </c>
      <c r="M1863" s="5" t="s">
        <v>6734</v>
      </c>
      <c r="N1863" s="5" t="s">
        <v>6732</v>
      </c>
      <c r="O1863" s="5" t="s">
        <v>2862</v>
      </c>
      <c r="P1863" s="5" t="s">
        <v>2858</v>
      </c>
      <c r="Q1863" s="11">
        <v>46306.5</v>
      </c>
      <c r="R1863" s="6"/>
      <c r="S1863" s="6"/>
      <c r="T1863" s="6"/>
      <c r="U1863" s="5">
        <f>MATCH(B1863,Manual_Review!$A$6:$A$238,0)</f>
        <v>117</v>
      </c>
      <c r="V1863" s="5" t="str">
        <f>IF(INDEX(Manual_Review!$G$6:$G$238,U1863)="","",INDEX(Manual_Review!$G$6:$G$238,U1863))</f>
        <v/>
      </c>
      <c r="W1863" s="11" t="str">
        <f>IF(INDEX(Manual_Review!$H$6:$H$238,U1863)="","",INDEX(Manual_Review!$H$6:$H$238,U1863))</f>
        <v/>
      </c>
      <c r="X1863" s="5" t="str">
        <f>IF(INDEX(Manual_Review!$I$6:$I$238,U1863)="","",INDEX(Manual_Review!$I$6:$I$238,U1863))</f>
        <v/>
      </c>
      <c r="Y1863" s="5" t="s">
        <v>2859</v>
      </c>
    </row>
    <row r="1864" spans="1:25" ht="38.25">
      <c r="A1864" s="5" t="s">
        <v>6735</v>
      </c>
      <c r="B1864" s="5" t="s">
        <v>1379</v>
      </c>
      <c r="C1864" s="5" t="s">
        <v>1380</v>
      </c>
      <c r="D1864" s="5" t="s">
        <v>118</v>
      </c>
      <c r="E1864" s="5" t="s">
        <v>2783</v>
      </c>
      <c r="F1864" s="5" t="s">
        <v>2754</v>
      </c>
      <c r="G1864" s="5">
        <v>1</v>
      </c>
      <c r="H1864" s="5" t="s">
        <v>2854</v>
      </c>
      <c r="I1864" s="5" t="str">
        <f>IF(INDEX(Manual_Review!$M$6:$M$238,U1864)="","",INDEX(Manual_Review!$M$6:$M$238,U1864))</f>
        <v/>
      </c>
      <c r="J1864" s="5" t="str">
        <f t="shared" si="58"/>
        <v>AI provisional</v>
      </c>
      <c r="K1864" s="5" t="str">
        <f t="shared" si="59"/>
        <v>Y</v>
      </c>
      <c r="L1864" s="5" t="s">
        <v>1383</v>
      </c>
      <c r="M1864" s="5" t="s">
        <v>6736</v>
      </c>
      <c r="N1864" s="5" t="s">
        <v>6732</v>
      </c>
      <c r="O1864" s="5" t="s">
        <v>3133</v>
      </c>
      <c r="P1864" s="5" t="s">
        <v>2858</v>
      </c>
      <c r="Q1864" s="11">
        <v>46306.5</v>
      </c>
      <c r="R1864" s="6"/>
      <c r="S1864" s="6"/>
      <c r="T1864" s="6"/>
      <c r="U1864" s="5">
        <f>MATCH(B1864,Manual_Review!$A$6:$A$238,0)</f>
        <v>117</v>
      </c>
      <c r="V1864" s="5" t="str">
        <f>IF(INDEX(Manual_Review!$G$6:$G$238,U1864)="","",INDEX(Manual_Review!$G$6:$G$238,U1864))</f>
        <v/>
      </c>
      <c r="W1864" s="11" t="str">
        <f>IF(INDEX(Manual_Review!$H$6:$H$238,U1864)="","",INDEX(Manual_Review!$H$6:$H$238,U1864))</f>
        <v/>
      </c>
      <c r="X1864" s="5" t="str">
        <f>IF(INDEX(Manual_Review!$I$6:$I$238,U1864)="","",INDEX(Manual_Review!$I$6:$I$238,U1864))</f>
        <v/>
      </c>
      <c r="Y1864" s="5" t="s">
        <v>2859</v>
      </c>
    </row>
    <row r="1865" spans="1:25" ht="38.25">
      <c r="A1865" s="5" t="s">
        <v>6737</v>
      </c>
      <c r="B1865" s="5" t="s">
        <v>1379</v>
      </c>
      <c r="C1865" s="5" t="s">
        <v>1380</v>
      </c>
      <c r="D1865" s="5" t="s">
        <v>118</v>
      </c>
      <c r="E1865" s="5" t="s">
        <v>2784</v>
      </c>
      <c r="F1865" s="5" t="s">
        <v>2756</v>
      </c>
      <c r="G1865" s="5">
        <v>1</v>
      </c>
      <c r="H1865" s="5" t="s">
        <v>2854</v>
      </c>
      <c r="I1865" s="5" t="str">
        <f>IF(INDEX(Manual_Review!$N$6:$N$238,U1865)="","",INDEX(Manual_Review!$N$6:$N$238,U1865))</f>
        <v/>
      </c>
      <c r="J1865" s="5" t="str">
        <f t="shared" si="58"/>
        <v>AI provisional</v>
      </c>
      <c r="K1865" s="5" t="str">
        <f t="shared" si="59"/>
        <v>Y</v>
      </c>
      <c r="L1865" s="5" t="s">
        <v>1383</v>
      </c>
      <c r="M1865" s="5" t="s">
        <v>6738</v>
      </c>
      <c r="N1865" s="5" t="s">
        <v>6732</v>
      </c>
      <c r="O1865" s="5" t="s">
        <v>2963</v>
      </c>
      <c r="P1865" s="5" t="s">
        <v>2858</v>
      </c>
      <c r="Q1865" s="11">
        <v>46306.5</v>
      </c>
      <c r="R1865" s="6"/>
      <c r="S1865" s="6"/>
      <c r="T1865" s="6"/>
      <c r="U1865" s="5">
        <f>MATCH(B1865,Manual_Review!$A$6:$A$238,0)</f>
        <v>117</v>
      </c>
      <c r="V1865" s="5" t="str">
        <f>IF(INDEX(Manual_Review!$G$6:$G$238,U1865)="","",INDEX(Manual_Review!$G$6:$G$238,U1865))</f>
        <v/>
      </c>
      <c r="W1865" s="11" t="str">
        <f>IF(INDEX(Manual_Review!$H$6:$H$238,U1865)="","",INDEX(Manual_Review!$H$6:$H$238,U1865))</f>
        <v/>
      </c>
      <c r="X1865" s="5" t="str">
        <f>IF(INDEX(Manual_Review!$I$6:$I$238,U1865)="","",INDEX(Manual_Review!$I$6:$I$238,U1865))</f>
        <v/>
      </c>
      <c r="Y1865" s="5" t="s">
        <v>2859</v>
      </c>
    </row>
    <row r="1866" spans="1:25" ht="38.25">
      <c r="A1866" s="5" t="s">
        <v>6739</v>
      </c>
      <c r="B1866" s="5" t="s">
        <v>1379</v>
      </c>
      <c r="C1866" s="5" t="s">
        <v>1380</v>
      </c>
      <c r="D1866" s="5" t="s">
        <v>118</v>
      </c>
      <c r="E1866" s="5" t="s">
        <v>2785</v>
      </c>
      <c r="F1866" s="5" t="s">
        <v>2756</v>
      </c>
      <c r="G1866" s="5">
        <v>1</v>
      </c>
      <c r="H1866" s="5" t="s">
        <v>2864</v>
      </c>
      <c r="I1866" s="5" t="str">
        <f>IF(INDEX(Manual_Review!$O$6:$O$238,U1866)="","",INDEX(Manual_Review!$O$6:$O$238,U1866))</f>
        <v/>
      </c>
      <c r="J1866" s="5" t="str">
        <f t="shared" si="58"/>
        <v>AI provisional</v>
      </c>
      <c r="K1866" s="5" t="str">
        <f t="shared" si="59"/>
        <v>U</v>
      </c>
      <c r="L1866" s="5" t="s">
        <v>1383</v>
      </c>
      <c r="M1866" s="5" t="s">
        <v>6740</v>
      </c>
      <c r="N1866" s="5" t="s">
        <v>6732</v>
      </c>
      <c r="O1866" s="5" t="s">
        <v>2872</v>
      </c>
      <c r="P1866" s="5" t="s">
        <v>2858</v>
      </c>
      <c r="Q1866" s="11">
        <v>46306.5</v>
      </c>
      <c r="R1866" s="6"/>
      <c r="S1866" s="6"/>
      <c r="T1866" s="6"/>
      <c r="U1866" s="5">
        <f>MATCH(B1866,Manual_Review!$A$6:$A$238,0)</f>
        <v>117</v>
      </c>
      <c r="V1866" s="5" t="str">
        <f>IF(INDEX(Manual_Review!$G$6:$G$238,U1866)="","",INDEX(Manual_Review!$G$6:$G$238,U1866))</f>
        <v/>
      </c>
      <c r="W1866" s="11" t="str">
        <f>IF(INDEX(Manual_Review!$H$6:$H$238,U1866)="","",INDEX(Manual_Review!$H$6:$H$238,U1866))</f>
        <v/>
      </c>
      <c r="X1866" s="5" t="str">
        <f>IF(INDEX(Manual_Review!$I$6:$I$238,U1866)="","",INDEX(Manual_Review!$I$6:$I$238,U1866))</f>
        <v/>
      </c>
      <c r="Y1866" s="5" t="s">
        <v>2859</v>
      </c>
    </row>
    <row r="1867" spans="1:25" ht="38.25">
      <c r="A1867" s="5" t="s">
        <v>6741</v>
      </c>
      <c r="B1867" s="5" t="s">
        <v>1379</v>
      </c>
      <c r="C1867" s="5" t="s">
        <v>1380</v>
      </c>
      <c r="D1867" s="5" t="s">
        <v>118</v>
      </c>
      <c r="E1867" s="5" t="s">
        <v>2786</v>
      </c>
      <c r="F1867" s="5" t="s">
        <v>2756</v>
      </c>
      <c r="G1867" s="5">
        <v>1</v>
      </c>
      <c r="H1867" s="5" t="s">
        <v>2864</v>
      </c>
      <c r="I1867" s="5" t="str">
        <f>IF(INDEX(Manual_Review!$P$6:$P$238,U1867)="","",INDEX(Manual_Review!$P$6:$P$238,U1867))</f>
        <v/>
      </c>
      <c r="J1867" s="5" t="str">
        <f t="shared" si="58"/>
        <v>AI provisional</v>
      </c>
      <c r="K1867" s="5" t="str">
        <f t="shared" si="59"/>
        <v>U</v>
      </c>
      <c r="L1867" s="5" t="s">
        <v>1383</v>
      </c>
      <c r="M1867" s="5" t="s">
        <v>6742</v>
      </c>
      <c r="N1867" s="5" t="s">
        <v>6732</v>
      </c>
      <c r="O1867" s="5" t="s">
        <v>2874</v>
      </c>
      <c r="P1867" s="5" t="s">
        <v>2858</v>
      </c>
      <c r="Q1867" s="11">
        <v>46306.5</v>
      </c>
      <c r="R1867" s="6"/>
      <c r="S1867" s="6"/>
      <c r="T1867" s="6"/>
      <c r="U1867" s="5">
        <f>MATCH(B1867,Manual_Review!$A$6:$A$238,0)</f>
        <v>117</v>
      </c>
      <c r="V1867" s="5" t="str">
        <f>IF(INDEX(Manual_Review!$G$6:$G$238,U1867)="","",INDEX(Manual_Review!$G$6:$G$238,U1867))</f>
        <v/>
      </c>
      <c r="W1867" s="11" t="str">
        <f>IF(INDEX(Manual_Review!$H$6:$H$238,U1867)="","",INDEX(Manual_Review!$H$6:$H$238,U1867))</f>
        <v/>
      </c>
      <c r="X1867" s="5" t="str">
        <f>IF(INDEX(Manual_Review!$I$6:$I$238,U1867)="","",INDEX(Manual_Review!$I$6:$I$238,U1867))</f>
        <v/>
      </c>
      <c r="Y1867" s="5" t="s">
        <v>2859</v>
      </c>
    </row>
    <row r="1868" spans="1:25" ht="38.25">
      <c r="A1868" s="5" t="s">
        <v>6743</v>
      </c>
      <c r="B1868" s="5" t="s">
        <v>1379</v>
      </c>
      <c r="C1868" s="5" t="s">
        <v>1380</v>
      </c>
      <c r="D1868" s="5" t="s">
        <v>118</v>
      </c>
      <c r="E1868" s="5" t="s">
        <v>2787</v>
      </c>
      <c r="F1868" s="5" t="s">
        <v>2758</v>
      </c>
      <c r="G1868" s="5">
        <v>1</v>
      </c>
      <c r="H1868" s="5" t="s">
        <v>2864</v>
      </c>
      <c r="I1868" s="5" t="str">
        <f>IF(INDEX(Manual_Review!$Q$6:$Q$238,U1868)="","",INDEX(Manual_Review!$Q$6:$Q$238,U1868))</f>
        <v/>
      </c>
      <c r="J1868" s="5" t="str">
        <f t="shared" si="58"/>
        <v>AI provisional</v>
      </c>
      <c r="K1868" s="5" t="str">
        <f t="shared" si="59"/>
        <v>U</v>
      </c>
      <c r="L1868" s="5" t="s">
        <v>1383</v>
      </c>
      <c r="M1868" s="5" t="s">
        <v>6744</v>
      </c>
      <c r="N1868" s="5" t="s">
        <v>6732</v>
      </c>
      <c r="O1868" s="5" t="s">
        <v>2877</v>
      </c>
      <c r="P1868" s="5" t="s">
        <v>2858</v>
      </c>
      <c r="Q1868" s="11">
        <v>46306.5</v>
      </c>
      <c r="R1868" s="6"/>
      <c r="S1868" s="6"/>
      <c r="T1868" s="6"/>
      <c r="U1868" s="5">
        <f>MATCH(B1868,Manual_Review!$A$6:$A$238,0)</f>
        <v>117</v>
      </c>
      <c r="V1868" s="5" t="str">
        <f>IF(INDEX(Manual_Review!$G$6:$G$238,U1868)="","",INDEX(Manual_Review!$G$6:$G$238,U1868))</f>
        <v/>
      </c>
      <c r="W1868" s="11" t="str">
        <f>IF(INDEX(Manual_Review!$H$6:$H$238,U1868)="","",INDEX(Manual_Review!$H$6:$H$238,U1868))</f>
        <v/>
      </c>
      <c r="X1868" s="5" t="str">
        <f>IF(INDEX(Manual_Review!$I$6:$I$238,U1868)="","",INDEX(Manual_Review!$I$6:$I$238,U1868))</f>
        <v/>
      </c>
      <c r="Y1868" s="5" t="s">
        <v>2859</v>
      </c>
    </row>
    <row r="1869" spans="1:25" ht="38.25">
      <c r="A1869" s="5" t="s">
        <v>6745</v>
      </c>
      <c r="B1869" s="5" t="s">
        <v>1379</v>
      </c>
      <c r="C1869" s="5" t="s">
        <v>1380</v>
      </c>
      <c r="D1869" s="5" t="s">
        <v>118</v>
      </c>
      <c r="E1869" s="5" t="s">
        <v>2788</v>
      </c>
      <c r="F1869" s="5" t="s">
        <v>2758</v>
      </c>
      <c r="G1869" s="5">
        <v>1</v>
      </c>
      <c r="H1869" s="5" t="s">
        <v>2854</v>
      </c>
      <c r="I1869" s="5" t="str">
        <f>IF(INDEX(Manual_Review!$R$6:$R$238,U1869)="","",INDEX(Manual_Review!$R$6:$R$238,U1869))</f>
        <v/>
      </c>
      <c r="J1869" s="5" t="str">
        <f t="shared" si="58"/>
        <v>AI provisional</v>
      </c>
      <c r="K1869" s="5" t="str">
        <f t="shared" si="59"/>
        <v>Y</v>
      </c>
      <c r="L1869" s="5" t="s">
        <v>1383</v>
      </c>
      <c r="M1869" s="5" t="s">
        <v>6746</v>
      </c>
      <c r="N1869" s="5" t="s">
        <v>6732</v>
      </c>
      <c r="O1869" s="5" t="s">
        <v>3067</v>
      </c>
      <c r="P1869" s="5" t="s">
        <v>2858</v>
      </c>
      <c r="Q1869" s="11">
        <v>46306.5</v>
      </c>
      <c r="R1869" s="6"/>
      <c r="S1869" s="6"/>
      <c r="T1869" s="6"/>
      <c r="U1869" s="5">
        <f>MATCH(B1869,Manual_Review!$A$6:$A$238,0)</f>
        <v>117</v>
      </c>
      <c r="V1869" s="5" t="str">
        <f>IF(INDEX(Manual_Review!$G$6:$G$238,U1869)="","",INDEX(Manual_Review!$G$6:$G$238,U1869))</f>
        <v/>
      </c>
      <c r="W1869" s="11" t="str">
        <f>IF(INDEX(Manual_Review!$H$6:$H$238,U1869)="","",INDEX(Manual_Review!$H$6:$H$238,U1869))</f>
        <v/>
      </c>
      <c r="X1869" s="5" t="str">
        <f>IF(INDEX(Manual_Review!$I$6:$I$238,U1869)="","",INDEX(Manual_Review!$I$6:$I$238,U1869))</f>
        <v/>
      </c>
      <c r="Y1869" s="5" t="s">
        <v>2859</v>
      </c>
    </row>
    <row r="1870" spans="1:25" ht="38.25">
      <c r="A1870" s="5" t="s">
        <v>6747</v>
      </c>
      <c r="B1870" s="5" t="s">
        <v>1379</v>
      </c>
      <c r="C1870" s="5" t="s">
        <v>1380</v>
      </c>
      <c r="D1870" s="5" t="s">
        <v>118</v>
      </c>
      <c r="E1870" s="5" t="s">
        <v>2789</v>
      </c>
      <c r="F1870" s="5" t="s">
        <v>2758</v>
      </c>
      <c r="G1870" s="5">
        <v>1</v>
      </c>
      <c r="H1870" s="5" t="s">
        <v>2864</v>
      </c>
      <c r="I1870" s="5" t="str">
        <f>IF(INDEX(Manual_Review!$S$6:$S$238,U1870)="","",INDEX(Manual_Review!$S$6:$S$238,U1870))</f>
        <v/>
      </c>
      <c r="J1870" s="5" t="str">
        <f t="shared" si="58"/>
        <v>AI provisional</v>
      </c>
      <c r="K1870" s="5" t="str">
        <f t="shared" si="59"/>
        <v>U</v>
      </c>
      <c r="L1870" s="5" t="s">
        <v>1383</v>
      </c>
      <c r="M1870" s="5" t="s">
        <v>6748</v>
      </c>
      <c r="N1870" s="5" t="s">
        <v>6732</v>
      </c>
      <c r="O1870" s="5" t="s">
        <v>2883</v>
      </c>
      <c r="P1870" s="5" t="s">
        <v>2858</v>
      </c>
      <c r="Q1870" s="11">
        <v>46306.5</v>
      </c>
      <c r="R1870" s="6"/>
      <c r="S1870" s="6"/>
      <c r="T1870" s="6"/>
      <c r="U1870" s="5">
        <f>MATCH(B1870,Manual_Review!$A$6:$A$238,0)</f>
        <v>117</v>
      </c>
      <c r="V1870" s="5" t="str">
        <f>IF(INDEX(Manual_Review!$G$6:$G$238,U1870)="","",INDEX(Manual_Review!$G$6:$G$238,U1870))</f>
        <v/>
      </c>
      <c r="W1870" s="11" t="str">
        <f>IF(INDEX(Manual_Review!$H$6:$H$238,U1870)="","",INDEX(Manual_Review!$H$6:$H$238,U1870))</f>
        <v/>
      </c>
      <c r="X1870" s="5" t="str">
        <f>IF(INDEX(Manual_Review!$I$6:$I$238,U1870)="","",INDEX(Manual_Review!$I$6:$I$238,U1870))</f>
        <v/>
      </c>
      <c r="Y1870" s="5" t="s">
        <v>2859</v>
      </c>
    </row>
    <row r="1871" spans="1:25" ht="38.25">
      <c r="A1871" s="5" t="s">
        <v>6749</v>
      </c>
      <c r="B1871" s="5" t="s">
        <v>1379</v>
      </c>
      <c r="C1871" s="5" t="s">
        <v>1380</v>
      </c>
      <c r="D1871" s="5" t="s">
        <v>118</v>
      </c>
      <c r="E1871" s="5" t="s">
        <v>2790</v>
      </c>
      <c r="F1871" s="5" t="s">
        <v>2760</v>
      </c>
      <c r="G1871" s="5">
        <v>1</v>
      </c>
      <c r="H1871" s="5" t="s">
        <v>2908</v>
      </c>
      <c r="I1871" s="5" t="str">
        <f>IF(INDEX(Manual_Review!$T$6:$T$238,U1871)="","",INDEX(Manual_Review!$T$6:$T$238,U1871))</f>
        <v/>
      </c>
      <c r="J1871" s="5" t="str">
        <f t="shared" si="58"/>
        <v>AI provisional</v>
      </c>
      <c r="K1871" s="5" t="str">
        <f t="shared" si="59"/>
        <v>X</v>
      </c>
      <c r="L1871" s="5" t="s">
        <v>1383</v>
      </c>
      <c r="M1871" s="5" t="s">
        <v>6750</v>
      </c>
      <c r="N1871" s="5" t="s">
        <v>6732</v>
      </c>
      <c r="O1871" s="5" t="s">
        <v>6751</v>
      </c>
      <c r="P1871" s="5" t="s">
        <v>2858</v>
      </c>
      <c r="Q1871" s="11">
        <v>46306.5</v>
      </c>
      <c r="R1871" s="6"/>
      <c r="S1871" s="6"/>
      <c r="T1871" s="6"/>
      <c r="U1871" s="5">
        <f>MATCH(B1871,Manual_Review!$A$6:$A$238,0)</f>
        <v>117</v>
      </c>
      <c r="V1871" s="5" t="str">
        <f>IF(INDEX(Manual_Review!$G$6:$G$238,U1871)="","",INDEX(Manual_Review!$G$6:$G$238,U1871))</f>
        <v/>
      </c>
      <c r="W1871" s="11" t="str">
        <f>IF(INDEX(Manual_Review!$H$6:$H$238,U1871)="","",INDEX(Manual_Review!$H$6:$H$238,U1871))</f>
        <v/>
      </c>
      <c r="X1871" s="5" t="str">
        <f>IF(INDEX(Manual_Review!$I$6:$I$238,U1871)="","",INDEX(Manual_Review!$I$6:$I$238,U1871))</f>
        <v/>
      </c>
      <c r="Y1871" s="5" t="s">
        <v>2859</v>
      </c>
    </row>
    <row r="1872" spans="1:25" ht="38.25">
      <c r="A1872" s="5" t="s">
        <v>6752</v>
      </c>
      <c r="B1872" s="5" t="s">
        <v>1379</v>
      </c>
      <c r="C1872" s="5" t="s">
        <v>1380</v>
      </c>
      <c r="D1872" s="5" t="s">
        <v>118</v>
      </c>
      <c r="E1872" s="5" t="s">
        <v>2791</v>
      </c>
      <c r="F1872" s="5" t="s">
        <v>2760</v>
      </c>
      <c r="G1872" s="5">
        <v>1</v>
      </c>
      <c r="H1872" s="5" t="s">
        <v>2864</v>
      </c>
      <c r="I1872" s="5" t="str">
        <f>IF(INDEX(Manual_Review!$U$6:$U$238,U1872)="","",INDEX(Manual_Review!$U$6:$U$238,U1872))</f>
        <v/>
      </c>
      <c r="J1872" s="5" t="str">
        <f t="shared" si="58"/>
        <v>AI provisional</v>
      </c>
      <c r="K1872" s="5" t="str">
        <f t="shared" si="59"/>
        <v>U</v>
      </c>
      <c r="L1872" s="5" t="s">
        <v>1383</v>
      </c>
      <c r="M1872" s="5" t="s">
        <v>6753</v>
      </c>
      <c r="N1872" s="5" t="s">
        <v>6732</v>
      </c>
      <c r="O1872" s="5" t="s">
        <v>2888</v>
      </c>
      <c r="P1872" s="5" t="s">
        <v>2858</v>
      </c>
      <c r="Q1872" s="11">
        <v>46306.5</v>
      </c>
      <c r="R1872" s="6"/>
      <c r="S1872" s="6"/>
      <c r="T1872" s="6"/>
      <c r="U1872" s="5">
        <f>MATCH(B1872,Manual_Review!$A$6:$A$238,0)</f>
        <v>117</v>
      </c>
      <c r="V1872" s="5" t="str">
        <f>IF(INDEX(Manual_Review!$G$6:$G$238,U1872)="","",INDEX(Manual_Review!$G$6:$G$238,U1872))</f>
        <v/>
      </c>
      <c r="W1872" s="11" t="str">
        <f>IF(INDEX(Manual_Review!$H$6:$H$238,U1872)="","",INDEX(Manual_Review!$H$6:$H$238,U1872))</f>
        <v/>
      </c>
      <c r="X1872" s="5" t="str">
        <f>IF(INDEX(Manual_Review!$I$6:$I$238,U1872)="","",INDEX(Manual_Review!$I$6:$I$238,U1872))</f>
        <v/>
      </c>
      <c r="Y1872" s="5" t="s">
        <v>2859</v>
      </c>
    </row>
    <row r="1873" spans="1:25" ht="38.25">
      <c r="A1873" s="5" t="s">
        <v>6754</v>
      </c>
      <c r="B1873" s="5" t="s">
        <v>1379</v>
      </c>
      <c r="C1873" s="5" t="s">
        <v>1380</v>
      </c>
      <c r="D1873" s="5" t="s">
        <v>118</v>
      </c>
      <c r="E1873" s="5" t="s">
        <v>2792</v>
      </c>
      <c r="F1873" s="5" t="s">
        <v>2762</v>
      </c>
      <c r="G1873" s="5">
        <v>1</v>
      </c>
      <c r="H1873" s="5" t="s">
        <v>2854</v>
      </c>
      <c r="I1873" s="5" t="str">
        <f>IF(INDEX(Manual_Review!$V$6:$V$238,U1873)="","",INDEX(Manual_Review!$V$6:$V$238,U1873))</f>
        <v/>
      </c>
      <c r="J1873" s="5" t="str">
        <f t="shared" si="58"/>
        <v>AI provisional</v>
      </c>
      <c r="K1873" s="5" t="str">
        <f t="shared" si="59"/>
        <v>Y</v>
      </c>
      <c r="L1873" s="5" t="s">
        <v>1383</v>
      </c>
      <c r="M1873" s="5" t="s">
        <v>6755</v>
      </c>
      <c r="N1873" s="5" t="s">
        <v>6732</v>
      </c>
      <c r="O1873" s="5" t="s">
        <v>3152</v>
      </c>
      <c r="P1873" s="5" t="s">
        <v>2858</v>
      </c>
      <c r="Q1873" s="11">
        <v>46306.5</v>
      </c>
      <c r="R1873" s="6"/>
      <c r="S1873" s="6"/>
      <c r="T1873" s="6"/>
      <c r="U1873" s="5">
        <f>MATCH(B1873,Manual_Review!$A$6:$A$238,0)</f>
        <v>117</v>
      </c>
      <c r="V1873" s="5" t="str">
        <f>IF(INDEX(Manual_Review!$G$6:$G$238,U1873)="","",INDEX(Manual_Review!$G$6:$G$238,U1873))</f>
        <v/>
      </c>
      <c r="W1873" s="11" t="str">
        <f>IF(INDEX(Manual_Review!$H$6:$H$238,U1873)="","",INDEX(Manual_Review!$H$6:$H$238,U1873))</f>
        <v/>
      </c>
      <c r="X1873" s="5" t="str">
        <f>IF(INDEX(Manual_Review!$I$6:$I$238,U1873)="","",INDEX(Manual_Review!$I$6:$I$238,U1873))</f>
        <v/>
      </c>
      <c r="Y1873" s="5" t="s">
        <v>2859</v>
      </c>
    </row>
    <row r="1874" spans="1:25" ht="38.25">
      <c r="A1874" s="5" t="s">
        <v>6756</v>
      </c>
      <c r="B1874" s="5" t="s">
        <v>1379</v>
      </c>
      <c r="C1874" s="5" t="s">
        <v>1380</v>
      </c>
      <c r="D1874" s="5" t="s">
        <v>118</v>
      </c>
      <c r="E1874" s="5" t="s">
        <v>2793</v>
      </c>
      <c r="F1874" s="5" t="s">
        <v>2762</v>
      </c>
      <c r="G1874" s="5">
        <v>1</v>
      </c>
      <c r="H1874" s="5" t="s">
        <v>2854</v>
      </c>
      <c r="I1874" s="5" t="str">
        <f>IF(INDEX(Manual_Review!$W$6:$W$238,U1874)="","",INDEX(Manual_Review!$W$6:$W$238,U1874))</f>
        <v/>
      </c>
      <c r="J1874" s="5" t="str">
        <f t="shared" si="58"/>
        <v>AI provisional</v>
      </c>
      <c r="K1874" s="5" t="str">
        <f t="shared" si="59"/>
        <v>Y</v>
      </c>
      <c r="L1874" s="5" t="s">
        <v>1383</v>
      </c>
      <c r="M1874" s="5" t="s">
        <v>6757</v>
      </c>
      <c r="N1874" s="5" t="s">
        <v>6732</v>
      </c>
      <c r="O1874" s="5" t="s">
        <v>3077</v>
      </c>
      <c r="P1874" s="5" t="s">
        <v>2858</v>
      </c>
      <c r="Q1874" s="11">
        <v>46306.5</v>
      </c>
      <c r="R1874" s="6"/>
      <c r="S1874" s="6"/>
      <c r="T1874" s="6"/>
      <c r="U1874" s="5">
        <f>MATCH(B1874,Manual_Review!$A$6:$A$238,0)</f>
        <v>117</v>
      </c>
      <c r="V1874" s="5" t="str">
        <f>IF(INDEX(Manual_Review!$G$6:$G$238,U1874)="","",INDEX(Manual_Review!$G$6:$G$238,U1874))</f>
        <v/>
      </c>
      <c r="W1874" s="11" t="str">
        <f>IF(INDEX(Manual_Review!$H$6:$H$238,U1874)="","",INDEX(Manual_Review!$H$6:$H$238,U1874))</f>
        <v/>
      </c>
      <c r="X1874" s="5" t="str">
        <f>IF(INDEX(Manual_Review!$I$6:$I$238,U1874)="","",INDEX(Manual_Review!$I$6:$I$238,U1874))</f>
        <v/>
      </c>
      <c r="Y1874" s="5" t="s">
        <v>2859</v>
      </c>
    </row>
    <row r="1875" spans="1:25" ht="38.25">
      <c r="A1875" s="5" t="s">
        <v>6758</v>
      </c>
      <c r="B1875" s="5" t="s">
        <v>1379</v>
      </c>
      <c r="C1875" s="5" t="s">
        <v>1380</v>
      </c>
      <c r="D1875" s="5" t="s">
        <v>118</v>
      </c>
      <c r="E1875" s="5" t="s">
        <v>2794</v>
      </c>
      <c r="F1875" s="5" t="s">
        <v>2764</v>
      </c>
      <c r="G1875" s="5">
        <v>1</v>
      </c>
      <c r="H1875" s="5" t="s">
        <v>2854</v>
      </c>
      <c r="I1875" s="5" t="str">
        <f>IF(INDEX(Manual_Review!$X$6:$X$238,U1875)="","",INDEX(Manual_Review!$X$6:$X$238,U1875))</f>
        <v/>
      </c>
      <c r="J1875" s="5" t="str">
        <f t="shared" si="58"/>
        <v>AI provisional</v>
      </c>
      <c r="K1875" s="5" t="str">
        <f t="shared" si="59"/>
        <v>Y</v>
      </c>
      <c r="L1875" s="5" t="s">
        <v>1383</v>
      </c>
      <c r="M1875" s="5" t="s">
        <v>6759</v>
      </c>
      <c r="N1875" s="5" t="s">
        <v>6732</v>
      </c>
      <c r="O1875" s="5" t="s">
        <v>2984</v>
      </c>
      <c r="P1875" s="5" t="s">
        <v>2858</v>
      </c>
      <c r="Q1875" s="11">
        <v>46306.5</v>
      </c>
      <c r="R1875" s="6"/>
      <c r="S1875" s="6"/>
      <c r="T1875" s="6"/>
      <c r="U1875" s="5">
        <f>MATCH(B1875,Manual_Review!$A$6:$A$238,0)</f>
        <v>117</v>
      </c>
      <c r="V1875" s="5" t="str">
        <f>IF(INDEX(Manual_Review!$G$6:$G$238,U1875)="","",INDEX(Manual_Review!$G$6:$G$238,U1875))</f>
        <v/>
      </c>
      <c r="W1875" s="11" t="str">
        <f>IF(INDEX(Manual_Review!$H$6:$H$238,U1875)="","",INDEX(Manual_Review!$H$6:$H$238,U1875))</f>
        <v/>
      </c>
      <c r="X1875" s="5" t="str">
        <f>IF(INDEX(Manual_Review!$I$6:$I$238,U1875)="","",INDEX(Manual_Review!$I$6:$I$238,U1875))</f>
        <v/>
      </c>
      <c r="Y1875" s="5" t="s">
        <v>2859</v>
      </c>
    </row>
    <row r="1876" spans="1:25" ht="38.25">
      <c r="A1876" s="5" t="s">
        <v>6760</v>
      </c>
      <c r="B1876" s="5" t="s">
        <v>1379</v>
      </c>
      <c r="C1876" s="5" t="s">
        <v>1380</v>
      </c>
      <c r="D1876" s="5" t="s">
        <v>118</v>
      </c>
      <c r="E1876" s="5" t="s">
        <v>2795</v>
      </c>
      <c r="F1876" s="5" t="s">
        <v>2764</v>
      </c>
      <c r="G1876" s="5">
        <v>1</v>
      </c>
      <c r="H1876" s="5" t="s">
        <v>2864</v>
      </c>
      <c r="I1876" s="5" t="str">
        <f>IF(INDEX(Manual_Review!$Y$6:$Y$238,U1876)="","",INDEX(Manual_Review!$Y$6:$Y$238,U1876))</f>
        <v/>
      </c>
      <c r="J1876" s="5" t="str">
        <f t="shared" si="58"/>
        <v>AI provisional</v>
      </c>
      <c r="K1876" s="5" t="str">
        <f t="shared" si="59"/>
        <v>U</v>
      </c>
      <c r="L1876" s="5" t="s">
        <v>1383</v>
      </c>
      <c r="M1876" s="5" t="s">
        <v>6761</v>
      </c>
      <c r="N1876" s="5" t="s">
        <v>6732</v>
      </c>
      <c r="O1876" s="5" t="s">
        <v>2897</v>
      </c>
      <c r="P1876" s="5" t="s">
        <v>2858</v>
      </c>
      <c r="Q1876" s="11">
        <v>46306.5</v>
      </c>
      <c r="R1876" s="6"/>
      <c r="S1876" s="6"/>
      <c r="T1876" s="6"/>
      <c r="U1876" s="5">
        <f>MATCH(B1876,Manual_Review!$A$6:$A$238,0)</f>
        <v>117</v>
      </c>
      <c r="V1876" s="5" t="str">
        <f>IF(INDEX(Manual_Review!$G$6:$G$238,U1876)="","",INDEX(Manual_Review!$G$6:$G$238,U1876))</f>
        <v/>
      </c>
      <c r="W1876" s="11" t="str">
        <f>IF(INDEX(Manual_Review!$H$6:$H$238,U1876)="","",INDEX(Manual_Review!$H$6:$H$238,U1876))</f>
        <v/>
      </c>
      <c r="X1876" s="5" t="str">
        <f>IF(INDEX(Manual_Review!$I$6:$I$238,U1876)="","",INDEX(Manual_Review!$I$6:$I$238,U1876))</f>
        <v/>
      </c>
      <c r="Y1876" s="5" t="s">
        <v>2859</v>
      </c>
    </row>
    <row r="1877" spans="1:25" ht="38.25">
      <c r="A1877" s="5" t="s">
        <v>6762</v>
      </c>
      <c r="B1877" s="5" t="s">
        <v>1379</v>
      </c>
      <c r="C1877" s="5" t="s">
        <v>1380</v>
      </c>
      <c r="D1877" s="5" t="s">
        <v>118</v>
      </c>
      <c r="E1877" s="5" t="s">
        <v>2796</v>
      </c>
      <c r="F1877" s="5" t="s">
        <v>2764</v>
      </c>
      <c r="G1877" s="5">
        <v>1</v>
      </c>
      <c r="H1877" s="5" t="s">
        <v>2864</v>
      </c>
      <c r="I1877" s="5" t="str">
        <f>IF(INDEX(Manual_Review!$Z$6:$Z$238,U1877)="","",INDEX(Manual_Review!$Z$6:$Z$238,U1877))</f>
        <v/>
      </c>
      <c r="J1877" s="5" t="str">
        <f t="shared" si="58"/>
        <v>AI provisional</v>
      </c>
      <c r="K1877" s="5" t="str">
        <f t="shared" si="59"/>
        <v>U</v>
      </c>
      <c r="L1877" s="5" t="s">
        <v>1383</v>
      </c>
      <c r="M1877" s="5" t="s">
        <v>6763</v>
      </c>
      <c r="N1877" s="5" t="s">
        <v>6732</v>
      </c>
      <c r="O1877" s="5" t="s">
        <v>2899</v>
      </c>
      <c r="P1877" s="5" t="s">
        <v>2858</v>
      </c>
      <c r="Q1877" s="11">
        <v>46306.5</v>
      </c>
      <c r="R1877" s="6"/>
      <c r="S1877" s="6"/>
      <c r="T1877" s="6"/>
      <c r="U1877" s="5">
        <f>MATCH(B1877,Manual_Review!$A$6:$A$238,0)</f>
        <v>117</v>
      </c>
      <c r="V1877" s="5" t="str">
        <f>IF(INDEX(Manual_Review!$G$6:$G$238,U1877)="","",INDEX(Manual_Review!$G$6:$G$238,U1877))</f>
        <v/>
      </c>
      <c r="W1877" s="11" t="str">
        <f>IF(INDEX(Manual_Review!$H$6:$H$238,U1877)="","",INDEX(Manual_Review!$H$6:$H$238,U1877))</f>
        <v/>
      </c>
      <c r="X1877" s="5" t="str">
        <f>IF(INDEX(Manual_Review!$I$6:$I$238,U1877)="","",INDEX(Manual_Review!$I$6:$I$238,U1877))</f>
        <v/>
      </c>
      <c r="Y1877" s="5" t="s">
        <v>2859</v>
      </c>
    </row>
    <row r="1878" spans="1:25" ht="38.25">
      <c r="A1878" s="5" t="s">
        <v>6764</v>
      </c>
      <c r="B1878" s="5" t="s">
        <v>1385</v>
      </c>
      <c r="C1878" s="5" t="s">
        <v>1386</v>
      </c>
      <c r="D1878" s="5" t="s">
        <v>118</v>
      </c>
      <c r="E1878" s="5" t="s">
        <v>2781</v>
      </c>
      <c r="F1878" s="5" t="s">
        <v>2754</v>
      </c>
      <c r="G1878" s="5">
        <v>1</v>
      </c>
      <c r="H1878" s="5" t="s">
        <v>2854</v>
      </c>
      <c r="I1878" s="5" t="str">
        <f>IF(INDEX(Manual_Review!$K$6:$K$238,U1878)="","",INDEX(Manual_Review!$K$6:$K$238,U1878))</f>
        <v/>
      </c>
      <c r="J1878" s="5" t="str">
        <f t="shared" si="58"/>
        <v>AI provisional</v>
      </c>
      <c r="K1878" s="5" t="str">
        <f t="shared" si="59"/>
        <v>Y</v>
      </c>
      <c r="L1878" s="5" t="s">
        <v>1392</v>
      </c>
      <c r="M1878" s="5" t="s">
        <v>6765</v>
      </c>
      <c r="N1878" s="5" t="s">
        <v>6766</v>
      </c>
      <c r="O1878" s="5" t="s">
        <v>2857</v>
      </c>
      <c r="P1878" s="5" t="s">
        <v>2858</v>
      </c>
      <c r="Q1878" s="11">
        <v>46306.5</v>
      </c>
      <c r="R1878" s="6"/>
      <c r="S1878" s="6"/>
      <c r="T1878" s="6"/>
      <c r="U1878" s="5">
        <f>MATCH(B1878,Manual_Review!$A$6:$A$238,0)</f>
        <v>118</v>
      </c>
      <c r="V1878" s="5" t="str">
        <f>IF(INDEX(Manual_Review!$G$6:$G$238,U1878)="","",INDEX(Manual_Review!$G$6:$G$238,U1878))</f>
        <v/>
      </c>
      <c r="W1878" s="11" t="str">
        <f>IF(INDEX(Manual_Review!$H$6:$H$238,U1878)="","",INDEX(Manual_Review!$H$6:$H$238,U1878))</f>
        <v/>
      </c>
      <c r="X1878" s="5" t="str">
        <f>IF(INDEX(Manual_Review!$I$6:$I$238,U1878)="","",INDEX(Manual_Review!$I$6:$I$238,U1878))</f>
        <v/>
      </c>
      <c r="Y1878" s="5" t="s">
        <v>2859</v>
      </c>
    </row>
    <row r="1879" spans="1:25" ht="38.25">
      <c r="A1879" s="5" t="s">
        <v>6767</v>
      </c>
      <c r="B1879" s="5" t="s">
        <v>1385</v>
      </c>
      <c r="C1879" s="5" t="s">
        <v>1386</v>
      </c>
      <c r="D1879" s="5" t="s">
        <v>118</v>
      </c>
      <c r="E1879" s="5" t="s">
        <v>2782</v>
      </c>
      <c r="F1879" s="5" t="s">
        <v>2754</v>
      </c>
      <c r="G1879" s="5">
        <v>1</v>
      </c>
      <c r="H1879" s="5" t="s">
        <v>2854</v>
      </c>
      <c r="I1879" s="5" t="str">
        <f>IF(INDEX(Manual_Review!$L$6:$L$238,U1879)="","",INDEX(Manual_Review!$L$6:$L$238,U1879))</f>
        <v/>
      </c>
      <c r="J1879" s="5" t="str">
        <f t="shared" si="58"/>
        <v>AI provisional</v>
      </c>
      <c r="K1879" s="5" t="str">
        <f t="shared" si="59"/>
        <v>Y</v>
      </c>
      <c r="L1879" s="5" t="s">
        <v>1392</v>
      </c>
      <c r="M1879" s="5" t="s">
        <v>6768</v>
      </c>
      <c r="N1879" s="5" t="s">
        <v>6766</v>
      </c>
      <c r="O1879" s="5" t="s">
        <v>2862</v>
      </c>
      <c r="P1879" s="5" t="s">
        <v>2858</v>
      </c>
      <c r="Q1879" s="11">
        <v>46306.5</v>
      </c>
      <c r="R1879" s="6"/>
      <c r="S1879" s="6"/>
      <c r="T1879" s="6"/>
      <c r="U1879" s="5">
        <f>MATCH(B1879,Manual_Review!$A$6:$A$238,0)</f>
        <v>118</v>
      </c>
      <c r="V1879" s="5" t="str">
        <f>IF(INDEX(Manual_Review!$G$6:$G$238,U1879)="","",INDEX(Manual_Review!$G$6:$G$238,U1879))</f>
        <v/>
      </c>
      <c r="W1879" s="11" t="str">
        <f>IF(INDEX(Manual_Review!$H$6:$H$238,U1879)="","",INDEX(Manual_Review!$H$6:$H$238,U1879))</f>
        <v/>
      </c>
      <c r="X1879" s="5" t="str">
        <f>IF(INDEX(Manual_Review!$I$6:$I$238,U1879)="","",INDEX(Manual_Review!$I$6:$I$238,U1879))</f>
        <v/>
      </c>
      <c r="Y1879" s="5" t="s">
        <v>2859</v>
      </c>
    </row>
    <row r="1880" spans="1:25" ht="38.25">
      <c r="A1880" s="5" t="s">
        <v>6769</v>
      </c>
      <c r="B1880" s="5" t="s">
        <v>1385</v>
      </c>
      <c r="C1880" s="5" t="s">
        <v>1386</v>
      </c>
      <c r="D1880" s="5" t="s">
        <v>118</v>
      </c>
      <c r="E1880" s="5" t="s">
        <v>2783</v>
      </c>
      <c r="F1880" s="5" t="s">
        <v>2754</v>
      </c>
      <c r="G1880" s="5">
        <v>1</v>
      </c>
      <c r="H1880" s="5" t="s">
        <v>2854</v>
      </c>
      <c r="I1880" s="5" t="str">
        <f>IF(INDEX(Manual_Review!$M$6:$M$238,U1880)="","",INDEX(Manual_Review!$M$6:$M$238,U1880))</f>
        <v/>
      </c>
      <c r="J1880" s="5" t="str">
        <f t="shared" si="58"/>
        <v>AI provisional</v>
      </c>
      <c r="K1880" s="5" t="str">
        <f t="shared" si="59"/>
        <v>Y</v>
      </c>
      <c r="L1880" s="5" t="s">
        <v>1392</v>
      </c>
      <c r="M1880" s="5" t="s">
        <v>6770</v>
      </c>
      <c r="N1880" s="5" t="s">
        <v>6766</v>
      </c>
      <c r="O1880" s="5" t="s">
        <v>3133</v>
      </c>
      <c r="P1880" s="5" t="s">
        <v>2858</v>
      </c>
      <c r="Q1880" s="11">
        <v>46306.5</v>
      </c>
      <c r="R1880" s="6"/>
      <c r="S1880" s="6"/>
      <c r="T1880" s="6"/>
      <c r="U1880" s="5">
        <f>MATCH(B1880,Manual_Review!$A$6:$A$238,0)</f>
        <v>118</v>
      </c>
      <c r="V1880" s="5" t="str">
        <f>IF(INDEX(Manual_Review!$G$6:$G$238,U1880)="","",INDEX(Manual_Review!$G$6:$G$238,U1880))</f>
        <v/>
      </c>
      <c r="W1880" s="11" t="str">
        <f>IF(INDEX(Manual_Review!$H$6:$H$238,U1880)="","",INDEX(Manual_Review!$H$6:$H$238,U1880))</f>
        <v/>
      </c>
      <c r="X1880" s="5" t="str">
        <f>IF(INDEX(Manual_Review!$I$6:$I$238,U1880)="","",INDEX(Manual_Review!$I$6:$I$238,U1880))</f>
        <v/>
      </c>
      <c r="Y1880" s="5" t="s">
        <v>2859</v>
      </c>
    </row>
    <row r="1881" spans="1:25" ht="38.25">
      <c r="A1881" s="5" t="s">
        <v>6771</v>
      </c>
      <c r="B1881" s="5" t="s">
        <v>1385</v>
      </c>
      <c r="C1881" s="5" t="s">
        <v>1386</v>
      </c>
      <c r="D1881" s="5" t="s">
        <v>118</v>
      </c>
      <c r="E1881" s="5" t="s">
        <v>2784</v>
      </c>
      <c r="F1881" s="5" t="s">
        <v>2756</v>
      </c>
      <c r="G1881" s="5">
        <v>1</v>
      </c>
      <c r="H1881" s="5" t="s">
        <v>2864</v>
      </c>
      <c r="I1881" s="5" t="str">
        <f>IF(INDEX(Manual_Review!$N$6:$N$238,U1881)="","",INDEX(Manual_Review!$N$6:$N$238,U1881))</f>
        <v/>
      </c>
      <c r="J1881" s="5" t="str">
        <f t="shared" si="58"/>
        <v>AI provisional</v>
      </c>
      <c r="K1881" s="5" t="str">
        <f t="shared" si="59"/>
        <v>U</v>
      </c>
      <c r="L1881" s="5" t="s">
        <v>1392</v>
      </c>
      <c r="M1881" s="5" t="s">
        <v>6772</v>
      </c>
      <c r="N1881" s="5" t="s">
        <v>6766</v>
      </c>
      <c r="O1881" s="5" t="s">
        <v>2869</v>
      </c>
      <c r="P1881" s="5" t="s">
        <v>2858</v>
      </c>
      <c r="Q1881" s="11">
        <v>46306.5</v>
      </c>
      <c r="R1881" s="6"/>
      <c r="S1881" s="6"/>
      <c r="T1881" s="6"/>
      <c r="U1881" s="5">
        <f>MATCH(B1881,Manual_Review!$A$6:$A$238,0)</f>
        <v>118</v>
      </c>
      <c r="V1881" s="5" t="str">
        <f>IF(INDEX(Manual_Review!$G$6:$G$238,U1881)="","",INDEX(Manual_Review!$G$6:$G$238,U1881))</f>
        <v/>
      </c>
      <c r="W1881" s="11" t="str">
        <f>IF(INDEX(Manual_Review!$H$6:$H$238,U1881)="","",INDEX(Manual_Review!$H$6:$H$238,U1881))</f>
        <v/>
      </c>
      <c r="X1881" s="5" t="str">
        <f>IF(INDEX(Manual_Review!$I$6:$I$238,U1881)="","",INDEX(Manual_Review!$I$6:$I$238,U1881))</f>
        <v/>
      </c>
      <c r="Y1881" s="5" t="s">
        <v>2859</v>
      </c>
    </row>
    <row r="1882" spans="1:25" ht="38.25">
      <c r="A1882" s="5" t="s">
        <v>6773</v>
      </c>
      <c r="B1882" s="5" t="s">
        <v>1385</v>
      </c>
      <c r="C1882" s="5" t="s">
        <v>1386</v>
      </c>
      <c r="D1882" s="5" t="s">
        <v>118</v>
      </c>
      <c r="E1882" s="5" t="s">
        <v>2785</v>
      </c>
      <c r="F1882" s="5" t="s">
        <v>2756</v>
      </c>
      <c r="G1882" s="5">
        <v>1</v>
      </c>
      <c r="H1882" s="5" t="s">
        <v>2864</v>
      </c>
      <c r="I1882" s="5" t="str">
        <f>IF(INDEX(Manual_Review!$O$6:$O$238,U1882)="","",INDEX(Manual_Review!$O$6:$O$238,U1882))</f>
        <v/>
      </c>
      <c r="J1882" s="5" t="str">
        <f t="shared" si="58"/>
        <v>AI provisional</v>
      </c>
      <c r="K1882" s="5" t="str">
        <f t="shared" si="59"/>
        <v>U</v>
      </c>
      <c r="L1882" s="5" t="s">
        <v>1392</v>
      </c>
      <c r="M1882" s="5" t="s">
        <v>6774</v>
      </c>
      <c r="N1882" s="5" t="s">
        <v>6766</v>
      </c>
      <c r="O1882" s="5" t="s">
        <v>2872</v>
      </c>
      <c r="P1882" s="5" t="s">
        <v>2858</v>
      </c>
      <c r="Q1882" s="11">
        <v>46306.5</v>
      </c>
      <c r="R1882" s="6"/>
      <c r="S1882" s="6"/>
      <c r="T1882" s="6"/>
      <c r="U1882" s="5">
        <f>MATCH(B1882,Manual_Review!$A$6:$A$238,0)</f>
        <v>118</v>
      </c>
      <c r="V1882" s="5" t="str">
        <f>IF(INDEX(Manual_Review!$G$6:$G$238,U1882)="","",INDEX(Manual_Review!$G$6:$G$238,U1882))</f>
        <v/>
      </c>
      <c r="W1882" s="11" t="str">
        <f>IF(INDEX(Manual_Review!$H$6:$H$238,U1882)="","",INDEX(Manual_Review!$H$6:$H$238,U1882))</f>
        <v/>
      </c>
      <c r="X1882" s="5" t="str">
        <f>IF(INDEX(Manual_Review!$I$6:$I$238,U1882)="","",INDEX(Manual_Review!$I$6:$I$238,U1882))</f>
        <v/>
      </c>
      <c r="Y1882" s="5" t="s">
        <v>2859</v>
      </c>
    </row>
    <row r="1883" spans="1:25" ht="38.25">
      <c r="A1883" s="5" t="s">
        <v>6775</v>
      </c>
      <c r="B1883" s="5" t="s">
        <v>1385</v>
      </c>
      <c r="C1883" s="5" t="s">
        <v>1386</v>
      </c>
      <c r="D1883" s="5" t="s">
        <v>118</v>
      </c>
      <c r="E1883" s="5" t="s">
        <v>2786</v>
      </c>
      <c r="F1883" s="5" t="s">
        <v>2756</v>
      </c>
      <c r="G1883" s="5">
        <v>1</v>
      </c>
      <c r="H1883" s="5" t="s">
        <v>2864</v>
      </c>
      <c r="I1883" s="5" t="str">
        <f>IF(INDEX(Manual_Review!$P$6:$P$238,U1883)="","",INDEX(Manual_Review!$P$6:$P$238,U1883))</f>
        <v/>
      </c>
      <c r="J1883" s="5" t="str">
        <f t="shared" si="58"/>
        <v>AI provisional</v>
      </c>
      <c r="K1883" s="5" t="str">
        <f t="shared" si="59"/>
        <v>U</v>
      </c>
      <c r="L1883" s="5" t="s">
        <v>1392</v>
      </c>
      <c r="M1883" s="5" t="s">
        <v>6776</v>
      </c>
      <c r="N1883" s="5" t="s">
        <v>6766</v>
      </c>
      <c r="O1883" s="5" t="s">
        <v>2874</v>
      </c>
      <c r="P1883" s="5" t="s">
        <v>2858</v>
      </c>
      <c r="Q1883" s="11">
        <v>46306.5</v>
      </c>
      <c r="R1883" s="6"/>
      <c r="S1883" s="6"/>
      <c r="T1883" s="6"/>
      <c r="U1883" s="5">
        <f>MATCH(B1883,Manual_Review!$A$6:$A$238,0)</f>
        <v>118</v>
      </c>
      <c r="V1883" s="5" t="str">
        <f>IF(INDEX(Manual_Review!$G$6:$G$238,U1883)="","",INDEX(Manual_Review!$G$6:$G$238,U1883))</f>
        <v/>
      </c>
      <c r="W1883" s="11" t="str">
        <f>IF(INDEX(Manual_Review!$H$6:$H$238,U1883)="","",INDEX(Manual_Review!$H$6:$H$238,U1883))</f>
        <v/>
      </c>
      <c r="X1883" s="5" t="str">
        <f>IF(INDEX(Manual_Review!$I$6:$I$238,U1883)="","",INDEX(Manual_Review!$I$6:$I$238,U1883))</f>
        <v/>
      </c>
      <c r="Y1883" s="5" t="s">
        <v>2859</v>
      </c>
    </row>
    <row r="1884" spans="1:25" ht="38.25">
      <c r="A1884" s="5" t="s">
        <v>6777</v>
      </c>
      <c r="B1884" s="5" t="s">
        <v>1385</v>
      </c>
      <c r="C1884" s="5" t="s">
        <v>1386</v>
      </c>
      <c r="D1884" s="5" t="s">
        <v>118</v>
      </c>
      <c r="E1884" s="5" t="s">
        <v>2787</v>
      </c>
      <c r="F1884" s="5" t="s">
        <v>2758</v>
      </c>
      <c r="G1884" s="5">
        <v>1</v>
      </c>
      <c r="H1884" s="5" t="s">
        <v>2864</v>
      </c>
      <c r="I1884" s="5" t="str">
        <f>IF(INDEX(Manual_Review!$Q$6:$Q$238,U1884)="","",INDEX(Manual_Review!$Q$6:$Q$238,U1884))</f>
        <v/>
      </c>
      <c r="J1884" s="5" t="str">
        <f t="shared" si="58"/>
        <v>AI provisional</v>
      </c>
      <c r="K1884" s="5" t="str">
        <f t="shared" si="59"/>
        <v>U</v>
      </c>
      <c r="L1884" s="5" t="s">
        <v>1392</v>
      </c>
      <c r="M1884" s="5" t="s">
        <v>6778</v>
      </c>
      <c r="N1884" s="5" t="s">
        <v>6766</v>
      </c>
      <c r="O1884" s="5" t="s">
        <v>2877</v>
      </c>
      <c r="P1884" s="5" t="s">
        <v>2858</v>
      </c>
      <c r="Q1884" s="11">
        <v>46306.5</v>
      </c>
      <c r="R1884" s="6"/>
      <c r="S1884" s="6"/>
      <c r="T1884" s="6"/>
      <c r="U1884" s="5">
        <f>MATCH(B1884,Manual_Review!$A$6:$A$238,0)</f>
        <v>118</v>
      </c>
      <c r="V1884" s="5" t="str">
        <f>IF(INDEX(Manual_Review!$G$6:$G$238,U1884)="","",INDEX(Manual_Review!$G$6:$G$238,U1884))</f>
        <v/>
      </c>
      <c r="W1884" s="11" t="str">
        <f>IF(INDEX(Manual_Review!$H$6:$H$238,U1884)="","",INDEX(Manual_Review!$H$6:$H$238,U1884))</f>
        <v/>
      </c>
      <c r="X1884" s="5" t="str">
        <f>IF(INDEX(Manual_Review!$I$6:$I$238,U1884)="","",INDEX(Manual_Review!$I$6:$I$238,U1884))</f>
        <v/>
      </c>
      <c r="Y1884" s="5" t="s">
        <v>2859</v>
      </c>
    </row>
    <row r="1885" spans="1:25" ht="38.25">
      <c r="A1885" s="5" t="s">
        <v>6779</v>
      </c>
      <c r="B1885" s="5" t="s">
        <v>1385</v>
      </c>
      <c r="C1885" s="5" t="s">
        <v>1386</v>
      </c>
      <c r="D1885" s="5" t="s">
        <v>118</v>
      </c>
      <c r="E1885" s="5" t="s">
        <v>2788</v>
      </c>
      <c r="F1885" s="5" t="s">
        <v>2758</v>
      </c>
      <c r="G1885" s="5">
        <v>1</v>
      </c>
      <c r="H1885" s="5" t="s">
        <v>2854</v>
      </c>
      <c r="I1885" s="5" t="str">
        <f>IF(INDEX(Manual_Review!$R$6:$R$238,U1885)="","",INDEX(Manual_Review!$R$6:$R$238,U1885))</f>
        <v/>
      </c>
      <c r="J1885" s="5" t="str">
        <f t="shared" si="58"/>
        <v>AI provisional</v>
      </c>
      <c r="K1885" s="5" t="str">
        <f t="shared" si="59"/>
        <v>Y</v>
      </c>
      <c r="L1885" s="5" t="s">
        <v>1392</v>
      </c>
      <c r="M1885" s="5" t="s">
        <v>6780</v>
      </c>
      <c r="N1885" s="5" t="s">
        <v>6766</v>
      </c>
      <c r="O1885" s="5" t="s">
        <v>3067</v>
      </c>
      <c r="P1885" s="5" t="s">
        <v>2858</v>
      </c>
      <c r="Q1885" s="11">
        <v>46306.5</v>
      </c>
      <c r="R1885" s="6"/>
      <c r="S1885" s="6"/>
      <c r="T1885" s="6"/>
      <c r="U1885" s="5">
        <f>MATCH(B1885,Manual_Review!$A$6:$A$238,0)</f>
        <v>118</v>
      </c>
      <c r="V1885" s="5" t="str">
        <f>IF(INDEX(Manual_Review!$G$6:$G$238,U1885)="","",INDEX(Manual_Review!$G$6:$G$238,U1885))</f>
        <v/>
      </c>
      <c r="W1885" s="11" t="str">
        <f>IF(INDEX(Manual_Review!$H$6:$H$238,U1885)="","",INDEX(Manual_Review!$H$6:$H$238,U1885))</f>
        <v/>
      </c>
      <c r="X1885" s="5" t="str">
        <f>IF(INDEX(Manual_Review!$I$6:$I$238,U1885)="","",INDEX(Manual_Review!$I$6:$I$238,U1885))</f>
        <v/>
      </c>
      <c r="Y1885" s="5" t="s">
        <v>2859</v>
      </c>
    </row>
    <row r="1886" spans="1:25" ht="38.25">
      <c r="A1886" s="5" t="s">
        <v>6781</v>
      </c>
      <c r="B1886" s="5" t="s">
        <v>1385</v>
      </c>
      <c r="C1886" s="5" t="s">
        <v>1386</v>
      </c>
      <c r="D1886" s="5" t="s">
        <v>118</v>
      </c>
      <c r="E1886" s="5" t="s">
        <v>2789</v>
      </c>
      <c r="F1886" s="5" t="s">
        <v>2758</v>
      </c>
      <c r="G1886" s="5">
        <v>1</v>
      </c>
      <c r="H1886" s="5" t="s">
        <v>2854</v>
      </c>
      <c r="I1886" s="5" t="str">
        <f>IF(INDEX(Manual_Review!$S$6:$S$238,U1886)="","",INDEX(Manual_Review!$S$6:$S$238,U1886))</f>
        <v/>
      </c>
      <c r="J1886" s="5" t="str">
        <f t="shared" si="58"/>
        <v>AI provisional</v>
      </c>
      <c r="K1886" s="5" t="str">
        <f t="shared" si="59"/>
        <v>Y</v>
      </c>
      <c r="L1886" s="5" t="s">
        <v>1392</v>
      </c>
      <c r="M1886" s="5" t="s">
        <v>6782</v>
      </c>
      <c r="N1886" s="5" t="s">
        <v>6766</v>
      </c>
      <c r="O1886" s="5" t="s">
        <v>3178</v>
      </c>
      <c r="P1886" s="5" t="s">
        <v>2858</v>
      </c>
      <c r="Q1886" s="11">
        <v>46306.5</v>
      </c>
      <c r="R1886" s="6"/>
      <c r="S1886" s="6"/>
      <c r="T1886" s="6"/>
      <c r="U1886" s="5">
        <f>MATCH(B1886,Manual_Review!$A$6:$A$238,0)</f>
        <v>118</v>
      </c>
      <c r="V1886" s="5" t="str">
        <f>IF(INDEX(Manual_Review!$G$6:$G$238,U1886)="","",INDEX(Manual_Review!$G$6:$G$238,U1886))</f>
        <v/>
      </c>
      <c r="W1886" s="11" t="str">
        <f>IF(INDEX(Manual_Review!$H$6:$H$238,U1886)="","",INDEX(Manual_Review!$H$6:$H$238,U1886))</f>
        <v/>
      </c>
      <c r="X1886" s="5" t="str">
        <f>IF(INDEX(Manual_Review!$I$6:$I$238,U1886)="","",INDEX(Manual_Review!$I$6:$I$238,U1886))</f>
        <v/>
      </c>
      <c r="Y1886" s="5" t="s">
        <v>2859</v>
      </c>
    </row>
    <row r="1887" spans="1:25" ht="38.25">
      <c r="A1887" s="5" t="s">
        <v>6783</v>
      </c>
      <c r="B1887" s="5" t="s">
        <v>1385</v>
      </c>
      <c r="C1887" s="5" t="s">
        <v>1386</v>
      </c>
      <c r="D1887" s="5" t="s">
        <v>118</v>
      </c>
      <c r="E1887" s="5" t="s">
        <v>2790</v>
      </c>
      <c r="F1887" s="5" t="s">
        <v>2760</v>
      </c>
      <c r="G1887" s="5">
        <v>1</v>
      </c>
      <c r="H1887" s="5" t="s">
        <v>2864</v>
      </c>
      <c r="I1887" s="5" t="str">
        <f>IF(INDEX(Manual_Review!$T$6:$T$238,U1887)="","",INDEX(Manual_Review!$T$6:$T$238,U1887))</f>
        <v/>
      </c>
      <c r="J1887" s="5" t="str">
        <f t="shared" si="58"/>
        <v>AI provisional</v>
      </c>
      <c r="K1887" s="5" t="str">
        <f t="shared" si="59"/>
        <v>U</v>
      </c>
      <c r="L1887" s="5" t="s">
        <v>1392</v>
      </c>
      <c r="M1887" s="5" t="s">
        <v>6784</v>
      </c>
      <c r="N1887" s="5" t="s">
        <v>6766</v>
      </c>
      <c r="O1887" s="5" t="s">
        <v>2885</v>
      </c>
      <c r="P1887" s="5" t="s">
        <v>2858</v>
      </c>
      <c r="Q1887" s="11">
        <v>46306.5</v>
      </c>
      <c r="R1887" s="6"/>
      <c r="S1887" s="6"/>
      <c r="T1887" s="6"/>
      <c r="U1887" s="5">
        <f>MATCH(B1887,Manual_Review!$A$6:$A$238,0)</f>
        <v>118</v>
      </c>
      <c r="V1887" s="5" t="str">
        <f>IF(INDEX(Manual_Review!$G$6:$G$238,U1887)="","",INDEX(Manual_Review!$G$6:$G$238,U1887))</f>
        <v/>
      </c>
      <c r="W1887" s="11" t="str">
        <f>IF(INDEX(Manual_Review!$H$6:$H$238,U1887)="","",INDEX(Manual_Review!$H$6:$H$238,U1887))</f>
        <v/>
      </c>
      <c r="X1887" s="5" t="str">
        <f>IF(INDEX(Manual_Review!$I$6:$I$238,U1887)="","",INDEX(Manual_Review!$I$6:$I$238,U1887))</f>
        <v/>
      </c>
      <c r="Y1887" s="5" t="s">
        <v>2859</v>
      </c>
    </row>
    <row r="1888" spans="1:25" ht="38.25">
      <c r="A1888" s="5" t="s">
        <v>6785</v>
      </c>
      <c r="B1888" s="5" t="s">
        <v>1385</v>
      </c>
      <c r="C1888" s="5" t="s">
        <v>1386</v>
      </c>
      <c r="D1888" s="5" t="s">
        <v>118</v>
      </c>
      <c r="E1888" s="5" t="s">
        <v>2791</v>
      </c>
      <c r="F1888" s="5" t="s">
        <v>2760</v>
      </c>
      <c r="G1888" s="5">
        <v>1</v>
      </c>
      <c r="H1888" s="5" t="s">
        <v>2864</v>
      </c>
      <c r="I1888" s="5" t="str">
        <f>IF(INDEX(Manual_Review!$U$6:$U$238,U1888)="","",INDEX(Manual_Review!$U$6:$U$238,U1888))</f>
        <v/>
      </c>
      <c r="J1888" s="5" t="str">
        <f t="shared" si="58"/>
        <v>AI provisional</v>
      </c>
      <c r="K1888" s="5" t="str">
        <f t="shared" si="59"/>
        <v>U</v>
      </c>
      <c r="L1888" s="5" t="s">
        <v>1392</v>
      </c>
      <c r="M1888" s="5" t="s">
        <v>6786</v>
      </c>
      <c r="N1888" s="5" t="s">
        <v>6766</v>
      </c>
      <c r="O1888" s="5" t="s">
        <v>2888</v>
      </c>
      <c r="P1888" s="5" t="s">
        <v>2858</v>
      </c>
      <c r="Q1888" s="11">
        <v>46306.5</v>
      </c>
      <c r="R1888" s="6"/>
      <c r="S1888" s="6"/>
      <c r="T1888" s="6"/>
      <c r="U1888" s="5">
        <f>MATCH(B1888,Manual_Review!$A$6:$A$238,0)</f>
        <v>118</v>
      </c>
      <c r="V1888" s="5" t="str">
        <f>IF(INDEX(Manual_Review!$G$6:$G$238,U1888)="","",INDEX(Manual_Review!$G$6:$G$238,U1888))</f>
        <v/>
      </c>
      <c r="W1888" s="11" t="str">
        <f>IF(INDEX(Manual_Review!$H$6:$H$238,U1888)="","",INDEX(Manual_Review!$H$6:$H$238,U1888))</f>
        <v/>
      </c>
      <c r="X1888" s="5" t="str">
        <f>IF(INDEX(Manual_Review!$I$6:$I$238,U1888)="","",INDEX(Manual_Review!$I$6:$I$238,U1888))</f>
        <v/>
      </c>
      <c r="Y1888" s="5" t="s">
        <v>2859</v>
      </c>
    </row>
    <row r="1889" spans="1:25" ht="38.25">
      <c r="A1889" s="5" t="s">
        <v>6787</v>
      </c>
      <c r="B1889" s="5" t="s">
        <v>1385</v>
      </c>
      <c r="C1889" s="5" t="s">
        <v>1386</v>
      </c>
      <c r="D1889" s="5" t="s">
        <v>118</v>
      </c>
      <c r="E1889" s="5" t="s">
        <v>2792</v>
      </c>
      <c r="F1889" s="5" t="s">
        <v>2762</v>
      </c>
      <c r="G1889" s="5">
        <v>1</v>
      </c>
      <c r="H1889" s="5" t="s">
        <v>2854</v>
      </c>
      <c r="I1889" s="5" t="str">
        <f>IF(INDEX(Manual_Review!$V$6:$V$238,U1889)="","",INDEX(Manual_Review!$V$6:$V$238,U1889))</f>
        <v/>
      </c>
      <c r="J1889" s="5" t="str">
        <f t="shared" si="58"/>
        <v>AI provisional</v>
      </c>
      <c r="K1889" s="5" t="str">
        <f t="shared" si="59"/>
        <v>Y</v>
      </c>
      <c r="L1889" s="5" t="s">
        <v>1392</v>
      </c>
      <c r="M1889" s="5" t="s">
        <v>6788</v>
      </c>
      <c r="N1889" s="5" t="s">
        <v>6766</v>
      </c>
      <c r="O1889" s="5" t="s">
        <v>3152</v>
      </c>
      <c r="P1889" s="5" t="s">
        <v>2858</v>
      </c>
      <c r="Q1889" s="11">
        <v>46306.5</v>
      </c>
      <c r="R1889" s="6"/>
      <c r="S1889" s="6"/>
      <c r="T1889" s="6"/>
      <c r="U1889" s="5">
        <f>MATCH(B1889,Manual_Review!$A$6:$A$238,0)</f>
        <v>118</v>
      </c>
      <c r="V1889" s="5" t="str">
        <f>IF(INDEX(Manual_Review!$G$6:$G$238,U1889)="","",INDEX(Manual_Review!$G$6:$G$238,U1889))</f>
        <v/>
      </c>
      <c r="W1889" s="11" t="str">
        <f>IF(INDEX(Manual_Review!$H$6:$H$238,U1889)="","",INDEX(Manual_Review!$H$6:$H$238,U1889))</f>
        <v/>
      </c>
      <c r="X1889" s="5" t="str">
        <f>IF(INDEX(Manual_Review!$I$6:$I$238,U1889)="","",INDEX(Manual_Review!$I$6:$I$238,U1889))</f>
        <v/>
      </c>
      <c r="Y1889" s="5" t="s">
        <v>2859</v>
      </c>
    </row>
    <row r="1890" spans="1:25" ht="38.25">
      <c r="A1890" s="5" t="s">
        <v>6789</v>
      </c>
      <c r="B1890" s="5" t="s">
        <v>1385</v>
      </c>
      <c r="C1890" s="5" t="s">
        <v>1386</v>
      </c>
      <c r="D1890" s="5" t="s">
        <v>118</v>
      </c>
      <c r="E1890" s="5" t="s">
        <v>2793</v>
      </c>
      <c r="F1890" s="5" t="s">
        <v>2762</v>
      </c>
      <c r="G1890" s="5">
        <v>1</v>
      </c>
      <c r="H1890" s="5" t="s">
        <v>2854</v>
      </c>
      <c r="I1890" s="5" t="str">
        <f>IF(INDEX(Manual_Review!$W$6:$W$238,U1890)="","",INDEX(Manual_Review!$W$6:$W$238,U1890))</f>
        <v/>
      </c>
      <c r="J1890" s="5" t="str">
        <f t="shared" si="58"/>
        <v>AI provisional</v>
      </c>
      <c r="K1890" s="5" t="str">
        <f t="shared" si="59"/>
        <v>Y</v>
      </c>
      <c r="L1890" s="5" t="s">
        <v>1392</v>
      </c>
      <c r="M1890" s="5" t="s">
        <v>6790</v>
      </c>
      <c r="N1890" s="5" t="s">
        <v>6766</v>
      </c>
      <c r="O1890" s="5" t="s">
        <v>3077</v>
      </c>
      <c r="P1890" s="5" t="s">
        <v>2858</v>
      </c>
      <c r="Q1890" s="11">
        <v>46306.5</v>
      </c>
      <c r="R1890" s="6"/>
      <c r="S1890" s="6"/>
      <c r="T1890" s="6"/>
      <c r="U1890" s="5">
        <f>MATCH(B1890,Manual_Review!$A$6:$A$238,0)</f>
        <v>118</v>
      </c>
      <c r="V1890" s="5" t="str">
        <f>IF(INDEX(Manual_Review!$G$6:$G$238,U1890)="","",INDEX(Manual_Review!$G$6:$G$238,U1890))</f>
        <v/>
      </c>
      <c r="W1890" s="11" t="str">
        <f>IF(INDEX(Manual_Review!$H$6:$H$238,U1890)="","",INDEX(Manual_Review!$H$6:$H$238,U1890))</f>
        <v/>
      </c>
      <c r="X1890" s="5" t="str">
        <f>IF(INDEX(Manual_Review!$I$6:$I$238,U1890)="","",INDEX(Manual_Review!$I$6:$I$238,U1890))</f>
        <v/>
      </c>
      <c r="Y1890" s="5" t="s">
        <v>2859</v>
      </c>
    </row>
    <row r="1891" spans="1:25" ht="38.25">
      <c r="A1891" s="5" t="s">
        <v>6791</v>
      </c>
      <c r="B1891" s="5" t="s">
        <v>1385</v>
      </c>
      <c r="C1891" s="5" t="s">
        <v>1386</v>
      </c>
      <c r="D1891" s="5" t="s">
        <v>118</v>
      </c>
      <c r="E1891" s="5" t="s">
        <v>2794</v>
      </c>
      <c r="F1891" s="5" t="s">
        <v>2764</v>
      </c>
      <c r="G1891" s="5">
        <v>1</v>
      </c>
      <c r="H1891" s="5" t="s">
        <v>2854</v>
      </c>
      <c r="I1891" s="5" t="str">
        <f>IF(INDEX(Manual_Review!$X$6:$X$238,U1891)="","",INDEX(Manual_Review!$X$6:$X$238,U1891))</f>
        <v/>
      </c>
      <c r="J1891" s="5" t="str">
        <f t="shared" si="58"/>
        <v>AI provisional</v>
      </c>
      <c r="K1891" s="5" t="str">
        <f t="shared" si="59"/>
        <v>Y</v>
      </c>
      <c r="L1891" s="5" t="s">
        <v>1392</v>
      </c>
      <c r="M1891" s="5" t="s">
        <v>6792</v>
      </c>
      <c r="N1891" s="5" t="s">
        <v>6766</v>
      </c>
      <c r="O1891" s="5" t="s">
        <v>2984</v>
      </c>
      <c r="P1891" s="5" t="s">
        <v>2858</v>
      </c>
      <c r="Q1891" s="11">
        <v>46306.5</v>
      </c>
      <c r="R1891" s="6"/>
      <c r="S1891" s="6"/>
      <c r="T1891" s="6"/>
      <c r="U1891" s="5">
        <f>MATCH(B1891,Manual_Review!$A$6:$A$238,0)</f>
        <v>118</v>
      </c>
      <c r="V1891" s="5" t="str">
        <f>IF(INDEX(Manual_Review!$G$6:$G$238,U1891)="","",INDEX(Manual_Review!$G$6:$G$238,U1891))</f>
        <v/>
      </c>
      <c r="W1891" s="11" t="str">
        <f>IF(INDEX(Manual_Review!$H$6:$H$238,U1891)="","",INDEX(Manual_Review!$H$6:$H$238,U1891))</f>
        <v/>
      </c>
      <c r="X1891" s="5" t="str">
        <f>IF(INDEX(Manual_Review!$I$6:$I$238,U1891)="","",INDEX(Manual_Review!$I$6:$I$238,U1891))</f>
        <v/>
      </c>
      <c r="Y1891" s="5" t="s">
        <v>2859</v>
      </c>
    </row>
    <row r="1892" spans="1:25" ht="38.25">
      <c r="A1892" s="5" t="s">
        <v>6793</v>
      </c>
      <c r="B1892" s="5" t="s">
        <v>1385</v>
      </c>
      <c r="C1892" s="5" t="s">
        <v>1386</v>
      </c>
      <c r="D1892" s="5" t="s">
        <v>118</v>
      </c>
      <c r="E1892" s="5" t="s">
        <v>2795</v>
      </c>
      <c r="F1892" s="5" t="s">
        <v>2764</v>
      </c>
      <c r="G1892" s="5">
        <v>1</v>
      </c>
      <c r="H1892" s="5" t="s">
        <v>2864</v>
      </c>
      <c r="I1892" s="5" t="str">
        <f>IF(INDEX(Manual_Review!$Y$6:$Y$238,U1892)="","",INDEX(Manual_Review!$Y$6:$Y$238,U1892))</f>
        <v/>
      </c>
      <c r="J1892" s="5" t="str">
        <f t="shared" si="58"/>
        <v>AI provisional</v>
      </c>
      <c r="K1892" s="5" t="str">
        <f t="shared" si="59"/>
        <v>U</v>
      </c>
      <c r="L1892" s="5" t="s">
        <v>1392</v>
      </c>
      <c r="M1892" s="5" t="s">
        <v>6794</v>
      </c>
      <c r="N1892" s="5" t="s">
        <v>6766</v>
      </c>
      <c r="O1892" s="5" t="s">
        <v>2897</v>
      </c>
      <c r="P1892" s="5" t="s">
        <v>2858</v>
      </c>
      <c r="Q1892" s="11">
        <v>46306.5</v>
      </c>
      <c r="R1892" s="6"/>
      <c r="S1892" s="6"/>
      <c r="T1892" s="6"/>
      <c r="U1892" s="5">
        <f>MATCH(B1892,Manual_Review!$A$6:$A$238,0)</f>
        <v>118</v>
      </c>
      <c r="V1892" s="5" t="str">
        <f>IF(INDEX(Manual_Review!$G$6:$G$238,U1892)="","",INDEX(Manual_Review!$G$6:$G$238,U1892))</f>
        <v/>
      </c>
      <c r="W1892" s="11" t="str">
        <f>IF(INDEX(Manual_Review!$H$6:$H$238,U1892)="","",INDEX(Manual_Review!$H$6:$H$238,U1892))</f>
        <v/>
      </c>
      <c r="X1892" s="5" t="str">
        <f>IF(INDEX(Manual_Review!$I$6:$I$238,U1892)="","",INDEX(Manual_Review!$I$6:$I$238,U1892))</f>
        <v/>
      </c>
      <c r="Y1892" s="5" t="s">
        <v>2859</v>
      </c>
    </row>
    <row r="1893" spans="1:25" ht="38.25">
      <c r="A1893" s="5" t="s">
        <v>6795</v>
      </c>
      <c r="B1893" s="5" t="s">
        <v>1385</v>
      </c>
      <c r="C1893" s="5" t="s">
        <v>1386</v>
      </c>
      <c r="D1893" s="5" t="s">
        <v>118</v>
      </c>
      <c r="E1893" s="5" t="s">
        <v>2796</v>
      </c>
      <c r="F1893" s="5" t="s">
        <v>2764</v>
      </c>
      <c r="G1893" s="5">
        <v>1</v>
      </c>
      <c r="H1893" s="5" t="s">
        <v>2854</v>
      </c>
      <c r="I1893" s="5" t="str">
        <f>IF(INDEX(Manual_Review!$Z$6:$Z$238,U1893)="","",INDEX(Manual_Review!$Z$6:$Z$238,U1893))</f>
        <v/>
      </c>
      <c r="J1893" s="5" t="str">
        <f t="shared" si="58"/>
        <v>AI provisional</v>
      </c>
      <c r="K1893" s="5" t="str">
        <f t="shared" si="59"/>
        <v>Y</v>
      </c>
      <c r="L1893" s="5" t="s">
        <v>1392</v>
      </c>
      <c r="M1893" s="5" t="s">
        <v>6796</v>
      </c>
      <c r="N1893" s="5" t="s">
        <v>6766</v>
      </c>
      <c r="O1893" s="5" t="s">
        <v>3085</v>
      </c>
      <c r="P1893" s="5" t="s">
        <v>2858</v>
      </c>
      <c r="Q1893" s="11">
        <v>46306.5</v>
      </c>
      <c r="R1893" s="6"/>
      <c r="S1893" s="6"/>
      <c r="T1893" s="6"/>
      <c r="U1893" s="5">
        <f>MATCH(B1893,Manual_Review!$A$6:$A$238,0)</f>
        <v>118</v>
      </c>
      <c r="V1893" s="5" t="str">
        <f>IF(INDEX(Manual_Review!$G$6:$G$238,U1893)="","",INDEX(Manual_Review!$G$6:$G$238,U1893))</f>
        <v/>
      </c>
      <c r="W1893" s="11" t="str">
        <f>IF(INDEX(Manual_Review!$H$6:$H$238,U1893)="","",INDEX(Manual_Review!$H$6:$H$238,U1893))</f>
        <v/>
      </c>
      <c r="X1893" s="5" t="str">
        <f>IF(INDEX(Manual_Review!$I$6:$I$238,U1893)="","",INDEX(Manual_Review!$I$6:$I$238,U1893))</f>
        <v/>
      </c>
      <c r="Y1893" s="5" t="s">
        <v>2859</v>
      </c>
    </row>
    <row r="1894" spans="1:25" ht="76.5">
      <c r="A1894" s="5" t="s">
        <v>6797</v>
      </c>
      <c r="B1894" s="5" t="s">
        <v>1394</v>
      </c>
      <c r="C1894" s="5" t="s">
        <v>1395</v>
      </c>
      <c r="D1894" s="5" t="s">
        <v>118</v>
      </c>
      <c r="E1894" s="5" t="s">
        <v>2781</v>
      </c>
      <c r="F1894" s="5" t="s">
        <v>2754</v>
      </c>
      <c r="G1894" s="5">
        <v>1</v>
      </c>
      <c r="H1894" s="5" t="s">
        <v>2854</v>
      </c>
      <c r="I1894" s="5" t="str">
        <f>IF(INDEX(Manual_Review!$K$6:$K$238,U1894)="","",INDEX(Manual_Review!$K$6:$K$238,U1894))</f>
        <v/>
      </c>
      <c r="J1894" s="5" t="str">
        <f t="shared" si="58"/>
        <v>AI provisional</v>
      </c>
      <c r="K1894" s="5" t="str">
        <f t="shared" si="59"/>
        <v>Y</v>
      </c>
      <c r="L1894" s="5" t="s">
        <v>1403</v>
      </c>
      <c r="M1894" s="5" t="s">
        <v>6798</v>
      </c>
      <c r="N1894" s="5" t="s">
        <v>6799</v>
      </c>
      <c r="O1894" s="5" t="s">
        <v>2857</v>
      </c>
      <c r="P1894" s="5" t="s">
        <v>2858</v>
      </c>
      <c r="Q1894" s="11">
        <v>46306.5</v>
      </c>
      <c r="R1894" s="6"/>
      <c r="S1894" s="6"/>
      <c r="T1894" s="6"/>
      <c r="U1894" s="5">
        <f>MATCH(B1894,Manual_Review!$A$6:$A$238,0)</f>
        <v>119</v>
      </c>
      <c r="V1894" s="5" t="str">
        <f>IF(INDEX(Manual_Review!$G$6:$G$238,U1894)="","",INDEX(Manual_Review!$G$6:$G$238,U1894))</f>
        <v/>
      </c>
      <c r="W1894" s="11" t="str">
        <f>IF(INDEX(Manual_Review!$H$6:$H$238,U1894)="","",INDEX(Manual_Review!$H$6:$H$238,U1894))</f>
        <v/>
      </c>
      <c r="X1894" s="5" t="str">
        <f>IF(INDEX(Manual_Review!$I$6:$I$238,U1894)="","",INDEX(Manual_Review!$I$6:$I$238,U1894))</f>
        <v/>
      </c>
      <c r="Y1894" s="5" t="s">
        <v>2859</v>
      </c>
    </row>
    <row r="1895" spans="1:25" ht="76.5">
      <c r="A1895" s="5" t="s">
        <v>6800</v>
      </c>
      <c r="B1895" s="5" t="s">
        <v>1394</v>
      </c>
      <c r="C1895" s="5" t="s">
        <v>1395</v>
      </c>
      <c r="D1895" s="5" t="s">
        <v>118</v>
      </c>
      <c r="E1895" s="5" t="s">
        <v>2782</v>
      </c>
      <c r="F1895" s="5" t="s">
        <v>2754</v>
      </c>
      <c r="G1895" s="5">
        <v>1</v>
      </c>
      <c r="H1895" s="5" t="s">
        <v>2854</v>
      </c>
      <c r="I1895" s="5" t="str">
        <f>IF(INDEX(Manual_Review!$L$6:$L$238,U1895)="","",INDEX(Manual_Review!$L$6:$L$238,U1895))</f>
        <v/>
      </c>
      <c r="J1895" s="5" t="str">
        <f t="shared" si="58"/>
        <v>AI provisional</v>
      </c>
      <c r="K1895" s="5" t="str">
        <f t="shared" si="59"/>
        <v>Y</v>
      </c>
      <c r="L1895" s="5" t="s">
        <v>1403</v>
      </c>
      <c r="M1895" s="5" t="s">
        <v>6801</v>
      </c>
      <c r="N1895" s="5" t="s">
        <v>6799</v>
      </c>
      <c r="O1895" s="5" t="s">
        <v>2862</v>
      </c>
      <c r="P1895" s="5" t="s">
        <v>2858</v>
      </c>
      <c r="Q1895" s="11">
        <v>46306.5</v>
      </c>
      <c r="R1895" s="6"/>
      <c r="S1895" s="6"/>
      <c r="T1895" s="6"/>
      <c r="U1895" s="5">
        <f>MATCH(B1895,Manual_Review!$A$6:$A$238,0)</f>
        <v>119</v>
      </c>
      <c r="V1895" s="5" t="str">
        <f>IF(INDEX(Manual_Review!$G$6:$G$238,U1895)="","",INDEX(Manual_Review!$G$6:$G$238,U1895))</f>
        <v/>
      </c>
      <c r="W1895" s="11" t="str">
        <f>IF(INDEX(Manual_Review!$H$6:$H$238,U1895)="","",INDEX(Manual_Review!$H$6:$H$238,U1895))</f>
        <v/>
      </c>
      <c r="X1895" s="5" t="str">
        <f>IF(INDEX(Manual_Review!$I$6:$I$238,U1895)="","",INDEX(Manual_Review!$I$6:$I$238,U1895))</f>
        <v/>
      </c>
      <c r="Y1895" s="5" t="s">
        <v>2859</v>
      </c>
    </row>
    <row r="1896" spans="1:25" ht="76.5">
      <c r="A1896" s="5" t="s">
        <v>6802</v>
      </c>
      <c r="B1896" s="5" t="s">
        <v>1394</v>
      </c>
      <c r="C1896" s="5" t="s">
        <v>1395</v>
      </c>
      <c r="D1896" s="5" t="s">
        <v>118</v>
      </c>
      <c r="E1896" s="5" t="s">
        <v>2783</v>
      </c>
      <c r="F1896" s="5" t="s">
        <v>2754</v>
      </c>
      <c r="G1896" s="5">
        <v>1</v>
      </c>
      <c r="H1896" s="5" t="s">
        <v>2854</v>
      </c>
      <c r="I1896" s="5" t="str">
        <f>IF(INDEX(Manual_Review!$M$6:$M$238,U1896)="","",INDEX(Manual_Review!$M$6:$M$238,U1896))</f>
        <v/>
      </c>
      <c r="J1896" s="5" t="str">
        <f t="shared" si="58"/>
        <v>AI provisional</v>
      </c>
      <c r="K1896" s="5" t="str">
        <f t="shared" si="59"/>
        <v>Y</v>
      </c>
      <c r="L1896" s="5" t="s">
        <v>1403</v>
      </c>
      <c r="M1896" s="5" t="s">
        <v>6803</v>
      </c>
      <c r="N1896" s="5" t="s">
        <v>6799</v>
      </c>
      <c r="O1896" s="5" t="s">
        <v>3133</v>
      </c>
      <c r="P1896" s="5" t="s">
        <v>2858</v>
      </c>
      <c r="Q1896" s="11">
        <v>46306.5</v>
      </c>
      <c r="R1896" s="6"/>
      <c r="S1896" s="6"/>
      <c r="T1896" s="6"/>
      <c r="U1896" s="5">
        <f>MATCH(B1896,Manual_Review!$A$6:$A$238,0)</f>
        <v>119</v>
      </c>
      <c r="V1896" s="5" t="str">
        <f>IF(INDEX(Manual_Review!$G$6:$G$238,U1896)="","",INDEX(Manual_Review!$G$6:$G$238,U1896))</f>
        <v/>
      </c>
      <c r="W1896" s="11" t="str">
        <f>IF(INDEX(Manual_Review!$H$6:$H$238,U1896)="","",INDEX(Manual_Review!$H$6:$H$238,U1896))</f>
        <v/>
      </c>
      <c r="X1896" s="5" t="str">
        <f>IF(INDEX(Manual_Review!$I$6:$I$238,U1896)="","",INDEX(Manual_Review!$I$6:$I$238,U1896))</f>
        <v/>
      </c>
      <c r="Y1896" s="5" t="s">
        <v>2859</v>
      </c>
    </row>
    <row r="1897" spans="1:25" ht="76.5">
      <c r="A1897" s="5" t="s">
        <v>6804</v>
      </c>
      <c r="B1897" s="5" t="s">
        <v>1394</v>
      </c>
      <c r="C1897" s="5" t="s">
        <v>1395</v>
      </c>
      <c r="D1897" s="5" t="s">
        <v>118</v>
      </c>
      <c r="E1897" s="5" t="s">
        <v>2784</v>
      </c>
      <c r="F1897" s="5" t="s">
        <v>2756</v>
      </c>
      <c r="G1897" s="5">
        <v>1</v>
      </c>
      <c r="H1897" s="5" t="s">
        <v>2854</v>
      </c>
      <c r="I1897" s="5" t="str">
        <f>IF(INDEX(Manual_Review!$N$6:$N$238,U1897)="","",INDEX(Manual_Review!$N$6:$N$238,U1897))</f>
        <v/>
      </c>
      <c r="J1897" s="5" t="str">
        <f t="shared" si="58"/>
        <v>AI provisional</v>
      </c>
      <c r="K1897" s="5" t="str">
        <f t="shared" si="59"/>
        <v>Y</v>
      </c>
      <c r="L1897" s="5" t="s">
        <v>1403</v>
      </c>
      <c r="M1897" s="5" t="s">
        <v>6805</v>
      </c>
      <c r="N1897" s="5" t="s">
        <v>6799</v>
      </c>
      <c r="O1897" s="5" t="s">
        <v>2963</v>
      </c>
      <c r="P1897" s="5" t="s">
        <v>2858</v>
      </c>
      <c r="Q1897" s="11">
        <v>46306.5</v>
      </c>
      <c r="R1897" s="6"/>
      <c r="S1897" s="6"/>
      <c r="T1897" s="6"/>
      <c r="U1897" s="5">
        <f>MATCH(B1897,Manual_Review!$A$6:$A$238,0)</f>
        <v>119</v>
      </c>
      <c r="V1897" s="5" t="str">
        <f>IF(INDEX(Manual_Review!$G$6:$G$238,U1897)="","",INDEX(Manual_Review!$G$6:$G$238,U1897))</f>
        <v/>
      </c>
      <c r="W1897" s="11" t="str">
        <f>IF(INDEX(Manual_Review!$H$6:$H$238,U1897)="","",INDEX(Manual_Review!$H$6:$H$238,U1897))</f>
        <v/>
      </c>
      <c r="X1897" s="5" t="str">
        <f>IF(INDEX(Manual_Review!$I$6:$I$238,U1897)="","",INDEX(Manual_Review!$I$6:$I$238,U1897))</f>
        <v/>
      </c>
      <c r="Y1897" s="5" t="s">
        <v>2859</v>
      </c>
    </row>
    <row r="1898" spans="1:25" ht="76.5">
      <c r="A1898" s="5" t="s">
        <v>6806</v>
      </c>
      <c r="B1898" s="5" t="s">
        <v>1394</v>
      </c>
      <c r="C1898" s="5" t="s">
        <v>1395</v>
      </c>
      <c r="D1898" s="5" t="s">
        <v>118</v>
      </c>
      <c r="E1898" s="5" t="s">
        <v>2785</v>
      </c>
      <c r="F1898" s="5" t="s">
        <v>2756</v>
      </c>
      <c r="G1898" s="5">
        <v>1</v>
      </c>
      <c r="H1898" s="5" t="s">
        <v>2864</v>
      </c>
      <c r="I1898" s="5" t="str">
        <f>IF(INDEX(Manual_Review!$O$6:$O$238,U1898)="","",INDEX(Manual_Review!$O$6:$O$238,U1898))</f>
        <v/>
      </c>
      <c r="J1898" s="5" t="str">
        <f t="shared" si="58"/>
        <v>AI provisional</v>
      </c>
      <c r="K1898" s="5" t="str">
        <f t="shared" si="59"/>
        <v>U</v>
      </c>
      <c r="L1898" s="5" t="s">
        <v>1403</v>
      </c>
      <c r="M1898" s="5" t="s">
        <v>6807</v>
      </c>
      <c r="N1898" s="5" t="s">
        <v>6799</v>
      </c>
      <c r="O1898" s="5" t="s">
        <v>2872</v>
      </c>
      <c r="P1898" s="5" t="s">
        <v>2858</v>
      </c>
      <c r="Q1898" s="11">
        <v>46306.5</v>
      </c>
      <c r="R1898" s="6"/>
      <c r="S1898" s="6"/>
      <c r="T1898" s="6"/>
      <c r="U1898" s="5">
        <f>MATCH(B1898,Manual_Review!$A$6:$A$238,0)</f>
        <v>119</v>
      </c>
      <c r="V1898" s="5" t="str">
        <f>IF(INDEX(Manual_Review!$G$6:$G$238,U1898)="","",INDEX(Manual_Review!$G$6:$G$238,U1898))</f>
        <v/>
      </c>
      <c r="W1898" s="11" t="str">
        <f>IF(INDEX(Manual_Review!$H$6:$H$238,U1898)="","",INDEX(Manual_Review!$H$6:$H$238,U1898))</f>
        <v/>
      </c>
      <c r="X1898" s="5" t="str">
        <f>IF(INDEX(Manual_Review!$I$6:$I$238,U1898)="","",INDEX(Manual_Review!$I$6:$I$238,U1898))</f>
        <v/>
      </c>
      <c r="Y1898" s="5" t="s">
        <v>2859</v>
      </c>
    </row>
    <row r="1899" spans="1:25" ht="76.5">
      <c r="A1899" s="5" t="s">
        <v>6808</v>
      </c>
      <c r="B1899" s="5" t="s">
        <v>1394</v>
      </c>
      <c r="C1899" s="5" t="s">
        <v>1395</v>
      </c>
      <c r="D1899" s="5" t="s">
        <v>118</v>
      </c>
      <c r="E1899" s="5" t="s">
        <v>2786</v>
      </c>
      <c r="F1899" s="5" t="s">
        <v>2756</v>
      </c>
      <c r="G1899" s="5">
        <v>1</v>
      </c>
      <c r="H1899" s="5" t="s">
        <v>2864</v>
      </c>
      <c r="I1899" s="5" t="str">
        <f>IF(INDEX(Manual_Review!$P$6:$P$238,U1899)="","",INDEX(Manual_Review!$P$6:$P$238,U1899))</f>
        <v/>
      </c>
      <c r="J1899" s="5" t="str">
        <f t="shared" si="58"/>
        <v>AI provisional</v>
      </c>
      <c r="K1899" s="5" t="str">
        <f t="shared" si="59"/>
        <v>U</v>
      </c>
      <c r="L1899" s="5" t="s">
        <v>1403</v>
      </c>
      <c r="M1899" s="5" t="s">
        <v>6803</v>
      </c>
      <c r="N1899" s="5" t="s">
        <v>6799</v>
      </c>
      <c r="O1899" s="5" t="s">
        <v>2874</v>
      </c>
      <c r="P1899" s="5" t="s">
        <v>2858</v>
      </c>
      <c r="Q1899" s="11">
        <v>46306.5</v>
      </c>
      <c r="R1899" s="6"/>
      <c r="S1899" s="6"/>
      <c r="T1899" s="6"/>
      <c r="U1899" s="5">
        <f>MATCH(B1899,Manual_Review!$A$6:$A$238,0)</f>
        <v>119</v>
      </c>
      <c r="V1899" s="5" t="str">
        <f>IF(INDEX(Manual_Review!$G$6:$G$238,U1899)="","",INDEX(Manual_Review!$G$6:$G$238,U1899))</f>
        <v/>
      </c>
      <c r="W1899" s="11" t="str">
        <f>IF(INDEX(Manual_Review!$H$6:$H$238,U1899)="","",INDEX(Manual_Review!$H$6:$H$238,U1899))</f>
        <v/>
      </c>
      <c r="X1899" s="5" t="str">
        <f>IF(INDEX(Manual_Review!$I$6:$I$238,U1899)="","",INDEX(Manual_Review!$I$6:$I$238,U1899))</f>
        <v/>
      </c>
      <c r="Y1899" s="5" t="s">
        <v>2859</v>
      </c>
    </row>
    <row r="1900" spans="1:25" ht="76.5">
      <c r="A1900" s="5" t="s">
        <v>6809</v>
      </c>
      <c r="B1900" s="5" t="s">
        <v>1394</v>
      </c>
      <c r="C1900" s="5" t="s">
        <v>1395</v>
      </c>
      <c r="D1900" s="5" t="s">
        <v>118</v>
      </c>
      <c r="E1900" s="5" t="s">
        <v>2787</v>
      </c>
      <c r="F1900" s="5" t="s">
        <v>2758</v>
      </c>
      <c r="G1900" s="5">
        <v>1</v>
      </c>
      <c r="H1900" s="5" t="s">
        <v>2864</v>
      </c>
      <c r="I1900" s="5" t="str">
        <f>IF(INDEX(Manual_Review!$Q$6:$Q$238,U1900)="","",INDEX(Manual_Review!$Q$6:$Q$238,U1900))</f>
        <v/>
      </c>
      <c r="J1900" s="5" t="str">
        <f t="shared" si="58"/>
        <v>AI provisional</v>
      </c>
      <c r="K1900" s="5" t="str">
        <f t="shared" si="59"/>
        <v>U</v>
      </c>
      <c r="L1900" s="5" t="s">
        <v>1403</v>
      </c>
      <c r="M1900" s="5" t="s">
        <v>6810</v>
      </c>
      <c r="N1900" s="5" t="s">
        <v>6799</v>
      </c>
      <c r="O1900" s="5" t="s">
        <v>2877</v>
      </c>
      <c r="P1900" s="5" t="s">
        <v>2858</v>
      </c>
      <c r="Q1900" s="11">
        <v>46306.5</v>
      </c>
      <c r="R1900" s="6"/>
      <c r="S1900" s="6"/>
      <c r="T1900" s="6"/>
      <c r="U1900" s="5">
        <f>MATCH(B1900,Manual_Review!$A$6:$A$238,0)</f>
        <v>119</v>
      </c>
      <c r="V1900" s="5" t="str">
        <f>IF(INDEX(Manual_Review!$G$6:$G$238,U1900)="","",INDEX(Manual_Review!$G$6:$G$238,U1900))</f>
        <v/>
      </c>
      <c r="W1900" s="11" t="str">
        <f>IF(INDEX(Manual_Review!$H$6:$H$238,U1900)="","",INDEX(Manual_Review!$H$6:$H$238,U1900))</f>
        <v/>
      </c>
      <c r="X1900" s="5" t="str">
        <f>IF(INDEX(Manual_Review!$I$6:$I$238,U1900)="","",INDEX(Manual_Review!$I$6:$I$238,U1900))</f>
        <v/>
      </c>
      <c r="Y1900" s="5" t="s">
        <v>2859</v>
      </c>
    </row>
    <row r="1901" spans="1:25" ht="76.5">
      <c r="A1901" s="5" t="s">
        <v>6811</v>
      </c>
      <c r="B1901" s="5" t="s">
        <v>1394</v>
      </c>
      <c r="C1901" s="5" t="s">
        <v>1395</v>
      </c>
      <c r="D1901" s="5" t="s">
        <v>118</v>
      </c>
      <c r="E1901" s="5" t="s">
        <v>2788</v>
      </c>
      <c r="F1901" s="5" t="s">
        <v>2758</v>
      </c>
      <c r="G1901" s="5">
        <v>1</v>
      </c>
      <c r="H1901" s="5" t="s">
        <v>2854</v>
      </c>
      <c r="I1901" s="5" t="str">
        <f>IF(INDEX(Manual_Review!$R$6:$R$238,U1901)="","",INDEX(Manual_Review!$R$6:$R$238,U1901))</f>
        <v/>
      </c>
      <c r="J1901" s="5" t="str">
        <f t="shared" si="58"/>
        <v>AI provisional</v>
      </c>
      <c r="K1901" s="5" t="str">
        <f t="shared" si="59"/>
        <v>Y</v>
      </c>
      <c r="L1901" s="5" t="s">
        <v>1403</v>
      </c>
      <c r="M1901" s="5" t="s">
        <v>6812</v>
      </c>
      <c r="N1901" s="5" t="s">
        <v>6799</v>
      </c>
      <c r="O1901" s="5" t="s">
        <v>3067</v>
      </c>
      <c r="P1901" s="5" t="s">
        <v>2858</v>
      </c>
      <c r="Q1901" s="11">
        <v>46306.5</v>
      </c>
      <c r="R1901" s="6"/>
      <c r="S1901" s="6"/>
      <c r="T1901" s="6"/>
      <c r="U1901" s="5">
        <f>MATCH(B1901,Manual_Review!$A$6:$A$238,0)</f>
        <v>119</v>
      </c>
      <c r="V1901" s="5" t="str">
        <f>IF(INDEX(Manual_Review!$G$6:$G$238,U1901)="","",INDEX(Manual_Review!$G$6:$G$238,U1901))</f>
        <v/>
      </c>
      <c r="W1901" s="11" t="str">
        <f>IF(INDEX(Manual_Review!$H$6:$H$238,U1901)="","",INDEX(Manual_Review!$H$6:$H$238,U1901))</f>
        <v/>
      </c>
      <c r="X1901" s="5" t="str">
        <f>IF(INDEX(Manual_Review!$I$6:$I$238,U1901)="","",INDEX(Manual_Review!$I$6:$I$238,U1901))</f>
        <v/>
      </c>
      <c r="Y1901" s="5" t="s">
        <v>2859</v>
      </c>
    </row>
    <row r="1902" spans="1:25" ht="76.5">
      <c r="A1902" s="5" t="s">
        <v>6813</v>
      </c>
      <c r="B1902" s="5" t="s">
        <v>1394</v>
      </c>
      <c r="C1902" s="5" t="s">
        <v>1395</v>
      </c>
      <c r="D1902" s="5" t="s">
        <v>118</v>
      </c>
      <c r="E1902" s="5" t="s">
        <v>2789</v>
      </c>
      <c r="F1902" s="5" t="s">
        <v>2758</v>
      </c>
      <c r="G1902" s="5">
        <v>1</v>
      </c>
      <c r="H1902" s="5" t="s">
        <v>2864</v>
      </c>
      <c r="I1902" s="5" t="str">
        <f>IF(INDEX(Manual_Review!$S$6:$S$238,U1902)="","",INDEX(Manual_Review!$S$6:$S$238,U1902))</f>
        <v/>
      </c>
      <c r="J1902" s="5" t="str">
        <f t="shared" si="58"/>
        <v>AI provisional</v>
      </c>
      <c r="K1902" s="5" t="str">
        <f t="shared" si="59"/>
        <v>U</v>
      </c>
      <c r="L1902" s="5" t="s">
        <v>1403</v>
      </c>
      <c r="M1902" s="5" t="s">
        <v>6814</v>
      </c>
      <c r="N1902" s="5" t="s">
        <v>6799</v>
      </c>
      <c r="O1902" s="5" t="s">
        <v>2883</v>
      </c>
      <c r="P1902" s="5" t="s">
        <v>2858</v>
      </c>
      <c r="Q1902" s="11">
        <v>46306.5</v>
      </c>
      <c r="R1902" s="6"/>
      <c r="S1902" s="6"/>
      <c r="T1902" s="6"/>
      <c r="U1902" s="5">
        <f>MATCH(B1902,Manual_Review!$A$6:$A$238,0)</f>
        <v>119</v>
      </c>
      <c r="V1902" s="5" t="str">
        <f>IF(INDEX(Manual_Review!$G$6:$G$238,U1902)="","",INDEX(Manual_Review!$G$6:$G$238,U1902))</f>
        <v/>
      </c>
      <c r="W1902" s="11" t="str">
        <f>IF(INDEX(Manual_Review!$H$6:$H$238,U1902)="","",INDEX(Manual_Review!$H$6:$H$238,U1902))</f>
        <v/>
      </c>
      <c r="X1902" s="5" t="str">
        <f>IF(INDEX(Manual_Review!$I$6:$I$238,U1902)="","",INDEX(Manual_Review!$I$6:$I$238,U1902))</f>
        <v/>
      </c>
      <c r="Y1902" s="5" t="s">
        <v>2859</v>
      </c>
    </row>
    <row r="1903" spans="1:25" ht="76.5">
      <c r="A1903" s="5" t="s">
        <v>6815</v>
      </c>
      <c r="B1903" s="5" t="s">
        <v>1394</v>
      </c>
      <c r="C1903" s="5" t="s">
        <v>1395</v>
      </c>
      <c r="D1903" s="5" t="s">
        <v>118</v>
      </c>
      <c r="E1903" s="5" t="s">
        <v>2790</v>
      </c>
      <c r="F1903" s="5" t="s">
        <v>2760</v>
      </c>
      <c r="G1903" s="5">
        <v>1</v>
      </c>
      <c r="H1903" s="5" t="s">
        <v>2854</v>
      </c>
      <c r="I1903" s="5" t="str">
        <f>IF(INDEX(Manual_Review!$T$6:$T$238,U1903)="","",INDEX(Manual_Review!$T$6:$T$238,U1903))</f>
        <v/>
      </c>
      <c r="J1903" s="5" t="str">
        <f t="shared" si="58"/>
        <v>AI provisional</v>
      </c>
      <c r="K1903" s="5" t="str">
        <f t="shared" si="59"/>
        <v>Y</v>
      </c>
      <c r="L1903" s="5" t="s">
        <v>1403</v>
      </c>
      <c r="M1903" s="5" t="s">
        <v>6816</v>
      </c>
      <c r="N1903" s="5" t="s">
        <v>6799</v>
      </c>
      <c r="O1903" s="5" t="s">
        <v>2976</v>
      </c>
      <c r="P1903" s="5" t="s">
        <v>2858</v>
      </c>
      <c r="Q1903" s="11">
        <v>46306.5</v>
      </c>
      <c r="R1903" s="6"/>
      <c r="S1903" s="6"/>
      <c r="T1903" s="6"/>
      <c r="U1903" s="5">
        <f>MATCH(B1903,Manual_Review!$A$6:$A$238,0)</f>
        <v>119</v>
      </c>
      <c r="V1903" s="5" t="str">
        <f>IF(INDEX(Manual_Review!$G$6:$G$238,U1903)="","",INDEX(Manual_Review!$G$6:$G$238,U1903))</f>
        <v/>
      </c>
      <c r="W1903" s="11" t="str">
        <f>IF(INDEX(Manual_Review!$H$6:$H$238,U1903)="","",INDEX(Manual_Review!$H$6:$H$238,U1903))</f>
        <v/>
      </c>
      <c r="X1903" s="5" t="str">
        <f>IF(INDEX(Manual_Review!$I$6:$I$238,U1903)="","",INDEX(Manual_Review!$I$6:$I$238,U1903))</f>
        <v/>
      </c>
      <c r="Y1903" s="5" t="s">
        <v>2859</v>
      </c>
    </row>
    <row r="1904" spans="1:25" ht="76.5">
      <c r="A1904" s="5" t="s">
        <v>6817</v>
      </c>
      <c r="B1904" s="5" t="s">
        <v>1394</v>
      </c>
      <c r="C1904" s="5" t="s">
        <v>1395</v>
      </c>
      <c r="D1904" s="5" t="s">
        <v>118</v>
      </c>
      <c r="E1904" s="5" t="s">
        <v>2791</v>
      </c>
      <c r="F1904" s="5" t="s">
        <v>2760</v>
      </c>
      <c r="G1904" s="5">
        <v>1</v>
      </c>
      <c r="H1904" s="5" t="s">
        <v>2864</v>
      </c>
      <c r="I1904" s="5" t="str">
        <f>IF(INDEX(Manual_Review!$U$6:$U$238,U1904)="","",INDEX(Manual_Review!$U$6:$U$238,U1904))</f>
        <v/>
      </c>
      <c r="J1904" s="5" t="str">
        <f t="shared" si="58"/>
        <v>AI provisional</v>
      </c>
      <c r="K1904" s="5" t="str">
        <f t="shared" si="59"/>
        <v>U</v>
      </c>
      <c r="L1904" s="5" t="s">
        <v>1403</v>
      </c>
      <c r="M1904" s="5" t="s">
        <v>6818</v>
      </c>
      <c r="N1904" s="5" t="s">
        <v>6799</v>
      </c>
      <c r="O1904" s="5" t="s">
        <v>2888</v>
      </c>
      <c r="P1904" s="5" t="s">
        <v>2858</v>
      </c>
      <c r="Q1904" s="11">
        <v>46306.5</v>
      </c>
      <c r="R1904" s="6"/>
      <c r="S1904" s="6"/>
      <c r="T1904" s="6"/>
      <c r="U1904" s="5">
        <f>MATCH(B1904,Manual_Review!$A$6:$A$238,0)</f>
        <v>119</v>
      </c>
      <c r="V1904" s="5" t="str">
        <f>IF(INDEX(Manual_Review!$G$6:$G$238,U1904)="","",INDEX(Manual_Review!$G$6:$G$238,U1904))</f>
        <v/>
      </c>
      <c r="W1904" s="11" t="str">
        <f>IF(INDEX(Manual_Review!$H$6:$H$238,U1904)="","",INDEX(Manual_Review!$H$6:$H$238,U1904))</f>
        <v/>
      </c>
      <c r="X1904" s="5" t="str">
        <f>IF(INDEX(Manual_Review!$I$6:$I$238,U1904)="","",INDEX(Manual_Review!$I$6:$I$238,U1904))</f>
        <v/>
      </c>
      <c r="Y1904" s="5" t="s">
        <v>2859</v>
      </c>
    </row>
    <row r="1905" spans="1:25" ht="76.5">
      <c r="A1905" s="5" t="s">
        <v>6819</v>
      </c>
      <c r="B1905" s="5" t="s">
        <v>1394</v>
      </c>
      <c r="C1905" s="5" t="s">
        <v>1395</v>
      </c>
      <c r="D1905" s="5" t="s">
        <v>118</v>
      </c>
      <c r="E1905" s="5" t="s">
        <v>2792</v>
      </c>
      <c r="F1905" s="5" t="s">
        <v>2762</v>
      </c>
      <c r="G1905" s="5">
        <v>1</v>
      </c>
      <c r="H1905" s="5" t="s">
        <v>2864</v>
      </c>
      <c r="I1905" s="5" t="str">
        <f>IF(INDEX(Manual_Review!$V$6:$V$238,U1905)="","",INDEX(Manual_Review!$V$6:$V$238,U1905))</f>
        <v/>
      </c>
      <c r="J1905" s="5" t="str">
        <f t="shared" si="58"/>
        <v>AI provisional</v>
      </c>
      <c r="K1905" s="5" t="str">
        <f t="shared" si="59"/>
        <v>U</v>
      </c>
      <c r="L1905" s="5" t="s">
        <v>1403</v>
      </c>
      <c r="M1905" s="5" t="s">
        <v>6820</v>
      </c>
      <c r="N1905" s="5" t="s">
        <v>6799</v>
      </c>
      <c r="O1905" s="5" t="s">
        <v>2891</v>
      </c>
      <c r="P1905" s="5" t="s">
        <v>2858</v>
      </c>
      <c r="Q1905" s="11">
        <v>46306.5</v>
      </c>
      <c r="R1905" s="6"/>
      <c r="S1905" s="6"/>
      <c r="T1905" s="6"/>
      <c r="U1905" s="5">
        <f>MATCH(B1905,Manual_Review!$A$6:$A$238,0)</f>
        <v>119</v>
      </c>
      <c r="V1905" s="5" t="str">
        <f>IF(INDEX(Manual_Review!$G$6:$G$238,U1905)="","",INDEX(Manual_Review!$G$6:$G$238,U1905))</f>
        <v/>
      </c>
      <c r="W1905" s="11" t="str">
        <f>IF(INDEX(Manual_Review!$H$6:$H$238,U1905)="","",INDEX(Manual_Review!$H$6:$H$238,U1905))</f>
        <v/>
      </c>
      <c r="X1905" s="5" t="str">
        <f>IF(INDEX(Manual_Review!$I$6:$I$238,U1905)="","",INDEX(Manual_Review!$I$6:$I$238,U1905))</f>
        <v/>
      </c>
      <c r="Y1905" s="5" t="s">
        <v>2859</v>
      </c>
    </row>
    <row r="1906" spans="1:25" ht="76.5">
      <c r="A1906" s="5" t="s">
        <v>6821</v>
      </c>
      <c r="B1906" s="5" t="s">
        <v>1394</v>
      </c>
      <c r="C1906" s="5" t="s">
        <v>1395</v>
      </c>
      <c r="D1906" s="5" t="s">
        <v>118</v>
      </c>
      <c r="E1906" s="5" t="s">
        <v>2793</v>
      </c>
      <c r="F1906" s="5" t="s">
        <v>2762</v>
      </c>
      <c r="G1906" s="5">
        <v>1</v>
      </c>
      <c r="H1906" s="5" t="s">
        <v>2854</v>
      </c>
      <c r="I1906" s="5" t="str">
        <f>IF(INDEX(Manual_Review!$W$6:$W$238,U1906)="","",INDEX(Manual_Review!$W$6:$W$238,U1906))</f>
        <v/>
      </c>
      <c r="J1906" s="5" t="str">
        <f t="shared" si="58"/>
        <v>AI provisional</v>
      </c>
      <c r="K1906" s="5" t="str">
        <f t="shared" si="59"/>
        <v>Y</v>
      </c>
      <c r="L1906" s="5" t="s">
        <v>1403</v>
      </c>
      <c r="M1906" s="5" t="s">
        <v>6820</v>
      </c>
      <c r="N1906" s="5" t="s">
        <v>6799</v>
      </c>
      <c r="O1906" s="5" t="s">
        <v>3077</v>
      </c>
      <c r="P1906" s="5" t="s">
        <v>2858</v>
      </c>
      <c r="Q1906" s="11">
        <v>46306.5</v>
      </c>
      <c r="R1906" s="6"/>
      <c r="S1906" s="6"/>
      <c r="T1906" s="6"/>
      <c r="U1906" s="5">
        <f>MATCH(B1906,Manual_Review!$A$6:$A$238,0)</f>
        <v>119</v>
      </c>
      <c r="V1906" s="5" t="str">
        <f>IF(INDEX(Manual_Review!$G$6:$G$238,U1906)="","",INDEX(Manual_Review!$G$6:$G$238,U1906))</f>
        <v/>
      </c>
      <c r="W1906" s="11" t="str">
        <f>IF(INDEX(Manual_Review!$H$6:$H$238,U1906)="","",INDEX(Manual_Review!$H$6:$H$238,U1906))</f>
        <v/>
      </c>
      <c r="X1906" s="5" t="str">
        <f>IF(INDEX(Manual_Review!$I$6:$I$238,U1906)="","",INDEX(Manual_Review!$I$6:$I$238,U1906))</f>
        <v/>
      </c>
      <c r="Y1906" s="5" t="s">
        <v>2859</v>
      </c>
    </row>
    <row r="1907" spans="1:25" ht="76.5">
      <c r="A1907" s="5" t="s">
        <v>6822</v>
      </c>
      <c r="B1907" s="5" t="s">
        <v>1394</v>
      </c>
      <c r="C1907" s="5" t="s">
        <v>1395</v>
      </c>
      <c r="D1907" s="5" t="s">
        <v>118</v>
      </c>
      <c r="E1907" s="5" t="s">
        <v>2794</v>
      </c>
      <c r="F1907" s="5" t="s">
        <v>2764</v>
      </c>
      <c r="G1907" s="5">
        <v>1</v>
      </c>
      <c r="H1907" s="5" t="s">
        <v>2854</v>
      </c>
      <c r="I1907" s="5" t="str">
        <f>IF(INDEX(Manual_Review!$X$6:$X$238,U1907)="","",INDEX(Manual_Review!$X$6:$X$238,U1907))</f>
        <v/>
      </c>
      <c r="J1907" s="5" t="str">
        <f t="shared" si="58"/>
        <v>AI provisional</v>
      </c>
      <c r="K1907" s="5" t="str">
        <f t="shared" si="59"/>
        <v>Y</v>
      </c>
      <c r="L1907" s="5" t="s">
        <v>1403</v>
      </c>
      <c r="M1907" s="5" t="s">
        <v>6823</v>
      </c>
      <c r="N1907" s="5" t="s">
        <v>6799</v>
      </c>
      <c r="O1907" s="5" t="s">
        <v>2984</v>
      </c>
      <c r="P1907" s="5" t="s">
        <v>2858</v>
      </c>
      <c r="Q1907" s="11">
        <v>46306.5</v>
      </c>
      <c r="R1907" s="6"/>
      <c r="S1907" s="6"/>
      <c r="T1907" s="6"/>
      <c r="U1907" s="5">
        <f>MATCH(B1907,Manual_Review!$A$6:$A$238,0)</f>
        <v>119</v>
      </c>
      <c r="V1907" s="5" t="str">
        <f>IF(INDEX(Manual_Review!$G$6:$G$238,U1907)="","",INDEX(Manual_Review!$G$6:$G$238,U1907))</f>
        <v/>
      </c>
      <c r="W1907" s="11" t="str">
        <f>IF(INDEX(Manual_Review!$H$6:$H$238,U1907)="","",INDEX(Manual_Review!$H$6:$H$238,U1907))</f>
        <v/>
      </c>
      <c r="X1907" s="5" t="str">
        <f>IF(INDEX(Manual_Review!$I$6:$I$238,U1907)="","",INDEX(Manual_Review!$I$6:$I$238,U1907))</f>
        <v/>
      </c>
      <c r="Y1907" s="5" t="s">
        <v>2859</v>
      </c>
    </row>
    <row r="1908" spans="1:25" ht="76.5">
      <c r="A1908" s="5" t="s">
        <v>6824</v>
      </c>
      <c r="B1908" s="5" t="s">
        <v>1394</v>
      </c>
      <c r="C1908" s="5" t="s">
        <v>1395</v>
      </c>
      <c r="D1908" s="5" t="s">
        <v>118</v>
      </c>
      <c r="E1908" s="5" t="s">
        <v>2795</v>
      </c>
      <c r="F1908" s="5" t="s">
        <v>2764</v>
      </c>
      <c r="G1908" s="5">
        <v>1</v>
      </c>
      <c r="H1908" s="5" t="s">
        <v>2854</v>
      </c>
      <c r="I1908" s="5" t="str">
        <f>IF(INDEX(Manual_Review!$Y$6:$Y$238,U1908)="","",INDEX(Manual_Review!$Y$6:$Y$238,U1908))</f>
        <v/>
      </c>
      <c r="J1908" s="5" t="str">
        <f t="shared" si="58"/>
        <v>AI provisional</v>
      </c>
      <c r="K1908" s="5" t="str">
        <f t="shared" si="59"/>
        <v>Y</v>
      </c>
      <c r="L1908" s="5" t="s">
        <v>1403</v>
      </c>
      <c r="M1908" s="5" t="s">
        <v>6825</v>
      </c>
      <c r="N1908" s="5" t="s">
        <v>6799</v>
      </c>
      <c r="O1908" s="5" t="s">
        <v>3082</v>
      </c>
      <c r="P1908" s="5" t="s">
        <v>2858</v>
      </c>
      <c r="Q1908" s="11">
        <v>46306.5</v>
      </c>
      <c r="R1908" s="6"/>
      <c r="S1908" s="6"/>
      <c r="T1908" s="6"/>
      <c r="U1908" s="5">
        <f>MATCH(B1908,Manual_Review!$A$6:$A$238,0)</f>
        <v>119</v>
      </c>
      <c r="V1908" s="5" t="str">
        <f>IF(INDEX(Manual_Review!$G$6:$G$238,U1908)="","",INDEX(Manual_Review!$G$6:$G$238,U1908))</f>
        <v/>
      </c>
      <c r="W1908" s="11" t="str">
        <f>IF(INDEX(Manual_Review!$H$6:$H$238,U1908)="","",INDEX(Manual_Review!$H$6:$H$238,U1908))</f>
        <v/>
      </c>
      <c r="X1908" s="5" t="str">
        <f>IF(INDEX(Manual_Review!$I$6:$I$238,U1908)="","",INDEX(Manual_Review!$I$6:$I$238,U1908))</f>
        <v/>
      </c>
      <c r="Y1908" s="5" t="s">
        <v>2859</v>
      </c>
    </row>
    <row r="1909" spans="1:25" ht="76.5">
      <c r="A1909" s="5" t="s">
        <v>6826</v>
      </c>
      <c r="B1909" s="5" t="s">
        <v>1394</v>
      </c>
      <c r="C1909" s="5" t="s">
        <v>1395</v>
      </c>
      <c r="D1909" s="5" t="s">
        <v>118</v>
      </c>
      <c r="E1909" s="5" t="s">
        <v>2796</v>
      </c>
      <c r="F1909" s="5" t="s">
        <v>2764</v>
      </c>
      <c r="G1909" s="5">
        <v>1</v>
      </c>
      <c r="H1909" s="5" t="s">
        <v>2854</v>
      </c>
      <c r="I1909" s="5" t="str">
        <f>IF(INDEX(Manual_Review!$Z$6:$Z$238,U1909)="","",INDEX(Manual_Review!$Z$6:$Z$238,U1909))</f>
        <v/>
      </c>
      <c r="J1909" s="5" t="str">
        <f t="shared" si="58"/>
        <v>AI provisional</v>
      </c>
      <c r="K1909" s="5" t="str">
        <f t="shared" si="59"/>
        <v>Y</v>
      </c>
      <c r="L1909" s="5" t="s">
        <v>1403</v>
      </c>
      <c r="M1909" s="5" t="s">
        <v>6827</v>
      </c>
      <c r="N1909" s="5" t="s">
        <v>6799</v>
      </c>
      <c r="O1909" s="5" t="s">
        <v>3085</v>
      </c>
      <c r="P1909" s="5" t="s">
        <v>2858</v>
      </c>
      <c r="Q1909" s="11">
        <v>46306.5</v>
      </c>
      <c r="R1909" s="6"/>
      <c r="S1909" s="6"/>
      <c r="T1909" s="6"/>
      <c r="U1909" s="5">
        <f>MATCH(B1909,Manual_Review!$A$6:$A$238,0)</f>
        <v>119</v>
      </c>
      <c r="V1909" s="5" t="str">
        <f>IF(INDEX(Manual_Review!$G$6:$G$238,U1909)="","",INDEX(Manual_Review!$G$6:$G$238,U1909))</f>
        <v/>
      </c>
      <c r="W1909" s="11" t="str">
        <f>IF(INDEX(Manual_Review!$H$6:$H$238,U1909)="","",INDEX(Manual_Review!$H$6:$H$238,U1909))</f>
        <v/>
      </c>
      <c r="X1909" s="5" t="str">
        <f>IF(INDEX(Manual_Review!$I$6:$I$238,U1909)="","",INDEX(Manual_Review!$I$6:$I$238,U1909))</f>
        <v/>
      </c>
      <c r="Y1909" s="5" t="s">
        <v>2859</v>
      </c>
    </row>
    <row r="1910" spans="1:25" ht="38.25">
      <c r="A1910" s="5" t="s">
        <v>6828</v>
      </c>
      <c r="B1910" s="5" t="s">
        <v>1405</v>
      </c>
      <c r="C1910" s="5" t="s">
        <v>1406</v>
      </c>
      <c r="D1910" s="5" t="s">
        <v>118</v>
      </c>
      <c r="E1910" s="5" t="s">
        <v>2781</v>
      </c>
      <c r="F1910" s="5" t="s">
        <v>2754</v>
      </c>
      <c r="G1910" s="5">
        <v>1</v>
      </c>
      <c r="H1910" s="5" t="s">
        <v>2864</v>
      </c>
      <c r="I1910" s="5" t="str">
        <f>IF(INDEX(Manual_Review!$K$6:$K$238,U1910)="","",INDEX(Manual_Review!$K$6:$K$238,U1910))</f>
        <v/>
      </c>
      <c r="J1910" s="5" t="str">
        <f t="shared" si="58"/>
        <v>AI provisional</v>
      </c>
      <c r="K1910" s="5" t="str">
        <f t="shared" si="59"/>
        <v>U</v>
      </c>
      <c r="L1910" s="5" t="s">
        <v>1414</v>
      </c>
      <c r="M1910" s="5" t="s">
        <v>6829</v>
      </c>
      <c r="N1910" s="5" t="s">
        <v>6830</v>
      </c>
      <c r="O1910" s="5" t="s">
        <v>4469</v>
      </c>
      <c r="P1910" s="5" t="s">
        <v>2858</v>
      </c>
      <c r="Q1910" s="11">
        <v>46306.5</v>
      </c>
      <c r="R1910" s="6"/>
      <c r="S1910" s="6"/>
      <c r="T1910" s="6"/>
      <c r="U1910" s="5">
        <f>MATCH(B1910,Manual_Review!$A$6:$A$238,0)</f>
        <v>120</v>
      </c>
      <c r="V1910" s="5" t="str">
        <f>IF(INDEX(Manual_Review!$G$6:$G$238,U1910)="","",INDEX(Manual_Review!$G$6:$G$238,U1910))</f>
        <v/>
      </c>
      <c r="W1910" s="11" t="str">
        <f>IF(INDEX(Manual_Review!$H$6:$H$238,U1910)="","",INDEX(Manual_Review!$H$6:$H$238,U1910))</f>
        <v/>
      </c>
      <c r="X1910" s="5" t="str">
        <f>IF(INDEX(Manual_Review!$I$6:$I$238,U1910)="","",INDEX(Manual_Review!$I$6:$I$238,U1910))</f>
        <v/>
      </c>
      <c r="Y1910" s="5" t="s">
        <v>2859</v>
      </c>
    </row>
    <row r="1911" spans="1:25" ht="38.25">
      <c r="A1911" s="5" t="s">
        <v>6831</v>
      </c>
      <c r="B1911" s="5" t="s">
        <v>1405</v>
      </c>
      <c r="C1911" s="5" t="s">
        <v>1406</v>
      </c>
      <c r="D1911" s="5" t="s">
        <v>118</v>
      </c>
      <c r="E1911" s="5" t="s">
        <v>2782</v>
      </c>
      <c r="F1911" s="5" t="s">
        <v>2754</v>
      </c>
      <c r="G1911" s="5">
        <v>1</v>
      </c>
      <c r="H1911" s="5" t="s">
        <v>2864</v>
      </c>
      <c r="I1911" s="5" t="str">
        <f>IF(INDEX(Manual_Review!$L$6:$L$238,U1911)="","",INDEX(Manual_Review!$L$6:$L$238,U1911))</f>
        <v/>
      </c>
      <c r="J1911" s="5" t="str">
        <f t="shared" si="58"/>
        <v>AI provisional</v>
      </c>
      <c r="K1911" s="5" t="str">
        <f t="shared" si="59"/>
        <v>U</v>
      </c>
      <c r="L1911" s="5" t="s">
        <v>1414</v>
      </c>
      <c r="M1911" s="5" t="s">
        <v>6832</v>
      </c>
      <c r="N1911" s="5" t="s">
        <v>6830</v>
      </c>
      <c r="O1911" s="5" t="s">
        <v>4472</v>
      </c>
      <c r="P1911" s="5" t="s">
        <v>2858</v>
      </c>
      <c r="Q1911" s="11">
        <v>46306.5</v>
      </c>
      <c r="R1911" s="6"/>
      <c r="S1911" s="6"/>
      <c r="T1911" s="6"/>
      <c r="U1911" s="5">
        <f>MATCH(B1911,Manual_Review!$A$6:$A$238,0)</f>
        <v>120</v>
      </c>
      <c r="V1911" s="5" t="str">
        <f>IF(INDEX(Manual_Review!$G$6:$G$238,U1911)="","",INDEX(Manual_Review!$G$6:$G$238,U1911))</f>
        <v/>
      </c>
      <c r="W1911" s="11" t="str">
        <f>IF(INDEX(Manual_Review!$H$6:$H$238,U1911)="","",INDEX(Manual_Review!$H$6:$H$238,U1911))</f>
        <v/>
      </c>
      <c r="X1911" s="5" t="str">
        <f>IF(INDEX(Manual_Review!$I$6:$I$238,U1911)="","",INDEX(Manual_Review!$I$6:$I$238,U1911))</f>
        <v/>
      </c>
      <c r="Y1911" s="5" t="s">
        <v>2859</v>
      </c>
    </row>
    <row r="1912" spans="1:25" ht="38.25">
      <c r="A1912" s="5" t="s">
        <v>6833</v>
      </c>
      <c r="B1912" s="5" t="s">
        <v>1405</v>
      </c>
      <c r="C1912" s="5" t="s">
        <v>1406</v>
      </c>
      <c r="D1912" s="5" t="s">
        <v>118</v>
      </c>
      <c r="E1912" s="5" t="s">
        <v>2783</v>
      </c>
      <c r="F1912" s="5" t="s">
        <v>2754</v>
      </c>
      <c r="G1912" s="5">
        <v>1</v>
      </c>
      <c r="H1912" s="5" t="s">
        <v>2864</v>
      </c>
      <c r="I1912" s="5" t="str">
        <f>IF(INDEX(Manual_Review!$M$6:$M$238,U1912)="","",INDEX(Manual_Review!$M$6:$M$238,U1912))</f>
        <v/>
      </c>
      <c r="J1912" s="5" t="str">
        <f t="shared" si="58"/>
        <v>AI provisional</v>
      </c>
      <c r="K1912" s="5" t="str">
        <f t="shared" si="59"/>
        <v>U</v>
      </c>
      <c r="L1912" s="5" t="s">
        <v>1414</v>
      </c>
      <c r="M1912" s="5" t="s">
        <v>6834</v>
      </c>
      <c r="N1912" s="5" t="s">
        <v>6830</v>
      </c>
      <c r="O1912" s="5" t="s">
        <v>4474</v>
      </c>
      <c r="P1912" s="5" t="s">
        <v>2858</v>
      </c>
      <c r="Q1912" s="11">
        <v>46306.5</v>
      </c>
      <c r="R1912" s="6"/>
      <c r="S1912" s="6"/>
      <c r="T1912" s="6"/>
      <c r="U1912" s="5">
        <f>MATCH(B1912,Manual_Review!$A$6:$A$238,0)</f>
        <v>120</v>
      </c>
      <c r="V1912" s="5" t="str">
        <f>IF(INDEX(Manual_Review!$G$6:$G$238,U1912)="","",INDEX(Manual_Review!$G$6:$G$238,U1912))</f>
        <v/>
      </c>
      <c r="W1912" s="11" t="str">
        <f>IF(INDEX(Manual_Review!$H$6:$H$238,U1912)="","",INDEX(Manual_Review!$H$6:$H$238,U1912))</f>
        <v/>
      </c>
      <c r="X1912" s="5" t="str">
        <f>IF(INDEX(Manual_Review!$I$6:$I$238,U1912)="","",INDEX(Manual_Review!$I$6:$I$238,U1912))</f>
        <v/>
      </c>
      <c r="Y1912" s="5" t="s">
        <v>2859</v>
      </c>
    </row>
    <row r="1913" spans="1:25" ht="38.25">
      <c r="A1913" s="5" t="s">
        <v>6835</v>
      </c>
      <c r="B1913" s="5" t="s">
        <v>1405</v>
      </c>
      <c r="C1913" s="5" t="s">
        <v>1406</v>
      </c>
      <c r="D1913" s="5" t="s">
        <v>118</v>
      </c>
      <c r="E1913" s="5" t="s">
        <v>2784</v>
      </c>
      <c r="F1913" s="5" t="s">
        <v>2756</v>
      </c>
      <c r="G1913" s="5">
        <v>1</v>
      </c>
      <c r="H1913" s="5" t="s">
        <v>2864</v>
      </c>
      <c r="I1913" s="5" t="str">
        <f>IF(INDEX(Manual_Review!$N$6:$N$238,U1913)="","",INDEX(Manual_Review!$N$6:$N$238,U1913))</f>
        <v/>
      </c>
      <c r="J1913" s="5" t="str">
        <f t="shared" si="58"/>
        <v>AI provisional</v>
      </c>
      <c r="K1913" s="5" t="str">
        <f t="shared" si="59"/>
        <v>U</v>
      </c>
      <c r="L1913" s="5" t="s">
        <v>1414</v>
      </c>
      <c r="M1913" s="5" t="s">
        <v>6836</v>
      </c>
      <c r="N1913" s="5" t="s">
        <v>6830</v>
      </c>
      <c r="O1913" s="5" t="s">
        <v>4476</v>
      </c>
      <c r="P1913" s="5" t="s">
        <v>2858</v>
      </c>
      <c r="Q1913" s="11">
        <v>46306.5</v>
      </c>
      <c r="R1913" s="6"/>
      <c r="S1913" s="6"/>
      <c r="T1913" s="6"/>
      <c r="U1913" s="5">
        <f>MATCH(B1913,Manual_Review!$A$6:$A$238,0)</f>
        <v>120</v>
      </c>
      <c r="V1913" s="5" t="str">
        <f>IF(INDEX(Manual_Review!$G$6:$G$238,U1913)="","",INDEX(Manual_Review!$G$6:$G$238,U1913))</f>
        <v/>
      </c>
      <c r="W1913" s="11" t="str">
        <f>IF(INDEX(Manual_Review!$H$6:$H$238,U1913)="","",INDEX(Manual_Review!$H$6:$H$238,U1913))</f>
        <v/>
      </c>
      <c r="X1913" s="5" t="str">
        <f>IF(INDEX(Manual_Review!$I$6:$I$238,U1913)="","",INDEX(Manual_Review!$I$6:$I$238,U1913))</f>
        <v/>
      </c>
      <c r="Y1913" s="5" t="s">
        <v>2859</v>
      </c>
    </row>
    <row r="1914" spans="1:25" ht="38.25">
      <c r="A1914" s="5" t="s">
        <v>6837</v>
      </c>
      <c r="B1914" s="5" t="s">
        <v>1405</v>
      </c>
      <c r="C1914" s="5" t="s">
        <v>1406</v>
      </c>
      <c r="D1914" s="5" t="s">
        <v>118</v>
      </c>
      <c r="E1914" s="5" t="s">
        <v>2785</v>
      </c>
      <c r="F1914" s="5" t="s">
        <v>2756</v>
      </c>
      <c r="G1914" s="5">
        <v>1</v>
      </c>
      <c r="H1914" s="5" t="s">
        <v>2864</v>
      </c>
      <c r="I1914" s="5" t="str">
        <f>IF(INDEX(Manual_Review!$O$6:$O$238,U1914)="","",INDEX(Manual_Review!$O$6:$O$238,U1914))</f>
        <v/>
      </c>
      <c r="J1914" s="5" t="str">
        <f t="shared" si="58"/>
        <v>AI provisional</v>
      </c>
      <c r="K1914" s="5" t="str">
        <f t="shared" si="59"/>
        <v>U</v>
      </c>
      <c r="L1914" s="5" t="s">
        <v>1414</v>
      </c>
      <c r="M1914" s="5" t="s">
        <v>6838</v>
      </c>
      <c r="N1914" s="5" t="s">
        <v>6830</v>
      </c>
      <c r="O1914" s="5" t="s">
        <v>4479</v>
      </c>
      <c r="P1914" s="5" t="s">
        <v>2858</v>
      </c>
      <c r="Q1914" s="11">
        <v>46306.5</v>
      </c>
      <c r="R1914" s="6"/>
      <c r="S1914" s="6"/>
      <c r="T1914" s="6"/>
      <c r="U1914" s="5">
        <f>MATCH(B1914,Manual_Review!$A$6:$A$238,0)</f>
        <v>120</v>
      </c>
      <c r="V1914" s="5" t="str">
        <f>IF(INDEX(Manual_Review!$G$6:$G$238,U1914)="","",INDEX(Manual_Review!$G$6:$G$238,U1914))</f>
        <v/>
      </c>
      <c r="W1914" s="11" t="str">
        <f>IF(INDEX(Manual_Review!$H$6:$H$238,U1914)="","",INDEX(Manual_Review!$H$6:$H$238,U1914))</f>
        <v/>
      </c>
      <c r="X1914" s="5" t="str">
        <f>IF(INDEX(Manual_Review!$I$6:$I$238,U1914)="","",INDEX(Manual_Review!$I$6:$I$238,U1914))</f>
        <v/>
      </c>
      <c r="Y1914" s="5" t="s">
        <v>2859</v>
      </c>
    </row>
    <row r="1915" spans="1:25" ht="38.25">
      <c r="A1915" s="5" t="s">
        <v>6839</v>
      </c>
      <c r="B1915" s="5" t="s">
        <v>1405</v>
      </c>
      <c r="C1915" s="5" t="s">
        <v>1406</v>
      </c>
      <c r="D1915" s="5" t="s">
        <v>118</v>
      </c>
      <c r="E1915" s="5" t="s">
        <v>2786</v>
      </c>
      <c r="F1915" s="5" t="s">
        <v>2756</v>
      </c>
      <c r="G1915" s="5">
        <v>1</v>
      </c>
      <c r="H1915" s="5" t="s">
        <v>2864</v>
      </c>
      <c r="I1915" s="5" t="str">
        <f>IF(INDEX(Manual_Review!$P$6:$P$238,U1915)="","",INDEX(Manual_Review!$P$6:$P$238,U1915))</f>
        <v/>
      </c>
      <c r="J1915" s="5" t="str">
        <f t="shared" si="58"/>
        <v>AI provisional</v>
      </c>
      <c r="K1915" s="5" t="str">
        <f t="shared" si="59"/>
        <v>U</v>
      </c>
      <c r="L1915" s="5" t="s">
        <v>1414</v>
      </c>
      <c r="M1915" s="5" t="s">
        <v>6840</v>
      </c>
      <c r="N1915" s="5" t="s">
        <v>6830</v>
      </c>
      <c r="O1915" s="5" t="s">
        <v>4481</v>
      </c>
      <c r="P1915" s="5" t="s">
        <v>2858</v>
      </c>
      <c r="Q1915" s="11">
        <v>46306.5</v>
      </c>
      <c r="R1915" s="6"/>
      <c r="S1915" s="6"/>
      <c r="T1915" s="6"/>
      <c r="U1915" s="5">
        <f>MATCH(B1915,Manual_Review!$A$6:$A$238,0)</f>
        <v>120</v>
      </c>
      <c r="V1915" s="5" t="str">
        <f>IF(INDEX(Manual_Review!$G$6:$G$238,U1915)="","",INDEX(Manual_Review!$G$6:$G$238,U1915))</f>
        <v/>
      </c>
      <c r="W1915" s="11" t="str">
        <f>IF(INDEX(Manual_Review!$H$6:$H$238,U1915)="","",INDEX(Manual_Review!$H$6:$H$238,U1915))</f>
        <v/>
      </c>
      <c r="X1915" s="5" t="str">
        <f>IF(INDEX(Manual_Review!$I$6:$I$238,U1915)="","",INDEX(Manual_Review!$I$6:$I$238,U1915))</f>
        <v/>
      </c>
      <c r="Y1915" s="5" t="s">
        <v>2859</v>
      </c>
    </row>
    <row r="1916" spans="1:25" ht="38.25">
      <c r="A1916" s="5" t="s">
        <v>6841</v>
      </c>
      <c r="B1916" s="5" t="s">
        <v>1405</v>
      </c>
      <c r="C1916" s="5" t="s">
        <v>1406</v>
      </c>
      <c r="D1916" s="5" t="s">
        <v>118</v>
      </c>
      <c r="E1916" s="5" t="s">
        <v>2787</v>
      </c>
      <c r="F1916" s="5" t="s">
        <v>2758</v>
      </c>
      <c r="G1916" s="5">
        <v>1</v>
      </c>
      <c r="H1916" s="5" t="s">
        <v>2864</v>
      </c>
      <c r="I1916" s="5" t="str">
        <f>IF(INDEX(Manual_Review!$Q$6:$Q$238,U1916)="","",INDEX(Manual_Review!$Q$6:$Q$238,U1916))</f>
        <v/>
      </c>
      <c r="J1916" s="5" t="str">
        <f t="shared" si="58"/>
        <v>AI provisional</v>
      </c>
      <c r="K1916" s="5" t="str">
        <f t="shared" si="59"/>
        <v>U</v>
      </c>
      <c r="L1916" s="5" t="s">
        <v>1414</v>
      </c>
      <c r="M1916" s="5" t="s">
        <v>6842</v>
      </c>
      <c r="N1916" s="5" t="s">
        <v>6830</v>
      </c>
      <c r="O1916" s="5" t="s">
        <v>4484</v>
      </c>
      <c r="P1916" s="5" t="s">
        <v>2858</v>
      </c>
      <c r="Q1916" s="11">
        <v>46306.5</v>
      </c>
      <c r="R1916" s="6"/>
      <c r="S1916" s="6"/>
      <c r="T1916" s="6"/>
      <c r="U1916" s="5">
        <f>MATCH(B1916,Manual_Review!$A$6:$A$238,0)</f>
        <v>120</v>
      </c>
      <c r="V1916" s="5" t="str">
        <f>IF(INDEX(Manual_Review!$G$6:$G$238,U1916)="","",INDEX(Manual_Review!$G$6:$G$238,U1916))</f>
        <v/>
      </c>
      <c r="W1916" s="11" t="str">
        <f>IF(INDEX(Manual_Review!$H$6:$H$238,U1916)="","",INDEX(Manual_Review!$H$6:$H$238,U1916))</f>
        <v/>
      </c>
      <c r="X1916" s="5" t="str">
        <f>IF(INDEX(Manual_Review!$I$6:$I$238,U1916)="","",INDEX(Manual_Review!$I$6:$I$238,U1916))</f>
        <v/>
      </c>
      <c r="Y1916" s="5" t="s">
        <v>2859</v>
      </c>
    </row>
    <row r="1917" spans="1:25" ht="38.25">
      <c r="A1917" s="5" t="s">
        <v>6843</v>
      </c>
      <c r="B1917" s="5" t="s">
        <v>1405</v>
      </c>
      <c r="C1917" s="5" t="s">
        <v>1406</v>
      </c>
      <c r="D1917" s="5" t="s">
        <v>118</v>
      </c>
      <c r="E1917" s="5" t="s">
        <v>2788</v>
      </c>
      <c r="F1917" s="5" t="s">
        <v>2758</v>
      </c>
      <c r="G1917" s="5">
        <v>1</v>
      </c>
      <c r="H1917" s="5" t="s">
        <v>2864</v>
      </c>
      <c r="I1917" s="5" t="str">
        <f>IF(INDEX(Manual_Review!$R$6:$R$238,U1917)="","",INDEX(Manual_Review!$R$6:$R$238,U1917))</f>
        <v/>
      </c>
      <c r="J1917" s="5" t="str">
        <f t="shared" si="58"/>
        <v>AI provisional</v>
      </c>
      <c r="K1917" s="5" t="str">
        <f t="shared" si="59"/>
        <v>U</v>
      </c>
      <c r="L1917" s="5" t="s">
        <v>1414</v>
      </c>
      <c r="M1917" s="5" t="s">
        <v>6844</v>
      </c>
      <c r="N1917" s="5" t="s">
        <v>6830</v>
      </c>
      <c r="O1917" s="5" t="s">
        <v>4487</v>
      </c>
      <c r="P1917" s="5" t="s">
        <v>2858</v>
      </c>
      <c r="Q1917" s="11">
        <v>46306.5</v>
      </c>
      <c r="R1917" s="6"/>
      <c r="S1917" s="6"/>
      <c r="T1917" s="6"/>
      <c r="U1917" s="5">
        <f>MATCH(B1917,Manual_Review!$A$6:$A$238,0)</f>
        <v>120</v>
      </c>
      <c r="V1917" s="5" t="str">
        <f>IF(INDEX(Manual_Review!$G$6:$G$238,U1917)="","",INDEX(Manual_Review!$G$6:$G$238,U1917))</f>
        <v/>
      </c>
      <c r="W1917" s="11" t="str">
        <f>IF(INDEX(Manual_Review!$H$6:$H$238,U1917)="","",INDEX(Manual_Review!$H$6:$H$238,U1917))</f>
        <v/>
      </c>
      <c r="X1917" s="5" t="str">
        <f>IF(INDEX(Manual_Review!$I$6:$I$238,U1917)="","",INDEX(Manual_Review!$I$6:$I$238,U1917))</f>
        <v/>
      </c>
      <c r="Y1917" s="5" t="s">
        <v>2859</v>
      </c>
    </row>
    <row r="1918" spans="1:25" ht="38.25">
      <c r="A1918" s="5" t="s">
        <v>6845</v>
      </c>
      <c r="B1918" s="5" t="s">
        <v>1405</v>
      </c>
      <c r="C1918" s="5" t="s">
        <v>1406</v>
      </c>
      <c r="D1918" s="5" t="s">
        <v>118</v>
      </c>
      <c r="E1918" s="5" t="s">
        <v>2789</v>
      </c>
      <c r="F1918" s="5" t="s">
        <v>2758</v>
      </c>
      <c r="G1918" s="5">
        <v>1</v>
      </c>
      <c r="H1918" s="5" t="s">
        <v>2864</v>
      </c>
      <c r="I1918" s="5" t="str">
        <f>IF(INDEX(Manual_Review!$S$6:$S$238,U1918)="","",INDEX(Manual_Review!$S$6:$S$238,U1918))</f>
        <v/>
      </c>
      <c r="J1918" s="5" t="str">
        <f t="shared" si="58"/>
        <v>AI provisional</v>
      </c>
      <c r="K1918" s="5" t="str">
        <f t="shared" si="59"/>
        <v>U</v>
      </c>
      <c r="L1918" s="5" t="s">
        <v>1414</v>
      </c>
      <c r="M1918" s="5" t="s">
        <v>6846</v>
      </c>
      <c r="N1918" s="5" t="s">
        <v>6830</v>
      </c>
      <c r="O1918" s="5" t="s">
        <v>4490</v>
      </c>
      <c r="P1918" s="5" t="s">
        <v>2858</v>
      </c>
      <c r="Q1918" s="11">
        <v>46306.5</v>
      </c>
      <c r="R1918" s="6"/>
      <c r="S1918" s="6"/>
      <c r="T1918" s="6"/>
      <c r="U1918" s="5">
        <f>MATCH(B1918,Manual_Review!$A$6:$A$238,0)</f>
        <v>120</v>
      </c>
      <c r="V1918" s="5" t="str">
        <f>IF(INDEX(Manual_Review!$G$6:$G$238,U1918)="","",INDEX(Manual_Review!$G$6:$G$238,U1918))</f>
        <v/>
      </c>
      <c r="W1918" s="11" t="str">
        <f>IF(INDEX(Manual_Review!$H$6:$H$238,U1918)="","",INDEX(Manual_Review!$H$6:$H$238,U1918))</f>
        <v/>
      </c>
      <c r="X1918" s="5" t="str">
        <f>IF(INDEX(Manual_Review!$I$6:$I$238,U1918)="","",INDEX(Manual_Review!$I$6:$I$238,U1918))</f>
        <v/>
      </c>
      <c r="Y1918" s="5" t="s">
        <v>2859</v>
      </c>
    </row>
    <row r="1919" spans="1:25" ht="38.25">
      <c r="A1919" s="5" t="s">
        <v>6847</v>
      </c>
      <c r="B1919" s="5" t="s">
        <v>1405</v>
      </c>
      <c r="C1919" s="5" t="s">
        <v>1406</v>
      </c>
      <c r="D1919" s="5" t="s">
        <v>118</v>
      </c>
      <c r="E1919" s="5" t="s">
        <v>2790</v>
      </c>
      <c r="F1919" s="5" t="s">
        <v>2760</v>
      </c>
      <c r="G1919" s="5">
        <v>1</v>
      </c>
      <c r="H1919" s="5" t="s">
        <v>2864</v>
      </c>
      <c r="I1919" s="5" t="str">
        <f>IF(INDEX(Manual_Review!$T$6:$T$238,U1919)="","",INDEX(Manual_Review!$T$6:$T$238,U1919))</f>
        <v/>
      </c>
      <c r="J1919" s="5" t="str">
        <f t="shared" si="58"/>
        <v>AI provisional</v>
      </c>
      <c r="K1919" s="5" t="str">
        <f t="shared" si="59"/>
        <v>U</v>
      </c>
      <c r="L1919" s="5" t="s">
        <v>1414</v>
      </c>
      <c r="M1919" s="5" t="s">
        <v>6848</v>
      </c>
      <c r="N1919" s="5" t="s">
        <v>6830</v>
      </c>
      <c r="O1919" s="5" t="s">
        <v>4492</v>
      </c>
      <c r="P1919" s="5" t="s">
        <v>2858</v>
      </c>
      <c r="Q1919" s="11">
        <v>46306.5</v>
      </c>
      <c r="R1919" s="6"/>
      <c r="S1919" s="6"/>
      <c r="T1919" s="6"/>
      <c r="U1919" s="5">
        <f>MATCH(B1919,Manual_Review!$A$6:$A$238,0)</f>
        <v>120</v>
      </c>
      <c r="V1919" s="5" t="str">
        <f>IF(INDEX(Manual_Review!$G$6:$G$238,U1919)="","",INDEX(Manual_Review!$G$6:$G$238,U1919))</f>
        <v/>
      </c>
      <c r="W1919" s="11" t="str">
        <f>IF(INDEX(Manual_Review!$H$6:$H$238,U1919)="","",INDEX(Manual_Review!$H$6:$H$238,U1919))</f>
        <v/>
      </c>
      <c r="X1919" s="5" t="str">
        <f>IF(INDEX(Manual_Review!$I$6:$I$238,U1919)="","",INDEX(Manual_Review!$I$6:$I$238,U1919))</f>
        <v/>
      </c>
      <c r="Y1919" s="5" t="s">
        <v>2859</v>
      </c>
    </row>
    <row r="1920" spans="1:25" ht="38.25">
      <c r="A1920" s="5" t="s">
        <v>6849</v>
      </c>
      <c r="B1920" s="5" t="s">
        <v>1405</v>
      </c>
      <c r="C1920" s="5" t="s">
        <v>1406</v>
      </c>
      <c r="D1920" s="5" t="s">
        <v>118</v>
      </c>
      <c r="E1920" s="5" t="s">
        <v>2791</v>
      </c>
      <c r="F1920" s="5" t="s">
        <v>2760</v>
      </c>
      <c r="G1920" s="5">
        <v>1</v>
      </c>
      <c r="H1920" s="5" t="s">
        <v>2864</v>
      </c>
      <c r="I1920" s="5" t="str">
        <f>IF(INDEX(Manual_Review!$U$6:$U$238,U1920)="","",INDEX(Manual_Review!$U$6:$U$238,U1920))</f>
        <v/>
      </c>
      <c r="J1920" s="5" t="str">
        <f t="shared" si="58"/>
        <v>AI provisional</v>
      </c>
      <c r="K1920" s="5" t="str">
        <f t="shared" si="59"/>
        <v>U</v>
      </c>
      <c r="L1920" s="5" t="s">
        <v>1414</v>
      </c>
      <c r="M1920" s="5" t="s">
        <v>6850</v>
      </c>
      <c r="N1920" s="5" t="s">
        <v>6830</v>
      </c>
      <c r="O1920" s="5" t="s">
        <v>4494</v>
      </c>
      <c r="P1920" s="5" t="s">
        <v>2858</v>
      </c>
      <c r="Q1920" s="11">
        <v>46306.5</v>
      </c>
      <c r="R1920" s="6"/>
      <c r="S1920" s="6"/>
      <c r="T1920" s="6"/>
      <c r="U1920" s="5">
        <f>MATCH(B1920,Manual_Review!$A$6:$A$238,0)</f>
        <v>120</v>
      </c>
      <c r="V1920" s="5" t="str">
        <f>IF(INDEX(Manual_Review!$G$6:$G$238,U1920)="","",INDEX(Manual_Review!$G$6:$G$238,U1920))</f>
        <v/>
      </c>
      <c r="W1920" s="11" t="str">
        <f>IF(INDEX(Manual_Review!$H$6:$H$238,U1920)="","",INDEX(Manual_Review!$H$6:$H$238,U1920))</f>
        <v/>
      </c>
      <c r="X1920" s="5" t="str">
        <f>IF(INDEX(Manual_Review!$I$6:$I$238,U1920)="","",INDEX(Manual_Review!$I$6:$I$238,U1920))</f>
        <v/>
      </c>
      <c r="Y1920" s="5" t="s">
        <v>2859</v>
      </c>
    </row>
    <row r="1921" spans="1:25" ht="38.25">
      <c r="A1921" s="5" t="s">
        <v>6851</v>
      </c>
      <c r="B1921" s="5" t="s">
        <v>1405</v>
      </c>
      <c r="C1921" s="5" t="s">
        <v>1406</v>
      </c>
      <c r="D1921" s="5" t="s">
        <v>118</v>
      </c>
      <c r="E1921" s="5" t="s">
        <v>2792</v>
      </c>
      <c r="F1921" s="5" t="s">
        <v>2762</v>
      </c>
      <c r="G1921" s="5">
        <v>1</v>
      </c>
      <c r="H1921" s="5" t="s">
        <v>2864</v>
      </c>
      <c r="I1921" s="5" t="str">
        <f>IF(INDEX(Manual_Review!$V$6:$V$238,U1921)="","",INDEX(Manual_Review!$V$6:$V$238,U1921))</f>
        <v/>
      </c>
      <c r="J1921" s="5" t="str">
        <f t="shared" si="58"/>
        <v>AI provisional</v>
      </c>
      <c r="K1921" s="5" t="str">
        <f t="shared" si="59"/>
        <v>U</v>
      </c>
      <c r="L1921" s="5" t="s">
        <v>1414</v>
      </c>
      <c r="M1921" s="5" t="s">
        <v>6852</v>
      </c>
      <c r="N1921" s="5" t="s">
        <v>6830</v>
      </c>
      <c r="O1921" s="5" t="s">
        <v>4497</v>
      </c>
      <c r="P1921" s="5" t="s">
        <v>2858</v>
      </c>
      <c r="Q1921" s="11">
        <v>46306.5</v>
      </c>
      <c r="R1921" s="6"/>
      <c r="S1921" s="6"/>
      <c r="T1921" s="6"/>
      <c r="U1921" s="5">
        <f>MATCH(B1921,Manual_Review!$A$6:$A$238,0)</f>
        <v>120</v>
      </c>
      <c r="V1921" s="5" t="str">
        <f>IF(INDEX(Manual_Review!$G$6:$G$238,U1921)="","",INDEX(Manual_Review!$G$6:$G$238,U1921))</f>
        <v/>
      </c>
      <c r="W1921" s="11" t="str">
        <f>IF(INDEX(Manual_Review!$H$6:$H$238,U1921)="","",INDEX(Manual_Review!$H$6:$H$238,U1921))</f>
        <v/>
      </c>
      <c r="X1921" s="5" t="str">
        <f>IF(INDEX(Manual_Review!$I$6:$I$238,U1921)="","",INDEX(Manual_Review!$I$6:$I$238,U1921))</f>
        <v/>
      </c>
      <c r="Y1921" s="5" t="s">
        <v>2859</v>
      </c>
    </row>
    <row r="1922" spans="1:25" ht="38.25">
      <c r="A1922" s="5" t="s">
        <v>6853</v>
      </c>
      <c r="B1922" s="5" t="s">
        <v>1405</v>
      </c>
      <c r="C1922" s="5" t="s">
        <v>1406</v>
      </c>
      <c r="D1922" s="5" t="s">
        <v>118</v>
      </c>
      <c r="E1922" s="5" t="s">
        <v>2793</v>
      </c>
      <c r="F1922" s="5" t="s">
        <v>2762</v>
      </c>
      <c r="G1922" s="5">
        <v>1</v>
      </c>
      <c r="H1922" s="5" t="s">
        <v>2864</v>
      </c>
      <c r="I1922" s="5" t="str">
        <f>IF(INDEX(Manual_Review!$W$6:$W$238,U1922)="","",INDEX(Manual_Review!$W$6:$W$238,U1922))</f>
        <v/>
      </c>
      <c r="J1922" s="5" t="str">
        <f t="shared" si="58"/>
        <v>AI provisional</v>
      </c>
      <c r="K1922" s="5" t="str">
        <f t="shared" si="59"/>
        <v>U</v>
      </c>
      <c r="L1922" s="5" t="s">
        <v>1414</v>
      </c>
      <c r="M1922" s="5" t="s">
        <v>6854</v>
      </c>
      <c r="N1922" s="5" t="s">
        <v>6830</v>
      </c>
      <c r="O1922" s="5" t="s">
        <v>4499</v>
      </c>
      <c r="P1922" s="5" t="s">
        <v>2858</v>
      </c>
      <c r="Q1922" s="11">
        <v>46306.5</v>
      </c>
      <c r="R1922" s="6"/>
      <c r="S1922" s="6"/>
      <c r="T1922" s="6"/>
      <c r="U1922" s="5">
        <f>MATCH(B1922,Manual_Review!$A$6:$A$238,0)</f>
        <v>120</v>
      </c>
      <c r="V1922" s="5" t="str">
        <f>IF(INDEX(Manual_Review!$G$6:$G$238,U1922)="","",INDEX(Manual_Review!$G$6:$G$238,U1922))</f>
        <v/>
      </c>
      <c r="W1922" s="11" t="str">
        <f>IF(INDEX(Manual_Review!$H$6:$H$238,U1922)="","",INDEX(Manual_Review!$H$6:$H$238,U1922))</f>
        <v/>
      </c>
      <c r="X1922" s="5" t="str">
        <f>IF(INDEX(Manual_Review!$I$6:$I$238,U1922)="","",INDEX(Manual_Review!$I$6:$I$238,U1922))</f>
        <v/>
      </c>
      <c r="Y1922" s="5" t="s">
        <v>2859</v>
      </c>
    </row>
    <row r="1923" spans="1:25" ht="38.25">
      <c r="A1923" s="5" t="s">
        <v>6855</v>
      </c>
      <c r="B1923" s="5" t="s">
        <v>1405</v>
      </c>
      <c r="C1923" s="5" t="s">
        <v>1406</v>
      </c>
      <c r="D1923" s="5" t="s">
        <v>118</v>
      </c>
      <c r="E1923" s="5" t="s">
        <v>2794</v>
      </c>
      <c r="F1923" s="5" t="s">
        <v>2764</v>
      </c>
      <c r="G1923" s="5">
        <v>1</v>
      </c>
      <c r="H1923" s="5" t="s">
        <v>2864</v>
      </c>
      <c r="I1923" s="5" t="str">
        <f>IF(INDEX(Manual_Review!$X$6:$X$238,U1923)="","",INDEX(Manual_Review!$X$6:$X$238,U1923))</f>
        <v/>
      </c>
      <c r="J1923" s="5" t="str">
        <f t="shared" si="58"/>
        <v>AI provisional</v>
      </c>
      <c r="K1923" s="5" t="str">
        <f t="shared" si="59"/>
        <v>U</v>
      </c>
      <c r="L1923" s="5" t="s">
        <v>1414</v>
      </c>
      <c r="M1923" s="5" t="s">
        <v>6856</v>
      </c>
      <c r="N1923" s="5" t="s">
        <v>6830</v>
      </c>
      <c r="O1923" s="5" t="s">
        <v>4501</v>
      </c>
      <c r="P1923" s="5" t="s">
        <v>2858</v>
      </c>
      <c r="Q1923" s="11">
        <v>46306.5</v>
      </c>
      <c r="R1923" s="6"/>
      <c r="S1923" s="6"/>
      <c r="T1923" s="6"/>
      <c r="U1923" s="5">
        <f>MATCH(B1923,Manual_Review!$A$6:$A$238,0)</f>
        <v>120</v>
      </c>
      <c r="V1923" s="5" t="str">
        <f>IF(INDEX(Manual_Review!$G$6:$G$238,U1923)="","",INDEX(Manual_Review!$G$6:$G$238,U1923))</f>
        <v/>
      </c>
      <c r="W1923" s="11" t="str">
        <f>IF(INDEX(Manual_Review!$H$6:$H$238,U1923)="","",INDEX(Manual_Review!$H$6:$H$238,U1923))</f>
        <v/>
      </c>
      <c r="X1923" s="5" t="str">
        <f>IF(INDEX(Manual_Review!$I$6:$I$238,U1923)="","",INDEX(Manual_Review!$I$6:$I$238,U1923))</f>
        <v/>
      </c>
      <c r="Y1923" s="5" t="s">
        <v>2859</v>
      </c>
    </row>
    <row r="1924" spans="1:25" ht="51">
      <c r="A1924" s="5" t="s">
        <v>6857</v>
      </c>
      <c r="B1924" s="5" t="s">
        <v>1405</v>
      </c>
      <c r="C1924" s="5" t="s">
        <v>1406</v>
      </c>
      <c r="D1924" s="5" t="s">
        <v>118</v>
      </c>
      <c r="E1924" s="5" t="s">
        <v>2795</v>
      </c>
      <c r="F1924" s="5" t="s">
        <v>2764</v>
      </c>
      <c r="G1924" s="5">
        <v>1</v>
      </c>
      <c r="H1924" s="5" t="s">
        <v>2864</v>
      </c>
      <c r="I1924" s="5" t="str">
        <f>IF(INDEX(Manual_Review!$Y$6:$Y$238,U1924)="","",INDEX(Manual_Review!$Y$6:$Y$238,U1924))</f>
        <v/>
      </c>
      <c r="J1924" s="5" t="str">
        <f t="shared" si="58"/>
        <v>AI provisional</v>
      </c>
      <c r="K1924" s="5" t="str">
        <f t="shared" si="59"/>
        <v>U</v>
      </c>
      <c r="L1924" s="5" t="s">
        <v>1414</v>
      </c>
      <c r="M1924" s="5" t="s">
        <v>6858</v>
      </c>
      <c r="N1924" s="5" t="s">
        <v>6830</v>
      </c>
      <c r="O1924" s="5" t="s">
        <v>4503</v>
      </c>
      <c r="P1924" s="5" t="s">
        <v>2858</v>
      </c>
      <c r="Q1924" s="11">
        <v>46306.5</v>
      </c>
      <c r="R1924" s="6"/>
      <c r="S1924" s="6"/>
      <c r="T1924" s="6"/>
      <c r="U1924" s="5">
        <f>MATCH(B1924,Manual_Review!$A$6:$A$238,0)</f>
        <v>120</v>
      </c>
      <c r="V1924" s="5" t="str">
        <f>IF(INDEX(Manual_Review!$G$6:$G$238,U1924)="","",INDEX(Manual_Review!$G$6:$G$238,U1924))</f>
        <v/>
      </c>
      <c r="W1924" s="11" t="str">
        <f>IF(INDEX(Manual_Review!$H$6:$H$238,U1924)="","",INDEX(Manual_Review!$H$6:$H$238,U1924))</f>
        <v/>
      </c>
      <c r="X1924" s="5" t="str">
        <f>IF(INDEX(Manual_Review!$I$6:$I$238,U1924)="","",INDEX(Manual_Review!$I$6:$I$238,U1924))</f>
        <v/>
      </c>
      <c r="Y1924" s="5" t="s">
        <v>2859</v>
      </c>
    </row>
    <row r="1925" spans="1:25" ht="38.25">
      <c r="A1925" s="5" t="s">
        <v>6859</v>
      </c>
      <c r="B1925" s="5" t="s">
        <v>1405</v>
      </c>
      <c r="C1925" s="5" t="s">
        <v>1406</v>
      </c>
      <c r="D1925" s="5" t="s">
        <v>118</v>
      </c>
      <c r="E1925" s="5" t="s">
        <v>2796</v>
      </c>
      <c r="F1925" s="5" t="s">
        <v>2764</v>
      </c>
      <c r="G1925" s="5">
        <v>1</v>
      </c>
      <c r="H1925" s="5" t="s">
        <v>2864</v>
      </c>
      <c r="I1925" s="5" t="str">
        <f>IF(INDEX(Manual_Review!$Z$6:$Z$238,U1925)="","",INDEX(Manual_Review!$Z$6:$Z$238,U1925))</f>
        <v/>
      </c>
      <c r="J1925" s="5" t="str">
        <f t="shared" si="58"/>
        <v>AI provisional</v>
      </c>
      <c r="K1925" s="5" t="str">
        <f t="shared" si="59"/>
        <v>U</v>
      </c>
      <c r="L1925" s="5" t="s">
        <v>1414</v>
      </c>
      <c r="M1925" s="5" t="s">
        <v>6860</v>
      </c>
      <c r="N1925" s="5" t="s">
        <v>6830</v>
      </c>
      <c r="O1925" s="5" t="s">
        <v>4505</v>
      </c>
      <c r="P1925" s="5" t="s">
        <v>2858</v>
      </c>
      <c r="Q1925" s="11">
        <v>46306.5</v>
      </c>
      <c r="R1925" s="6"/>
      <c r="S1925" s="6"/>
      <c r="T1925" s="6"/>
      <c r="U1925" s="5">
        <f>MATCH(B1925,Manual_Review!$A$6:$A$238,0)</f>
        <v>120</v>
      </c>
      <c r="V1925" s="5" t="str">
        <f>IF(INDEX(Manual_Review!$G$6:$G$238,U1925)="","",INDEX(Manual_Review!$G$6:$G$238,U1925))</f>
        <v/>
      </c>
      <c r="W1925" s="11" t="str">
        <f>IF(INDEX(Manual_Review!$H$6:$H$238,U1925)="","",INDEX(Manual_Review!$H$6:$H$238,U1925))</f>
        <v/>
      </c>
      <c r="X1925" s="5" t="str">
        <f>IF(INDEX(Manual_Review!$I$6:$I$238,U1925)="","",INDEX(Manual_Review!$I$6:$I$238,U1925))</f>
        <v/>
      </c>
      <c r="Y1925" s="5" t="s">
        <v>2859</v>
      </c>
    </row>
    <row r="1926" spans="1:25" ht="38.25">
      <c r="A1926" s="5" t="s">
        <v>6861</v>
      </c>
      <c r="B1926" s="5" t="s">
        <v>1416</v>
      </c>
      <c r="C1926" s="5" t="s">
        <v>1417</v>
      </c>
      <c r="D1926" s="5" t="s">
        <v>118</v>
      </c>
      <c r="E1926" s="5" t="s">
        <v>2781</v>
      </c>
      <c r="F1926" s="5" t="s">
        <v>2754</v>
      </c>
      <c r="G1926" s="5">
        <v>1</v>
      </c>
      <c r="H1926" s="5" t="s">
        <v>2854</v>
      </c>
      <c r="I1926" s="5" t="str">
        <f>IF(INDEX(Manual_Review!$K$6:$K$238,U1926)="","",INDEX(Manual_Review!$K$6:$K$238,U1926))</f>
        <v/>
      </c>
      <c r="J1926" s="5" t="str">
        <f t="shared" ref="J1926:J1989" si="60">IF(G1926=0,"Not applicable",IF(I1926="","AI provisional",IF(AND(OR(I1926="Y",I1926="N",I1926="U",I1926="X"),V1926&lt;&gt;"",ISNUMBER(W1926),W1926&gt;0,X1926="Confirmed",R1926&lt;&gt;"",S1926&lt;&gt;"",T1926&lt;&gt;""),"Human valid","Evidence needed")))</f>
        <v>AI provisional</v>
      </c>
      <c r="K1926" s="5" t="str">
        <f t="shared" ref="K1926:K1989" si="61">IF(G1926=0,"N/A",IF(I1926="",H1926,IF(J1926="Human valid",I1926,"U")))</f>
        <v>Y</v>
      </c>
      <c r="L1926" s="5" t="s">
        <v>1425</v>
      </c>
      <c r="M1926" s="5" t="s">
        <v>6862</v>
      </c>
      <c r="N1926" s="5" t="s">
        <v>6863</v>
      </c>
      <c r="O1926" s="5" t="s">
        <v>2857</v>
      </c>
      <c r="P1926" s="5" t="s">
        <v>2858</v>
      </c>
      <c r="Q1926" s="11">
        <v>46306.5</v>
      </c>
      <c r="R1926" s="6"/>
      <c r="S1926" s="6"/>
      <c r="T1926" s="6"/>
      <c r="U1926" s="5">
        <f>MATCH(B1926,Manual_Review!$A$6:$A$238,0)</f>
        <v>121</v>
      </c>
      <c r="V1926" s="5" t="str">
        <f>IF(INDEX(Manual_Review!$G$6:$G$238,U1926)="","",INDEX(Manual_Review!$G$6:$G$238,U1926))</f>
        <v/>
      </c>
      <c r="W1926" s="11" t="str">
        <f>IF(INDEX(Manual_Review!$H$6:$H$238,U1926)="","",INDEX(Manual_Review!$H$6:$H$238,U1926))</f>
        <v/>
      </c>
      <c r="X1926" s="5" t="str">
        <f>IF(INDEX(Manual_Review!$I$6:$I$238,U1926)="","",INDEX(Manual_Review!$I$6:$I$238,U1926))</f>
        <v/>
      </c>
      <c r="Y1926" s="5" t="s">
        <v>2859</v>
      </c>
    </row>
    <row r="1927" spans="1:25" ht="38.25">
      <c r="A1927" s="5" t="s">
        <v>6864</v>
      </c>
      <c r="B1927" s="5" t="s">
        <v>1416</v>
      </c>
      <c r="C1927" s="5" t="s">
        <v>1417</v>
      </c>
      <c r="D1927" s="5" t="s">
        <v>118</v>
      </c>
      <c r="E1927" s="5" t="s">
        <v>2782</v>
      </c>
      <c r="F1927" s="5" t="s">
        <v>2754</v>
      </c>
      <c r="G1927" s="5">
        <v>1</v>
      </c>
      <c r="H1927" s="5" t="s">
        <v>2854</v>
      </c>
      <c r="I1927" s="5" t="str">
        <f>IF(INDEX(Manual_Review!$L$6:$L$238,U1927)="","",INDEX(Manual_Review!$L$6:$L$238,U1927))</f>
        <v/>
      </c>
      <c r="J1927" s="5" t="str">
        <f t="shared" si="60"/>
        <v>AI provisional</v>
      </c>
      <c r="K1927" s="5" t="str">
        <f t="shared" si="61"/>
        <v>Y</v>
      </c>
      <c r="L1927" s="5" t="s">
        <v>1425</v>
      </c>
      <c r="M1927" s="5" t="s">
        <v>6865</v>
      </c>
      <c r="N1927" s="5" t="s">
        <v>6863</v>
      </c>
      <c r="O1927" s="5" t="s">
        <v>2862</v>
      </c>
      <c r="P1927" s="5" t="s">
        <v>2858</v>
      </c>
      <c r="Q1927" s="11">
        <v>46306.5</v>
      </c>
      <c r="R1927" s="6"/>
      <c r="S1927" s="6"/>
      <c r="T1927" s="6"/>
      <c r="U1927" s="5">
        <f>MATCH(B1927,Manual_Review!$A$6:$A$238,0)</f>
        <v>121</v>
      </c>
      <c r="V1927" s="5" t="str">
        <f>IF(INDEX(Manual_Review!$G$6:$G$238,U1927)="","",INDEX(Manual_Review!$G$6:$G$238,U1927))</f>
        <v/>
      </c>
      <c r="W1927" s="11" t="str">
        <f>IF(INDEX(Manual_Review!$H$6:$H$238,U1927)="","",INDEX(Manual_Review!$H$6:$H$238,U1927))</f>
        <v/>
      </c>
      <c r="X1927" s="5" t="str">
        <f>IF(INDEX(Manual_Review!$I$6:$I$238,U1927)="","",INDEX(Manual_Review!$I$6:$I$238,U1927))</f>
        <v/>
      </c>
      <c r="Y1927" s="5" t="s">
        <v>2859</v>
      </c>
    </row>
    <row r="1928" spans="1:25" ht="38.25">
      <c r="A1928" s="5" t="s">
        <v>6866</v>
      </c>
      <c r="B1928" s="5" t="s">
        <v>1416</v>
      </c>
      <c r="C1928" s="5" t="s">
        <v>1417</v>
      </c>
      <c r="D1928" s="5" t="s">
        <v>118</v>
      </c>
      <c r="E1928" s="5" t="s">
        <v>2783</v>
      </c>
      <c r="F1928" s="5" t="s">
        <v>2754</v>
      </c>
      <c r="G1928" s="5">
        <v>1</v>
      </c>
      <c r="H1928" s="5" t="s">
        <v>2854</v>
      </c>
      <c r="I1928" s="5" t="str">
        <f>IF(INDEX(Manual_Review!$M$6:$M$238,U1928)="","",INDEX(Manual_Review!$M$6:$M$238,U1928))</f>
        <v/>
      </c>
      <c r="J1928" s="5" t="str">
        <f t="shared" si="60"/>
        <v>AI provisional</v>
      </c>
      <c r="K1928" s="5" t="str">
        <f t="shared" si="61"/>
        <v>Y</v>
      </c>
      <c r="L1928" s="5" t="s">
        <v>1425</v>
      </c>
      <c r="M1928" s="5" t="s">
        <v>6867</v>
      </c>
      <c r="N1928" s="5" t="s">
        <v>6863</v>
      </c>
      <c r="O1928" s="5" t="s">
        <v>3133</v>
      </c>
      <c r="P1928" s="5" t="s">
        <v>2858</v>
      </c>
      <c r="Q1928" s="11">
        <v>46306.5</v>
      </c>
      <c r="R1928" s="6"/>
      <c r="S1928" s="6"/>
      <c r="T1928" s="6"/>
      <c r="U1928" s="5">
        <f>MATCH(B1928,Manual_Review!$A$6:$A$238,0)</f>
        <v>121</v>
      </c>
      <c r="V1928" s="5" t="str">
        <f>IF(INDEX(Manual_Review!$G$6:$G$238,U1928)="","",INDEX(Manual_Review!$G$6:$G$238,U1928))</f>
        <v/>
      </c>
      <c r="W1928" s="11" t="str">
        <f>IF(INDEX(Manual_Review!$H$6:$H$238,U1928)="","",INDEX(Manual_Review!$H$6:$H$238,U1928))</f>
        <v/>
      </c>
      <c r="X1928" s="5" t="str">
        <f>IF(INDEX(Manual_Review!$I$6:$I$238,U1928)="","",INDEX(Manual_Review!$I$6:$I$238,U1928))</f>
        <v/>
      </c>
      <c r="Y1928" s="5" t="s">
        <v>2859</v>
      </c>
    </row>
    <row r="1929" spans="1:25" ht="38.25">
      <c r="A1929" s="5" t="s">
        <v>6868</v>
      </c>
      <c r="B1929" s="5" t="s">
        <v>1416</v>
      </c>
      <c r="C1929" s="5" t="s">
        <v>1417</v>
      </c>
      <c r="D1929" s="5" t="s">
        <v>118</v>
      </c>
      <c r="E1929" s="5" t="s">
        <v>2784</v>
      </c>
      <c r="F1929" s="5" t="s">
        <v>2756</v>
      </c>
      <c r="G1929" s="5">
        <v>1</v>
      </c>
      <c r="H1929" s="5" t="s">
        <v>2864</v>
      </c>
      <c r="I1929" s="5" t="str">
        <f>IF(INDEX(Manual_Review!$N$6:$N$238,U1929)="","",INDEX(Manual_Review!$N$6:$N$238,U1929))</f>
        <v/>
      </c>
      <c r="J1929" s="5" t="str">
        <f t="shared" si="60"/>
        <v>AI provisional</v>
      </c>
      <c r="K1929" s="5" t="str">
        <f t="shared" si="61"/>
        <v>U</v>
      </c>
      <c r="L1929" s="5" t="s">
        <v>1425</v>
      </c>
      <c r="M1929" s="5" t="s">
        <v>6869</v>
      </c>
      <c r="N1929" s="5" t="s">
        <v>6863</v>
      </c>
      <c r="O1929" s="5" t="s">
        <v>2869</v>
      </c>
      <c r="P1929" s="5" t="s">
        <v>2858</v>
      </c>
      <c r="Q1929" s="11">
        <v>46306.5</v>
      </c>
      <c r="R1929" s="6"/>
      <c r="S1929" s="6"/>
      <c r="T1929" s="6"/>
      <c r="U1929" s="5">
        <f>MATCH(B1929,Manual_Review!$A$6:$A$238,0)</f>
        <v>121</v>
      </c>
      <c r="V1929" s="5" t="str">
        <f>IF(INDEX(Manual_Review!$G$6:$G$238,U1929)="","",INDEX(Manual_Review!$G$6:$G$238,U1929))</f>
        <v/>
      </c>
      <c r="W1929" s="11" t="str">
        <f>IF(INDEX(Manual_Review!$H$6:$H$238,U1929)="","",INDEX(Manual_Review!$H$6:$H$238,U1929))</f>
        <v/>
      </c>
      <c r="X1929" s="5" t="str">
        <f>IF(INDEX(Manual_Review!$I$6:$I$238,U1929)="","",INDEX(Manual_Review!$I$6:$I$238,U1929))</f>
        <v/>
      </c>
      <c r="Y1929" s="5" t="s">
        <v>2859</v>
      </c>
    </row>
    <row r="1930" spans="1:25" ht="38.25">
      <c r="A1930" s="5" t="s">
        <v>6870</v>
      </c>
      <c r="B1930" s="5" t="s">
        <v>1416</v>
      </c>
      <c r="C1930" s="5" t="s">
        <v>1417</v>
      </c>
      <c r="D1930" s="5" t="s">
        <v>118</v>
      </c>
      <c r="E1930" s="5" t="s">
        <v>2785</v>
      </c>
      <c r="F1930" s="5" t="s">
        <v>2756</v>
      </c>
      <c r="G1930" s="5">
        <v>1</v>
      </c>
      <c r="H1930" s="5" t="s">
        <v>2864</v>
      </c>
      <c r="I1930" s="5" t="str">
        <f>IF(INDEX(Manual_Review!$O$6:$O$238,U1930)="","",INDEX(Manual_Review!$O$6:$O$238,U1930))</f>
        <v/>
      </c>
      <c r="J1930" s="5" t="str">
        <f t="shared" si="60"/>
        <v>AI provisional</v>
      </c>
      <c r="K1930" s="5" t="str">
        <f t="shared" si="61"/>
        <v>U</v>
      </c>
      <c r="L1930" s="5" t="s">
        <v>1425</v>
      </c>
      <c r="M1930" s="5" t="s">
        <v>6871</v>
      </c>
      <c r="N1930" s="5" t="s">
        <v>6863</v>
      </c>
      <c r="O1930" s="5" t="s">
        <v>2872</v>
      </c>
      <c r="P1930" s="5" t="s">
        <v>2858</v>
      </c>
      <c r="Q1930" s="11">
        <v>46306.5</v>
      </c>
      <c r="R1930" s="6"/>
      <c r="S1930" s="6"/>
      <c r="T1930" s="6"/>
      <c r="U1930" s="5">
        <f>MATCH(B1930,Manual_Review!$A$6:$A$238,0)</f>
        <v>121</v>
      </c>
      <c r="V1930" s="5" t="str">
        <f>IF(INDEX(Manual_Review!$G$6:$G$238,U1930)="","",INDEX(Manual_Review!$G$6:$G$238,U1930))</f>
        <v/>
      </c>
      <c r="W1930" s="11" t="str">
        <f>IF(INDEX(Manual_Review!$H$6:$H$238,U1930)="","",INDEX(Manual_Review!$H$6:$H$238,U1930))</f>
        <v/>
      </c>
      <c r="X1930" s="5" t="str">
        <f>IF(INDEX(Manual_Review!$I$6:$I$238,U1930)="","",INDEX(Manual_Review!$I$6:$I$238,U1930))</f>
        <v/>
      </c>
      <c r="Y1930" s="5" t="s">
        <v>2859</v>
      </c>
    </row>
    <row r="1931" spans="1:25" ht="38.25">
      <c r="A1931" s="5" t="s">
        <v>6872</v>
      </c>
      <c r="B1931" s="5" t="s">
        <v>1416</v>
      </c>
      <c r="C1931" s="5" t="s">
        <v>1417</v>
      </c>
      <c r="D1931" s="5" t="s">
        <v>118</v>
      </c>
      <c r="E1931" s="5" t="s">
        <v>2786</v>
      </c>
      <c r="F1931" s="5" t="s">
        <v>2756</v>
      </c>
      <c r="G1931" s="5">
        <v>1</v>
      </c>
      <c r="H1931" s="5" t="s">
        <v>2864</v>
      </c>
      <c r="I1931" s="5" t="str">
        <f>IF(INDEX(Manual_Review!$P$6:$P$238,U1931)="","",INDEX(Manual_Review!$P$6:$P$238,U1931))</f>
        <v/>
      </c>
      <c r="J1931" s="5" t="str">
        <f t="shared" si="60"/>
        <v>AI provisional</v>
      </c>
      <c r="K1931" s="5" t="str">
        <f t="shared" si="61"/>
        <v>U</v>
      </c>
      <c r="L1931" s="5" t="s">
        <v>1425</v>
      </c>
      <c r="M1931" s="5" t="s">
        <v>6873</v>
      </c>
      <c r="N1931" s="5" t="s">
        <v>6863</v>
      </c>
      <c r="O1931" s="5" t="s">
        <v>2874</v>
      </c>
      <c r="P1931" s="5" t="s">
        <v>2858</v>
      </c>
      <c r="Q1931" s="11">
        <v>46306.5</v>
      </c>
      <c r="R1931" s="6"/>
      <c r="S1931" s="6"/>
      <c r="T1931" s="6"/>
      <c r="U1931" s="5">
        <f>MATCH(B1931,Manual_Review!$A$6:$A$238,0)</f>
        <v>121</v>
      </c>
      <c r="V1931" s="5" t="str">
        <f>IF(INDEX(Manual_Review!$G$6:$G$238,U1931)="","",INDEX(Manual_Review!$G$6:$G$238,U1931))</f>
        <v/>
      </c>
      <c r="W1931" s="11" t="str">
        <f>IF(INDEX(Manual_Review!$H$6:$H$238,U1931)="","",INDEX(Manual_Review!$H$6:$H$238,U1931))</f>
        <v/>
      </c>
      <c r="X1931" s="5" t="str">
        <f>IF(INDEX(Manual_Review!$I$6:$I$238,U1931)="","",INDEX(Manual_Review!$I$6:$I$238,U1931))</f>
        <v/>
      </c>
      <c r="Y1931" s="5" t="s">
        <v>2859</v>
      </c>
    </row>
    <row r="1932" spans="1:25" ht="38.25">
      <c r="A1932" s="5" t="s">
        <v>6874</v>
      </c>
      <c r="B1932" s="5" t="s">
        <v>1416</v>
      </c>
      <c r="C1932" s="5" t="s">
        <v>1417</v>
      </c>
      <c r="D1932" s="5" t="s">
        <v>118</v>
      </c>
      <c r="E1932" s="5" t="s">
        <v>2787</v>
      </c>
      <c r="F1932" s="5" t="s">
        <v>2758</v>
      </c>
      <c r="G1932" s="5">
        <v>1</v>
      </c>
      <c r="H1932" s="5" t="s">
        <v>2864</v>
      </c>
      <c r="I1932" s="5" t="str">
        <f>IF(INDEX(Manual_Review!$Q$6:$Q$238,U1932)="","",INDEX(Manual_Review!$Q$6:$Q$238,U1932))</f>
        <v/>
      </c>
      <c r="J1932" s="5" t="str">
        <f t="shared" si="60"/>
        <v>AI provisional</v>
      </c>
      <c r="K1932" s="5" t="str">
        <f t="shared" si="61"/>
        <v>U</v>
      </c>
      <c r="L1932" s="5" t="s">
        <v>1425</v>
      </c>
      <c r="M1932" s="5" t="s">
        <v>6875</v>
      </c>
      <c r="N1932" s="5" t="s">
        <v>6863</v>
      </c>
      <c r="O1932" s="5" t="s">
        <v>2877</v>
      </c>
      <c r="P1932" s="5" t="s">
        <v>2858</v>
      </c>
      <c r="Q1932" s="11">
        <v>46306.5</v>
      </c>
      <c r="R1932" s="6"/>
      <c r="S1932" s="6"/>
      <c r="T1932" s="6"/>
      <c r="U1932" s="5">
        <f>MATCH(B1932,Manual_Review!$A$6:$A$238,0)</f>
        <v>121</v>
      </c>
      <c r="V1932" s="5" t="str">
        <f>IF(INDEX(Manual_Review!$G$6:$G$238,U1932)="","",INDEX(Manual_Review!$G$6:$G$238,U1932))</f>
        <v/>
      </c>
      <c r="W1932" s="11" t="str">
        <f>IF(INDEX(Manual_Review!$H$6:$H$238,U1932)="","",INDEX(Manual_Review!$H$6:$H$238,U1932))</f>
        <v/>
      </c>
      <c r="X1932" s="5" t="str">
        <f>IF(INDEX(Manual_Review!$I$6:$I$238,U1932)="","",INDEX(Manual_Review!$I$6:$I$238,U1932))</f>
        <v/>
      </c>
      <c r="Y1932" s="5" t="s">
        <v>2859</v>
      </c>
    </row>
    <row r="1933" spans="1:25" ht="38.25">
      <c r="A1933" s="5" t="s">
        <v>6876</v>
      </c>
      <c r="B1933" s="5" t="s">
        <v>1416</v>
      </c>
      <c r="C1933" s="5" t="s">
        <v>1417</v>
      </c>
      <c r="D1933" s="5" t="s">
        <v>118</v>
      </c>
      <c r="E1933" s="5" t="s">
        <v>2788</v>
      </c>
      <c r="F1933" s="5" t="s">
        <v>2758</v>
      </c>
      <c r="G1933" s="5">
        <v>1</v>
      </c>
      <c r="H1933" s="5" t="s">
        <v>2854</v>
      </c>
      <c r="I1933" s="5" t="str">
        <f>IF(INDEX(Manual_Review!$R$6:$R$238,U1933)="","",INDEX(Manual_Review!$R$6:$R$238,U1933))</f>
        <v/>
      </c>
      <c r="J1933" s="5" t="str">
        <f t="shared" si="60"/>
        <v>AI provisional</v>
      </c>
      <c r="K1933" s="5" t="str">
        <f t="shared" si="61"/>
        <v>Y</v>
      </c>
      <c r="L1933" s="5" t="s">
        <v>1425</v>
      </c>
      <c r="M1933" s="5" t="s">
        <v>6877</v>
      </c>
      <c r="N1933" s="5" t="s">
        <v>6863</v>
      </c>
      <c r="O1933" s="5" t="s">
        <v>3067</v>
      </c>
      <c r="P1933" s="5" t="s">
        <v>2858</v>
      </c>
      <c r="Q1933" s="11">
        <v>46306.5</v>
      </c>
      <c r="R1933" s="6"/>
      <c r="S1933" s="6"/>
      <c r="T1933" s="6"/>
      <c r="U1933" s="5">
        <f>MATCH(B1933,Manual_Review!$A$6:$A$238,0)</f>
        <v>121</v>
      </c>
      <c r="V1933" s="5" t="str">
        <f>IF(INDEX(Manual_Review!$G$6:$G$238,U1933)="","",INDEX(Manual_Review!$G$6:$G$238,U1933))</f>
        <v/>
      </c>
      <c r="W1933" s="11" t="str">
        <f>IF(INDEX(Manual_Review!$H$6:$H$238,U1933)="","",INDEX(Manual_Review!$H$6:$H$238,U1933))</f>
        <v/>
      </c>
      <c r="X1933" s="5" t="str">
        <f>IF(INDEX(Manual_Review!$I$6:$I$238,U1933)="","",INDEX(Manual_Review!$I$6:$I$238,U1933))</f>
        <v/>
      </c>
      <c r="Y1933" s="5" t="s">
        <v>2859</v>
      </c>
    </row>
    <row r="1934" spans="1:25" ht="38.25">
      <c r="A1934" s="5" t="s">
        <v>6878</v>
      </c>
      <c r="B1934" s="5" t="s">
        <v>1416</v>
      </c>
      <c r="C1934" s="5" t="s">
        <v>1417</v>
      </c>
      <c r="D1934" s="5" t="s">
        <v>118</v>
      </c>
      <c r="E1934" s="5" t="s">
        <v>2789</v>
      </c>
      <c r="F1934" s="5" t="s">
        <v>2758</v>
      </c>
      <c r="G1934" s="5">
        <v>1</v>
      </c>
      <c r="H1934" s="5" t="s">
        <v>2854</v>
      </c>
      <c r="I1934" s="5" t="str">
        <f>IF(INDEX(Manual_Review!$S$6:$S$238,U1934)="","",INDEX(Manual_Review!$S$6:$S$238,U1934))</f>
        <v/>
      </c>
      <c r="J1934" s="5" t="str">
        <f t="shared" si="60"/>
        <v>AI provisional</v>
      </c>
      <c r="K1934" s="5" t="str">
        <f t="shared" si="61"/>
        <v>Y</v>
      </c>
      <c r="L1934" s="5" t="s">
        <v>1425</v>
      </c>
      <c r="M1934" s="5" t="s">
        <v>6879</v>
      </c>
      <c r="N1934" s="5" t="s">
        <v>6863</v>
      </c>
      <c r="O1934" s="5" t="s">
        <v>3178</v>
      </c>
      <c r="P1934" s="5" t="s">
        <v>2858</v>
      </c>
      <c r="Q1934" s="11">
        <v>46306.5</v>
      </c>
      <c r="R1934" s="6"/>
      <c r="S1934" s="6"/>
      <c r="T1934" s="6"/>
      <c r="U1934" s="5">
        <f>MATCH(B1934,Manual_Review!$A$6:$A$238,0)</f>
        <v>121</v>
      </c>
      <c r="V1934" s="5" t="str">
        <f>IF(INDEX(Manual_Review!$G$6:$G$238,U1934)="","",INDEX(Manual_Review!$G$6:$G$238,U1934))</f>
        <v/>
      </c>
      <c r="W1934" s="11" t="str">
        <f>IF(INDEX(Manual_Review!$H$6:$H$238,U1934)="","",INDEX(Manual_Review!$H$6:$H$238,U1934))</f>
        <v/>
      </c>
      <c r="X1934" s="5" t="str">
        <f>IF(INDEX(Manual_Review!$I$6:$I$238,U1934)="","",INDEX(Manual_Review!$I$6:$I$238,U1934))</f>
        <v/>
      </c>
      <c r="Y1934" s="5" t="s">
        <v>2859</v>
      </c>
    </row>
    <row r="1935" spans="1:25" ht="38.25">
      <c r="A1935" s="5" t="s">
        <v>6880</v>
      </c>
      <c r="B1935" s="5" t="s">
        <v>1416</v>
      </c>
      <c r="C1935" s="5" t="s">
        <v>1417</v>
      </c>
      <c r="D1935" s="5" t="s">
        <v>118</v>
      </c>
      <c r="E1935" s="5" t="s">
        <v>2790</v>
      </c>
      <c r="F1935" s="5" t="s">
        <v>2760</v>
      </c>
      <c r="G1935" s="5">
        <v>1</v>
      </c>
      <c r="H1935" s="5" t="s">
        <v>2864</v>
      </c>
      <c r="I1935" s="5" t="str">
        <f>IF(INDEX(Manual_Review!$T$6:$T$238,U1935)="","",INDEX(Manual_Review!$T$6:$T$238,U1935))</f>
        <v/>
      </c>
      <c r="J1935" s="5" t="str">
        <f t="shared" si="60"/>
        <v>AI provisional</v>
      </c>
      <c r="K1935" s="5" t="str">
        <f t="shared" si="61"/>
        <v>U</v>
      </c>
      <c r="L1935" s="5" t="s">
        <v>1425</v>
      </c>
      <c r="M1935" s="5" t="s">
        <v>6881</v>
      </c>
      <c r="N1935" s="5" t="s">
        <v>6863</v>
      </c>
      <c r="O1935" s="5" t="s">
        <v>2885</v>
      </c>
      <c r="P1935" s="5" t="s">
        <v>2858</v>
      </c>
      <c r="Q1935" s="11">
        <v>46306.5</v>
      </c>
      <c r="R1935" s="6"/>
      <c r="S1935" s="6"/>
      <c r="T1935" s="6"/>
      <c r="U1935" s="5">
        <f>MATCH(B1935,Manual_Review!$A$6:$A$238,0)</f>
        <v>121</v>
      </c>
      <c r="V1935" s="5" t="str">
        <f>IF(INDEX(Manual_Review!$G$6:$G$238,U1935)="","",INDEX(Manual_Review!$G$6:$G$238,U1935))</f>
        <v/>
      </c>
      <c r="W1935" s="11" t="str">
        <f>IF(INDEX(Manual_Review!$H$6:$H$238,U1935)="","",INDEX(Manual_Review!$H$6:$H$238,U1935))</f>
        <v/>
      </c>
      <c r="X1935" s="5" t="str">
        <f>IF(INDEX(Manual_Review!$I$6:$I$238,U1935)="","",INDEX(Manual_Review!$I$6:$I$238,U1935))</f>
        <v/>
      </c>
      <c r="Y1935" s="5" t="s">
        <v>2859</v>
      </c>
    </row>
    <row r="1936" spans="1:25" ht="38.25">
      <c r="A1936" s="5" t="s">
        <v>6882</v>
      </c>
      <c r="B1936" s="5" t="s">
        <v>1416</v>
      </c>
      <c r="C1936" s="5" t="s">
        <v>1417</v>
      </c>
      <c r="D1936" s="5" t="s">
        <v>118</v>
      </c>
      <c r="E1936" s="5" t="s">
        <v>2791</v>
      </c>
      <c r="F1936" s="5" t="s">
        <v>2760</v>
      </c>
      <c r="G1936" s="5">
        <v>1</v>
      </c>
      <c r="H1936" s="5" t="s">
        <v>2854</v>
      </c>
      <c r="I1936" s="5" t="str">
        <f>IF(INDEX(Manual_Review!$U$6:$U$238,U1936)="","",INDEX(Manual_Review!$U$6:$U$238,U1936))</f>
        <v/>
      </c>
      <c r="J1936" s="5" t="str">
        <f t="shared" si="60"/>
        <v>AI provisional</v>
      </c>
      <c r="K1936" s="5" t="str">
        <f t="shared" si="61"/>
        <v>Y</v>
      </c>
      <c r="L1936" s="5" t="s">
        <v>1425</v>
      </c>
      <c r="M1936" s="5" t="s">
        <v>6883</v>
      </c>
      <c r="N1936" s="5" t="s">
        <v>6863</v>
      </c>
      <c r="O1936" s="5" t="s">
        <v>3380</v>
      </c>
      <c r="P1936" s="5" t="s">
        <v>2858</v>
      </c>
      <c r="Q1936" s="11">
        <v>46306.5</v>
      </c>
      <c r="R1936" s="6"/>
      <c r="S1936" s="6"/>
      <c r="T1936" s="6"/>
      <c r="U1936" s="5">
        <f>MATCH(B1936,Manual_Review!$A$6:$A$238,0)</f>
        <v>121</v>
      </c>
      <c r="V1936" s="5" t="str">
        <f>IF(INDEX(Manual_Review!$G$6:$G$238,U1936)="","",INDEX(Manual_Review!$G$6:$G$238,U1936))</f>
        <v/>
      </c>
      <c r="W1936" s="11" t="str">
        <f>IF(INDEX(Manual_Review!$H$6:$H$238,U1936)="","",INDEX(Manual_Review!$H$6:$H$238,U1936))</f>
        <v/>
      </c>
      <c r="X1936" s="5" t="str">
        <f>IF(INDEX(Manual_Review!$I$6:$I$238,U1936)="","",INDEX(Manual_Review!$I$6:$I$238,U1936))</f>
        <v/>
      </c>
      <c r="Y1936" s="5" t="s">
        <v>2859</v>
      </c>
    </row>
    <row r="1937" spans="1:25" ht="38.25">
      <c r="A1937" s="5" t="s">
        <v>6884</v>
      </c>
      <c r="B1937" s="5" t="s">
        <v>1416</v>
      </c>
      <c r="C1937" s="5" t="s">
        <v>1417</v>
      </c>
      <c r="D1937" s="5" t="s">
        <v>118</v>
      </c>
      <c r="E1937" s="5" t="s">
        <v>2792</v>
      </c>
      <c r="F1937" s="5" t="s">
        <v>2762</v>
      </c>
      <c r="G1937" s="5">
        <v>1</v>
      </c>
      <c r="H1937" s="5" t="s">
        <v>2864</v>
      </c>
      <c r="I1937" s="5" t="str">
        <f>IF(INDEX(Manual_Review!$V$6:$V$238,U1937)="","",INDEX(Manual_Review!$V$6:$V$238,U1937))</f>
        <v/>
      </c>
      <c r="J1937" s="5" t="str">
        <f t="shared" si="60"/>
        <v>AI provisional</v>
      </c>
      <c r="K1937" s="5" t="str">
        <f t="shared" si="61"/>
        <v>U</v>
      </c>
      <c r="L1937" s="5" t="s">
        <v>1425</v>
      </c>
      <c r="M1937" s="5" t="s">
        <v>6885</v>
      </c>
      <c r="N1937" s="5" t="s">
        <v>6863</v>
      </c>
      <c r="O1937" s="5" t="s">
        <v>2891</v>
      </c>
      <c r="P1937" s="5" t="s">
        <v>2858</v>
      </c>
      <c r="Q1937" s="11">
        <v>46306.5</v>
      </c>
      <c r="R1937" s="6"/>
      <c r="S1937" s="6"/>
      <c r="T1937" s="6"/>
      <c r="U1937" s="5">
        <f>MATCH(B1937,Manual_Review!$A$6:$A$238,0)</f>
        <v>121</v>
      </c>
      <c r="V1937" s="5" t="str">
        <f>IF(INDEX(Manual_Review!$G$6:$G$238,U1937)="","",INDEX(Manual_Review!$G$6:$G$238,U1937))</f>
        <v/>
      </c>
      <c r="W1937" s="11" t="str">
        <f>IF(INDEX(Manual_Review!$H$6:$H$238,U1937)="","",INDEX(Manual_Review!$H$6:$H$238,U1937))</f>
        <v/>
      </c>
      <c r="X1937" s="5" t="str">
        <f>IF(INDEX(Manual_Review!$I$6:$I$238,U1937)="","",INDEX(Manual_Review!$I$6:$I$238,U1937))</f>
        <v/>
      </c>
      <c r="Y1937" s="5" t="s">
        <v>2859</v>
      </c>
    </row>
    <row r="1938" spans="1:25" ht="38.25">
      <c r="A1938" s="5" t="s">
        <v>6886</v>
      </c>
      <c r="B1938" s="5" t="s">
        <v>1416</v>
      </c>
      <c r="C1938" s="5" t="s">
        <v>1417</v>
      </c>
      <c r="D1938" s="5" t="s">
        <v>118</v>
      </c>
      <c r="E1938" s="5" t="s">
        <v>2793</v>
      </c>
      <c r="F1938" s="5" t="s">
        <v>2762</v>
      </c>
      <c r="G1938" s="5">
        <v>1</v>
      </c>
      <c r="H1938" s="5" t="s">
        <v>2854</v>
      </c>
      <c r="I1938" s="5" t="str">
        <f>IF(INDEX(Manual_Review!$W$6:$W$238,U1938)="","",INDEX(Manual_Review!$W$6:$W$238,U1938))</f>
        <v/>
      </c>
      <c r="J1938" s="5" t="str">
        <f t="shared" si="60"/>
        <v>AI provisional</v>
      </c>
      <c r="K1938" s="5" t="str">
        <f t="shared" si="61"/>
        <v>Y</v>
      </c>
      <c r="L1938" s="5" t="s">
        <v>1425</v>
      </c>
      <c r="M1938" s="5" t="s">
        <v>6887</v>
      </c>
      <c r="N1938" s="5" t="s">
        <v>6863</v>
      </c>
      <c r="O1938" s="5" t="s">
        <v>3077</v>
      </c>
      <c r="P1938" s="5" t="s">
        <v>2858</v>
      </c>
      <c r="Q1938" s="11">
        <v>46306.5</v>
      </c>
      <c r="R1938" s="6"/>
      <c r="S1938" s="6"/>
      <c r="T1938" s="6"/>
      <c r="U1938" s="5">
        <f>MATCH(B1938,Manual_Review!$A$6:$A$238,0)</f>
        <v>121</v>
      </c>
      <c r="V1938" s="5" t="str">
        <f>IF(INDEX(Manual_Review!$G$6:$G$238,U1938)="","",INDEX(Manual_Review!$G$6:$G$238,U1938))</f>
        <v/>
      </c>
      <c r="W1938" s="11" t="str">
        <f>IF(INDEX(Manual_Review!$H$6:$H$238,U1938)="","",INDEX(Manual_Review!$H$6:$H$238,U1938))</f>
        <v/>
      </c>
      <c r="X1938" s="5" t="str">
        <f>IF(INDEX(Manual_Review!$I$6:$I$238,U1938)="","",INDEX(Manual_Review!$I$6:$I$238,U1938))</f>
        <v/>
      </c>
      <c r="Y1938" s="5" t="s">
        <v>2859</v>
      </c>
    </row>
    <row r="1939" spans="1:25" ht="38.25">
      <c r="A1939" s="5" t="s">
        <v>6888</v>
      </c>
      <c r="B1939" s="5" t="s">
        <v>1416</v>
      </c>
      <c r="C1939" s="5" t="s">
        <v>1417</v>
      </c>
      <c r="D1939" s="5" t="s">
        <v>118</v>
      </c>
      <c r="E1939" s="5" t="s">
        <v>2794</v>
      </c>
      <c r="F1939" s="5" t="s">
        <v>2764</v>
      </c>
      <c r="G1939" s="5">
        <v>1</v>
      </c>
      <c r="H1939" s="5" t="s">
        <v>2854</v>
      </c>
      <c r="I1939" s="5" t="str">
        <f>IF(INDEX(Manual_Review!$X$6:$X$238,U1939)="","",INDEX(Manual_Review!$X$6:$X$238,U1939))</f>
        <v/>
      </c>
      <c r="J1939" s="5" t="str">
        <f t="shared" si="60"/>
        <v>AI provisional</v>
      </c>
      <c r="K1939" s="5" t="str">
        <f t="shared" si="61"/>
        <v>Y</v>
      </c>
      <c r="L1939" s="5" t="s">
        <v>1425</v>
      </c>
      <c r="M1939" s="5" t="s">
        <v>6889</v>
      </c>
      <c r="N1939" s="5" t="s">
        <v>6863</v>
      </c>
      <c r="O1939" s="5" t="s">
        <v>2984</v>
      </c>
      <c r="P1939" s="5" t="s">
        <v>2858</v>
      </c>
      <c r="Q1939" s="11">
        <v>46306.5</v>
      </c>
      <c r="R1939" s="6"/>
      <c r="S1939" s="6"/>
      <c r="T1939" s="6"/>
      <c r="U1939" s="5">
        <f>MATCH(B1939,Manual_Review!$A$6:$A$238,0)</f>
        <v>121</v>
      </c>
      <c r="V1939" s="5" t="str">
        <f>IF(INDEX(Manual_Review!$G$6:$G$238,U1939)="","",INDEX(Manual_Review!$G$6:$G$238,U1939))</f>
        <v/>
      </c>
      <c r="W1939" s="11" t="str">
        <f>IF(INDEX(Manual_Review!$H$6:$H$238,U1939)="","",INDEX(Manual_Review!$H$6:$H$238,U1939))</f>
        <v/>
      </c>
      <c r="X1939" s="5" t="str">
        <f>IF(INDEX(Manual_Review!$I$6:$I$238,U1939)="","",INDEX(Manual_Review!$I$6:$I$238,U1939))</f>
        <v/>
      </c>
      <c r="Y1939" s="5" t="s">
        <v>2859</v>
      </c>
    </row>
    <row r="1940" spans="1:25" ht="38.25">
      <c r="A1940" s="5" t="s">
        <v>6890</v>
      </c>
      <c r="B1940" s="5" t="s">
        <v>1416</v>
      </c>
      <c r="C1940" s="5" t="s">
        <v>1417</v>
      </c>
      <c r="D1940" s="5" t="s">
        <v>118</v>
      </c>
      <c r="E1940" s="5" t="s">
        <v>2795</v>
      </c>
      <c r="F1940" s="5" t="s">
        <v>2764</v>
      </c>
      <c r="G1940" s="5">
        <v>1</v>
      </c>
      <c r="H1940" s="5" t="s">
        <v>2864</v>
      </c>
      <c r="I1940" s="5" t="str">
        <f>IF(INDEX(Manual_Review!$Y$6:$Y$238,U1940)="","",INDEX(Manual_Review!$Y$6:$Y$238,U1940))</f>
        <v/>
      </c>
      <c r="J1940" s="5" t="str">
        <f t="shared" si="60"/>
        <v>AI provisional</v>
      </c>
      <c r="K1940" s="5" t="str">
        <f t="shared" si="61"/>
        <v>U</v>
      </c>
      <c r="L1940" s="5" t="s">
        <v>1425</v>
      </c>
      <c r="M1940" s="5" t="s">
        <v>6891</v>
      </c>
      <c r="N1940" s="5" t="s">
        <v>6863</v>
      </c>
      <c r="O1940" s="5" t="s">
        <v>2897</v>
      </c>
      <c r="P1940" s="5" t="s">
        <v>2858</v>
      </c>
      <c r="Q1940" s="11">
        <v>46306.5</v>
      </c>
      <c r="R1940" s="6"/>
      <c r="S1940" s="6"/>
      <c r="T1940" s="6"/>
      <c r="U1940" s="5">
        <f>MATCH(B1940,Manual_Review!$A$6:$A$238,0)</f>
        <v>121</v>
      </c>
      <c r="V1940" s="5" t="str">
        <f>IF(INDEX(Manual_Review!$G$6:$G$238,U1940)="","",INDEX(Manual_Review!$G$6:$G$238,U1940))</f>
        <v/>
      </c>
      <c r="W1940" s="11" t="str">
        <f>IF(INDEX(Manual_Review!$H$6:$H$238,U1940)="","",INDEX(Manual_Review!$H$6:$H$238,U1940))</f>
        <v/>
      </c>
      <c r="X1940" s="5" t="str">
        <f>IF(INDEX(Manual_Review!$I$6:$I$238,U1940)="","",INDEX(Manual_Review!$I$6:$I$238,U1940))</f>
        <v/>
      </c>
      <c r="Y1940" s="5" t="s">
        <v>2859</v>
      </c>
    </row>
    <row r="1941" spans="1:25" ht="38.25">
      <c r="A1941" s="5" t="s">
        <v>6892</v>
      </c>
      <c r="B1941" s="5" t="s">
        <v>1416</v>
      </c>
      <c r="C1941" s="5" t="s">
        <v>1417</v>
      </c>
      <c r="D1941" s="5" t="s">
        <v>118</v>
      </c>
      <c r="E1941" s="5" t="s">
        <v>2796</v>
      </c>
      <c r="F1941" s="5" t="s">
        <v>2764</v>
      </c>
      <c r="G1941" s="5">
        <v>1</v>
      </c>
      <c r="H1941" s="5" t="s">
        <v>2864</v>
      </c>
      <c r="I1941" s="5" t="str">
        <f>IF(INDEX(Manual_Review!$Z$6:$Z$238,U1941)="","",INDEX(Manual_Review!$Z$6:$Z$238,U1941))</f>
        <v/>
      </c>
      <c r="J1941" s="5" t="str">
        <f t="shared" si="60"/>
        <v>AI provisional</v>
      </c>
      <c r="K1941" s="5" t="str">
        <f t="shared" si="61"/>
        <v>U</v>
      </c>
      <c r="L1941" s="5" t="s">
        <v>1425</v>
      </c>
      <c r="M1941" s="5" t="s">
        <v>6893</v>
      </c>
      <c r="N1941" s="5" t="s">
        <v>6863</v>
      </c>
      <c r="O1941" s="5" t="s">
        <v>2899</v>
      </c>
      <c r="P1941" s="5" t="s">
        <v>2858</v>
      </c>
      <c r="Q1941" s="11">
        <v>46306.5</v>
      </c>
      <c r="R1941" s="6"/>
      <c r="S1941" s="6"/>
      <c r="T1941" s="6"/>
      <c r="U1941" s="5">
        <f>MATCH(B1941,Manual_Review!$A$6:$A$238,0)</f>
        <v>121</v>
      </c>
      <c r="V1941" s="5" t="str">
        <f>IF(INDEX(Manual_Review!$G$6:$G$238,U1941)="","",INDEX(Manual_Review!$G$6:$G$238,U1941))</f>
        <v/>
      </c>
      <c r="W1941" s="11" t="str">
        <f>IF(INDEX(Manual_Review!$H$6:$H$238,U1941)="","",INDEX(Manual_Review!$H$6:$H$238,U1941))</f>
        <v/>
      </c>
      <c r="X1941" s="5" t="str">
        <f>IF(INDEX(Manual_Review!$I$6:$I$238,U1941)="","",INDEX(Manual_Review!$I$6:$I$238,U1941))</f>
        <v/>
      </c>
      <c r="Y1941" s="5" t="s">
        <v>2859</v>
      </c>
    </row>
    <row r="1942" spans="1:25" ht="38.25">
      <c r="A1942" s="5" t="s">
        <v>6894</v>
      </c>
      <c r="B1942" s="5" t="s">
        <v>1427</v>
      </c>
      <c r="C1942" s="5" t="s">
        <v>1428</v>
      </c>
      <c r="D1942" s="5" t="s">
        <v>118</v>
      </c>
      <c r="E1942" s="5" t="s">
        <v>2781</v>
      </c>
      <c r="F1942" s="5" t="s">
        <v>2754</v>
      </c>
      <c r="G1942" s="5">
        <v>1</v>
      </c>
      <c r="H1942" s="5" t="s">
        <v>2854</v>
      </c>
      <c r="I1942" s="5" t="str">
        <f>IF(INDEX(Manual_Review!$K$6:$K$238,U1942)="","",INDEX(Manual_Review!$K$6:$K$238,U1942))</f>
        <v/>
      </c>
      <c r="J1942" s="5" t="str">
        <f t="shared" si="60"/>
        <v>AI provisional</v>
      </c>
      <c r="K1942" s="5" t="str">
        <f t="shared" si="61"/>
        <v>Y</v>
      </c>
      <c r="L1942" s="5" t="s">
        <v>1437</v>
      </c>
      <c r="M1942" s="5" t="s">
        <v>6895</v>
      </c>
      <c r="N1942" s="5" t="s">
        <v>6896</v>
      </c>
      <c r="O1942" s="5" t="s">
        <v>2857</v>
      </c>
      <c r="P1942" s="5" t="s">
        <v>2858</v>
      </c>
      <c r="Q1942" s="11">
        <v>46306.5</v>
      </c>
      <c r="R1942" s="6"/>
      <c r="S1942" s="6"/>
      <c r="T1942" s="6"/>
      <c r="U1942" s="5">
        <f>MATCH(B1942,Manual_Review!$A$6:$A$238,0)</f>
        <v>122</v>
      </c>
      <c r="V1942" s="5" t="str">
        <f>IF(INDEX(Manual_Review!$G$6:$G$238,U1942)="","",INDEX(Manual_Review!$G$6:$G$238,U1942))</f>
        <v/>
      </c>
      <c r="W1942" s="11" t="str">
        <f>IF(INDEX(Manual_Review!$H$6:$H$238,U1942)="","",INDEX(Manual_Review!$H$6:$H$238,U1942))</f>
        <v/>
      </c>
      <c r="X1942" s="5" t="str">
        <f>IF(INDEX(Manual_Review!$I$6:$I$238,U1942)="","",INDEX(Manual_Review!$I$6:$I$238,U1942))</f>
        <v/>
      </c>
      <c r="Y1942" s="5" t="s">
        <v>2859</v>
      </c>
    </row>
    <row r="1943" spans="1:25" ht="38.25">
      <c r="A1943" s="5" t="s">
        <v>6897</v>
      </c>
      <c r="B1943" s="5" t="s">
        <v>1427</v>
      </c>
      <c r="C1943" s="5" t="s">
        <v>1428</v>
      </c>
      <c r="D1943" s="5" t="s">
        <v>118</v>
      </c>
      <c r="E1943" s="5" t="s">
        <v>2782</v>
      </c>
      <c r="F1943" s="5" t="s">
        <v>2754</v>
      </c>
      <c r="G1943" s="5">
        <v>1</v>
      </c>
      <c r="H1943" s="5" t="s">
        <v>2854</v>
      </c>
      <c r="I1943" s="5" t="str">
        <f>IF(INDEX(Manual_Review!$L$6:$L$238,U1943)="","",INDEX(Manual_Review!$L$6:$L$238,U1943))</f>
        <v/>
      </c>
      <c r="J1943" s="5" t="str">
        <f t="shared" si="60"/>
        <v>AI provisional</v>
      </c>
      <c r="K1943" s="5" t="str">
        <f t="shared" si="61"/>
        <v>Y</v>
      </c>
      <c r="L1943" s="5" t="s">
        <v>1437</v>
      </c>
      <c r="M1943" s="5" t="s">
        <v>6898</v>
      </c>
      <c r="N1943" s="5" t="s">
        <v>6896</v>
      </c>
      <c r="O1943" s="5" t="s">
        <v>2862</v>
      </c>
      <c r="P1943" s="5" t="s">
        <v>2858</v>
      </c>
      <c r="Q1943" s="11">
        <v>46306.5</v>
      </c>
      <c r="R1943" s="6"/>
      <c r="S1943" s="6"/>
      <c r="T1943" s="6"/>
      <c r="U1943" s="5">
        <f>MATCH(B1943,Manual_Review!$A$6:$A$238,0)</f>
        <v>122</v>
      </c>
      <c r="V1943" s="5" t="str">
        <f>IF(INDEX(Manual_Review!$G$6:$G$238,U1943)="","",INDEX(Manual_Review!$G$6:$G$238,U1943))</f>
        <v/>
      </c>
      <c r="W1943" s="11" t="str">
        <f>IF(INDEX(Manual_Review!$H$6:$H$238,U1943)="","",INDEX(Manual_Review!$H$6:$H$238,U1943))</f>
        <v/>
      </c>
      <c r="X1943" s="5" t="str">
        <f>IF(INDEX(Manual_Review!$I$6:$I$238,U1943)="","",INDEX(Manual_Review!$I$6:$I$238,U1943))</f>
        <v/>
      </c>
      <c r="Y1943" s="5" t="s">
        <v>2859</v>
      </c>
    </row>
    <row r="1944" spans="1:25" ht="38.25">
      <c r="A1944" s="5" t="s">
        <v>6899</v>
      </c>
      <c r="B1944" s="5" t="s">
        <v>1427</v>
      </c>
      <c r="C1944" s="5" t="s">
        <v>1428</v>
      </c>
      <c r="D1944" s="5" t="s">
        <v>118</v>
      </c>
      <c r="E1944" s="5" t="s">
        <v>2783</v>
      </c>
      <c r="F1944" s="5" t="s">
        <v>2754</v>
      </c>
      <c r="G1944" s="5">
        <v>1</v>
      </c>
      <c r="H1944" s="5" t="s">
        <v>2854</v>
      </c>
      <c r="I1944" s="5" t="str">
        <f>IF(INDEX(Manual_Review!$M$6:$M$238,U1944)="","",INDEX(Manual_Review!$M$6:$M$238,U1944))</f>
        <v/>
      </c>
      <c r="J1944" s="5" t="str">
        <f t="shared" si="60"/>
        <v>AI provisional</v>
      </c>
      <c r="K1944" s="5" t="str">
        <f t="shared" si="61"/>
        <v>Y</v>
      </c>
      <c r="L1944" s="5" t="s">
        <v>1437</v>
      </c>
      <c r="M1944" s="5" t="s">
        <v>6900</v>
      </c>
      <c r="N1944" s="5" t="s">
        <v>6896</v>
      </c>
      <c r="O1944" s="5" t="s">
        <v>3133</v>
      </c>
      <c r="P1944" s="5" t="s">
        <v>2858</v>
      </c>
      <c r="Q1944" s="11">
        <v>46306.5</v>
      </c>
      <c r="R1944" s="6"/>
      <c r="S1944" s="6"/>
      <c r="T1944" s="6"/>
      <c r="U1944" s="5">
        <f>MATCH(B1944,Manual_Review!$A$6:$A$238,0)</f>
        <v>122</v>
      </c>
      <c r="V1944" s="5" t="str">
        <f>IF(INDEX(Manual_Review!$G$6:$G$238,U1944)="","",INDEX(Manual_Review!$G$6:$G$238,U1944))</f>
        <v/>
      </c>
      <c r="W1944" s="11" t="str">
        <f>IF(INDEX(Manual_Review!$H$6:$H$238,U1944)="","",INDEX(Manual_Review!$H$6:$H$238,U1944))</f>
        <v/>
      </c>
      <c r="X1944" s="5" t="str">
        <f>IF(INDEX(Manual_Review!$I$6:$I$238,U1944)="","",INDEX(Manual_Review!$I$6:$I$238,U1944))</f>
        <v/>
      </c>
      <c r="Y1944" s="5" t="s">
        <v>2859</v>
      </c>
    </row>
    <row r="1945" spans="1:25" ht="38.25">
      <c r="A1945" s="5" t="s">
        <v>6901</v>
      </c>
      <c r="B1945" s="5" t="s">
        <v>1427</v>
      </c>
      <c r="C1945" s="5" t="s">
        <v>1428</v>
      </c>
      <c r="D1945" s="5" t="s">
        <v>118</v>
      </c>
      <c r="E1945" s="5" t="s">
        <v>2784</v>
      </c>
      <c r="F1945" s="5" t="s">
        <v>2756</v>
      </c>
      <c r="G1945" s="5">
        <v>1</v>
      </c>
      <c r="H1945" s="5" t="s">
        <v>2854</v>
      </c>
      <c r="I1945" s="5" t="str">
        <f>IF(INDEX(Manual_Review!$N$6:$N$238,U1945)="","",INDEX(Manual_Review!$N$6:$N$238,U1945))</f>
        <v/>
      </c>
      <c r="J1945" s="5" t="str">
        <f t="shared" si="60"/>
        <v>AI provisional</v>
      </c>
      <c r="K1945" s="5" t="str">
        <f t="shared" si="61"/>
        <v>Y</v>
      </c>
      <c r="L1945" s="5" t="s">
        <v>1437</v>
      </c>
      <c r="M1945" s="5" t="s">
        <v>6902</v>
      </c>
      <c r="N1945" s="5" t="s">
        <v>6896</v>
      </c>
      <c r="O1945" s="5" t="s">
        <v>2963</v>
      </c>
      <c r="P1945" s="5" t="s">
        <v>2858</v>
      </c>
      <c r="Q1945" s="11">
        <v>46306.5</v>
      </c>
      <c r="R1945" s="6"/>
      <c r="S1945" s="6"/>
      <c r="T1945" s="6"/>
      <c r="U1945" s="5">
        <f>MATCH(B1945,Manual_Review!$A$6:$A$238,0)</f>
        <v>122</v>
      </c>
      <c r="V1945" s="5" t="str">
        <f>IF(INDEX(Manual_Review!$G$6:$G$238,U1945)="","",INDEX(Manual_Review!$G$6:$G$238,U1945))</f>
        <v/>
      </c>
      <c r="W1945" s="11" t="str">
        <f>IF(INDEX(Manual_Review!$H$6:$H$238,U1945)="","",INDEX(Manual_Review!$H$6:$H$238,U1945))</f>
        <v/>
      </c>
      <c r="X1945" s="5" t="str">
        <f>IF(INDEX(Manual_Review!$I$6:$I$238,U1945)="","",INDEX(Manual_Review!$I$6:$I$238,U1945))</f>
        <v/>
      </c>
      <c r="Y1945" s="5" t="s">
        <v>2859</v>
      </c>
    </row>
    <row r="1946" spans="1:25" ht="38.25">
      <c r="A1946" s="5" t="s">
        <v>6903</v>
      </c>
      <c r="B1946" s="5" t="s">
        <v>1427</v>
      </c>
      <c r="C1946" s="5" t="s">
        <v>1428</v>
      </c>
      <c r="D1946" s="5" t="s">
        <v>118</v>
      </c>
      <c r="E1946" s="5" t="s">
        <v>2785</v>
      </c>
      <c r="F1946" s="5" t="s">
        <v>2756</v>
      </c>
      <c r="G1946" s="5">
        <v>1</v>
      </c>
      <c r="H1946" s="5" t="s">
        <v>2854</v>
      </c>
      <c r="I1946" s="5" t="str">
        <f>IF(INDEX(Manual_Review!$O$6:$O$238,U1946)="","",INDEX(Manual_Review!$O$6:$O$238,U1946))</f>
        <v/>
      </c>
      <c r="J1946" s="5" t="str">
        <f t="shared" si="60"/>
        <v>AI provisional</v>
      </c>
      <c r="K1946" s="5" t="str">
        <f t="shared" si="61"/>
        <v>Y</v>
      </c>
      <c r="L1946" s="5" t="s">
        <v>1437</v>
      </c>
      <c r="M1946" s="5" t="s">
        <v>6904</v>
      </c>
      <c r="N1946" s="5" t="s">
        <v>6896</v>
      </c>
      <c r="O1946" s="5" t="s">
        <v>3138</v>
      </c>
      <c r="P1946" s="5" t="s">
        <v>2858</v>
      </c>
      <c r="Q1946" s="11">
        <v>46306.5</v>
      </c>
      <c r="R1946" s="6"/>
      <c r="S1946" s="6"/>
      <c r="T1946" s="6"/>
      <c r="U1946" s="5">
        <f>MATCH(B1946,Manual_Review!$A$6:$A$238,0)</f>
        <v>122</v>
      </c>
      <c r="V1946" s="5" t="str">
        <f>IF(INDEX(Manual_Review!$G$6:$G$238,U1946)="","",INDEX(Manual_Review!$G$6:$G$238,U1946))</f>
        <v/>
      </c>
      <c r="W1946" s="11" t="str">
        <f>IF(INDEX(Manual_Review!$H$6:$H$238,U1946)="","",INDEX(Manual_Review!$H$6:$H$238,U1946))</f>
        <v/>
      </c>
      <c r="X1946" s="5" t="str">
        <f>IF(INDEX(Manual_Review!$I$6:$I$238,U1946)="","",INDEX(Manual_Review!$I$6:$I$238,U1946))</f>
        <v/>
      </c>
      <c r="Y1946" s="5" t="s">
        <v>2859</v>
      </c>
    </row>
    <row r="1947" spans="1:25" ht="38.25">
      <c r="A1947" s="5" t="s">
        <v>6905</v>
      </c>
      <c r="B1947" s="5" t="s">
        <v>1427</v>
      </c>
      <c r="C1947" s="5" t="s">
        <v>1428</v>
      </c>
      <c r="D1947" s="5" t="s">
        <v>118</v>
      </c>
      <c r="E1947" s="5" t="s">
        <v>2786</v>
      </c>
      <c r="F1947" s="5" t="s">
        <v>2756</v>
      </c>
      <c r="G1947" s="5">
        <v>1</v>
      </c>
      <c r="H1947" s="5" t="s">
        <v>2854</v>
      </c>
      <c r="I1947" s="5" t="str">
        <f>IF(INDEX(Manual_Review!$P$6:$P$238,U1947)="","",INDEX(Manual_Review!$P$6:$P$238,U1947))</f>
        <v/>
      </c>
      <c r="J1947" s="5" t="str">
        <f t="shared" si="60"/>
        <v>AI provisional</v>
      </c>
      <c r="K1947" s="5" t="str">
        <f t="shared" si="61"/>
        <v>Y</v>
      </c>
      <c r="L1947" s="5" t="s">
        <v>1437</v>
      </c>
      <c r="M1947" s="5" t="s">
        <v>6906</v>
      </c>
      <c r="N1947" s="5" t="s">
        <v>6896</v>
      </c>
      <c r="O1947" s="5" t="s">
        <v>6907</v>
      </c>
      <c r="P1947" s="5" t="s">
        <v>2858</v>
      </c>
      <c r="Q1947" s="11">
        <v>46306.5</v>
      </c>
      <c r="R1947" s="6"/>
      <c r="S1947" s="6"/>
      <c r="T1947" s="6"/>
      <c r="U1947" s="5">
        <f>MATCH(B1947,Manual_Review!$A$6:$A$238,0)</f>
        <v>122</v>
      </c>
      <c r="V1947" s="5" t="str">
        <f>IF(INDEX(Manual_Review!$G$6:$G$238,U1947)="","",INDEX(Manual_Review!$G$6:$G$238,U1947))</f>
        <v/>
      </c>
      <c r="W1947" s="11" t="str">
        <f>IF(INDEX(Manual_Review!$H$6:$H$238,U1947)="","",INDEX(Manual_Review!$H$6:$H$238,U1947))</f>
        <v/>
      </c>
      <c r="X1947" s="5" t="str">
        <f>IF(INDEX(Manual_Review!$I$6:$I$238,U1947)="","",INDEX(Manual_Review!$I$6:$I$238,U1947))</f>
        <v/>
      </c>
      <c r="Y1947" s="5" t="s">
        <v>2859</v>
      </c>
    </row>
    <row r="1948" spans="1:25" ht="38.25">
      <c r="A1948" s="5" t="s">
        <v>6908</v>
      </c>
      <c r="B1948" s="5" t="s">
        <v>1427</v>
      </c>
      <c r="C1948" s="5" t="s">
        <v>1428</v>
      </c>
      <c r="D1948" s="5" t="s">
        <v>118</v>
      </c>
      <c r="E1948" s="5" t="s">
        <v>2787</v>
      </c>
      <c r="F1948" s="5" t="s">
        <v>2758</v>
      </c>
      <c r="G1948" s="5">
        <v>1</v>
      </c>
      <c r="H1948" s="5" t="s">
        <v>2854</v>
      </c>
      <c r="I1948" s="5" t="str">
        <f>IF(INDEX(Manual_Review!$Q$6:$Q$238,U1948)="","",INDEX(Manual_Review!$Q$6:$Q$238,U1948))</f>
        <v/>
      </c>
      <c r="J1948" s="5" t="str">
        <f t="shared" si="60"/>
        <v>AI provisional</v>
      </c>
      <c r="K1948" s="5" t="str">
        <f t="shared" si="61"/>
        <v>Y</v>
      </c>
      <c r="L1948" s="5" t="s">
        <v>1437</v>
      </c>
      <c r="M1948" s="5" t="s">
        <v>6909</v>
      </c>
      <c r="N1948" s="5" t="s">
        <v>6896</v>
      </c>
      <c r="O1948" s="5" t="s">
        <v>2969</v>
      </c>
      <c r="P1948" s="5" t="s">
        <v>2858</v>
      </c>
      <c r="Q1948" s="11">
        <v>46306.5</v>
      </c>
      <c r="R1948" s="6"/>
      <c r="S1948" s="6"/>
      <c r="T1948" s="6"/>
      <c r="U1948" s="5">
        <f>MATCH(B1948,Manual_Review!$A$6:$A$238,0)</f>
        <v>122</v>
      </c>
      <c r="V1948" s="5" t="str">
        <f>IF(INDEX(Manual_Review!$G$6:$G$238,U1948)="","",INDEX(Manual_Review!$G$6:$G$238,U1948))</f>
        <v/>
      </c>
      <c r="W1948" s="11" t="str">
        <f>IF(INDEX(Manual_Review!$H$6:$H$238,U1948)="","",INDEX(Manual_Review!$H$6:$H$238,U1948))</f>
        <v/>
      </c>
      <c r="X1948" s="5" t="str">
        <f>IF(INDEX(Manual_Review!$I$6:$I$238,U1948)="","",INDEX(Manual_Review!$I$6:$I$238,U1948))</f>
        <v/>
      </c>
      <c r="Y1948" s="5" t="s">
        <v>2859</v>
      </c>
    </row>
    <row r="1949" spans="1:25" ht="38.25">
      <c r="A1949" s="5" t="s">
        <v>6910</v>
      </c>
      <c r="B1949" s="5" t="s">
        <v>1427</v>
      </c>
      <c r="C1949" s="5" t="s">
        <v>1428</v>
      </c>
      <c r="D1949" s="5" t="s">
        <v>118</v>
      </c>
      <c r="E1949" s="5" t="s">
        <v>2788</v>
      </c>
      <c r="F1949" s="5" t="s">
        <v>2758</v>
      </c>
      <c r="G1949" s="5">
        <v>1</v>
      </c>
      <c r="H1949" s="5" t="s">
        <v>2854</v>
      </c>
      <c r="I1949" s="5" t="str">
        <f>IF(INDEX(Manual_Review!$R$6:$R$238,U1949)="","",INDEX(Manual_Review!$R$6:$R$238,U1949))</f>
        <v/>
      </c>
      <c r="J1949" s="5" t="str">
        <f t="shared" si="60"/>
        <v>AI provisional</v>
      </c>
      <c r="K1949" s="5" t="str">
        <f t="shared" si="61"/>
        <v>Y</v>
      </c>
      <c r="L1949" s="5" t="s">
        <v>1437</v>
      </c>
      <c r="M1949" s="5" t="s">
        <v>6911</v>
      </c>
      <c r="N1949" s="5" t="s">
        <v>6896</v>
      </c>
      <c r="O1949" s="5" t="s">
        <v>3067</v>
      </c>
      <c r="P1949" s="5" t="s">
        <v>2858</v>
      </c>
      <c r="Q1949" s="11">
        <v>46306.5</v>
      </c>
      <c r="R1949" s="6"/>
      <c r="S1949" s="6"/>
      <c r="T1949" s="6"/>
      <c r="U1949" s="5">
        <f>MATCH(B1949,Manual_Review!$A$6:$A$238,0)</f>
        <v>122</v>
      </c>
      <c r="V1949" s="5" t="str">
        <f>IF(INDEX(Manual_Review!$G$6:$G$238,U1949)="","",INDEX(Manual_Review!$G$6:$G$238,U1949))</f>
        <v/>
      </c>
      <c r="W1949" s="11" t="str">
        <f>IF(INDEX(Manual_Review!$H$6:$H$238,U1949)="","",INDEX(Manual_Review!$H$6:$H$238,U1949))</f>
        <v/>
      </c>
      <c r="X1949" s="5" t="str">
        <f>IF(INDEX(Manual_Review!$I$6:$I$238,U1949)="","",INDEX(Manual_Review!$I$6:$I$238,U1949))</f>
        <v/>
      </c>
      <c r="Y1949" s="5" t="s">
        <v>2859</v>
      </c>
    </row>
    <row r="1950" spans="1:25" ht="38.25">
      <c r="A1950" s="5" t="s">
        <v>6912</v>
      </c>
      <c r="B1950" s="5" t="s">
        <v>1427</v>
      </c>
      <c r="C1950" s="5" t="s">
        <v>1428</v>
      </c>
      <c r="D1950" s="5" t="s">
        <v>118</v>
      </c>
      <c r="E1950" s="5" t="s">
        <v>2789</v>
      </c>
      <c r="F1950" s="5" t="s">
        <v>2758</v>
      </c>
      <c r="G1950" s="5">
        <v>1</v>
      </c>
      <c r="H1950" s="5" t="s">
        <v>2864</v>
      </c>
      <c r="I1950" s="5" t="str">
        <f>IF(INDEX(Manual_Review!$S$6:$S$238,U1950)="","",INDEX(Manual_Review!$S$6:$S$238,U1950))</f>
        <v/>
      </c>
      <c r="J1950" s="5" t="str">
        <f t="shared" si="60"/>
        <v>AI provisional</v>
      </c>
      <c r="K1950" s="5" t="str">
        <f t="shared" si="61"/>
        <v>U</v>
      </c>
      <c r="L1950" s="5" t="s">
        <v>1437</v>
      </c>
      <c r="M1950" s="5" t="s">
        <v>6913</v>
      </c>
      <c r="N1950" s="5" t="s">
        <v>6896</v>
      </c>
      <c r="O1950" s="5" t="s">
        <v>2883</v>
      </c>
      <c r="P1950" s="5" t="s">
        <v>2858</v>
      </c>
      <c r="Q1950" s="11">
        <v>46306.5</v>
      </c>
      <c r="R1950" s="6"/>
      <c r="S1950" s="6"/>
      <c r="T1950" s="6"/>
      <c r="U1950" s="5">
        <f>MATCH(B1950,Manual_Review!$A$6:$A$238,0)</f>
        <v>122</v>
      </c>
      <c r="V1950" s="5" t="str">
        <f>IF(INDEX(Manual_Review!$G$6:$G$238,U1950)="","",INDEX(Manual_Review!$G$6:$G$238,U1950))</f>
        <v/>
      </c>
      <c r="W1950" s="11" t="str">
        <f>IF(INDEX(Manual_Review!$H$6:$H$238,U1950)="","",INDEX(Manual_Review!$H$6:$H$238,U1950))</f>
        <v/>
      </c>
      <c r="X1950" s="5" t="str">
        <f>IF(INDEX(Manual_Review!$I$6:$I$238,U1950)="","",INDEX(Manual_Review!$I$6:$I$238,U1950))</f>
        <v/>
      </c>
      <c r="Y1950" s="5" t="s">
        <v>2859</v>
      </c>
    </row>
    <row r="1951" spans="1:25" ht="38.25">
      <c r="A1951" s="5" t="s">
        <v>6914</v>
      </c>
      <c r="B1951" s="5" t="s">
        <v>1427</v>
      </c>
      <c r="C1951" s="5" t="s">
        <v>1428</v>
      </c>
      <c r="D1951" s="5" t="s">
        <v>118</v>
      </c>
      <c r="E1951" s="5" t="s">
        <v>2790</v>
      </c>
      <c r="F1951" s="5" t="s">
        <v>2760</v>
      </c>
      <c r="G1951" s="5">
        <v>1</v>
      </c>
      <c r="H1951" s="5" t="s">
        <v>2908</v>
      </c>
      <c r="I1951" s="5" t="str">
        <f>IF(INDEX(Manual_Review!$T$6:$T$238,U1951)="","",INDEX(Manual_Review!$T$6:$T$238,U1951))</f>
        <v/>
      </c>
      <c r="J1951" s="5" t="str">
        <f t="shared" si="60"/>
        <v>AI provisional</v>
      </c>
      <c r="K1951" s="5" t="str">
        <f t="shared" si="61"/>
        <v>X</v>
      </c>
      <c r="L1951" s="5" t="s">
        <v>1437</v>
      </c>
      <c r="M1951" s="5" t="s">
        <v>6915</v>
      </c>
      <c r="N1951" s="5" t="s">
        <v>6896</v>
      </c>
      <c r="O1951" s="5" t="s">
        <v>6916</v>
      </c>
      <c r="P1951" s="5" t="s">
        <v>2858</v>
      </c>
      <c r="Q1951" s="11">
        <v>46306.5</v>
      </c>
      <c r="R1951" s="6"/>
      <c r="S1951" s="6"/>
      <c r="T1951" s="6"/>
      <c r="U1951" s="5">
        <f>MATCH(B1951,Manual_Review!$A$6:$A$238,0)</f>
        <v>122</v>
      </c>
      <c r="V1951" s="5" t="str">
        <f>IF(INDEX(Manual_Review!$G$6:$G$238,U1951)="","",INDEX(Manual_Review!$G$6:$G$238,U1951))</f>
        <v/>
      </c>
      <c r="W1951" s="11" t="str">
        <f>IF(INDEX(Manual_Review!$H$6:$H$238,U1951)="","",INDEX(Manual_Review!$H$6:$H$238,U1951))</f>
        <v/>
      </c>
      <c r="X1951" s="5" t="str">
        <f>IF(INDEX(Manual_Review!$I$6:$I$238,U1951)="","",INDEX(Manual_Review!$I$6:$I$238,U1951))</f>
        <v/>
      </c>
      <c r="Y1951" s="5" t="s">
        <v>2859</v>
      </c>
    </row>
    <row r="1952" spans="1:25" ht="38.25">
      <c r="A1952" s="5" t="s">
        <v>6917</v>
      </c>
      <c r="B1952" s="5" t="s">
        <v>1427</v>
      </c>
      <c r="C1952" s="5" t="s">
        <v>1428</v>
      </c>
      <c r="D1952" s="5" t="s">
        <v>118</v>
      </c>
      <c r="E1952" s="5" t="s">
        <v>2791</v>
      </c>
      <c r="F1952" s="5" t="s">
        <v>2760</v>
      </c>
      <c r="G1952" s="5">
        <v>1</v>
      </c>
      <c r="H1952" s="5" t="s">
        <v>2864</v>
      </c>
      <c r="I1952" s="5" t="str">
        <f>IF(INDEX(Manual_Review!$U$6:$U$238,U1952)="","",INDEX(Manual_Review!$U$6:$U$238,U1952))</f>
        <v/>
      </c>
      <c r="J1952" s="5" t="str">
        <f t="shared" si="60"/>
        <v>AI provisional</v>
      </c>
      <c r="K1952" s="5" t="str">
        <f t="shared" si="61"/>
        <v>U</v>
      </c>
      <c r="L1952" s="5" t="s">
        <v>1437</v>
      </c>
      <c r="M1952" s="5" t="s">
        <v>6918</v>
      </c>
      <c r="N1952" s="5" t="s">
        <v>6896</v>
      </c>
      <c r="O1952" s="5" t="s">
        <v>2888</v>
      </c>
      <c r="P1952" s="5" t="s">
        <v>2858</v>
      </c>
      <c r="Q1952" s="11">
        <v>46306.5</v>
      </c>
      <c r="R1952" s="6"/>
      <c r="S1952" s="6"/>
      <c r="T1952" s="6"/>
      <c r="U1952" s="5">
        <f>MATCH(B1952,Manual_Review!$A$6:$A$238,0)</f>
        <v>122</v>
      </c>
      <c r="V1952" s="5" t="str">
        <f>IF(INDEX(Manual_Review!$G$6:$G$238,U1952)="","",INDEX(Manual_Review!$G$6:$G$238,U1952))</f>
        <v/>
      </c>
      <c r="W1952" s="11" t="str">
        <f>IF(INDEX(Manual_Review!$H$6:$H$238,U1952)="","",INDEX(Manual_Review!$H$6:$H$238,U1952))</f>
        <v/>
      </c>
      <c r="X1952" s="5" t="str">
        <f>IF(INDEX(Manual_Review!$I$6:$I$238,U1952)="","",INDEX(Manual_Review!$I$6:$I$238,U1952))</f>
        <v/>
      </c>
      <c r="Y1952" s="5" t="s">
        <v>2859</v>
      </c>
    </row>
    <row r="1953" spans="1:25" ht="38.25">
      <c r="A1953" s="5" t="s">
        <v>6919</v>
      </c>
      <c r="B1953" s="5" t="s">
        <v>1427</v>
      </c>
      <c r="C1953" s="5" t="s">
        <v>1428</v>
      </c>
      <c r="D1953" s="5" t="s">
        <v>118</v>
      </c>
      <c r="E1953" s="5" t="s">
        <v>2792</v>
      </c>
      <c r="F1953" s="5" t="s">
        <v>2762</v>
      </c>
      <c r="G1953" s="5">
        <v>1</v>
      </c>
      <c r="H1953" s="5" t="s">
        <v>2854</v>
      </c>
      <c r="I1953" s="5" t="str">
        <f>IF(INDEX(Manual_Review!$V$6:$V$238,U1953)="","",INDEX(Manual_Review!$V$6:$V$238,U1953))</f>
        <v/>
      </c>
      <c r="J1953" s="5" t="str">
        <f t="shared" si="60"/>
        <v>AI provisional</v>
      </c>
      <c r="K1953" s="5" t="str">
        <f t="shared" si="61"/>
        <v>Y</v>
      </c>
      <c r="L1953" s="5" t="s">
        <v>1437</v>
      </c>
      <c r="M1953" s="5" t="s">
        <v>6920</v>
      </c>
      <c r="N1953" s="5" t="s">
        <v>6896</v>
      </c>
      <c r="O1953" s="5" t="s">
        <v>3152</v>
      </c>
      <c r="P1953" s="5" t="s">
        <v>2858</v>
      </c>
      <c r="Q1953" s="11">
        <v>46306.5</v>
      </c>
      <c r="R1953" s="6"/>
      <c r="S1953" s="6"/>
      <c r="T1953" s="6"/>
      <c r="U1953" s="5">
        <f>MATCH(B1953,Manual_Review!$A$6:$A$238,0)</f>
        <v>122</v>
      </c>
      <c r="V1953" s="5" t="str">
        <f>IF(INDEX(Manual_Review!$G$6:$G$238,U1953)="","",INDEX(Manual_Review!$G$6:$G$238,U1953))</f>
        <v/>
      </c>
      <c r="W1953" s="11" t="str">
        <f>IF(INDEX(Manual_Review!$H$6:$H$238,U1953)="","",INDEX(Manual_Review!$H$6:$H$238,U1953))</f>
        <v/>
      </c>
      <c r="X1953" s="5" t="str">
        <f>IF(INDEX(Manual_Review!$I$6:$I$238,U1953)="","",INDEX(Manual_Review!$I$6:$I$238,U1953))</f>
        <v/>
      </c>
      <c r="Y1953" s="5" t="s">
        <v>2859</v>
      </c>
    </row>
    <row r="1954" spans="1:25" ht="38.25">
      <c r="A1954" s="5" t="s">
        <v>6921</v>
      </c>
      <c r="B1954" s="5" t="s">
        <v>1427</v>
      </c>
      <c r="C1954" s="5" t="s">
        <v>1428</v>
      </c>
      <c r="D1954" s="5" t="s">
        <v>118</v>
      </c>
      <c r="E1954" s="5" t="s">
        <v>2793</v>
      </c>
      <c r="F1954" s="5" t="s">
        <v>2762</v>
      </c>
      <c r="G1954" s="5">
        <v>1</v>
      </c>
      <c r="H1954" s="5" t="s">
        <v>2864</v>
      </c>
      <c r="I1954" s="5" t="str">
        <f>IF(INDEX(Manual_Review!$W$6:$W$238,U1954)="","",INDEX(Manual_Review!$W$6:$W$238,U1954))</f>
        <v/>
      </c>
      <c r="J1954" s="5" t="str">
        <f t="shared" si="60"/>
        <v>AI provisional</v>
      </c>
      <c r="K1954" s="5" t="str">
        <f t="shared" si="61"/>
        <v>U</v>
      </c>
      <c r="L1954" s="5" t="s">
        <v>1437</v>
      </c>
      <c r="M1954" s="5" t="s">
        <v>6922</v>
      </c>
      <c r="N1954" s="5" t="s">
        <v>6896</v>
      </c>
      <c r="O1954" s="5" t="s">
        <v>2893</v>
      </c>
      <c r="P1954" s="5" t="s">
        <v>2858</v>
      </c>
      <c r="Q1954" s="11">
        <v>46306.5</v>
      </c>
      <c r="R1954" s="6"/>
      <c r="S1954" s="6"/>
      <c r="T1954" s="6"/>
      <c r="U1954" s="5">
        <f>MATCH(B1954,Manual_Review!$A$6:$A$238,0)</f>
        <v>122</v>
      </c>
      <c r="V1954" s="5" t="str">
        <f>IF(INDEX(Manual_Review!$G$6:$G$238,U1954)="","",INDEX(Manual_Review!$G$6:$G$238,U1954))</f>
        <v/>
      </c>
      <c r="W1954" s="11" t="str">
        <f>IF(INDEX(Manual_Review!$H$6:$H$238,U1954)="","",INDEX(Manual_Review!$H$6:$H$238,U1954))</f>
        <v/>
      </c>
      <c r="X1954" s="5" t="str">
        <f>IF(INDEX(Manual_Review!$I$6:$I$238,U1954)="","",INDEX(Manual_Review!$I$6:$I$238,U1954))</f>
        <v/>
      </c>
      <c r="Y1954" s="5" t="s">
        <v>2859</v>
      </c>
    </row>
    <row r="1955" spans="1:25" ht="38.25">
      <c r="A1955" s="5" t="s">
        <v>6923</v>
      </c>
      <c r="B1955" s="5" t="s">
        <v>1427</v>
      </c>
      <c r="C1955" s="5" t="s">
        <v>1428</v>
      </c>
      <c r="D1955" s="5" t="s">
        <v>118</v>
      </c>
      <c r="E1955" s="5" t="s">
        <v>2794</v>
      </c>
      <c r="F1955" s="5" t="s">
        <v>2764</v>
      </c>
      <c r="G1955" s="5">
        <v>1</v>
      </c>
      <c r="H1955" s="5" t="s">
        <v>2854</v>
      </c>
      <c r="I1955" s="5" t="str">
        <f>IF(INDEX(Manual_Review!$X$6:$X$238,U1955)="","",INDEX(Manual_Review!$X$6:$X$238,U1955))</f>
        <v/>
      </c>
      <c r="J1955" s="5" t="str">
        <f t="shared" si="60"/>
        <v>AI provisional</v>
      </c>
      <c r="K1955" s="5" t="str">
        <f t="shared" si="61"/>
        <v>Y</v>
      </c>
      <c r="L1955" s="5" t="s">
        <v>1437</v>
      </c>
      <c r="M1955" s="5" t="s">
        <v>6924</v>
      </c>
      <c r="N1955" s="5" t="s">
        <v>6896</v>
      </c>
      <c r="O1955" s="5" t="s">
        <v>2984</v>
      </c>
      <c r="P1955" s="5" t="s">
        <v>2858</v>
      </c>
      <c r="Q1955" s="11">
        <v>46306.5</v>
      </c>
      <c r="R1955" s="6"/>
      <c r="S1955" s="6"/>
      <c r="T1955" s="6"/>
      <c r="U1955" s="5">
        <f>MATCH(B1955,Manual_Review!$A$6:$A$238,0)</f>
        <v>122</v>
      </c>
      <c r="V1955" s="5" t="str">
        <f>IF(INDEX(Manual_Review!$G$6:$G$238,U1955)="","",INDEX(Manual_Review!$G$6:$G$238,U1955))</f>
        <v/>
      </c>
      <c r="W1955" s="11" t="str">
        <f>IF(INDEX(Manual_Review!$H$6:$H$238,U1955)="","",INDEX(Manual_Review!$H$6:$H$238,U1955))</f>
        <v/>
      </c>
      <c r="X1955" s="5" t="str">
        <f>IF(INDEX(Manual_Review!$I$6:$I$238,U1955)="","",INDEX(Manual_Review!$I$6:$I$238,U1955))</f>
        <v/>
      </c>
      <c r="Y1955" s="5" t="s">
        <v>2859</v>
      </c>
    </row>
    <row r="1956" spans="1:25" ht="38.25">
      <c r="A1956" s="5" t="s">
        <v>6925</v>
      </c>
      <c r="B1956" s="5" t="s">
        <v>1427</v>
      </c>
      <c r="C1956" s="5" t="s">
        <v>1428</v>
      </c>
      <c r="D1956" s="5" t="s">
        <v>118</v>
      </c>
      <c r="E1956" s="5" t="s">
        <v>2795</v>
      </c>
      <c r="F1956" s="5" t="s">
        <v>2764</v>
      </c>
      <c r="G1956" s="5">
        <v>1</v>
      </c>
      <c r="H1956" s="5" t="s">
        <v>2864</v>
      </c>
      <c r="I1956" s="5" t="str">
        <f>IF(INDEX(Manual_Review!$Y$6:$Y$238,U1956)="","",INDEX(Manual_Review!$Y$6:$Y$238,U1956))</f>
        <v/>
      </c>
      <c r="J1956" s="5" t="str">
        <f t="shared" si="60"/>
        <v>AI provisional</v>
      </c>
      <c r="K1956" s="5" t="str">
        <f t="shared" si="61"/>
        <v>U</v>
      </c>
      <c r="L1956" s="5" t="s">
        <v>1437</v>
      </c>
      <c r="M1956" s="5" t="s">
        <v>6926</v>
      </c>
      <c r="N1956" s="5" t="s">
        <v>6896</v>
      </c>
      <c r="O1956" s="5" t="s">
        <v>2897</v>
      </c>
      <c r="P1956" s="5" t="s">
        <v>2858</v>
      </c>
      <c r="Q1956" s="11">
        <v>46306.5</v>
      </c>
      <c r="R1956" s="6"/>
      <c r="S1956" s="6"/>
      <c r="T1956" s="6"/>
      <c r="U1956" s="5">
        <f>MATCH(B1956,Manual_Review!$A$6:$A$238,0)</f>
        <v>122</v>
      </c>
      <c r="V1956" s="5" t="str">
        <f>IF(INDEX(Manual_Review!$G$6:$G$238,U1956)="","",INDEX(Manual_Review!$G$6:$G$238,U1956))</f>
        <v/>
      </c>
      <c r="W1956" s="11" t="str">
        <f>IF(INDEX(Manual_Review!$H$6:$H$238,U1956)="","",INDEX(Manual_Review!$H$6:$H$238,U1956))</f>
        <v/>
      </c>
      <c r="X1956" s="5" t="str">
        <f>IF(INDEX(Manual_Review!$I$6:$I$238,U1956)="","",INDEX(Manual_Review!$I$6:$I$238,U1956))</f>
        <v/>
      </c>
      <c r="Y1956" s="5" t="s">
        <v>2859</v>
      </c>
    </row>
    <row r="1957" spans="1:25" ht="38.25">
      <c r="A1957" s="5" t="s">
        <v>6927</v>
      </c>
      <c r="B1957" s="5" t="s">
        <v>1427</v>
      </c>
      <c r="C1957" s="5" t="s">
        <v>1428</v>
      </c>
      <c r="D1957" s="5" t="s">
        <v>118</v>
      </c>
      <c r="E1957" s="5" t="s">
        <v>2796</v>
      </c>
      <c r="F1957" s="5" t="s">
        <v>2764</v>
      </c>
      <c r="G1957" s="5">
        <v>1</v>
      </c>
      <c r="H1957" s="5" t="s">
        <v>2854</v>
      </c>
      <c r="I1957" s="5" t="str">
        <f>IF(INDEX(Manual_Review!$Z$6:$Z$238,U1957)="","",INDEX(Manual_Review!$Z$6:$Z$238,U1957))</f>
        <v/>
      </c>
      <c r="J1957" s="5" t="str">
        <f t="shared" si="60"/>
        <v>AI provisional</v>
      </c>
      <c r="K1957" s="5" t="str">
        <f t="shared" si="61"/>
        <v>Y</v>
      </c>
      <c r="L1957" s="5" t="s">
        <v>1437</v>
      </c>
      <c r="M1957" s="5" t="s">
        <v>6928</v>
      </c>
      <c r="N1957" s="5" t="s">
        <v>6896</v>
      </c>
      <c r="O1957" s="5" t="s">
        <v>3085</v>
      </c>
      <c r="P1957" s="5" t="s">
        <v>2858</v>
      </c>
      <c r="Q1957" s="11">
        <v>46306.5</v>
      </c>
      <c r="R1957" s="6"/>
      <c r="S1957" s="6"/>
      <c r="T1957" s="6"/>
      <c r="U1957" s="5">
        <f>MATCH(B1957,Manual_Review!$A$6:$A$238,0)</f>
        <v>122</v>
      </c>
      <c r="V1957" s="5" t="str">
        <f>IF(INDEX(Manual_Review!$G$6:$G$238,U1957)="","",INDEX(Manual_Review!$G$6:$G$238,U1957))</f>
        <v/>
      </c>
      <c r="W1957" s="11" t="str">
        <f>IF(INDEX(Manual_Review!$H$6:$H$238,U1957)="","",INDEX(Manual_Review!$H$6:$H$238,U1957))</f>
        <v/>
      </c>
      <c r="X1957" s="5" t="str">
        <f>IF(INDEX(Manual_Review!$I$6:$I$238,U1957)="","",INDEX(Manual_Review!$I$6:$I$238,U1957))</f>
        <v/>
      </c>
      <c r="Y1957" s="5" t="s">
        <v>2859</v>
      </c>
    </row>
    <row r="1958" spans="1:25" ht="25.5">
      <c r="A1958" s="5" t="s">
        <v>6929</v>
      </c>
      <c r="B1958" s="5" t="s">
        <v>1439</v>
      </c>
      <c r="C1958" s="5" t="s">
        <v>1440</v>
      </c>
      <c r="D1958" s="5" t="s">
        <v>118</v>
      </c>
      <c r="E1958" s="5" t="s">
        <v>2781</v>
      </c>
      <c r="F1958" s="5" t="s">
        <v>2754</v>
      </c>
      <c r="G1958" s="5">
        <v>1</v>
      </c>
      <c r="H1958" s="5" t="s">
        <v>2854</v>
      </c>
      <c r="I1958" s="5" t="str">
        <f>IF(INDEX(Manual_Review!$K$6:$K$238,U1958)="","",INDEX(Manual_Review!$K$6:$K$238,U1958))</f>
        <v/>
      </c>
      <c r="J1958" s="5" t="str">
        <f t="shared" si="60"/>
        <v>AI provisional</v>
      </c>
      <c r="K1958" s="5" t="str">
        <f t="shared" si="61"/>
        <v>Y</v>
      </c>
      <c r="L1958" s="5" t="s">
        <v>1448</v>
      </c>
      <c r="M1958" s="5" t="s">
        <v>6930</v>
      </c>
      <c r="N1958" s="5" t="s">
        <v>6931</v>
      </c>
      <c r="O1958" s="5" t="s">
        <v>2857</v>
      </c>
      <c r="P1958" s="5" t="s">
        <v>2858</v>
      </c>
      <c r="Q1958" s="11">
        <v>46306.5</v>
      </c>
      <c r="R1958" s="6"/>
      <c r="S1958" s="6"/>
      <c r="T1958" s="6"/>
      <c r="U1958" s="5">
        <f>MATCH(B1958,Manual_Review!$A$6:$A$238,0)</f>
        <v>123</v>
      </c>
      <c r="V1958" s="5" t="str">
        <f>IF(INDEX(Manual_Review!$G$6:$G$238,U1958)="","",INDEX(Manual_Review!$G$6:$G$238,U1958))</f>
        <v/>
      </c>
      <c r="W1958" s="11" t="str">
        <f>IF(INDEX(Manual_Review!$H$6:$H$238,U1958)="","",INDEX(Manual_Review!$H$6:$H$238,U1958))</f>
        <v/>
      </c>
      <c r="X1958" s="5" t="str">
        <f>IF(INDEX(Manual_Review!$I$6:$I$238,U1958)="","",INDEX(Manual_Review!$I$6:$I$238,U1958))</f>
        <v/>
      </c>
      <c r="Y1958" s="5" t="s">
        <v>2859</v>
      </c>
    </row>
    <row r="1959" spans="1:25" ht="25.5">
      <c r="A1959" s="5" t="s">
        <v>6932</v>
      </c>
      <c r="B1959" s="5" t="s">
        <v>1439</v>
      </c>
      <c r="C1959" s="5" t="s">
        <v>1440</v>
      </c>
      <c r="D1959" s="5" t="s">
        <v>118</v>
      </c>
      <c r="E1959" s="5" t="s">
        <v>2782</v>
      </c>
      <c r="F1959" s="5" t="s">
        <v>2754</v>
      </c>
      <c r="G1959" s="5">
        <v>1</v>
      </c>
      <c r="H1959" s="5" t="s">
        <v>2854</v>
      </c>
      <c r="I1959" s="5" t="str">
        <f>IF(INDEX(Manual_Review!$L$6:$L$238,U1959)="","",INDEX(Manual_Review!$L$6:$L$238,U1959))</f>
        <v/>
      </c>
      <c r="J1959" s="5" t="str">
        <f t="shared" si="60"/>
        <v>AI provisional</v>
      </c>
      <c r="K1959" s="5" t="str">
        <f t="shared" si="61"/>
        <v>Y</v>
      </c>
      <c r="L1959" s="5" t="s">
        <v>1448</v>
      </c>
      <c r="M1959" s="5" t="s">
        <v>6933</v>
      </c>
      <c r="N1959" s="5" t="s">
        <v>6931</v>
      </c>
      <c r="O1959" s="5" t="s">
        <v>2862</v>
      </c>
      <c r="P1959" s="5" t="s">
        <v>2858</v>
      </c>
      <c r="Q1959" s="11">
        <v>46306.5</v>
      </c>
      <c r="R1959" s="6"/>
      <c r="S1959" s="6"/>
      <c r="T1959" s="6"/>
      <c r="U1959" s="5">
        <f>MATCH(B1959,Manual_Review!$A$6:$A$238,0)</f>
        <v>123</v>
      </c>
      <c r="V1959" s="5" t="str">
        <f>IF(INDEX(Manual_Review!$G$6:$G$238,U1959)="","",INDEX(Manual_Review!$G$6:$G$238,U1959))</f>
        <v/>
      </c>
      <c r="W1959" s="11" t="str">
        <f>IF(INDEX(Manual_Review!$H$6:$H$238,U1959)="","",INDEX(Manual_Review!$H$6:$H$238,U1959))</f>
        <v/>
      </c>
      <c r="X1959" s="5" t="str">
        <f>IF(INDEX(Manual_Review!$I$6:$I$238,U1959)="","",INDEX(Manual_Review!$I$6:$I$238,U1959))</f>
        <v/>
      </c>
      <c r="Y1959" s="5" t="s">
        <v>2859</v>
      </c>
    </row>
    <row r="1960" spans="1:25" ht="25.5">
      <c r="A1960" s="5" t="s">
        <v>6934</v>
      </c>
      <c r="B1960" s="5" t="s">
        <v>1439</v>
      </c>
      <c r="C1960" s="5" t="s">
        <v>1440</v>
      </c>
      <c r="D1960" s="5" t="s">
        <v>118</v>
      </c>
      <c r="E1960" s="5" t="s">
        <v>2783</v>
      </c>
      <c r="F1960" s="5" t="s">
        <v>2754</v>
      </c>
      <c r="G1960" s="5">
        <v>1</v>
      </c>
      <c r="H1960" s="5" t="s">
        <v>2864</v>
      </c>
      <c r="I1960" s="5" t="str">
        <f>IF(INDEX(Manual_Review!$M$6:$M$238,U1960)="","",INDEX(Manual_Review!$M$6:$M$238,U1960))</f>
        <v/>
      </c>
      <c r="J1960" s="5" t="str">
        <f t="shared" si="60"/>
        <v>AI provisional</v>
      </c>
      <c r="K1960" s="5" t="str">
        <f t="shared" si="61"/>
        <v>U</v>
      </c>
      <c r="L1960" s="5" t="s">
        <v>1448</v>
      </c>
      <c r="M1960" s="5" t="s">
        <v>6935</v>
      </c>
      <c r="N1960" s="5" t="s">
        <v>6931</v>
      </c>
      <c r="O1960" s="5" t="s">
        <v>2866</v>
      </c>
      <c r="P1960" s="5" t="s">
        <v>2858</v>
      </c>
      <c r="Q1960" s="11">
        <v>46306.5</v>
      </c>
      <c r="R1960" s="6"/>
      <c r="S1960" s="6"/>
      <c r="T1960" s="6"/>
      <c r="U1960" s="5">
        <f>MATCH(B1960,Manual_Review!$A$6:$A$238,0)</f>
        <v>123</v>
      </c>
      <c r="V1960" s="5" t="str">
        <f>IF(INDEX(Manual_Review!$G$6:$G$238,U1960)="","",INDEX(Manual_Review!$G$6:$G$238,U1960))</f>
        <v/>
      </c>
      <c r="W1960" s="11" t="str">
        <f>IF(INDEX(Manual_Review!$H$6:$H$238,U1960)="","",INDEX(Manual_Review!$H$6:$H$238,U1960))</f>
        <v/>
      </c>
      <c r="X1960" s="5" t="str">
        <f>IF(INDEX(Manual_Review!$I$6:$I$238,U1960)="","",INDEX(Manual_Review!$I$6:$I$238,U1960))</f>
        <v/>
      </c>
      <c r="Y1960" s="5" t="s">
        <v>2859</v>
      </c>
    </row>
    <row r="1961" spans="1:25" ht="25.5">
      <c r="A1961" s="5" t="s">
        <v>6936</v>
      </c>
      <c r="B1961" s="5" t="s">
        <v>1439</v>
      </c>
      <c r="C1961" s="5" t="s">
        <v>1440</v>
      </c>
      <c r="D1961" s="5" t="s">
        <v>118</v>
      </c>
      <c r="E1961" s="5" t="s">
        <v>2784</v>
      </c>
      <c r="F1961" s="5" t="s">
        <v>2756</v>
      </c>
      <c r="G1961" s="5">
        <v>1</v>
      </c>
      <c r="H1961" s="5" t="s">
        <v>2854</v>
      </c>
      <c r="I1961" s="5" t="str">
        <f>IF(INDEX(Manual_Review!$N$6:$N$238,U1961)="","",INDEX(Manual_Review!$N$6:$N$238,U1961))</f>
        <v/>
      </c>
      <c r="J1961" s="5" t="str">
        <f t="shared" si="60"/>
        <v>AI provisional</v>
      </c>
      <c r="K1961" s="5" t="str">
        <f t="shared" si="61"/>
        <v>Y</v>
      </c>
      <c r="L1961" s="5" t="s">
        <v>1448</v>
      </c>
      <c r="M1961" s="5" t="s">
        <v>6937</v>
      </c>
      <c r="N1961" s="5" t="s">
        <v>6931</v>
      </c>
      <c r="O1961" s="5" t="s">
        <v>2963</v>
      </c>
      <c r="P1961" s="5" t="s">
        <v>2858</v>
      </c>
      <c r="Q1961" s="11">
        <v>46306.5</v>
      </c>
      <c r="R1961" s="6"/>
      <c r="S1961" s="6"/>
      <c r="T1961" s="6"/>
      <c r="U1961" s="5">
        <f>MATCH(B1961,Manual_Review!$A$6:$A$238,0)</f>
        <v>123</v>
      </c>
      <c r="V1961" s="5" t="str">
        <f>IF(INDEX(Manual_Review!$G$6:$G$238,U1961)="","",INDEX(Manual_Review!$G$6:$G$238,U1961))</f>
        <v/>
      </c>
      <c r="W1961" s="11" t="str">
        <f>IF(INDEX(Manual_Review!$H$6:$H$238,U1961)="","",INDEX(Manual_Review!$H$6:$H$238,U1961))</f>
        <v/>
      </c>
      <c r="X1961" s="5" t="str">
        <f>IF(INDEX(Manual_Review!$I$6:$I$238,U1961)="","",INDEX(Manual_Review!$I$6:$I$238,U1961))</f>
        <v/>
      </c>
      <c r="Y1961" s="5" t="s">
        <v>2859</v>
      </c>
    </row>
    <row r="1962" spans="1:25" ht="25.5">
      <c r="A1962" s="5" t="s">
        <v>6938</v>
      </c>
      <c r="B1962" s="5" t="s">
        <v>1439</v>
      </c>
      <c r="C1962" s="5" t="s">
        <v>1440</v>
      </c>
      <c r="D1962" s="5" t="s">
        <v>118</v>
      </c>
      <c r="E1962" s="5" t="s">
        <v>2785</v>
      </c>
      <c r="F1962" s="5" t="s">
        <v>2756</v>
      </c>
      <c r="G1962" s="5">
        <v>1</v>
      </c>
      <c r="H1962" s="5" t="s">
        <v>2864</v>
      </c>
      <c r="I1962" s="5" t="str">
        <f>IF(INDEX(Manual_Review!$O$6:$O$238,U1962)="","",INDEX(Manual_Review!$O$6:$O$238,U1962))</f>
        <v/>
      </c>
      <c r="J1962" s="5" t="str">
        <f t="shared" si="60"/>
        <v>AI provisional</v>
      </c>
      <c r="K1962" s="5" t="str">
        <f t="shared" si="61"/>
        <v>U</v>
      </c>
      <c r="L1962" s="5" t="s">
        <v>1448</v>
      </c>
      <c r="M1962" s="5" t="s">
        <v>6939</v>
      </c>
      <c r="N1962" s="5" t="s">
        <v>6931</v>
      </c>
      <c r="O1962" s="5" t="s">
        <v>2872</v>
      </c>
      <c r="P1962" s="5" t="s">
        <v>2858</v>
      </c>
      <c r="Q1962" s="11">
        <v>46306.5</v>
      </c>
      <c r="R1962" s="6"/>
      <c r="S1962" s="6"/>
      <c r="T1962" s="6"/>
      <c r="U1962" s="5">
        <f>MATCH(B1962,Manual_Review!$A$6:$A$238,0)</f>
        <v>123</v>
      </c>
      <c r="V1962" s="5" t="str">
        <f>IF(INDEX(Manual_Review!$G$6:$G$238,U1962)="","",INDEX(Manual_Review!$G$6:$G$238,U1962))</f>
        <v/>
      </c>
      <c r="W1962" s="11" t="str">
        <f>IF(INDEX(Manual_Review!$H$6:$H$238,U1962)="","",INDEX(Manual_Review!$H$6:$H$238,U1962))</f>
        <v/>
      </c>
      <c r="X1962" s="5" t="str">
        <f>IF(INDEX(Manual_Review!$I$6:$I$238,U1962)="","",INDEX(Manual_Review!$I$6:$I$238,U1962))</f>
        <v/>
      </c>
      <c r="Y1962" s="5" t="s">
        <v>2859</v>
      </c>
    </row>
    <row r="1963" spans="1:25" ht="25.5">
      <c r="A1963" s="5" t="s">
        <v>6940</v>
      </c>
      <c r="B1963" s="5" t="s">
        <v>1439</v>
      </c>
      <c r="C1963" s="5" t="s">
        <v>1440</v>
      </c>
      <c r="D1963" s="5" t="s">
        <v>118</v>
      </c>
      <c r="E1963" s="5" t="s">
        <v>2786</v>
      </c>
      <c r="F1963" s="5" t="s">
        <v>2756</v>
      </c>
      <c r="G1963" s="5">
        <v>1</v>
      </c>
      <c r="H1963" s="5" t="s">
        <v>2864</v>
      </c>
      <c r="I1963" s="5" t="str">
        <f>IF(INDEX(Manual_Review!$P$6:$P$238,U1963)="","",INDEX(Manual_Review!$P$6:$P$238,U1963))</f>
        <v/>
      </c>
      <c r="J1963" s="5" t="str">
        <f t="shared" si="60"/>
        <v>AI provisional</v>
      </c>
      <c r="K1963" s="5" t="str">
        <f t="shared" si="61"/>
        <v>U</v>
      </c>
      <c r="L1963" s="5" t="s">
        <v>1448</v>
      </c>
      <c r="M1963" s="5" t="s">
        <v>6941</v>
      </c>
      <c r="N1963" s="5" t="s">
        <v>6931</v>
      </c>
      <c r="O1963" s="5" t="s">
        <v>2874</v>
      </c>
      <c r="P1963" s="5" t="s">
        <v>2858</v>
      </c>
      <c r="Q1963" s="11">
        <v>46306.5</v>
      </c>
      <c r="R1963" s="6"/>
      <c r="S1963" s="6"/>
      <c r="T1963" s="6"/>
      <c r="U1963" s="5">
        <f>MATCH(B1963,Manual_Review!$A$6:$A$238,0)</f>
        <v>123</v>
      </c>
      <c r="V1963" s="5" t="str">
        <f>IF(INDEX(Manual_Review!$G$6:$G$238,U1963)="","",INDEX(Manual_Review!$G$6:$G$238,U1963))</f>
        <v/>
      </c>
      <c r="W1963" s="11" t="str">
        <f>IF(INDEX(Manual_Review!$H$6:$H$238,U1963)="","",INDEX(Manual_Review!$H$6:$H$238,U1963))</f>
        <v/>
      </c>
      <c r="X1963" s="5" t="str">
        <f>IF(INDEX(Manual_Review!$I$6:$I$238,U1963)="","",INDEX(Manual_Review!$I$6:$I$238,U1963))</f>
        <v/>
      </c>
      <c r="Y1963" s="5" t="s">
        <v>2859</v>
      </c>
    </row>
    <row r="1964" spans="1:25" ht="25.5">
      <c r="A1964" s="5" t="s">
        <v>6942</v>
      </c>
      <c r="B1964" s="5" t="s">
        <v>1439</v>
      </c>
      <c r="C1964" s="5" t="s">
        <v>1440</v>
      </c>
      <c r="D1964" s="5" t="s">
        <v>118</v>
      </c>
      <c r="E1964" s="5" t="s">
        <v>2787</v>
      </c>
      <c r="F1964" s="5" t="s">
        <v>2758</v>
      </c>
      <c r="G1964" s="5">
        <v>1</v>
      </c>
      <c r="H1964" s="5" t="s">
        <v>2864</v>
      </c>
      <c r="I1964" s="5" t="str">
        <f>IF(INDEX(Manual_Review!$Q$6:$Q$238,U1964)="","",INDEX(Manual_Review!$Q$6:$Q$238,U1964))</f>
        <v/>
      </c>
      <c r="J1964" s="5" t="str">
        <f t="shared" si="60"/>
        <v>AI provisional</v>
      </c>
      <c r="K1964" s="5" t="str">
        <f t="shared" si="61"/>
        <v>U</v>
      </c>
      <c r="L1964" s="5" t="s">
        <v>1448</v>
      </c>
      <c r="M1964" s="5" t="s">
        <v>6943</v>
      </c>
      <c r="N1964" s="5" t="s">
        <v>6931</v>
      </c>
      <c r="O1964" s="5" t="s">
        <v>2877</v>
      </c>
      <c r="P1964" s="5" t="s">
        <v>2858</v>
      </c>
      <c r="Q1964" s="11">
        <v>46306.5</v>
      </c>
      <c r="R1964" s="6"/>
      <c r="S1964" s="6"/>
      <c r="T1964" s="6"/>
      <c r="U1964" s="5">
        <f>MATCH(B1964,Manual_Review!$A$6:$A$238,0)</f>
        <v>123</v>
      </c>
      <c r="V1964" s="5" t="str">
        <f>IF(INDEX(Manual_Review!$G$6:$G$238,U1964)="","",INDEX(Manual_Review!$G$6:$G$238,U1964))</f>
        <v/>
      </c>
      <c r="W1964" s="11" t="str">
        <f>IF(INDEX(Manual_Review!$H$6:$H$238,U1964)="","",INDEX(Manual_Review!$H$6:$H$238,U1964))</f>
        <v/>
      </c>
      <c r="X1964" s="5" t="str">
        <f>IF(INDEX(Manual_Review!$I$6:$I$238,U1964)="","",INDEX(Manual_Review!$I$6:$I$238,U1964))</f>
        <v/>
      </c>
      <c r="Y1964" s="5" t="s">
        <v>2859</v>
      </c>
    </row>
    <row r="1965" spans="1:25" ht="25.5">
      <c r="A1965" s="5" t="s">
        <v>6944</v>
      </c>
      <c r="B1965" s="5" t="s">
        <v>1439</v>
      </c>
      <c r="C1965" s="5" t="s">
        <v>1440</v>
      </c>
      <c r="D1965" s="5" t="s">
        <v>118</v>
      </c>
      <c r="E1965" s="5" t="s">
        <v>2788</v>
      </c>
      <c r="F1965" s="5" t="s">
        <v>2758</v>
      </c>
      <c r="G1965" s="5">
        <v>1</v>
      </c>
      <c r="H1965" s="5" t="s">
        <v>2854</v>
      </c>
      <c r="I1965" s="5" t="str">
        <f>IF(INDEX(Manual_Review!$R$6:$R$238,U1965)="","",INDEX(Manual_Review!$R$6:$R$238,U1965))</f>
        <v/>
      </c>
      <c r="J1965" s="5" t="str">
        <f t="shared" si="60"/>
        <v>AI provisional</v>
      </c>
      <c r="K1965" s="5" t="str">
        <f t="shared" si="61"/>
        <v>Y</v>
      </c>
      <c r="L1965" s="5" t="s">
        <v>1448</v>
      </c>
      <c r="M1965" s="5" t="s">
        <v>6945</v>
      </c>
      <c r="N1965" s="5" t="s">
        <v>6931</v>
      </c>
      <c r="O1965" s="5" t="s">
        <v>3067</v>
      </c>
      <c r="P1965" s="5" t="s">
        <v>2858</v>
      </c>
      <c r="Q1965" s="11">
        <v>46306.5</v>
      </c>
      <c r="R1965" s="6"/>
      <c r="S1965" s="6"/>
      <c r="T1965" s="6"/>
      <c r="U1965" s="5">
        <f>MATCH(B1965,Manual_Review!$A$6:$A$238,0)</f>
        <v>123</v>
      </c>
      <c r="V1965" s="5" t="str">
        <f>IF(INDEX(Manual_Review!$G$6:$G$238,U1965)="","",INDEX(Manual_Review!$G$6:$G$238,U1965))</f>
        <v/>
      </c>
      <c r="W1965" s="11" t="str">
        <f>IF(INDEX(Manual_Review!$H$6:$H$238,U1965)="","",INDEX(Manual_Review!$H$6:$H$238,U1965))</f>
        <v/>
      </c>
      <c r="X1965" s="5" t="str">
        <f>IF(INDEX(Manual_Review!$I$6:$I$238,U1965)="","",INDEX(Manual_Review!$I$6:$I$238,U1965))</f>
        <v/>
      </c>
      <c r="Y1965" s="5" t="s">
        <v>2859</v>
      </c>
    </row>
    <row r="1966" spans="1:25" ht="25.5">
      <c r="A1966" s="5" t="s">
        <v>6946</v>
      </c>
      <c r="B1966" s="5" t="s">
        <v>1439</v>
      </c>
      <c r="C1966" s="5" t="s">
        <v>1440</v>
      </c>
      <c r="D1966" s="5" t="s">
        <v>118</v>
      </c>
      <c r="E1966" s="5" t="s">
        <v>2789</v>
      </c>
      <c r="F1966" s="5" t="s">
        <v>2758</v>
      </c>
      <c r="G1966" s="5">
        <v>1</v>
      </c>
      <c r="H1966" s="5" t="s">
        <v>2864</v>
      </c>
      <c r="I1966" s="5" t="str">
        <f>IF(INDEX(Manual_Review!$S$6:$S$238,U1966)="","",INDEX(Manual_Review!$S$6:$S$238,U1966))</f>
        <v/>
      </c>
      <c r="J1966" s="5" t="str">
        <f t="shared" si="60"/>
        <v>AI provisional</v>
      </c>
      <c r="K1966" s="5" t="str">
        <f t="shared" si="61"/>
        <v>U</v>
      </c>
      <c r="L1966" s="5" t="s">
        <v>1448</v>
      </c>
      <c r="M1966" s="5" t="s">
        <v>6947</v>
      </c>
      <c r="N1966" s="5" t="s">
        <v>6931</v>
      </c>
      <c r="O1966" s="5" t="s">
        <v>2883</v>
      </c>
      <c r="P1966" s="5" t="s">
        <v>2858</v>
      </c>
      <c r="Q1966" s="11">
        <v>46306.5</v>
      </c>
      <c r="R1966" s="6"/>
      <c r="S1966" s="6"/>
      <c r="T1966" s="6"/>
      <c r="U1966" s="5">
        <f>MATCH(B1966,Manual_Review!$A$6:$A$238,0)</f>
        <v>123</v>
      </c>
      <c r="V1966" s="5" t="str">
        <f>IF(INDEX(Manual_Review!$G$6:$G$238,U1966)="","",INDEX(Manual_Review!$G$6:$G$238,U1966))</f>
        <v/>
      </c>
      <c r="W1966" s="11" t="str">
        <f>IF(INDEX(Manual_Review!$H$6:$H$238,U1966)="","",INDEX(Manual_Review!$H$6:$H$238,U1966))</f>
        <v/>
      </c>
      <c r="X1966" s="5" t="str">
        <f>IF(INDEX(Manual_Review!$I$6:$I$238,U1966)="","",INDEX(Manual_Review!$I$6:$I$238,U1966))</f>
        <v/>
      </c>
      <c r="Y1966" s="5" t="s">
        <v>2859</v>
      </c>
    </row>
    <row r="1967" spans="1:25" ht="25.5">
      <c r="A1967" s="5" t="s">
        <v>6948</v>
      </c>
      <c r="B1967" s="5" t="s">
        <v>1439</v>
      </c>
      <c r="C1967" s="5" t="s">
        <v>1440</v>
      </c>
      <c r="D1967" s="5" t="s">
        <v>118</v>
      </c>
      <c r="E1967" s="5" t="s">
        <v>2790</v>
      </c>
      <c r="F1967" s="5" t="s">
        <v>2760</v>
      </c>
      <c r="G1967" s="5">
        <v>1</v>
      </c>
      <c r="H1967" s="5" t="s">
        <v>2864</v>
      </c>
      <c r="I1967" s="5" t="str">
        <f>IF(INDEX(Manual_Review!$T$6:$T$238,U1967)="","",INDEX(Manual_Review!$T$6:$T$238,U1967))</f>
        <v/>
      </c>
      <c r="J1967" s="5" t="str">
        <f t="shared" si="60"/>
        <v>AI provisional</v>
      </c>
      <c r="K1967" s="5" t="str">
        <f t="shared" si="61"/>
        <v>U</v>
      </c>
      <c r="L1967" s="5" t="s">
        <v>1448</v>
      </c>
      <c r="M1967" s="5" t="s">
        <v>6949</v>
      </c>
      <c r="N1967" s="5" t="s">
        <v>6931</v>
      </c>
      <c r="O1967" s="5" t="s">
        <v>2885</v>
      </c>
      <c r="P1967" s="5" t="s">
        <v>2858</v>
      </c>
      <c r="Q1967" s="11">
        <v>46306.5</v>
      </c>
      <c r="R1967" s="6"/>
      <c r="S1967" s="6"/>
      <c r="T1967" s="6"/>
      <c r="U1967" s="5">
        <f>MATCH(B1967,Manual_Review!$A$6:$A$238,0)</f>
        <v>123</v>
      </c>
      <c r="V1967" s="5" t="str">
        <f>IF(INDEX(Manual_Review!$G$6:$G$238,U1967)="","",INDEX(Manual_Review!$G$6:$G$238,U1967))</f>
        <v/>
      </c>
      <c r="W1967" s="11" t="str">
        <f>IF(INDEX(Manual_Review!$H$6:$H$238,U1967)="","",INDEX(Manual_Review!$H$6:$H$238,U1967))</f>
        <v/>
      </c>
      <c r="X1967" s="5" t="str">
        <f>IF(INDEX(Manual_Review!$I$6:$I$238,U1967)="","",INDEX(Manual_Review!$I$6:$I$238,U1967))</f>
        <v/>
      </c>
      <c r="Y1967" s="5" t="s">
        <v>2859</v>
      </c>
    </row>
    <row r="1968" spans="1:25" ht="25.5">
      <c r="A1968" s="5" t="s">
        <v>6950</v>
      </c>
      <c r="B1968" s="5" t="s">
        <v>1439</v>
      </c>
      <c r="C1968" s="5" t="s">
        <v>1440</v>
      </c>
      <c r="D1968" s="5" t="s">
        <v>118</v>
      </c>
      <c r="E1968" s="5" t="s">
        <v>2791</v>
      </c>
      <c r="F1968" s="5" t="s">
        <v>2760</v>
      </c>
      <c r="G1968" s="5">
        <v>1</v>
      </c>
      <c r="H1968" s="5" t="s">
        <v>2864</v>
      </c>
      <c r="I1968" s="5" t="str">
        <f>IF(INDEX(Manual_Review!$U$6:$U$238,U1968)="","",INDEX(Manual_Review!$U$6:$U$238,U1968))</f>
        <v/>
      </c>
      <c r="J1968" s="5" t="str">
        <f t="shared" si="60"/>
        <v>AI provisional</v>
      </c>
      <c r="K1968" s="5" t="str">
        <f t="shared" si="61"/>
        <v>U</v>
      </c>
      <c r="L1968" s="5" t="s">
        <v>1448</v>
      </c>
      <c r="M1968" s="5" t="s">
        <v>6951</v>
      </c>
      <c r="N1968" s="5" t="s">
        <v>6931</v>
      </c>
      <c r="O1968" s="5" t="s">
        <v>2888</v>
      </c>
      <c r="P1968" s="5" t="s">
        <v>2858</v>
      </c>
      <c r="Q1968" s="11">
        <v>46306.5</v>
      </c>
      <c r="R1968" s="6"/>
      <c r="S1968" s="6"/>
      <c r="T1968" s="6"/>
      <c r="U1968" s="5">
        <f>MATCH(B1968,Manual_Review!$A$6:$A$238,0)</f>
        <v>123</v>
      </c>
      <c r="V1968" s="5" t="str">
        <f>IF(INDEX(Manual_Review!$G$6:$G$238,U1968)="","",INDEX(Manual_Review!$G$6:$G$238,U1968))</f>
        <v/>
      </c>
      <c r="W1968" s="11" t="str">
        <f>IF(INDEX(Manual_Review!$H$6:$H$238,U1968)="","",INDEX(Manual_Review!$H$6:$H$238,U1968))</f>
        <v/>
      </c>
      <c r="X1968" s="5" t="str">
        <f>IF(INDEX(Manual_Review!$I$6:$I$238,U1968)="","",INDEX(Manual_Review!$I$6:$I$238,U1968))</f>
        <v/>
      </c>
      <c r="Y1968" s="5" t="s">
        <v>2859</v>
      </c>
    </row>
    <row r="1969" spans="1:25" ht="25.5">
      <c r="A1969" s="5" t="s">
        <v>6952</v>
      </c>
      <c r="B1969" s="5" t="s">
        <v>1439</v>
      </c>
      <c r="C1969" s="5" t="s">
        <v>1440</v>
      </c>
      <c r="D1969" s="5" t="s">
        <v>118</v>
      </c>
      <c r="E1969" s="5" t="s">
        <v>2792</v>
      </c>
      <c r="F1969" s="5" t="s">
        <v>2762</v>
      </c>
      <c r="G1969" s="5">
        <v>1</v>
      </c>
      <c r="H1969" s="5" t="s">
        <v>2854</v>
      </c>
      <c r="I1969" s="5" t="str">
        <f>IF(INDEX(Manual_Review!$V$6:$V$238,U1969)="","",INDEX(Manual_Review!$V$6:$V$238,U1969))</f>
        <v/>
      </c>
      <c r="J1969" s="5" t="str">
        <f t="shared" si="60"/>
        <v>AI provisional</v>
      </c>
      <c r="K1969" s="5" t="str">
        <f t="shared" si="61"/>
        <v>Y</v>
      </c>
      <c r="L1969" s="5" t="s">
        <v>1448</v>
      </c>
      <c r="M1969" s="5" t="s">
        <v>6953</v>
      </c>
      <c r="N1969" s="5" t="s">
        <v>6931</v>
      </c>
      <c r="O1969" s="5" t="s">
        <v>3152</v>
      </c>
      <c r="P1969" s="5" t="s">
        <v>2858</v>
      </c>
      <c r="Q1969" s="11">
        <v>46306.5</v>
      </c>
      <c r="R1969" s="6"/>
      <c r="S1969" s="6"/>
      <c r="T1969" s="6"/>
      <c r="U1969" s="5">
        <f>MATCH(B1969,Manual_Review!$A$6:$A$238,0)</f>
        <v>123</v>
      </c>
      <c r="V1969" s="5" t="str">
        <f>IF(INDEX(Manual_Review!$G$6:$G$238,U1969)="","",INDEX(Manual_Review!$G$6:$G$238,U1969))</f>
        <v/>
      </c>
      <c r="W1969" s="11" t="str">
        <f>IF(INDEX(Manual_Review!$H$6:$H$238,U1969)="","",INDEX(Manual_Review!$H$6:$H$238,U1969))</f>
        <v/>
      </c>
      <c r="X1969" s="5" t="str">
        <f>IF(INDEX(Manual_Review!$I$6:$I$238,U1969)="","",INDEX(Manual_Review!$I$6:$I$238,U1969))</f>
        <v/>
      </c>
      <c r="Y1969" s="5" t="s">
        <v>2859</v>
      </c>
    </row>
    <row r="1970" spans="1:25" ht="25.5">
      <c r="A1970" s="5" t="s">
        <v>6954</v>
      </c>
      <c r="B1970" s="5" t="s">
        <v>1439</v>
      </c>
      <c r="C1970" s="5" t="s">
        <v>1440</v>
      </c>
      <c r="D1970" s="5" t="s">
        <v>118</v>
      </c>
      <c r="E1970" s="5" t="s">
        <v>2793</v>
      </c>
      <c r="F1970" s="5" t="s">
        <v>2762</v>
      </c>
      <c r="G1970" s="5">
        <v>1</v>
      </c>
      <c r="H1970" s="5" t="s">
        <v>2864</v>
      </c>
      <c r="I1970" s="5" t="str">
        <f>IF(INDEX(Manual_Review!$W$6:$W$238,U1970)="","",INDEX(Manual_Review!$W$6:$W$238,U1970))</f>
        <v/>
      </c>
      <c r="J1970" s="5" t="str">
        <f t="shared" si="60"/>
        <v>AI provisional</v>
      </c>
      <c r="K1970" s="5" t="str">
        <f t="shared" si="61"/>
        <v>U</v>
      </c>
      <c r="L1970" s="5" t="s">
        <v>1448</v>
      </c>
      <c r="M1970" s="5" t="s">
        <v>6955</v>
      </c>
      <c r="N1970" s="5" t="s">
        <v>6931</v>
      </c>
      <c r="O1970" s="5" t="s">
        <v>2893</v>
      </c>
      <c r="P1970" s="5" t="s">
        <v>2858</v>
      </c>
      <c r="Q1970" s="11">
        <v>46306.5</v>
      </c>
      <c r="R1970" s="6"/>
      <c r="S1970" s="6"/>
      <c r="T1970" s="6"/>
      <c r="U1970" s="5">
        <f>MATCH(B1970,Manual_Review!$A$6:$A$238,0)</f>
        <v>123</v>
      </c>
      <c r="V1970" s="5" t="str">
        <f>IF(INDEX(Manual_Review!$G$6:$G$238,U1970)="","",INDEX(Manual_Review!$G$6:$G$238,U1970))</f>
        <v/>
      </c>
      <c r="W1970" s="11" t="str">
        <f>IF(INDEX(Manual_Review!$H$6:$H$238,U1970)="","",INDEX(Manual_Review!$H$6:$H$238,U1970))</f>
        <v/>
      </c>
      <c r="X1970" s="5" t="str">
        <f>IF(INDEX(Manual_Review!$I$6:$I$238,U1970)="","",INDEX(Manual_Review!$I$6:$I$238,U1970))</f>
        <v/>
      </c>
      <c r="Y1970" s="5" t="s">
        <v>2859</v>
      </c>
    </row>
    <row r="1971" spans="1:25" ht="25.5">
      <c r="A1971" s="5" t="s">
        <v>6956</v>
      </c>
      <c r="B1971" s="5" t="s">
        <v>1439</v>
      </c>
      <c r="C1971" s="5" t="s">
        <v>1440</v>
      </c>
      <c r="D1971" s="5" t="s">
        <v>118</v>
      </c>
      <c r="E1971" s="5" t="s">
        <v>2794</v>
      </c>
      <c r="F1971" s="5" t="s">
        <v>2764</v>
      </c>
      <c r="G1971" s="5">
        <v>1</v>
      </c>
      <c r="H1971" s="5" t="s">
        <v>2864</v>
      </c>
      <c r="I1971" s="5" t="str">
        <f>IF(INDEX(Manual_Review!$X$6:$X$238,U1971)="","",INDEX(Manual_Review!$X$6:$X$238,U1971))</f>
        <v/>
      </c>
      <c r="J1971" s="5" t="str">
        <f t="shared" si="60"/>
        <v>AI provisional</v>
      </c>
      <c r="K1971" s="5" t="str">
        <f t="shared" si="61"/>
        <v>U</v>
      </c>
      <c r="L1971" s="5" t="s">
        <v>1448</v>
      </c>
      <c r="M1971" s="5" t="s">
        <v>6957</v>
      </c>
      <c r="N1971" s="5" t="s">
        <v>6931</v>
      </c>
      <c r="O1971" s="5" t="s">
        <v>2895</v>
      </c>
      <c r="P1971" s="5" t="s">
        <v>2858</v>
      </c>
      <c r="Q1971" s="11">
        <v>46306.5</v>
      </c>
      <c r="R1971" s="6"/>
      <c r="S1971" s="6"/>
      <c r="T1971" s="6"/>
      <c r="U1971" s="5">
        <f>MATCH(B1971,Manual_Review!$A$6:$A$238,0)</f>
        <v>123</v>
      </c>
      <c r="V1971" s="5" t="str">
        <f>IF(INDEX(Manual_Review!$G$6:$G$238,U1971)="","",INDEX(Manual_Review!$G$6:$G$238,U1971))</f>
        <v/>
      </c>
      <c r="W1971" s="11" t="str">
        <f>IF(INDEX(Manual_Review!$H$6:$H$238,U1971)="","",INDEX(Manual_Review!$H$6:$H$238,U1971))</f>
        <v/>
      </c>
      <c r="X1971" s="5" t="str">
        <f>IF(INDEX(Manual_Review!$I$6:$I$238,U1971)="","",INDEX(Manual_Review!$I$6:$I$238,U1971))</f>
        <v/>
      </c>
      <c r="Y1971" s="5" t="s">
        <v>2859</v>
      </c>
    </row>
    <row r="1972" spans="1:25" ht="25.5">
      <c r="A1972" s="5" t="s">
        <v>6958</v>
      </c>
      <c r="B1972" s="5" t="s">
        <v>1439</v>
      </c>
      <c r="C1972" s="5" t="s">
        <v>1440</v>
      </c>
      <c r="D1972" s="5" t="s">
        <v>118</v>
      </c>
      <c r="E1972" s="5" t="s">
        <v>2795</v>
      </c>
      <c r="F1972" s="5" t="s">
        <v>2764</v>
      </c>
      <c r="G1972" s="5">
        <v>1</v>
      </c>
      <c r="H1972" s="5" t="s">
        <v>2864</v>
      </c>
      <c r="I1972" s="5" t="str">
        <f>IF(INDEX(Manual_Review!$Y$6:$Y$238,U1972)="","",INDEX(Manual_Review!$Y$6:$Y$238,U1972))</f>
        <v/>
      </c>
      <c r="J1972" s="5" t="str">
        <f t="shared" si="60"/>
        <v>AI provisional</v>
      </c>
      <c r="K1972" s="5" t="str">
        <f t="shared" si="61"/>
        <v>U</v>
      </c>
      <c r="L1972" s="5" t="s">
        <v>1448</v>
      </c>
      <c r="M1972" s="5" t="s">
        <v>6935</v>
      </c>
      <c r="N1972" s="5" t="s">
        <v>6931</v>
      </c>
      <c r="O1972" s="5" t="s">
        <v>2897</v>
      </c>
      <c r="P1972" s="5" t="s">
        <v>2858</v>
      </c>
      <c r="Q1972" s="11">
        <v>46306.5</v>
      </c>
      <c r="R1972" s="6"/>
      <c r="S1972" s="6"/>
      <c r="T1972" s="6"/>
      <c r="U1972" s="5">
        <f>MATCH(B1972,Manual_Review!$A$6:$A$238,0)</f>
        <v>123</v>
      </c>
      <c r="V1972" s="5" t="str">
        <f>IF(INDEX(Manual_Review!$G$6:$G$238,U1972)="","",INDEX(Manual_Review!$G$6:$G$238,U1972))</f>
        <v/>
      </c>
      <c r="W1972" s="11" t="str">
        <f>IF(INDEX(Manual_Review!$H$6:$H$238,U1972)="","",INDEX(Manual_Review!$H$6:$H$238,U1972))</f>
        <v/>
      </c>
      <c r="X1972" s="5" t="str">
        <f>IF(INDEX(Manual_Review!$I$6:$I$238,U1972)="","",INDEX(Manual_Review!$I$6:$I$238,U1972))</f>
        <v/>
      </c>
      <c r="Y1972" s="5" t="s">
        <v>2859</v>
      </c>
    </row>
    <row r="1973" spans="1:25" ht="25.5">
      <c r="A1973" s="5" t="s">
        <v>6959</v>
      </c>
      <c r="B1973" s="5" t="s">
        <v>1439</v>
      </c>
      <c r="C1973" s="5" t="s">
        <v>1440</v>
      </c>
      <c r="D1973" s="5" t="s">
        <v>118</v>
      </c>
      <c r="E1973" s="5" t="s">
        <v>2796</v>
      </c>
      <c r="F1973" s="5" t="s">
        <v>2764</v>
      </c>
      <c r="G1973" s="5">
        <v>1</v>
      </c>
      <c r="H1973" s="5" t="s">
        <v>2864</v>
      </c>
      <c r="I1973" s="5" t="str">
        <f>IF(INDEX(Manual_Review!$Z$6:$Z$238,U1973)="","",INDEX(Manual_Review!$Z$6:$Z$238,U1973))</f>
        <v/>
      </c>
      <c r="J1973" s="5" t="str">
        <f t="shared" si="60"/>
        <v>AI provisional</v>
      </c>
      <c r="K1973" s="5" t="str">
        <f t="shared" si="61"/>
        <v>U</v>
      </c>
      <c r="L1973" s="5" t="s">
        <v>1448</v>
      </c>
      <c r="M1973" s="5" t="s">
        <v>6960</v>
      </c>
      <c r="N1973" s="5" t="s">
        <v>6931</v>
      </c>
      <c r="O1973" s="5" t="s">
        <v>2899</v>
      </c>
      <c r="P1973" s="5" t="s">
        <v>2858</v>
      </c>
      <c r="Q1973" s="11">
        <v>46306.5</v>
      </c>
      <c r="R1973" s="6"/>
      <c r="S1973" s="6"/>
      <c r="T1973" s="6"/>
      <c r="U1973" s="5">
        <f>MATCH(B1973,Manual_Review!$A$6:$A$238,0)</f>
        <v>123</v>
      </c>
      <c r="V1973" s="5" t="str">
        <f>IF(INDEX(Manual_Review!$G$6:$G$238,U1973)="","",INDEX(Manual_Review!$G$6:$G$238,U1973))</f>
        <v/>
      </c>
      <c r="W1973" s="11" t="str">
        <f>IF(INDEX(Manual_Review!$H$6:$H$238,U1973)="","",INDEX(Manual_Review!$H$6:$H$238,U1973))</f>
        <v/>
      </c>
      <c r="X1973" s="5" t="str">
        <f>IF(INDEX(Manual_Review!$I$6:$I$238,U1973)="","",INDEX(Manual_Review!$I$6:$I$238,U1973))</f>
        <v/>
      </c>
      <c r="Y1973" s="5" t="s">
        <v>2859</v>
      </c>
    </row>
    <row r="1974" spans="1:25" ht="38.25">
      <c r="A1974" s="5" t="s">
        <v>6961</v>
      </c>
      <c r="B1974" s="5" t="s">
        <v>1450</v>
      </c>
      <c r="C1974" s="5" t="s">
        <v>1451</v>
      </c>
      <c r="D1974" s="5" t="s">
        <v>118</v>
      </c>
      <c r="E1974" s="5" t="s">
        <v>2781</v>
      </c>
      <c r="F1974" s="5" t="s">
        <v>2754</v>
      </c>
      <c r="G1974" s="5">
        <v>1</v>
      </c>
      <c r="H1974" s="5" t="s">
        <v>2854</v>
      </c>
      <c r="I1974" s="5" t="str">
        <f>IF(INDEX(Manual_Review!$K$6:$K$238,U1974)="","",INDEX(Manual_Review!$K$6:$K$238,U1974))</f>
        <v/>
      </c>
      <c r="J1974" s="5" t="str">
        <f t="shared" si="60"/>
        <v>AI provisional</v>
      </c>
      <c r="K1974" s="5" t="str">
        <f t="shared" si="61"/>
        <v>Y</v>
      </c>
      <c r="L1974" s="5" t="s">
        <v>1460</v>
      </c>
      <c r="M1974" s="5" t="s">
        <v>6962</v>
      </c>
      <c r="N1974" s="5" t="s">
        <v>6963</v>
      </c>
      <c r="O1974" s="5" t="s">
        <v>2857</v>
      </c>
      <c r="P1974" s="5" t="s">
        <v>2858</v>
      </c>
      <c r="Q1974" s="11">
        <v>46306.5</v>
      </c>
      <c r="R1974" s="6"/>
      <c r="S1974" s="6"/>
      <c r="T1974" s="6"/>
      <c r="U1974" s="5">
        <f>MATCH(B1974,Manual_Review!$A$6:$A$238,0)</f>
        <v>124</v>
      </c>
      <c r="V1974" s="5" t="str">
        <f>IF(INDEX(Manual_Review!$G$6:$G$238,U1974)="","",INDEX(Manual_Review!$G$6:$G$238,U1974))</f>
        <v/>
      </c>
      <c r="W1974" s="11" t="str">
        <f>IF(INDEX(Manual_Review!$H$6:$H$238,U1974)="","",INDEX(Manual_Review!$H$6:$H$238,U1974))</f>
        <v/>
      </c>
      <c r="X1974" s="5" t="str">
        <f>IF(INDEX(Manual_Review!$I$6:$I$238,U1974)="","",INDEX(Manual_Review!$I$6:$I$238,U1974))</f>
        <v/>
      </c>
      <c r="Y1974" s="5" t="s">
        <v>2859</v>
      </c>
    </row>
    <row r="1975" spans="1:25" ht="38.25">
      <c r="A1975" s="5" t="s">
        <v>6964</v>
      </c>
      <c r="B1975" s="5" t="s">
        <v>1450</v>
      </c>
      <c r="C1975" s="5" t="s">
        <v>1451</v>
      </c>
      <c r="D1975" s="5" t="s">
        <v>118</v>
      </c>
      <c r="E1975" s="5" t="s">
        <v>2782</v>
      </c>
      <c r="F1975" s="5" t="s">
        <v>2754</v>
      </c>
      <c r="G1975" s="5">
        <v>1</v>
      </c>
      <c r="H1975" s="5" t="s">
        <v>2854</v>
      </c>
      <c r="I1975" s="5" t="str">
        <f>IF(INDEX(Manual_Review!$L$6:$L$238,U1975)="","",INDEX(Manual_Review!$L$6:$L$238,U1975))</f>
        <v/>
      </c>
      <c r="J1975" s="5" t="str">
        <f t="shared" si="60"/>
        <v>AI provisional</v>
      </c>
      <c r="K1975" s="5" t="str">
        <f t="shared" si="61"/>
        <v>Y</v>
      </c>
      <c r="L1975" s="5" t="s">
        <v>1460</v>
      </c>
      <c r="M1975" s="5" t="s">
        <v>6965</v>
      </c>
      <c r="N1975" s="5" t="s">
        <v>6963</v>
      </c>
      <c r="O1975" s="5" t="s">
        <v>2862</v>
      </c>
      <c r="P1975" s="5" t="s">
        <v>2858</v>
      </c>
      <c r="Q1975" s="11">
        <v>46306.5</v>
      </c>
      <c r="R1975" s="6"/>
      <c r="S1975" s="6"/>
      <c r="T1975" s="6"/>
      <c r="U1975" s="5">
        <f>MATCH(B1975,Manual_Review!$A$6:$A$238,0)</f>
        <v>124</v>
      </c>
      <c r="V1975" s="5" t="str">
        <f>IF(INDEX(Manual_Review!$G$6:$G$238,U1975)="","",INDEX(Manual_Review!$G$6:$G$238,U1975))</f>
        <v/>
      </c>
      <c r="W1975" s="11" t="str">
        <f>IF(INDEX(Manual_Review!$H$6:$H$238,U1975)="","",INDEX(Manual_Review!$H$6:$H$238,U1975))</f>
        <v/>
      </c>
      <c r="X1975" s="5" t="str">
        <f>IF(INDEX(Manual_Review!$I$6:$I$238,U1975)="","",INDEX(Manual_Review!$I$6:$I$238,U1975))</f>
        <v/>
      </c>
      <c r="Y1975" s="5" t="s">
        <v>2859</v>
      </c>
    </row>
    <row r="1976" spans="1:25" ht="38.25">
      <c r="A1976" s="5" t="s">
        <v>6966</v>
      </c>
      <c r="B1976" s="5" t="s">
        <v>1450</v>
      </c>
      <c r="C1976" s="5" t="s">
        <v>1451</v>
      </c>
      <c r="D1976" s="5" t="s">
        <v>118</v>
      </c>
      <c r="E1976" s="5" t="s">
        <v>2783</v>
      </c>
      <c r="F1976" s="5" t="s">
        <v>2754</v>
      </c>
      <c r="G1976" s="5">
        <v>1</v>
      </c>
      <c r="H1976" s="5" t="s">
        <v>2854</v>
      </c>
      <c r="I1976" s="5" t="str">
        <f>IF(INDEX(Manual_Review!$M$6:$M$238,U1976)="","",INDEX(Manual_Review!$M$6:$M$238,U1976))</f>
        <v/>
      </c>
      <c r="J1976" s="5" t="str">
        <f t="shared" si="60"/>
        <v>AI provisional</v>
      </c>
      <c r="K1976" s="5" t="str">
        <f t="shared" si="61"/>
        <v>Y</v>
      </c>
      <c r="L1976" s="5" t="s">
        <v>1460</v>
      </c>
      <c r="M1976" s="5" t="s">
        <v>6967</v>
      </c>
      <c r="N1976" s="5" t="s">
        <v>6963</v>
      </c>
      <c r="O1976" s="5" t="s">
        <v>3133</v>
      </c>
      <c r="P1976" s="5" t="s">
        <v>2858</v>
      </c>
      <c r="Q1976" s="11">
        <v>46306.5</v>
      </c>
      <c r="R1976" s="6"/>
      <c r="S1976" s="6"/>
      <c r="T1976" s="6"/>
      <c r="U1976" s="5">
        <f>MATCH(B1976,Manual_Review!$A$6:$A$238,0)</f>
        <v>124</v>
      </c>
      <c r="V1976" s="5" t="str">
        <f>IF(INDEX(Manual_Review!$G$6:$G$238,U1976)="","",INDEX(Manual_Review!$G$6:$G$238,U1976))</f>
        <v/>
      </c>
      <c r="W1976" s="11" t="str">
        <f>IF(INDEX(Manual_Review!$H$6:$H$238,U1976)="","",INDEX(Manual_Review!$H$6:$H$238,U1976))</f>
        <v/>
      </c>
      <c r="X1976" s="5" t="str">
        <f>IF(INDEX(Manual_Review!$I$6:$I$238,U1976)="","",INDEX(Manual_Review!$I$6:$I$238,U1976))</f>
        <v/>
      </c>
      <c r="Y1976" s="5" t="s">
        <v>2859</v>
      </c>
    </row>
    <row r="1977" spans="1:25" ht="38.25">
      <c r="A1977" s="5" t="s">
        <v>6968</v>
      </c>
      <c r="B1977" s="5" t="s">
        <v>1450</v>
      </c>
      <c r="C1977" s="5" t="s">
        <v>1451</v>
      </c>
      <c r="D1977" s="5" t="s">
        <v>118</v>
      </c>
      <c r="E1977" s="5" t="s">
        <v>2784</v>
      </c>
      <c r="F1977" s="5" t="s">
        <v>2756</v>
      </c>
      <c r="G1977" s="5">
        <v>1</v>
      </c>
      <c r="H1977" s="5" t="s">
        <v>2864</v>
      </c>
      <c r="I1977" s="5" t="str">
        <f>IF(INDEX(Manual_Review!$N$6:$N$238,U1977)="","",INDEX(Manual_Review!$N$6:$N$238,U1977))</f>
        <v/>
      </c>
      <c r="J1977" s="5" t="str">
        <f t="shared" si="60"/>
        <v>AI provisional</v>
      </c>
      <c r="K1977" s="5" t="str">
        <f t="shared" si="61"/>
        <v>U</v>
      </c>
      <c r="L1977" s="5" t="s">
        <v>1460</v>
      </c>
      <c r="M1977" s="5" t="s">
        <v>6969</v>
      </c>
      <c r="N1977" s="5" t="s">
        <v>6963</v>
      </c>
      <c r="O1977" s="5" t="s">
        <v>2869</v>
      </c>
      <c r="P1977" s="5" t="s">
        <v>2858</v>
      </c>
      <c r="Q1977" s="11">
        <v>46306.5</v>
      </c>
      <c r="R1977" s="6"/>
      <c r="S1977" s="6"/>
      <c r="T1977" s="6"/>
      <c r="U1977" s="5">
        <f>MATCH(B1977,Manual_Review!$A$6:$A$238,0)</f>
        <v>124</v>
      </c>
      <c r="V1977" s="5" t="str">
        <f>IF(INDEX(Manual_Review!$G$6:$G$238,U1977)="","",INDEX(Manual_Review!$G$6:$G$238,U1977))</f>
        <v/>
      </c>
      <c r="W1977" s="11" t="str">
        <f>IF(INDEX(Manual_Review!$H$6:$H$238,U1977)="","",INDEX(Manual_Review!$H$6:$H$238,U1977))</f>
        <v/>
      </c>
      <c r="X1977" s="5" t="str">
        <f>IF(INDEX(Manual_Review!$I$6:$I$238,U1977)="","",INDEX(Manual_Review!$I$6:$I$238,U1977))</f>
        <v/>
      </c>
      <c r="Y1977" s="5" t="s">
        <v>2859</v>
      </c>
    </row>
    <row r="1978" spans="1:25" ht="38.25">
      <c r="A1978" s="5" t="s">
        <v>6970</v>
      </c>
      <c r="B1978" s="5" t="s">
        <v>1450</v>
      </c>
      <c r="C1978" s="5" t="s">
        <v>1451</v>
      </c>
      <c r="D1978" s="5" t="s">
        <v>118</v>
      </c>
      <c r="E1978" s="5" t="s">
        <v>2785</v>
      </c>
      <c r="F1978" s="5" t="s">
        <v>2756</v>
      </c>
      <c r="G1978" s="5">
        <v>1</v>
      </c>
      <c r="H1978" s="5" t="s">
        <v>2864</v>
      </c>
      <c r="I1978" s="5" t="str">
        <f>IF(INDEX(Manual_Review!$O$6:$O$238,U1978)="","",INDEX(Manual_Review!$O$6:$O$238,U1978))</f>
        <v/>
      </c>
      <c r="J1978" s="5" t="str">
        <f t="shared" si="60"/>
        <v>AI provisional</v>
      </c>
      <c r="K1978" s="5" t="str">
        <f t="shared" si="61"/>
        <v>U</v>
      </c>
      <c r="L1978" s="5" t="s">
        <v>1460</v>
      </c>
      <c r="M1978" s="5" t="s">
        <v>6971</v>
      </c>
      <c r="N1978" s="5" t="s">
        <v>6963</v>
      </c>
      <c r="O1978" s="5" t="s">
        <v>2872</v>
      </c>
      <c r="P1978" s="5" t="s">
        <v>2858</v>
      </c>
      <c r="Q1978" s="11">
        <v>46306.5</v>
      </c>
      <c r="R1978" s="6"/>
      <c r="S1978" s="6"/>
      <c r="T1978" s="6"/>
      <c r="U1978" s="5">
        <f>MATCH(B1978,Manual_Review!$A$6:$A$238,0)</f>
        <v>124</v>
      </c>
      <c r="V1978" s="5" t="str">
        <f>IF(INDEX(Manual_Review!$G$6:$G$238,U1978)="","",INDEX(Manual_Review!$G$6:$G$238,U1978))</f>
        <v/>
      </c>
      <c r="W1978" s="11" t="str">
        <f>IF(INDEX(Manual_Review!$H$6:$H$238,U1978)="","",INDEX(Manual_Review!$H$6:$H$238,U1978))</f>
        <v/>
      </c>
      <c r="X1978" s="5" t="str">
        <f>IF(INDEX(Manual_Review!$I$6:$I$238,U1978)="","",INDEX(Manual_Review!$I$6:$I$238,U1978))</f>
        <v/>
      </c>
      <c r="Y1978" s="5" t="s">
        <v>2859</v>
      </c>
    </row>
    <row r="1979" spans="1:25" ht="38.25">
      <c r="A1979" s="5" t="s">
        <v>6972</v>
      </c>
      <c r="B1979" s="5" t="s">
        <v>1450</v>
      </c>
      <c r="C1979" s="5" t="s">
        <v>1451</v>
      </c>
      <c r="D1979" s="5" t="s">
        <v>118</v>
      </c>
      <c r="E1979" s="5" t="s">
        <v>2786</v>
      </c>
      <c r="F1979" s="5" t="s">
        <v>2756</v>
      </c>
      <c r="G1979" s="5">
        <v>1</v>
      </c>
      <c r="H1979" s="5" t="s">
        <v>2864</v>
      </c>
      <c r="I1979" s="5" t="str">
        <f>IF(INDEX(Manual_Review!$P$6:$P$238,U1979)="","",INDEX(Manual_Review!$P$6:$P$238,U1979))</f>
        <v/>
      </c>
      <c r="J1979" s="5" t="str">
        <f t="shared" si="60"/>
        <v>AI provisional</v>
      </c>
      <c r="K1979" s="5" t="str">
        <f t="shared" si="61"/>
        <v>U</v>
      </c>
      <c r="L1979" s="5" t="s">
        <v>1460</v>
      </c>
      <c r="M1979" s="5" t="s">
        <v>6973</v>
      </c>
      <c r="N1979" s="5" t="s">
        <v>6963</v>
      </c>
      <c r="O1979" s="5" t="s">
        <v>2874</v>
      </c>
      <c r="P1979" s="5" t="s">
        <v>2858</v>
      </c>
      <c r="Q1979" s="11">
        <v>46306.5</v>
      </c>
      <c r="R1979" s="6"/>
      <c r="S1979" s="6"/>
      <c r="T1979" s="6"/>
      <c r="U1979" s="5">
        <f>MATCH(B1979,Manual_Review!$A$6:$A$238,0)</f>
        <v>124</v>
      </c>
      <c r="V1979" s="5" t="str">
        <f>IF(INDEX(Manual_Review!$G$6:$G$238,U1979)="","",INDEX(Manual_Review!$G$6:$G$238,U1979))</f>
        <v/>
      </c>
      <c r="W1979" s="11" t="str">
        <f>IF(INDEX(Manual_Review!$H$6:$H$238,U1979)="","",INDEX(Manual_Review!$H$6:$H$238,U1979))</f>
        <v/>
      </c>
      <c r="X1979" s="5" t="str">
        <f>IF(INDEX(Manual_Review!$I$6:$I$238,U1979)="","",INDEX(Manual_Review!$I$6:$I$238,U1979))</f>
        <v/>
      </c>
      <c r="Y1979" s="5" t="s">
        <v>2859</v>
      </c>
    </row>
    <row r="1980" spans="1:25" ht="38.25">
      <c r="A1980" s="5" t="s">
        <v>6974</v>
      </c>
      <c r="B1980" s="5" t="s">
        <v>1450</v>
      </c>
      <c r="C1980" s="5" t="s">
        <v>1451</v>
      </c>
      <c r="D1980" s="5" t="s">
        <v>118</v>
      </c>
      <c r="E1980" s="5" t="s">
        <v>2787</v>
      </c>
      <c r="F1980" s="5" t="s">
        <v>2758</v>
      </c>
      <c r="G1980" s="5">
        <v>1</v>
      </c>
      <c r="H1980" s="5" t="s">
        <v>2864</v>
      </c>
      <c r="I1980" s="5" t="str">
        <f>IF(INDEX(Manual_Review!$Q$6:$Q$238,U1980)="","",INDEX(Manual_Review!$Q$6:$Q$238,U1980))</f>
        <v/>
      </c>
      <c r="J1980" s="5" t="str">
        <f t="shared" si="60"/>
        <v>AI provisional</v>
      </c>
      <c r="K1980" s="5" t="str">
        <f t="shared" si="61"/>
        <v>U</v>
      </c>
      <c r="L1980" s="5" t="s">
        <v>1460</v>
      </c>
      <c r="M1980" s="5" t="s">
        <v>6975</v>
      </c>
      <c r="N1980" s="5" t="s">
        <v>6963</v>
      </c>
      <c r="O1980" s="5" t="s">
        <v>2877</v>
      </c>
      <c r="P1980" s="5" t="s">
        <v>2858</v>
      </c>
      <c r="Q1980" s="11">
        <v>46306.5</v>
      </c>
      <c r="R1980" s="6"/>
      <c r="S1980" s="6"/>
      <c r="T1980" s="6"/>
      <c r="U1980" s="5">
        <f>MATCH(B1980,Manual_Review!$A$6:$A$238,0)</f>
        <v>124</v>
      </c>
      <c r="V1980" s="5" t="str">
        <f>IF(INDEX(Manual_Review!$G$6:$G$238,U1980)="","",INDEX(Manual_Review!$G$6:$G$238,U1980))</f>
        <v/>
      </c>
      <c r="W1980" s="11" t="str">
        <f>IF(INDEX(Manual_Review!$H$6:$H$238,U1980)="","",INDEX(Manual_Review!$H$6:$H$238,U1980))</f>
        <v/>
      </c>
      <c r="X1980" s="5" t="str">
        <f>IF(INDEX(Manual_Review!$I$6:$I$238,U1980)="","",INDEX(Manual_Review!$I$6:$I$238,U1980))</f>
        <v/>
      </c>
      <c r="Y1980" s="5" t="s">
        <v>2859</v>
      </c>
    </row>
    <row r="1981" spans="1:25" ht="38.25">
      <c r="A1981" s="5" t="s">
        <v>6976</v>
      </c>
      <c r="B1981" s="5" t="s">
        <v>1450</v>
      </c>
      <c r="C1981" s="5" t="s">
        <v>1451</v>
      </c>
      <c r="D1981" s="5" t="s">
        <v>118</v>
      </c>
      <c r="E1981" s="5" t="s">
        <v>2788</v>
      </c>
      <c r="F1981" s="5" t="s">
        <v>2758</v>
      </c>
      <c r="G1981" s="5">
        <v>1</v>
      </c>
      <c r="H1981" s="5" t="s">
        <v>2854</v>
      </c>
      <c r="I1981" s="5" t="str">
        <f>IF(INDEX(Manual_Review!$R$6:$R$238,U1981)="","",INDEX(Manual_Review!$R$6:$R$238,U1981))</f>
        <v/>
      </c>
      <c r="J1981" s="5" t="str">
        <f t="shared" si="60"/>
        <v>AI provisional</v>
      </c>
      <c r="K1981" s="5" t="str">
        <f t="shared" si="61"/>
        <v>Y</v>
      </c>
      <c r="L1981" s="5" t="s">
        <v>1460</v>
      </c>
      <c r="M1981" s="5" t="s">
        <v>6977</v>
      </c>
      <c r="N1981" s="5" t="s">
        <v>6963</v>
      </c>
      <c r="O1981" s="5" t="s">
        <v>3067</v>
      </c>
      <c r="P1981" s="5" t="s">
        <v>2858</v>
      </c>
      <c r="Q1981" s="11">
        <v>46306.5</v>
      </c>
      <c r="R1981" s="6"/>
      <c r="S1981" s="6"/>
      <c r="T1981" s="6"/>
      <c r="U1981" s="5">
        <f>MATCH(B1981,Manual_Review!$A$6:$A$238,0)</f>
        <v>124</v>
      </c>
      <c r="V1981" s="5" t="str">
        <f>IF(INDEX(Manual_Review!$G$6:$G$238,U1981)="","",INDEX(Manual_Review!$G$6:$G$238,U1981))</f>
        <v/>
      </c>
      <c r="W1981" s="11" t="str">
        <f>IF(INDEX(Manual_Review!$H$6:$H$238,U1981)="","",INDEX(Manual_Review!$H$6:$H$238,U1981))</f>
        <v/>
      </c>
      <c r="X1981" s="5" t="str">
        <f>IF(INDEX(Manual_Review!$I$6:$I$238,U1981)="","",INDEX(Manual_Review!$I$6:$I$238,U1981))</f>
        <v/>
      </c>
      <c r="Y1981" s="5" t="s">
        <v>2859</v>
      </c>
    </row>
    <row r="1982" spans="1:25" ht="38.25">
      <c r="A1982" s="5" t="s">
        <v>6978</v>
      </c>
      <c r="B1982" s="5" t="s">
        <v>1450</v>
      </c>
      <c r="C1982" s="5" t="s">
        <v>1451</v>
      </c>
      <c r="D1982" s="5" t="s">
        <v>118</v>
      </c>
      <c r="E1982" s="5" t="s">
        <v>2789</v>
      </c>
      <c r="F1982" s="5" t="s">
        <v>2758</v>
      </c>
      <c r="G1982" s="5">
        <v>1</v>
      </c>
      <c r="H1982" s="5" t="s">
        <v>2854</v>
      </c>
      <c r="I1982" s="5" t="str">
        <f>IF(INDEX(Manual_Review!$S$6:$S$238,U1982)="","",INDEX(Manual_Review!$S$6:$S$238,U1982))</f>
        <v/>
      </c>
      <c r="J1982" s="5" t="str">
        <f t="shared" si="60"/>
        <v>AI provisional</v>
      </c>
      <c r="K1982" s="5" t="str">
        <f t="shared" si="61"/>
        <v>Y</v>
      </c>
      <c r="L1982" s="5" t="s">
        <v>1460</v>
      </c>
      <c r="M1982" s="5" t="s">
        <v>6979</v>
      </c>
      <c r="N1982" s="5" t="s">
        <v>6963</v>
      </c>
      <c r="O1982" s="5" t="s">
        <v>3178</v>
      </c>
      <c r="P1982" s="5" t="s">
        <v>2858</v>
      </c>
      <c r="Q1982" s="11">
        <v>46306.5</v>
      </c>
      <c r="R1982" s="6"/>
      <c r="S1982" s="6"/>
      <c r="T1982" s="6"/>
      <c r="U1982" s="5">
        <f>MATCH(B1982,Manual_Review!$A$6:$A$238,0)</f>
        <v>124</v>
      </c>
      <c r="V1982" s="5" t="str">
        <f>IF(INDEX(Manual_Review!$G$6:$G$238,U1982)="","",INDEX(Manual_Review!$G$6:$G$238,U1982))</f>
        <v/>
      </c>
      <c r="W1982" s="11" t="str">
        <f>IF(INDEX(Manual_Review!$H$6:$H$238,U1982)="","",INDEX(Manual_Review!$H$6:$H$238,U1982))</f>
        <v/>
      </c>
      <c r="X1982" s="5" t="str">
        <f>IF(INDEX(Manual_Review!$I$6:$I$238,U1982)="","",INDEX(Manual_Review!$I$6:$I$238,U1982))</f>
        <v/>
      </c>
      <c r="Y1982" s="5" t="s">
        <v>2859</v>
      </c>
    </row>
    <row r="1983" spans="1:25" ht="38.25">
      <c r="A1983" s="5" t="s">
        <v>6980</v>
      </c>
      <c r="B1983" s="5" t="s">
        <v>1450</v>
      </c>
      <c r="C1983" s="5" t="s">
        <v>1451</v>
      </c>
      <c r="D1983" s="5" t="s">
        <v>118</v>
      </c>
      <c r="E1983" s="5" t="s">
        <v>2790</v>
      </c>
      <c r="F1983" s="5" t="s">
        <v>2760</v>
      </c>
      <c r="G1983" s="5">
        <v>1</v>
      </c>
      <c r="H1983" s="5" t="s">
        <v>2854</v>
      </c>
      <c r="I1983" s="5" t="str">
        <f>IF(INDEX(Manual_Review!$T$6:$T$238,U1983)="","",INDEX(Manual_Review!$T$6:$T$238,U1983))</f>
        <v/>
      </c>
      <c r="J1983" s="5" t="str">
        <f t="shared" si="60"/>
        <v>AI provisional</v>
      </c>
      <c r="K1983" s="5" t="str">
        <f t="shared" si="61"/>
        <v>Y</v>
      </c>
      <c r="L1983" s="5" t="s">
        <v>1460</v>
      </c>
      <c r="M1983" s="5" t="s">
        <v>6981</v>
      </c>
      <c r="N1983" s="5" t="s">
        <v>6963</v>
      </c>
      <c r="O1983" s="5" t="s">
        <v>2976</v>
      </c>
      <c r="P1983" s="5" t="s">
        <v>2858</v>
      </c>
      <c r="Q1983" s="11">
        <v>46306.5</v>
      </c>
      <c r="R1983" s="6"/>
      <c r="S1983" s="6"/>
      <c r="T1983" s="6"/>
      <c r="U1983" s="5">
        <f>MATCH(B1983,Manual_Review!$A$6:$A$238,0)</f>
        <v>124</v>
      </c>
      <c r="V1983" s="5" t="str">
        <f>IF(INDEX(Manual_Review!$G$6:$G$238,U1983)="","",INDEX(Manual_Review!$G$6:$G$238,U1983))</f>
        <v/>
      </c>
      <c r="W1983" s="11" t="str">
        <f>IF(INDEX(Manual_Review!$H$6:$H$238,U1983)="","",INDEX(Manual_Review!$H$6:$H$238,U1983))</f>
        <v/>
      </c>
      <c r="X1983" s="5" t="str">
        <f>IF(INDEX(Manual_Review!$I$6:$I$238,U1983)="","",INDEX(Manual_Review!$I$6:$I$238,U1983))</f>
        <v/>
      </c>
      <c r="Y1983" s="5" t="s">
        <v>2859</v>
      </c>
    </row>
    <row r="1984" spans="1:25" ht="38.25">
      <c r="A1984" s="5" t="s">
        <v>6982</v>
      </c>
      <c r="B1984" s="5" t="s">
        <v>1450</v>
      </c>
      <c r="C1984" s="5" t="s">
        <v>1451</v>
      </c>
      <c r="D1984" s="5" t="s">
        <v>118</v>
      </c>
      <c r="E1984" s="5" t="s">
        <v>2791</v>
      </c>
      <c r="F1984" s="5" t="s">
        <v>2760</v>
      </c>
      <c r="G1984" s="5">
        <v>1</v>
      </c>
      <c r="H1984" s="5" t="s">
        <v>2864</v>
      </c>
      <c r="I1984" s="5" t="str">
        <f>IF(INDEX(Manual_Review!$U$6:$U$238,U1984)="","",INDEX(Manual_Review!$U$6:$U$238,U1984))</f>
        <v/>
      </c>
      <c r="J1984" s="5" t="str">
        <f t="shared" si="60"/>
        <v>AI provisional</v>
      </c>
      <c r="K1984" s="5" t="str">
        <f t="shared" si="61"/>
        <v>U</v>
      </c>
      <c r="L1984" s="5" t="s">
        <v>1460</v>
      </c>
      <c r="M1984" s="5" t="s">
        <v>6983</v>
      </c>
      <c r="N1984" s="5" t="s">
        <v>6963</v>
      </c>
      <c r="O1984" s="5" t="s">
        <v>2888</v>
      </c>
      <c r="P1984" s="5" t="s">
        <v>2858</v>
      </c>
      <c r="Q1984" s="11">
        <v>46306.5</v>
      </c>
      <c r="R1984" s="6"/>
      <c r="S1984" s="6"/>
      <c r="T1984" s="6"/>
      <c r="U1984" s="5">
        <f>MATCH(B1984,Manual_Review!$A$6:$A$238,0)</f>
        <v>124</v>
      </c>
      <c r="V1984" s="5" t="str">
        <f>IF(INDEX(Manual_Review!$G$6:$G$238,U1984)="","",INDEX(Manual_Review!$G$6:$G$238,U1984))</f>
        <v/>
      </c>
      <c r="W1984" s="11" t="str">
        <f>IF(INDEX(Manual_Review!$H$6:$H$238,U1984)="","",INDEX(Manual_Review!$H$6:$H$238,U1984))</f>
        <v/>
      </c>
      <c r="X1984" s="5" t="str">
        <f>IF(INDEX(Manual_Review!$I$6:$I$238,U1984)="","",INDEX(Manual_Review!$I$6:$I$238,U1984))</f>
        <v/>
      </c>
      <c r="Y1984" s="5" t="s">
        <v>2859</v>
      </c>
    </row>
    <row r="1985" spans="1:25" ht="38.25">
      <c r="A1985" s="5" t="s">
        <v>6984</v>
      </c>
      <c r="B1985" s="5" t="s">
        <v>1450</v>
      </c>
      <c r="C1985" s="5" t="s">
        <v>1451</v>
      </c>
      <c r="D1985" s="5" t="s">
        <v>118</v>
      </c>
      <c r="E1985" s="5" t="s">
        <v>2792</v>
      </c>
      <c r="F1985" s="5" t="s">
        <v>2762</v>
      </c>
      <c r="G1985" s="5">
        <v>1</v>
      </c>
      <c r="H1985" s="5" t="s">
        <v>2854</v>
      </c>
      <c r="I1985" s="5" t="str">
        <f>IF(INDEX(Manual_Review!$V$6:$V$238,U1985)="","",INDEX(Manual_Review!$V$6:$V$238,U1985))</f>
        <v/>
      </c>
      <c r="J1985" s="5" t="str">
        <f t="shared" si="60"/>
        <v>AI provisional</v>
      </c>
      <c r="K1985" s="5" t="str">
        <f t="shared" si="61"/>
        <v>Y</v>
      </c>
      <c r="L1985" s="5" t="s">
        <v>1460</v>
      </c>
      <c r="M1985" s="5" t="s">
        <v>6985</v>
      </c>
      <c r="N1985" s="5" t="s">
        <v>6963</v>
      </c>
      <c r="O1985" s="5" t="s">
        <v>3152</v>
      </c>
      <c r="P1985" s="5" t="s">
        <v>2858</v>
      </c>
      <c r="Q1985" s="11">
        <v>46306.5</v>
      </c>
      <c r="R1985" s="6"/>
      <c r="S1985" s="6"/>
      <c r="T1985" s="6"/>
      <c r="U1985" s="5">
        <f>MATCH(B1985,Manual_Review!$A$6:$A$238,0)</f>
        <v>124</v>
      </c>
      <c r="V1985" s="5" t="str">
        <f>IF(INDEX(Manual_Review!$G$6:$G$238,U1985)="","",INDEX(Manual_Review!$G$6:$G$238,U1985))</f>
        <v/>
      </c>
      <c r="W1985" s="11" t="str">
        <f>IF(INDEX(Manual_Review!$H$6:$H$238,U1985)="","",INDEX(Manual_Review!$H$6:$H$238,U1985))</f>
        <v/>
      </c>
      <c r="X1985" s="5" t="str">
        <f>IF(INDEX(Manual_Review!$I$6:$I$238,U1985)="","",INDEX(Manual_Review!$I$6:$I$238,U1985))</f>
        <v/>
      </c>
      <c r="Y1985" s="5" t="s">
        <v>2859</v>
      </c>
    </row>
    <row r="1986" spans="1:25" ht="38.25">
      <c r="A1986" s="5" t="s">
        <v>6986</v>
      </c>
      <c r="B1986" s="5" t="s">
        <v>1450</v>
      </c>
      <c r="C1986" s="5" t="s">
        <v>1451</v>
      </c>
      <c r="D1986" s="5" t="s">
        <v>118</v>
      </c>
      <c r="E1986" s="5" t="s">
        <v>2793</v>
      </c>
      <c r="F1986" s="5" t="s">
        <v>2762</v>
      </c>
      <c r="G1986" s="5">
        <v>1</v>
      </c>
      <c r="H1986" s="5" t="s">
        <v>2854</v>
      </c>
      <c r="I1986" s="5" t="str">
        <f>IF(INDEX(Manual_Review!$W$6:$W$238,U1986)="","",INDEX(Manual_Review!$W$6:$W$238,U1986))</f>
        <v/>
      </c>
      <c r="J1986" s="5" t="str">
        <f t="shared" si="60"/>
        <v>AI provisional</v>
      </c>
      <c r="K1986" s="5" t="str">
        <f t="shared" si="61"/>
        <v>Y</v>
      </c>
      <c r="L1986" s="5" t="s">
        <v>1460</v>
      </c>
      <c r="M1986" s="5" t="s">
        <v>6987</v>
      </c>
      <c r="N1986" s="5" t="s">
        <v>6963</v>
      </c>
      <c r="O1986" s="5" t="s">
        <v>3077</v>
      </c>
      <c r="P1986" s="5" t="s">
        <v>2858</v>
      </c>
      <c r="Q1986" s="11">
        <v>46306.5</v>
      </c>
      <c r="R1986" s="6"/>
      <c r="S1986" s="6"/>
      <c r="T1986" s="6"/>
      <c r="U1986" s="5">
        <f>MATCH(B1986,Manual_Review!$A$6:$A$238,0)</f>
        <v>124</v>
      </c>
      <c r="V1986" s="5" t="str">
        <f>IF(INDEX(Manual_Review!$G$6:$G$238,U1986)="","",INDEX(Manual_Review!$G$6:$G$238,U1986))</f>
        <v/>
      </c>
      <c r="W1986" s="11" t="str">
        <f>IF(INDEX(Manual_Review!$H$6:$H$238,U1986)="","",INDEX(Manual_Review!$H$6:$H$238,U1986))</f>
        <v/>
      </c>
      <c r="X1986" s="5" t="str">
        <f>IF(INDEX(Manual_Review!$I$6:$I$238,U1986)="","",INDEX(Manual_Review!$I$6:$I$238,U1986))</f>
        <v/>
      </c>
      <c r="Y1986" s="5" t="s">
        <v>2859</v>
      </c>
    </row>
    <row r="1987" spans="1:25" ht="38.25">
      <c r="A1987" s="5" t="s">
        <v>6988</v>
      </c>
      <c r="B1987" s="5" t="s">
        <v>1450</v>
      </c>
      <c r="C1987" s="5" t="s">
        <v>1451</v>
      </c>
      <c r="D1987" s="5" t="s">
        <v>118</v>
      </c>
      <c r="E1987" s="5" t="s">
        <v>2794</v>
      </c>
      <c r="F1987" s="5" t="s">
        <v>2764</v>
      </c>
      <c r="G1987" s="5">
        <v>1</v>
      </c>
      <c r="H1987" s="5" t="s">
        <v>2854</v>
      </c>
      <c r="I1987" s="5" t="str">
        <f>IF(INDEX(Manual_Review!$X$6:$X$238,U1987)="","",INDEX(Manual_Review!$X$6:$X$238,U1987))</f>
        <v/>
      </c>
      <c r="J1987" s="5" t="str">
        <f t="shared" si="60"/>
        <v>AI provisional</v>
      </c>
      <c r="K1987" s="5" t="str">
        <f t="shared" si="61"/>
        <v>Y</v>
      </c>
      <c r="L1987" s="5" t="s">
        <v>1460</v>
      </c>
      <c r="M1987" s="5" t="s">
        <v>6989</v>
      </c>
      <c r="N1987" s="5" t="s">
        <v>6963</v>
      </c>
      <c r="O1987" s="5" t="s">
        <v>2984</v>
      </c>
      <c r="P1987" s="5" t="s">
        <v>2858</v>
      </c>
      <c r="Q1987" s="11">
        <v>46306.5</v>
      </c>
      <c r="R1987" s="6"/>
      <c r="S1987" s="6"/>
      <c r="T1987" s="6"/>
      <c r="U1987" s="5">
        <f>MATCH(B1987,Manual_Review!$A$6:$A$238,0)</f>
        <v>124</v>
      </c>
      <c r="V1987" s="5" t="str">
        <f>IF(INDEX(Manual_Review!$G$6:$G$238,U1987)="","",INDEX(Manual_Review!$G$6:$G$238,U1987))</f>
        <v/>
      </c>
      <c r="W1987" s="11" t="str">
        <f>IF(INDEX(Manual_Review!$H$6:$H$238,U1987)="","",INDEX(Manual_Review!$H$6:$H$238,U1987))</f>
        <v/>
      </c>
      <c r="X1987" s="5" t="str">
        <f>IF(INDEX(Manual_Review!$I$6:$I$238,U1987)="","",INDEX(Manual_Review!$I$6:$I$238,U1987))</f>
        <v/>
      </c>
      <c r="Y1987" s="5" t="s">
        <v>2859</v>
      </c>
    </row>
    <row r="1988" spans="1:25" ht="38.25">
      <c r="A1988" s="5" t="s">
        <v>6990</v>
      </c>
      <c r="B1988" s="5" t="s">
        <v>1450</v>
      </c>
      <c r="C1988" s="5" t="s">
        <v>1451</v>
      </c>
      <c r="D1988" s="5" t="s">
        <v>118</v>
      </c>
      <c r="E1988" s="5" t="s">
        <v>2795</v>
      </c>
      <c r="F1988" s="5" t="s">
        <v>2764</v>
      </c>
      <c r="G1988" s="5">
        <v>1</v>
      </c>
      <c r="H1988" s="5" t="s">
        <v>2864</v>
      </c>
      <c r="I1988" s="5" t="str">
        <f>IF(INDEX(Manual_Review!$Y$6:$Y$238,U1988)="","",INDEX(Manual_Review!$Y$6:$Y$238,U1988))</f>
        <v/>
      </c>
      <c r="J1988" s="5" t="str">
        <f t="shared" si="60"/>
        <v>AI provisional</v>
      </c>
      <c r="K1988" s="5" t="str">
        <f t="shared" si="61"/>
        <v>U</v>
      </c>
      <c r="L1988" s="5" t="s">
        <v>1460</v>
      </c>
      <c r="M1988" s="5" t="s">
        <v>6991</v>
      </c>
      <c r="N1988" s="5" t="s">
        <v>6963</v>
      </c>
      <c r="O1988" s="5" t="s">
        <v>2897</v>
      </c>
      <c r="P1988" s="5" t="s">
        <v>2858</v>
      </c>
      <c r="Q1988" s="11">
        <v>46306.5</v>
      </c>
      <c r="R1988" s="6"/>
      <c r="S1988" s="6"/>
      <c r="T1988" s="6"/>
      <c r="U1988" s="5">
        <f>MATCH(B1988,Manual_Review!$A$6:$A$238,0)</f>
        <v>124</v>
      </c>
      <c r="V1988" s="5" t="str">
        <f>IF(INDEX(Manual_Review!$G$6:$G$238,U1988)="","",INDEX(Manual_Review!$G$6:$G$238,U1988))</f>
        <v/>
      </c>
      <c r="W1988" s="11" t="str">
        <f>IF(INDEX(Manual_Review!$H$6:$H$238,U1988)="","",INDEX(Manual_Review!$H$6:$H$238,U1988))</f>
        <v/>
      </c>
      <c r="X1988" s="5" t="str">
        <f>IF(INDEX(Manual_Review!$I$6:$I$238,U1988)="","",INDEX(Manual_Review!$I$6:$I$238,U1988))</f>
        <v/>
      </c>
      <c r="Y1988" s="5" t="s">
        <v>2859</v>
      </c>
    </row>
    <row r="1989" spans="1:25" ht="38.25">
      <c r="A1989" s="5" t="s">
        <v>6992</v>
      </c>
      <c r="B1989" s="5" t="s">
        <v>1450</v>
      </c>
      <c r="C1989" s="5" t="s">
        <v>1451</v>
      </c>
      <c r="D1989" s="5" t="s">
        <v>118</v>
      </c>
      <c r="E1989" s="5" t="s">
        <v>2796</v>
      </c>
      <c r="F1989" s="5" t="s">
        <v>2764</v>
      </c>
      <c r="G1989" s="5">
        <v>1</v>
      </c>
      <c r="H1989" s="5" t="s">
        <v>2864</v>
      </c>
      <c r="I1989" s="5" t="str">
        <f>IF(INDEX(Manual_Review!$Z$6:$Z$238,U1989)="","",INDEX(Manual_Review!$Z$6:$Z$238,U1989))</f>
        <v/>
      </c>
      <c r="J1989" s="5" t="str">
        <f t="shared" si="60"/>
        <v>AI provisional</v>
      </c>
      <c r="K1989" s="5" t="str">
        <f t="shared" si="61"/>
        <v>U</v>
      </c>
      <c r="L1989" s="5" t="s">
        <v>1460</v>
      </c>
      <c r="M1989" s="5" t="s">
        <v>6993</v>
      </c>
      <c r="N1989" s="5" t="s">
        <v>6963</v>
      </c>
      <c r="O1989" s="5" t="s">
        <v>2899</v>
      </c>
      <c r="P1989" s="5" t="s">
        <v>2858</v>
      </c>
      <c r="Q1989" s="11">
        <v>46306.5</v>
      </c>
      <c r="R1989" s="6"/>
      <c r="S1989" s="6"/>
      <c r="T1989" s="6"/>
      <c r="U1989" s="5">
        <f>MATCH(B1989,Manual_Review!$A$6:$A$238,0)</f>
        <v>124</v>
      </c>
      <c r="V1989" s="5" t="str">
        <f>IF(INDEX(Manual_Review!$G$6:$G$238,U1989)="","",INDEX(Manual_Review!$G$6:$G$238,U1989))</f>
        <v/>
      </c>
      <c r="W1989" s="11" t="str">
        <f>IF(INDEX(Manual_Review!$H$6:$H$238,U1989)="","",INDEX(Manual_Review!$H$6:$H$238,U1989))</f>
        <v/>
      </c>
      <c r="X1989" s="5" t="str">
        <f>IF(INDEX(Manual_Review!$I$6:$I$238,U1989)="","",INDEX(Manual_Review!$I$6:$I$238,U1989))</f>
        <v/>
      </c>
      <c r="Y1989" s="5" t="s">
        <v>2859</v>
      </c>
    </row>
    <row r="1990" spans="1:25" ht="25.5">
      <c r="A1990" s="5" t="s">
        <v>6994</v>
      </c>
      <c r="B1990" s="5" t="s">
        <v>1462</v>
      </c>
      <c r="C1990" s="5" t="s">
        <v>1463</v>
      </c>
      <c r="D1990" s="5" t="s">
        <v>118</v>
      </c>
      <c r="E1990" s="5" t="s">
        <v>2781</v>
      </c>
      <c r="F1990" s="5" t="s">
        <v>2754</v>
      </c>
      <c r="G1990" s="5">
        <v>1</v>
      </c>
      <c r="H1990" s="5" t="s">
        <v>2854</v>
      </c>
      <c r="I1990" s="5" t="str">
        <f>IF(INDEX(Manual_Review!$K$6:$K$238,U1990)="","",INDEX(Manual_Review!$K$6:$K$238,U1990))</f>
        <v/>
      </c>
      <c r="J1990" s="5" t="str">
        <f t="shared" ref="J1990:J2053" si="62">IF(G1990=0,"Not applicable",IF(I1990="","AI provisional",IF(AND(OR(I1990="Y",I1990="N",I1990="U",I1990="X"),V1990&lt;&gt;"",ISNUMBER(W1990),W1990&gt;0,X1990="Confirmed",R1990&lt;&gt;"",S1990&lt;&gt;"",T1990&lt;&gt;""),"Human valid","Evidence needed")))</f>
        <v>AI provisional</v>
      </c>
      <c r="K1990" s="5" t="str">
        <f t="shared" ref="K1990:K2053" si="63">IF(G1990=0,"N/A",IF(I1990="",H1990,IF(J1990="Human valid",I1990,"U")))</f>
        <v>Y</v>
      </c>
      <c r="L1990" s="5" t="s">
        <v>1467</v>
      </c>
      <c r="M1990" s="5" t="s">
        <v>6995</v>
      </c>
      <c r="N1990" s="5" t="s">
        <v>6996</v>
      </c>
      <c r="O1990" s="5" t="s">
        <v>2857</v>
      </c>
      <c r="P1990" s="5" t="s">
        <v>2858</v>
      </c>
      <c r="Q1990" s="11">
        <v>46306.5</v>
      </c>
      <c r="R1990" s="6"/>
      <c r="S1990" s="6"/>
      <c r="T1990" s="6"/>
      <c r="U1990" s="5">
        <f>MATCH(B1990,Manual_Review!$A$6:$A$238,0)</f>
        <v>125</v>
      </c>
      <c r="V1990" s="5" t="str">
        <f>IF(INDEX(Manual_Review!$G$6:$G$238,U1990)="","",INDEX(Manual_Review!$G$6:$G$238,U1990))</f>
        <v/>
      </c>
      <c r="W1990" s="11" t="str">
        <f>IF(INDEX(Manual_Review!$H$6:$H$238,U1990)="","",INDEX(Manual_Review!$H$6:$H$238,U1990))</f>
        <v/>
      </c>
      <c r="X1990" s="5" t="str">
        <f>IF(INDEX(Manual_Review!$I$6:$I$238,U1990)="","",INDEX(Manual_Review!$I$6:$I$238,U1990))</f>
        <v/>
      </c>
      <c r="Y1990" s="5" t="s">
        <v>2859</v>
      </c>
    </row>
    <row r="1991" spans="1:25" ht="25.5">
      <c r="A1991" s="5" t="s">
        <v>6997</v>
      </c>
      <c r="B1991" s="5" t="s">
        <v>1462</v>
      </c>
      <c r="C1991" s="5" t="s">
        <v>1463</v>
      </c>
      <c r="D1991" s="5" t="s">
        <v>118</v>
      </c>
      <c r="E1991" s="5" t="s">
        <v>2782</v>
      </c>
      <c r="F1991" s="5" t="s">
        <v>2754</v>
      </c>
      <c r="G1991" s="5">
        <v>1</v>
      </c>
      <c r="H1991" s="5" t="s">
        <v>2864</v>
      </c>
      <c r="I1991" s="5" t="str">
        <f>IF(INDEX(Manual_Review!$L$6:$L$238,U1991)="","",INDEX(Manual_Review!$L$6:$L$238,U1991))</f>
        <v/>
      </c>
      <c r="J1991" s="5" t="str">
        <f t="shared" si="62"/>
        <v>AI provisional</v>
      </c>
      <c r="K1991" s="5" t="str">
        <f t="shared" si="63"/>
        <v>U</v>
      </c>
      <c r="L1991" s="5" t="s">
        <v>1467</v>
      </c>
      <c r="M1991" s="5" t="s">
        <v>6998</v>
      </c>
      <c r="N1991" s="5" t="s">
        <v>6996</v>
      </c>
      <c r="O1991" s="5" t="s">
        <v>4272</v>
      </c>
      <c r="P1991" s="5" t="s">
        <v>2858</v>
      </c>
      <c r="Q1991" s="11">
        <v>46306.5</v>
      </c>
      <c r="R1991" s="6"/>
      <c r="S1991" s="6"/>
      <c r="T1991" s="6"/>
      <c r="U1991" s="5">
        <f>MATCH(B1991,Manual_Review!$A$6:$A$238,0)</f>
        <v>125</v>
      </c>
      <c r="V1991" s="5" t="str">
        <f>IF(INDEX(Manual_Review!$G$6:$G$238,U1991)="","",INDEX(Manual_Review!$G$6:$G$238,U1991))</f>
        <v/>
      </c>
      <c r="W1991" s="11" t="str">
        <f>IF(INDEX(Manual_Review!$H$6:$H$238,U1991)="","",INDEX(Manual_Review!$H$6:$H$238,U1991))</f>
        <v/>
      </c>
      <c r="X1991" s="5" t="str">
        <f>IF(INDEX(Manual_Review!$I$6:$I$238,U1991)="","",INDEX(Manual_Review!$I$6:$I$238,U1991))</f>
        <v/>
      </c>
      <c r="Y1991" s="5" t="s">
        <v>2859</v>
      </c>
    </row>
    <row r="1992" spans="1:25" ht="25.5">
      <c r="A1992" s="5" t="s">
        <v>6999</v>
      </c>
      <c r="B1992" s="5" t="s">
        <v>1462</v>
      </c>
      <c r="C1992" s="5" t="s">
        <v>1463</v>
      </c>
      <c r="D1992" s="5" t="s">
        <v>118</v>
      </c>
      <c r="E1992" s="5" t="s">
        <v>2783</v>
      </c>
      <c r="F1992" s="5" t="s">
        <v>2754</v>
      </c>
      <c r="G1992" s="5">
        <v>1</v>
      </c>
      <c r="H1992" s="5" t="s">
        <v>2854</v>
      </c>
      <c r="I1992" s="5" t="str">
        <f>IF(INDEX(Manual_Review!$M$6:$M$238,U1992)="","",INDEX(Manual_Review!$M$6:$M$238,U1992))</f>
        <v/>
      </c>
      <c r="J1992" s="5" t="str">
        <f t="shared" si="62"/>
        <v>AI provisional</v>
      </c>
      <c r="K1992" s="5" t="str">
        <f t="shared" si="63"/>
        <v>Y</v>
      </c>
      <c r="L1992" s="5" t="s">
        <v>1467</v>
      </c>
      <c r="M1992" s="5" t="s">
        <v>7000</v>
      </c>
      <c r="N1992" s="5" t="s">
        <v>6996</v>
      </c>
      <c r="O1992" s="5" t="s">
        <v>3133</v>
      </c>
      <c r="P1992" s="5" t="s">
        <v>2858</v>
      </c>
      <c r="Q1992" s="11">
        <v>46306.5</v>
      </c>
      <c r="R1992" s="6"/>
      <c r="S1992" s="6"/>
      <c r="T1992" s="6"/>
      <c r="U1992" s="5">
        <f>MATCH(B1992,Manual_Review!$A$6:$A$238,0)</f>
        <v>125</v>
      </c>
      <c r="V1992" s="5" t="str">
        <f>IF(INDEX(Manual_Review!$G$6:$G$238,U1992)="","",INDEX(Manual_Review!$G$6:$G$238,U1992))</f>
        <v/>
      </c>
      <c r="W1992" s="11" t="str">
        <f>IF(INDEX(Manual_Review!$H$6:$H$238,U1992)="","",INDEX(Manual_Review!$H$6:$H$238,U1992))</f>
        <v/>
      </c>
      <c r="X1992" s="5" t="str">
        <f>IF(INDEX(Manual_Review!$I$6:$I$238,U1992)="","",INDEX(Manual_Review!$I$6:$I$238,U1992))</f>
        <v/>
      </c>
      <c r="Y1992" s="5" t="s">
        <v>2859</v>
      </c>
    </row>
    <row r="1993" spans="1:25" ht="25.5">
      <c r="A1993" s="5" t="s">
        <v>7001</v>
      </c>
      <c r="B1993" s="5" t="s">
        <v>1462</v>
      </c>
      <c r="C1993" s="5" t="s">
        <v>1463</v>
      </c>
      <c r="D1993" s="5" t="s">
        <v>118</v>
      </c>
      <c r="E1993" s="5" t="s">
        <v>2784</v>
      </c>
      <c r="F1993" s="5" t="s">
        <v>2756</v>
      </c>
      <c r="G1993" s="5">
        <v>1</v>
      </c>
      <c r="H1993" s="5" t="s">
        <v>2864</v>
      </c>
      <c r="I1993" s="5" t="str">
        <f>IF(INDEX(Manual_Review!$N$6:$N$238,U1993)="","",INDEX(Manual_Review!$N$6:$N$238,U1993))</f>
        <v/>
      </c>
      <c r="J1993" s="5" t="str">
        <f t="shared" si="62"/>
        <v>AI provisional</v>
      </c>
      <c r="K1993" s="5" t="str">
        <f t="shared" si="63"/>
        <v>U</v>
      </c>
      <c r="L1993" s="5" t="s">
        <v>1467</v>
      </c>
      <c r="M1993" s="5" t="s">
        <v>7002</v>
      </c>
      <c r="N1993" s="5" t="s">
        <v>6996</v>
      </c>
      <c r="O1993" s="5" t="s">
        <v>2869</v>
      </c>
      <c r="P1993" s="5" t="s">
        <v>2858</v>
      </c>
      <c r="Q1993" s="11">
        <v>46306.5</v>
      </c>
      <c r="R1993" s="6"/>
      <c r="S1993" s="6"/>
      <c r="T1993" s="6"/>
      <c r="U1993" s="5">
        <f>MATCH(B1993,Manual_Review!$A$6:$A$238,0)</f>
        <v>125</v>
      </c>
      <c r="V1993" s="5" t="str">
        <f>IF(INDEX(Manual_Review!$G$6:$G$238,U1993)="","",INDEX(Manual_Review!$G$6:$G$238,U1993))</f>
        <v/>
      </c>
      <c r="W1993" s="11" t="str">
        <f>IF(INDEX(Manual_Review!$H$6:$H$238,U1993)="","",INDEX(Manual_Review!$H$6:$H$238,U1993))</f>
        <v/>
      </c>
      <c r="X1993" s="5" t="str">
        <f>IF(INDEX(Manual_Review!$I$6:$I$238,U1993)="","",INDEX(Manual_Review!$I$6:$I$238,U1993))</f>
        <v/>
      </c>
      <c r="Y1993" s="5" t="s">
        <v>2859</v>
      </c>
    </row>
    <row r="1994" spans="1:25" ht="25.5">
      <c r="A1994" s="5" t="s">
        <v>7003</v>
      </c>
      <c r="B1994" s="5" t="s">
        <v>1462</v>
      </c>
      <c r="C1994" s="5" t="s">
        <v>1463</v>
      </c>
      <c r="D1994" s="5" t="s">
        <v>118</v>
      </c>
      <c r="E1994" s="5" t="s">
        <v>2785</v>
      </c>
      <c r="F1994" s="5" t="s">
        <v>2756</v>
      </c>
      <c r="G1994" s="5">
        <v>1</v>
      </c>
      <c r="H1994" s="5" t="s">
        <v>2864</v>
      </c>
      <c r="I1994" s="5" t="str">
        <f>IF(INDEX(Manual_Review!$O$6:$O$238,U1994)="","",INDEX(Manual_Review!$O$6:$O$238,U1994))</f>
        <v/>
      </c>
      <c r="J1994" s="5" t="str">
        <f t="shared" si="62"/>
        <v>AI provisional</v>
      </c>
      <c r="K1994" s="5" t="str">
        <f t="shared" si="63"/>
        <v>U</v>
      </c>
      <c r="L1994" s="5" t="s">
        <v>1467</v>
      </c>
      <c r="M1994" s="5" t="s">
        <v>7004</v>
      </c>
      <c r="N1994" s="5" t="s">
        <v>6996</v>
      </c>
      <c r="O1994" s="5" t="s">
        <v>2872</v>
      </c>
      <c r="P1994" s="5" t="s">
        <v>2858</v>
      </c>
      <c r="Q1994" s="11">
        <v>46306.5</v>
      </c>
      <c r="R1994" s="6"/>
      <c r="S1994" s="6"/>
      <c r="T1994" s="6"/>
      <c r="U1994" s="5">
        <f>MATCH(B1994,Manual_Review!$A$6:$A$238,0)</f>
        <v>125</v>
      </c>
      <c r="V1994" s="5" t="str">
        <f>IF(INDEX(Manual_Review!$G$6:$G$238,U1994)="","",INDEX(Manual_Review!$G$6:$G$238,U1994))</f>
        <v/>
      </c>
      <c r="W1994" s="11" t="str">
        <f>IF(INDEX(Manual_Review!$H$6:$H$238,U1994)="","",INDEX(Manual_Review!$H$6:$H$238,U1994))</f>
        <v/>
      </c>
      <c r="X1994" s="5" t="str">
        <f>IF(INDEX(Manual_Review!$I$6:$I$238,U1994)="","",INDEX(Manual_Review!$I$6:$I$238,U1994))</f>
        <v/>
      </c>
      <c r="Y1994" s="5" t="s">
        <v>2859</v>
      </c>
    </row>
    <row r="1995" spans="1:25" ht="25.5">
      <c r="A1995" s="5" t="s">
        <v>7005</v>
      </c>
      <c r="B1995" s="5" t="s">
        <v>1462</v>
      </c>
      <c r="C1995" s="5" t="s">
        <v>1463</v>
      </c>
      <c r="D1995" s="5" t="s">
        <v>118</v>
      </c>
      <c r="E1995" s="5" t="s">
        <v>2786</v>
      </c>
      <c r="F1995" s="5" t="s">
        <v>2756</v>
      </c>
      <c r="G1995" s="5">
        <v>1</v>
      </c>
      <c r="H1995" s="5" t="s">
        <v>2864</v>
      </c>
      <c r="I1995" s="5" t="str">
        <f>IF(INDEX(Manual_Review!$P$6:$P$238,U1995)="","",INDEX(Manual_Review!$P$6:$P$238,U1995))</f>
        <v/>
      </c>
      <c r="J1995" s="5" t="str">
        <f t="shared" si="62"/>
        <v>AI provisional</v>
      </c>
      <c r="K1995" s="5" t="str">
        <f t="shared" si="63"/>
        <v>U</v>
      </c>
      <c r="L1995" s="5" t="s">
        <v>1467</v>
      </c>
      <c r="M1995" s="5" t="s">
        <v>7000</v>
      </c>
      <c r="N1995" s="5" t="s">
        <v>6996</v>
      </c>
      <c r="O1995" s="5" t="s">
        <v>2874</v>
      </c>
      <c r="P1995" s="5" t="s">
        <v>2858</v>
      </c>
      <c r="Q1995" s="11">
        <v>46306.5</v>
      </c>
      <c r="R1995" s="6"/>
      <c r="S1995" s="6"/>
      <c r="T1995" s="6"/>
      <c r="U1995" s="5">
        <f>MATCH(B1995,Manual_Review!$A$6:$A$238,0)</f>
        <v>125</v>
      </c>
      <c r="V1995" s="5" t="str">
        <f>IF(INDEX(Manual_Review!$G$6:$G$238,U1995)="","",INDEX(Manual_Review!$G$6:$G$238,U1995))</f>
        <v/>
      </c>
      <c r="W1995" s="11" t="str">
        <f>IF(INDEX(Manual_Review!$H$6:$H$238,U1995)="","",INDEX(Manual_Review!$H$6:$H$238,U1995))</f>
        <v/>
      </c>
      <c r="X1995" s="5" t="str">
        <f>IF(INDEX(Manual_Review!$I$6:$I$238,U1995)="","",INDEX(Manual_Review!$I$6:$I$238,U1995))</f>
        <v/>
      </c>
      <c r="Y1995" s="5" t="s">
        <v>2859</v>
      </c>
    </row>
    <row r="1996" spans="1:25" ht="25.5">
      <c r="A1996" s="5" t="s">
        <v>7006</v>
      </c>
      <c r="B1996" s="5" t="s">
        <v>1462</v>
      </c>
      <c r="C1996" s="5" t="s">
        <v>1463</v>
      </c>
      <c r="D1996" s="5" t="s">
        <v>118</v>
      </c>
      <c r="E1996" s="5" t="s">
        <v>2787</v>
      </c>
      <c r="F1996" s="5" t="s">
        <v>2758</v>
      </c>
      <c r="G1996" s="5">
        <v>1</v>
      </c>
      <c r="H1996" s="5" t="s">
        <v>2864</v>
      </c>
      <c r="I1996" s="5" t="str">
        <f>IF(INDEX(Manual_Review!$Q$6:$Q$238,U1996)="","",INDEX(Manual_Review!$Q$6:$Q$238,U1996))</f>
        <v/>
      </c>
      <c r="J1996" s="5" t="str">
        <f t="shared" si="62"/>
        <v>AI provisional</v>
      </c>
      <c r="K1996" s="5" t="str">
        <f t="shared" si="63"/>
        <v>U</v>
      </c>
      <c r="L1996" s="5" t="s">
        <v>1467</v>
      </c>
      <c r="M1996" s="5" t="s">
        <v>7004</v>
      </c>
      <c r="N1996" s="5" t="s">
        <v>6996</v>
      </c>
      <c r="O1996" s="5" t="s">
        <v>2877</v>
      </c>
      <c r="P1996" s="5" t="s">
        <v>2858</v>
      </c>
      <c r="Q1996" s="11">
        <v>46306.5</v>
      </c>
      <c r="R1996" s="6"/>
      <c r="S1996" s="6"/>
      <c r="T1996" s="6"/>
      <c r="U1996" s="5">
        <f>MATCH(B1996,Manual_Review!$A$6:$A$238,0)</f>
        <v>125</v>
      </c>
      <c r="V1996" s="5" t="str">
        <f>IF(INDEX(Manual_Review!$G$6:$G$238,U1996)="","",INDEX(Manual_Review!$G$6:$G$238,U1996))</f>
        <v/>
      </c>
      <c r="W1996" s="11" t="str">
        <f>IF(INDEX(Manual_Review!$H$6:$H$238,U1996)="","",INDEX(Manual_Review!$H$6:$H$238,U1996))</f>
        <v/>
      </c>
      <c r="X1996" s="5" t="str">
        <f>IF(INDEX(Manual_Review!$I$6:$I$238,U1996)="","",INDEX(Manual_Review!$I$6:$I$238,U1996))</f>
        <v/>
      </c>
      <c r="Y1996" s="5" t="s">
        <v>2859</v>
      </c>
    </row>
    <row r="1997" spans="1:25" ht="25.5">
      <c r="A1997" s="5" t="s">
        <v>7007</v>
      </c>
      <c r="B1997" s="5" t="s">
        <v>1462</v>
      </c>
      <c r="C1997" s="5" t="s">
        <v>1463</v>
      </c>
      <c r="D1997" s="5" t="s">
        <v>118</v>
      </c>
      <c r="E1997" s="5" t="s">
        <v>2788</v>
      </c>
      <c r="F1997" s="5" t="s">
        <v>2758</v>
      </c>
      <c r="G1997" s="5">
        <v>1</v>
      </c>
      <c r="H1997" s="5" t="s">
        <v>2864</v>
      </c>
      <c r="I1997" s="5" t="str">
        <f>IF(INDEX(Manual_Review!$R$6:$R$238,U1997)="","",INDEX(Manual_Review!$R$6:$R$238,U1997))</f>
        <v/>
      </c>
      <c r="J1997" s="5" t="str">
        <f t="shared" si="62"/>
        <v>AI provisional</v>
      </c>
      <c r="K1997" s="5" t="str">
        <f t="shared" si="63"/>
        <v>U</v>
      </c>
      <c r="L1997" s="5" t="s">
        <v>1467</v>
      </c>
      <c r="M1997" s="5" t="s">
        <v>7008</v>
      </c>
      <c r="N1997" s="5" t="s">
        <v>6996</v>
      </c>
      <c r="O1997" s="5" t="s">
        <v>2880</v>
      </c>
      <c r="P1997" s="5" t="s">
        <v>2858</v>
      </c>
      <c r="Q1997" s="11">
        <v>46306.5</v>
      </c>
      <c r="R1997" s="6"/>
      <c r="S1997" s="6"/>
      <c r="T1997" s="6"/>
      <c r="U1997" s="5">
        <f>MATCH(B1997,Manual_Review!$A$6:$A$238,0)</f>
        <v>125</v>
      </c>
      <c r="V1997" s="5" t="str">
        <f>IF(INDEX(Manual_Review!$G$6:$G$238,U1997)="","",INDEX(Manual_Review!$G$6:$G$238,U1997))</f>
        <v/>
      </c>
      <c r="W1997" s="11" t="str">
        <f>IF(INDEX(Manual_Review!$H$6:$H$238,U1997)="","",INDEX(Manual_Review!$H$6:$H$238,U1997))</f>
        <v/>
      </c>
      <c r="X1997" s="5" t="str">
        <f>IF(INDEX(Manual_Review!$I$6:$I$238,U1997)="","",INDEX(Manual_Review!$I$6:$I$238,U1997))</f>
        <v/>
      </c>
      <c r="Y1997" s="5" t="s">
        <v>2859</v>
      </c>
    </row>
    <row r="1998" spans="1:25" ht="25.5">
      <c r="A1998" s="5" t="s">
        <v>7009</v>
      </c>
      <c r="B1998" s="5" t="s">
        <v>1462</v>
      </c>
      <c r="C1998" s="5" t="s">
        <v>1463</v>
      </c>
      <c r="D1998" s="5" t="s">
        <v>118</v>
      </c>
      <c r="E1998" s="5" t="s">
        <v>2789</v>
      </c>
      <c r="F1998" s="5" t="s">
        <v>2758</v>
      </c>
      <c r="G1998" s="5">
        <v>1</v>
      </c>
      <c r="H1998" s="5" t="s">
        <v>2864</v>
      </c>
      <c r="I1998" s="5" t="str">
        <f>IF(INDEX(Manual_Review!$S$6:$S$238,U1998)="","",INDEX(Manual_Review!$S$6:$S$238,U1998))</f>
        <v/>
      </c>
      <c r="J1998" s="5" t="str">
        <f t="shared" si="62"/>
        <v>AI provisional</v>
      </c>
      <c r="K1998" s="5" t="str">
        <f t="shared" si="63"/>
        <v>U</v>
      </c>
      <c r="L1998" s="5" t="s">
        <v>1467</v>
      </c>
      <c r="M1998" s="5" t="s">
        <v>7010</v>
      </c>
      <c r="N1998" s="5" t="s">
        <v>6996</v>
      </c>
      <c r="O1998" s="5" t="s">
        <v>2883</v>
      </c>
      <c r="P1998" s="5" t="s">
        <v>2858</v>
      </c>
      <c r="Q1998" s="11">
        <v>46306.5</v>
      </c>
      <c r="R1998" s="6"/>
      <c r="S1998" s="6"/>
      <c r="T1998" s="6"/>
      <c r="U1998" s="5">
        <f>MATCH(B1998,Manual_Review!$A$6:$A$238,0)</f>
        <v>125</v>
      </c>
      <c r="V1998" s="5" t="str">
        <f>IF(INDEX(Manual_Review!$G$6:$G$238,U1998)="","",INDEX(Manual_Review!$G$6:$G$238,U1998))</f>
        <v/>
      </c>
      <c r="W1998" s="11" t="str">
        <f>IF(INDEX(Manual_Review!$H$6:$H$238,U1998)="","",INDEX(Manual_Review!$H$6:$H$238,U1998))</f>
        <v/>
      </c>
      <c r="X1998" s="5" t="str">
        <f>IF(INDEX(Manual_Review!$I$6:$I$238,U1998)="","",INDEX(Manual_Review!$I$6:$I$238,U1998))</f>
        <v/>
      </c>
      <c r="Y1998" s="5" t="s">
        <v>2859</v>
      </c>
    </row>
    <row r="1999" spans="1:25" ht="25.5">
      <c r="A1999" s="5" t="s">
        <v>7011</v>
      </c>
      <c r="B1999" s="5" t="s">
        <v>1462</v>
      </c>
      <c r="C1999" s="5" t="s">
        <v>1463</v>
      </c>
      <c r="D1999" s="5" t="s">
        <v>118</v>
      </c>
      <c r="E1999" s="5" t="s">
        <v>2790</v>
      </c>
      <c r="F1999" s="5" t="s">
        <v>2760</v>
      </c>
      <c r="G1999" s="5">
        <v>1</v>
      </c>
      <c r="H1999" s="5" t="s">
        <v>2864</v>
      </c>
      <c r="I1999" s="5" t="str">
        <f>IF(INDEX(Manual_Review!$T$6:$T$238,U1999)="","",INDEX(Manual_Review!$T$6:$T$238,U1999))</f>
        <v/>
      </c>
      <c r="J1999" s="5" t="str">
        <f t="shared" si="62"/>
        <v>AI provisional</v>
      </c>
      <c r="K1999" s="5" t="str">
        <f t="shared" si="63"/>
        <v>U</v>
      </c>
      <c r="L1999" s="5" t="s">
        <v>1467</v>
      </c>
      <c r="M1999" s="5" t="s">
        <v>7000</v>
      </c>
      <c r="N1999" s="5" t="s">
        <v>6996</v>
      </c>
      <c r="O1999" s="5" t="s">
        <v>2885</v>
      </c>
      <c r="P1999" s="5" t="s">
        <v>2858</v>
      </c>
      <c r="Q1999" s="11">
        <v>46306.5</v>
      </c>
      <c r="R1999" s="6"/>
      <c r="S1999" s="6"/>
      <c r="T1999" s="6"/>
      <c r="U1999" s="5">
        <f>MATCH(B1999,Manual_Review!$A$6:$A$238,0)</f>
        <v>125</v>
      </c>
      <c r="V1999" s="5" t="str">
        <f>IF(INDEX(Manual_Review!$G$6:$G$238,U1999)="","",INDEX(Manual_Review!$G$6:$G$238,U1999))</f>
        <v/>
      </c>
      <c r="W1999" s="11" t="str">
        <f>IF(INDEX(Manual_Review!$H$6:$H$238,U1999)="","",INDEX(Manual_Review!$H$6:$H$238,U1999))</f>
        <v/>
      </c>
      <c r="X1999" s="5" t="str">
        <f>IF(INDEX(Manual_Review!$I$6:$I$238,U1999)="","",INDEX(Manual_Review!$I$6:$I$238,U1999))</f>
        <v/>
      </c>
      <c r="Y1999" s="5" t="s">
        <v>2859</v>
      </c>
    </row>
    <row r="2000" spans="1:25" ht="25.5">
      <c r="A2000" s="5" t="s">
        <v>7012</v>
      </c>
      <c r="B2000" s="5" t="s">
        <v>1462</v>
      </c>
      <c r="C2000" s="5" t="s">
        <v>1463</v>
      </c>
      <c r="D2000" s="5" t="s">
        <v>118</v>
      </c>
      <c r="E2000" s="5" t="s">
        <v>2791</v>
      </c>
      <c r="F2000" s="5" t="s">
        <v>2760</v>
      </c>
      <c r="G2000" s="5">
        <v>1</v>
      </c>
      <c r="H2000" s="5" t="s">
        <v>2864</v>
      </c>
      <c r="I2000" s="5" t="str">
        <f>IF(INDEX(Manual_Review!$U$6:$U$238,U2000)="","",INDEX(Manual_Review!$U$6:$U$238,U2000))</f>
        <v/>
      </c>
      <c r="J2000" s="5" t="str">
        <f t="shared" si="62"/>
        <v>AI provisional</v>
      </c>
      <c r="K2000" s="5" t="str">
        <f t="shared" si="63"/>
        <v>U</v>
      </c>
      <c r="L2000" s="5" t="s">
        <v>1467</v>
      </c>
      <c r="M2000" s="5" t="s">
        <v>7004</v>
      </c>
      <c r="N2000" s="5" t="s">
        <v>6996</v>
      </c>
      <c r="O2000" s="5" t="s">
        <v>2888</v>
      </c>
      <c r="P2000" s="5" t="s">
        <v>2858</v>
      </c>
      <c r="Q2000" s="11">
        <v>46306.5</v>
      </c>
      <c r="R2000" s="6"/>
      <c r="S2000" s="6"/>
      <c r="T2000" s="6"/>
      <c r="U2000" s="5">
        <f>MATCH(B2000,Manual_Review!$A$6:$A$238,0)</f>
        <v>125</v>
      </c>
      <c r="V2000" s="5" t="str">
        <f>IF(INDEX(Manual_Review!$G$6:$G$238,U2000)="","",INDEX(Manual_Review!$G$6:$G$238,U2000))</f>
        <v/>
      </c>
      <c r="W2000" s="11" t="str">
        <f>IF(INDEX(Manual_Review!$H$6:$H$238,U2000)="","",INDEX(Manual_Review!$H$6:$H$238,U2000))</f>
        <v/>
      </c>
      <c r="X2000" s="5" t="str">
        <f>IF(INDEX(Manual_Review!$I$6:$I$238,U2000)="","",INDEX(Manual_Review!$I$6:$I$238,U2000))</f>
        <v/>
      </c>
      <c r="Y2000" s="5" t="s">
        <v>2859</v>
      </c>
    </row>
    <row r="2001" spans="1:25" ht="25.5">
      <c r="A2001" s="5" t="s">
        <v>7013</v>
      </c>
      <c r="B2001" s="5" t="s">
        <v>1462</v>
      </c>
      <c r="C2001" s="5" t="s">
        <v>1463</v>
      </c>
      <c r="D2001" s="5" t="s">
        <v>118</v>
      </c>
      <c r="E2001" s="5" t="s">
        <v>2792</v>
      </c>
      <c r="F2001" s="5" t="s">
        <v>2762</v>
      </c>
      <c r="G2001" s="5">
        <v>1</v>
      </c>
      <c r="H2001" s="5" t="s">
        <v>2864</v>
      </c>
      <c r="I2001" s="5" t="str">
        <f>IF(INDEX(Manual_Review!$V$6:$V$238,U2001)="","",INDEX(Manual_Review!$V$6:$V$238,U2001))</f>
        <v/>
      </c>
      <c r="J2001" s="5" t="str">
        <f t="shared" si="62"/>
        <v>AI provisional</v>
      </c>
      <c r="K2001" s="5" t="str">
        <f t="shared" si="63"/>
        <v>U</v>
      </c>
      <c r="L2001" s="5" t="s">
        <v>1467</v>
      </c>
      <c r="M2001" s="5" t="s">
        <v>7014</v>
      </c>
      <c r="N2001" s="5" t="s">
        <v>6996</v>
      </c>
      <c r="O2001" s="5" t="s">
        <v>2891</v>
      </c>
      <c r="P2001" s="5" t="s">
        <v>2858</v>
      </c>
      <c r="Q2001" s="11">
        <v>46306.5</v>
      </c>
      <c r="R2001" s="6"/>
      <c r="S2001" s="6"/>
      <c r="T2001" s="6"/>
      <c r="U2001" s="5">
        <f>MATCH(B2001,Manual_Review!$A$6:$A$238,0)</f>
        <v>125</v>
      </c>
      <c r="V2001" s="5" t="str">
        <f>IF(INDEX(Manual_Review!$G$6:$G$238,U2001)="","",INDEX(Manual_Review!$G$6:$G$238,U2001))</f>
        <v/>
      </c>
      <c r="W2001" s="11" t="str">
        <f>IF(INDEX(Manual_Review!$H$6:$H$238,U2001)="","",INDEX(Manual_Review!$H$6:$H$238,U2001))</f>
        <v/>
      </c>
      <c r="X2001" s="5" t="str">
        <f>IF(INDEX(Manual_Review!$I$6:$I$238,U2001)="","",INDEX(Manual_Review!$I$6:$I$238,U2001))</f>
        <v/>
      </c>
      <c r="Y2001" s="5" t="s">
        <v>2859</v>
      </c>
    </row>
    <row r="2002" spans="1:25" ht="25.5">
      <c r="A2002" s="5" t="s">
        <v>7015</v>
      </c>
      <c r="B2002" s="5" t="s">
        <v>1462</v>
      </c>
      <c r="C2002" s="5" t="s">
        <v>1463</v>
      </c>
      <c r="D2002" s="5" t="s">
        <v>118</v>
      </c>
      <c r="E2002" s="5" t="s">
        <v>2793</v>
      </c>
      <c r="F2002" s="5" t="s">
        <v>2762</v>
      </c>
      <c r="G2002" s="5">
        <v>1</v>
      </c>
      <c r="H2002" s="5" t="s">
        <v>2864</v>
      </c>
      <c r="I2002" s="5" t="str">
        <f>IF(INDEX(Manual_Review!$W$6:$W$238,U2002)="","",INDEX(Manual_Review!$W$6:$W$238,U2002))</f>
        <v/>
      </c>
      <c r="J2002" s="5" t="str">
        <f t="shared" si="62"/>
        <v>AI provisional</v>
      </c>
      <c r="K2002" s="5" t="str">
        <f t="shared" si="63"/>
        <v>U</v>
      </c>
      <c r="L2002" s="5" t="s">
        <v>1467</v>
      </c>
      <c r="M2002" s="5" t="s">
        <v>7016</v>
      </c>
      <c r="N2002" s="5" t="s">
        <v>6996</v>
      </c>
      <c r="O2002" s="5" t="s">
        <v>2893</v>
      </c>
      <c r="P2002" s="5" t="s">
        <v>2858</v>
      </c>
      <c r="Q2002" s="11">
        <v>46306.5</v>
      </c>
      <c r="R2002" s="6"/>
      <c r="S2002" s="6"/>
      <c r="T2002" s="6"/>
      <c r="U2002" s="5">
        <f>MATCH(B2002,Manual_Review!$A$6:$A$238,0)</f>
        <v>125</v>
      </c>
      <c r="V2002" s="5" t="str">
        <f>IF(INDEX(Manual_Review!$G$6:$G$238,U2002)="","",INDEX(Manual_Review!$G$6:$G$238,U2002))</f>
        <v/>
      </c>
      <c r="W2002" s="11" t="str">
        <f>IF(INDEX(Manual_Review!$H$6:$H$238,U2002)="","",INDEX(Manual_Review!$H$6:$H$238,U2002))</f>
        <v/>
      </c>
      <c r="X2002" s="5" t="str">
        <f>IF(INDEX(Manual_Review!$I$6:$I$238,U2002)="","",INDEX(Manual_Review!$I$6:$I$238,U2002))</f>
        <v/>
      </c>
      <c r="Y2002" s="5" t="s">
        <v>2859</v>
      </c>
    </row>
    <row r="2003" spans="1:25" ht="25.5">
      <c r="A2003" s="5" t="s">
        <v>7017</v>
      </c>
      <c r="B2003" s="5" t="s">
        <v>1462</v>
      </c>
      <c r="C2003" s="5" t="s">
        <v>1463</v>
      </c>
      <c r="D2003" s="5" t="s">
        <v>118</v>
      </c>
      <c r="E2003" s="5" t="s">
        <v>2794</v>
      </c>
      <c r="F2003" s="5" t="s">
        <v>2764</v>
      </c>
      <c r="G2003" s="5">
        <v>1</v>
      </c>
      <c r="H2003" s="5" t="s">
        <v>2864</v>
      </c>
      <c r="I2003" s="5" t="str">
        <f>IF(INDEX(Manual_Review!$X$6:$X$238,U2003)="","",INDEX(Manual_Review!$X$6:$X$238,U2003))</f>
        <v/>
      </c>
      <c r="J2003" s="5" t="str">
        <f t="shared" si="62"/>
        <v>AI provisional</v>
      </c>
      <c r="K2003" s="5" t="str">
        <f t="shared" si="63"/>
        <v>U</v>
      </c>
      <c r="L2003" s="5" t="s">
        <v>1467</v>
      </c>
      <c r="M2003" s="5" t="s">
        <v>7000</v>
      </c>
      <c r="N2003" s="5" t="s">
        <v>6996</v>
      </c>
      <c r="O2003" s="5" t="s">
        <v>2895</v>
      </c>
      <c r="P2003" s="5" t="s">
        <v>2858</v>
      </c>
      <c r="Q2003" s="11">
        <v>46306.5</v>
      </c>
      <c r="R2003" s="6"/>
      <c r="S2003" s="6"/>
      <c r="T2003" s="6"/>
      <c r="U2003" s="5">
        <f>MATCH(B2003,Manual_Review!$A$6:$A$238,0)</f>
        <v>125</v>
      </c>
      <c r="V2003" s="5" t="str">
        <f>IF(INDEX(Manual_Review!$G$6:$G$238,U2003)="","",INDEX(Manual_Review!$G$6:$G$238,U2003))</f>
        <v/>
      </c>
      <c r="W2003" s="11" t="str">
        <f>IF(INDEX(Manual_Review!$H$6:$H$238,U2003)="","",INDEX(Manual_Review!$H$6:$H$238,U2003))</f>
        <v/>
      </c>
      <c r="X2003" s="5" t="str">
        <f>IF(INDEX(Manual_Review!$I$6:$I$238,U2003)="","",INDEX(Manual_Review!$I$6:$I$238,U2003))</f>
        <v/>
      </c>
      <c r="Y2003" s="5" t="s">
        <v>2859</v>
      </c>
    </row>
    <row r="2004" spans="1:25" ht="25.5">
      <c r="A2004" s="5" t="s">
        <v>7018</v>
      </c>
      <c r="B2004" s="5" t="s">
        <v>1462</v>
      </c>
      <c r="C2004" s="5" t="s">
        <v>1463</v>
      </c>
      <c r="D2004" s="5" t="s">
        <v>118</v>
      </c>
      <c r="E2004" s="5" t="s">
        <v>2795</v>
      </c>
      <c r="F2004" s="5" t="s">
        <v>2764</v>
      </c>
      <c r="G2004" s="5">
        <v>1</v>
      </c>
      <c r="H2004" s="5" t="s">
        <v>2864</v>
      </c>
      <c r="I2004" s="5" t="str">
        <f>IF(INDEX(Manual_Review!$Y$6:$Y$238,U2004)="","",INDEX(Manual_Review!$Y$6:$Y$238,U2004))</f>
        <v/>
      </c>
      <c r="J2004" s="5" t="str">
        <f t="shared" si="62"/>
        <v>AI provisional</v>
      </c>
      <c r="K2004" s="5" t="str">
        <f t="shared" si="63"/>
        <v>U</v>
      </c>
      <c r="L2004" s="5" t="s">
        <v>1467</v>
      </c>
      <c r="M2004" s="5" t="s">
        <v>7000</v>
      </c>
      <c r="N2004" s="5" t="s">
        <v>6996</v>
      </c>
      <c r="O2004" s="5" t="s">
        <v>2897</v>
      </c>
      <c r="P2004" s="5" t="s">
        <v>2858</v>
      </c>
      <c r="Q2004" s="11">
        <v>46306.5</v>
      </c>
      <c r="R2004" s="6"/>
      <c r="S2004" s="6"/>
      <c r="T2004" s="6"/>
      <c r="U2004" s="5">
        <f>MATCH(B2004,Manual_Review!$A$6:$A$238,0)</f>
        <v>125</v>
      </c>
      <c r="V2004" s="5" t="str">
        <f>IF(INDEX(Manual_Review!$G$6:$G$238,U2004)="","",INDEX(Manual_Review!$G$6:$G$238,U2004))</f>
        <v/>
      </c>
      <c r="W2004" s="11" t="str">
        <f>IF(INDEX(Manual_Review!$H$6:$H$238,U2004)="","",INDEX(Manual_Review!$H$6:$H$238,U2004))</f>
        <v/>
      </c>
      <c r="X2004" s="5" t="str">
        <f>IF(INDEX(Manual_Review!$I$6:$I$238,U2004)="","",INDEX(Manual_Review!$I$6:$I$238,U2004))</f>
        <v/>
      </c>
      <c r="Y2004" s="5" t="s">
        <v>2859</v>
      </c>
    </row>
    <row r="2005" spans="1:25" ht="25.5">
      <c r="A2005" s="5" t="s">
        <v>7019</v>
      </c>
      <c r="B2005" s="5" t="s">
        <v>1462</v>
      </c>
      <c r="C2005" s="5" t="s">
        <v>1463</v>
      </c>
      <c r="D2005" s="5" t="s">
        <v>118</v>
      </c>
      <c r="E2005" s="5" t="s">
        <v>2796</v>
      </c>
      <c r="F2005" s="5" t="s">
        <v>2764</v>
      </c>
      <c r="G2005" s="5">
        <v>1</v>
      </c>
      <c r="H2005" s="5" t="s">
        <v>2864</v>
      </c>
      <c r="I2005" s="5" t="str">
        <f>IF(INDEX(Manual_Review!$Z$6:$Z$238,U2005)="","",INDEX(Manual_Review!$Z$6:$Z$238,U2005))</f>
        <v/>
      </c>
      <c r="J2005" s="5" t="str">
        <f t="shared" si="62"/>
        <v>AI provisional</v>
      </c>
      <c r="K2005" s="5" t="str">
        <f t="shared" si="63"/>
        <v>U</v>
      </c>
      <c r="L2005" s="5" t="s">
        <v>1467</v>
      </c>
      <c r="M2005" s="5" t="s">
        <v>7010</v>
      </c>
      <c r="N2005" s="5" t="s">
        <v>6996</v>
      </c>
      <c r="O2005" s="5" t="s">
        <v>2899</v>
      </c>
      <c r="P2005" s="5" t="s">
        <v>2858</v>
      </c>
      <c r="Q2005" s="11">
        <v>46306.5</v>
      </c>
      <c r="R2005" s="6"/>
      <c r="S2005" s="6"/>
      <c r="T2005" s="6"/>
      <c r="U2005" s="5">
        <f>MATCH(B2005,Manual_Review!$A$6:$A$238,0)</f>
        <v>125</v>
      </c>
      <c r="V2005" s="5" t="str">
        <f>IF(INDEX(Manual_Review!$G$6:$G$238,U2005)="","",INDEX(Manual_Review!$G$6:$G$238,U2005))</f>
        <v/>
      </c>
      <c r="W2005" s="11" t="str">
        <f>IF(INDEX(Manual_Review!$H$6:$H$238,U2005)="","",INDEX(Manual_Review!$H$6:$H$238,U2005))</f>
        <v/>
      </c>
      <c r="X2005" s="5" t="str">
        <f>IF(INDEX(Manual_Review!$I$6:$I$238,U2005)="","",INDEX(Manual_Review!$I$6:$I$238,U2005))</f>
        <v/>
      </c>
      <c r="Y2005" s="5" t="s">
        <v>2859</v>
      </c>
    </row>
    <row r="2006" spans="1:25" ht="38.25">
      <c r="A2006" s="5" t="s">
        <v>7020</v>
      </c>
      <c r="B2006" s="5" t="s">
        <v>1469</v>
      </c>
      <c r="C2006" s="5" t="s">
        <v>1470</v>
      </c>
      <c r="D2006" s="5" t="s">
        <v>118</v>
      </c>
      <c r="E2006" s="5" t="s">
        <v>2781</v>
      </c>
      <c r="F2006" s="5" t="s">
        <v>2754</v>
      </c>
      <c r="G2006" s="5">
        <v>1</v>
      </c>
      <c r="H2006" s="5" t="s">
        <v>2854</v>
      </c>
      <c r="I2006" s="5" t="str">
        <f>IF(INDEX(Manual_Review!$K$6:$K$238,U2006)="","",INDEX(Manual_Review!$K$6:$K$238,U2006))</f>
        <v/>
      </c>
      <c r="J2006" s="5" t="str">
        <f t="shared" si="62"/>
        <v>AI provisional</v>
      </c>
      <c r="K2006" s="5" t="str">
        <f t="shared" si="63"/>
        <v>Y</v>
      </c>
      <c r="L2006" s="5" t="s">
        <v>1478</v>
      </c>
      <c r="M2006" s="5" t="s">
        <v>7021</v>
      </c>
      <c r="N2006" s="5" t="s">
        <v>7022</v>
      </c>
      <c r="O2006" s="5" t="s">
        <v>2857</v>
      </c>
      <c r="P2006" s="5" t="s">
        <v>2858</v>
      </c>
      <c r="Q2006" s="11">
        <v>46306.5</v>
      </c>
      <c r="R2006" s="6"/>
      <c r="S2006" s="6"/>
      <c r="T2006" s="6"/>
      <c r="U2006" s="5">
        <f>MATCH(B2006,Manual_Review!$A$6:$A$238,0)</f>
        <v>126</v>
      </c>
      <c r="V2006" s="5" t="str">
        <f>IF(INDEX(Manual_Review!$G$6:$G$238,U2006)="","",INDEX(Manual_Review!$G$6:$G$238,U2006))</f>
        <v/>
      </c>
      <c r="W2006" s="11" t="str">
        <f>IF(INDEX(Manual_Review!$H$6:$H$238,U2006)="","",INDEX(Manual_Review!$H$6:$H$238,U2006))</f>
        <v/>
      </c>
      <c r="X2006" s="5" t="str">
        <f>IF(INDEX(Manual_Review!$I$6:$I$238,U2006)="","",INDEX(Manual_Review!$I$6:$I$238,U2006))</f>
        <v/>
      </c>
      <c r="Y2006" s="5" t="s">
        <v>2859</v>
      </c>
    </row>
    <row r="2007" spans="1:25" ht="38.25">
      <c r="A2007" s="5" t="s">
        <v>7023</v>
      </c>
      <c r="B2007" s="5" t="s">
        <v>1469</v>
      </c>
      <c r="C2007" s="5" t="s">
        <v>1470</v>
      </c>
      <c r="D2007" s="5" t="s">
        <v>118</v>
      </c>
      <c r="E2007" s="5" t="s">
        <v>2782</v>
      </c>
      <c r="F2007" s="5" t="s">
        <v>2754</v>
      </c>
      <c r="G2007" s="5">
        <v>1</v>
      </c>
      <c r="H2007" s="5" t="s">
        <v>2854</v>
      </c>
      <c r="I2007" s="5" t="str">
        <f>IF(INDEX(Manual_Review!$L$6:$L$238,U2007)="","",INDEX(Manual_Review!$L$6:$L$238,U2007))</f>
        <v/>
      </c>
      <c r="J2007" s="5" t="str">
        <f t="shared" si="62"/>
        <v>AI provisional</v>
      </c>
      <c r="K2007" s="5" t="str">
        <f t="shared" si="63"/>
        <v>Y</v>
      </c>
      <c r="L2007" s="5" t="s">
        <v>1478</v>
      </c>
      <c r="M2007" s="5" t="s">
        <v>7024</v>
      </c>
      <c r="N2007" s="5" t="s">
        <v>7022</v>
      </c>
      <c r="O2007" s="5" t="s">
        <v>2862</v>
      </c>
      <c r="P2007" s="5" t="s">
        <v>2858</v>
      </c>
      <c r="Q2007" s="11">
        <v>46306.5</v>
      </c>
      <c r="R2007" s="6"/>
      <c r="S2007" s="6"/>
      <c r="T2007" s="6"/>
      <c r="U2007" s="5">
        <f>MATCH(B2007,Manual_Review!$A$6:$A$238,0)</f>
        <v>126</v>
      </c>
      <c r="V2007" s="5" t="str">
        <f>IF(INDEX(Manual_Review!$G$6:$G$238,U2007)="","",INDEX(Manual_Review!$G$6:$G$238,U2007))</f>
        <v/>
      </c>
      <c r="W2007" s="11" t="str">
        <f>IF(INDEX(Manual_Review!$H$6:$H$238,U2007)="","",INDEX(Manual_Review!$H$6:$H$238,U2007))</f>
        <v/>
      </c>
      <c r="X2007" s="5" t="str">
        <f>IF(INDEX(Manual_Review!$I$6:$I$238,U2007)="","",INDEX(Manual_Review!$I$6:$I$238,U2007))</f>
        <v/>
      </c>
      <c r="Y2007" s="5" t="s">
        <v>2859</v>
      </c>
    </row>
    <row r="2008" spans="1:25" ht="38.25">
      <c r="A2008" s="5" t="s">
        <v>7025</v>
      </c>
      <c r="B2008" s="5" t="s">
        <v>1469</v>
      </c>
      <c r="C2008" s="5" t="s">
        <v>1470</v>
      </c>
      <c r="D2008" s="5" t="s">
        <v>118</v>
      </c>
      <c r="E2008" s="5" t="s">
        <v>2783</v>
      </c>
      <c r="F2008" s="5" t="s">
        <v>2754</v>
      </c>
      <c r="G2008" s="5">
        <v>1</v>
      </c>
      <c r="H2008" s="5" t="s">
        <v>2854</v>
      </c>
      <c r="I2008" s="5" t="str">
        <f>IF(INDEX(Manual_Review!$M$6:$M$238,U2008)="","",INDEX(Manual_Review!$M$6:$M$238,U2008))</f>
        <v/>
      </c>
      <c r="J2008" s="5" t="str">
        <f t="shared" si="62"/>
        <v>AI provisional</v>
      </c>
      <c r="K2008" s="5" t="str">
        <f t="shared" si="63"/>
        <v>Y</v>
      </c>
      <c r="L2008" s="5" t="s">
        <v>1478</v>
      </c>
      <c r="M2008" s="5" t="s">
        <v>7026</v>
      </c>
      <c r="N2008" s="5" t="s">
        <v>7022</v>
      </c>
      <c r="O2008" s="5" t="s">
        <v>3133</v>
      </c>
      <c r="P2008" s="5" t="s">
        <v>2858</v>
      </c>
      <c r="Q2008" s="11">
        <v>46306.5</v>
      </c>
      <c r="R2008" s="6"/>
      <c r="S2008" s="6"/>
      <c r="T2008" s="6"/>
      <c r="U2008" s="5">
        <f>MATCH(B2008,Manual_Review!$A$6:$A$238,0)</f>
        <v>126</v>
      </c>
      <c r="V2008" s="5" t="str">
        <f>IF(INDEX(Manual_Review!$G$6:$G$238,U2008)="","",INDEX(Manual_Review!$G$6:$G$238,U2008))</f>
        <v/>
      </c>
      <c r="W2008" s="11" t="str">
        <f>IF(INDEX(Manual_Review!$H$6:$H$238,U2008)="","",INDEX(Manual_Review!$H$6:$H$238,U2008))</f>
        <v/>
      </c>
      <c r="X2008" s="5" t="str">
        <f>IF(INDEX(Manual_Review!$I$6:$I$238,U2008)="","",INDEX(Manual_Review!$I$6:$I$238,U2008))</f>
        <v/>
      </c>
      <c r="Y2008" s="5" t="s">
        <v>2859</v>
      </c>
    </row>
    <row r="2009" spans="1:25" ht="38.25">
      <c r="A2009" s="5" t="s">
        <v>7027</v>
      </c>
      <c r="B2009" s="5" t="s">
        <v>1469</v>
      </c>
      <c r="C2009" s="5" t="s">
        <v>1470</v>
      </c>
      <c r="D2009" s="5" t="s">
        <v>118</v>
      </c>
      <c r="E2009" s="5" t="s">
        <v>2784</v>
      </c>
      <c r="F2009" s="5" t="s">
        <v>2756</v>
      </c>
      <c r="G2009" s="5">
        <v>1</v>
      </c>
      <c r="H2009" s="5" t="s">
        <v>2854</v>
      </c>
      <c r="I2009" s="5" t="str">
        <f>IF(INDEX(Manual_Review!$N$6:$N$238,U2009)="","",INDEX(Manual_Review!$N$6:$N$238,U2009))</f>
        <v/>
      </c>
      <c r="J2009" s="5" t="str">
        <f t="shared" si="62"/>
        <v>AI provisional</v>
      </c>
      <c r="K2009" s="5" t="str">
        <f t="shared" si="63"/>
        <v>Y</v>
      </c>
      <c r="L2009" s="5" t="s">
        <v>1478</v>
      </c>
      <c r="M2009" s="5" t="s">
        <v>7028</v>
      </c>
      <c r="N2009" s="5" t="s">
        <v>7022</v>
      </c>
      <c r="O2009" s="5" t="s">
        <v>2963</v>
      </c>
      <c r="P2009" s="5" t="s">
        <v>2858</v>
      </c>
      <c r="Q2009" s="11">
        <v>46306.5</v>
      </c>
      <c r="R2009" s="6"/>
      <c r="S2009" s="6"/>
      <c r="T2009" s="6"/>
      <c r="U2009" s="5">
        <f>MATCH(B2009,Manual_Review!$A$6:$A$238,0)</f>
        <v>126</v>
      </c>
      <c r="V2009" s="5" t="str">
        <f>IF(INDEX(Manual_Review!$G$6:$G$238,U2009)="","",INDEX(Manual_Review!$G$6:$G$238,U2009))</f>
        <v/>
      </c>
      <c r="W2009" s="11" t="str">
        <f>IF(INDEX(Manual_Review!$H$6:$H$238,U2009)="","",INDEX(Manual_Review!$H$6:$H$238,U2009))</f>
        <v/>
      </c>
      <c r="X2009" s="5" t="str">
        <f>IF(INDEX(Manual_Review!$I$6:$I$238,U2009)="","",INDEX(Manual_Review!$I$6:$I$238,U2009))</f>
        <v/>
      </c>
      <c r="Y2009" s="5" t="s">
        <v>2859</v>
      </c>
    </row>
    <row r="2010" spans="1:25" ht="38.25">
      <c r="A2010" s="5" t="s">
        <v>7029</v>
      </c>
      <c r="B2010" s="5" t="s">
        <v>1469</v>
      </c>
      <c r="C2010" s="5" t="s">
        <v>1470</v>
      </c>
      <c r="D2010" s="5" t="s">
        <v>118</v>
      </c>
      <c r="E2010" s="5" t="s">
        <v>2785</v>
      </c>
      <c r="F2010" s="5" t="s">
        <v>2756</v>
      </c>
      <c r="G2010" s="5">
        <v>1</v>
      </c>
      <c r="H2010" s="5" t="s">
        <v>2864</v>
      </c>
      <c r="I2010" s="5" t="str">
        <f>IF(INDEX(Manual_Review!$O$6:$O$238,U2010)="","",INDEX(Manual_Review!$O$6:$O$238,U2010))</f>
        <v/>
      </c>
      <c r="J2010" s="5" t="str">
        <f t="shared" si="62"/>
        <v>AI provisional</v>
      </c>
      <c r="K2010" s="5" t="str">
        <f t="shared" si="63"/>
        <v>U</v>
      </c>
      <c r="L2010" s="5" t="s">
        <v>1478</v>
      </c>
      <c r="M2010" s="5" t="s">
        <v>7030</v>
      </c>
      <c r="N2010" s="5" t="s">
        <v>7022</v>
      </c>
      <c r="O2010" s="5" t="s">
        <v>2872</v>
      </c>
      <c r="P2010" s="5" t="s">
        <v>2858</v>
      </c>
      <c r="Q2010" s="11">
        <v>46306.5</v>
      </c>
      <c r="R2010" s="6"/>
      <c r="S2010" s="6"/>
      <c r="T2010" s="6"/>
      <c r="U2010" s="5">
        <f>MATCH(B2010,Manual_Review!$A$6:$A$238,0)</f>
        <v>126</v>
      </c>
      <c r="V2010" s="5" t="str">
        <f>IF(INDEX(Manual_Review!$G$6:$G$238,U2010)="","",INDEX(Manual_Review!$G$6:$G$238,U2010))</f>
        <v/>
      </c>
      <c r="W2010" s="11" t="str">
        <f>IF(INDEX(Manual_Review!$H$6:$H$238,U2010)="","",INDEX(Manual_Review!$H$6:$H$238,U2010))</f>
        <v/>
      </c>
      <c r="X2010" s="5" t="str">
        <f>IF(INDEX(Manual_Review!$I$6:$I$238,U2010)="","",INDEX(Manual_Review!$I$6:$I$238,U2010))</f>
        <v/>
      </c>
      <c r="Y2010" s="5" t="s">
        <v>2859</v>
      </c>
    </row>
    <row r="2011" spans="1:25" ht="38.25">
      <c r="A2011" s="5" t="s">
        <v>7031</v>
      </c>
      <c r="B2011" s="5" t="s">
        <v>1469</v>
      </c>
      <c r="C2011" s="5" t="s">
        <v>1470</v>
      </c>
      <c r="D2011" s="5" t="s">
        <v>118</v>
      </c>
      <c r="E2011" s="5" t="s">
        <v>2786</v>
      </c>
      <c r="F2011" s="5" t="s">
        <v>2756</v>
      </c>
      <c r="G2011" s="5">
        <v>1</v>
      </c>
      <c r="H2011" s="5" t="s">
        <v>2864</v>
      </c>
      <c r="I2011" s="5" t="str">
        <f>IF(INDEX(Manual_Review!$P$6:$P$238,U2011)="","",INDEX(Manual_Review!$P$6:$P$238,U2011))</f>
        <v/>
      </c>
      <c r="J2011" s="5" t="str">
        <f t="shared" si="62"/>
        <v>AI provisional</v>
      </c>
      <c r="K2011" s="5" t="str">
        <f t="shared" si="63"/>
        <v>U</v>
      </c>
      <c r="L2011" s="5" t="s">
        <v>1478</v>
      </c>
      <c r="M2011" s="5" t="s">
        <v>7032</v>
      </c>
      <c r="N2011" s="5" t="s">
        <v>7022</v>
      </c>
      <c r="O2011" s="5" t="s">
        <v>2874</v>
      </c>
      <c r="P2011" s="5" t="s">
        <v>2858</v>
      </c>
      <c r="Q2011" s="11">
        <v>46306.5</v>
      </c>
      <c r="R2011" s="6"/>
      <c r="S2011" s="6"/>
      <c r="T2011" s="6"/>
      <c r="U2011" s="5">
        <f>MATCH(B2011,Manual_Review!$A$6:$A$238,0)</f>
        <v>126</v>
      </c>
      <c r="V2011" s="5" t="str">
        <f>IF(INDEX(Manual_Review!$G$6:$G$238,U2011)="","",INDEX(Manual_Review!$G$6:$G$238,U2011))</f>
        <v/>
      </c>
      <c r="W2011" s="11" t="str">
        <f>IF(INDEX(Manual_Review!$H$6:$H$238,U2011)="","",INDEX(Manual_Review!$H$6:$H$238,U2011))</f>
        <v/>
      </c>
      <c r="X2011" s="5" t="str">
        <f>IF(INDEX(Manual_Review!$I$6:$I$238,U2011)="","",INDEX(Manual_Review!$I$6:$I$238,U2011))</f>
        <v/>
      </c>
      <c r="Y2011" s="5" t="s">
        <v>2859</v>
      </c>
    </row>
    <row r="2012" spans="1:25" ht="38.25">
      <c r="A2012" s="5" t="s">
        <v>7033</v>
      </c>
      <c r="B2012" s="5" t="s">
        <v>1469</v>
      </c>
      <c r="C2012" s="5" t="s">
        <v>1470</v>
      </c>
      <c r="D2012" s="5" t="s">
        <v>118</v>
      </c>
      <c r="E2012" s="5" t="s">
        <v>2787</v>
      </c>
      <c r="F2012" s="5" t="s">
        <v>2758</v>
      </c>
      <c r="G2012" s="5">
        <v>1</v>
      </c>
      <c r="H2012" s="5" t="s">
        <v>2864</v>
      </c>
      <c r="I2012" s="5" t="str">
        <f>IF(INDEX(Manual_Review!$Q$6:$Q$238,U2012)="","",INDEX(Manual_Review!$Q$6:$Q$238,U2012))</f>
        <v/>
      </c>
      <c r="J2012" s="5" t="str">
        <f t="shared" si="62"/>
        <v>AI provisional</v>
      </c>
      <c r="K2012" s="5" t="str">
        <f t="shared" si="63"/>
        <v>U</v>
      </c>
      <c r="L2012" s="5" t="s">
        <v>1478</v>
      </c>
      <c r="M2012" s="5" t="s">
        <v>7034</v>
      </c>
      <c r="N2012" s="5" t="s">
        <v>7022</v>
      </c>
      <c r="O2012" s="5" t="s">
        <v>2877</v>
      </c>
      <c r="P2012" s="5" t="s">
        <v>2858</v>
      </c>
      <c r="Q2012" s="11">
        <v>46306.5</v>
      </c>
      <c r="R2012" s="6"/>
      <c r="S2012" s="6"/>
      <c r="T2012" s="6"/>
      <c r="U2012" s="5">
        <f>MATCH(B2012,Manual_Review!$A$6:$A$238,0)</f>
        <v>126</v>
      </c>
      <c r="V2012" s="5" t="str">
        <f>IF(INDEX(Manual_Review!$G$6:$G$238,U2012)="","",INDEX(Manual_Review!$G$6:$G$238,U2012))</f>
        <v/>
      </c>
      <c r="W2012" s="11" t="str">
        <f>IF(INDEX(Manual_Review!$H$6:$H$238,U2012)="","",INDEX(Manual_Review!$H$6:$H$238,U2012))</f>
        <v/>
      </c>
      <c r="X2012" s="5" t="str">
        <f>IF(INDEX(Manual_Review!$I$6:$I$238,U2012)="","",INDEX(Manual_Review!$I$6:$I$238,U2012))</f>
        <v/>
      </c>
      <c r="Y2012" s="5" t="s">
        <v>2859</v>
      </c>
    </row>
    <row r="2013" spans="1:25" ht="38.25">
      <c r="A2013" s="5" t="s">
        <v>7035</v>
      </c>
      <c r="B2013" s="5" t="s">
        <v>1469</v>
      </c>
      <c r="C2013" s="5" t="s">
        <v>1470</v>
      </c>
      <c r="D2013" s="5" t="s">
        <v>118</v>
      </c>
      <c r="E2013" s="5" t="s">
        <v>2788</v>
      </c>
      <c r="F2013" s="5" t="s">
        <v>2758</v>
      </c>
      <c r="G2013" s="5">
        <v>1</v>
      </c>
      <c r="H2013" s="5" t="s">
        <v>2854</v>
      </c>
      <c r="I2013" s="5" t="str">
        <f>IF(INDEX(Manual_Review!$R$6:$R$238,U2013)="","",INDEX(Manual_Review!$R$6:$R$238,U2013))</f>
        <v/>
      </c>
      <c r="J2013" s="5" t="str">
        <f t="shared" si="62"/>
        <v>AI provisional</v>
      </c>
      <c r="K2013" s="5" t="str">
        <f t="shared" si="63"/>
        <v>Y</v>
      </c>
      <c r="L2013" s="5" t="s">
        <v>1478</v>
      </c>
      <c r="M2013" s="5" t="s">
        <v>7036</v>
      </c>
      <c r="N2013" s="5" t="s">
        <v>7022</v>
      </c>
      <c r="O2013" s="5" t="s">
        <v>3067</v>
      </c>
      <c r="P2013" s="5" t="s">
        <v>2858</v>
      </c>
      <c r="Q2013" s="11">
        <v>46306.5</v>
      </c>
      <c r="R2013" s="6"/>
      <c r="S2013" s="6"/>
      <c r="T2013" s="6"/>
      <c r="U2013" s="5">
        <f>MATCH(B2013,Manual_Review!$A$6:$A$238,0)</f>
        <v>126</v>
      </c>
      <c r="V2013" s="5" t="str">
        <f>IF(INDEX(Manual_Review!$G$6:$G$238,U2013)="","",INDEX(Manual_Review!$G$6:$G$238,U2013))</f>
        <v/>
      </c>
      <c r="W2013" s="11" t="str">
        <f>IF(INDEX(Manual_Review!$H$6:$H$238,U2013)="","",INDEX(Manual_Review!$H$6:$H$238,U2013))</f>
        <v/>
      </c>
      <c r="X2013" s="5" t="str">
        <f>IF(INDEX(Manual_Review!$I$6:$I$238,U2013)="","",INDEX(Manual_Review!$I$6:$I$238,U2013))</f>
        <v/>
      </c>
      <c r="Y2013" s="5" t="s">
        <v>2859</v>
      </c>
    </row>
    <row r="2014" spans="1:25" ht="38.25">
      <c r="A2014" s="5" t="s">
        <v>7037</v>
      </c>
      <c r="B2014" s="5" t="s">
        <v>1469</v>
      </c>
      <c r="C2014" s="5" t="s">
        <v>1470</v>
      </c>
      <c r="D2014" s="5" t="s">
        <v>118</v>
      </c>
      <c r="E2014" s="5" t="s">
        <v>2789</v>
      </c>
      <c r="F2014" s="5" t="s">
        <v>2758</v>
      </c>
      <c r="G2014" s="5">
        <v>1</v>
      </c>
      <c r="H2014" s="5" t="s">
        <v>2864</v>
      </c>
      <c r="I2014" s="5" t="str">
        <f>IF(INDEX(Manual_Review!$S$6:$S$238,U2014)="","",INDEX(Manual_Review!$S$6:$S$238,U2014))</f>
        <v/>
      </c>
      <c r="J2014" s="5" t="str">
        <f t="shared" si="62"/>
        <v>AI provisional</v>
      </c>
      <c r="K2014" s="5" t="str">
        <f t="shared" si="63"/>
        <v>U</v>
      </c>
      <c r="L2014" s="5" t="s">
        <v>1478</v>
      </c>
      <c r="M2014" s="5" t="s">
        <v>7038</v>
      </c>
      <c r="N2014" s="5" t="s">
        <v>7022</v>
      </c>
      <c r="O2014" s="5" t="s">
        <v>2883</v>
      </c>
      <c r="P2014" s="5" t="s">
        <v>2858</v>
      </c>
      <c r="Q2014" s="11">
        <v>46306.5</v>
      </c>
      <c r="R2014" s="6"/>
      <c r="S2014" s="6"/>
      <c r="T2014" s="6"/>
      <c r="U2014" s="5">
        <f>MATCH(B2014,Manual_Review!$A$6:$A$238,0)</f>
        <v>126</v>
      </c>
      <c r="V2014" s="5" t="str">
        <f>IF(INDEX(Manual_Review!$G$6:$G$238,U2014)="","",INDEX(Manual_Review!$G$6:$G$238,U2014))</f>
        <v/>
      </c>
      <c r="W2014" s="11" t="str">
        <f>IF(INDEX(Manual_Review!$H$6:$H$238,U2014)="","",INDEX(Manual_Review!$H$6:$H$238,U2014))</f>
        <v/>
      </c>
      <c r="X2014" s="5" t="str">
        <f>IF(INDEX(Manual_Review!$I$6:$I$238,U2014)="","",INDEX(Manual_Review!$I$6:$I$238,U2014))</f>
        <v/>
      </c>
      <c r="Y2014" s="5" t="s">
        <v>2859</v>
      </c>
    </row>
    <row r="2015" spans="1:25" ht="38.25">
      <c r="A2015" s="5" t="s">
        <v>7039</v>
      </c>
      <c r="B2015" s="5" t="s">
        <v>1469</v>
      </c>
      <c r="C2015" s="5" t="s">
        <v>1470</v>
      </c>
      <c r="D2015" s="5" t="s">
        <v>118</v>
      </c>
      <c r="E2015" s="5" t="s">
        <v>2790</v>
      </c>
      <c r="F2015" s="5" t="s">
        <v>2760</v>
      </c>
      <c r="G2015" s="5">
        <v>1</v>
      </c>
      <c r="H2015" s="5" t="s">
        <v>2854</v>
      </c>
      <c r="I2015" s="5" t="str">
        <f>IF(INDEX(Manual_Review!$T$6:$T$238,U2015)="","",INDEX(Manual_Review!$T$6:$T$238,U2015))</f>
        <v/>
      </c>
      <c r="J2015" s="5" t="str">
        <f t="shared" si="62"/>
        <v>AI provisional</v>
      </c>
      <c r="K2015" s="5" t="str">
        <f t="shared" si="63"/>
        <v>Y</v>
      </c>
      <c r="L2015" s="5" t="s">
        <v>1478</v>
      </c>
      <c r="M2015" s="5" t="s">
        <v>7040</v>
      </c>
      <c r="N2015" s="5" t="s">
        <v>7022</v>
      </c>
      <c r="O2015" s="5" t="s">
        <v>2976</v>
      </c>
      <c r="P2015" s="5" t="s">
        <v>2858</v>
      </c>
      <c r="Q2015" s="11">
        <v>46306.5</v>
      </c>
      <c r="R2015" s="6"/>
      <c r="S2015" s="6"/>
      <c r="T2015" s="6"/>
      <c r="U2015" s="5">
        <f>MATCH(B2015,Manual_Review!$A$6:$A$238,0)</f>
        <v>126</v>
      </c>
      <c r="V2015" s="5" t="str">
        <f>IF(INDEX(Manual_Review!$G$6:$G$238,U2015)="","",INDEX(Manual_Review!$G$6:$G$238,U2015))</f>
        <v/>
      </c>
      <c r="W2015" s="11" t="str">
        <f>IF(INDEX(Manual_Review!$H$6:$H$238,U2015)="","",INDEX(Manual_Review!$H$6:$H$238,U2015))</f>
        <v/>
      </c>
      <c r="X2015" s="5" t="str">
        <f>IF(INDEX(Manual_Review!$I$6:$I$238,U2015)="","",INDEX(Manual_Review!$I$6:$I$238,U2015))</f>
        <v/>
      </c>
      <c r="Y2015" s="5" t="s">
        <v>2859</v>
      </c>
    </row>
    <row r="2016" spans="1:25" ht="38.25">
      <c r="A2016" s="5" t="s">
        <v>7041</v>
      </c>
      <c r="B2016" s="5" t="s">
        <v>1469</v>
      </c>
      <c r="C2016" s="5" t="s">
        <v>1470</v>
      </c>
      <c r="D2016" s="5" t="s">
        <v>118</v>
      </c>
      <c r="E2016" s="5" t="s">
        <v>2791</v>
      </c>
      <c r="F2016" s="5" t="s">
        <v>2760</v>
      </c>
      <c r="G2016" s="5">
        <v>1</v>
      </c>
      <c r="H2016" s="5" t="s">
        <v>2864</v>
      </c>
      <c r="I2016" s="5" t="str">
        <f>IF(INDEX(Manual_Review!$U$6:$U$238,U2016)="","",INDEX(Manual_Review!$U$6:$U$238,U2016))</f>
        <v/>
      </c>
      <c r="J2016" s="5" t="str">
        <f t="shared" si="62"/>
        <v>AI provisional</v>
      </c>
      <c r="K2016" s="5" t="str">
        <f t="shared" si="63"/>
        <v>U</v>
      </c>
      <c r="L2016" s="5" t="s">
        <v>1478</v>
      </c>
      <c r="M2016" s="5" t="s">
        <v>7042</v>
      </c>
      <c r="N2016" s="5" t="s">
        <v>7022</v>
      </c>
      <c r="O2016" s="5" t="s">
        <v>2888</v>
      </c>
      <c r="P2016" s="5" t="s">
        <v>2858</v>
      </c>
      <c r="Q2016" s="11">
        <v>46306.5</v>
      </c>
      <c r="R2016" s="6"/>
      <c r="S2016" s="6"/>
      <c r="T2016" s="6"/>
      <c r="U2016" s="5">
        <f>MATCH(B2016,Manual_Review!$A$6:$A$238,0)</f>
        <v>126</v>
      </c>
      <c r="V2016" s="5" t="str">
        <f>IF(INDEX(Manual_Review!$G$6:$G$238,U2016)="","",INDEX(Manual_Review!$G$6:$G$238,U2016))</f>
        <v/>
      </c>
      <c r="W2016" s="11" t="str">
        <f>IF(INDEX(Manual_Review!$H$6:$H$238,U2016)="","",INDEX(Manual_Review!$H$6:$H$238,U2016))</f>
        <v/>
      </c>
      <c r="X2016" s="5" t="str">
        <f>IF(INDEX(Manual_Review!$I$6:$I$238,U2016)="","",INDEX(Manual_Review!$I$6:$I$238,U2016))</f>
        <v/>
      </c>
      <c r="Y2016" s="5" t="s">
        <v>2859</v>
      </c>
    </row>
    <row r="2017" spans="1:25" ht="38.25">
      <c r="A2017" s="5" t="s">
        <v>7043</v>
      </c>
      <c r="B2017" s="5" t="s">
        <v>1469</v>
      </c>
      <c r="C2017" s="5" t="s">
        <v>1470</v>
      </c>
      <c r="D2017" s="5" t="s">
        <v>118</v>
      </c>
      <c r="E2017" s="5" t="s">
        <v>2792</v>
      </c>
      <c r="F2017" s="5" t="s">
        <v>2762</v>
      </c>
      <c r="G2017" s="5">
        <v>1</v>
      </c>
      <c r="H2017" s="5" t="s">
        <v>2854</v>
      </c>
      <c r="I2017" s="5" t="str">
        <f>IF(INDEX(Manual_Review!$V$6:$V$238,U2017)="","",INDEX(Manual_Review!$V$6:$V$238,U2017))</f>
        <v/>
      </c>
      <c r="J2017" s="5" t="str">
        <f t="shared" si="62"/>
        <v>AI provisional</v>
      </c>
      <c r="K2017" s="5" t="str">
        <f t="shared" si="63"/>
        <v>Y</v>
      </c>
      <c r="L2017" s="5" t="s">
        <v>1478</v>
      </c>
      <c r="M2017" s="5" t="s">
        <v>7044</v>
      </c>
      <c r="N2017" s="5" t="s">
        <v>7022</v>
      </c>
      <c r="O2017" s="5" t="s">
        <v>3152</v>
      </c>
      <c r="P2017" s="5" t="s">
        <v>2858</v>
      </c>
      <c r="Q2017" s="11">
        <v>46306.5</v>
      </c>
      <c r="R2017" s="6"/>
      <c r="S2017" s="6"/>
      <c r="T2017" s="6"/>
      <c r="U2017" s="5">
        <f>MATCH(B2017,Manual_Review!$A$6:$A$238,0)</f>
        <v>126</v>
      </c>
      <c r="V2017" s="5" t="str">
        <f>IF(INDEX(Manual_Review!$G$6:$G$238,U2017)="","",INDEX(Manual_Review!$G$6:$G$238,U2017))</f>
        <v/>
      </c>
      <c r="W2017" s="11" t="str">
        <f>IF(INDEX(Manual_Review!$H$6:$H$238,U2017)="","",INDEX(Manual_Review!$H$6:$H$238,U2017))</f>
        <v/>
      </c>
      <c r="X2017" s="5" t="str">
        <f>IF(INDEX(Manual_Review!$I$6:$I$238,U2017)="","",INDEX(Manual_Review!$I$6:$I$238,U2017))</f>
        <v/>
      </c>
      <c r="Y2017" s="5" t="s">
        <v>2859</v>
      </c>
    </row>
    <row r="2018" spans="1:25" ht="38.25">
      <c r="A2018" s="5" t="s">
        <v>7045</v>
      </c>
      <c r="B2018" s="5" t="s">
        <v>1469</v>
      </c>
      <c r="C2018" s="5" t="s">
        <v>1470</v>
      </c>
      <c r="D2018" s="5" t="s">
        <v>118</v>
      </c>
      <c r="E2018" s="5" t="s">
        <v>2793</v>
      </c>
      <c r="F2018" s="5" t="s">
        <v>2762</v>
      </c>
      <c r="G2018" s="5">
        <v>1</v>
      </c>
      <c r="H2018" s="5" t="s">
        <v>2854</v>
      </c>
      <c r="I2018" s="5" t="str">
        <f>IF(INDEX(Manual_Review!$W$6:$W$238,U2018)="","",INDEX(Manual_Review!$W$6:$W$238,U2018))</f>
        <v/>
      </c>
      <c r="J2018" s="5" t="str">
        <f t="shared" si="62"/>
        <v>AI provisional</v>
      </c>
      <c r="K2018" s="5" t="str">
        <f t="shared" si="63"/>
        <v>Y</v>
      </c>
      <c r="L2018" s="5" t="s">
        <v>1478</v>
      </c>
      <c r="M2018" s="5" t="s">
        <v>7046</v>
      </c>
      <c r="N2018" s="5" t="s">
        <v>7022</v>
      </c>
      <c r="O2018" s="5" t="s">
        <v>3077</v>
      </c>
      <c r="P2018" s="5" t="s">
        <v>2858</v>
      </c>
      <c r="Q2018" s="11">
        <v>46306.5</v>
      </c>
      <c r="R2018" s="6"/>
      <c r="S2018" s="6"/>
      <c r="T2018" s="6"/>
      <c r="U2018" s="5">
        <f>MATCH(B2018,Manual_Review!$A$6:$A$238,0)</f>
        <v>126</v>
      </c>
      <c r="V2018" s="5" t="str">
        <f>IF(INDEX(Manual_Review!$G$6:$G$238,U2018)="","",INDEX(Manual_Review!$G$6:$G$238,U2018))</f>
        <v/>
      </c>
      <c r="W2018" s="11" t="str">
        <f>IF(INDEX(Manual_Review!$H$6:$H$238,U2018)="","",INDEX(Manual_Review!$H$6:$H$238,U2018))</f>
        <v/>
      </c>
      <c r="X2018" s="5" t="str">
        <f>IF(INDEX(Manual_Review!$I$6:$I$238,U2018)="","",INDEX(Manual_Review!$I$6:$I$238,U2018))</f>
        <v/>
      </c>
      <c r="Y2018" s="5" t="s">
        <v>2859</v>
      </c>
    </row>
    <row r="2019" spans="1:25" ht="38.25">
      <c r="A2019" s="5" t="s">
        <v>7047</v>
      </c>
      <c r="B2019" s="5" t="s">
        <v>1469</v>
      </c>
      <c r="C2019" s="5" t="s">
        <v>1470</v>
      </c>
      <c r="D2019" s="5" t="s">
        <v>118</v>
      </c>
      <c r="E2019" s="5" t="s">
        <v>2794</v>
      </c>
      <c r="F2019" s="5" t="s">
        <v>2764</v>
      </c>
      <c r="G2019" s="5">
        <v>1</v>
      </c>
      <c r="H2019" s="5" t="s">
        <v>2854</v>
      </c>
      <c r="I2019" s="5" t="str">
        <f>IF(INDEX(Manual_Review!$X$6:$X$238,U2019)="","",INDEX(Manual_Review!$X$6:$X$238,U2019))</f>
        <v/>
      </c>
      <c r="J2019" s="5" t="str">
        <f t="shared" si="62"/>
        <v>AI provisional</v>
      </c>
      <c r="K2019" s="5" t="str">
        <f t="shared" si="63"/>
        <v>Y</v>
      </c>
      <c r="L2019" s="5" t="s">
        <v>1478</v>
      </c>
      <c r="M2019" s="5" t="s">
        <v>7048</v>
      </c>
      <c r="N2019" s="5" t="s">
        <v>7022</v>
      </c>
      <c r="O2019" s="5" t="s">
        <v>2984</v>
      </c>
      <c r="P2019" s="5" t="s">
        <v>2858</v>
      </c>
      <c r="Q2019" s="11">
        <v>46306.5</v>
      </c>
      <c r="R2019" s="6"/>
      <c r="S2019" s="6"/>
      <c r="T2019" s="6"/>
      <c r="U2019" s="5">
        <f>MATCH(B2019,Manual_Review!$A$6:$A$238,0)</f>
        <v>126</v>
      </c>
      <c r="V2019" s="5" t="str">
        <f>IF(INDEX(Manual_Review!$G$6:$G$238,U2019)="","",INDEX(Manual_Review!$G$6:$G$238,U2019))</f>
        <v/>
      </c>
      <c r="W2019" s="11" t="str">
        <f>IF(INDEX(Manual_Review!$H$6:$H$238,U2019)="","",INDEX(Manual_Review!$H$6:$H$238,U2019))</f>
        <v/>
      </c>
      <c r="X2019" s="5" t="str">
        <f>IF(INDEX(Manual_Review!$I$6:$I$238,U2019)="","",INDEX(Manual_Review!$I$6:$I$238,U2019))</f>
        <v/>
      </c>
      <c r="Y2019" s="5" t="s">
        <v>2859</v>
      </c>
    </row>
    <row r="2020" spans="1:25" ht="38.25">
      <c r="A2020" s="5" t="s">
        <v>7049</v>
      </c>
      <c r="B2020" s="5" t="s">
        <v>1469</v>
      </c>
      <c r="C2020" s="5" t="s">
        <v>1470</v>
      </c>
      <c r="D2020" s="5" t="s">
        <v>118</v>
      </c>
      <c r="E2020" s="5" t="s">
        <v>2795</v>
      </c>
      <c r="F2020" s="5" t="s">
        <v>2764</v>
      </c>
      <c r="G2020" s="5">
        <v>1</v>
      </c>
      <c r="H2020" s="5" t="s">
        <v>2864</v>
      </c>
      <c r="I2020" s="5" t="str">
        <f>IF(INDEX(Manual_Review!$Y$6:$Y$238,U2020)="","",INDEX(Manual_Review!$Y$6:$Y$238,U2020))</f>
        <v/>
      </c>
      <c r="J2020" s="5" t="str">
        <f t="shared" si="62"/>
        <v>AI provisional</v>
      </c>
      <c r="K2020" s="5" t="str">
        <f t="shared" si="63"/>
        <v>U</v>
      </c>
      <c r="L2020" s="5" t="s">
        <v>1478</v>
      </c>
      <c r="M2020" s="5" t="s">
        <v>7032</v>
      </c>
      <c r="N2020" s="5" t="s">
        <v>7022</v>
      </c>
      <c r="O2020" s="5" t="s">
        <v>2897</v>
      </c>
      <c r="P2020" s="5" t="s">
        <v>2858</v>
      </c>
      <c r="Q2020" s="11">
        <v>46306.5</v>
      </c>
      <c r="R2020" s="6"/>
      <c r="S2020" s="6"/>
      <c r="T2020" s="6"/>
      <c r="U2020" s="5">
        <f>MATCH(B2020,Manual_Review!$A$6:$A$238,0)</f>
        <v>126</v>
      </c>
      <c r="V2020" s="5" t="str">
        <f>IF(INDEX(Manual_Review!$G$6:$G$238,U2020)="","",INDEX(Manual_Review!$G$6:$G$238,U2020))</f>
        <v/>
      </c>
      <c r="W2020" s="11" t="str">
        <f>IF(INDEX(Manual_Review!$H$6:$H$238,U2020)="","",INDEX(Manual_Review!$H$6:$H$238,U2020))</f>
        <v/>
      </c>
      <c r="X2020" s="5" t="str">
        <f>IF(INDEX(Manual_Review!$I$6:$I$238,U2020)="","",INDEX(Manual_Review!$I$6:$I$238,U2020))</f>
        <v/>
      </c>
      <c r="Y2020" s="5" t="s">
        <v>2859</v>
      </c>
    </row>
    <row r="2021" spans="1:25" ht="38.25">
      <c r="A2021" s="5" t="s">
        <v>7050</v>
      </c>
      <c r="B2021" s="5" t="s">
        <v>1469</v>
      </c>
      <c r="C2021" s="5" t="s">
        <v>1470</v>
      </c>
      <c r="D2021" s="5" t="s">
        <v>118</v>
      </c>
      <c r="E2021" s="5" t="s">
        <v>2796</v>
      </c>
      <c r="F2021" s="5" t="s">
        <v>2764</v>
      </c>
      <c r="G2021" s="5">
        <v>1</v>
      </c>
      <c r="H2021" s="5" t="s">
        <v>2864</v>
      </c>
      <c r="I2021" s="5" t="str">
        <f>IF(INDEX(Manual_Review!$Z$6:$Z$238,U2021)="","",INDEX(Manual_Review!$Z$6:$Z$238,U2021))</f>
        <v/>
      </c>
      <c r="J2021" s="5" t="str">
        <f t="shared" si="62"/>
        <v>AI provisional</v>
      </c>
      <c r="K2021" s="5" t="str">
        <f t="shared" si="63"/>
        <v>U</v>
      </c>
      <c r="L2021" s="5" t="s">
        <v>1478</v>
      </c>
      <c r="M2021" s="5" t="s">
        <v>7038</v>
      </c>
      <c r="N2021" s="5" t="s">
        <v>7022</v>
      </c>
      <c r="O2021" s="5" t="s">
        <v>2899</v>
      </c>
      <c r="P2021" s="5" t="s">
        <v>2858</v>
      </c>
      <c r="Q2021" s="11">
        <v>46306.5</v>
      </c>
      <c r="R2021" s="6"/>
      <c r="S2021" s="6"/>
      <c r="T2021" s="6"/>
      <c r="U2021" s="5">
        <f>MATCH(B2021,Manual_Review!$A$6:$A$238,0)</f>
        <v>126</v>
      </c>
      <c r="V2021" s="5" t="str">
        <f>IF(INDEX(Manual_Review!$G$6:$G$238,U2021)="","",INDEX(Manual_Review!$G$6:$G$238,U2021))</f>
        <v/>
      </c>
      <c r="W2021" s="11" t="str">
        <f>IF(INDEX(Manual_Review!$H$6:$H$238,U2021)="","",INDEX(Manual_Review!$H$6:$H$238,U2021))</f>
        <v/>
      </c>
      <c r="X2021" s="5" t="str">
        <f>IF(INDEX(Manual_Review!$I$6:$I$238,U2021)="","",INDEX(Manual_Review!$I$6:$I$238,U2021))</f>
        <v/>
      </c>
      <c r="Y2021" s="5" t="s">
        <v>2859</v>
      </c>
    </row>
    <row r="2022" spans="1:25" ht="25.5">
      <c r="A2022" s="5" t="s">
        <v>7051</v>
      </c>
      <c r="B2022" s="5" t="s">
        <v>1480</v>
      </c>
      <c r="C2022" s="5" t="s">
        <v>1481</v>
      </c>
      <c r="D2022" s="5" t="s">
        <v>118</v>
      </c>
      <c r="E2022" s="5" t="s">
        <v>2781</v>
      </c>
      <c r="F2022" s="5" t="s">
        <v>2754</v>
      </c>
      <c r="G2022" s="5">
        <v>1</v>
      </c>
      <c r="H2022" s="5" t="s">
        <v>2854</v>
      </c>
      <c r="I2022" s="5" t="str">
        <f>IF(INDEX(Manual_Review!$K$6:$K$238,U2022)="","",INDEX(Manual_Review!$K$6:$K$238,U2022))</f>
        <v/>
      </c>
      <c r="J2022" s="5" t="str">
        <f t="shared" si="62"/>
        <v>AI provisional</v>
      </c>
      <c r="K2022" s="5" t="str">
        <f t="shared" si="63"/>
        <v>Y</v>
      </c>
      <c r="L2022" s="5" t="s">
        <v>1486</v>
      </c>
      <c r="M2022" s="5" t="s">
        <v>7052</v>
      </c>
      <c r="N2022" s="5" t="s">
        <v>7053</v>
      </c>
      <c r="O2022" s="5" t="s">
        <v>2857</v>
      </c>
      <c r="P2022" s="5" t="s">
        <v>2858</v>
      </c>
      <c r="Q2022" s="11">
        <v>46306.5</v>
      </c>
      <c r="R2022" s="6"/>
      <c r="S2022" s="6"/>
      <c r="T2022" s="6"/>
      <c r="U2022" s="5">
        <f>MATCH(B2022,Manual_Review!$A$6:$A$238,0)</f>
        <v>127</v>
      </c>
      <c r="V2022" s="5" t="str">
        <f>IF(INDEX(Manual_Review!$G$6:$G$238,U2022)="","",INDEX(Manual_Review!$G$6:$G$238,U2022))</f>
        <v/>
      </c>
      <c r="W2022" s="11" t="str">
        <f>IF(INDEX(Manual_Review!$H$6:$H$238,U2022)="","",INDEX(Manual_Review!$H$6:$H$238,U2022))</f>
        <v/>
      </c>
      <c r="X2022" s="5" t="str">
        <f>IF(INDEX(Manual_Review!$I$6:$I$238,U2022)="","",INDEX(Manual_Review!$I$6:$I$238,U2022))</f>
        <v/>
      </c>
      <c r="Y2022" s="5" t="s">
        <v>2859</v>
      </c>
    </row>
    <row r="2023" spans="1:25" ht="25.5">
      <c r="A2023" s="5" t="s">
        <v>7054</v>
      </c>
      <c r="B2023" s="5" t="s">
        <v>1480</v>
      </c>
      <c r="C2023" s="5" t="s">
        <v>1481</v>
      </c>
      <c r="D2023" s="5" t="s">
        <v>118</v>
      </c>
      <c r="E2023" s="5" t="s">
        <v>2782</v>
      </c>
      <c r="F2023" s="5" t="s">
        <v>2754</v>
      </c>
      <c r="G2023" s="5">
        <v>1</v>
      </c>
      <c r="H2023" s="5" t="s">
        <v>2854</v>
      </c>
      <c r="I2023" s="5" t="str">
        <f>IF(INDEX(Manual_Review!$L$6:$L$238,U2023)="","",INDEX(Manual_Review!$L$6:$L$238,U2023))</f>
        <v/>
      </c>
      <c r="J2023" s="5" t="str">
        <f t="shared" si="62"/>
        <v>AI provisional</v>
      </c>
      <c r="K2023" s="5" t="str">
        <f t="shared" si="63"/>
        <v>Y</v>
      </c>
      <c r="L2023" s="5" t="s">
        <v>1486</v>
      </c>
      <c r="M2023" s="5" t="s">
        <v>7055</v>
      </c>
      <c r="N2023" s="5" t="s">
        <v>7053</v>
      </c>
      <c r="O2023" s="5" t="s">
        <v>2862</v>
      </c>
      <c r="P2023" s="5" t="s">
        <v>2858</v>
      </c>
      <c r="Q2023" s="11">
        <v>46306.5</v>
      </c>
      <c r="R2023" s="6"/>
      <c r="S2023" s="6"/>
      <c r="T2023" s="6"/>
      <c r="U2023" s="5">
        <f>MATCH(B2023,Manual_Review!$A$6:$A$238,0)</f>
        <v>127</v>
      </c>
      <c r="V2023" s="5" t="str">
        <f>IF(INDEX(Manual_Review!$G$6:$G$238,U2023)="","",INDEX(Manual_Review!$G$6:$G$238,U2023))</f>
        <v/>
      </c>
      <c r="W2023" s="11" t="str">
        <f>IF(INDEX(Manual_Review!$H$6:$H$238,U2023)="","",INDEX(Manual_Review!$H$6:$H$238,U2023))</f>
        <v/>
      </c>
      <c r="X2023" s="5" t="str">
        <f>IF(INDEX(Manual_Review!$I$6:$I$238,U2023)="","",INDEX(Manual_Review!$I$6:$I$238,U2023))</f>
        <v/>
      </c>
      <c r="Y2023" s="5" t="s">
        <v>2859</v>
      </c>
    </row>
    <row r="2024" spans="1:25" ht="25.5">
      <c r="A2024" s="5" t="s">
        <v>7056</v>
      </c>
      <c r="B2024" s="5" t="s">
        <v>1480</v>
      </c>
      <c r="C2024" s="5" t="s">
        <v>1481</v>
      </c>
      <c r="D2024" s="5" t="s">
        <v>118</v>
      </c>
      <c r="E2024" s="5" t="s">
        <v>2783</v>
      </c>
      <c r="F2024" s="5" t="s">
        <v>2754</v>
      </c>
      <c r="G2024" s="5">
        <v>1</v>
      </c>
      <c r="H2024" s="5" t="s">
        <v>2854</v>
      </c>
      <c r="I2024" s="5" t="str">
        <f>IF(INDEX(Manual_Review!$M$6:$M$238,U2024)="","",INDEX(Manual_Review!$M$6:$M$238,U2024))</f>
        <v/>
      </c>
      <c r="J2024" s="5" t="str">
        <f t="shared" si="62"/>
        <v>AI provisional</v>
      </c>
      <c r="K2024" s="5" t="str">
        <f t="shared" si="63"/>
        <v>Y</v>
      </c>
      <c r="L2024" s="5" t="s">
        <v>1486</v>
      </c>
      <c r="M2024" s="5" t="s">
        <v>7057</v>
      </c>
      <c r="N2024" s="5" t="s">
        <v>7053</v>
      </c>
      <c r="O2024" s="5" t="s">
        <v>3133</v>
      </c>
      <c r="P2024" s="5" t="s">
        <v>2858</v>
      </c>
      <c r="Q2024" s="11">
        <v>46306.5</v>
      </c>
      <c r="R2024" s="6"/>
      <c r="S2024" s="6"/>
      <c r="T2024" s="6"/>
      <c r="U2024" s="5">
        <f>MATCH(B2024,Manual_Review!$A$6:$A$238,0)</f>
        <v>127</v>
      </c>
      <c r="V2024" s="5" t="str">
        <f>IF(INDEX(Manual_Review!$G$6:$G$238,U2024)="","",INDEX(Manual_Review!$G$6:$G$238,U2024))</f>
        <v/>
      </c>
      <c r="W2024" s="11" t="str">
        <f>IF(INDEX(Manual_Review!$H$6:$H$238,U2024)="","",INDEX(Manual_Review!$H$6:$H$238,U2024))</f>
        <v/>
      </c>
      <c r="X2024" s="5" t="str">
        <f>IF(INDEX(Manual_Review!$I$6:$I$238,U2024)="","",INDEX(Manual_Review!$I$6:$I$238,U2024))</f>
        <v/>
      </c>
      <c r="Y2024" s="5" t="s">
        <v>2859</v>
      </c>
    </row>
    <row r="2025" spans="1:25" ht="25.5">
      <c r="A2025" s="5" t="s">
        <v>7058</v>
      </c>
      <c r="B2025" s="5" t="s">
        <v>1480</v>
      </c>
      <c r="C2025" s="5" t="s">
        <v>1481</v>
      </c>
      <c r="D2025" s="5" t="s">
        <v>118</v>
      </c>
      <c r="E2025" s="5" t="s">
        <v>2784</v>
      </c>
      <c r="F2025" s="5" t="s">
        <v>2756</v>
      </c>
      <c r="G2025" s="5">
        <v>1</v>
      </c>
      <c r="H2025" s="5" t="s">
        <v>2854</v>
      </c>
      <c r="I2025" s="5" t="str">
        <f>IF(INDEX(Manual_Review!$N$6:$N$238,U2025)="","",INDEX(Manual_Review!$N$6:$N$238,U2025))</f>
        <v/>
      </c>
      <c r="J2025" s="5" t="str">
        <f t="shared" si="62"/>
        <v>AI provisional</v>
      </c>
      <c r="K2025" s="5" t="str">
        <f t="shared" si="63"/>
        <v>Y</v>
      </c>
      <c r="L2025" s="5" t="s">
        <v>1486</v>
      </c>
      <c r="M2025" s="5" t="s">
        <v>7059</v>
      </c>
      <c r="N2025" s="5" t="s">
        <v>7053</v>
      </c>
      <c r="O2025" s="5" t="s">
        <v>2963</v>
      </c>
      <c r="P2025" s="5" t="s">
        <v>2858</v>
      </c>
      <c r="Q2025" s="11">
        <v>46306.5</v>
      </c>
      <c r="R2025" s="6"/>
      <c r="S2025" s="6"/>
      <c r="T2025" s="6"/>
      <c r="U2025" s="5">
        <f>MATCH(B2025,Manual_Review!$A$6:$A$238,0)</f>
        <v>127</v>
      </c>
      <c r="V2025" s="5" t="str">
        <f>IF(INDEX(Manual_Review!$G$6:$G$238,U2025)="","",INDEX(Manual_Review!$G$6:$G$238,U2025))</f>
        <v/>
      </c>
      <c r="W2025" s="11" t="str">
        <f>IF(INDEX(Manual_Review!$H$6:$H$238,U2025)="","",INDEX(Manual_Review!$H$6:$H$238,U2025))</f>
        <v/>
      </c>
      <c r="X2025" s="5" t="str">
        <f>IF(INDEX(Manual_Review!$I$6:$I$238,U2025)="","",INDEX(Manual_Review!$I$6:$I$238,U2025))</f>
        <v/>
      </c>
      <c r="Y2025" s="5" t="s">
        <v>2859</v>
      </c>
    </row>
    <row r="2026" spans="1:25" ht="25.5">
      <c r="A2026" s="5" t="s">
        <v>7060</v>
      </c>
      <c r="B2026" s="5" t="s">
        <v>1480</v>
      </c>
      <c r="C2026" s="5" t="s">
        <v>1481</v>
      </c>
      <c r="D2026" s="5" t="s">
        <v>118</v>
      </c>
      <c r="E2026" s="5" t="s">
        <v>2785</v>
      </c>
      <c r="F2026" s="5" t="s">
        <v>2756</v>
      </c>
      <c r="G2026" s="5">
        <v>1</v>
      </c>
      <c r="H2026" s="5" t="s">
        <v>2864</v>
      </c>
      <c r="I2026" s="5" t="str">
        <f>IF(INDEX(Manual_Review!$O$6:$O$238,U2026)="","",INDEX(Manual_Review!$O$6:$O$238,U2026))</f>
        <v/>
      </c>
      <c r="J2026" s="5" t="str">
        <f t="shared" si="62"/>
        <v>AI provisional</v>
      </c>
      <c r="K2026" s="5" t="str">
        <f t="shared" si="63"/>
        <v>U</v>
      </c>
      <c r="L2026" s="5" t="s">
        <v>1486</v>
      </c>
      <c r="M2026" s="5" t="s">
        <v>7061</v>
      </c>
      <c r="N2026" s="5" t="s">
        <v>7053</v>
      </c>
      <c r="O2026" s="5" t="s">
        <v>2872</v>
      </c>
      <c r="P2026" s="5" t="s">
        <v>2858</v>
      </c>
      <c r="Q2026" s="11">
        <v>46306.5</v>
      </c>
      <c r="R2026" s="6"/>
      <c r="S2026" s="6"/>
      <c r="T2026" s="6"/>
      <c r="U2026" s="5">
        <f>MATCH(B2026,Manual_Review!$A$6:$A$238,0)</f>
        <v>127</v>
      </c>
      <c r="V2026" s="5" t="str">
        <f>IF(INDEX(Manual_Review!$G$6:$G$238,U2026)="","",INDEX(Manual_Review!$G$6:$G$238,U2026))</f>
        <v/>
      </c>
      <c r="W2026" s="11" t="str">
        <f>IF(INDEX(Manual_Review!$H$6:$H$238,U2026)="","",INDEX(Manual_Review!$H$6:$H$238,U2026))</f>
        <v/>
      </c>
      <c r="X2026" s="5" t="str">
        <f>IF(INDEX(Manual_Review!$I$6:$I$238,U2026)="","",INDEX(Manual_Review!$I$6:$I$238,U2026))</f>
        <v/>
      </c>
      <c r="Y2026" s="5" t="s">
        <v>2859</v>
      </c>
    </row>
    <row r="2027" spans="1:25" ht="25.5">
      <c r="A2027" s="5" t="s">
        <v>7062</v>
      </c>
      <c r="B2027" s="5" t="s">
        <v>1480</v>
      </c>
      <c r="C2027" s="5" t="s">
        <v>1481</v>
      </c>
      <c r="D2027" s="5" t="s">
        <v>118</v>
      </c>
      <c r="E2027" s="5" t="s">
        <v>2786</v>
      </c>
      <c r="F2027" s="5" t="s">
        <v>2756</v>
      </c>
      <c r="G2027" s="5">
        <v>1</v>
      </c>
      <c r="H2027" s="5" t="s">
        <v>2864</v>
      </c>
      <c r="I2027" s="5" t="str">
        <f>IF(INDEX(Manual_Review!$P$6:$P$238,U2027)="","",INDEX(Manual_Review!$P$6:$P$238,U2027))</f>
        <v/>
      </c>
      <c r="J2027" s="5" t="str">
        <f t="shared" si="62"/>
        <v>AI provisional</v>
      </c>
      <c r="K2027" s="5" t="str">
        <f t="shared" si="63"/>
        <v>U</v>
      </c>
      <c r="L2027" s="5" t="s">
        <v>1486</v>
      </c>
      <c r="M2027" s="5" t="s">
        <v>7063</v>
      </c>
      <c r="N2027" s="5" t="s">
        <v>7053</v>
      </c>
      <c r="O2027" s="5" t="s">
        <v>2874</v>
      </c>
      <c r="P2027" s="5" t="s">
        <v>2858</v>
      </c>
      <c r="Q2027" s="11">
        <v>46306.5</v>
      </c>
      <c r="R2027" s="6"/>
      <c r="S2027" s="6"/>
      <c r="T2027" s="6"/>
      <c r="U2027" s="5">
        <f>MATCH(B2027,Manual_Review!$A$6:$A$238,0)</f>
        <v>127</v>
      </c>
      <c r="V2027" s="5" t="str">
        <f>IF(INDEX(Manual_Review!$G$6:$G$238,U2027)="","",INDEX(Manual_Review!$G$6:$G$238,U2027))</f>
        <v/>
      </c>
      <c r="W2027" s="11" t="str">
        <f>IF(INDEX(Manual_Review!$H$6:$H$238,U2027)="","",INDEX(Manual_Review!$H$6:$H$238,U2027))</f>
        <v/>
      </c>
      <c r="X2027" s="5" t="str">
        <f>IF(INDEX(Manual_Review!$I$6:$I$238,U2027)="","",INDEX(Manual_Review!$I$6:$I$238,U2027))</f>
        <v/>
      </c>
      <c r="Y2027" s="5" t="s">
        <v>2859</v>
      </c>
    </row>
    <row r="2028" spans="1:25" ht="25.5">
      <c r="A2028" s="5" t="s">
        <v>7064</v>
      </c>
      <c r="B2028" s="5" t="s">
        <v>1480</v>
      </c>
      <c r="C2028" s="5" t="s">
        <v>1481</v>
      </c>
      <c r="D2028" s="5" t="s">
        <v>118</v>
      </c>
      <c r="E2028" s="5" t="s">
        <v>2787</v>
      </c>
      <c r="F2028" s="5" t="s">
        <v>2758</v>
      </c>
      <c r="G2028" s="5">
        <v>1</v>
      </c>
      <c r="H2028" s="5" t="s">
        <v>2864</v>
      </c>
      <c r="I2028" s="5" t="str">
        <f>IF(INDEX(Manual_Review!$Q$6:$Q$238,U2028)="","",INDEX(Manual_Review!$Q$6:$Q$238,U2028))</f>
        <v/>
      </c>
      <c r="J2028" s="5" t="str">
        <f t="shared" si="62"/>
        <v>AI provisional</v>
      </c>
      <c r="K2028" s="5" t="str">
        <f t="shared" si="63"/>
        <v>U</v>
      </c>
      <c r="L2028" s="5" t="s">
        <v>1486</v>
      </c>
      <c r="M2028" s="5" t="s">
        <v>7065</v>
      </c>
      <c r="N2028" s="5" t="s">
        <v>7053</v>
      </c>
      <c r="O2028" s="5" t="s">
        <v>2877</v>
      </c>
      <c r="P2028" s="5" t="s">
        <v>2858</v>
      </c>
      <c r="Q2028" s="11">
        <v>46306.5</v>
      </c>
      <c r="R2028" s="6"/>
      <c r="S2028" s="6"/>
      <c r="T2028" s="6"/>
      <c r="U2028" s="5">
        <f>MATCH(B2028,Manual_Review!$A$6:$A$238,0)</f>
        <v>127</v>
      </c>
      <c r="V2028" s="5" t="str">
        <f>IF(INDEX(Manual_Review!$G$6:$G$238,U2028)="","",INDEX(Manual_Review!$G$6:$G$238,U2028))</f>
        <v/>
      </c>
      <c r="W2028" s="11" t="str">
        <f>IF(INDEX(Manual_Review!$H$6:$H$238,U2028)="","",INDEX(Manual_Review!$H$6:$H$238,U2028))</f>
        <v/>
      </c>
      <c r="X2028" s="5" t="str">
        <f>IF(INDEX(Manual_Review!$I$6:$I$238,U2028)="","",INDEX(Manual_Review!$I$6:$I$238,U2028))</f>
        <v/>
      </c>
      <c r="Y2028" s="5" t="s">
        <v>2859</v>
      </c>
    </row>
    <row r="2029" spans="1:25" ht="25.5">
      <c r="A2029" s="5" t="s">
        <v>7066</v>
      </c>
      <c r="B2029" s="5" t="s">
        <v>1480</v>
      </c>
      <c r="C2029" s="5" t="s">
        <v>1481</v>
      </c>
      <c r="D2029" s="5" t="s">
        <v>118</v>
      </c>
      <c r="E2029" s="5" t="s">
        <v>2788</v>
      </c>
      <c r="F2029" s="5" t="s">
        <v>2758</v>
      </c>
      <c r="G2029" s="5">
        <v>1</v>
      </c>
      <c r="H2029" s="5" t="s">
        <v>2854</v>
      </c>
      <c r="I2029" s="5" t="str">
        <f>IF(INDEX(Manual_Review!$R$6:$R$238,U2029)="","",INDEX(Manual_Review!$R$6:$R$238,U2029))</f>
        <v/>
      </c>
      <c r="J2029" s="5" t="str">
        <f t="shared" si="62"/>
        <v>AI provisional</v>
      </c>
      <c r="K2029" s="5" t="str">
        <f t="shared" si="63"/>
        <v>Y</v>
      </c>
      <c r="L2029" s="5" t="s">
        <v>1486</v>
      </c>
      <c r="M2029" s="5" t="s">
        <v>7067</v>
      </c>
      <c r="N2029" s="5" t="s">
        <v>7053</v>
      </c>
      <c r="O2029" s="5" t="s">
        <v>3067</v>
      </c>
      <c r="P2029" s="5" t="s">
        <v>2858</v>
      </c>
      <c r="Q2029" s="11">
        <v>46306.5</v>
      </c>
      <c r="R2029" s="6"/>
      <c r="S2029" s="6"/>
      <c r="T2029" s="6"/>
      <c r="U2029" s="5">
        <f>MATCH(B2029,Manual_Review!$A$6:$A$238,0)</f>
        <v>127</v>
      </c>
      <c r="V2029" s="5" t="str">
        <f>IF(INDEX(Manual_Review!$G$6:$G$238,U2029)="","",INDEX(Manual_Review!$G$6:$G$238,U2029))</f>
        <v/>
      </c>
      <c r="W2029" s="11" t="str">
        <f>IF(INDEX(Manual_Review!$H$6:$H$238,U2029)="","",INDEX(Manual_Review!$H$6:$H$238,U2029))</f>
        <v/>
      </c>
      <c r="X2029" s="5" t="str">
        <f>IF(INDEX(Manual_Review!$I$6:$I$238,U2029)="","",INDEX(Manual_Review!$I$6:$I$238,U2029))</f>
        <v/>
      </c>
      <c r="Y2029" s="5" t="s">
        <v>2859</v>
      </c>
    </row>
    <row r="2030" spans="1:25" ht="25.5">
      <c r="A2030" s="5" t="s">
        <v>7068</v>
      </c>
      <c r="B2030" s="5" t="s">
        <v>1480</v>
      </c>
      <c r="C2030" s="5" t="s">
        <v>1481</v>
      </c>
      <c r="D2030" s="5" t="s">
        <v>118</v>
      </c>
      <c r="E2030" s="5" t="s">
        <v>2789</v>
      </c>
      <c r="F2030" s="5" t="s">
        <v>2758</v>
      </c>
      <c r="G2030" s="5">
        <v>1</v>
      </c>
      <c r="H2030" s="5" t="s">
        <v>2864</v>
      </c>
      <c r="I2030" s="5" t="str">
        <f>IF(INDEX(Manual_Review!$S$6:$S$238,U2030)="","",INDEX(Manual_Review!$S$6:$S$238,U2030))</f>
        <v/>
      </c>
      <c r="J2030" s="5" t="str">
        <f t="shared" si="62"/>
        <v>AI provisional</v>
      </c>
      <c r="K2030" s="5" t="str">
        <f t="shared" si="63"/>
        <v>U</v>
      </c>
      <c r="L2030" s="5" t="s">
        <v>1486</v>
      </c>
      <c r="M2030" s="5" t="s">
        <v>7069</v>
      </c>
      <c r="N2030" s="5" t="s">
        <v>7053</v>
      </c>
      <c r="O2030" s="5" t="s">
        <v>2883</v>
      </c>
      <c r="P2030" s="5" t="s">
        <v>2858</v>
      </c>
      <c r="Q2030" s="11">
        <v>46306.5</v>
      </c>
      <c r="R2030" s="6"/>
      <c r="S2030" s="6"/>
      <c r="T2030" s="6"/>
      <c r="U2030" s="5">
        <f>MATCH(B2030,Manual_Review!$A$6:$A$238,0)</f>
        <v>127</v>
      </c>
      <c r="V2030" s="5" t="str">
        <f>IF(INDEX(Manual_Review!$G$6:$G$238,U2030)="","",INDEX(Manual_Review!$G$6:$G$238,U2030))</f>
        <v/>
      </c>
      <c r="W2030" s="11" t="str">
        <f>IF(INDEX(Manual_Review!$H$6:$H$238,U2030)="","",INDEX(Manual_Review!$H$6:$H$238,U2030))</f>
        <v/>
      </c>
      <c r="X2030" s="5" t="str">
        <f>IF(INDEX(Manual_Review!$I$6:$I$238,U2030)="","",INDEX(Manual_Review!$I$6:$I$238,U2030))</f>
        <v/>
      </c>
      <c r="Y2030" s="5" t="s">
        <v>2859</v>
      </c>
    </row>
    <row r="2031" spans="1:25" ht="25.5">
      <c r="A2031" s="5" t="s">
        <v>7070</v>
      </c>
      <c r="B2031" s="5" t="s">
        <v>1480</v>
      </c>
      <c r="C2031" s="5" t="s">
        <v>1481</v>
      </c>
      <c r="D2031" s="5" t="s">
        <v>118</v>
      </c>
      <c r="E2031" s="5" t="s">
        <v>2790</v>
      </c>
      <c r="F2031" s="5" t="s">
        <v>2760</v>
      </c>
      <c r="G2031" s="5">
        <v>1</v>
      </c>
      <c r="H2031" s="5" t="s">
        <v>2854</v>
      </c>
      <c r="I2031" s="5" t="str">
        <f>IF(INDEX(Manual_Review!$T$6:$T$238,U2031)="","",INDEX(Manual_Review!$T$6:$T$238,U2031))</f>
        <v/>
      </c>
      <c r="J2031" s="5" t="str">
        <f t="shared" si="62"/>
        <v>AI provisional</v>
      </c>
      <c r="K2031" s="5" t="str">
        <f t="shared" si="63"/>
        <v>Y</v>
      </c>
      <c r="L2031" s="5" t="s">
        <v>1486</v>
      </c>
      <c r="M2031" s="5" t="s">
        <v>7071</v>
      </c>
      <c r="N2031" s="5" t="s">
        <v>7053</v>
      </c>
      <c r="O2031" s="5" t="s">
        <v>2976</v>
      </c>
      <c r="P2031" s="5" t="s">
        <v>2858</v>
      </c>
      <c r="Q2031" s="11">
        <v>46306.5</v>
      </c>
      <c r="R2031" s="6"/>
      <c r="S2031" s="6"/>
      <c r="T2031" s="6"/>
      <c r="U2031" s="5">
        <f>MATCH(B2031,Manual_Review!$A$6:$A$238,0)</f>
        <v>127</v>
      </c>
      <c r="V2031" s="5" t="str">
        <f>IF(INDEX(Manual_Review!$G$6:$G$238,U2031)="","",INDEX(Manual_Review!$G$6:$G$238,U2031))</f>
        <v/>
      </c>
      <c r="W2031" s="11" t="str">
        <f>IF(INDEX(Manual_Review!$H$6:$H$238,U2031)="","",INDEX(Manual_Review!$H$6:$H$238,U2031))</f>
        <v/>
      </c>
      <c r="X2031" s="5" t="str">
        <f>IF(INDEX(Manual_Review!$I$6:$I$238,U2031)="","",INDEX(Manual_Review!$I$6:$I$238,U2031))</f>
        <v/>
      </c>
      <c r="Y2031" s="5" t="s">
        <v>2859</v>
      </c>
    </row>
    <row r="2032" spans="1:25" ht="25.5">
      <c r="A2032" s="5" t="s">
        <v>7072</v>
      </c>
      <c r="B2032" s="5" t="s">
        <v>1480</v>
      </c>
      <c r="C2032" s="5" t="s">
        <v>1481</v>
      </c>
      <c r="D2032" s="5" t="s">
        <v>118</v>
      </c>
      <c r="E2032" s="5" t="s">
        <v>2791</v>
      </c>
      <c r="F2032" s="5" t="s">
        <v>2760</v>
      </c>
      <c r="G2032" s="5">
        <v>1</v>
      </c>
      <c r="H2032" s="5" t="s">
        <v>2864</v>
      </c>
      <c r="I2032" s="5" t="str">
        <f>IF(INDEX(Manual_Review!$U$6:$U$238,U2032)="","",INDEX(Manual_Review!$U$6:$U$238,U2032))</f>
        <v/>
      </c>
      <c r="J2032" s="5" t="str">
        <f t="shared" si="62"/>
        <v>AI provisional</v>
      </c>
      <c r="K2032" s="5" t="str">
        <f t="shared" si="63"/>
        <v>U</v>
      </c>
      <c r="L2032" s="5" t="s">
        <v>1486</v>
      </c>
      <c r="M2032" s="5" t="s">
        <v>7073</v>
      </c>
      <c r="N2032" s="5" t="s">
        <v>7053</v>
      </c>
      <c r="O2032" s="5" t="s">
        <v>2888</v>
      </c>
      <c r="P2032" s="5" t="s">
        <v>2858</v>
      </c>
      <c r="Q2032" s="11">
        <v>46306.5</v>
      </c>
      <c r="R2032" s="6"/>
      <c r="S2032" s="6"/>
      <c r="T2032" s="6"/>
      <c r="U2032" s="5">
        <f>MATCH(B2032,Manual_Review!$A$6:$A$238,0)</f>
        <v>127</v>
      </c>
      <c r="V2032" s="5" t="str">
        <f>IF(INDEX(Manual_Review!$G$6:$G$238,U2032)="","",INDEX(Manual_Review!$G$6:$G$238,U2032))</f>
        <v/>
      </c>
      <c r="W2032" s="11" t="str">
        <f>IF(INDEX(Manual_Review!$H$6:$H$238,U2032)="","",INDEX(Manual_Review!$H$6:$H$238,U2032))</f>
        <v/>
      </c>
      <c r="X2032" s="5" t="str">
        <f>IF(INDEX(Manual_Review!$I$6:$I$238,U2032)="","",INDEX(Manual_Review!$I$6:$I$238,U2032))</f>
        <v/>
      </c>
      <c r="Y2032" s="5" t="s">
        <v>2859</v>
      </c>
    </row>
    <row r="2033" spans="1:25" ht="25.5">
      <c r="A2033" s="5" t="s">
        <v>7074</v>
      </c>
      <c r="B2033" s="5" t="s">
        <v>1480</v>
      </c>
      <c r="C2033" s="5" t="s">
        <v>1481</v>
      </c>
      <c r="D2033" s="5" t="s">
        <v>118</v>
      </c>
      <c r="E2033" s="5" t="s">
        <v>2792</v>
      </c>
      <c r="F2033" s="5" t="s">
        <v>2762</v>
      </c>
      <c r="G2033" s="5">
        <v>1</v>
      </c>
      <c r="H2033" s="5" t="s">
        <v>2864</v>
      </c>
      <c r="I2033" s="5" t="str">
        <f>IF(INDEX(Manual_Review!$V$6:$V$238,U2033)="","",INDEX(Manual_Review!$V$6:$V$238,U2033))</f>
        <v/>
      </c>
      <c r="J2033" s="5" t="str">
        <f t="shared" si="62"/>
        <v>AI provisional</v>
      </c>
      <c r="K2033" s="5" t="str">
        <f t="shared" si="63"/>
        <v>U</v>
      </c>
      <c r="L2033" s="5" t="s">
        <v>1486</v>
      </c>
      <c r="M2033" s="5" t="s">
        <v>7075</v>
      </c>
      <c r="N2033" s="5" t="s">
        <v>7053</v>
      </c>
      <c r="O2033" s="5" t="s">
        <v>2891</v>
      </c>
      <c r="P2033" s="5" t="s">
        <v>2858</v>
      </c>
      <c r="Q2033" s="11">
        <v>46306.5</v>
      </c>
      <c r="R2033" s="6"/>
      <c r="S2033" s="6"/>
      <c r="T2033" s="6"/>
      <c r="U2033" s="5">
        <f>MATCH(B2033,Manual_Review!$A$6:$A$238,0)</f>
        <v>127</v>
      </c>
      <c r="V2033" s="5" t="str">
        <f>IF(INDEX(Manual_Review!$G$6:$G$238,U2033)="","",INDEX(Manual_Review!$G$6:$G$238,U2033))</f>
        <v/>
      </c>
      <c r="W2033" s="11" t="str">
        <f>IF(INDEX(Manual_Review!$H$6:$H$238,U2033)="","",INDEX(Manual_Review!$H$6:$H$238,U2033))</f>
        <v/>
      </c>
      <c r="X2033" s="5" t="str">
        <f>IF(INDEX(Manual_Review!$I$6:$I$238,U2033)="","",INDEX(Manual_Review!$I$6:$I$238,U2033))</f>
        <v/>
      </c>
      <c r="Y2033" s="5" t="s">
        <v>2859</v>
      </c>
    </row>
    <row r="2034" spans="1:25" ht="25.5">
      <c r="A2034" s="5" t="s">
        <v>7076</v>
      </c>
      <c r="B2034" s="5" t="s">
        <v>1480</v>
      </c>
      <c r="C2034" s="5" t="s">
        <v>1481</v>
      </c>
      <c r="D2034" s="5" t="s">
        <v>118</v>
      </c>
      <c r="E2034" s="5" t="s">
        <v>2793</v>
      </c>
      <c r="F2034" s="5" t="s">
        <v>2762</v>
      </c>
      <c r="G2034" s="5">
        <v>1</v>
      </c>
      <c r="H2034" s="5" t="s">
        <v>2854</v>
      </c>
      <c r="I2034" s="5" t="str">
        <f>IF(INDEX(Manual_Review!$W$6:$W$238,U2034)="","",INDEX(Manual_Review!$W$6:$W$238,U2034))</f>
        <v/>
      </c>
      <c r="J2034" s="5" t="str">
        <f t="shared" si="62"/>
        <v>AI provisional</v>
      </c>
      <c r="K2034" s="5" t="str">
        <f t="shared" si="63"/>
        <v>Y</v>
      </c>
      <c r="L2034" s="5" t="s">
        <v>1486</v>
      </c>
      <c r="M2034" s="5" t="s">
        <v>7077</v>
      </c>
      <c r="N2034" s="5" t="s">
        <v>7053</v>
      </c>
      <c r="O2034" s="5" t="s">
        <v>3077</v>
      </c>
      <c r="P2034" s="5" t="s">
        <v>2858</v>
      </c>
      <c r="Q2034" s="11">
        <v>46306.5</v>
      </c>
      <c r="R2034" s="6"/>
      <c r="S2034" s="6"/>
      <c r="T2034" s="6"/>
      <c r="U2034" s="5">
        <f>MATCH(B2034,Manual_Review!$A$6:$A$238,0)</f>
        <v>127</v>
      </c>
      <c r="V2034" s="5" t="str">
        <f>IF(INDEX(Manual_Review!$G$6:$G$238,U2034)="","",INDEX(Manual_Review!$G$6:$G$238,U2034))</f>
        <v/>
      </c>
      <c r="W2034" s="11" t="str">
        <f>IF(INDEX(Manual_Review!$H$6:$H$238,U2034)="","",INDEX(Manual_Review!$H$6:$H$238,U2034))</f>
        <v/>
      </c>
      <c r="X2034" s="5" t="str">
        <f>IF(INDEX(Manual_Review!$I$6:$I$238,U2034)="","",INDEX(Manual_Review!$I$6:$I$238,U2034))</f>
        <v/>
      </c>
      <c r="Y2034" s="5" t="s">
        <v>2859</v>
      </c>
    </row>
    <row r="2035" spans="1:25" ht="25.5">
      <c r="A2035" s="5" t="s">
        <v>7078</v>
      </c>
      <c r="B2035" s="5" t="s">
        <v>1480</v>
      </c>
      <c r="C2035" s="5" t="s">
        <v>1481</v>
      </c>
      <c r="D2035" s="5" t="s">
        <v>118</v>
      </c>
      <c r="E2035" s="5" t="s">
        <v>2794</v>
      </c>
      <c r="F2035" s="5" t="s">
        <v>2764</v>
      </c>
      <c r="G2035" s="5">
        <v>1</v>
      </c>
      <c r="H2035" s="5" t="s">
        <v>2854</v>
      </c>
      <c r="I2035" s="5" t="str">
        <f>IF(INDEX(Manual_Review!$X$6:$X$238,U2035)="","",INDEX(Manual_Review!$X$6:$X$238,U2035))</f>
        <v/>
      </c>
      <c r="J2035" s="5" t="str">
        <f t="shared" si="62"/>
        <v>AI provisional</v>
      </c>
      <c r="K2035" s="5" t="str">
        <f t="shared" si="63"/>
        <v>Y</v>
      </c>
      <c r="L2035" s="5" t="s">
        <v>1486</v>
      </c>
      <c r="M2035" s="5" t="s">
        <v>7079</v>
      </c>
      <c r="N2035" s="5" t="s">
        <v>7053</v>
      </c>
      <c r="O2035" s="5" t="s">
        <v>2984</v>
      </c>
      <c r="P2035" s="5" t="s">
        <v>2858</v>
      </c>
      <c r="Q2035" s="11">
        <v>46306.5</v>
      </c>
      <c r="R2035" s="6"/>
      <c r="S2035" s="6"/>
      <c r="T2035" s="6"/>
      <c r="U2035" s="5">
        <f>MATCH(B2035,Manual_Review!$A$6:$A$238,0)</f>
        <v>127</v>
      </c>
      <c r="V2035" s="5" t="str">
        <f>IF(INDEX(Manual_Review!$G$6:$G$238,U2035)="","",INDEX(Manual_Review!$G$6:$G$238,U2035))</f>
        <v/>
      </c>
      <c r="W2035" s="11" t="str">
        <f>IF(INDEX(Manual_Review!$H$6:$H$238,U2035)="","",INDEX(Manual_Review!$H$6:$H$238,U2035))</f>
        <v/>
      </c>
      <c r="X2035" s="5" t="str">
        <f>IF(INDEX(Manual_Review!$I$6:$I$238,U2035)="","",INDEX(Manual_Review!$I$6:$I$238,U2035))</f>
        <v/>
      </c>
      <c r="Y2035" s="5" t="s">
        <v>2859</v>
      </c>
    </row>
    <row r="2036" spans="1:25" ht="25.5">
      <c r="A2036" s="5" t="s">
        <v>7080</v>
      </c>
      <c r="B2036" s="5" t="s">
        <v>1480</v>
      </c>
      <c r="C2036" s="5" t="s">
        <v>1481</v>
      </c>
      <c r="D2036" s="5" t="s">
        <v>118</v>
      </c>
      <c r="E2036" s="5" t="s">
        <v>2795</v>
      </c>
      <c r="F2036" s="5" t="s">
        <v>2764</v>
      </c>
      <c r="G2036" s="5">
        <v>1</v>
      </c>
      <c r="H2036" s="5" t="s">
        <v>2864</v>
      </c>
      <c r="I2036" s="5" t="str">
        <f>IF(INDEX(Manual_Review!$Y$6:$Y$238,U2036)="","",INDEX(Manual_Review!$Y$6:$Y$238,U2036))</f>
        <v/>
      </c>
      <c r="J2036" s="5" t="str">
        <f t="shared" si="62"/>
        <v>AI provisional</v>
      </c>
      <c r="K2036" s="5" t="str">
        <f t="shared" si="63"/>
        <v>U</v>
      </c>
      <c r="L2036" s="5" t="s">
        <v>1486</v>
      </c>
      <c r="M2036" s="5" t="s">
        <v>7081</v>
      </c>
      <c r="N2036" s="5" t="s">
        <v>7053</v>
      </c>
      <c r="O2036" s="5" t="s">
        <v>2897</v>
      </c>
      <c r="P2036" s="5" t="s">
        <v>2858</v>
      </c>
      <c r="Q2036" s="11">
        <v>46306.5</v>
      </c>
      <c r="R2036" s="6"/>
      <c r="S2036" s="6"/>
      <c r="T2036" s="6"/>
      <c r="U2036" s="5">
        <f>MATCH(B2036,Manual_Review!$A$6:$A$238,0)</f>
        <v>127</v>
      </c>
      <c r="V2036" s="5" t="str">
        <f>IF(INDEX(Manual_Review!$G$6:$G$238,U2036)="","",INDEX(Manual_Review!$G$6:$G$238,U2036))</f>
        <v/>
      </c>
      <c r="W2036" s="11" t="str">
        <f>IF(INDEX(Manual_Review!$H$6:$H$238,U2036)="","",INDEX(Manual_Review!$H$6:$H$238,U2036))</f>
        <v/>
      </c>
      <c r="X2036" s="5" t="str">
        <f>IF(INDEX(Manual_Review!$I$6:$I$238,U2036)="","",INDEX(Manual_Review!$I$6:$I$238,U2036))</f>
        <v/>
      </c>
      <c r="Y2036" s="5" t="s">
        <v>2859</v>
      </c>
    </row>
    <row r="2037" spans="1:25" ht="25.5">
      <c r="A2037" s="5" t="s">
        <v>7082</v>
      </c>
      <c r="B2037" s="5" t="s">
        <v>1480</v>
      </c>
      <c r="C2037" s="5" t="s">
        <v>1481</v>
      </c>
      <c r="D2037" s="5" t="s">
        <v>118</v>
      </c>
      <c r="E2037" s="5" t="s">
        <v>2796</v>
      </c>
      <c r="F2037" s="5" t="s">
        <v>2764</v>
      </c>
      <c r="G2037" s="5">
        <v>1</v>
      </c>
      <c r="H2037" s="5" t="s">
        <v>2864</v>
      </c>
      <c r="I2037" s="5" t="str">
        <f>IF(INDEX(Manual_Review!$Z$6:$Z$238,U2037)="","",INDEX(Manual_Review!$Z$6:$Z$238,U2037))</f>
        <v/>
      </c>
      <c r="J2037" s="5" t="str">
        <f t="shared" si="62"/>
        <v>AI provisional</v>
      </c>
      <c r="K2037" s="5" t="str">
        <f t="shared" si="63"/>
        <v>U</v>
      </c>
      <c r="L2037" s="5" t="s">
        <v>1486</v>
      </c>
      <c r="M2037" s="5" t="s">
        <v>7083</v>
      </c>
      <c r="N2037" s="5" t="s">
        <v>7053</v>
      </c>
      <c r="O2037" s="5" t="s">
        <v>2899</v>
      </c>
      <c r="P2037" s="5" t="s">
        <v>2858</v>
      </c>
      <c r="Q2037" s="11">
        <v>46306.5</v>
      </c>
      <c r="R2037" s="6"/>
      <c r="S2037" s="6"/>
      <c r="T2037" s="6"/>
      <c r="U2037" s="5">
        <f>MATCH(B2037,Manual_Review!$A$6:$A$238,0)</f>
        <v>127</v>
      </c>
      <c r="V2037" s="5" t="str">
        <f>IF(INDEX(Manual_Review!$G$6:$G$238,U2037)="","",INDEX(Manual_Review!$G$6:$G$238,U2037))</f>
        <v/>
      </c>
      <c r="W2037" s="11" t="str">
        <f>IF(INDEX(Manual_Review!$H$6:$H$238,U2037)="","",INDEX(Manual_Review!$H$6:$H$238,U2037))</f>
        <v/>
      </c>
      <c r="X2037" s="5" t="str">
        <f>IF(INDEX(Manual_Review!$I$6:$I$238,U2037)="","",INDEX(Manual_Review!$I$6:$I$238,U2037))</f>
        <v/>
      </c>
      <c r="Y2037" s="5" t="s">
        <v>2859</v>
      </c>
    </row>
    <row r="2038" spans="1:25" ht="38.25">
      <c r="A2038" s="5" t="s">
        <v>7084</v>
      </c>
      <c r="B2038" s="5" t="s">
        <v>1488</v>
      </c>
      <c r="C2038" s="5" t="s">
        <v>1489</v>
      </c>
      <c r="D2038" s="5" t="s">
        <v>118</v>
      </c>
      <c r="E2038" s="5" t="s">
        <v>2781</v>
      </c>
      <c r="F2038" s="5" t="s">
        <v>2754</v>
      </c>
      <c r="G2038" s="5">
        <v>1</v>
      </c>
      <c r="H2038" s="5" t="s">
        <v>2854</v>
      </c>
      <c r="I2038" s="5" t="str">
        <f>IF(INDEX(Manual_Review!$K$6:$K$238,U2038)="","",INDEX(Manual_Review!$K$6:$K$238,U2038))</f>
        <v/>
      </c>
      <c r="J2038" s="5" t="str">
        <f t="shared" si="62"/>
        <v>AI provisional</v>
      </c>
      <c r="K2038" s="5" t="str">
        <f t="shared" si="63"/>
        <v>Y</v>
      </c>
      <c r="L2038" s="5" t="s">
        <v>1493</v>
      </c>
      <c r="M2038" s="5" t="s">
        <v>7085</v>
      </c>
      <c r="N2038" s="5" t="s">
        <v>7086</v>
      </c>
      <c r="O2038" s="5" t="s">
        <v>2857</v>
      </c>
      <c r="P2038" s="5" t="s">
        <v>2858</v>
      </c>
      <c r="Q2038" s="11">
        <v>46306.5</v>
      </c>
      <c r="R2038" s="6"/>
      <c r="S2038" s="6"/>
      <c r="T2038" s="6"/>
      <c r="U2038" s="5">
        <f>MATCH(B2038,Manual_Review!$A$6:$A$238,0)</f>
        <v>128</v>
      </c>
      <c r="V2038" s="5" t="str">
        <f>IF(INDEX(Manual_Review!$G$6:$G$238,U2038)="","",INDEX(Manual_Review!$G$6:$G$238,U2038))</f>
        <v/>
      </c>
      <c r="W2038" s="11" t="str">
        <f>IF(INDEX(Manual_Review!$H$6:$H$238,U2038)="","",INDEX(Manual_Review!$H$6:$H$238,U2038))</f>
        <v/>
      </c>
      <c r="X2038" s="5" t="str">
        <f>IF(INDEX(Manual_Review!$I$6:$I$238,U2038)="","",INDEX(Manual_Review!$I$6:$I$238,U2038))</f>
        <v/>
      </c>
      <c r="Y2038" s="5" t="s">
        <v>2859</v>
      </c>
    </row>
    <row r="2039" spans="1:25" ht="38.25">
      <c r="A2039" s="5" t="s">
        <v>7087</v>
      </c>
      <c r="B2039" s="5" t="s">
        <v>1488</v>
      </c>
      <c r="C2039" s="5" t="s">
        <v>1489</v>
      </c>
      <c r="D2039" s="5" t="s">
        <v>118</v>
      </c>
      <c r="E2039" s="5" t="s">
        <v>2782</v>
      </c>
      <c r="F2039" s="5" t="s">
        <v>2754</v>
      </c>
      <c r="G2039" s="5">
        <v>1</v>
      </c>
      <c r="H2039" s="5" t="s">
        <v>2854</v>
      </c>
      <c r="I2039" s="5" t="str">
        <f>IF(INDEX(Manual_Review!$L$6:$L$238,U2039)="","",INDEX(Manual_Review!$L$6:$L$238,U2039))</f>
        <v/>
      </c>
      <c r="J2039" s="5" t="str">
        <f t="shared" si="62"/>
        <v>AI provisional</v>
      </c>
      <c r="K2039" s="5" t="str">
        <f t="shared" si="63"/>
        <v>Y</v>
      </c>
      <c r="L2039" s="5" t="s">
        <v>1493</v>
      </c>
      <c r="M2039" s="5" t="s">
        <v>7088</v>
      </c>
      <c r="N2039" s="5" t="s">
        <v>7086</v>
      </c>
      <c r="O2039" s="5" t="s">
        <v>2862</v>
      </c>
      <c r="P2039" s="5" t="s">
        <v>2858</v>
      </c>
      <c r="Q2039" s="11">
        <v>46306.5</v>
      </c>
      <c r="R2039" s="6"/>
      <c r="S2039" s="6"/>
      <c r="T2039" s="6"/>
      <c r="U2039" s="5">
        <f>MATCH(B2039,Manual_Review!$A$6:$A$238,0)</f>
        <v>128</v>
      </c>
      <c r="V2039" s="5" t="str">
        <f>IF(INDEX(Manual_Review!$G$6:$G$238,U2039)="","",INDEX(Manual_Review!$G$6:$G$238,U2039))</f>
        <v/>
      </c>
      <c r="W2039" s="11" t="str">
        <f>IF(INDEX(Manual_Review!$H$6:$H$238,U2039)="","",INDEX(Manual_Review!$H$6:$H$238,U2039))</f>
        <v/>
      </c>
      <c r="X2039" s="5" t="str">
        <f>IF(INDEX(Manual_Review!$I$6:$I$238,U2039)="","",INDEX(Manual_Review!$I$6:$I$238,U2039))</f>
        <v/>
      </c>
      <c r="Y2039" s="5" t="s">
        <v>2859</v>
      </c>
    </row>
    <row r="2040" spans="1:25" ht="38.25">
      <c r="A2040" s="5" t="s">
        <v>7089</v>
      </c>
      <c r="B2040" s="5" t="s">
        <v>1488</v>
      </c>
      <c r="C2040" s="5" t="s">
        <v>1489</v>
      </c>
      <c r="D2040" s="5" t="s">
        <v>118</v>
      </c>
      <c r="E2040" s="5" t="s">
        <v>2783</v>
      </c>
      <c r="F2040" s="5" t="s">
        <v>2754</v>
      </c>
      <c r="G2040" s="5">
        <v>1</v>
      </c>
      <c r="H2040" s="5" t="s">
        <v>2864</v>
      </c>
      <c r="I2040" s="5" t="str">
        <f>IF(INDEX(Manual_Review!$M$6:$M$238,U2040)="","",INDEX(Manual_Review!$M$6:$M$238,U2040))</f>
        <v/>
      </c>
      <c r="J2040" s="5" t="str">
        <f t="shared" si="62"/>
        <v>AI provisional</v>
      </c>
      <c r="K2040" s="5" t="str">
        <f t="shared" si="63"/>
        <v>U</v>
      </c>
      <c r="L2040" s="5" t="s">
        <v>1493</v>
      </c>
      <c r="M2040" s="5" t="s">
        <v>7090</v>
      </c>
      <c r="N2040" s="5" t="s">
        <v>7086</v>
      </c>
      <c r="O2040" s="5" t="s">
        <v>2866</v>
      </c>
      <c r="P2040" s="5" t="s">
        <v>2858</v>
      </c>
      <c r="Q2040" s="11">
        <v>46306.5</v>
      </c>
      <c r="R2040" s="6"/>
      <c r="S2040" s="6"/>
      <c r="T2040" s="6"/>
      <c r="U2040" s="5">
        <f>MATCH(B2040,Manual_Review!$A$6:$A$238,0)</f>
        <v>128</v>
      </c>
      <c r="V2040" s="5" t="str">
        <f>IF(INDEX(Manual_Review!$G$6:$G$238,U2040)="","",INDEX(Manual_Review!$G$6:$G$238,U2040))</f>
        <v/>
      </c>
      <c r="W2040" s="11" t="str">
        <f>IF(INDEX(Manual_Review!$H$6:$H$238,U2040)="","",INDEX(Manual_Review!$H$6:$H$238,U2040))</f>
        <v/>
      </c>
      <c r="X2040" s="5" t="str">
        <f>IF(INDEX(Manual_Review!$I$6:$I$238,U2040)="","",INDEX(Manual_Review!$I$6:$I$238,U2040))</f>
        <v/>
      </c>
      <c r="Y2040" s="5" t="s">
        <v>2859</v>
      </c>
    </row>
    <row r="2041" spans="1:25" ht="38.25">
      <c r="A2041" s="5" t="s">
        <v>7091</v>
      </c>
      <c r="B2041" s="5" t="s">
        <v>1488</v>
      </c>
      <c r="C2041" s="5" t="s">
        <v>1489</v>
      </c>
      <c r="D2041" s="5" t="s">
        <v>118</v>
      </c>
      <c r="E2041" s="5" t="s">
        <v>2784</v>
      </c>
      <c r="F2041" s="5" t="s">
        <v>2756</v>
      </c>
      <c r="G2041" s="5">
        <v>1</v>
      </c>
      <c r="H2041" s="5" t="s">
        <v>2864</v>
      </c>
      <c r="I2041" s="5" t="str">
        <f>IF(INDEX(Manual_Review!$N$6:$N$238,U2041)="","",INDEX(Manual_Review!$N$6:$N$238,U2041))</f>
        <v/>
      </c>
      <c r="J2041" s="5" t="str">
        <f t="shared" si="62"/>
        <v>AI provisional</v>
      </c>
      <c r="K2041" s="5" t="str">
        <f t="shared" si="63"/>
        <v>U</v>
      </c>
      <c r="L2041" s="5" t="s">
        <v>1493</v>
      </c>
      <c r="M2041" s="5" t="s">
        <v>7090</v>
      </c>
      <c r="N2041" s="5" t="s">
        <v>7086</v>
      </c>
      <c r="O2041" s="5" t="s">
        <v>2869</v>
      </c>
      <c r="P2041" s="5" t="s">
        <v>2858</v>
      </c>
      <c r="Q2041" s="11">
        <v>46306.5</v>
      </c>
      <c r="R2041" s="6"/>
      <c r="S2041" s="6"/>
      <c r="T2041" s="6"/>
      <c r="U2041" s="5">
        <f>MATCH(B2041,Manual_Review!$A$6:$A$238,0)</f>
        <v>128</v>
      </c>
      <c r="V2041" s="5" t="str">
        <f>IF(INDEX(Manual_Review!$G$6:$G$238,U2041)="","",INDEX(Manual_Review!$G$6:$G$238,U2041))</f>
        <v/>
      </c>
      <c r="W2041" s="11" t="str">
        <f>IF(INDEX(Manual_Review!$H$6:$H$238,U2041)="","",INDEX(Manual_Review!$H$6:$H$238,U2041))</f>
        <v/>
      </c>
      <c r="X2041" s="5" t="str">
        <f>IF(INDEX(Manual_Review!$I$6:$I$238,U2041)="","",INDEX(Manual_Review!$I$6:$I$238,U2041))</f>
        <v/>
      </c>
      <c r="Y2041" s="5" t="s">
        <v>2859</v>
      </c>
    </row>
    <row r="2042" spans="1:25" ht="38.25">
      <c r="A2042" s="5" t="s">
        <v>7092</v>
      </c>
      <c r="B2042" s="5" t="s">
        <v>1488</v>
      </c>
      <c r="C2042" s="5" t="s">
        <v>1489</v>
      </c>
      <c r="D2042" s="5" t="s">
        <v>118</v>
      </c>
      <c r="E2042" s="5" t="s">
        <v>2785</v>
      </c>
      <c r="F2042" s="5" t="s">
        <v>2756</v>
      </c>
      <c r="G2042" s="5">
        <v>1</v>
      </c>
      <c r="H2042" s="5" t="s">
        <v>2864</v>
      </c>
      <c r="I2042" s="5" t="str">
        <f>IF(INDEX(Manual_Review!$O$6:$O$238,U2042)="","",INDEX(Manual_Review!$O$6:$O$238,U2042))</f>
        <v/>
      </c>
      <c r="J2042" s="5" t="str">
        <f t="shared" si="62"/>
        <v>AI provisional</v>
      </c>
      <c r="K2042" s="5" t="str">
        <f t="shared" si="63"/>
        <v>U</v>
      </c>
      <c r="L2042" s="5" t="s">
        <v>1493</v>
      </c>
      <c r="M2042" s="5" t="s">
        <v>7090</v>
      </c>
      <c r="N2042" s="5" t="s">
        <v>7086</v>
      </c>
      <c r="O2042" s="5" t="s">
        <v>2872</v>
      </c>
      <c r="P2042" s="5" t="s">
        <v>2858</v>
      </c>
      <c r="Q2042" s="11">
        <v>46306.5</v>
      </c>
      <c r="R2042" s="6"/>
      <c r="S2042" s="6"/>
      <c r="T2042" s="6"/>
      <c r="U2042" s="5">
        <f>MATCH(B2042,Manual_Review!$A$6:$A$238,0)</f>
        <v>128</v>
      </c>
      <c r="V2042" s="5" t="str">
        <f>IF(INDEX(Manual_Review!$G$6:$G$238,U2042)="","",INDEX(Manual_Review!$G$6:$G$238,U2042))</f>
        <v/>
      </c>
      <c r="W2042" s="11" t="str">
        <f>IF(INDEX(Manual_Review!$H$6:$H$238,U2042)="","",INDEX(Manual_Review!$H$6:$H$238,U2042))</f>
        <v/>
      </c>
      <c r="X2042" s="5" t="str">
        <f>IF(INDEX(Manual_Review!$I$6:$I$238,U2042)="","",INDEX(Manual_Review!$I$6:$I$238,U2042))</f>
        <v/>
      </c>
      <c r="Y2042" s="5" t="s">
        <v>2859</v>
      </c>
    </row>
    <row r="2043" spans="1:25" ht="38.25">
      <c r="A2043" s="5" t="s">
        <v>7093</v>
      </c>
      <c r="B2043" s="5" t="s">
        <v>1488</v>
      </c>
      <c r="C2043" s="5" t="s">
        <v>1489</v>
      </c>
      <c r="D2043" s="5" t="s">
        <v>118</v>
      </c>
      <c r="E2043" s="5" t="s">
        <v>2786</v>
      </c>
      <c r="F2043" s="5" t="s">
        <v>2756</v>
      </c>
      <c r="G2043" s="5">
        <v>1</v>
      </c>
      <c r="H2043" s="5" t="s">
        <v>2864</v>
      </c>
      <c r="I2043" s="5" t="str">
        <f>IF(INDEX(Manual_Review!$P$6:$P$238,U2043)="","",INDEX(Manual_Review!$P$6:$P$238,U2043))</f>
        <v/>
      </c>
      <c r="J2043" s="5" t="str">
        <f t="shared" si="62"/>
        <v>AI provisional</v>
      </c>
      <c r="K2043" s="5" t="str">
        <f t="shared" si="63"/>
        <v>U</v>
      </c>
      <c r="L2043" s="5" t="s">
        <v>1493</v>
      </c>
      <c r="M2043" s="5" t="s">
        <v>7090</v>
      </c>
      <c r="N2043" s="5" t="s">
        <v>7086</v>
      </c>
      <c r="O2043" s="5" t="s">
        <v>2874</v>
      </c>
      <c r="P2043" s="5" t="s">
        <v>2858</v>
      </c>
      <c r="Q2043" s="11">
        <v>46306.5</v>
      </c>
      <c r="R2043" s="6"/>
      <c r="S2043" s="6"/>
      <c r="T2043" s="6"/>
      <c r="U2043" s="5">
        <f>MATCH(B2043,Manual_Review!$A$6:$A$238,0)</f>
        <v>128</v>
      </c>
      <c r="V2043" s="5" t="str">
        <f>IF(INDEX(Manual_Review!$G$6:$G$238,U2043)="","",INDEX(Manual_Review!$G$6:$G$238,U2043))</f>
        <v/>
      </c>
      <c r="W2043" s="11" t="str">
        <f>IF(INDEX(Manual_Review!$H$6:$H$238,U2043)="","",INDEX(Manual_Review!$H$6:$H$238,U2043))</f>
        <v/>
      </c>
      <c r="X2043" s="5" t="str">
        <f>IF(INDEX(Manual_Review!$I$6:$I$238,U2043)="","",INDEX(Manual_Review!$I$6:$I$238,U2043))</f>
        <v/>
      </c>
      <c r="Y2043" s="5" t="s">
        <v>2859</v>
      </c>
    </row>
    <row r="2044" spans="1:25" ht="38.25">
      <c r="A2044" s="5" t="s">
        <v>7094</v>
      </c>
      <c r="B2044" s="5" t="s">
        <v>1488</v>
      </c>
      <c r="C2044" s="5" t="s">
        <v>1489</v>
      </c>
      <c r="D2044" s="5" t="s">
        <v>118</v>
      </c>
      <c r="E2044" s="5" t="s">
        <v>2787</v>
      </c>
      <c r="F2044" s="5" t="s">
        <v>2758</v>
      </c>
      <c r="G2044" s="5">
        <v>1</v>
      </c>
      <c r="H2044" s="5" t="s">
        <v>2864</v>
      </c>
      <c r="I2044" s="5" t="str">
        <f>IF(INDEX(Manual_Review!$Q$6:$Q$238,U2044)="","",INDEX(Manual_Review!$Q$6:$Q$238,U2044))</f>
        <v/>
      </c>
      <c r="J2044" s="5" t="str">
        <f t="shared" si="62"/>
        <v>AI provisional</v>
      </c>
      <c r="K2044" s="5" t="str">
        <f t="shared" si="63"/>
        <v>U</v>
      </c>
      <c r="L2044" s="5" t="s">
        <v>1493</v>
      </c>
      <c r="M2044" s="5" t="s">
        <v>7090</v>
      </c>
      <c r="N2044" s="5" t="s">
        <v>7086</v>
      </c>
      <c r="O2044" s="5" t="s">
        <v>2877</v>
      </c>
      <c r="P2044" s="5" t="s">
        <v>2858</v>
      </c>
      <c r="Q2044" s="11">
        <v>46306.5</v>
      </c>
      <c r="R2044" s="6"/>
      <c r="S2044" s="6"/>
      <c r="T2044" s="6"/>
      <c r="U2044" s="5">
        <f>MATCH(B2044,Manual_Review!$A$6:$A$238,0)</f>
        <v>128</v>
      </c>
      <c r="V2044" s="5" t="str">
        <f>IF(INDEX(Manual_Review!$G$6:$G$238,U2044)="","",INDEX(Manual_Review!$G$6:$G$238,U2044))</f>
        <v/>
      </c>
      <c r="W2044" s="11" t="str">
        <f>IF(INDEX(Manual_Review!$H$6:$H$238,U2044)="","",INDEX(Manual_Review!$H$6:$H$238,U2044))</f>
        <v/>
      </c>
      <c r="X2044" s="5" t="str">
        <f>IF(INDEX(Manual_Review!$I$6:$I$238,U2044)="","",INDEX(Manual_Review!$I$6:$I$238,U2044))</f>
        <v/>
      </c>
      <c r="Y2044" s="5" t="s">
        <v>2859</v>
      </c>
    </row>
    <row r="2045" spans="1:25" ht="38.25">
      <c r="A2045" s="5" t="s">
        <v>7095</v>
      </c>
      <c r="B2045" s="5" t="s">
        <v>1488</v>
      </c>
      <c r="C2045" s="5" t="s">
        <v>1489</v>
      </c>
      <c r="D2045" s="5" t="s">
        <v>118</v>
      </c>
      <c r="E2045" s="5" t="s">
        <v>2788</v>
      </c>
      <c r="F2045" s="5" t="s">
        <v>2758</v>
      </c>
      <c r="G2045" s="5">
        <v>1</v>
      </c>
      <c r="H2045" s="5" t="s">
        <v>2854</v>
      </c>
      <c r="I2045" s="5" t="str">
        <f>IF(INDEX(Manual_Review!$R$6:$R$238,U2045)="","",INDEX(Manual_Review!$R$6:$R$238,U2045))</f>
        <v/>
      </c>
      <c r="J2045" s="5" t="str">
        <f t="shared" si="62"/>
        <v>AI provisional</v>
      </c>
      <c r="K2045" s="5" t="str">
        <f t="shared" si="63"/>
        <v>Y</v>
      </c>
      <c r="L2045" s="5" t="s">
        <v>1493</v>
      </c>
      <c r="M2045" s="5" t="s">
        <v>7096</v>
      </c>
      <c r="N2045" s="5" t="s">
        <v>7086</v>
      </c>
      <c r="O2045" s="5" t="s">
        <v>3067</v>
      </c>
      <c r="P2045" s="5" t="s">
        <v>2858</v>
      </c>
      <c r="Q2045" s="11">
        <v>46306.5</v>
      </c>
      <c r="R2045" s="6"/>
      <c r="S2045" s="6"/>
      <c r="T2045" s="6"/>
      <c r="U2045" s="5">
        <f>MATCH(B2045,Manual_Review!$A$6:$A$238,0)</f>
        <v>128</v>
      </c>
      <c r="V2045" s="5" t="str">
        <f>IF(INDEX(Manual_Review!$G$6:$G$238,U2045)="","",INDEX(Manual_Review!$G$6:$G$238,U2045))</f>
        <v/>
      </c>
      <c r="W2045" s="11" t="str">
        <f>IF(INDEX(Manual_Review!$H$6:$H$238,U2045)="","",INDEX(Manual_Review!$H$6:$H$238,U2045))</f>
        <v/>
      </c>
      <c r="X2045" s="5" t="str">
        <f>IF(INDEX(Manual_Review!$I$6:$I$238,U2045)="","",INDEX(Manual_Review!$I$6:$I$238,U2045))</f>
        <v/>
      </c>
      <c r="Y2045" s="5" t="s">
        <v>2859</v>
      </c>
    </row>
    <row r="2046" spans="1:25" ht="38.25">
      <c r="A2046" s="5" t="s">
        <v>7097</v>
      </c>
      <c r="B2046" s="5" t="s">
        <v>1488</v>
      </c>
      <c r="C2046" s="5" t="s">
        <v>1489</v>
      </c>
      <c r="D2046" s="5" t="s">
        <v>118</v>
      </c>
      <c r="E2046" s="5" t="s">
        <v>2789</v>
      </c>
      <c r="F2046" s="5" t="s">
        <v>2758</v>
      </c>
      <c r="G2046" s="5">
        <v>1</v>
      </c>
      <c r="H2046" s="5" t="s">
        <v>2864</v>
      </c>
      <c r="I2046" s="5" t="str">
        <f>IF(INDEX(Manual_Review!$S$6:$S$238,U2046)="","",INDEX(Manual_Review!$S$6:$S$238,U2046))</f>
        <v/>
      </c>
      <c r="J2046" s="5" t="str">
        <f t="shared" si="62"/>
        <v>AI provisional</v>
      </c>
      <c r="K2046" s="5" t="str">
        <f t="shared" si="63"/>
        <v>U</v>
      </c>
      <c r="L2046" s="5" t="s">
        <v>1493</v>
      </c>
      <c r="M2046" s="5" t="s">
        <v>7098</v>
      </c>
      <c r="N2046" s="5" t="s">
        <v>7086</v>
      </c>
      <c r="O2046" s="5" t="s">
        <v>2883</v>
      </c>
      <c r="P2046" s="5" t="s">
        <v>2858</v>
      </c>
      <c r="Q2046" s="11">
        <v>46306.5</v>
      </c>
      <c r="R2046" s="6"/>
      <c r="S2046" s="6"/>
      <c r="T2046" s="6"/>
      <c r="U2046" s="5">
        <f>MATCH(B2046,Manual_Review!$A$6:$A$238,0)</f>
        <v>128</v>
      </c>
      <c r="V2046" s="5" t="str">
        <f>IF(INDEX(Manual_Review!$G$6:$G$238,U2046)="","",INDEX(Manual_Review!$G$6:$G$238,U2046))</f>
        <v/>
      </c>
      <c r="W2046" s="11" t="str">
        <f>IF(INDEX(Manual_Review!$H$6:$H$238,U2046)="","",INDEX(Manual_Review!$H$6:$H$238,U2046))</f>
        <v/>
      </c>
      <c r="X2046" s="5" t="str">
        <f>IF(INDEX(Manual_Review!$I$6:$I$238,U2046)="","",INDEX(Manual_Review!$I$6:$I$238,U2046))</f>
        <v/>
      </c>
      <c r="Y2046" s="5" t="s">
        <v>2859</v>
      </c>
    </row>
    <row r="2047" spans="1:25" ht="38.25">
      <c r="A2047" s="5" t="s">
        <v>7099</v>
      </c>
      <c r="B2047" s="5" t="s">
        <v>1488</v>
      </c>
      <c r="C2047" s="5" t="s">
        <v>1489</v>
      </c>
      <c r="D2047" s="5" t="s">
        <v>118</v>
      </c>
      <c r="E2047" s="5" t="s">
        <v>2790</v>
      </c>
      <c r="F2047" s="5" t="s">
        <v>2760</v>
      </c>
      <c r="G2047" s="5">
        <v>1</v>
      </c>
      <c r="H2047" s="5" t="s">
        <v>2864</v>
      </c>
      <c r="I2047" s="5" t="str">
        <f>IF(INDEX(Manual_Review!$T$6:$T$238,U2047)="","",INDEX(Manual_Review!$T$6:$T$238,U2047))</f>
        <v/>
      </c>
      <c r="J2047" s="5" t="str">
        <f t="shared" si="62"/>
        <v>AI provisional</v>
      </c>
      <c r="K2047" s="5" t="str">
        <f t="shared" si="63"/>
        <v>U</v>
      </c>
      <c r="L2047" s="5" t="s">
        <v>1493</v>
      </c>
      <c r="M2047" s="5" t="s">
        <v>7090</v>
      </c>
      <c r="N2047" s="5" t="s">
        <v>7086</v>
      </c>
      <c r="O2047" s="5" t="s">
        <v>2885</v>
      </c>
      <c r="P2047" s="5" t="s">
        <v>2858</v>
      </c>
      <c r="Q2047" s="11">
        <v>46306.5</v>
      </c>
      <c r="R2047" s="6"/>
      <c r="S2047" s="6"/>
      <c r="T2047" s="6"/>
      <c r="U2047" s="5">
        <f>MATCH(B2047,Manual_Review!$A$6:$A$238,0)</f>
        <v>128</v>
      </c>
      <c r="V2047" s="5" t="str">
        <f>IF(INDEX(Manual_Review!$G$6:$G$238,U2047)="","",INDEX(Manual_Review!$G$6:$G$238,U2047))</f>
        <v/>
      </c>
      <c r="W2047" s="11" t="str">
        <f>IF(INDEX(Manual_Review!$H$6:$H$238,U2047)="","",INDEX(Manual_Review!$H$6:$H$238,U2047))</f>
        <v/>
      </c>
      <c r="X2047" s="5" t="str">
        <f>IF(INDEX(Manual_Review!$I$6:$I$238,U2047)="","",INDEX(Manual_Review!$I$6:$I$238,U2047))</f>
        <v/>
      </c>
      <c r="Y2047" s="5" t="s">
        <v>2859</v>
      </c>
    </row>
    <row r="2048" spans="1:25" ht="38.25">
      <c r="A2048" s="5" t="s">
        <v>7100</v>
      </c>
      <c r="B2048" s="5" t="s">
        <v>1488</v>
      </c>
      <c r="C2048" s="5" t="s">
        <v>1489</v>
      </c>
      <c r="D2048" s="5" t="s">
        <v>118</v>
      </c>
      <c r="E2048" s="5" t="s">
        <v>2791</v>
      </c>
      <c r="F2048" s="5" t="s">
        <v>2760</v>
      </c>
      <c r="G2048" s="5">
        <v>1</v>
      </c>
      <c r="H2048" s="5" t="s">
        <v>2864</v>
      </c>
      <c r="I2048" s="5" t="str">
        <f>IF(INDEX(Manual_Review!$U$6:$U$238,U2048)="","",INDEX(Manual_Review!$U$6:$U$238,U2048))</f>
        <v/>
      </c>
      <c r="J2048" s="5" t="str">
        <f t="shared" si="62"/>
        <v>AI provisional</v>
      </c>
      <c r="K2048" s="5" t="str">
        <f t="shared" si="63"/>
        <v>U</v>
      </c>
      <c r="L2048" s="5" t="s">
        <v>1493</v>
      </c>
      <c r="M2048" s="5" t="s">
        <v>7090</v>
      </c>
      <c r="N2048" s="5" t="s">
        <v>7086</v>
      </c>
      <c r="O2048" s="5" t="s">
        <v>2888</v>
      </c>
      <c r="P2048" s="5" t="s">
        <v>2858</v>
      </c>
      <c r="Q2048" s="11">
        <v>46306.5</v>
      </c>
      <c r="R2048" s="6"/>
      <c r="S2048" s="6"/>
      <c r="T2048" s="6"/>
      <c r="U2048" s="5">
        <f>MATCH(B2048,Manual_Review!$A$6:$A$238,0)</f>
        <v>128</v>
      </c>
      <c r="V2048" s="5" t="str">
        <f>IF(INDEX(Manual_Review!$G$6:$G$238,U2048)="","",INDEX(Manual_Review!$G$6:$G$238,U2048))</f>
        <v/>
      </c>
      <c r="W2048" s="11" t="str">
        <f>IF(INDEX(Manual_Review!$H$6:$H$238,U2048)="","",INDEX(Manual_Review!$H$6:$H$238,U2048))</f>
        <v/>
      </c>
      <c r="X2048" s="5" t="str">
        <f>IF(INDEX(Manual_Review!$I$6:$I$238,U2048)="","",INDEX(Manual_Review!$I$6:$I$238,U2048))</f>
        <v/>
      </c>
      <c r="Y2048" s="5" t="s">
        <v>2859</v>
      </c>
    </row>
    <row r="2049" spans="1:25" ht="38.25">
      <c r="A2049" s="5" t="s">
        <v>7101</v>
      </c>
      <c r="B2049" s="5" t="s">
        <v>1488</v>
      </c>
      <c r="C2049" s="5" t="s">
        <v>1489</v>
      </c>
      <c r="D2049" s="5" t="s">
        <v>118</v>
      </c>
      <c r="E2049" s="5" t="s">
        <v>2792</v>
      </c>
      <c r="F2049" s="5" t="s">
        <v>2762</v>
      </c>
      <c r="G2049" s="5">
        <v>1</v>
      </c>
      <c r="H2049" s="5" t="s">
        <v>2864</v>
      </c>
      <c r="I2049" s="5" t="str">
        <f>IF(INDEX(Manual_Review!$V$6:$V$238,U2049)="","",INDEX(Manual_Review!$V$6:$V$238,U2049))</f>
        <v/>
      </c>
      <c r="J2049" s="5" t="str">
        <f t="shared" si="62"/>
        <v>AI provisional</v>
      </c>
      <c r="K2049" s="5" t="str">
        <f t="shared" si="63"/>
        <v>U</v>
      </c>
      <c r="L2049" s="5" t="s">
        <v>1493</v>
      </c>
      <c r="M2049" s="5" t="s">
        <v>7102</v>
      </c>
      <c r="N2049" s="5" t="s">
        <v>7086</v>
      </c>
      <c r="O2049" s="5" t="s">
        <v>2891</v>
      </c>
      <c r="P2049" s="5" t="s">
        <v>2858</v>
      </c>
      <c r="Q2049" s="11">
        <v>46306.5</v>
      </c>
      <c r="R2049" s="6"/>
      <c r="S2049" s="6"/>
      <c r="T2049" s="6"/>
      <c r="U2049" s="5">
        <f>MATCH(B2049,Manual_Review!$A$6:$A$238,0)</f>
        <v>128</v>
      </c>
      <c r="V2049" s="5" t="str">
        <f>IF(INDEX(Manual_Review!$G$6:$G$238,U2049)="","",INDEX(Manual_Review!$G$6:$G$238,U2049))</f>
        <v/>
      </c>
      <c r="W2049" s="11" t="str">
        <f>IF(INDEX(Manual_Review!$H$6:$H$238,U2049)="","",INDEX(Manual_Review!$H$6:$H$238,U2049))</f>
        <v/>
      </c>
      <c r="X2049" s="5" t="str">
        <f>IF(INDEX(Manual_Review!$I$6:$I$238,U2049)="","",INDEX(Manual_Review!$I$6:$I$238,U2049))</f>
        <v/>
      </c>
      <c r="Y2049" s="5" t="s">
        <v>2859</v>
      </c>
    </row>
    <row r="2050" spans="1:25" ht="38.25">
      <c r="A2050" s="5" t="s">
        <v>7103</v>
      </c>
      <c r="B2050" s="5" t="s">
        <v>1488</v>
      </c>
      <c r="C2050" s="5" t="s">
        <v>1489</v>
      </c>
      <c r="D2050" s="5" t="s">
        <v>118</v>
      </c>
      <c r="E2050" s="5" t="s">
        <v>2793</v>
      </c>
      <c r="F2050" s="5" t="s">
        <v>2762</v>
      </c>
      <c r="G2050" s="5">
        <v>1</v>
      </c>
      <c r="H2050" s="5" t="s">
        <v>2854</v>
      </c>
      <c r="I2050" s="5" t="str">
        <f>IF(INDEX(Manual_Review!$W$6:$W$238,U2050)="","",INDEX(Manual_Review!$W$6:$W$238,U2050))</f>
        <v/>
      </c>
      <c r="J2050" s="5" t="str">
        <f t="shared" si="62"/>
        <v>AI provisional</v>
      </c>
      <c r="K2050" s="5" t="str">
        <f t="shared" si="63"/>
        <v>Y</v>
      </c>
      <c r="L2050" s="5" t="s">
        <v>1493</v>
      </c>
      <c r="M2050" s="5" t="s">
        <v>7102</v>
      </c>
      <c r="N2050" s="5" t="s">
        <v>7086</v>
      </c>
      <c r="O2050" s="5" t="s">
        <v>3077</v>
      </c>
      <c r="P2050" s="5" t="s">
        <v>2858</v>
      </c>
      <c r="Q2050" s="11">
        <v>46306.5</v>
      </c>
      <c r="R2050" s="6"/>
      <c r="S2050" s="6"/>
      <c r="T2050" s="6"/>
      <c r="U2050" s="5">
        <f>MATCH(B2050,Manual_Review!$A$6:$A$238,0)</f>
        <v>128</v>
      </c>
      <c r="V2050" s="5" t="str">
        <f>IF(INDEX(Manual_Review!$G$6:$G$238,U2050)="","",INDEX(Manual_Review!$G$6:$G$238,U2050))</f>
        <v/>
      </c>
      <c r="W2050" s="11" t="str">
        <f>IF(INDEX(Manual_Review!$H$6:$H$238,U2050)="","",INDEX(Manual_Review!$H$6:$H$238,U2050))</f>
        <v/>
      </c>
      <c r="X2050" s="5" t="str">
        <f>IF(INDEX(Manual_Review!$I$6:$I$238,U2050)="","",INDEX(Manual_Review!$I$6:$I$238,U2050))</f>
        <v/>
      </c>
      <c r="Y2050" s="5" t="s">
        <v>2859</v>
      </c>
    </row>
    <row r="2051" spans="1:25" ht="38.25">
      <c r="A2051" s="5" t="s">
        <v>7104</v>
      </c>
      <c r="B2051" s="5" t="s">
        <v>1488</v>
      </c>
      <c r="C2051" s="5" t="s">
        <v>1489</v>
      </c>
      <c r="D2051" s="5" t="s">
        <v>118</v>
      </c>
      <c r="E2051" s="5" t="s">
        <v>2794</v>
      </c>
      <c r="F2051" s="5" t="s">
        <v>2764</v>
      </c>
      <c r="G2051" s="5">
        <v>1</v>
      </c>
      <c r="H2051" s="5" t="s">
        <v>2854</v>
      </c>
      <c r="I2051" s="5" t="str">
        <f>IF(INDEX(Manual_Review!$X$6:$X$238,U2051)="","",INDEX(Manual_Review!$X$6:$X$238,U2051))</f>
        <v/>
      </c>
      <c r="J2051" s="5" t="str">
        <f t="shared" si="62"/>
        <v>AI provisional</v>
      </c>
      <c r="K2051" s="5" t="str">
        <f t="shared" si="63"/>
        <v>Y</v>
      </c>
      <c r="L2051" s="5" t="s">
        <v>1493</v>
      </c>
      <c r="M2051" s="5" t="s">
        <v>7105</v>
      </c>
      <c r="N2051" s="5" t="s">
        <v>7086</v>
      </c>
      <c r="O2051" s="5" t="s">
        <v>2984</v>
      </c>
      <c r="P2051" s="5" t="s">
        <v>2858</v>
      </c>
      <c r="Q2051" s="11">
        <v>46306.5</v>
      </c>
      <c r="R2051" s="6"/>
      <c r="S2051" s="6"/>
      <c r="T2051" s="6"/>
      <c r="U2051" s="5">
        <f>MATCH(B2051,Manual_Review!$A$6:$A$238,0)</f>
        <v>128</v>
      </c>
      <c r="V2051" s="5" t="str">
        <f>IF(INDEX(Manual_Review!$G$6:$G$238,U2051)="","",INDEX(Manual_Review!$G$6:$G$238,U2051))</f>
        <v/>
      </c>
      <c r="W2051" s="11" t="str">
        <f>IF(INDEX(Manual_Review!$H$6:$H$238,U2051)="","",INDEX(Manual_Review!$H$6:$H$238,U2051))</f>
        <v/>
      </c>
      <c r="X2051" s="5" t="str">
        <f>IF(INDEX(Manual_Review!$I$6:$I$238,U2051)="","",INDEX(Manual_Review!$I$6:$I$238,U2051))</f>
        <v/>
      </c>
      <c r="Y2051" s="5" t="s">
        <v>2859</v>
      </c>
    </row>
    <row r="2052" spans="1:25" ht="38.25">
      <c r="A2052" s="5" t="s">
        <v>7106</v>
      </c>
      <c r="B2052" s="5" t="s">
        <v>1488</v>
      </c>
      <c r="C2052" s="5" t="s">
        <v>1489</v>
      </c>
      <c r="D2052" s="5" t="s">
        <v>118</v>
      </c>
      <c r="E2052" s="5" t="s">
        <v>2795</v>
      </c>
      <c r="F2052" s="5" t="s">
        <v>2764</v>
      </c>
      <c r="G2052" s="5">
        <v>1</v>
      </c>
      <c r="H2052" s="5" t="s">
        <v>2864</v>
      </c>
      <c r="I2052" s="5" t="str">
        <f>IF(INDEX(Manual_Review!$Y$6:$Y$238,U2052)="","",INDEX(Manual_Review!$Y$6:$Y$238,U2052))</f>
        <v/>
      </c>
      <c r="J2052" s="5" t="str">
        <f t="shared" si="62"/>
        <v>AI provisional</v>
      </c>
      <c r="K2052" s="5" t="str">
        <f t="shared" si="63"/>
        <v>U</v>
      </c>
      <c r="L2052" s="5" t="s">
        <v>1493</v>
      </c>
      <c r="M2052" s="5" t="s">
        <v>7107</v>
      </c>
      <c r="N2052" s="5" t="s">
        <v>7086</v>
      </c>
      <c r="O2052" s="5" t="s">
        <v>2897</v>
      </c>
      <c r="P2052" s="5" t="s">
        <v>2858</v>
      </c>
      <c r="Q2052" s="11">
        <v>46306.5</v>
      </c>
      <c r="R2052" s="6"/>
      <c r="S2052" s="6"/>
      <c r="T2052" s="6"/>
      <c r="U2052" s="5">
        <f>MATCH(B2052,Manual_Review!$A$6:$A$238,0)</f>
        <v>128</v>
      </c>
      <c r="V2052" s="5" t="str">
        <f>IF(INDEX(Manual_Review!$G$6:$G$238,U2052)="","",INDEX(Manual_Review!$G$6:$G$238,U2052))</f>
        <v/>
      </c>
      <c r="W2052" s="11" t="str">
        <f>IF(INDEX(Manual_Review!$H$6:$H$238,U2052)="","",INDEX(Manual_Review!$H$6:$H$238,U2052))</f>
        <v/>
      </c>
      <c r="X2052" s="5" t="str">
        <f>IF(INDEX(Manual_Review!$I$6:$I$238,U2052)="","",INDEX(Manual_Review!$I$6:$I$238,U2052))</f>
        <v/>
      </c>
      <c r="Y2052" s="5" t="s">
        <v>2859</v>
      </c>
    </row>
    <row r="2053" spans="1:25" ht="38.25">
      <c r="A2053" s="5" t="s">
        <v>7108</v>
      </c>
      <c r="B2053" s="5" t="s">
        <v>1488</v>
      </c>
      <c r="C2053" s="5" t="s">
        <v>1489</v>
      </c>
      <c r="D2053" s="5" t="s">
        <v>118</v>
      </c>
      <c r="E2053" s="5" t="s">
        <v>2796</v>
      </c>
      <c r="F2053" s="5" t="s">
        <v>2764</v>
      </c>
      <c r="G2053" s="5">
        <v>1</v>
      </c>
      <c r="H2053" s="5" t="s">
        <v>2854</v>
      </c>
      <c r="I2053" s="5" t="str">
        <f>IF(INDEX(Manual_Review!$Z$6:$Z$238,U2053)="","",INDEX(Manual_Review!$Z$6:$Z$238,U2053))</f>
        <v/>
      </c>
      <c r="J2053" s="5" t="str">
        <f t="shared" si="62"/>
        <v>AI provisional</v>
      </c>
      <c r="K2053" s="5" t="str">
        <f t="shared" si="63"/>
        <v>Y</v>
      </c>
      <c r="L2053" s="5" t="s">
        <v>1493</v>
      </c>
      <c r="M2053" s="5" t="s">
        <v>7098</v>
      </c>
      <c r="N2053" s="5" t="s">
        <v>7086</v>
      </c>
      <c r="O2053" s="5" t="s">
        <v>3085</v>
      </c>
      <c r="P2053" s="5" t="s">
        <v>2858</v>
      </c>
      <c r="Q2053" s="11">
        <v>46306.5</v>
      </c>
      <c r="R2053" s="6"/>
      <c r="S2053" s="6"/>
      <c r="T2053" s="6"/>
      <c r="U2053" s="5">
        <f>MATCH(B2053,Manual_Review!$A$6:$A$238,0)</f>
        <v>128</v>
      </c>
      <c r="V2053" s="5" t="str">
        <f>IF(INDEX(Manual_Review!$G$6:$G$238,U2053)="","",INDEX(Manual_Review!$G$6:$G$238,U2053))</f>
        <v/>
      </c>
      <c r="W2053" s="11" t="str">
        <f>IF(INDEX(Manual_Review!$H$6:$H$238,U2053)="","",INDEX(Manual_Review!$H$6:$H$238,U2053))</f>
        <v/>
      </c>
      <c r="X2053" s="5" t="str">
        <f>IF(INDEX(Manual_Review!$I$6:$I$238,U2053)="","",INDEX(Manual_Review!$I$6:$I$238,U2053))</f>
        <v/>
      </c>
      <c r="Y2053" s="5" t="s">
        <v>2859</v>
      </c>
    </row>
    <row r="2054" spans="1:25" ht="38.25">
      <c r="A2054" s="5" t="s">
        <v>7109</v>
      </c>
      <c r="B2054" s="5" t="s">
        <v>1495</v>
      </c>
      <c r="C2054" s="5" t="s">
        <v>1496</v>
      </c>
      <c r="D2054" s="5" t="s">
        <v>118</v>
      </c>
      <c r="E2054" s="5" t="s">
        <v>2781</v>
      </c>
      <c r="F2054" s="5" t="s">
        <v>2754</v>
      </c>
      <c r="G2054" s="5">
        <v>1</v>
      </c>
      <c r="H2054" s="5" t="s">
        <v>2854</v>
      </c>
      <c r="I2054" s="5" t="str">
        <f>IF(INDEX(Manual_Review!$K$6:$K$238,U2054)="","",INDEX(Manual_Review!$K$6:$K$238,U2054))</f>
        <v/>
      </c>
      <c r="J2054" s="5" t="str">
        <f t="shared" ref="J2054:J2117" si="64">IF(G2054=0,"Not applicable",IF(I2054="","AI provisional",IF(AND(OR(I2054="Y",I2054="N",I2054="U",I2054="X"),V2054&lt;&gt;"",ISNUMBER(W2054),W2054&gt;0,X2054="Confirmed",R2054&lt;&gt;"",S2054&lt;&gt;"",T2054&lt;&gt;""),"Human valid","Evidence needed")))</f>
        <v>AI provisional</v>
      </c>
      <c r="K2054" s="5" t="str">
        <f t="shared" ref="K2054:K2117" si="65">IF(G2054=0,"N/A",IF(I2054="",H2054,IF(J2054="Human valid",I2054,"U")))</f>
        <v>Y</v>
      </c>
      <c r="L2054" s="5" t="s">
        <v>1509</v>
      </c>
      <c r="M2054" s="5" t="s">
        <v>7110</v>
      </c>
      <c r="N2054" s="5" t="s">
        <v>7111</v>
      </c>
      <c r="O2054" s="5" t="s">
        <v>2857</v>
      </c>
      <c r="P2054" s="5" t="s">
        <v>2858</v>
      </c>
      <c r="Q2054" s="11">
        <v>46306.5</v>
      </c>
      <c r="R2054" s="6"/>
      <c r="S2054" s="6"/>
      <c r="T2054" s="6"/>
      <c r="U2054" s="5">
        <f>MATCH(B2054,Manual_Review!$A$6:$A$238,0)</f>
        <v>129</v>
      </c>
      <c r="V2054" s="5" t="str">
        <f>IF(INDEX(Manual_Review!$G$6:$G$238,U2054)="","",INDEX(Manual_Review!$G$6:$G$238,U2054))</f>
        <v/>
      </c>
      <c r="W2054" s="11" t="str">
        <f>IF(INDEX(Manual_Review!$H$6:$H$238,U2054)="","",INDEX(Manual_Review!$H$6:$H$238,U2054))</f>
        <v/>
      </c>
      <c r="X2054" s="5" t="str">
        <f>IF(INDEX(Manual_Review!$I$6:$I$238,U2054)="","",INDEX(Manual_Review!$I$6:$I$238,U2054))</f>
        <v/>
      </c>
      <c r="Y2054" s="5" t="s">
        <v>2859</v>
      </c>
    </row>
    <row r="2055" spans="1:25" ht="38.25">
      <c r="A2055" s="5" t="s">
        <v>7112</v>
      </c>
      <c r="B2055" s="5" t="s">
        <v>1495</v>
      </c>
      <c r="C2055" s="5" t="s">
        <v>1496</v>
      </c>
      <c r="D2055" s="5" t="s">
        <v>118</v>
      </c>
      <c r="E2055" s="5" t="s">
        <v>2782</v>
      </c>
      <c r="F2055" s="5" t="s">
        <v>2754</v>
      </c>
      <c r="G2055" s="5">
        <v>1</v>
      </c>
      <c r="H2055" s="5" t="s">
        <v>2854</v>
      </c>
      <c r="I2055" s="5" t="str">
        <f>IF(INDEX(Manual_Review!$L$6:$L$238,U2055)="","",INDEX(Manual_Review!$L$6:$L$238,U2055))</f>
        <v/>
      </c>
      <c r="J2055" s="5" t="str">
        <f t="shared" si="64"/>
        <v>AI provisional</v>
      </c>
      <c r="K2055" s="5" t="str">
        <f t="shared" si="65"/>
        <v>Y</v>
      </c>
      <c r="L2055" s="5" t="s">
        <v>1509</v>
      </c>
      <c r="M2055" s="5" t="s">
        <v>7113</v>
      </c>
      <c r="N2055" s="5" t="s">
        <v>7111</v>
      </c>
      <c r="O2055" s="5" t="s">
        <v>2862</v>
      </c>
      <c r="P2055" s="5" t="s">
        <v>2858</v>
      </c>
      <c r="Q2055" s="11">
        <v>46306.5</v>
      </c>
      <c r="R2055" s="6"/>
      <c r="S2055" s="6"/>
      <c r="T2055" s="6"/>
      <c r="U2055" s="5">
        <f>MATCH(B2055,Manual_Review!$A$6:$A$238,0)</f>
        <v>129</v>
      </c>
      <c r="V2055" s="5" t="str">
        <f>IF(INDEX(Manual_Review!$G$6:$G$238,U2055)="","",INDEX(Manual_Review!$G$6:$G$238,U2055))</f>
        <v/>
      </c>
      <c r="W2055" s="11" t="str">
        <f>IF(INDEX(Manual_Review!$H$6:$H$238,U2055)="","",INDEX(Manual_Review!$H$6:$H$238,U2055))</f>
        <v/>
      </c>
      <c r="X2055" s="5" t="str">
        <f>IF(INDEX(Manual_Review!$I$6:$I$238,U2055)="","",INDEX(Manual_Review!$I$6:$I$238,U2055))</f>
        <v/>
      </c>
      <c r="Y2055" s="5" t="s">
        <v>2859</v>
      </c>
    </row>
    <row r="2056" spans="1:25" ht="38.25">
      <c r="A2056" s="5" t="s">
        <v>7114</v>
      </c>
      <c r="B2056" s="5" t="s">
        <v>1495</v>
      </c>
      <c r="C2056" s="5" t="s">
        <v>1496</v>
      </c>
      <c r="D2056" s="5" t="s">
        <v>118</v>
      </c>
      <c r="E2056" s="5" t="s">
        <v>2783</v>
      </c>
      <c r="F2056" s="5" t="s">
        <v>2754</v>
      </c>
      <c r="G2056" s="5">
        <v>1</v>
      </c>
      <c r="H2056" s="5" t="s">
        <v>2854</v>
      </c>
      <c r="I2056" s="5" t="str">
        <f>IF(INDEX(Manual_Review!$M$6:$M$238,U2056)="","",INDEX(Manual_Review!$M$6:$M$238,U2056))</f>
        <v/>
      </c>
      <c r="J2056" s="5" t="str">
        <f t="shared" si="64"/>
        <v>AI provisional</v>
      </c>
      <c r="K2056" s="5" t="str">
        <f t="shared" si="65"/>
        <v>Y</v>
      </c>
      <c r="L2056" s="5" t="s">
        <v>1509</v>
      </c>
      <c r="M2056" s="5" t="s">
        <v>7115</v>
      </c>
      <c r="N2056" s="5" t="s">
        <v>7111</v>
      </c>
      <c r="O2056" s="5" t="s">
        <v>3133</v>
      </c>
      <c r="P2056" s="5" t="s">
        <v>2858</v>
      </c>
      <c r="Q2056" s="11">
        <v>46306.5</v>
      </c>
      <c r="R2056" s="6"/>
      <c r="S2056" s="6"/>
      <c r="T2056" s="6"/>
      <c r="U2056" s="5">
        <f>MATCH(B2056,Manual_Review!$A$6:$A$238,0)</f>
        <v>129</v>
      </c>
      <c r="V2056" s="5" t="str">
        <f>IF(INDEX(Manual_Review!$G$6:$G$238,U2056)="","",INDEX(Manual_Review!$G$6:$G$238,U2056))</f>
        <v/>
      </c>
      <c r="W2056" s="11" t="str">
        <f>IF(INDEX(Manual_Review!$H$6:$H$238,U2056)="","",INDEX(Manual_Review!$H$6:$H$238,U2056))</f>
        <v/>
      </c>
      <c r="X2056" s="5" t="str">
        <f>IF(INDEX(Manual_Review!$I$6:$I$238,U2056)="","",INDEX(Manual_Review!$I$6:$I$238,U2056))</f>
        <v/>
      </c>
      <c r="Y2056" s="5" t="s">
        <v>2859</v>
      </c>
    </row>
    <row r="2057" spans="1:25" ht="38.25">
      <c r="A2057" s="5" t="s">
        <v>7116</v>
      </c>
      <c r="B2057" s="5" t="s">
        <v>1495</v>
      </c>
      <c r="C2057" s="5" t="s">
        <v>1496</v>
      </c>
      <c r="D2057" s="5" t="s">
        <v>118</v>
      </c>
      <c r="E2057" s="5" t="s">
        <v>2784</v>
      </c>
      <c r="F2057" s="5" t="s">
        <v>2756</v>
      </c>
      <c r="G2057" s="5">
        <v>1</v>
      </c>
      <c r="H2057" s="5" t="s">
        <v>2854</v>
      </c>
      <c r="I2057" s="5" t="str">
        <f>IF(INDEX(Manual_Review!$N$6:$N$238,U2057)="","",INDEX(Manual_Review!$N$6:$N$238,U2057))</f>
        <v/>
      </c>
      <c r="J2057" s="5" t="str">
        <f t="shared" si="64"/>
        <v>AI provisional</v>
      </c>
      <c r="K2057" s="5" t="str">
        <f t="shared" si="65"/>
        <v>Y</v>
      </c>
      <c r="L2057" s="5" t="s">
        <v>1509</v>
      </c>
      <c r="M2057" s="5" t="s">
        <v>7117</v>
      </c>
      <c r="N2057" s="5" t="s">
        <v>7111</v>
      </c>
      <c r="O2057" s="5" t="s">
        <v>2963</v>
      </c>
      <c r="P2057" s="5" t="s">
        <v>2858</v>
      </c>
      <c r="Q2057" s="11">
        <v>46306.5</v>
      </c>
      <c r="R2057" s="6"/>
      <c r="S2057" s="6"/>
      <c r="T2057" s="6"/>
      <c r="U2057" s="5">
        <f>MATCH(B2057,Manual_Review!$A$6:$A$238,0)</f>
        <v>129</v>
      </c>
      <c r="V2057" s="5" t="str">
        <f>IF(INDEX(Manual_Review!$G$6:$G$238,U2057)="","",INDEX(Manual_Review!$G$6:$G$238,U2057))</f>
        <v/>
      </c>
      <c r="W2057" s="11" t="str">
        <f>IF(INDEX(Manual_Review!$H$6:$H$238,U2057)="","",INDEX(Manual_Review!$H$6:$H$238,U2057))</f>
        <v/>
      </c>
      <c r="X2057" s="5" t="str">
        <f>IF(INDEX(Manual_Review!$I$6:$I$238,U2057)="","",INDEX(Manual_Review!$I$6:$I$238,U2057))</f>
        <v/>
      </c>
      <c r="Y2057" s="5" t="s">
        <v>2859</v>
      </c>
    </row>
    <row r="2058" spans="1:25" ht="38.25">
      <c r="A2058" s="5" t="s">
        <v>7118</v>
      </c>
      <c r="B2058" s="5" t="s">
        <v>1495</v>
      </c>
      <c r="C2058" s="5" t="s">
        <v>1496</v>
      </c>
      <c r="D2058" s="5" t="s">
        <v>118</v>
      </c>
      <c r="E2058" s="5" t="s">
        <v>2785</v>
      </c>
      <c r="F2058" s="5" t="s">
        <v>2756</v>
      </c>
      <c r="G2058" s="5">
        <v>1</v>
      </c>
      <c r="H2058" s="5" t="s">
        <v>2854</v>
      </c>
      <c r="I2058" s="5" t="str">
        <f>IF(INDEX(Manual_Review!$O$6:$O$238,U2058)="","",INDEX(Manual_Review!$O$6:$O$238,U2058))</f>
        <v/>
      </c>
      <c r="J2058" s="5" t="str">
        <f t="shared" si="64"/>
        <v>AI provisional</v>
      </c>
      <c r="K2058" s="5" t="str">
        <f t="shared" si="65"/>
        <v>Y</v>
      </c>
      <c r="L2058" s="5" t="s">
        <v>1509</v>
      </c>
      <c r="M2058" s="5" t="s">
        <v>7119</v>
      </c>
      <c r="N2058" s="5" t="s">
        <v>7111</v>
      </c>
      <c r="O2058" s="5" t="s">
        <v>3138</v>
      </c>
      <c r="P2058" s="5" t="s">
        <v>2858</v>
      </c>
      <c r="Q2058" s="11">
        <v>46306.5</v>
      </c>
      <c r="R2058" s="6"/>
      <c r="S2058" s="6"/>
      <c r="T2058" s="6"/>
      <c r="U2058" s="5">
        <f>MATCH(B2058,Manual_Review!$A$6:$A$238,0)</f>
        <v>129</v>
      </c>
      <c r="V2058" s="5" t="str">
        <f>IF(INDEX(Manual_Review!$G$6:$G$238,U2058)="","",INDEX(Manual_Review!$G$6:$G$238,U2058))</f>
        <v/>
      </c>
      <c r="W2058" s="11" t="str">
        <f>IF(INDEX(Manual_Review!$H$6:$H$238,U2058)="","",INDEX(Manual_Review!$H$6:$H$238,U2058))</f>
        <v/>
      </c>
      <c r="X2058" s="5" t="str">
        <f>IF(INDEX(Manual_Review!$I$6:$I$238,U2058)="","",INDEX(Manual_Review!$I$6:$I$238,U2058))</f>
        <v/>
      </c>
      <c r="Y2058" s="5" t="s">
        <v>2859</v>
      </c>
    </row>
    <row r="2059" spans="1:25" ht="38.25">
      <c r="A2059" s="5" t="s">
        <v>7120</v>
      </c>
      <c r="B2059" s="5" t="s">
        <v>1495</v>
      </c>
      <c r="C2059" s="5" t="s">
        <v>1496</v>
      </c>
      <c r="D2059" s="5" t="s">
        <v>118</v>
      </c>
      <c r="E2059" s="5" t="s">
        <v>2786</v>
      </c>
      <c r="F2059" s="5" t="s">
        <v>2756</v>
      </c>
      <c r="G2059" s="5">
        <v>1</v>
      </c>
      <c r="H2059" s="5" t="s">
        <v>2864</v>
      </c>
      <c r="I2059" s="5" t="str">
        <f>IF(INDEX(Manual_Review!$P$6:$P$238,U2059)="","",INDEX(Manual_Review!$P$6:$P$238,U2059))</f>
        <v/>
      </c>
      <c r="J2059" s="5" t="str">
        <f t="shared" si="64"/>
        <v>AI provisional</v>
      </c>
      <c r="K2059" s="5" t="str">
        <f t="shared" si="65"/>
        <v>U</v>
      </c>
      <c r="L2059" s="5" t="s">
        <v>1509</v>
      </c>
      <c r="M2059" s="5" t="s">
        <v>7121</v>
      </c>
      <c r="N2059" s="5" t="s">
        <v>7111</v>
      </c>
      <c r="O2059" s="5" t="s">
        <v>2874</v>
      </c>
      <c r="P2059" s="5" t="s">
        <v>2858</v>
      </c>
      <c r="Q2059" s="11">
        <v>46306.5</v>
      </c>
      <c r="R2059" s="6"/>
      <c r="S2059" s="6"/>
      <c r="T2059" s="6"/>
      <c r="U2059" s="5">
        <f>MATCH(B2059,Manual_Review!$A$6:$A$238,0)</f>
        <v>129</v>
      </c>
      <c r="V2059" s="5" t="str">
        <f>IF(INDEX(Manual_Review!$G$6:$G$238,U2059)="","",INDEX(Manual_Review!$G$6:$G$238,U2059))</f>
        <v/>
      </c>
      <c r="W2059" s="11" t="str">
        <f>IF(INDEX(Manual_Review!$H$6:$H$238,U2059)="","",INDEX(Manual_Review!$H$6:$H$238,U2059))</f>
        <v/>
      </c>
      <c r="X2059" s="5" t="str">
        <f>IF(INDEX(Manual_Review!$I$6:$I$238,U2059)="","",INDEX(Manual_Review!$I$6:$I$238,U2059))</f>
        <v/>
      </c>
      <c r="Y2059" s="5" t="s">
        <v>2859</v>
      </c>
    </row>
    <row r="2060" spans="1:25" ht="38.25">
      <c r="A2060" s="5" t="s">
        <v>7122</v>
      </c>
      <c r="B2060" s="5" t="s">
        <v>1495</v>
      </c>
      <c r="C2060" s="5" t="s">
        <v>1496</v>
      </c>
      <c r="D2060" s="5" t="s">
        <v>118</v>
      </c>
      <c r="E2060" s="5" t="s">
        <v>2787</v>
      </c>
      <c r="F2060" s="5" t="s">
        <v>2758</v>
      </c>
      <c r="G2060" s="5">
        <v>1</v>
      </c>
      <c r="H2060" s="5" t="s">
        <v>2854</v>
      </c>
      <c r="I2060" s="5" t="str">
        <f>IF(INDEX(Manual_Review!$Q$6:$Q$238,U2060)="","",INDEX(Manual_Review!$Q$6:$Q$238,U2060))</f>
        <v/>
      </c>
      <c r="J2060" s="5" t="str">
        <f t="shared" si="64"/>
        <v>AI provisional</v>
      </c>
      <c r="K2060" s="5" t="str">
        <f t="shared" si="65"/>
        <v>Y</v>
      </c>
      <c r="L2060" s="5" t="s">
        <v>1509</v>
      </c>
      <c r="M2060" s="5" t="s">
        <v>7123</v>
      </c>
      <c r="N2060" s="5" t="s">
        <v>7111</v>
      </c>
      <c r="O2060" s="5" t="s">
        <v>2969</v>
      </c>
      <c r="P2060" s="5" t="s">
        <v>2858</v>
      </c>
      <c r="Q2060" s="11">
        <v>46306.5</v>
      </c>
      <c r="R2060" s="6"/>
      <c r="S2060" s="6"/>
      <c r="T2060" s="6"/>
      <c r="U2060" s="5">
        <f>MATCH(B2060,Manual_Review!$A$6:$A$238,0)</f>
        <v>129</v>
      </c>
      <c r="V2060" s="5" t="str">
        <f>IF(INDEX(Manual_Review!$G$6:$G$238,U2060)="","",INDEX(Manual_Review!$G$6:$G$238,U2060))</f>
        <v/>
      </c>
      <c r="W2060" s="11" t="str">
        <f>IF(INDEX(Manual_Review!$H$6:$H$238,U2060)="","",INDEX(Manual_Review!$H$6:$H$238,U2060))</f>
        <v/>
      </c>
      <c r="X2060" s="5" t="str">
        <f>IF(INDEX(Manual_Review!$I$6:$I$238,U2060)="","",INDEX(Manual_Review!$I$6:$I$238,U2060))</f>
        <v/>
      </c>
      <c r="Y2060" s="5" t="s">
        <v>2859</v>
      </c>
    </row>
    <row r="2061" spans="1:25" ht="38.25">
      <c r="A2061" s="5" t="s">
        <v>7124</v>
      </c>
      <c r="B2061" s="5" t="s">
        <v>1495</v>
      </c>
      <c r="C2061" s="5" t="s">
        <v>1496</v>
      </c>
      <c r="D2061" s="5" t="s">
        <v>118</v>
      </c>
      <c r="E2061" s="5" t="s">
        <v>2788</v>
      </c>
      <c r="F2061" s="5" t="s">
        <v>2758</v>
      </c>
      <c r="G2061" s="5">
        <v>1</v>
      </c>
      <c r="H2061" s="5" t="s">
        <v>2854</v>
      </c>
      <c r="I2061" s="5" t="str">
        <f>IF(INDEX(Manual_Review!$R$6:$R$238,U2061)="","",INDEX(Manual_Review!$R$6:$R$238,U2061))</f>
        <v/>
      </c>
      <c r="J2061" s="5" t="str">
        <f t="shared" si="64"/>
        <v>AI provisional</v>
      </c>
      <c r="K2061" s="5" t="str">
        <f t="shared" si="65"/>
        <v>Y</v>
      </c>
      <c r="L2061" s="5" t="s">
        <v>1509</v>
      </c>
      <c r="M2061" s="5" t="s">
        <v>7125</v>
      </c>
      <c r="N2061" s="5" t="s">
        <v>7111</v>
      </c>
      <c r="O2061" s="5" t="s">
        <v>3067</v>
      </c>
      <c r="P2061" s="5" t="s">
        <v>2858</v>
      </c>
      <c r="Q2061" s="11">
        <v>46306.5</v>
      </c>
      <c r="R2061" s="6"/>
      <c r="S2061" s="6"/>
      <c r="T2061" s="6"/>
      <c r="U2061" s="5">
        <f>MATCH(B2061,Manual_Review!$A$6:$A$238,0)</f>
        <v>129</v>
      </c>
      <c r="V2061" s="5" t="str">
        <f>IF(INDEX(Manual_Review!$G$6:$G$238,U2061)="","",INDEX(Manual_Review!$G$6:$G$238,U2061))</f>
        <v/>
      </c>
      <c r="W2061" s="11" t="str">
        <f>IF(INDEX(Manual_Review!$H$6:$H$238,U2061)="","",INDEX(Manual_Review!$H$6:$H$238,U2061))</f>
        <v/>
      </c>
      <c r="X2061" s="5" t="str">
        <f>IF(INDEX(Manual_Review!$I$6:$I$238,U2061)="","",INDEX(Manual_Review!$I$6:$I$238,U2061))</f>
        <v/>
      </c>
      <c r="Y2061" s="5" t="s">
        <v>2859</v>
      </c>
    </row>
    <row r="2062" spans="1:25" ht="38.25">
      <c r="A2062" s="5" t="s">
        <v>7126</v>
      </c>
      <c r="B2062" s="5" t="s">
        <v>1495</v>
      </c>
      <c r="C2062" s="5" t="s">
        <v>1496</v>
      </c>
      <c r="D2062" s="5" t="s">
        <v>118</v>
      </c>
      <c r="E2062" s="5" t="s">
        <v>2789</v>
      </c>
      <c r="F2062" s="5" t="s">
        <v>2758</v>
      </c>
      <c r="G2062" s="5">
        <v>1</v>
      </c>
      <c r="H2062" s="5" t="s">
        <v>2864</v>
      </c>
      <c r="I2062" s="5" t="str">
        <f>IF(INDEX(Manual_Review!$S$6:$S$238,U2062)="","",INDEX(Manual_Review!$S$6:$S$238,U2062))</f>
        <v/>
      </c>
      <c r="J2062" s="5" t="str">
        <f t="shared" si="64"/>
        <v>AI provisional</v>
      </c>
      <c r="K2062" s="5" t="str">
        <f t="shared" si="65"/>
        <v>U</v>
      </c>
      <c r="L2062" s="5" t="s">
        <v>1509</v>
      </c>
      <c r="M2062" s="5" t="s">
        <v>7127</v>
      </c>
      <c r="N2062" s="5" t="s">
        <v>7111</v>
      </c>
      <c r="O2062" s="5" t="s">
        <v>2883</v>
      </c>
      <c r="P2062" s="5" t="s">
        <v>2858</v>
      </c>
      <c r="Q2062" s="11">
        <v>46306.5</v>
      </c>
      <c r="R2062" s="6"/>
      <c r="S2062" s="6"/>
      <c r="T2062" s="6"/>
      <c r="U2062" s="5">
        <f>MATCH(B2062,Manual_Review!$A$6:$A$238,0)</f>
        <v>129</v>
      </c>
      <c r="V2062" s="5" t="str">
        <f>IF(INDEX(Manual_Review!$G$6:$G$238,U2062)="","",INDEX(Manual_Review!$G$6:$G$238,U2062))</f>
        <v/>
      </c>
      <c r="W2062" s="11" t="str">
        <f>IF(INDEX(Manual_Review!$H$6:$H$238,U2062)="","",INDEX(Manual_Review!$H$6:$H$238,U2062))</f>
        <v/>
      </c>
      <c r="X2062" s="5" t="str">
        <f>IF(INDEX(Manual_Review!$I$6:$I$238,U2062)="","",INDEX(Manual_Review!$I$6:$I$238,U2062))</f>
        <v/>
      </c>
      <c r="Y2062" s="5" t="s">
        <v>2859</v>
      </c>
    </row>
    <row r="2063" spans="1:25" ht="38.25">
      <c r="A2063" s="5" t="s">
        <v>7128</v>
      </c>
      <c r="B2063" s="5" t="s">
        <v>1495</v>
      </c>
      <c r="C2063" s="5" t="s">
        <v>1496</v>
      </c>
      <c r="D2063" s="5" t="s">
        <v>118</v>
      </c>
      <c r="E2063" s="5" t="s">
        <v>2790</v>
      </c>
      <c r="F2063" s="5" t="s">
        <v>2760</v>
      </c>
      <c r="G2063" s="5">
        <v>1</v>
      </c>
      <c r="H2063" s="5" t="s">
        <v>2864</v>
      </c>
      <c r="I2063" s="5" t="str">
        <f>IF(INDEX(Manual_Review!$T$6:$T$238,U2063)="","",INDEX(Manual_Review!$T$6:$T$238,U2063))</f>
        <v/>
      </c>
      <c r="J2063" s="5" t="str">
        <f t="shared" si="64"/>
        <v>AI provisional</v>
      </c>
      <c r="K2063" s="5" t="str">
        <f t="shared" si="65"/>
        <v>U</v>
      </c>
      <c r="L2063" s="5" t="s">
        <v>1509</v>
      </c>
      <c r="M2063" s="5" t="s">
        <v>7129</v>
      </c>
      <c r="N2063" s="5" t="s">
        <v>7111</v>
      </c>
      <c r="O2063" s="5" t="s">
        <v>2885</v>
      </c>
      <c r="P2063" s="5" t="s">
        <v>2858</v>
      </c>
      <c r="Q2063" s="11">
        <v>46306.5</v>
      </c>
      <c r="R2063" s="6"/>
      <c r="S2063" s="6"/>
      <c r="T2063" s="6"/>
      <c r="U2063" s="5">
        <f>MATCH(B2063,Manual_Review!$A$6:$A$238,0)</f>
        <v>129</v>
      </c>
      <c r="V2063" s="5" t="str">
        <f>IF(INDEX(Manual_Review!$G$6:$G$238,U2063)="","",INDEX(Manual_Review!$G$6:$G$238,U2063))</f>
        <v/>
      </c>
      <c r="W2063" s="11" t="str">
        <f>IF(INDEX(Manual_Review!$H$6:$H$238,U2063)="","",INDEX(Manual_Review!$H$6:$H$238,U2063))</f>
        <v/>
      </c>
      <c r="X2063" s="5" t="str">
        <f>IF(INDEX(Manual_Review!$I$6:$I$238,U2063)="","",INDEX(Manual_Review!$I$6:$I$238,U2063))</f>
        <v/>
      </c>
      <c r="Y2063" s="5" t="s">
        <v>2859</v>
      </c>
    </row>
    <row r="2064" spans="1:25" ht="38.25">
      <c r="A2064" s="5" t="s">
        <v>7130</v>
      </c>
      <c r="B2064" s="5" t="s">
        <v>1495</v>
      </c>
      <c r="C2064" s="5" t="s">
        <v>1496</v>
      </c>
      <c r="D2064" s="5" t="s">
        <v>118</v>
      </c>
      <c r="E2064" s="5" t="s">
        <v>2791</v>
      </c>
      <c r="F2064" s="5" t="s">
        <v>2760</v>
      </c>
      <c r="G2064" s="5">
        <v>1</v>
      </c>
      <c r="H2064" s="5" t="s">
        <v>2864</v>
      </c>
      <c r="I2064" s="5" t="str">
        <f>IF(INDEX(Manual_Review!$U$6:$U$238,U2064)="","",INDEX(Manual_Review!$U$6:$U$238,U2064))</f>
        <v/>
      </c>
      <c r="J2064" s="5" t="str">
        <f t="shared" si="64"/>
        <v>AI provisional</v>
      </c>
      <c r="K2064" s="5" t="str">
        <f t="shared" si="65"/>
        <v>U</v>
      </c>
      <c r="L2064" s="5" t="s">
        <v>1509</v>
      </c>
      <c r="M2064" s="5" t="s">
        <v>7131</v>
      </c>
      <c r="N2064" s="5" t="s">
        <v>7111</v>
      </c>
      <c r="O2064" s="5" t="s">
        <v>2888</v>
      </c>
      <c r="P2064" s="5" t="s">
        <v>2858</v>
      </c>
      <c r="Q2064" s="11">
        <v>46306.5</v>
      </c>
      <c r="R2064" s="6"/>
      <c r="S2064" s="6"/>
      <c r="T2064" s="6"/>
      <c r="U2064" s="5">
        <f>MATCH(B2064,Manual_Review!$A$6:$A$238,0)</f>
        <v>129</v>
      </c>
      <c r="V2064" s="5" t="str">
        <f>IF(INDEX(Manual_Review!$G$6:$G$238,U2064)="","",INDEX(Manual_Review!$G$6:$G$238,U2064))</f>
        <v/>
      </c>
      <c r="W2064" s="11" t="str">
        <f>IF(INDEX(Manual_Review!$H$6:$H$238,U2064)="","",INDEX(Manual_Review!$H$6:$H$238,U2064))</f>
        <v/>
      </c>
      <c r="X2064" s="5" t="str">
        <f>IF(INDEX(Manual_Review!$I$6:$I$238,U2064)="","",INDEX(Manual_Review!$I$6:$I$238,U2064))</f>
        <v/>
      </c>
      <c r="Y2064" s="5" t="s">
        <v>2859</v>
      </c>
    </row>
    <row r="2065" spans="1:25" ht="38.25">
      <c r="A2065" s="5" t="s">
        <v>7132</v>
      </c>
      <c r="B2065" s="5" t="s">
        <v>1495</v>
      </c>
      <c r="C2065" s="5" t="s">
        <v>1496</v>
      </c>
      <c r="D2065" s="5" t="s">
        <v>118</v>
      </c>
      <c r="E2065" s="5" t="s">
        <v>2792</v>
      </c>
      <c r="F2065" s="5" t="s">
        <v>2762</v>
      </c>
      <c r="G2065" s="5">
        <v>1</v>
      </c>
      <c r="H2065" s="5" t="s">
        <v>2854</v>
      </c>
      <c r="I2065" s="5" t="str">
        <f>IF(INDEX(Manual_Review!$V$6:$V$238,U2065)="","",INDEX(Manual_Review!$V$6:$V$238,U2065))</f>
        <v/>
      </c>
      <c r="J2065" s="5" t="str">
        <f t="shared" si="64"/>
        <v>AI provisional</v>
      </c>
      <c r="K2065" s="5" t="str">
        <f t="shared" si="65"/>
        <v>Y</v>
      </c>
      <c r="L2065" s="5" t="s">
        <v>1509</v>
      </c>
      <c r="M2065" s="5" t="s">
        <v>7133</v>
      </c>
      <c r="N2065" s="5" t="s">
        <v>7111</v>
      </c>
      <c r="O2065" s="5" t="s">
        <v>3152</v>
      </c>
      <c r="P2065" s="5" t="s">
        <v>2858</v>
      </c>
      <c r="Q2065" s="11">
        <v>46306.5</v>
      </c>
      <c r="R2065" s="6"/>
      <c r="S2065" s="6"/>
      <c r="T2065" s="6"/>
      <c r="U2065" s="5">
        <f>MATCH(B2065,Manual_Review!$A$6:$A$238,0)</f>
        <v>129</v>
      </c>
      <c r="V2065" s="5" t="str">
        <f>IF(INDEX(Manual_Review!$G$6:$G$238,U2065)="","",INDEX(Manual_Review!$G$6:$G$238,U2065))</f>
        <v/>
      </c>
      <c r="W2065" s="11" t="str">
        <f>IF(INDEX(Manual_Review!$H$6:$H$238,U2065)="","",INDEX(Manual_Review!$H$6:$H$238,U2065))</f>
        <v/>
      </c>
      <c r="X2065" s="5" t="str">
        <f>IF(INDEX(Manual_Review!$I$6:$I$238,U2065)="","",INDEX(Manual_Review!$I$6:$I$238,U2065))</f>
        <v/>
      </c>
      <c r="Y2065" s="5" t="s">
        <v>2859</v>
      </c>
    </row>
    <row r="2066" spans="1:25" ht="38.25">
      <c r="A2066" s="5" t="s">
        <v>7134</v>
      </c>
      <c r="B2066" s="5" t="s">
        <v>1495</v>
      </c>
      <c r="C2066" s="5" t="s">
        <v>1496</v>
      </c>
      <c r="D2066" s="5" t="s">
        <v>118</v>
      </c>
      <c r="E2066" s="5" t="s">
        <v>2793</v>
      </c>
      <c r="F2066" s="5" t="s">
        <v>2762</v>
      </c>
      <c r="G2066" s="5">
        <v>1</v>
      </c>
      <c r="H2066" s="5" t="s">
        <v>2854</v>
      </c>
      <c r="I2066" s="5" t="str">
        <f>IF(INDEX(Manual_Review!$W$6:$W$238,U2066)="","",INDEX(Manual_Review!$W$6:$W$238,U2066))</f>
        <v/>
      </c>
      <c r="J2066" s="5" t="str">
        <f t="shared" si="64"/>
        <v>AI provisional</v>
      </c>
      <c r="K2066" s="5" t="str">
        <f t="shared" si="65"/>
        <v>Y</v>
      </c>
      <c r="L2066" s="5" t="s">
        <v>1509</v>
      </c>
      <c r="M2066" s="5" t="s">
        <v>7135</v>
      </c>
      <c r="N2066" s="5" t="s">
        <v>7111</v>
      </c>
      <c r="O2066" s="5" t="s">
        <v>3077</v>
      </c>
      <c r="P2066" s="5" t="s">
        <v>2858</v>
      </c>
      <c r="Q2066" s="11">
        <v>46306.5</v>
      </c>
      <c r="R2066" s="6"/>
      <c r="S2066" s="6"/>
      <c r="T2066" s="6"/>
      <c r="U2066" s="5">
        <f>MATCH(B2066,Manual_Review!$A$6:$A$238,0)</f>
        <v>129</v>
      </c>
      <c r="V2066" s="5" t="str">
        <f>IF(INDEX(Manual_Review!$G$6:$G$238,U2066)="","",INDEX(Manual_Review!$G$6:$G$238,U2066))</f>
        <v/>
      </c>
      <c r="W2066" s="11" t="str">
        <f>IF(INDEX(Manual_Review!$H$6:$H$238,U2066)="","",INDEX(Manual_Review!$H$6:$H$238,U2066))</f>
        <v/>
      </c>
      <c r="X2066" s="5" t="str">
        <f>IF(INDEX(Manual_Review!$I$6:$I$238,U2066)="","",INDEX(Manual_Review!$I$6:$I$238,U2066))</f>
        <v/>
      </c>
      <c r="Y2066" s="5" t="s">
        <v>2859</v>
      </c>
    </row>
    <row r="2067" spans="1:25" ht="38.25">
      <c r="A2067" s="5" t="s">
        <v>7136</v>
      </c>
      <c r="B2067" s="5" t="s">
        <v>1495</v>
      </c>
      <c r="C2067" s="5" t="s">
        <v>1496</v>
      </c>
      <c r="D2067" s="5" t="s">
        <v>118</v>
      </c>
      <c r="E2067" s="5" t="s">
        <v>2794</v>
      </c>
      <c r="F2067" s="5" t="s">
        <v>2764</v>
      </c>
      <c r="G2067" s="5">
        <v>1</v>
      </c>
      <c r="H2067" s="5" t="s">
        <v>2854</v>
      </c>
      <c r="I2067" s="5" t="str">
        <f>IF(INDEX(Manual_Review!$X$6:$X$238,U2067)="","",INDEX(Manual_Review!$X$6:$X$238,U2067))</f>
        <v/>
      </c>
      <c r="J2067" s="5" t="str">
        <f t="shared" si="64"/>
        <v>AI provisional</v>
      </c>
      <c r="K2067" s="5" t="str">
        <f t="shared" si="65"/>
        <v>Y</v>
      </c>
      <c r="L2067" s="5" t="s">
        <v>1509</v>
      </c>
      <c r="M2067" s="5" t="s">
        <v>7137</v>
      </c>
      <c r="N2067" s="5" t="s">
        <v>7111</v>
      </c>
      <c r="O2067" s="5" t="s">
        <v>2984</v>
      </c>
      <c r="P2067" s="5" t="s">
        <v>2858</v>
      </c>
      <c r="Q2067" s="11">
        <v>46306.5</v>
      </c>
      <c r="R2067" s="6"/>
      <c r="S2067" s="6"/>
      <c r="T2067" s="6"/>
      <c r="U2067" s="5">
        <f>MATCH(B2067,Manual_Review!$A$6:$A$238,0)</f>
        <v>129</v>
      </c>
      <c r="V2067" s="5" t="str">
        <f>IF(INDEX(Manual_Review!$G$6:$G$238,U2067)="","",INDEX(Manual_Review!$G$6:$G$238,U2067))</f>
        <v/>
      </c>
      <c r="W2067" s="11" t="str">
        <f>IF(INDEX(Manual_Review!$H$6:$H$238,U2067)="","",INDEX(Manual_Review!$H$6:$H$238,U2067))</f>
        <v/>
      </c>
      <c r="X2067" s="5" t="str">
        <f>IF(INDEX(Manual_Review!$I$6:$I$238,U2067)="","",INDEX(Manual_Review!$I$6:$I$238,U2067))</f>
        <v/>
      </c>
      <c r="Y2067" s="5" t="s">
        <v>2859</v>
      </c>
    </row>
    <row r="2068" spans="1:25" ht="38.25">
      <c r="A2068" s="5" t="s">
        <v>7138</v>
      </c>
      <c r="B2068" s="5" t="s">
        <v>1495</v>
      </c>
      <c r="C2068" s="5" t="s">
        <v>1496</v>
      </c>
      <c r="D2068" s="5" t="s">
        <v>118</v>
      </c>
      <c r="E2068" s="5" t="s">
        <v>2795</v>
      </c>
      <c r="F2068" s="5" t="s">
        <v>2764</v>
      </c>
      <c r="G2068" s="5">
        <v>1</v>
      </c>
      <c r="H2068" s="5" t="s">
        <v>2854</v>
      </c>
      <c r="I2068" s="5" t="str">
        <f>IF(INDEX(Manual_Review!$Y$6:$Y$238,U2068)="","",INDEX(Manual_Review!$Y$6:$Y$238,U2068))</f>
        <v/>
      </c>
      <c r="J2068" s="5" t="str">
        <f t="shared" si="64"/>
        <v>AI provisional</v>
      </c>
      <c r="K2068" s="5" t="str">
        <f t="shared" si="65"/>
        <v>Y</v>
      </c>
      <c r="L2068" s="5" t="s">
        <v>1509</v>
      </c>
      <c r="M2068" s="5" t="s">
        <v>7139</v>
      </c>
      <c r="N2068" s="5" t="s">
        <v>7111</v>
      </c>
      <c r="O2068" s="5" t="s">
        <v>3082</v>
      </c>
      <c r="P2068" s="5" t="s">
        <v>2858</v>
      </c>
      <c r="Q2068" s="11">
        <v>46306.5</v>
      </c>
      <c r="R2068" s="6"/>
      <c r="S2068" s="6"/>
      <c r="T2068" s="6"/>
      <c r="U2068" s="5">
        <f>MATCH(B2068,Manual_Review!$A$6:$A$238,0)</f>
        <v>129</v>
      </c>
      <c r="V2068" s="5" t="str">
        <f>IF(INDEX(Manual_Review!$G$6:$G$238,U2068)="","",INDEX(Manual_Review!$G$6:$G$238,U2068))</f>
        <v/>
      </c>
      <c r="W2068" s="11" t="str">
        <f>IF(INDEX(Manual_Review!$H$6:$H$238,U2068)="","",INDEX(Manual_Review!$H$6:$H$238,U2068))</f>
        <v/>
      </c>
      <c r="X2068" s="5" t="str">
        <f>IF(INDEX(Manual_Review!$I$6:$I$238,U2068)="","",INDEX(Manual_Review!$I$6:$I$238,U2068))</f>
        <v/>
      </c>
      <c r="Y2068" s="5" t="s">
        <v>2859</v>
      </c>
    </row>
    <row r="2069" spans="1:25" ht="38.25">
      <c r="A2069" s="5" t="s">
        <v>7140</v>
      </c>
      <c r="B2069" s="5" t="s">
        <v>1495</v>
      </c>
      <c r="C2069" s="5" t="s">
        <v>1496</v>
      </c>
      <c r="D2069" s="5" t="s">
        <v>118</v>
      </c>
      <c r="E2069" s="5" t="s">
        <v>2796</v>
      </c>
      <c r="F2069" s="5" t="s">
        <v>2764</v>
      </c>
      <c r="G2069" s="5">
        <v>1</v>
      </c>
      <c r="H2069" s="5" t="s">
        <v>2854</v>
      </c>
      <c r="I2069" s="5" t="str">
        <f>IF(INDEX(Manual_Review!$Z$6:$Z$238,U2069)="","",INDEX(Manual_Review!$Z$6:$Z$238,U2069))</f>
        <v/>
      </c>
      <c r="J2069" s="5" t="str">
        <f t="shared" si="64"/>
        <v>AI provisional</v>
      </c>
      <c r="K2069" s="5" t="str">
        <f t="shared" si="65"/>
        <v>Y</v>
      </c>
      <c r="L2069" s="5" t="s">
        <v>1509</v>
      </c>
      <c r="M2069" s="5" t="s">
        <v>7141</v>
      </c>
      <c r="N2069" s="5" t="s">
        <v>7111</v>
      </c>
      <c r="O2069" s="5" t="s">
        <v>3085</v>
      </c>
      <c r="P2069" s="5" t="s">
        <v>2858</v>
      </c>
      <c r="Q2069" s="11">
        <v>46306.5</v>
      </c>
      <c r="R2069" s="6"/>
      <c r="S2069" s="6"/>
      <c r="T2069" s="6"/>
      <c r="U2069" s="5">
        <f>MATCH(B2069,Manual_Review!$A$6:$A$238,0)</f>
        <v>129</v>
      </c>
      <c r="V2069" s="5" t="str">
        <f>IF(INDEX(Manual_Review!$G$6:$G$238,U2069)="","",INDEX(Manual_Review!$G$6:$G$238,U2069))</f>
        <v/>
      </c>
      <c r="W2069" s="11" t="str">
        <f>IF(INDEX(Manual_Review!$H$6:$H$238,U2069)="","",INDEX(Manual_Review!$H$6:$H$238,U2069))</f>
        <v/>
      </c>
      <c r="X2069" s="5" t="str">
        <f>IF(INDEX(Manual_Review!$I$6:$I$238,U2069)="","",INDEX(Manual_Review!$I$6:$I$238,U2069))</f>
        <v/>
      </c>
      <c r="Y2069" s="5" t="s">
        <v>2859</v>
      </c>
    </row>
    <row r="2070" spans="1:25" ht="38.25">
      <c r="A2070" s="5" t="s">
        <v>7142</v>
      </c>
      <c r="B2070" s="5" t="s">
        <v>1511</v>
      </c>
      <c r="C2070" s="5" t="s">
        <v>1512</v>
      </c>
      <c r="D2070" s="5" t="s">
        <v>118</v>
      </c>
      <c r="E2070" s="5" t="s">
        <v>2781</v>
      </c>
      <c r="F2070" s="5" t="s">
        <v>2754</v>
      </c>
      <c r="G2070" s="5">
        <v>1</v>
      </c>
      <c r="H2070" s="5" t="s">
        <v>2854</v>
      </c>
      <c r="I2070" s="5" t="str">
        <f>IF(INDEX(Manual_Review!$K$6:$K$238,U2070)="","",INDEX(Manual_Review!$K$6:$K$238,U2070))</f>
        <v/>
      </c>
      <c r="J2070" s="5" t="str">
        <f t="shared" si="64"/>
        <v>AI provisional</v>
      </c>
      <c r="K2070" s="5" t="str">
        <f t="shared" si="65"/>
        <v>Y</v>
      </c>
      <c r="L2070" s="5" t="s">
        <v>1519</v>
      </c>
      <c r="M2070" s="5" t="s">
        <v>7143</v>
      </c>
      <c r="N2070" s="5" t="s">
        <v>7144</v>
      </c>
      <c r="O2070" s="5" t="s">
        <v>2857</v>
      </c>
      <c r="P2070" s="5" t="s">
        <v>2858</v>
      </c>
      <c r="Q2070" s="11">
        <v>46306.5</v>
      </c>
      <c r="R2070" s="6"/>
      <c r="S2070" s="6"/>
      <c r="T2070" s="6"/>
      <c r="U2070" s="5">
        <f>MATCH(B2070,Manual_Review!$A$6:$A$238,0)</f>
        <v>130</v>
      </c>
      <c r="V2070" s="5" t="str">
        <f>IF(INDEX(Manual_Review!$G$6:$G$238,U2070)="","",INDEX(Manual_Review!$G$6:$G$238,U2070))</f>
        <v/>
      </c>
      <c r="W2070" s="11" t="str">
        <f>IF(INDEX(Manual_Review!$H$6:$H$238,U2070)="","",INDEX(Manual_Review!$H$6:$H$238,U2070))</f>
        <v/>
      </c>
      <c r="X2070" s="5" t="str">
        <f>IF(INDEX(Manual_Review!$I$6:$I$238,U2070)="","",INDEX(Manual_Review!$I$6:$I$238,U2070))</f>
        <v/>
      </c>
      <c r="Y2070" s="5" t="s">
        <v>2859</v>
      </c>
    </row>
    <row r="2071" spans="1:25" ht="38.25">
      <c r="A2071" s="5" t="s">
        <v>7145</v>
      </c>
      <c r="B2071" s="5" t="s">
        <v>1511</v>
      </c>
      <c r="C2071" s="5" t="s">
        <v>1512</v>
      </c>
      <c r="D2071" s="5" t="s">
        <v>118</v>
      </c>
      <c r="E2071" s="5" t="s">
        <v>2782</v>
      </c>
      <c r="F2071" s="5" t="s">
        <v>2754</v>
      </c>
      <c r="G2071" s="5">
        <v>1</v>
      </c>
      <c r="H2071" s="5" t="s">
        <v>2864</v>
      </c>
      <c r="I2071" s="5" t="str">
        <f>IF(INDEX(Manual_Review!$L$6:$L$238,U2071)="","",INDEX(Manual_Review!$L$6:$L$238,U2071))</f>
        <v/>
      </c>
      <c r="J2071" s="5" t="str">
        <f t="shared" si="64"/>
        <v>AI provisional</v>
      </c>
      <c r="K2071" s="5" t="str">
        <f t="shared" si="65"/>
        <v>U</v>
      </c>
      <c r="L2071" s="5" t="s">
        <v>1519</v>
      </c>
      <c r="M2071" s="5" t="s">
        <v>7146</v>
      </c>
      <c r="N2071" s="5" t="s">
        <v>7144</v>
      </c>
      <c r="O2071" s="5" t="s">
        <v>4272</v>
      </c>
      <c r="P2071" s="5" t="s">
        <v>2858</v>
      </c>
      <c r="Q2071" s="11">
        <v>46306.5</v>
      </c>
      <c r="R2071" s="6"/>
      <c r="S2071" s="6"/>
      <c r="T2071" s="6"/>
      <c r="U2071" s="5">
        <f>MATCH(B2071,Manual_Review!$A$6:$A$238,0)</f>
        <v>130</v>
      </c>
      <c r="V2071" s="5" t="str">
        <f>IF(INDEX(Manual_Review!$G$6:$G$238,U2071)="","",INDEX(Manual_Review!$G$6:$G$238,U2071))</f>
        <v/>
      </c>
      <c r="W2071" s="11" t="str">
        <f>IF(INDEX(Manual_Review!$H$6:$H$238,U2071)="","",INDEX(Manual_Review!$H$6:$H$238,U2071))</f>
        <v/>
      </c>
      <c r="X2071" s="5" t="str">
        <f>IF(INDEX(Manual_Review!$I$6:$I$238,U2071)="","",INDEX(Manual_Review!$I$6:$I$238,U2071))</f>
        <v/>
      </c>
      <c r="Y2071" s="5" t="s">
        <v>2859</v>
      </c>
    </row>
    <row r="2072" spans="1:25" ht="38.25">
      <c r="A2072" s="5" t="s">
        <v>7147</v>
      </c>
      <c r="B2072" s="5" t="s">
        <v>1511</v>
      </c>
      <c r="C2072" s="5" t="s">
        <v>1512</v>
      </c>
      <c r="D2072" s="5" t="s">
        <v>118</v>
      </c>
      <c r="E2072" s="5" t="s">
        <v>2783</v>
      </c>
      <c r="F2072" s="5" t="s">
        <v>2754</v>
      </c>
      <c r="G2072" s="5">
        <v>1</v>
      </c>
      <c r="H2072" s="5" t="s">
        <v>2854</v>
      </c>
      <c r="I2072" s="5" t="str">
        <f>IF(INDEX(Manual_Review!$M$6:$M$238,U2072)="","",INDEX(Manual_Review!$M$6:$M$238,U2072))</f>
        <v/>
      </c>
      <c r="J2072" s="5" t="str">
        <f t="shared" si="64"/>
        <v>AI provisional</v>
      </c>
      <c r="K2072" s="5" t="str">
        <f t="shared" si="65"/>
        <v>Y</v>
      </c>
      <c r="L2072" s="5" t="s">
        <v>1519</v>
      </c>
      <c r="M2072" s="5" t="s">
        <v>7148</v>
      </c>
      <c r="N2072" s="5" t="s">
        <v>7144</v>
      </c>
      <c r="O2072" s="5" t="s">
        <v>3133</v>
      </c>
      <c r="P2072" s="5" t="s">
        <v>2858</v>
      </c>
      <c r="Q2072" s="11">
        <v>46306.5</v>
      </c>
      <c r="R2072" s="6"/>
      <c r="S2072" s="6"/>
      <c r="T2072" s="6"/>
      <c r="U2072" s="5">
        <f>MATCH(B2072,Manual_Review!$A$6:$A$238,0)</f>
        <v>130</v>
      </c>
      <c r="V2072" s="5" t="str">
        <f>IF(INDEX(Manual_Review!$G$6:$G$238,U2072)="","",INDEX(Manual_Review!$G$6:$G$238,U2072))</f>
        <v/>
      </c>
      <c r="W2072" s="11" t="str">
        <f>IF(INDEX(Manual_Review!$H$6:$H$238,U2072)="","",INDEX(Manual_Review!$H$6:$H$238,U2072))</f>
        <v/>
      </c>
      <c r="X2072" s="5" t="str">
        <f>IF(INDEX(Manual_Review!$I$6:$I$238,U2072)="","",INDEX(Manual_Review!$I$6:$I$238,U2072))</f>
        <v/>
      </c>
      <c r="Y2072" s="5" t="s">
        <v>2859</v>
      </c>
    </row>
    <row r="2073" spans="1:25" ht="38.25">
      <c r="A2073" s="5" t="s">
        <v>7149</v>
      </c>
      <c r="B2073" s="5" t="s">
        <v>1511</v>
      </c>
      <c r="C2073" s="5" t="s">
        <v>1512</v>
      </c>
      <c r="D2073" s="5" t="s">
        <v>118</v>
      </c>
      <c r="E2073" s="5" t="s">
        <v>2784</v>
      </c>
      <c r="F2073" s="5" t="s">
        <v>2756</v>
      </c>
      <c r="G2073" s="5">
        <v>1</v>
      </c>
      <c r="H2073" s="5" t="s">
        <v>2854</v>
      </c>
      <c r="I2073" s="5" t="str">
        <f>IF(INDEX(Manual_Review!$N$6:$N$238,U2073)="","",INDEX(Manual_Review!$N$6:$N$238,U2073))</f>
        <v/>
      </c>
      <c r="J2073" s="5" t="str">
        <f t="shared" si="64"/>
        <v>AI provisional</v>
      </c>
      <c r="K2073" s="5" t="str">
        <f t="shared" si="65"/>
        <v>Y</v>
      </c>
      <c r="L2073" s="5" t="s">
        <v>1519</v>
      </c>
      <c r="M2073" s="5" t="s">
        <v>7150</v>
      </c>
      <c r="N2073" s="5" t="s">
        <v>7144</v>
      </c>
      <c r="O2073" s="5" t="s">
        <v>2963</v>
      </c>
      <c r="P2073" s="5" t="s">
        <v>2858</v>
      </c>
      <c r="Q2073" s="11">
        <v>46306.5</v>
      </c>
      <c r="R2073" s="6"/>
      <c r="S2073" s="6"/>
      <c r="T2073" s="6"/>
      <c r="U2073" s="5">
        <f>MATCH(B2073,Manual_Review!$A$6:$A$238,0)</f>
        <v>130</v>
      </c>
      <c r="V2073" s="5" t="str">
        <f>IF(INDEX(Manual_Review!$G$6:$G$238,U2073)="","",INDEX(Manual_Review!$G$6:$G$238,U2073))</f>
        <v/>
      </c>
      <c r="W2073" s="11" t="str">
        <f>IF(INDEX(Manual_Review!$H$6:$H$238,U2073)="","",INDEX(Manual_Review!$H$6:$H$238,U2073))</f>
        <v/>
      </c>
      <c r="X2073" s="5" t="str">
        <f>IF(INDEX(Manual_Review!$I$6:$I$238,U2073)="","",INDEX(Manual_Review!$I$6:$I$238,U2073))</f>
        <v/>
      </c>
      <c r="Y2073" s="5" t="s">
        <v>2859</v>
      </c>
    </row>
    <row r="2074" spans="1:25" ht="38.25">
      <c r="A2074" s="5" t="s">
        <v>7151</v>
      </c>
      <c r="B2074" s="5" t="s">
        <v>1511</v>
      </c>
      <c r="C2074" s="5" t="s">
        <v>1512</v>
      </c>
      <c r="D2074" s="5" t="s">
        <v>118</v>
      </c>
      <c r="E2074" s="5" t="s">
        <v>2785</v>
      </c>
      <c r="F2074" s="5" t="s">
        <v>2756</v>
      </c>
      <c r="G2074" s="5">
        <v>1</v>
      </c>
      <c r="H2074" s="5" t="s">
        <v>2864</v>
      </c>
      <c r="I2074" s="5" t="str">
        <f>IF(INDEX(Manual_Review!$O$6:$O$238,U2074)="","",INDEX(Manual_Review!$O$6:$O$238,U2074))</f>
        <v/>
      </c>
      <c r="J2074" s="5" t="str">
        <f t="shared" si="64"/>
        <v>AI provisional</v>
      </c>
      <c r="K2074" s="5" t="str">
        <f t="shared" si="65"/>
        <v>U</v>
      </c>
      <c r="L2074" s="5" t="s">
        <v>1519</v>
      </c>
      <c r="M2074" s="5" t="s">
        <v>7152</v>
      </c>
      <c r="N2074" s="5" t="s">
        <v>7144</v>
      </c>
      <c r="O2074" s="5" t="s">
        <v>2872</v>
      </c>
      <c r="P2074" s="5" t="s">
        <v>2858</v>
      </c>
      <c r="Q2074" s="11">
        <v>46306.5</v>
      </c>
      <c r="R2074" s="6"/>
      <c r="S2074" s="6"/>
      <c r="T2074" s="6"/>
      <c r="U2074" s="5">
        <f>MATCH(B2074,Manual_Review!$A$6:$A$238,0)</f>
        <v>130</v>
      </c>
      <c r="V2074" s="5" t="str">
        <f>IF(INDEX(Manual_Review!$G$6:$G$238,U2074)="","",INDEX(Manual_Review!$G$6:$G$238,U2074))</f>
        <v/>
      </c>
      <c r="W2074" s="11" t="str">
        <f>IF(INDEX(Manual_Review!$H$6:$H$238,U2074)="","",INDEX(Manual_Review!$H$6:$H$238,U2074))</f>
        <v/>
      </c>
      <c r="X2074" s="5" t="str">
        <f>IF(INDEX(Manual_Review!$I$6:$I$238,U2074)="","",INDEX(Manual_Review!$I$6:$I$238,U2074))</f>
        <v/>
      </c>
      <c r="Y2074" s="5" t="s">
        <v>2859</v>
      </c>
    </row>
    <row r="2075" spans="1:25" ht="38.25">
      <c r="A2075" s="5" t="s">
        <v>7153</v>
      </c>
      <c r="B2075" s="5" t="s">
        <v>1511</v>
      </c>
      <c r="C2075" s="5" t="s">
        <v>1512</v>
      </c>
      <c r="D2075" s="5" t="s">
        <v>118</v>
      </c>
      <c r="E2075" s="5" t="s">
        <v>2786</v>
      </c>
      <c r="F2075" s="5" t="s">
        <v>2756</v>
      </c>
      <c r="G2075" s="5">
        <v>1</v>
      </c>
      <c r="H2075" s="5" t="s">
        <v>2864</v>
      </c>
      <c r="I2075" s="5" t="str">
        <f>IF(INDEX(Manual_Review!$P$6:$P$238,U2075)="","",INDEX(Manual_Review!$P$6:$P$238,U2075))</f>
        <v/>
      </c>
      <c r="J2075" s="5" t="str">
        <f t="shared" si="64"/>
        <v>AI provisional</v>
      </c>
      <c r="K2075" s="5" t="str">
        <f t="shared" si="65"/>
        <v>U</v>
      </c>
      <c r="L2075" s="5" t="s">
        <v>1519</v>
      </c>
      <c r="M2075" s="5" t="s">
        <v>7154</v>
      </c>
      <c r="N2075" s="5" t="s">
        <v>7144</v>
      </c>
      <c r="O2075" s="5" t="s">
        <v>2874</v>
      </c>
      <c r="P2075" s="5" t="s">
        <v>2858</v>
      </c>
      <c r="Q2075" s="11">
        <v>46306.5</v>
      </c>
      <c r="R2075" s="6"/>
      <c r="S2075" s="6"/>
      <c r="T2075" s="6"/>
      <c r="U2075" s="5">
        <f>MATCH(B2075,Manual_Review!$A$6:$A$238,0)</f>
        <v>130</v>
      </c>
      <c r="V2075" s="5" t="str">
        <f>IF(INDEX(Manual_Review!$G$6:$G$238,U2075)="","",INDEX(Manual_Review!$G$6:$G$238,U2075))</f>
        <v/>
      </c>
      <c r="W2075" s="11" t="str">
        <f>IF(INDEX(Manual_Review!$H$6:$H$238,U2075)="","",INDEX(Manual_Review!$H$6:$H$238,U2075))</f>
        <v/>
      </c>
      <c r="X2075" s="5" t="str">
        <f>IF(INDEX(Manual_Review!$I$6:$I$238,U2075)="","",INDEX(Manual_Review!$I$6:$I$238,U2075))</f>
        <v/>
      </c>
      <c r="Y2075" s="5" t="s">
        <v>2859</v>
      </c>
    </row>
    <row r="2076" spans="1:25" ht="38.25">
      <c r="A2076" s="5" t="s">
        <v>7155</v>
      </c>
      <c r="B2076" s="5" t="s">
        <v>1511</v>
      </c>
      <c r="C2076" s="5" t="s">
        <v>1512</v>
      </c>
      <c r="D2076" s="5" t="s">
        <v>118</v>
      </c>
      <c r="E2076" s="5" t="s">
        <v>2787</v>
      </c>
      <c r="F2076" s="5" t="s">
        <v>2758</v>
      </c>
      <c r="G2076" s="5">
        <v>1</v>
      </c>
      <c r="H2076" s="5" t="s">
        <v>2854</v>
      </c>
      <c r="I2076" s="5" t="str">
        <f>IF(INDEX(Manual_Review!$Q$6:$Q$238,U2076)="","",INDEX(Manual_Review!$Q$6:$Q$238,U2076))</f>
        <v/>
      </c>
      <c r="J2076" s="5" t="str">
        <f t="shared" si="64"/>
        <v>AI provisional</v>
      </c>
      <c r="K2076" s="5" t="str">
        <f t="shared" si="65"/>
        <v>Y</v>
      </c>
      <c r="L2076" s="5" t="s">
        <v>1519</v>
      </c>
      <c r="M2076" s="5" t="s">
        <v>7156</v>
      </c>
      <c r="N2076" s="5" t="s">
        <v>7144</v>
      </c>
      <c r="O2076" s="5" t="s">
        <v>2969</v>
      </c>
      <c r="P2076" s="5" t="s">
        <v>2858</v>
      </c>
      <c r="Q2076" s="11">
        <v>46306.5</v>
      </c>
      <c r="R2076" s="6"/>
      <c r="S2076" s="6"/>
      <c r="T2076" s="6"/>
      <c r="U2076" s="5">
        <f>MATCH(B2076,Manual_Review!$A$6:$A$238,0)</f>
        <v>130</v>
      </c>
      <c r="V2076" s="5" t="str">
        <f>IF(INDEX(Manual_Review!$G$6:$G$238,U2076)="","",INDEX(Manual_Review!$G$6:$G$238,U2076))</f>
        <v/>
      </c>
      <c r="W2076" s="11" t="str">
        <f>IF(INDEX(Manual_Review!$H$6:$H$238,U2076)="","",INDEX(Manual_Review!$H$6:$H$238,U2076))</f>
        <v/>
      </c>
      <c r="X2076" s="5" t="str">
        <f>IF(INDEX(Manual_Review!$I$6:$I$238,U2076)="","",INDEX(Manual_Review!$I$6:$I$238,U2076))</f>
        <v/>
      </c>
      <c r="Y2076" s="5" t="s">
        <v>2859</v>
      </c>
    </row>
    <row r="2077" spans="1:25" ht="38.25">
      <c r="A2077" s="5" t="s">
        <v>7157</v>
      </c>
      <c r="B2077" s="5" t="s">
        <v>1511</v>
      </c>
      <c r="C2077" s="5" t="s">
        <v>1512</v>
      </c>
      <c r="D2077" s="5" t="s">
        <v>118</v>
      </c>
      <c r="E2077" s="5" t="s">
        <v>2788</v>
      </c>
      <c r="F2077" s="5" t="s">
        <v>2758</v>
      </c>
      <c r="G2077" s="5">
        <v>1</v>
      </c>
      <c r="H2077" s="5" t="s">
        <v>2864</v>
      </c>
      <c r="I2077" s="5" t="str">
        <f>IF(INDEX(Manual_Review!$R$6:$R$238,U2077)="","",INDEX(Manual_Review!$R$6:$R$238,U2077))</f>
        <v/>
      </c>
      <c r="J2077" s="5" t="str">
        <f t="shared" si="64"/>
        <v>AI provisional</v>
      </c>
      <c r="K2077" s="5" t="str">
        <f t="shared" si="65"/>
        <v>U</v>
      </c>
      <c r="L2077" s="5" t="s">
        <v>1519</v>
      </c>
      <c r="M2077" s="5" t="s">
        <v>7158</v>
      </c>
      <c r="N2077" s="5" t="s">
        <v>7144</v>
      </c>
      <c r="O2077" s="5" t="s">
        <v>2880</v>
      </c>
      <c r="P2077" s="5" t="s">
        <v>2858</v>
      </c>
      <c r="Q2077" s="11">
        <v>46306.5</v>
      </c>
      <c r="R2077" s="6"/>
      <c r="S2077" s="6"/>
      <c r="T2077" s="6"/>
      <c r="U2077" s="5">
        <f>MATCH(B2077,Manual_Review!$A$6:$A$238,0)</f>
        <v>130</v>
      </c>
      <c r="V2077" s="5" t="str">
        <f>IF(INDEX(Manual_Review!$G$6:$G$238,U2077)="","",INDEX(Manual_Review!$G$6:$G$238,U2077))</f>
        <v/>
      </c>
      <c r="W2077" s="11" t="str">
        <f>IF(INDEX(Manual_Review!$H$6:$H$238,U2077)="","",INDEX(Manual_Review!$H$6:$H$238,U2077))</f>
        <v/>
      </c>
      <c r="X2077" s="5" t="str">
        <f>IF(INDEX(Manual_Review!$I$6:$I$238,U2077)="","",INDEX(Manual_Review!$I$6:$I$238,U2077))</f>
        <v/>
      </c>
      <c r="Y2077" s="5" t="s">
        <v>2859</v>
      </c>
    </row>
    <row r="2078" spans="1:25" ht="38.25">
      <c r="A2078" s="5" t="s">
        <v>7159</v>
      </c>
      <c r="B2078" s="5" t="s">
        <v>1511</v>
      </c>
      <c r="C2078" s="5" t="s">
        <v>1512</v>
      </c>
      <c r="D2078" s="5" t="s">
        <v>118</v>
      </c>
      <c r="E2078" s="5" t="s">
        <v>2789</v>
      </c>
      <c r="F2078" s="5" t="s">
        <v>2758</v>
      </c>
      <c r="G2078" s="5">
        <v>1</v>
      </c>
      <c r="H2078" s="5" t="s">
        <v>2854</v>
      </c>
      <c r="I2078" s="5" t="str">
        <f>IF(INDEX(Manual_Review!$S$6:$S$238,U2078)="","",INDEX(Manual_Review!$S$6:$S$238,U2078))</f>
        <v/>
      </c>
      <c r="J2078" s="5" t="str">
        <f t="shared" si="64"/>
        <v>AI provisional</v>
      </c>
      <c r="K2078" s="5" t="str">
        <f t="shared" si="65"/>
        <v>Y</v>
      </c>
      <c r="L2078" s="5" t="s">
        <v>1519</v>
      </c>
      <c r="M2078" s="5" t="s">
        <v>7160</v>
      </c>
      <c r="N2078" s="5" t="s">
        <v>7144</v>
      </c>
      <c r="O2078" s="5" t="s">
        <v>3178</v>
      </c>
      <c r="P2078" s="5" t="s">
        <v>2858</v>
      </c>
      <c r="Q2078" s="11">
        <v>46306.5</v>
      </c>
      <c r="R2078" s="6"/>
      <c r="S2078" s="6"/>
      <c r="T2078" s="6"/>
      <c r="U2078" s="5">
        <f>MATCH(B2078,Manual_Review!$A$6:$A$238,0)</f>
        <v>130</v>
      </c>
      <c r="V2078" s="5" t="str">
        <f>IF(INDEX(Manual_Review!$G$6:$G$238,U2078)="","",INDEX(Manual_Review!$G$6:$G$238,U2078))</f>
        <v/>
      </c>
      <c r="W2078" s="11" t="str">
        <f>IF(INDEX(Manual_Review!$H$6:$H$238,U2078)="","",INDEX(Manual_Review!$H$6:$H$238,U2078))</f>
        <v/>
      </c>
      <c r="X2078" s="5" t="str">
        <f>IF(INDEX(Manual_Review!$I$6:$I$238,U2078)="","",INDEX(Manual_Review!$I$6:$I$238,U2078))</f>
        <v/>
      </c>
      <c r="Y2078" s="5" t="s">
        <v>2859</v>
      </c>
    </row>
    <row r="2079" spans="1:25" ht="38.25">
      <c r="A2079" s="5" t="s">
        <v>7161</v>
      </c>
      <c r="B2079" s="5" t="s">
        <v>1511</v>
      </c>
      <c r="C2079" s="5" t="s">
        <v>1512</v>
      </c>
      <c r="D2079" s="5" t="s">
        <v>118</v>
      </c>
      <c r="E2079" s="5" t="s">
        <v>2790</v>
      </c>
      <c r="F2079" s="5" t="s">
        <v>2760</v>
      </c>
      <c r="G2079" s="5">
        <v>1</v>
      </c>
      <c r="H2079" s="5" t="s">
        <v>2854</v>
      </c>
      <c r="I2079" s="5" t="str">
        <f>IF(INDEX(Manual_Review!$T$6:$T$238,U2079)="","",INDEX(Manual_Review!$T$6:$T$238,U2079))</f>
        <v/>
      </c>
      <c r="J2079" s="5" t="str">
        <f t="shared" si="64"/>
        <v>AI provisional</v>
      </c>
      <c r="K2079" s="5" t="str">
        <f t="shared" si="65"/>
        <v>Y</v>
      </c>
      <c r="L2079" s="5" t="s">
        <v>1519</v>
      </c>
      <c r="M2079" s="5" t="s">
        <v>7162</v>
      </c>
      <c r="N2079" s="5" t="s">
        <v>7144</v>
      </c>
      <c r="O2079" s="5" t="s">
        <v>2976</v>
      </c>
      <c r="P2079" s="5" t="s">
        <v>2858</v>
      </c>
      <c r="Q2079" s="11">
        <v>46306.5</v>
      </c>
      <c r="R2079" s="6"/>
      <c r="S2079" s="6"/>
      <c r="T2079" s="6"/>
      <c r="U2079" s="5">
        <f>MATCH(B2079,Manual_Review!$A$6:$A$238,0)</f>
        <v>130</v>
      </c>
      <c r="V2079" s="5" t="str">
        <f>IF(INDEX(Manual_Review!$G$6:$G$238,U2079)="","",INDEX(Manual_Review!$G$6:$G$238,U2079))</f>
        <v/>
      </c>
      <c r="W2079" s="11" t="str">
        <f>IF(INDEX(Manual_Review!$H$6:$H$238,U2079)="","",INDEX(Manual_Review!$H$6:$H$238,U2079))</f>
        <v/>
      </c>
      <c r="X2079" s="5" t="str">
        <f>IF(INDEX(Manual_Review!$I$6:$I$238,U2079)="","",INDEX(Manual_Review!$I$6:$I$238,U2079))</f>
        <v/>
      </c>
      <c r="Y2079" s="5" t="s">
        <v>2859</v>
      </c>
    </row>
    <row r="2080" spans="1:25" ht="38.25">
      <c r="A2080" s="5" t="s">
        <v>7163</v>
      </c>
      <c r="B2080" s="5" t="s">
        <v>1511</v>
      </c>
      <c r="C2080" s="5" t="s">
        <v>1512</v>
      </c>
      <c r="D2080" s="5" t="s">
        <v>118</v>
      </c>
      <c r="E2080" s="5" t="s">
        <v>2791</v>
      </c>
      <c r="F2080" s="5" t="s">
        <v>2760</v>
      </c>
      <c r="G2080" s="5">
        <v>1</v>
      </c>
      <c r="H2080" s="5" t="s">
        <v>2854</v>
      </c>
      <c r="I2080" s="5" t="str">
        <f>IF(INDEX(Manual_Review!$U$6:$U$238,U2080)="","",INDEX(Manual_Review!$U$6:$U$238,U2080))</f>
        <v/>
      </c>
      <c r="J2080" s="5" t="str">
        <f t="shared" si="64"/>
        <v>AI provisional</v>
      </c>
      <c r="K2080" s="5" t="str">
        <f t="shared" si="65"/>
        <v>Y</v>
      </c>
      <c r="L2080" s="5" t="s">
        <v>1519</v>
      </c>
      <c r="M2080" s="5" t="s">
        <v>7164</v>
      </c>
      <c r="N2080" s="5" t="s">
        <v>7144</v>
      </c>
      <c r="O2080" s="5" t="s">
        <v>3380</v>
      </c>
      <c r="P2080" s="5" t="s">
        <v>2858</v>
      </c>
      <c r="Q2080" s="11">
        <v>46306.5</v>
      </c>
      <c r="R2080" s="6"/>
      <c r="S2080" s="6"/>
      <c r="T2080" s="6"/>
      <c r="U2080" s="5">
        <f>MATCH(B2080,Manual_Review!$A$6:$A$238,0)</f>
        <v>130</v>
      </c>
      <c r="V2080" s="5" t="str">
        <f>IF(INDEX(Manual_Review!$G$6:$G$238,U2080)="","",INDEX(Manual_Review!$G$6:$G$238,U2080))</f>
        <v/>
      </c>
      <c r="W2080" s="11" t="str">
        <f>IF(INDEX(Manual_Review!$H$6:$H$238,U2080)="","",INDEX(Manual_Review!$H$6:$H$238,U2080))</f>
        <v/>
      </c>
      <c r="X2080" s="5" t="str">
        <f>IF(INDEX(Manual_Review!$I$6:$I$238,U2080)="","",INDEX(Manual_Review!$I$6:$I$238,U2080))</f>
        <v/>
      </c>
      <c r="Y2080" s="5" t="s">
        <v>2859</v>
      </c>
    </row>
    <row r="2081" spans="1:25" ht="38.25">
      <c r="A2081" s="5" t="s">
        <v>7165</v>
      </c>
      <c r="B2081" s="5" t="s">
        <v>1511</v>
      </c>
      <c r="C2081" s="5" t="s">
        <v>1512</v>
      </c>
      <c r="D2081" s="5" t="s">
        <v>118</v>
      </c>
      <c r="E2081" s="5" t="s">
        <v>2792</v>
      </c>
      <c r="F2081" s="5" t="s">
        <v>2762</v>
      </c>
      <c r="G2081" s="5">
        <v>1</v>
      </c>
      <c r="H2081" s="5" t="s">
        <v>2864</v>
      </c>
      <c r="I2081" s="5" t="str">
        <f>IF(INDEX(Manual_Review!$V$6:$V$238,U2081)="","",INDEX(Manual_Review!$V$6:$V$238,U2081))</f>
        <v/>
      </c>
      <c r="J2081" s="5" t="str">
        <f t="shared" si="64"/>
        <v>AI provisional</v>
      </c>
      <c r="K2081" s="5" t="str">
        <f t="shared" si="65"/>
        <v>U</v>
      </c>
      <c r="L2081" s="5" t="s">
        <v>1519</v>
      </c>
      <c r="M2081" s="5" t="s">
        <v>7166</v>
      </c>
      <c r="N2081" s="5" t="s">
        <v>7144</v>
      </c>
      <c r="O2081" s="5" t="s">
        <v>2891</v>
      </c>
      <c r="P2081" s="5" t="s">
        <v>2858</v>
      </c>
      <c r="Q2081" s="11">
        <v>46306.5</v>
      </c>
      <c r="R2081" s="6"/>
      <c r="S2081" s="6"/>
      <c r="T2081" s="6"/>
      <c r="U2081" s="5">
        <f>MATCH(B2081,Manual_Review!$A$6:$A$238,0)</f>
        <v>130</v>
      </c>
      <c r="V2081" s="5" t="str">
        <f>IF(INDEX(Manual_Review!$G$6:$G$238,U2081)="","",INDEX(Manual_Review!$G$6:$G$238,U2081))</f>
        <v/>
      </c>
      <c r="W2081" s="11" t="str">
        <f>IF(INDEX(Manual_Review!$H$6:$H$238,U2081)="","",INDEX(Manual_Review!$H$6:$H$238,U2081))</f>
        <v/>
      </c>
      <c r="X2081" s="5" t="str">
        <f>IF(INDEX(Manual_Review!$I$6:$I$238,U2081)="","",INDEX(Manual_Review!$I$6:$I$238,U2081))</f>
        <v/>
      </c>
      <c r="Y2081" s="5" t="s">
        <v>2859</v>
      </c>
    </row>
    <row r="2082" spans="1:25" ht="38.25">
      <c r="A2082" s="5" t="s">
        <v>7167</v>
      </c>
      <c r="B2082" s="5" t="s">
        <v>1511</v>
      </c>
      <c r="C2082" s="5" t="s">
        <v>1512</v>
      </c>
      <c r="D2082" s="5" t="s">
        <v>118</v>
      </c>
      <c r="E2082" s="5" t="s">
        <v>2793</v>
      </c>
      <c r="F2082" s="5" t="s">
        <v>2762</v>
      </c>
      <c r="G2082" s="5">
        <v>1</v>
      </c>
      <c r="H2082" s="5" t="s">
        <v>2854</v>
      </c>
      <c r="I2082" s="5" t="str">
        <f>IF(INDEX(Manual_Review!$W$6:$W$238,U2082)="","",INDEX(Manual_Review!$W$6:$W$238,U2082))</f>
        <v/>
      </c>
      <c r="J2082" s="5" t="str">
        <f t="shared" si="64"/>
        <v>AI provisional</v>
      </c>
      <c r="K2082" s="5" t="str">
        <f t="shared" si="65"/>
        <v>Y</v>
      </c>
      <c r="L2082" s="5" t="s">
        <v>1519</v>
      </c>
      <c r="M2082" s="5" t="s">
        <v>7168</v>
      </c>
      <c r="N2082" s="5" t="s">
        <v>7144</v>
      </c>
      <c r="O2082" s="5" t="s">
        <v>3077</v>
      </c>
      <c r="P2082" s="5" t="s">
        <v>2858</v>
      </c>
      <c r="Q2082" s="11">
        <v>46306.5</v>
      </c>
      <c r="R2082" s="6"/>
      <c r="S2082" s="6"/>
      <c r="T2082" s="6"/>
      <c r="U2082" s="5">
        <f>MATCH(B2082,Manual_Review!$A$6:$A$238,0)</f>
        <v>130</v>
      </c>
      <c r="V2082" s="5" t="str">
        <f>IF(INDEX(Manual_Review!$G$6:$G$238,U2082)="","",INDEX(Manual_Review!$G$6:$G$238,U2082))</f>
        <v/>
      </c>
      <c r="W2082" s="11" t="str">
        <f>IF(INDEX(Manual_Review!$H$6:$H$238,U2082)="","",INDEX(Manual_Review!$H$6:$H$238,U2082))</f>
        <v/>
      </c>
      <c r="X2082" s="5" t="str">
        <f>IF(INDEX(Manual_Review!$I$6:$I$238,U2082)="","",INDEX(Manual_Review!$I$6:$I$238,U2082))</f>
        <v/>
      </c>
      <c r="Y2082" s="5" t="s">
        <v>2859</v>
      </c>
    </row>
    <row r="2083" spans="1:25" ht="38.25">
      <c r="A2083" s="5" t="s">
        <v>7169</v>
      </c>
      <c r="B2083" s="5" t="s">
        <v>1511</v>
      </c>
      <c r="C2083" s="5" t="s">
        <v>1512</v>
      </c>
      <c r="D2083" s="5" t="s">
        <v>118</v>
      </c>
      <c r="E2083" s="5" t="s">
        <v>2794</v>
      </c>
      <c r="F2083" s="5" t="s">
        <v>2764</v>
      </c>
      <c r="G2083" s="5">
        <v>1</v>
      </c>
      <c r="H2083" s="5" t="s">
        <v>2864</v>
      </c>
      <c r="I2083" s="5" t="str">
        <f>IF(INDEX(Manual_Review!$X$6:$X$238,U2083)="","",INDEX(Manual_Review!$X$6:$X$238,U2083))</f>
        <v/>
      </c>
      <c r="J2083" s="5" t="str">
        <f t="shared" si="64"/>
        <v>AI provisional</v>
      </c>
      <c r="K2083" s="5" t="str">
        <f t="shared" si="65"/>
        <v>U</v>
      </c>
      <c r="L2083" s="5" t="s">
        <v>1519</v>
      </c>
      <c r="M2083" s="5" t="s">
        <v>7170</v>
      </c>
      <c r="N2083" s="5" t="s">
        <v>7144</v>
      </c>
      <c r="O2083" s="5" t="s">
        <v>2895</v>
      </c>
      <c r="P2083" s="5" t="s">
        <v>2858</v>
      </c>
      <c r="Q2083" s="11">
        <v>46306.5</v>
      </c>
      <c r="R2083" s="6"/>
      <c r="S2083" s="6"/>
      <c r="T2083" s="6"/>
      <c r="U2083" s="5">
        <f>MATCH(B2083,Manual_Review!$A$6:$A$238,0)</f>
        <v>130</v>
      </c>
      <c r="V2083" s="5" t="str">
        <f>IF(INDEX(Manual_Review!$G$6:$G$238,U2083)="","",INDEX(Manual_Review!$G$6:$G$238,U2083))</f>
        <v/>
      </c>
      <c r="W2083" s="11" t="str">
        <f>IF(INDEX(Manual_Review!$H$6:$H$238,U2083)="","",INDEX(Manual_Review!$H$6:$H$238,U2083))</f>
        <v/>
      </c>
      <c r="X2083" s="5" t="str">
        <f>IF(INDEX(Manual_Review!$I$6:$I$238,U2083)="","",INDEX(Manual_Review!$I$6:$I$238,U2083))</f>
        <v/>
      </c>
      <c r="Y2083" s="5" t="s">
        <v>2859</v>
      </c>
    </row>
    <row r="2084" spans="1:25" ht="38.25">
      <c r="A2084" s="5" t="s">
        <v>7171</v>
      </c>
      <c r="B2084" s="5" t="s">
        <v>1511</v>
      </c>
      <c r="C2084" s="5" t="s">
        <v>1512</v>
      </c>
      <c r="D2084" s="5" t="s">
        <v>118</v>
      </c>
      <c r="E2084" s="5" t="s">
        <v>2795</v>
      </c>
      <c r="F2084" s="5" t="s">
        <v>2764</v>
      </c>
      <c r="G2084" s="5">
        <v>1</v>
      </c>
      <c r="H2084" s="5" t="s">
        <v>2864</v>
      </c>
      <c r="I2084" s="5" t="str">
        <f>IF(INDEX(Manual_Review!$Y$6:$Y$238,U2084)="","",INDEX(Manual_Review!$Y$6:$Y$238,U2084))</f>
        <v/>
      </c>
      <c r="J2084" s="5" t="str">
        <f t="shared" si="64"/>
        <v>AI provisional</v>
      </c>
      <c r="K2084" s="5" t="str">
        <f t="shared" si="65"/>
        <v>U</v>
      </c>
      <c r="L2084" s="5" t="s">
        <v>1519</v>
      </c>
      <c r="M2084" s="5" t="s">
        <v>7170</v>
      </c>
      <c r="N2084" s="5" t="s">
        <v>7144</v>
      </c>
      <c r="O2084" s="5" t="s">
        <v>2897</v>
      </c>
      <c r="P2084" s="5" t="s">
        <v>2858</v>
      </c>
      <c r="Q2084" s="11">
        <v>46306.5</v>
      </c>
      <c r="R2084" s="6"/>
      <c r="S2084" s="6"/>
      <c r="T2084" s="6"/>
      <c r="U2084" s="5">
        <f>MATCH(B2084,Manual_Review!$A$6:$A$238,0)</f>
        <v>130</v>
      </c>
      <c r="V2084" s="5" t="str">
        <f>IF(INDEX(Manual_Review!$G$6:$G$238,U2084)="","",INDEX(Manual_Review!$G$6:$G$238,U2084))</f>
        <v/>
      </c>
      <c r="W2084" s="11" t="str">
        <f>IF(INDEX(Manual_Review!$H$6:$H$238,U2084)="","",INDEX(Manual_Review!$H$6:$H$238,U2084))</f>
        <v/>
      </c>
      <c r="X2084" s="5" t="str">
        <f>IF(INDEX(Manual_Review!$I$6:$I$238,U2084)="","",INDEX(Manual_Review!$I$6:$I$238,U2084))</f>
        <v/>
      </c>
      <c r="Y2084" s="5" t="s">
        <v>2859</v>
      </c>
    </row>
    <row r="2085" spans="1:25" ht="38.25">
      <c r="A2085" s="5" t="s">
        <v>7172</v>
      </c>
      <c r="B2085" s="5" t="s">
        <v>1511</v>
      </c>
      <c r="C2085" s="5" t="s">
        <v>1512</v>
      </c>
      <c r="D2085" s="5" t="s">
        <v>118</v>
      </c>
      <c r="E2085" s="5" t="s">
        <v>2796</v>
      </c>
      <c r="F2085" s="5" t="s">
        <v>2764</v>
      </c>
      <c r="G2085" s="5">
        <v>1</v>
      </c>
      <c r="H2085" s="5" t="s">
        <v>2864</v>
      </c>
      <c r="I2085" s="5" t="str">
        <f>IF(INDEX(Manual_Review!$Z$6:$Z$238,U2085)="","",INDEX(Manual_Review!$Z$6:$Z$238,U2085))</f>
        <v/>
      </c>
      <c r="J2085" s="5" t="str">
        <f t="shared" si="64"/>
        <v>AI provisional</v>
      </c>
      <c r="K2085" s="5" t="str">
        <f t="shared" si="65"/>
        <v>U</v>
      </c>
      <c r="L2085" s="5" t="s">
        <v>1519</v>
      </c>
      <c r="M2085" s="5" t="s">
        <v>7160</v>
      </c>
      <c r="N2085" s="5" t="s">
        <v>7144</v>
      </c>
      <c r="O2085" s="5" t="s">
        <v>2899</v>
      </c>
      <c r="P2085" s="5" t="s">
        <v>2858</v>
      </c>
      <c r="Q2085" s="11">
        <v>46306.5</v>
      </c>
      <c r="R2085" s="6"/>
      <c r="S2085" s="6"/>
      <c r="T2085" s="6"/>
      <c r="U2085" s="5">
        <f>MATCH(B2085,Manual_Review!$A$6:$A$238,0)</f>
        <v>130</v>
      </c>
      <c r="V2085" s="5" t="str">
        <f>IF(INDEX(Manual_Review!$G$6:$G$238,U2085)="","",INDEX(Manual_Review!$G$6:$G$238,U2085))</f>
        <v/>
      </c>
      <c r="W2085" s="11" t="str">
        <f>IF(INDEX(Manual_Review!$H$6:$H$238,U2085)="","",INDEX(Manual_Review!$H$6:$H$238,U2085))</f>
        <v/>
      </c>
      <c r="X2085" s="5" t="str">
        <f>IF(INDEX(Manual_Review!$I$6:$I$238,U2085)="","",INDEX(Manual_Review!$I$6:$I$238,U2085))</f>
        <v/>
      </c>
      <c r="Y2085" s="5" t="s">
        <v>2859</v>
      </c>
    </row>
    <row r="2086" spans="1:25" ht="38.25">
      <c r="A2086" s="5" t="s">
        <v>7173</v>
      </c>
      <c r="B2086" s="5" t="s">
        <v>1521</v>
      </c>
      <c r="C2086" s="5" t="s">
        <v>1522</v>
      </c>
      <c r="D2086" s="5" t="s">
        <v>118</v>
      </c>
      <c r="E2086" s="5" t="s">
        <v>2781</v>
      </c>
      <c r="F2086" s="5" t="s">
        <v>2754</v>
      </c>
      <c r="G2086" s="5">
        <v>1</v>
      </c>
      <c r="H2086" s="5" t="s">
        <v>2854</v>
      </c>
      <c r="I2086" s="5" t="str">
        <f>IF(INDEX(Manual_Review!$K$6:$K$238,U2086)="","",INDEX(Manual_Review!$K$6:$K$238,U2086))</f>
        <v/>
      </c>
      <c r="J2086" s="5" t="str">
        <f t="shared" si="64"/>
        <v>AI provisional</v>
      </c>
      <c r="K2086" s="5" t="str">
        <f t="shared" si="65"/>
        <v>Y</v>
      </c>
      <c r="L2086" s="5" t="s">
        <v>1531</v>
      </c>
      <c r="M2086" s="5" t="s">
        <v>7174</v>
      </c>
      <c r="N2086" s="5" t="s">
        <v>7175</v>
      </c>
      <c r="O2086" s="5" t="s">
        <v>2857</v>
      </c>
      <c r="P2086" s="5" t="s">
        <v>2858</v>
      </c>
      <c r="Q2086" s="11">
        <v>46306.5</v>
      </c>
      <c r="R2086" s="6"/>
      <c r="S2086" s="6"/>
      <c r="T2086" s="6"/>
      <c r="U2086" s="5">
        <f>MATCH(B2086,Manual_Review!$A$6:$A$238,0)</f>
        <v>131</v>
      </c>
      <c r="V2086" s="5" t="str">
        <f>IF(INDEX(Manual_Review!$G$6:$G$238,U2086)="","",INDEX(Manual_Review!$G$6:$G$238,U2086))</f>
        <v/>
      </c>
      <c r="W2086" s="11" t="str">
        <f>IF(INDEX(Manual_Review!$H$6:$H$238,U2086)="","",INDEX(Manual_Review!$H$6:$H$238,U2086))</f>
        <v/>
      </c>
      <c r="X2086" s="5" t="str">
        <f>IF(INDEX(Manual_Review!$I$6:$I$238,U2086)="","",INDEX(Manual_Review!$I$6:$I$238,U2086))</f>
        <v/>
      </c>
      <c r="Y2086" s="5" t="s">
        <v>2859</v>
      </c>
    </row>
    <row r="2087" spans="1:25" ht="38.25">
      <c r="A2087" s="5" t="s">
        <v>7176</v>
      </c>
      <c r="B2087" s="5" t="s">
        <v>1521</v>
      </c>
      <c r="C2087" s="5" t="s">
        <v>1522</v>
      </c>
      <c r="D2087" s="5" t="s">
        <v>118</v>
      </c>
      <c r="E2087" s="5" t="s">
        <v>2782</v>
      </c>
      <c r="F2087" s="5" t="s">
        <v>2754</v>
      </c>
      <c r="G2087" s="5">
        <v>1</v>
      </c>
      <c r="H2087" s="5" t="s">
        <v>2854</v>
      </c>
      <c r="I2087" s="5" t="str">
        <f>IF(INDEX(Manual_Review!$L$6:$L$238,U2087)="","",INDEX(Manual_Review!$L$6:$L$238,U2087))</f>
        <v/>
      </c>
      <c r="J2087" s="5" t="str">
        <f t="shared" si="64"/>
        <v>AI provisional</v>
      </c>
      <c r="K2087" s="5" t="str">
        <f t="shared" si="65"/>
        <v>Y</v>
      </c>
      <c r="L2087" s="5" t="s">
        <v>1531</v>
      </c>
      <c r="M2087" s="5" t="s">
        <v>7177</v>
      </c>
      <c r="N2087" s="5" t="s">
        <v>7175</v>
      </c>
      <c r="O2087" s="5" t="s">
        <v>2862</v>
      </c>
      <c r="P2087" s="5" t="s">
        <v>2858</v>
      </c>
      <c r="Q2087" s="11">
        <v>46306.5</v>
      </c>
      <c r="R2087" s="6"/>
      <c r="S2087" s="6"/>
      <c r="T2087" s="6"/>
      <c r="U2087" s="5">
        <f>MATCH(B2087,Manual_Review!$A$6:$A$238,0)</f>
        <v>131</v>
      </c>
      <c r="V2087" s="5" t="str">
        <f>IF(INDEX(Manual_Review!$G$6:$G$238,U2087)="","",INDEX(Manual_Review!$G$6:$G$238,U2087))</f>
        <v/>
      </c>
      <c r="W2087" s="11" t="str">
        <f>IF(INDEX(Manual_Review!$H$6:$H$238,U2087)="","",INDEX(Manual_Review!$H$6:$H$238,U2087))</f>
        <v/>
      </c>
      <c r="X2087" s="5" t="str">
        <f>IF(INDEX(Manual_Review!$I$6:$I$238,U2087)="","",INDEX(Manual_Review!$I$6:$I$238,U2087))</f>
        <v/>
      </c>
      <c r="Y2087" s="5" t="s">
        <v>2859</v>
      </c>
    </row>
    <row r="2088" spans="1:25" ht="38.25">
      <c r="A2088" s="5" t="s">
        <v>7178</v>
      </c>
      <c r="B2088" s="5" t="s">
        <v>1521</v>
      </c>
      <c r="C2088" s="5" t="s">
        <v>1522</v>
      </c>
      <c r="D2088" s="5" t="s">
        <v>118</v>
      </c>
      <c r="E2088" s="5" t="s">
        <v>2783</v>
      </c>
      <c r="F2088" s="5" t="s">
        <v>2754</v>
      </c>
      <c r="G2088" s="5">
        <v>1</v>
      </c>
      <c r="H2088" s="5" t="s">
        <v>2908</v>
      </c>
      <c r="I2088" s="5" t="str">
        <f>IF(INDEX(Manual_Review!$M$6:$M$238,U2088)="","",INDEX(Manual_Review!$M$6:$M$238,U2088))</f>
        <v/>
      </c>
      <c r="J2088" s="5" t="str">
        <f t="shared" si="64"/>
        <v>AI provisional</v>
      </c>
      <c r="K2088" s="5" t="str">
        <f t="shared" si="65"/>
        <v>X</v>
      </c>
      <c r="L2088" s="5" t="s">
        <v>1531</v>
      </c>
      <c r="M2088" s="5" t="s">
        <v>7179</v>
      </c>
      <c r="N2088" s="5" t="s">
        <v>7175</v>
      </c>
      <c r="O2088" s="5" t="s">
        <v>7180</v>
      </c>
      <c r="P2088" s="5" t="s">
        <v>2858</v>
      </c>
      <c r="Q2088" s="11">
        <v>46306.5</v>
      </c>
      <c r="R2088" s="6"/>
      <c r="S2088" s="6"/>
      <c r="T2088" s="6"/>
      <c r="U2088" s="5">
        <f>MATCH(B2088,Manual_Review!$A$6:$A$238,0)</f>
        <v>131</v>
      </c>
      <c r="V2088" s="5" t="str">
        <f>IF(INDEX(Manual_Review!$G$6:$G$238,U2088)="","",INDEX(Manual_Review!$G$6:$G$238,U2088))</f>
        <v/>
      </c>
      <c r="W2088" s="11" t="str">
        <f>IF(INDEX(Manual_Review!$H$6:$H$238,U2088)="","",INDEX(Manual_Review!$H$6:$H$238,U2088))</f>
        <v/>
      </c>
      <c r="X2088" s="5" t="str">
        <f>IF(INDEX(Manual_Review!$I$6:$I$238,U2088)="","",INDEX(Manual_Review!$I$6:$I$238,U2088))</f>
        <v/>
      </c>
      <c r="Y2088" s="5" t="s">
        <v>2859</v>
      </c>
    </row>
    <row r="2089" spans="1:25" ht="38.25">
      <c r="A2089" s="5" t="s">
        <v>7181</v>
      </c>
      <c r="B2089" s="5" t="s">
        <v>1521</v>
      </c>
      <c r="C2089" s="5" t="s">
        <v>1522</v>
      </c>
      <c r="D2089" s="5" t="s">
        <v>118</v>
      </c>
      <c r="E2089" s="5" t="s">
        <v>2784</v>
      </c>
      <c r="F2089" s="5" t="s">
        <v>2756</v>
      </c>
      <c r="G2089" s="5">
        <v>1</v>
      </c>
      <c r="H2089" s="5" t="s">
        <v>2854</v>
      </c>
      <c r="I2089" s="5" t="str">
        <f>IF(INDEX(Manual_Review!$N$6:$N$238,U2089)="","",INDEX(Manual_Review!$N$6:$N$238,U2089))</f>
        <v/>
      </c>
      <c r="J2089" s="5" t="str">
        <f t="shared" si="64"/>
        <v>AI provisional</v>
      </c>
      <c r="K2089" s="5" t="str">
        <f t="shared" si="65"/>
        <v>Y</v>
      </c>
      <c r="L2089" s="5" t="s">
        <v>1531</v>
      </c>
      <c r="M2089" s="5" t="s">
        <v>7182</v>
      </c>
      <c r="N2089" s="5" t="s">
        <v>7175</v>
      </c>
      <c r="O2089" s="5" t="s">
        <v>2963</v>
      </c>
      <c r="P2089" s="5" t="s">
        <v>2858</v>
      </c>
      <c r="Q2089" s="11">
        <v>46306.5</v>
      </c>
      <c r="R2089" s="6"/>
      <c r="S2089" s="6"/>
      <c r="T2089" s="6"/>
      <c r="U2089" s="5">
        <f>MATCH(B2089,Manual_Review!$A$6:$A$238,0)</f>
        <v>131</v>
      </c>
      <c r="V2089" s="5" t="str">
        <f>IF(INDEX(Manual_Review!$G$6:$G$238,U2089)="","",INDEX(Manual_Review!$G$6:$G$238,U2089))</f>
        <v/>
      </c>
      <c r="W2089" s="11" t="str">
        <f>IF(INDEX(Manual_Review!$H$6:$H$238,U2089)="","",INDEX(Manual_Review!$H$6:$H$238,U2089))</f>
        <v/>
      </c>
      <c r="X2089" s="5" t="str">
        <f>IF(INDEX(Manual_Review!$I$6:$I$238,U2089)="","",INDEX(Manual_Review!$I$6:$I$238,U2089))</f>
        <v/>
      </c>
      <c r="Y2089" s="5" t="s">
        <v>2859</v>
      </c>
    </row>
    <row r="2090" spans="1:25" ht="38.25">
      <c r="A2090" s="5" t="s">
        <v>7183</v>
      </c>
      <c r="B2090" s="5" t="s">
        <v>1521</v>
      </c>
      <c r="C2090" s="5" t="s">
        <v>1522</v>
      </c>
      <c r="D2090" s="5" t="s">
        <v>118</v>
      </c>
      <c r="E2090" s="5" t="s">
        <v>2785</v>
      </c>
      <c r="F2090" s="5" t="s">
        <v>2756</v>
      </c>
      <c r="G2090" s="5">
        <v>1</v>
      </c>
      <c r="H2090" s="5" t="s">
        <v>2854</v>
      </c>
      <c r="I2090" s="5" t="str">
        <f>IF(INDEX(Manual_Review!$O$6:$O$238,U2090)="","",INDEX(Manual_Review!$O$6:$O$238,U2090))</f>
        <v/>
      </c>
      <c r="J2090" s="5" t="str">
        <f t="shared" si="64"/>
        <v>AI provisional</v>
      </c>
      <c r="K2090" s="5" t="str">
        <f t="shared" si="65"/>
        <v>Y</v>
      </c>
      <c r="L2090" s="5" t="s">
        <v>1531</v>
      </c>
      <c r="M2090" s="5" t="s">
        <v>7184</v>
      </c>
      <c r="N2090" s="5" t="s">
        <v>7175</v>
      </c>
      <c r="O2090" s="5" t="s">
        <v>3138</v>
      </c>
      <c r="P2090" s="5" t="s">
        <v>2858</v>
      </c>
      <c r="Q2090" s="11">
        <v>46306.5</v>
      </c>
      <c r="R2090" s="6"/>
      <c r="S2090" s="6"/>
      <c r="T2090" s="6"/>
      <c r="U2090" s="5">
        <f>MATCH(B2090,Manual_Review!$A$6:$A$238,0)</f>
        <v>131</v>
      </c>
      <c r="V2090" s="5" t="str">
        <f>IF(INDEX(Manual_Review!$G$6:$G$238,U2090)="","",INDEX(Manual_Review!$G$6:$G$238,U2090))</f>
        <v/>
      </c>
      <c r="W2090" s="11" t="str">
        <f>IF(INDEX(Manual_Review!$H$6:$H$238,U2090)="","",INDEX(Manual_Review!$H$6:$H$238,U2090))</f>
        <v/>
      </c>
      <c r="X2090" s="5" t="str">
        <f>IF(INDEX(Manual_Review!$I$6:$I$238,U2090)="","",INDEX(Manual_Review!$I$6:$I$238,U2090))</f>
        <v/>
      </c>
      <c r="Y2090" s="5" t="s">
        <v>2859</v>
      </c>
    </row>
    <row r="2091" spans="1:25" ht="38.25">
      <c r="A2091" s="5" t="s">
        <v>7185</v>
      </c>
      <c r="B2091" s="5" t="s">
        <v>1521</v>
      </c>
      <c r="C2091" s="5" t="s">
        <v>1522</v>
      </c>
      <c r="D2091" s="5" t="s">
        <v>118</v>
      </c>
      <c r="E2091" s="5" t="s">
        <v>2786</v>
      </c>
      <c r="F2091" s="5" t="s">
        <v>2756</v>
      </c>
      <c r="G2091" s="5">
        <v>1</v>
      </c>
      <c r="H2091" s="5" t="s">
        <v>2864</v>
      </c>
      <c r="I2091" s="5" t="str">
        <f>IF(INDEX(Manual_Review!$P$6:$P$238,U2091)="","",INDEX(Manual_Review!$P$6:$P$238,U2091))</f>
        <v/>
      </c>
      <c r="J2091" s="5" t="str">
        <f t="shared" si="64"/>
        <v>AI provisional</v>
      </c>
      <c r="K2091" s="5" t="str">
        <f t="shared" si="65"/>
        <v>U</v>
      </c>
      <c r="L2091" s="5" t="s">
        <v>1531</v>
      </c>
      <c r="M2091" s="5" t="s">
        <v>7186</v>
      </c>
      <c r="N2091" s="5" t="s">
        <v>7175</v>
      </c>
      <c r="O2091" s="5" t="s">
        <v>2874</v>
      </c>
      <c r="P2091" s="5" t="s">
        <v>2858</v>
      </c>
      <c r="Q2091" s="11">
        <v>46306.5</v>
      </c>
      <c r="R2091" s="6"/>
      <c r="S2091" s="6"/>
      <c r="T2091" s="6"/>
      <c r="U2091" s="5">
        <f>MATCH(B2091,Manual_Review!$A$6:$A$238,0)</f>
        <v>131</v>
      </c>
      <c r="V2091" s="5" t="str">
        <f>IF(INDEX(Manual_Review!$G$6:$G$238,U2091)="","",INDEX(Manual_Review!$G$6:$G$238,U2091))</f>
        <v/>
      </c>
      <c r="W2091" s="11" t="str">
        <f>IF(INDEX(Manual_Review!$H$6:$H$238,U2091)="","",INDEX(Manual_Review!$H$6:$H$238,U2091))</f>
        <v/>
      </c>
      <c r="X2091" s="5" t="str">
        <f>IF(INDEX(Manual_Review!$I$6:$I$238,U2091)="","",INDEX(Manual_Review!$I$6:$I$238,U2091))</f>
        <v/>
      </c>
      <c r="Y2091" s="5" t="s">
        <v>2859</v>
      </c>
    </row>
    <row r="2092" spans="1:25" ht="38.25">
      <c r="A2092" s="5" t="s">
        <v>7187</v>
      </c>
      <c r="B2092" s="5" t="s">
        <v>1521</v>
      </c>
      <c r="C2092" s="5" t="s">
        <v>1522</v>
      </c>
      <c r="D2092" s="5" t="s">
        <v>118</v>
      </c>
      <c r="E2092" s="5" t="s">
        <v>2787</v>
      </c>
      <c r="F2092" s="5" t="s">
        <v>2758</v>
      </c>
      <c r="G2092" s="5">
        <v>1</v>
      </c>
      <c r="H2092" s="5" t="s">
        <v>2854</v>
      </c>
      <c r="I2092" s="5" t="str">
        <f>IF(INDEX(Manual_Review!$Q$6:$Q$238,U2092)="","",INDEX(Manual_Review!$Q$6:$Q$238,U2092))</f>
        <v/>
      </c>
      <c r="J2092" s="5" t="str">
        <f t="shared" si="64"/>
        <v>AI provisional</v>
      </c>
      <c r="K2092" s="5" t="str">
        <f t="shared" si="65"/>
        <v>Y</v>
      </c>
      <c r="L2092" s="5" t="s">
        <v>1531</v>
      </c>
      <c r="M2092" s="5" t="s">
        <v>7188</v>
      </c>
      <c r="N2092" s="5" t="s">
        <v>7175</v>
      </c>
      <c r="O2092" s="5" t="s">
        <v>2969</v>
      </c>
      <c r="P2092" s="5" t="s">
        <v>2858</v>
      </c>
      <c r="Q2092" s="11">
        <v>46306.5</v>
      </c>
      <c r="R2092" s="6"/>
      <c r="S2092" s="6"/>
      <c r="T2092" s="6"/>
      <c r="U2092" s="5">
        <f>MATCH(B2092,Manual_Review!$A$6:$A$238,0)</f>
        <v>131</v>
      </c>
      <c r="V2092" s="5" t="str">
        <f>IF(INDEX(Manual_Review!$G$6:$G$238,U2092)="","",INDEX(Manual_Review!$G$6:$G$238,U2092))</f>
        <v/>
      </c>
      <c r="W2092" s="11" t="str">
        <f>IF(INDEX(Manual_Review!$H$6:$H$238,U2092)="","",INDEX(Manual_Review!$H$6:$H$238,U2092))</f>
        <v/>
      </c>
      <c r="X2092" s="5" t="str">
        <f>IF(INDEX(Manual_Review!$I$6:$I$238,U2092)="","",INDEX(Manual_Review!$I$6:$I$238,U2092))</f>
        <v/>
      </c>
      <c r="Y2092" s="5" t="s">
        <v>2859</v>
      </c>
    </row>
    <row r="2093" spans="1:25" ht="38.25">
      <c r="A2093" s="5" t="s">
        <v>7189</v>
      </c>
      <c r="B2093" s="5" t="s">
        <v>1521</v>
      </c>
      <c r="C2093" s="5" t="s">
        <v>1522</v>
      </c>
      <c r="D2093" s="5" t="s">
        <v>118</v>
      </c>
      <c r="E2093" s="5" t="s">
        <v>2788</v>
      </c>
      <c r="F2093" s="5" t="s">
        <v>2758</v>
      </c>
      <c r="G2093" s="5">
        <v>1</v>
      </c>
      <c r="H2093" s="5" t="s">
        <v>2854</v>
      </c>
      <c r="I2093" s="5" t="str">
        <f>IF(INDEX(Manual_Review!$R$6:$R$238,U2093)="","",INDEX(Manual_Review!$R$6:$R$238,U2093))</f>
        <v/>
      </c>
      <c r="J2093" s="5" t="str">
        <f t="shared" si="64"/>
        <v>AI provisional</v>
      </c>
      <c r="K2093" s="5" t="str">
        <f t="shared" si="65"/>
        <v>Y</v>
      </c>
      <c r="L2093" s="5" t="s">
        <v>1531</v>
      </c>
      <c r="M2093" s="5" t="s">
        <v>7190</v>
      </c>
      <c r="N2093" s="5" t="s">
        <v>7175</v>
      </c>
      <c r="O2093" s="5" t="s">
        <v>3067</v>
      </c>
      <c r="P2093" s="5" t="s">
        <v>2858</v>
      </c>
      <c r="Q2093" s="11">
        <v>46306.5</v>
      </c>
      <c r="R2093" s="6"/>
      <c r="S2093" s="6"/>
      <c r="T2093" s="6"/>
      <c r="U2093" s="5">
        <f>MATCH(B2093,Manual_Review!$A$6:$A$238,0)</f>
        <v>131</v>
      </c>
      <c r="V2093" s="5" t="str">
        <f>IF(INDEX(Manual_Review!$G$6:$G$238,U2093)="","",INDEX(Manual_Review!$G$6:$G$238,U2093))</f>
        <v/>
      </c>
      <c r="W2093" s="11" t="str">
        <f>IF(INDEX(Manual_Review!$H$6:$H$238,U2093)="","",INDEX(Manual_Review!$H$6:$H$238,U2093))</f>
        <v/>
      </c>
      <c r="X2093" s="5" t="str">
        <f>IF(INDEX(Manual_Review!$I$6:$I$238,U2093)="","",INDEX(Manual_Review!$I$6:$I$238,U2093))</f>
        <v/>
      </c>
      <c r="Y2093" s="5" t="s">
        <v>2859</v>
      </c>
    </row>
    <row r="2094" spans="1:25" ht="38.25">
      <c r="A2094" s="5" t="s">
        <v>7191</v>
      </c>
      <c r="B2094" s="5" t="s">
        <v>1521</v>
      </c>
      <c r="C2094" s="5" t="s">
        <v>1522</v>
      </c>
      <c r="D2094" s="5" t="s">
        <v>118</v>
      </c>
      <c r="E2094" s="5" t="s">
        <v>2789</v>
      </c>
      <c r="F2094" s="5" t="s">
        <v>2758</v>
      </c>
      <c r="G2094" s="5">
        <v>1</v>
      </c>
      <c r="H2094" s="5" t="s">
        <v>2854</v>
      </c>
      <c r="I2094" s="5" t="str">
        <f>IF(INDEX(Manual_Review!$S$6:$S$238,U2094)="","",INDEX(Manual_Review!$S$6:$S$238,U2094))</f>
        <v/>
      </c>
      <c r="J2094" s="5" t="str">
        <f t="shared" si="64"/>
        <v>AI provisional</v>
      </c>
      <c r="K2094" s="5" t="str">
        <f t="shared" si="65"/>
        <v>Y</v>
      </c>
      <c r="L2094" s="5" t="s">
        <v>1531</v>
      </c>
      <c r="M2094" s="5" t="s">
        <v>7192</v>
      </c>
      <c r="N2094" s="5" t="s">
        <v>7175</v>
      </c>
      <c r="O2094" s="5" t="s">
        <v>3178</v>
      </c>
      <c r="P2094" s="5" t="s">
        <v>2858</v>
      </c>
      <c r="Q2094" s="11">
        <v>46306.5</v>
      </c>
      <c r="R2094" s="6"/>
      <c r="S2094" s="6"/>
      <c r="T2094" s="6"/>
      <c r="U2094" s="5">
        <f>MATCH(B2094,Manual_Review!$A$6:$A$238,0)</f>
        <v>131</v>
      </c>
      <c r="V2094" s="5" t="str">
        <f>IF(INDEX(Manual_Review!$G$6:$G$238,U2094)="","",INDEX(Manual_Review!$G$6:$G$238,U2094))</f>
        <v/>
      </c>
      <c r="W2094" s="11" t="str">
        <f>IF(INDEX(Manual_Review!$H$6:$H$238,U2094)="","",INDEX(Manual_Review!$H$6:$H$238,U2094))</f>
        <v/>
      </c>
      <c r="X2094" s="5" t="str">
        <f>IF(INDEX(Manual_Review!$I$6:$I$238,U2094)="","",INDEX(Manual_Review!$I$6:$I$238,U2094))</f>
        <v/>
      </c>
      <c r="Y2094" s="5" t="s">
        <v>2859</v>
      </c>
    </row>
    <row r="2095" spans="1:25" ht="38.25">
      <c r="A2095" s="5" t="s">
        <v>7193</v>
      </c>
      <c r="B2095" s="5" t="s">
        <v>1521</v>
      </c>
      <c r="C2095" s="5" t="s">
        <v>1522</v>
      </c>
      <c r="D2095" s="5" t="s">
        <v>118</v>
      </c>
      <c r="E2095" s="5" t="s">
        <v>2790</v>
      </c>
      <c r="F2095" s="5" t="s">
        <v>2760</v>
      </c>
      <c r="G2095" s="5">
        <v>1</v>
      </c>
      <c r="H2095" s="5" t="s">
        <v>2854</v>
      </c>
      <c r="I2095" s="5" t="str">
        <f>IF(INDEX(Manual_Review!$T$6:$T$238,U2095)="","",INDEX(Manual_Review!$T$6:$T$238,U2095))</f>
        <v/>
      </c>
      <c r="J2095" s="5" t="str">
        <f t="shared" si="64"/>
        <v>AI provisional</v>
      </c>
      <c r="K2095" s="5" t="str">
        <f t="shared" si="65"/>
        <v>Y</v>
      </c>
      <c r="L2095" s="5" t="s">
        <v>1531</v>
      </c>
      <c r="M2095" s="5" t="s">
        <v>7194</v>
      </c>
      <c r="N2095" s="5" t="s">
        <v>7175</v>
      </c>
      <c r="O2095" s="5" t="s">
        <v>2976</v>
      </c>
      <c r="P2095" s="5" t="s">
        <v>2858</v>
      </c>
      <c r="Q2095" s="11">
        <v>46306.5</v>
      </c>
      <c r="R2095" s="6"/>
      <c r="S2095" s="6"/>
      <c r="T2095" s="6"/>
      <c r="U2095" s="5">
        <f>MATCH(B2095,Manual_Review!$A$6:$A$238,0)</f>
        <v>131</v>
      </c>
      <c r="V2095" s="5" t="str">
        <f>IF(INDEX(Manual_Review!$G$6:$G$238,U2095)="","",INDEX(Manual_Review!$G$6:$G$238,U2095))</f>
        <v/>
      </c>
      <c r="W2095" s="11" t="str">
        <f>IF(INDEX(Manual_Review!$H$6:$H$238,U2095)="","",INDEX(Manual_Review!$H$6:$H$238,U2095))</f>
        <v/>
      </c>
      <c r="X2095" s="5" t="str">
        <f>IF(INDEX(Manual_Review!$I$6:$I$238,U2095)="","",INDEX(Manual_Review!$I$6:$I$238,U2095))</f>
        <v/>
      </c>
      <c r="Y2095" s="5" t="s">
        <v>2859</v>
      </c>
    </row>
    <row r="2096" spans="1:25" ht="38.25">
      <c r="A2096" s="5" t="s">
        <v>7195</v>
      </c>
      <c r="B2096" s="5" t="s">
        <v>1521</v>
      </c>
      <c r="C2096" s="5" t="s">
        <v>1522</v>
      </c>
      <c r="D2096" s="5" t="s">
        <v>118</v>
      </c>
      <c r="E2096" s="5" t="s">
        <v>2791</v>
      </c>
      <c r="F2096" s="5" t="s">
        <v>2760</v>
      </c>
      <c r="G2096" s="5">
        <v>1</v>
      </c>
      <c r="H2096" s="5" t="s">
        <v>2854</v>
      </c>
      <c r="I2096" s="5" t="str">
        <f>IF(INDEX(Manual_Review!$U$6:$U$238,U2096)="","",INDEX(Manual_Review!$U$6:$U$238,U2096))</f>
        <v/>
      </c>
      <c r="J2096" s="5" t="str">
        <f t="shared" si="64"/>
        <v>AI provisional</v>
      </c>
      <c r="K2096" s="5" t="str">
        <f t="shared" si="65"/>
        <v>Y</v>
      </c>
      <c r="L2096" s="5" t="s">
        <v>1531</v>
      </c>
      <c r="M2096" s="5" t="s">
        <v>7196</v>
      </c>
      <c r="N2096" s="5" t="s">
        <v>7175</v>
      </c>
      <c r="O2096" s="5" t="s">
        <v>3380</v>
      </c>
      <c r="P2096" s="5" t="s">
        <v>2858</v>
      </c>
      <c r="Q2096" s="11">
        <v>46306.5</v>
      </c>
      <c r="R2096" s="6"/>
      <c r="S2096" s="6"/>
      <c r="T2096" s="6"/>
      <c r="U2096" s="5">
        <f>MATCH(B2096,Manual_Review!$A$6:$A$238,0)</f>
        <v>131</v>
      </c>
      <c r="V2096" s="5" t="str">
        <f>IF(INDEX(Manual_Review!$G$6:$G$238,U2096)="","",INDEX(Manual_Review!$G$6:$G$238,U2096))</f>
        <v/>
      </c>
      <c r="W2096" s="11" t="str">
        <f>IF(INDEX(Manual_Review!$H$6:$H$238,U2096)="","",INDEX(Manual_Review!$H$6:$H$238,U2096))</f>
        <v/>
      </c>
      <c r="X2096" s="5" t="str">
        <f>IF(INDEX(Manual_Review!$I$6:$I$238,U2096)="","",INDEX(Manual_Review!$I$6:$I$238,U2096))</f>
        <v/>
      </c>
      <c r="Y2096" s="5" t="s">
        <v>2859</v>
      </c>
    </row>
    <row r="2097" spans="1:25" ht="38.25">
      <c r="A2097" s="5" t="s">
        <v>7197</v>
      </c>
      <c r="B2097" s="5" t="s">
        <v>1521</v>
      </c>
      <c r="C2097" s="5" t="s">
        <v>1522</v>
      </c>
      <c r="D2097" s="5" t="s">
        <v>118</v>
      </c>
      <c r="E2097" s="5" t="s">
        <v>2792</v>
      </c>
      <c r="F2097" s="5" t="s">
        <v>2762</v>
      </c>
      <c r="G2097" s="5">
        <v>1</v>
      </c>
      <c r="H2097" s="5" t="s">
        <v>2864</v>
      </c>
      <c r="I2097" s="5" t="str">
        <f>IF(INDEX(Manual_Review!$V$6:$V$238,U2097)="","",INDEX(Manual_Review!$V$6:$V$238,U2097))</f>
        <v/>
      </c>
      <c r="J2097" s="5" t="str">
        <f t="shared" si="64"/>
        <v>AI provisional</v>
      </c>
      <c r="K2097" s="5" t="str">
        <f t="shared" si="65"/>
        <v>U</v>
      </c>
      <c r="L2097" s="5" t="s">
        <v>1531</v>
      </c>
      <c r="M2097" s="5" t="s">
        <v>7198</v>
      </c>
      <c r="N2097" s="5" t="s">
        <v>7175</v>
      </c>
      <c r="O2097" s="5" t="s">
        <v>2891</v>
      </c>
      <c r="P2097" s="5" t="s">
        <v>2858</v>
      </c>
      <c r="Q2097" s="11">
        <v>46306.5</v>
      </c>
      <c r="R2097" s="6"/>
      <c r="S2097" s="6"/>
      <c r="T2097" s="6"/>
      <c r="U2097" s="5">
        <f>MATCH(B2097,Manual_Review!$A$6:$A$238,0)</f>
        <v>131</v>
      </c>
      <c r="V2097" s="5" t="str">
        <f>IF(INDEX(Manual_Review!$G$6:$G$238,U2097)="","",INDEX(Manual_Review!$G$6:$G$238,U2097))</f>
        <v/>
      </c>
      <c r="W2097" s="11" t="str">
        <f>IF(INDEX(Manual_Review!$H$6:$H$238,U2097)="","",INDEX(Manual_Review!$H$6:$H$238,U2097))</f>
        <v/>
      </c>
      <c r="X2097" s="5" t="str">
        <f>IF(INDEX(Manual_Review!$I$6:$I$238,U2097)="","",INDEX(Manual_Review!$I$6:$I$238,U2097))</f>
        <v/>
      </c>
      <c r="Y2097" s="5" t="s">
        <v>2859</v>
      </c>
    </row>
    <row r="2098" spans="1:25" ht="38.25">
      <c r="A2098" s="5" t="s">
        <v>7199</v>
      </c>
      <c r="B2098" s="5" t="s">
        <v>1521</v>
      </c>
      <c r="C2098" s="5" t="s">
        <v>1522</v>
      </c>
      <c r="D2098" s="5" t="s">
        <v>118</v>
      </c>
      <c r="E2098" s="5" t="s">
        <v>2793</v>
      </c>
      <c r="F2098" s="5" t="s">
        <v>2762</v>
      </c>
      <c r="G2098" s="5">
        <v>1</v>
      </c>
      <c r="H2098" s="5" t="s">
        <v>2864</v>
      </c>
      <c r="I2098" s="5" t="str">
        <f>IF(INDEX(Manual_Review!$W$6:$W$238,U2098)="","",INDEX(Manual_Review!$W$6:$W$238,U2098))</f>
        <v/>
      </c>
      <c r="J2098" s="5" t="str">
        <f t="shared" si="64"/>
        <v>AI provisional</v>
      </c>
      <c r="K2098" s="5" t="str">
        <f t="shared" si="65"/>
        <v>U</v>
      </c>
      <c r="L2098" s="5" t="s">
        <v>1531</v>
      </c>
      <c r="M2098" s="5" t="s">
        <v>7200</v>
      </c>
      <c r="N2098" s="5" t="s">
        <v>7175</v>
      </c>
      <c r="O2098" s="5" t="s">
        <v>2893</v>
      </c>
      <c r="P2098" s="5" t="s">
        <v>2858</v>
      </c>
      <c r="Q2098" s="11">
        <v>46306.5</v>
      </c>
      <c r="R2098" s="6"/>
      <c r="S2098" s="6"/>
      <c r="T2098" s="6"/>
      <c r="U2098" s="5">
        <f>MATCH(B2098,Manual_Review!$A$6:$A$238,0)</f>
        <v>131</v>
      </c>
      <c r="V2098" s="5" t="str">
        <f>IF(INDEX(Manual_Review!$G$6:$G$238,U2098)="","",INDEX(Manual_Review!$G$6:$G$238,U2098))</f>
        <v/>
      </c>
      <c r="W2098" s="11" t="str">
        <f>IF(INDEX(Manual_Review!$H$6:$H$238,U2098)="","",INDEX(Manual_Review!$H$6:$H$238,U2098))</f>
        <v/>
      </c>
      <c r="X2098" s="5" t="str">
        <f>IF(INDEX(Manual_Review!$I$6:$I$238,U2098)="","",INDEX(Manual_Review!$I$6:$I$238,U2098))</f>
        <v/>
      </c>
      <c r="Y2098" s="5" t="s">
        <v>2859</v>
      </c>
    </row>
    <row r="2099" spans="1:25" ht="38.25">
      <c r="A2099" s="5" t="s">
        <v>7201</v>
      </c>
      <c r="B2099" s="5" t="s">
        <v>1521</v>
      </c>
      <c r="C2099" s="5" t="s">
        <v>1522</v>
      </c>
      <c r="D2099" s="5" t="s">
        <v>118</v>
      </c>
      <c r="E2099" s="5" t="s">
        <v>2794</v>
      </c>
      <c r="F2099" s="5" t="s">
        <v>2764</v>
      </c>
      <c r="G2099" s="5">
        <v>1</v>
      </c>
      <c r="H2099" s="5" t="s">
        <v>2854</v>
      </c>
      <c r="I2099" s="5" t="str">
        <f>IF(INDEX(Manual_Review!$X$6:$X$238,U2099)="","",INDEX(Manual_Review!$X$6:$X$238,U2099))</f>
        <v/>
      </c>
      <c r="J2099" s="5" t="str">
        <f t="shared" si="64"/>
        <v>AI provisional</v>
      </c>
      <c r="K2099" s="5" t="str">
        <f t="shared" si="65"/>
        <v>Y</v>
      </c>
      <c r="L2099" s="5" t="s">
        <v>1531</v>
      </c>
      <c r="M2099" s="5" t="s">
        <v>7202</v>
      </c>
      <c r="N2099" s="5" t="s">
        <v>7175</v>
      </c>
      <c r="O2099" s="5" t="s">
        <v>2984</v>
      </c>
      <c r="P2099" s="5" t="s">
        <v>2858</v>
      </c>
      <c r="Q2099" s="11">
        <v>46306.5</v>
      </c>
      <c r="R2099" s="6"/>
      <c r="S2099" s="6"/>
      <c r="T2099" s="6"/>
      <c r="U2099" s="5">
        <f>MATCH(B2099,Manual_Review!$A$6:$A$238,0)</f>
        <v>131</v>
      </c>
      <c r="V2099" s="5" t="str">
        <f>IF(INDEX(Manual_Review!$G$6:$G$238,U2099)="","",INDEX(Manual_Review!$G$6:$G$238,U2099))</f>
        <v/>
      </c>
      <c r="W2099" s="11" t="str">
        <f>IF(INDEX(Manual_Review!$H$6:$H$238,U2099)="","",INDEX(Manual_Review!$H$6:$H$238,U2099))</f>
        <v/>
      </c>
      <c r="X2099" s="5" t="str">
        <f>IF(INDEX(Manual_Review!$I$6:$I$238,U2099)="","",INDEX(Manual_Review!$I$6:$I$238,U2099))</f>
        <v/>
      </c>
      <c r="Y2099" s="5" t="s">
        <v>2859</v>
      </c>
    </row>
    <row r="2100" spans="1:25" ht="38.25">
      <c r="A2100" s="5" t="s">
        <v>7203</v>
      </c>
      <c r="B2100" s="5" t="s">
        <v>1521</v>
      </c>
      <c r="C2100" s="5" t="s">
        <v>1522</v>
      </c>
      <c r="D2100" s="5" t="s">
        <v>118</v>
      </c>
      <c r="E2100" s="5" t="s">
        <v>2795</v>
      </c>
      <c r="F2100" s="5" t="s">
        <v>2764</v>
      </c>
      <c r="G2100" s="5">
        <v>1</v>
      </c>
      <c r="H2100" s="5" t="s">
        <v>2864</v>
      </c>
      <c r="I2100" s="5" t="str">
        <f>IF(INDEX(Manual_Review!$Y$6:$Y$238,U2100)="","",INDEX(Manual_Review!$Y$6:$Y$238,U2100))</f>
        <v/>
      </c>
      <c r="J2100" s="5" t="str">
        <f t="shared" si="64"/>
        <v>AI provisional</v>
      </c>
      <c r="K2100" s="5" t="str">
        <f t="shared" si="65"/>
        <v>U</v>
      </c>
      <c r="L2100" s="5" t="s">
        <v>1531</v>
      </c>
      <c r="M2100" s="5" t="s">
        <v>7204</v>
      </c>
      <c r="N2100" s="5" t="s">
        <v>7175</v>
      </c>
      <c r="O2100" s="5" t="s">
        <v>2897</v>
      </c>
      <c r="P2100" s="5" t="s">
        <v>2858</v>
      </c>
      <c r="Q2100" s="11">
        <v>46306.5</v>
      </c>
      <c r="R2100" s="6"/>
      <c r="S2100" s="6"/>
      <c r="T2100" s="6"/>
      <c r="U2100" s="5">
        <f>MATCH(B2100,Manual_Review!$A$6:$A$238,0)</f>
        <v>131</v>
      </c>
      <c r="V2100" s="5" t="str">
        <f>IF(INDEX(Manual_Review!$G$6:$G$238,U2100)="","",INDEX(Manual_Review!$G$6:$G$238,U2100))</f>
        <v/>
      </c>
      <c r="W2100" s="11" t="str">
        <f>IF(INDEX(Manual_Review!$H$6:$H$238,U2100)="","",INDEX(Manual_Review!$H$6:$H$238,U2100))</f>
        <v/>
      </c>
      <c r="X2100" s="5" t="str">
        <f>IF(INDEX(Manual_Review!$I$6:$I$238,U2100)="","",INDEX(Manual_Review!$I$6:$I$238,U2100))</f>
        <v/>
      </c>
      <c r="Y2100" s="5" t="s">
        <v>2859</v>
      </c>
    </row>
    <row r="2101" spans="1:25" ht="38.25">
      <c r="A2101" s="5" t="s">
        <v>7205</v>
      </c>
      <c r="B2101" s="5" t="s">
        <v>1521</v>
      </c>
      <c r="C2101" s="5" t="s">
        <v>1522</v>
      </c>
      <c r="D2101" s="5" t="s">
        <v>118</v>
      </c>
      <c r="E2101" s="5" t="s">
        <v>2796</v>
      </c>
      <c r="F2101" s="5" t="s">
        <v>2764</v>
      </c>
      <c r="G2101" s="5">
        <v>1</v>
      </c>
      <c r="H2101" s="5" t="s">
        <v>2864</v>
      </c>
      <c r="I2101" s="5" t="str">
        <f>IF(INDEX(Manual_Review!$Z$6:$Z$238,U2101)="","",INDEX(Manual_Review!$Z$6:$Z$238,U2101))</f>
        <v/>
      </c>
      <c r="J2101" s="5" t="str">
        <f t="shared" si="64"/>
        <v>AI provisional</v>
      </c>
      <c r="K2101" s="5" t="str">
        <f t="shared" si="65"/>
        <v>U</v>
      </c>
      <c r="L2101" s="5" t="s">
        <v>1531</v>
      </c>
      <c r="M2101" s="5" t="s">
        <v>7206</v>
      </c>
      <c r="N2101" s="5" t="s">
        <v>7175</v>
      </c>
      <c r="O2101" s="5" t="s">
        <v>2899</v>
      </c>
      <c r="P2101" s="5" t="s">
        <v>2858</v>
      </c>
      <c r="Q2101" s="11">
        <v>46306.5</v>
      </c>
      <c r="R2101" s="6"/>
      <c r="S2101" s="6"/>
      <c r="T2101" s="6"/>
      <c r="U2101" s="5">
        <f>MATCH(B2101,Manual_Review!$A$6:$A$238,0)</f>
        <v>131</v>
      </c>
      <c r="V2101" s="5" t="str">
        <f>IF(INDEX(Manual_Review!$G$6:$G$238,U2101)="","",INDEX(Manual_Review!$G$6:$G$238,U2101))</f>
        <v/>
      </c>
      <c r="W2101" s="11" t="str">
        <f>IF(INDEX(Manual_Review!$H$6:$H$238,U2101)="","",INDEX(Manual_Review!$H$6:$H$238,U2101))</f>
        <v/>
      </c>
      <c r="X2101" s="5" t="str">
        <f>IF(INDEX(Manual_Review!$I$6:$I$238,U2101)="","",INDEX(Manual_Review!$I$6:$I$238,U2101))</f>
        <v/>
      </c>
      <c r="Y2101" s="5" t="s">
        <v>2859</v>
      </c>
    </row>
    <row r="2102" spans="1:25" ht="38.25">
      <c r="A2102" s="5" t="s">
        <v>7207</v>
      </c>
      <c r="B2102" s="5" t="s">
        <v>1533</v>
      </c>
      <c r="C2102" s="5" t="s">
        <v>1534</v>
      </c>
      <c r="D2102" s="5" t="s">
        <v>118</v>
      </c>
      <c r="E2102" s="5" t="s">
        <v>2781</v>
      </c>
      <c r="F2102" s="5" t="s">
        <v>2754</v>
      </c>
      <c r="G2102" s="5">
        <v>1</v>
      </c>
      <c r="H2102" s="5" t="s">
        <v>2854</v>
      </c>
      <c r="I2102" s="5" t="str">
        <f>IF(INDEX(Manual_Review!$K$6:$K$238,U2102)="","",INDEX(Manual_Review!$K$6:$K$238,U2102))</f>
        <v/>
      </c>
      <c r="J2102" s="5" t="str">
        <f t="shared" si="64"/>
        <v>AI provisional</v>
      </c>
      <c r="K2102" s="5" t="str">
        <f t="shared" si="65"/>
        <v>Y</v>
      </c>
      <c r="L2102" s="5" t="s">
        <v>1541</v>
      </c>
      <c r="M2102" s="5" t="s">
        <v>7208</v>
      </c>
      <c r="N2102" s="5" t="s">
        <v>7209</v>
      </c>
      <c r="O2102" s="5" t="s">
        <v>2857</v>
      </c>
      <c r="P2102" s="5" t="s">
        <v>2858</v>
      </c>
      <c r="Q2102" s="11">
        <v>46306.5</v>
      </c>
      <c r="R2102" s="6"/>
      <c r="S2102" s="6"/>
      <c r="T2102" s="6"/>
      <c r="U2102" s="5">
        <f>MATCH(B2102,Manual_Review!$A$6:$A$238,0)</f>
        <v>132</v>
      </c>
      <c r="V2102" s="5" t="str">
        <f>IF(INDEX(Manual_Review!$G$6:$G$238,U2102)="","",INDEX(Manual_Review!$G$6:$G$238,U2102))</f>
        <v/>
      </c>
      <c r="W2102" s="11" t="str">
        <f>IF(INDEX(Manual_Review!$H$6:$H$238,U2102)="","",INDEX(Manual_Review!$H$6:$H$238,U2102))</f>
        <v/>
      </c>
      <c r="X2102" s="5" t="str">
        <f>IF(INDEX(Manual_Review!$I$6:$I$238,U2102)="","",INDEX(Manual_Review!$I$6:$I$238,U2102))</f>
        <v/>
      </c>
      <c r="Y2102" s="5" t="s">
        <v>2859</v>
      </c>
    </row>
    <row r="2103" spans="1:25" ht="38.25">
      <c r="A2103" s="5" t="s">
        <v>7210</v>
      </c>
      <c r="B2103" s="5" t="s">
        <v>1533</v>
      </c>
      <c r="C2103" s="5" t="s">
        <v>1534</v>
      </c>
      <c r="D2103" s="5" t="s">
        <v>118</v>
      </c>
      <c r="E2103" s="5" t="s">
        <v>2782</v>
      </c>
      <c r="F2103" s="5" t="s">
        <v>2754</v>
      </c>
      <c r="G2103" s="5">
        <v>1</v>
      </c>
      <c r="H2103" s="5" t="s">
        <v>2854</v>
      </c>
      <c r="I2103" s="5" t="str">
        <f>IF(INDEX(Manual_Review!$L$6:$L$238,U2103)="","",INDEX(Manual_Review!$L$6:$L$238,U2103))</f>
        <v/>
      </c>
      <c r="J2103" s="5" t="str">
        <f t="shared" si="64"/>
        <v>AI provisional</v>
      </c>
      <c r="K2103" s="5" t="str">
        <f t="shared" si="65"/>
        <v>Y</v>
      </c>
      <c r="L2103" s="5" t="s">
        <v>1541</v>
      </c>
      <c r="M2103" s="5" t="s">
        <v>7211</v>
      </c>
      <c r="N2103" s="5" t="s">
        <v>7209</v>
      </c>
      <c r="O2103" s="5" t="s">
        <v>2862</v>
      </c>
      <c r="P2103" s="5" t="s">
        <v>2858</v>
      </c>
      <c r="Q2103" s="11">
        <v>46306.5</v>
      </c>
      <c r="R2103" s="6"/>
      <c r="S2103" s="6"/>
      <c r="T2103" s="6"/>
      <c r="U2103" s="5">
        <f>MATCH(B2103,Manual_Review!$A$6:$A$238,0)</f>
        <v>132</v>
      </c>
      <c r="V2103" s="5" t="str">
        <f>IF(INDEX(Manual_Review!$G$6:$G$238,U2103)="","",INDEX(Manual_Review!$G$6:$G$238,U2103))</f>
        <v/>
      </c>
      <c r="W2103" s="11" t="str">
        <f>IF(INDEX(Manual_Review!$H$6:$H$238,U2103)="","",INDEX(Manual_Review!$H$6:$H$238,U2103))</f>
        <v/>
      </c>
      <c r="X2103" s="5" t="str">
        <f>IF(INDEX(Manual_Review!$I$6:$I$238,U2103)="","",INDEX(Manual_Review!$I$6:$I$238,U2103))</f>
        <v/>
      </c>
      <c r="Y2103" s="5" t="s">
        <v>2859</v>
      </c>
    </row>
    <row r="2104" spans="1:25" ht="38.25">
      <c r="A2104" s="5" t="s">
        <v>7212</v>
      </c>
      <c r="B2104" s="5" t="s">
        <v>1533</v>
      </c>
      <c r="C2104" s="5" t="s">
        <v>1534</v>
      </c>
      <c r="D2104" s="5" t="s">
        <v>118</v>
      </c>
      <c r="E2104" s="5" t="s">
        <v>2783</v>
      </c>
      <c r="F2104" s="5" t="s">
        <v>2754</v>
      </c>
      <c r="G2104" s="5">
        <v>1</v>
      </c>
      <c r="H2104" s="5" t="s">
        <v>2854</v>
      </c>
      <c r="I2104" s="5" t="str">
        <f>IF(INDEX(Manual_Review!$M$6:$M$238,U2104)="","",INDEX(Manual_Review!$M$6:$M$238,U2104))</f>
        <v/>
      </c>
      <c r="J2104" s="5" t="str">
        <f t="shared" si="64"/>
        <v>AI provisional</v>
      </c>
      <c r="K2104" s="5" t="str">
        <f t="shared" si="65"/>
        <v>Y</v>
      </c>
      <c r="L2104" s="5" t="s">
        <v>1541</v>
      </c>
      <c r="M2104" s="5" t="s">
        <v>7213</v>
      </c>
      <c r="N2104" s="5" t="s">
        <v>7209</v>
      </c>
      <c r="O2104" s="5" t="s">
        <v>3133</v>
      </c>
      <c r="P2104" s="5" t="s">
        <v>2858</v>
      </c>
      <c r="Q2104" s="11">
        <v>46306.5</v>
      </c>
      <c r="R2104" s="6"/>
      <c r="S2104" s="6"/>
      <c r="T2104" s="6"/>
      <c r="U2104" s="5">
        <f>MATCH(B2104,Manual_Review!$A$6:$A$238,0)</f>
        <v>132</v>
      </c>
      <c r="V2104" s="5" t="str">
        <f>IF(INDEX(Manual_Review!$G$6:$G$238,U2104)="","",INDEX(Manual_Review!$G$6:$G$238,U2104))</f>
        <v/>
      </c>
      <c r="W2104" s="11" t="str">
        <f>IF(INDEX(Manual_Review!$H$6:$H$238,U2104)="","",INDEX(Manual_Review!$H$6:$H$238,U2104))</f>
        <v/>
      </c>
      <c r="X2104" s="5" t="str">
        <f>IF(INDEX(Manual_Review!$I$6:$I$238,U2104)="","",INDEX(Manual_Review!$I$6:$I$238,U2104))</f>
        <v/>
      </c>
      <c r="Y2104" s="5" t="s">
        <v>2859</v>
      </c>
    </row>
    <row r="2105" spans="1:25" ht="38.25">
      <c r="A2105" s="5" t="s">
        <v>7214</v>
      </c>
      <c r="B2105" s="5" t="s">
        <v>1533</v>
      </c>
      <c r="C2105" s="5" t="s">
        <v>1534</v>
      </c>
      <c r="D2105" s="5" t="s">
        <v>118</v>
      </c>
      <c r="E2105" s="5" t="s">
        <v>2784</v>
      </c>
      <c r="F2105" s="5" t="s">
        <v>2756</v>
      </c>
      <c r="G2105" s="5">
        <v>1</v>
      </c>
      <c r="H2105" s="5" t="s">
        <v>2854</v>
      </c>
      <c r="I2105" s="5" t="str">
        <f>IF(INDEX(Manual_Review!$N$6:$N$238,U2105)="","",INDEX(Manual_Review!$N$6:$N$238,U2105))</f>
        <v/>
      </c>
      <c r="J2105" s="5" t="str">
        <f t="shared" si="64"/>
        <v>AI provisional</v>
      </c>
      <c r="K2105" s="5" t="str">
        <f t="shared" si="65"/>
        <v>Y</v>
      </c>
      <c r="L2105" s="5" t="s">
        <v>1541</v>
      </c>
      <c r="M2105" s="5" t="s">
        <v>7215</v>
      </c>
      <c r="N2105" s="5" t="s">
        <v>7209</v>
      </c>
      <c r="O2105" s="5" t="s">
        <v>2963</v>
      </c>
      <c r="P2105" s="5" t="s">
        <v>2858</v>
      </c>
      <c r="Q2105" s="11">
        <v>46306.5</v>
      </c>
      <c r="R2105" s="6"/>
      <c r="S2105" s="6"/>
      <c r="T2105" s="6"/>
      <c r="U2105" s="5">
        <f>MATCH(B2105,Manual_Review!$A$6:$A$238,0)</f>
        <v>132</v>
      </c>
      <c r="V2105" s="5" t="str">
        <f>IF(INDEX(Manual_Review!$G$6:$G$238,U2105)="","",INDEX(Manual_Review!$G$6:$G$238,U2105))</f>
        <v/>
      </c>
      <c r="W2105" s="11" t="str">
        <f>IF(INDEX(Manual_Review!$H$6:$H$238,U2105)="","",INDEX(Manual_Review!$H$6:$H$238,U2105))</f>
        <v/>
      </c>
      <c r="X2105" s="5" t="str">
        <f>IF(INDEX(Manual_Review!$I$6:$I$238,U2105)="","",INDEX(Manual_Review!$I$6:$I$238,U2105))</f>
        <v/>
      </c>
      <c r="Y2105" s="5" t="s">
        <v>2859</v>
      </c>
    </row>
    <row r="2106" spans="1:25" ht="38.25">
      <c r="A2106" s="5" t="s">
        <v>7216</v>
      </c>
      <c r="B2106" s="5" t="s">
        <v>1533</v>
      </c>
      <c r="C2106" s="5" t="s">
        <v>1534</v>
      </c>
      <c r="D2106" s="5" t="s">
        <v>118</v>
      </c>
      <c r="E2106" s="5" t="s">
        <v>2785</v>
      </c>
      <c r="F2106" s="5" t="s">
        <v>2756</v>
      </c>
      <c r="G2106" s="5">
        <v>1</v>
      </c>
      <c r="H2106" s="5" t="s">
        <v>2854</v>
      </c>
      <c r="I2106" s="5" t="str">
        <f>IF(INDEX(Manual_Review!$O$6:$O$238,U2106)="","",INDEX(Manual_Review!$O$6:$O$238,U2106))</f>
        <v/>
      </c>
      <c r="J2106" s="5" t="str">
        <f t="shared" si="64"/>
        <v>AI provisional</v>
      </c>
      <c r="K2106" s="5" t="str">
        <f t="shared" si="65"/>
        <v>Y</v>
      </c>
      <c r="L2106" s="5" t="s">
        <v>1541</v>
      </c>
      <c r="M2106" s="5" t="s">
        <v>7217</v>
      </c>
      <c r="N2106" s="5" t="s">
        <v>7209</v>
      </c>
      <c r="O2106" s="5" t="s">
        <v>3138</v>
      </c>
      <c r="P2106" s="5" t="s">
        <v>2858</v>
      </c>
      <c r="Q2106" s="11">
        <v>46306.5</v>
      </c>
      <c r="R2106" s="6"/>
      <c r="S2106" s="6"/>
      <c r="T2106" s="6"/>
      <c r="U2106" s="5">
        <f>MATCH(B2106,Manual_Review!$A$6:$A$238,0)</f>
        <v>132</v>
      </c>
      <c r="V2106" s="5" t="str">
        <f>IF(INDEX(Manual_Review!$G$6:$G$238,U2106)="","",INDEX(Manual_Review!$G$6:$G$238,U2106))</f>
        <v/>
      </c>
      <c r="W2106" s="11" t="str">
        <f>IF(INDEX(Manual_Review!$H$6:$H$238,U2106)="","",INDEX(Manual_Review!$H$6:$H$238,U2106))</f>
        <v/>
      </c>
      <c r="X2106" s="5" t="str">
        <f>IF(INDEX(Manual_Review!$I$6:$I$238,U2106)="","",INDEX(Manual_Review!$I$6:$I$238,U2106))</f>
        <v/>
      </c>
      <c r="Y2106" s="5" t="s">
        <v>2859</v>
      </c>
    </row>
    <row r="2107" spans="1:25" ht="38.25">
      <c r="A2107" s="5" t="s">
        <v>7218</v>
      </c>
      <c r="B2107" s="5" t="s">
        <v>1533</v>
      </c>
      <c r="C2107" s="5" t="s">
        <v>1534</v>
      </c>
      <c r="D2107" s="5" t="s">
        <v>118</v>
      </c>
      <c r="E2107" s="5" t="s">
        <v>2786</v>
      </c>
      <c r="F2107" s="5" t="s">
        <v>2756</v>
      </c>
      <c r="G2107" s="5">
        <v>1</v>
      </c>
      <c r="H2107" s="5" t="s">
        <v>2864</v>
      </c>
      <c r="I2107" s="5" t="str">
        <f>IF(INDEX(Manual_Review!$P$6:$P$238,U2107)="","",INDEX(Manual_Review!$P$6:$P$238,U2107))</f>
        <v/>
      </c>
      <c r="J2107" s="5" t="str">
        <f t="shared" si="64"/>
        <v>AI provisional</v>
      </c>
      <c r="K2107" s="5" t="str">
        <f t="shared" si="65"/>
        <v>U</v>
      </c>
      <c r="L2107" s="5" t="s">
        <v>1541</v>
      </c>
      <c r="M2107" s="5" t="s">
        <v>7219</v>
      </c>
      <c r="N2107" s="5" t="s">
        <v>7209</v>
      </c>
      <c r="O2107" s="5" t="s">
        <v>2874</v>
      </c>
      <c r="P2107" s="5" t="s">
        <v>2858</v>
      </c>
      <c r="Q2107" s="11">
        <v>46306.5</v>
      </c>
      <c r="R2107" s="6"/>
      <c r="S2107" s="6"/>
      <c r="T2107" s="6"/>
      <c r="U2107" s="5">
        <f>MATCH(B2107,Manual_Review!$A$6:$A$238,0)</f>
        <v>132</v>
      </c>
      <c r="V2107" s="5" t="str">
        <f>IF(INDEX(Manual_Review!$G$6:$G$238,U2107)="","",INDEX(Manual_Review!$G$6:$G$238,U2107))</f>
        <v/>
      </c>
      <c r="W2107" s="11" t="str">
        <f>IF(INDEX(Manual_Review!$H$6:$H$238,U2107)="","",INDEX(Manual_Review!$H$6:$H$238,U2107))</f>
        <v/>
      </c>
      <c r="X2107" s="5" t="str">
        <f>IF(INDEX(Manual_Review!$I$6:$I$238,U2107)="","",INDEX(Manual_Review!$I$6:$I$238,U2107))</f>
        <v/>
      </c>
      <c r="Y2107" s="5" t="s">
        <v>2859</v>
      </c>
    </row>
    <row r="2108" spans="1:25" ht="38.25">
      <c r="A2108" s="5" t="s">
        <v>7220</v>
      </c>
      <c r="B2108" s="5" t="s">
        <v>1533</v>
      </c>
      <c r="C2108" s="5" t="s">
        <v>1534</v>
      </c>
      <c r="D2108" s="5" t="s">
        <v>118</v>
      </c>
      <c r="E2108" s="5" t="s">
        <v>2787</v>
      </c>
      <c r="F2108" s="5" t="s">
        <v>2758</v>
      </c>
      <c r="G2108" s="5">
        <v>1</v>
      </c>
      <c r="H2108" s="5" t="s">
        <v>2854</v>
      </c>
      <c r="I2108" s="5" t="str">
        <f>IF(INDEX(Manual_Review!$Q$6:$Q$238,U2108)="","",INDEX(Manual_Review!$Q$6:$Q$238,U2108))</f>
        <v/>
      </c>
      <c r="J2108" s="5" t="str">
        <f t="shared" si="64"/>
        <v>AI provisional</v>
      </c>
      <c r="K2108" s="5" t="str">
        <f t="shared" si="65"/>
        <v>Y</v>
      </c>
      <c r="L2108" s="5" t="s">
        <v>1541</v>
      </c>
      <c r="M2108" s="5" t="s">
        <v>7221</v>
      </c>
      <c r="N2108" s="5" t="s">
        <v>7209</v>
      </c>
      <c r="O2108" s="5" t="s">
        <v>2969</v>
      </c>
      <c r="P2108" s="5" t="s">
        <v>2858</v>
      </c>
      <c r="Q2108" s="11">
        <v>46306.5</v>
      </c>
      <c r="R2108" s="6"/>
      <c r="S2108" s="6"/>
      <c r="T2108" s="6"/>
      <c r="U2108" s="5">
        <f>MATCH(B2108,Manual_Review!$A$6:$A$238,0)</f>
        <v>132</v>
      </c>
      <c r="V2108" s="5" t="str">
        <f>IF(INDEX(Manual_Review!$G$6:$G$238,U2108)="","",INDEX(Manual_Review!$G$6:$G$238,U2108))</f>
        <v/>
      </c>
      <c r="W2108" s="11" t="str">
        <f>IF(INDEX(Manual_Review!$H$6:$H$238,U2108)="","",INDEX(Manual_Review!$H$6:$H$238,U2108))</f>
        <v/>
      </c>
      <c r="X2108" s="5" t="str">
        <f>IF(INDEX(Manual_Review!$I$6:$I$238,U2108)="","",INDEX(Manual_Review!$I$6:$I$238,U2108))</f>
        <v/>
      </c>
      <c r="Y2108" s="5" t="s">
        <v>2859</v>
      </c>
    </row>
    <row r="2109" spans="1:25" ht="38.25">
      <c r="A2109" s="5" t="s">
        <v>7222</v>
      </c>
      <c r="B2109" s="5" t="s">
        <v>1533</v>
      </c>
      <c r="C2109" s="5" t="s">
        <v>1534</v>
      </c>
      <c r="D2109" s="5" t="s">
        <v>118</v>
      </c>
      <c r="E2109" s="5" t="s">
        <v>2788</v>
      </c>
      <c r="F2109" s="5" t="s">
        <v>2758</v>
      </c>
      <c r="G2109" s="5">
        <v>1</v>
      </c>
      <c r="H2109" s="5" t="s">
        <v>2854</v>
      </c>
      <c r="I2109" s="5" t="str">
        <f>IF(INDEX(Manual_Review!$R$6:$R$238,U2109)="","",INDEX(Manual_Review!$R$6:$R$238,U2109))</f>
        <v/>
      </c>
      <c r="J2109" s="5" t="str">
        <f t="shared" si="64"/>
        <v>AI provisional</v>
      </c>
      <c r="K2109" s="5" t="str">
        <f t="shared" si="65"/>
        <v>Y</v>
      </c>
      <c r="L2109" s="5" t="s">
        <v>1541</v>
      </c>
      <c r="M2109" s="5" t="s">
        <v>7223</v>
      </c>
      <c r="N2109" s="5" t="s">
        <v>7209</v>
      </c>
      <c r="O2109" s="5" t="s">
        <v>3067</v>
      </c>
      <c r="P2109" s="5" t="s">
        <v>2858</v>
      </c>
      <c r="Q2109" s="11">
        <v>46306.5</v>
      </c>
      <c r="R2109" s="6"/>
      <c r="S2109" s="6"/>
      <c r="T2109" s="6"/>
      <c r="U2109" s="5">
        <f>MATCH(B2109,Manual_Review!$A$6:$A$238,0)</f>
        <v>132</v>
      </c>
      <c r="V2109" s="5" t="str">
        <f>IF(INDEX(Manual_Review!$G$6:$G$238,U2109)="","",INDEX(Manual_Review!$G$6:$G$238,U2109))</f>
        <v/>
      </c>
      <c r="W2109" s="11" t="str">
        <f>IF(INDEX(Manual_Review!$H$6:$H$238,U2109)="","",INDEX(Manual_Review!$H$6:$H$238,U2109))</f>
        <v/>
      </c>
      <c r="X2109" s="5" t="str">
        <f>IF(INDEX(Manual_Review!$I$6:$I$238,U2109)="","",INDEX(Manual_Review!$I$6:$I$238,U2109))</f>
        <v/>
      </c>
      <c r="Y2109" s="5" t="s">
        <v>2859</v>
      </c>
    </row>
    <row r="2110" spans="1:25" ht="38.25">
      <c r="A2110" s="5" t="s">
        <v>7224</v>
      </c>
      <c r="B2110" s="5" t="s">
        <v>1533</v>
      </c>
      <c r="C2110" s="5" t="s">
        <v>1534</v>
      </c>
      <c r="D2110" s="5" t="s">
        <v>118</v>
      </c>
      <c r="E2110" s="5" t="s">
        <v>2789</v>
      </c>
      <c r="F2110" s="5" t="s">
        <v>2758</v>
      </c>
      <c r="G2110" s="5">
        <v>1</v>
      </c>
      <c r="H2110" s="5" t="s">
        <v>2854</v>
      </c>
      <c r="I2110" s="5" t="str">
        <f>IF(INDEX(Manual_Review!$S$6:$S$238,U2110)="","",INDEX(Manual_Review!$S$6:$S$238,U2110))</f>
        <v/>
      </c>
      <c r="J2110" s="5" t="str">
        <f t="shared" si="64"/>
        <v>AI provisional</v>
      </c>
      <c r="K2110" s="5" t="str">
        <f t="shared" si="65"/>
        <v>Y</v>
      </c>
      <c r="L2110" s="5" t="s">
        <v>1541</v>
      </c>
      <c r="M2110" s="5" t="s">
        <v>7225</v>
      </c>
      <c r="N2110" s="5" t="s">
        <v>7209</v>
      </c>
      <c r="O2110" s="5" t="s">
        <v>3178</v>
      </c>
      <c r="P2110" s="5" t="s">
        <v>2858</v>
      </c>
      <c r="Q2110" s="11">
        <v>46306.5</v>
      </c>
      <c r="R2110" s="6"/>
      <c r="S2110" s="6"/>
      <c r="T2110" s="6"/>
      <c r="U2110" s="5">
        <f>MATCH(B2110,Manual_Review!$A$6:$A$238,0)</f>
        <v>132</v>
      </c>
      <c r="V2110" s="5" t="str">
        <f>IF(INDEX(Manual_Review!$G$6:$G$238,U2110)="","",INDEX(Manual_Review!$G$6:$G$238,U2110))</f>
        <v/>
      </c>
      <c r="W2110" s="11" t="str">
        <f>IF(INDEX(Manual_Review!$H$6:$H$238,U2110)="","",INDEX(Manual_Review!$H$6:$H$238,U2110))</f>
        <v/>
      </c>
      <c r="X2110" s="5" t="str">
        <f>IF(INDEX(Manual_Review!$I$6:$I$238,U2110)="","",INDEX(Manual_Review!$I$6:$I$238,U2110))</f>
        <v/>
      </c>
      <c r="Y2110" s="5" t="s">
        <v>2859</v>
      </c>
    </row>
    <row r="2111" spans="1:25" ht="38.25">
      <c r="A2111" s="5" t="s">
        <v>7226</v>
      </c>
      <c r="B2111" s="5" t="s">
        <v>1533</v>
      </c>
      <c r="C2111" s="5" t="s">
        <v>1534</v>
      </c>
      <c r="D2111" s="5" t="s">
        <v>118</v>
      </c>
      <c r="E2111" s="5" t="s">
        <v>2790</v>
      </c>
      <c r="F2111" s="5" t="s">
        <v>2760</v>
      </c>
      <c r="G2111" s="5">
        <v>1</v>
      </c>
      <c r="H2111" s="5" t="s">
        <v>2854</v>
      </c>
      <c r="I2111" s="5" t="str">
        <f>IF(INDEX(Manual_Review!$T$6:$T$238,U2111)="","",INDEX(Manual_Review!$T$6:$T$238,U2111))</f>
        <v/>
      </c>
      <c r="J2111" s="5" t="str">
        <f t="shared" si="64"/>
        <v>AI provisional</v>
      </c>
      <c r="K2111" s="5" t="str">
        <f t="shared" si="65"/>
        <v>Y</v>
      </c>
      <c r="L2111" s="5" t="s">
        <v>1541</v>
      </c>
      <c r="M2111" s="5" t="s">
        <v>7227</v>
      </c>
      <c r="N2111" s="5" t="s">
        <v>7209</v>
      </c>
      <c r="O2111" s="5" t="s">
        <v>2976</v>
      </c>
      <c r="P2111" s="5" t="s">
        <v>2858</v>
      </c>
      <c r="Q2111" s="11">
        <v>46306.5</v>
      </c>
      <c r="R2111" s="6"/>
      <c r="S2111" s="6"/>
      <c r="T2111" s="6"/>
      <c r="U2111" s="5">
        <f>MATCH(B2111,Manual_Review!$A$6:$A$238,0)</f>
        <v>132</v>
      </c>
      <c r="V2111" s="5" t="str">
        <f>IF(INDEX(Manual_Review!$G$6:$G$238,U2111)="","",INDEX(Manual_Review!$G$6:$G$238,U2111))</f>
        <v/>
      </c>
      <c r="W2111" s="11" t="str">
        <f>IF(INDEX(Manual_Review!$H$6:$H$238,U2111)="","",INDEX(Manual_Review!$H$6:$H$238,U2111))</f>
        <v/>
      </c>
      <c r="X2111" s="5" t="str">
        <f>IF(INDEX(Manual_Review!$I$6:$I$238,U2111)="","",INDEX(Manual_Review!$I$6:$I$238,U2111))</f>
        <v/>
      </c>
      <c r="Y2111" s="5" t="s">
        <v>2859</v>
      </c>
    </row>
    <row r="2112" spans="1:25" ht="38.25">
      <c r="A2112" s="5" t="s">
        <v>7228</v>
      </c>
      <c r="B2112" s="5" t="s">
        <v>1533</v>
      </c>
      <c r="C2112" s="5" t="s">
        <v>1534</v>
      </c>
      <c r="D2112" s="5" t="s">
        <v>118</v>
      </c>
      <c r="E2112" s="5" t="s">
        <v>2791</v>
      </c>
      <c r="F2112" s="5" t="s">
        <v>2760</v>
      </c>
      <c r="G2112" s="5">
        <v>1</v>
      </c>
      <c r="H2112" s="5" t="s">
        <v>2854</v>
      </c>
      <c r="I2112" s="5" t="str">
        <f>IF(INDEX(Manual_Review!$U$6:$U$238,U2112)="","",INDEX(Manual_Review!$U$6:$U$238,U2112))</f>
        <v/>
      </c>
      <c r="J2112" s="5" t="str">
        <f t="shared" si="64"/>
        <v>AI provisional</v>
      </c>
      <c r="K2112" s="5" t="str">
        <f t="shared" si="65"/>
        <v>Y</v>
      </c>
      <c r="L2112" s="5" t="s">
        <v>1541</v>
      </c>
      <c r="M2112" s="5" t="s">
        <v>7229</v>
      </c>
      <c r="N2112" s="5" t="s">
        <v>7209</v>
      </c>
      <c r="O2112" s="5" t="s">
        <v>3380</v>
      </c>
      <c r="P2112" s="5" t="s">
        <v>2858</v>
      </c>
      <c r="Q2112" s="11">
        <v>46306.5</v>
      </c>
      <c r="R2112" s="6"/>
      <c r="S2112" s="6"/>
      <c r="T2112" s="6"/>
      <c r="U2112" s="5">
        <f>MATCH(B2112,Manual_Review!$A$6:$A$238,0)</f>
        <v>132</v>
      </c>
      <c r="V2112" s="5" t="str">
        <f>IF(INDEX(Manual_Review!$G$6:$G$238,U2112)="","",INDEX(Manual_Review!$G$6:$G$238,U2112))</f>
        <v/>
      </c>
      <c r="W2112" s="11" t="str">
        <f>IF(INDEX(Manual_Review!$H$6:$H$238,U2112)="","",INDEX(Manual_Review!$H$6:$H$238,U2112))</f>
        <v/>
      </c>
      <c r="X2112" s="5" t="str">
        <f>IF(INDEX(Manual_Review!$I$6:$I$238,U2112)="","",INDEX(Manual_Review!$I$6:$I$238,U2112))</f>
        <v/>
      </c>
      <c r="Y2112" s="5" t="s">
        <v>2859</v>
      </c>
    </row>
    <row r="2113" spans="1:25" ht="38.25">
      <c r="A2113" s="5" t="s">
        <v>7230</v>
      </c>
      <c r="B2113" s="5" t="s">
        <v>1533</v>
      </c>
      <c r="C2113" s="5" t="s">
        <v>1534</v>
      </c>
      <c r="D2113" s="5" t="s">
        <v>118</v>
      </c>
      <c r="E2113" s="5" t="s">
        <v>2792</v>
      </c>
      <c r="F2113" s="5" t="s">
        <v>2762</v>
      </c>
      <c r="G2113" s="5">
        <v>1</v>
      </c>
      <c r="H2113" s="5" t="s">
        <v>2864</v>
      </c>
      <c r="I2113" s="5" t="str">
        <f>IF(INDEX(Manual_Review!$V$6:$V$238,U2113)="","",INDEX(Manual_Review!$V$6:$V$238,U2113))</f>
        <v/>
      </c>
      <c r="J2113" s="5" t="str">
        <f t="shared" si="64"/>
        <v>AI provisional</v>
      </c>
      <c r="K2113" s="5" t="str">
        <f t="shared" si="65"/>
        <v>U</v>
      </c>
      <c r="L2113" s="5" t="s">
        <v>1541</v>
      </c>
      <c r="M2113" s="5" t="s">
        <v>7231</v>
      </c>
      <c r="N2113" s="5" t="s">
        <v>7209</v>
      </c>
      <c r="O2113" s="5" t="s">
        <v>2891</v>
      </c>
      <c r="P2113" s="5" t="s">
        <v>2858</v>
      </c>
      <c r="Q2113" s="11">
        <v>46306.5</v>
      </c>
      <c r="R2113" s="6"/>
      <c r="S2113" s="6"/>
      <c r="T2113" s="6"/>
      <c r="U2113" s="5">
        <f>MATCH(B2113,Manual_Review!$A$6:$A$238,0)</f>
        <v>132</v>
      </c>
      <c r="V2113" s="5" t="str">
        <f>IF(INDEX(Manual_Review!$G$6:$G$238,U2113)="","",INDEX(Manual_Review!$G$6:$G$238,U2113))</f>
        <v/>
      </c>
      <c r="W2113" s="11" t="str">
        <f>IF(INDEX(Manual_Review!$H$6:$H$238,U2113)="","",INDEX(Manual_Review!$H$6:$H$238,U2113))</f>
        <v/>
      </c>
      <c r="X2113" s="5" t="str">
        <f>IF(INDEX(Manual_Review!$I$6:$I$238,U2113)="","",INDEX(Manual_Review!$I$6:$I$238,U2113))</f>
        <v/>
      </c>
      <c r="Y2113" s="5" t="s">
        <v>2859</v>
      </c>
    </row>
    <row r="2114" spans="1:25" ht="38.25">
      <c r="A2114" s="5" t="s">
        <v>7232</v>
      </c>
      <c r="B2114" s="5" t="s">
        <v>1533</v>
      </c>
      <c r="C2114" s="5" t="s">
        <v>1534</v>
      </c>
      <c r="D2114" s="5" t="s">
        <v>118</v>
      </c>
      <c r="E2114" s="5" t="s">
        <v>2793</v>
      </c>
      <c r="F2114" s="5" t="s">
        <v>2762</v>
      </c>
      <c r="G2114" s="5">
        <v>1</v>
      </c>
      <c r="H2114" s="5" t="s">
        <v>2864</v>
      </c>
      <c r="I2114" s="5" t="str">
        <f>IF(INDEX(Manual_Review!$W$6:$W$238,U2114)="","",INDEX(Manual_Review!$W$6:$W$238,U2114))</f>
        <v/>
      </c>
      <c r="J2114" s="5" t="str">
        <f t="shared" si="64"/>
        <v>AI provisional</v>
      </c>
      <c r="K2114" s="5" t="str">
        <f t="shared" si="65"/>
        <v>U</v>
      </c>
      <c r="L2114" s="5" t="s">
        <v>1541</v>
      </c>
      <c r="M2114" s="5" t="s">
        <v>7233</v>
      </c>
      <c r="N2114" s="5" t="s">
        <v>7209</v>
      </c>
      <c r="O2114" s="5" t="s">
        <v>2893</v>
      </c>
      <c r="P2114" s="5" t="s">
        <v>2858</v>
      </c>
      <c r="Q2114" s="11">
        <v>46306.5</v>
      </c>
      <c r="R2114" s="6"/>
      <c r="S2114" s="6"/>
      <c r="T2114" s="6"/>
      <c r="U2114" s="5">
        <f>MATCH(B2114,Manual_Review!$A$6:$A$238,0)</f>
        <v>132</v>
      </c>
      <c r="V2114" s="5" t="str">
        <f>IF(INDEX(Manual_Review!$G$6:$G$238,U2114)="","",INDEX(Manual_Review!$G$6:$G$238,U2114))</f>
        <v/>
      </c>
      <c r="W2114" s="11" t="str">
        <f>IF(INDEX(Manual_Review!$H$6:$H$238,U2114)="","",INDEX(Manual_Review!$H$6:$H$238,U2114))</f>
        <v/>
      </c>
      <c r="X2114" s="5" t="str">
        <f>IF(INDEX(Manual_Review!$I$6:$I$238,U2114)="","",INDEX(Manual_Review!$I$6:$I$238,U2114))</f>
        <v/>
      </c>
      <c r="Y2114" s="5" t="s">
        <v>2859</v>
      </c>
    </row>
    <row r="2115" spans="1:25" ht="38.25">
      <c r="A2115" s="5" t="s">
        <v>7234</v>
      </c>
      <c r="B2115" s="5" t="s">
        <v>1533</v>
      </c>
      <c r="C2115" s="5" t="s">
        <v>1534</v>
      </c>
      <c r="D2115" s="5" t="s">
        <v>118</v>
      </c>
      <c r="E2115" s="5" t="s">
        <v>2794</v>
      </c>
      <c r="F2115" s="5" t="s">
        <v>2764</v>
      </c>
      <c r="G2115" s="5">
        <v>1</v>
      </c>
      <c r="H2115" s="5" t="s">
        <v>2854</v>
      </c>
      <c r="I2115" s="5" t="str">
        <f>IF(INDEX(Manual_Review!$X$6:$X$238,U2115)="","",INDEX(Manual_Review!$X$6:$X$238,U2115))</f>
        <v/>
      </c>
      <c r="J2115" s="5" t="str">
        <f t="shared" si="64"/>
        <v>AI provisional</v>
      </c>
      <c r="K2115" s="5" t="str">
        <f t="shared" si="65"/>
        <v>Y</v>
      </c>
      <c r="L2115" s="5" t="s">
        <v>1541</v>
      </c>
      <c r="M2115" s="5" t="s">
        <v>7235</v>
      </c>
      <c r="N2115" s="5" t="s">
        <v>7209</v>
      </c>
      <c r="O2115" s="5" t="s">
        <v>2984</v>
      </c>
      <c r="P2115" s="5" t="s">
        <v>2858</v>
      </c>
      <c r="Q2115" s="11">
        <v>46306.5</v>
      </c>
      <c r="R2115" s="6"/>
      <c r="S2115" s="6"/>
      <c r="T2115" s="6"/>
      <c r="U2115" s="5">
        <f>MATCH(B2115,Manual_Review!$A$6:$A$238,0)</f>
        <v>132</v>
      </c>
      <c r="V2115" s="5" t="str">
        <f>IF(INDEX(Manual_Review!$G$6:$G$238,U2115)="","",INDEX(Manual_Review!$G$6:$G$238,U2115))</f>
        <v/>
      </c>
      <c r="W2115" s="11" t="str">
        <f>IF(INDEX(Manual_Review!$H$6:$H$238,U2115)="","",INDEX(Manual_Review!$H$6:$H$238,U2115))</f>
        <v/>
      </c>
      <c r="X2115" s="5" t="str">
        <f>IF(INDEX(Manual_Review!$I$6:$I$238,U2115)="","",INDEX(Manual_Review!$I$6:$I$238,U2115))</f>
        <v/>
      </c>
      <c r="Y2115" s="5" t="s">
        <v>2859</v>
      </c>
    </row>
    <row r="2116" spans="1:25" ht="38.25">
      <c r="A2116" s="5" t="s">
        <v>7236</v>
      </c>
      <c r="B2116" s="5" t="s">
        <v>1533</v>
      </c>
      <c r="C2116" s="5" t="s">
        <v>1534</v>
      </c>
      <c r="D2116" s="5" t="s">
        <v>118</v>
      </c>
      <c r="E2116" s="5" t="s">
        <v>2795</v>
      </c>
      <c r="F2116" s="5" t="s">
        <v>2764</v>
      </c>
      <c r="G2116" s="5">
        <v>1</v>
      </c>
      <c r="H2116" s="5" t="s">
        <v>2864</v>
      </c>
      <c r="I2116" s="5" t="str">
        <f>IF(INDEX(Manual_Review!$Y$6:$Y$238,U2116)="","",INDEX(Manual_Review!$Y$6:$Y$238,U2116))</f>
        <v/>
      </c>
      <c r="J2116" s="5" t="str">
        <f t="shared" si="64"/>
        <v>AI provisional</v>
      </c>
      <c r="K2116" s="5" t="str">
        <f t="shared" si="65"/>
        <v>U</v>
      </c>
      <c r="L2116" s="5" t="s">
        <v>1541</v>
      </c>
      <c r="M2116" s="5" t="s">
        <v>7237</v>
      </c>
      <c r="N2116" s="5" t="s">
        <v>7209</v>
      </c>
      <c r="O2116" s="5" t="s">
        <v>2897</v>
      </c>
      <c r="P2116" s="5" t="s">
        <v>2858</v>
      </c>
      <c r="Q2116" s="11">
        <v>46306.5</v>
      </c>
      <c r="R2116" s="6"/>
      <c r="S2116" s="6"/>
      <c r="T2116" s="6"/>
      <c r="U2116" s="5">
        <f>MATCH(B2116,Manual_Review!$A$6:$A$238,0)</f>
        <v>132</v>
      </c>
      <c r="V2116" s="5" t="str">
        <f>IF(INDEX(Manual_Review!$G$6:$G$238,U2116)="","",INDEX(Manual_Review!$G$6:$G$238,U2116))</f>
        <v/>
      </c>
      <c r="W2116" s="11" t="str">
        <f>IF(INDEX(Manual_Review!$H$6:$H$238,U2116)="","",INDEX(Manual_Review!$H$6:$H$238,U2116))</f>
        <v/>
      </c>
      <c r="X2116" s="5" t="str">
        <f>IF(INDEX(Manual_Review!$I$6:$I$238,U2116)="","",INDEX(Manual_Review!$I$6:$I$238,U2116))</f>
        <v/>
      </c>
      <c r="Y2116" s="5" t="s">
        <v>2859</v>
      </c>
    </row>
    <row r="2117" spans="1:25" ht="38.25">
      <c r="A2117" s="5" t="s">
        <v>7238</v>
      </c>
      <c r="B2117" s="5" t="s">
        <v>1533</v>
      </c>
      <c r="C2117" s="5" t="s">
        <v>1534</v>
      </c>
      <c r="D2117" s="5" t="s">
        <v>118</v>
      </c>
      <c r="E2117" s="5" t="s">
        <v>2796</v>
      </c>
      <c r="F2117" s="5" t="s">
        <v>2764</v>
      </c>
      <c r="G2117" s="5">
        <v>1</v>
      </c>
      <c r="H2117" s="5" t="s">
        <v>2854</v>
      </c>
      <c r="I2117" s="5" t="str">
        <f>IF(INDEX(Manual_Review!$Z$6:$Z$238,U2117)="","",INDEX(Manual_Review!$Z$6:$Z$238,U2117))</f>
        <v/>
      </c>
      <c r="J2117" s="5" t="str">
        <f t="shared" si="64"/>
        <v>AI provisional</v>
      </c>
      <c r="K2117" s="5" t="str">
        <f t="shared" si="65"/>
        <v>Y</v>
      </c>
      <c r="L2117" s="5" t="s">
        <v>1541</v>
      </c>
      <c r="M2117" s="5" t="s">
        <v>7239</v>
      </c>
      <c r="N2117" s="5" t="s">
        <v>7209</v>
      </c>
      <c r="O2117" s="5" t="s">
        <v>3085</v>
      </c>
      <c r="P2117" s="5" t="s">
        <v>2858</v>
      </c>
      <c r="Q2117" s="11">
        <v>46306.5</v>
      </c>
      <c r="R2117" s="6"/>
      <c r="S2117" s="6"/>
      <c r="T2117" s="6"/>
      <c r="U2117" s="5">
        <f>MATCH(B2117,Manual_Review!$A$6:$A$238,0)</f>
        <v>132</v>
      </c>
      <c r="V2117" s="5" t="str">
        <f>IF(INDEX(Manual_Review!$G$6:$G$238,U2117)="","",INDEX(Manual_Review!$G$6:$G$238,U2117))</f>
        <v/>
      </c>
      <c r="W2117" s="11" t="str">
        <f>IF(INDEX(Manual_Review!$H$6:$H$238,U2117)="","",INDEX(Manual_Review!$H$6:$H$238,U2117))</f>
        <v/>
      </c>
      <c r="X2117" s="5" t="str">
        <f>IF(INDEX(Manual_Review!$I$6:$I$238,U2117)="","",INDEX(Manual_Review!$I$6:$I$238,U2117))</f>
        <v/>
      </c>
      <c r="Y2117" s="5" t="s">
        <v>2859</v>
      </c>
    </row>
    <row r="2118" spans="1:25" ht="25.5">
      <c r="A2118" s="5" t="s">
        <v>7240</v>
      </c>
      <c r="B2118" s="5" t="s">
        <v>1543</v>
      </c>
      <c r="C2118" s="5" t="s">
        <v>1544</v>
      </c>
      <c r="D2118" s="5" t="s">
        <v>118</v>
      </c>
      <c r="E2118" s="5" t="s">
        <v>2781</v>
      </c>
      <c r="F2118" s="5" t="s">
        <v>2754</v>
      </c>
      <c r="G2118" s="5">
        <v>1</v>
      </c>
      <c r="H2118" s="5" t="s">
        <v>2854</v>
      </c>
      <c r="I2118" s="5" t="str">
        <f>IF(INDEX(Manual_Review!$K$6:$K$238,U2118)="","",INDEX(Manual_Review!$K$6:$K$238,U2118))</f>
        <v/>
      </c>
      <c r="J2118" s="5" t="str">
        <f t="shared" ref="J2118:J2181" si="66">IF(G2118=0,"Not applicable",IF(I2118="","AI provisional",IF(AND(OR(I2118="Y",I2118="N",I2118="U",I2118="X"),V2118&lt;&gt;"",ISNUMBER(W2118),W2118&gt;0,X2118="Confirmed",R2118&lt;&gt;"",S2118&lt;&gt;"",T2118&lt;&gt;""),"Human valid","Evidence needed")))</f>
        <v>AI provisional</v>
      </c>
      <c r="K2118" s="5" t="str">
        <f t="shared" ref="K2118:K2181" si="67">IF(G2118=0,"N/A",IF(I2118="",H2118,IF(J2118="Human valid",I2118,"U")))</f>
        <v>Y</v>
      </c>
      <c r="L2118" s="5" t="s">
        <v>1552</v>
      </c>
      <c r="M2118" s="5" t="s">
        <v>7241</v>
      </c>
      <c r="N2118" s="5" t="s">
        <v>7242</v>
      </c>
      <c r="O2118" s="5" t="s">
        <v>2857</v>
      </c>
      <c r="P2118" s="5" t="s">
        <v>2858</v>
      </c>
      <c r="Q2118" s="11">
        <v>46306.5</v>
      </c>
      <c r="R2118" s="6"/>
      <c r="S2118" s="6"/>
      <c r="T2118" s="6"/>
      <c r="U2118" s="5">
        <f>MATCH(B2118,Manual_Review!$A$6:$A$238,0)</f>
        <v>133</v>
      </c>
      <c r="V2118" s="5" t="str">
        <f>IF(INDEX(Manual_Review!$G$6:$G$238,U2118)="","",INDEX(Manual_Review!$G$6:$G$238,U2118))</f>
        <v/>
      </c>
      <c r="W2118" s="11" t="str">
        <f>IF(INDEX(Manual_Review!$H$6:$H$238,U2118)="","",INDEX(Manual_Review!$H$6:$H$238,U2118))</f>
        <v/>
      </c>
      <c r="X2118" s="5" t="str">
        <f>IF(INDEX(Manual_Review!$I$6:$I$238,U2118)="","",INDEX(Manual_Review!$I$6:$I$238,U2118))</f>
        <v/>
      </c>
      <c r="Y2118" s="5" t="s">
        <v>2859</v>
      </c>
    </row>
    <row r="2119" spans="1:25" ht="25.5">
      <c r="A2119" s="5" t="s">
        <v>7243</v>
      </c>
      <c r="B2119" s="5" t="s">
        <v>1543</v>
      </c>
      <c r="C2119" s="5" t="s">
        <v>1544</v>
      </c>
      <c r="D2119" s="5" t="s">
        <v>118</v>
      </c>
      <c r="E2119" s="5" t="s">
        <v>2782</v>
      </c>
      <c r="F2119" s="5" t="s">
        <v>2754</v>
      </c>
      <c r="G2119" s="5">
        <v>1</v>
      </c>
      <c r="H2119" s="5" t="s">
        <v>2854</v>
      </c>
      <c r="I2119" s="5" t="str">
        <f>IF(INDEX(Manual_Review!$L$6:$L$238,U2119)="","",INDEX(Manual_Review!$L$6:$L$238,U2119))</f>
        <v/>
      </c>
      <c r="J2119" s="5" t="str">
        <f t="shared" si="66"/>
        <v>AI provisional</v>
      </c>
      <c r="K2119" s="5" t="str">
        <f t="shared" si="67"/>
        <v>Y</v>
      </c>
      <c r="L2119" s="5" t="s">
        <v>1552</v>
      </c>
      <c r="M2119" s="5" t="s">
        <v>7244</v>
      </c>
      <c r="N2119" s="5" t="s">
        <v>7242</v>
      </c>
      <c r="O2119" s="5" t="s">
        <v>2862</v>
      </c>
      <c r="P2119" s="5" t="s">
        <v>2858</v>
      </c>
      <c r="Q2119" s="11">
        <v>46306.5</v>
      </c>
      <c r="R2119" s="6"/>
      <c r="S2119" s="6"/>
      <c r="T2119" s="6"/>
      <c r="U2119" s="5">
        <f>MATCH(B2119,Manual_Review!$A$6:$A$238,0)</f>
        <v>133</v>
      </c>
      <c r="V2119" s="5" t="str">
        <f>IF(INDEX(Manual_Review!$G$6:$G$238,U2119)="","",INDEX(Manual_Review!$G$6:$G$238,U2119))</f>
        <v/>
      </c>
      <c r="W2119" s="11" t="str">
        <f>IF(INDEX(Manual_Review!$H$6:$H$238,U2119)="","",INDEX(Manual_Review!$H$6:$H$238,U2119))</f>
        <v/>
      </c>
      <c r="X2119" s="5" t="str">
        <f>IF(INDEX(Manual_Review!$I$6:$I$238,U2119)="","",INDEX(Manual_Review!$I$6:$I$238,U2119))</f>
        <v/>
      </c>
      <c r="Y2119" s="5" t="s">
        <v>2859</v>
      </c>
    </row>
    <row r="2120" spans="1:25" ht="25.5">
      <c r="A2120" s="5" t="s">
        <v>7245</v>
      </c>
      <c r="B2120" s="5" t="s">
        <v>1543</v>
      </c>
      <c r="C2120" s="5" t="s">
        <v>1544</v>
      </c>
      <c r="D2120" s="5" t="s">
        <v>118</v>
      </c>
      <c r="E2120" s="5" t="s">
        <v>2783</v>
      </c>
      <c r="F2120" s="5" t="s">
        <v>2754</v>
      </c>
      <c r="G2120" s="5">
        <v>1</v>
      </c>
      <c r="H2120" s="5" t="s">
        <v>2854</v>
      </c>
      <c r="I2120" s="5" t="str">
        <f>IF(INDEX(Manual_Review!$M$6:$M$238,U2120)="","",INDEX(Manual_Review!$M$6:$M$238,U2120))</f>
        <v/>
      </c>
      <c r="J2120" s="5" t="str">
        <f t="shared" si="66"/>
        <v>AI provisional</v>
      </c>
      <c r="K2120" s="5" t="str">
        <f t="shared" si="67"/>
        <v>Y</v>
      </c>
      <c r="L2120" s="5" t="s">
        <v>1552</v>
      </c>
      <c r="M2120" s="5" t="s">
        <v>7246</v>
      </c>
      <c r="N2120" s="5" t="s">
        <v>7242</v>
      </c>
      <c r="O2120" s="5" t="s">
        <v>3133</v>
      </c>
      <c r="P2120" s="5" t="s">
        <v>2858</v>
      </c>
      <c r="Q2120" s="11">
        <v>46306.5</v>
      </c>
      <c r="R2120" s="6"/>
      <c r="S2120" s="6"/>
      <c r="T2120" s="6"/>
      <c r="U2120" s="5">
        <f>MATCH(B2120,Manual_Review!$A$6:$A$238,0)</f>
        <v>133</v>
      </c>
      <c r="V2120" s="5" t="str">
        <f>IF(INDEX(Manual_Review!$G$6:$G$238,U2120)="","",INDEX(Manual_Review!$G$6:$G$238,U2120))</f>
        <v/>
      </c>
      <c r="W2120" s="11" t="str">
        <f>IF(INDEX(Manual_Review!$H$6:$H$238,U2120)="","",INDEX(Manual_Review!$H$6:$H$238,U2120))</f>
        <v/>
      </c>
      <c r="X2120" s="5" t="str">
        <f>IF(INDEX(Manual_Review!$I$6:$I$238,U2120)="","",INDEX(Manual_Review!$I$6:$I$238,U2120))</f>
        <v/>
      </c>
      <c r="Y2120" s="5" t="s">
        <v>2859</v>
      </c>
    </row>
    <row r="2121" spans="1:25" ht="25.5">
      <c r="A2121" s="5" t="s">
        <v>7247</v>
      </c>
      <c r="B2121" s="5" t="s">
        <v>1543</v>
      </c>
      <c r="C2121" s="5" t="s">
        <v>1544</v>
      </c>
      <c r="D2121" s="5" t="s">
        <v>118</v>
      </c>
      <c r="E2121" s="5" t="s">
        <v>2784</v>
      </c>
      <c r="F2121" s="5" t="s">
        <v>2756</v>
      </c>
      <c r="G2121" s="5">
        <v>1</v>
      </c>
      <c r="H2121" s="5" t="s">
        <v>2854</v>
      </c>
      <c r="I2121" s="5" t="str">
        <f>IF(INDEX(Manual_Review!$N$6:$N$238,U2121)="","",INDEX(Manual_Review!$N$6:$N$238,U2121))</f>
        <v/>
      </c>
      <c r="J2121" s="5" t="str">
        <f t="shared" si="66"/>
        <v>AI provisional</v>
      </c>
      <c r="K2121" s="5" t="str">
        <f t="shared" si="67"/>
        <v>Y</v>
      </c>
      <c r="L2121" s="5" t="s">
        <v>1552</v>
      </c>
      <c r="M2121" s="5" t="s">
        <v>7248</v>
      </c>
      <c r="N2121" s="5" t="s">
        <v>7242</v>
      </c>
      <c r="O2121" s="5" t="s">
        <v>2963</v>
      </c>
      <c r="P2121" s="5" t="s">
        <v>2858</v>
      </c>
      <c r="Q2121" s="11">
        <v>46306.5</v>
      </c>
      <c r="R2121" s="6"/>
      <c r="S2121" s="6"/>
      <c r="T2121" s="6"/>
      <c r="U2121" s="5">
        <f>MATCH(B2121,Manual_Review!$A$6:$A$238,0)</f>
        <v>133</v>
      </c>
      <c r="V2121" s="5" t="str">
        <f>IF(INDEX(Manual_Review!$G$6:$G$238,U2121)="","",INDEX(Manual_Review!$G$6:$G$238,U2121))</f>
        <v/>
      </c>
      <c r="W2121" s="11" t="str">
        <f>IF(INDEX(Manual_Review!$H$6:$H$238,U2121)="","",INDEX(Manual_Review!$H$6:$H$238,U2121))</f>
        <v/>
      </c>
      <c r="X2121" s="5" t="str">
        <f>IF(INDEX(Manual_Review!$I$6:$I$238,U2121)="","",INDEX(Manual_Review!$I$6:$I$238,U2121))</f>
        <v/>
      </c>
      <c r="Y2121" s="5" t="s">
        <v>2859</v>
      </c>
    </row>
    <row r="2122" spans="1:25" ht="25.5">
      <c r="A2122" s="5" t="s">
        <v>7249</v>
      </c>
      <c r="B2122" s="5" t="s">
        <v>1543</v>
      </c>
      <c r="C2122" s="5" t="s">
        <v>1544</v>
      </c>
      <c r="D2122" s="5" t="s">
        <v>118</v>
      </c>
      <c r="E2122" s="5" t="s">
        <v>2785</v>
      </c>
      <c r="F2122" s="5" t="s">
        <v>2756</v>
      </c>
      <c r="G2122" s="5">
        <v>1</v>
      </c>
      <c r="H2122" s="5" t="s">
        <v>2854</v>
      </c>
      <c r="I2122" s="5" t="str">
        <f>IF(INDEX(Manual_Review!$O$6:$O$238,U2122)="","",INDEX(Manual_Review!$O$6:$O$238,U2122))</f>
        <v/>
      </c>
      <c r="J2122" s="5" t="str">
        <f t="shared" si="66"/>
        <v>AI provisional</v>
      </c>
      <c r="K2122" s="5" t="str">
        <f t="shared" si="67"/>
        <v>Y</v>
      </c>
      <c r="L2122" s="5" t="s">
        <v>1552</v>
      </c>
      <c r="M2122" s="5" t="s">
        <v>7250</v>
      </c>
      <c r="N2122" s="5" t="s">
        <v>7242</v>
      </c>
      <c r="O2122" s="5" t="s">
        <v>3138</v>
      </c>
      <c r="P2122" s="5" t="s">
        <v>2858</v>
      </c>
      <c r="Q2122" s="11">
        <v>46306.5</v>
      </c>
      <c r="R2122" s="6"/>
      <c r="S2122" s="6"/>
      <c r="T2122" s="6"/>
      <c r="U2122" s="5">
        <f>MATCH(B2122,Manual_Review!$A$6:$A$238,0)</f>
        <v>133</v>
      </c>
      <c r="V2122" s="5" t="str">
        <f>IF(INDEX(Manual_Review!$G$6:$G$238,U2122)="","",INDEX(Manual_Review!$G$6:$G$238,U2122))</f>
        <v/>
      </c>
      <c r="W2122" s="11" t="str">
        <f>IF(INDEX(Manual_Review!$H$6:$H$238,U2122)="","",INDEX(Manual_Review!$H$6:$H$238,U2122))</f>
        <v/>
      </c>
      <c r="X2122" s="5" t="str">
        <f>IF(INDEX(Manual_Review!$I$6:$I$238,U2122)="","",INDEX(Manual_Review!$I$6:$I$238,U2122))</f>
        <v/>
      </c>
      <c r="Y2122" s="5" t="s">
        <v>2859</v>
      </c>
    </row>
    <row r="2123" spans="1:25" ht="25.5">
      <c r="A2123" s="5" t="s">
        <v>7251</v>
      </c>
      <c r="B2123" s="5" t="s">
        <v>1543</v>
      </c>
      <c r="C2123" s="5" t="s">
        <v>1544</v>
      </c>
      <c r="D2123" s="5" t="s">
        <v>118</v>
      </c>
      <c r="E2123" s="5" t="s">
        <v>2786</v>
      </c>
      <c r="F2123" s="5" t="s">
        <v>2756</v>
      </c>
      <c r="G2123" s="5">
        <v>1</v>
      </c>
      <c r="H2123" s="5" t="s">
        <v>2864</v>
      </c>
      <c r="I2123" s="5" t="str">
        <f>IF(INDEX(Manual_Review!$P$6:$P$238,U2123)="","",INDEX(Manual_Review!$P$6:$P$238,U2123))</f>
        <v/>
      </c>
      <c r="J2123" s="5" t="str">
        <f t="shared" si="66"/>
        <v>AI provisional</v>
      </c>
      <c r="K2123" s="5" t="str">
        <f t="shared" si="67"/>
        <v>U</v>
      </c>
      <c r="L2123" s="5" t="s">
        <v>1552</v>
      </c>
      <c r="M2123" s="5" t="s">
        <v>7252</v>
      </c>
      <c r="N2123" s="5" t="s">
        <v>7242</v>
      </c>
      <c r="O2123" s="5" t="s">
        <v>2874</v>
      </c>
      <c r="P2123" s="5" t="s">
        <v>2858</v>
      </c>
      <c r="Q2123" s="11">
        <v>46306.5</v>
      </c>
      <c r="R2123" s="6"/>
      <c r="S2123" s="6"/>
      <c r="T2123" s="6"/>
      <c r="U2123" s="5">
        <f>MATCH(B2123,Manual_Review!$A$6:$A$238,0)</f>
        <v>133</v>
      </c>
      <c r="V2123" s="5" t="str">
        <f>IF(INDEX(Manual_Review!$G$6:$G$238,U2123)="","",INDEX(Manual_Review!$G$6:$G$238,U2123))</f>
        <v/>
      </c>
      <c r="W2123" s="11" t="str">
        <f>IF(INDEX(Manual_Review!$H$6:$H$238,U2123)="","",INDEX(Manual_Review!$H$6:$H$238,U2123))</f>
        <v/>
      </c>
      <c r="X2123" s="5" t="str">
        <f>IF(INDEX(Manual_Review!$I$6:$I$238,U2123)="","",INDEX(Manual_Review!$I$6:$I$238,U2123))</f>
        <v/>
      </c>
      <c r="Y2123" s="5" t="s">
        <v>2859</v>
      </c>
    </row>
    <row r="2124" spans="1:25" ht="25.5">
      <c r="A2124" s="5" t="s">
        <v>7253</v>
      </c>
      <c r="B2124" s="5" t="s">
        <v>1543</v>
      </c>
      <c r="C2124" s="5" t="s">
        <v>1544</v>
      </c>
      <c r="D2124" s="5" t="s">
        <v>118</v>
      </c>
      <c r="E2124" s="5" t="s">
        <v>2787</v>
      </c>
      <c r="F2124" s="5" t="s">
        <v>2758</v>
      </c>
      <c r="G2124" s="5">
        <v>1</v>
      </c>
      <c r="H2124" s="5" t="s">
        <v>2854</v>
      </c>
      <c r="I2124" s="5" t="str">
        <f>IF(INDEX(Manual_Review!$Q$6:$Q$238,U2124)="","",INDEX(Manual_Review!$Q$6:$Q$238,U2124))</f>
        <v/>
      </c>
      <c r="J2124" s="5" t="str">
        <f t="shared" si="66"/>
        <v>AI provisional</v>
      </c>
      <c r="K2124" s="5" t="str">
        <f t="shared" si="67"/>
        <v>Y</v>
      </c>
      <c r="L2124" s="5" t="s">
        <v>1552</v>
      </c>
      <c r="M2124" s="5" t="s">
        <v>7254</v>
      </c>
      <c r="N2124" s="5" t="s">
        <v>7242</v>
      </c>
      <c r="O2124" s="5" t="s">
        <v>2969</v>
      </c>
      <c r="P2124" s="5" t="s">
        <v>2858</v>
      </c>
      <c r="Q2124" s="11">
        <v>46306.5</v>
      </c>
      <c r="R2124" s="6"/>
      <c r="S2124" s="6"/>
      <c r="T2124" s="6"/>
      <c r="U2124" s="5">
        <f>MATCH(B2124,Manual_Review!$A$6:$A$238,0)</f>
        <v>133</v>
      </c>
      <c r="V2124" s="5" t="str">
        <f>IF(INDEX(Manual_Review!$G$6:$G$238,U2124)="","",INDEX(Manual_Review!$G$6:$G$238,U2124))</f>
        <v/>
      </c>
      <c r="W2124" s="11" t="str">
        <f>IF(INDEX(Manual_Review!$H$6:$H$238,U2124)="","",INDEX(Manual_Review!$H$6:$H$238,U2124))</f>
        <v/>
      </c>
      <c r="X2124" s="5" t="str">
        <f>IF(INDEX(Manual_Review!$I$6:$I$238,U2124)="","",INDEX(Manual_Review!$I$6:$I$238,U2124))</f>
        <v/>
      </c>
      <c r="Y2124" s="5" t="s">
        <v>2859</v>
      </c>
    </row>
    <row r="2125" spans="1:25" ht="25.5">
      <c r="A2125" s="5" t="s">
        <v>7255</v>
      </c>
      <c r="B2125" s="5" t="s">
        <v>1543</v>
      </c>
      <c r="C2125" s="5" t="s">
        <v>1544</v>
      </c>
      <c r="D2125" s="5" t="s">
        <v>118</v>
      </c>
      <c r="E2125" s="5" t="s">
        <v>2788</v>
      </c>
      <c r="F2125" s="5" t="s">
        <v>2758</v>
      </c>
      <c r="G2125" s="5">
        <v>1</v>
      </c>
      <c r="H2125" s="5" t="s">
        <v>2854</v>
      </c>
      <c r="I2125" s="5" t="str">
        <f>IF(INDEX(Manual_Review!$R$6:$R$238,U2125)="","",INDEX(Manual_Review!$R$6:$R$238,U2125))</f>
        <v/>
      </c>
      <c r="J2125" s="5" t="str">
        <f t="shared" si="66"/>
        <v>AI provisional</v>
      </c>
      <c r="K2125" s="5" t="str">
        <f t="shared" si="67"/>
        <v>Y</v>
      </c>
      <c r="L2125" s="5" t="s">
        <v>1552</v>
      </c>
      <c r="M2125" s="5" t="s">
        <v>7256</v>
      </c>
      <c r="N2125" s="5" t="s">
        <v>7242</v>
      </c>
      <c r="O2125" s="5" t="s">
        <v>3067</v>
      </c>
      <c r="P2125" s="5" t="s">
        <v>2858</v>
      </c>
      <c r="Q2125" s="11">
        <v>46306.5</v>
      </c>
      <c r="R2125" s="6"/>
      <c r="S2125" s="6"/>
      <c r="T2125" s="6"/>
      <c r="U2125" s="5">
        <f>MATCH(B2125,Manual_Review!$A$6:$A$238,0)</f>
        <v>133</v>
      </c>
      <c r="V2125" s="5" t="str">
        <f>IF(INDEX(Manual_Review!$G$6:$G$238,U2125)="","",INDEX(Manual_Review!$G$6:$G$238,U2125))</f>
        <v/>
      </c>
      <c r="W2125" s="11" t="str">
        <f>IF(INDEX(Manual_Review!$H$6:$H$238,U2125)="","",INDEX(Manual_Review!$H$6:$H$238,U2125))</f>
        <v/>
      </c>
      <c r="X2125" s="5" t="str">
        <f>IF(INDEX(Manual_Review!$I$6:$I$238,U2125)="","",INDEX(Manual_Review!$I$6:$I$238,U2125))</f>
        <v/>
      </c>
      <c r="Y2125" s="5" t="s">
        <v>2859</v>
      </c>
    </row>
    <row r="2126" spans="1:25" ht="25.5">
      <c r="A2126" s="5" t="s">
        <v>7257</v>
      </c>
      <c r="B2126" s="5" t="s">
        <v>1543</v>
      </c>
      <c r="C2126" s="5" t="s">
        <v>1544</v>
      </c>
      <c r="D2126" s="5" t="s">
        <v>118</v>
      </c>
      <c r="E2126" s="5" t="s">
        <v>2789</v>
      </c>
      <c r="F2126" s="5" t="s">
        <v>2758</v>
      </c>
      <c r="G2126" s="5">
        <v>1</v>
      </c>
      <c r="H2126" s="5" t="s">
        <v>2854</v>
      </c>
      <c r="I2126" s="5" t="str">
        <f>IF(INDEX(Manual_Review!$S$6:$S$238,U2126)="","",INDEX(Manual_Review!$S$6:$S$238,U2126))</f>
        <v/>
      </c>
      <c r="J2126" s="5" t="str">
        <f t="shared" si="66"/>
        <v>AI provisional</v>
      </c>
      <c r="K2126" s="5" t="str">
        <f t="shared" si="67"/>
        <v>Y</v>
      </c>
      <c r="L2126" s="5" t="s">
        <v>1552</v>
      </c>
      <c r="M2126" s="5" t="s">
        <v>7258</v>
      </c>
      <c r="N2126" s="5" t="s">
        <v>7242</v>
      </c>
      <c r="O2126" s="5" t="s">
        <v>3178</v>
      </c>
      <c r="P2126" s="5" t="s">
        <v>2858</v>
      </c>
      <c r="Q2126" s="11">
        <v>46306.5</v>
      </c>
      <c r="R2126" s="6"/>
      <c r="S2126" s="6"/>
      <c r="T2126" s="6"/>
      <c r="U2126" s="5">
        <f>MATCH(B2126,Manual_Review!$A$6:$A$238,0)</f>
        <v>133</v>
      </c>
      <c r="V2126" s="5" t="str">
        <f>IF(INDEX(Manual_Review!$G$6:$G$238,U2126)="","",INDEX(Manual_Review!$G$6:$G$238,U2126))</f>
        <v/>
      </c>
      <c r="W2126" s="11" t="str">
        <f>IF(INDEX(Manual_Review!$H$6:$H$238,U2126)="","",INDEX(Manual_Review!$H$6:$H$238,U2126))</f>
        <v/>
      </c>
      <c r="X2126" s="5" t="str">
        <f>IF(INDEX(Manual_Review!$I$6:$I$238,U2126)="","",INDEX(Manual_Review!$I$6:$I$238,U2126))</f>
        <v/>
      </c>
      <c r="Y2126" s="5" t="s">
        <v>2859</v>
      </c>
    </row>
    <row r="2127" spans="1:25" ht="25.5">
      <c r="A2127" s="5" t="s">
        <v>7259</v>
      </c>
      <c r="B2127" s="5" t="s">
        <v>1543</v>
      </c>
      <c r="C2127" s="5" t="s">
        <v>1544</v>
      </c>
      <c r="D2127" s="5" t="s">
        <v>118</v>
      </c>
      <c r="E2127" s="5" t="s">
        <v>2790</v>
      </c>
      <c r="F2127" s="5" t="s">
        <v>2760</v>
      </c>
      <c r="G2127" s="5">
        <v>1</v>
      </c>
      <c r="H2127" s="5" t="s">
        <v>2854</v>
      </c>
      <c r="I2127" s="5" t="str">
        <f>IF(INDEX(Manual_Review!$T$6:$T$238,U2127)="","",INDEX(Manual_Review!$T$6:$T$238,U2127))</f>
        <v/>
      </c>
      <c r="J2127" s="5" t="str">
        <f t="shared" si="66"/>
        <v>AI provisional</v>
      </c>
      <c r="K2127" s="5" t="str">
        <f t="shared" si="67"/>
        <v>Y</v>
      </c>
      <c r="L2127" s="5" t="s">
        <v>1552</v>
      </c>
      <c r="M2127" s="5" t="s">
        <v>7260</v>
      </c>
      <c r="N2127" s="5" t="s">
        <v>7242</v>
      </c>
      <c r="O2127" s="5" t="s">
        <v>2976</v>
      </c>
      <c r="P2127" s="5" t="s">
        <v>2858</v>
      </c>
      <c r="Q2127" s="11">
        <v>46306.5</v>
      </c>
      <c r="R2127" s="6"/>
      <c r="S2127" s="6"/>
      <c r="T2127" s="6"/>
      <c r="U2127" s="5">
        <f>MATCH(B2127,Manual_Review!$A$6:$A$238,0)</f>
        <v>133</v>
      </c>
      <c r="V2127" s="5" t="str">
        <f>IF(INDEX(Manual_Review!$G$6:$G$238,U2127)="","",INDEX(Manual_Review!$G$6:$G$238,U2127))</f>
        <v/>
      </c>
      <c r="W2127" s="11" t="str">
        <f>IF(INDEX(Manual_Review!$H$6:$H$238,U2127)="","",INDEX(Manual_Review!$H$6:$H$238,U2127))</f>
        <v/>
      </c>
      <c r="X2127" s="5" t="str">
        <f>IF(INDEX(Manual_Review!$I$6:$I$238,U2127)="","",INDEX(Manual_Review!$I$6:$I$238,U2127))</f>
        <v/>
      </c>
      <c r="Y2127" s="5" t="s">
        <v>2859</v>
      </c>
    </row>
    <row r="2128" spans="1:25" ht="25.5">
      <c r="A2128" s="5" t="s">
        <v>7261</v>
      </c>
      <c r="B2128" s="5" t="s">
        <v>1543</v>
      </c>
      <c r="C2128" s="5" t="s">
        <v>1544</v>
      </c>
      <c r="D2128" s="5" t="s">
        <v>118</v>
      </c>
      <c r="E2128" s="5" t="s">
        <v>2791</v>
      </c>
      <c r="F2128" s="5" t="s">
        <v>2760</v>
      </c>
      <c r="G2128" s="5">
        <v>1</v>
      </c>
      <c r="H2128" s="5" t="s">
        <v>2854</v>
      </c>
      <c r="I2128" s="5" t="str">
        <f>IF(INDEX(Manual_Review!$U$6:$U$238,U2128)="","",INDEX(Manual_Review!$U$6:$U$238,U2128))</f>
        <v/>
      </c>
      <c r="J2128" s="5" t="str">
        <f t="shared" si="66"/>
        <v>AI provisional</v>
      </c>
      <c r="K2128" s="5" t="str">
        <f t="shared" si="67"/>
        <v>Y</v>
      </c>
      <c r="L2128" s="5" t="s">
        <v>1552</v>
      </c>
      <c r="M2128" s="5" t="s">
        <v>7262</v>
      </c>
      <c r="N2128" s="5" t="s">
        <v>7242</v>
      </c>
      <c r="O2128" s="5" t="s">
        <v>3380</v>
      </c>
      <c r="P2128" s="5" t="s">
        <v>2858</v>
      </c>
      <c r="Q2128" s="11">
        <v>46306.5</v>
      </c>
      <c r="R2128" s="6"/>
      <c r="S2128" s="6"/>
      <c r="T2128" s="6"/>
      <c r="U2128" s="5">
        <f>MATCH(B2128,Manual_Review!$A$6:$A$238,0)</f>
        <v>133</v>
      </c>
      <c r="V2128" s="5" t="str">
        <f>IF(INDEX(Manual_Review!$G$6:$G$238,U2128)="","",INDEX(Manual_Review!$G$6:$G$238,U2128))</f>
        <v/>
      </c>
      <c r="W2128" s="11" t="str">
        <f>IF(INDEX(Manual_Review!$H$6:$H$238,U2128)="","",INDEX(Manual_Review!$H$6:$H$238,U2128))</f>
        <v/>
      </c>
      <c r="X2128" s="5" t="str">
        <f>IF(INDEX(Manual_Review!$I$6:$I$238,U2128)="","",INDEX(Manual_Review!$I$6:$I$238,U2128))</f>
        <v/>
      </c>
      <c r="Y2128" s="5" t="s">
        <v>2859</v>
      </c>
    </row>
    <row r="2129" spans="1:25" ht="25.5">
      <c r="A2129" s="5" t="s">
        <v>7263</v>
      </c>
      <c r="B2129" s="5" t="s">
        <v>1543</v>
      </c>
      <c r="C2129" s="5" t="s">
        <v>1544</v>
      </c>
      <c r="D2129" s="5" t="s">
        <v>118</v>
      </c>
      <c r="E2129" s="5" t="s">
        <v>2792</v>
      </c>
      <c r="F2129" s="5" t="s">
        <v>2762</v>
      </c>
      <c r="G2129" s="5">
        <v>1</v>
      </c>
      <c r="H2129" s="5" t="s">
        <v>2854</v>
      </c>
      <c r="I2129" s="5" t="str">
        <f>IF(INDEX(Manual_Review!$V$6:$V$238,U2129)="","",INDEX(Manual_Review!$V$6:$V$238,U2129))</f>
        <v/>
      </c>
      <c r="J2129" s="5" t="str">
        <f t="shared" si="66"/>
        <v>AI provisional</v>
      </c>
      <c r="K2129" s="5" t="str">
        <f t="shared" si="67"/>
        <v>Y</v>
      </c>
      <c r="L2129" s="5" t="s">
        <v>1552</v>
      </c>
      <c r="M2129" s="5" t="s">
        <v>7264</v>
      </c>
      <c r="N2129" s="5" t="s">
        <v>7242</v>
      </c>
      <c r="O2129" s="5" t="s">
        <v>3152</v>
      </c>
      <c r="P2129" s="5" t="s">
        <v>2858</v>
      </c>
      <c r="Q2129" s="11">
        <v>46306.5</v>
      </c>
      <c r="R2129" s="6"/>
      <c r="S2129" s="6"/>
      <c r="T2129" s="6"/>
      <c r="U2129" s="5">
        <f>MATCH(B2129,Manual_Review!$A$6:$A$238,0)</f>
        <v>133</v>
      </c>
      <c r="V2129" s="5" t="str">
        <f>IF(INDEX(Manual_Review!$G$6:$G$238,U2129)="","",INDEX(Manual_Review!$G$6:$G$238,U2129))</f>
        <v/>
      </c>
      <c r="W2129" s="11" t="str">
        <f>IF(INDEX(Manual_Review!$H$6:$H$238,U2129)="","",INDEX(Manual_Review!$H$6:$H$238,U2129))</f>
        <v/>
      </c>
      <c r="X2129" s="5" t="str">
        <f>IF(INDEX(Manual_Review!$I$6:$I$238,U2129)="","",INDEX(Manual_Review!$I$6:$I$238,U2129))</f>
        <v/>
      </c>
      <c r="Y2129" s="5" t="s">
        <v>2859</v>
      </c>
    </row>
    <row r="2130" spans="1:25" ht="25.5">
      <c r="A2130" s="5" t="s">
        <v>7265</v>
      </c>
      <c r="B2130" s="5" t="s">
        <v>1543</v>
      </c>
      <c r="C2130" s="5" t="s">
        <v>1544</v>
      </c>
      <c r="D2130" s="5" t="s">
        <v>118</v>
      </c>
      <c r="E2130" s="5" t="s">
        <v>2793</v>
      </c>
      <c r="F2130" s="5" t="s">
        <v>2762</v>
      </c>
      <c r="G2130" s="5">
        <v>1</v>
      </c>
      <c r="H2130" s="5" t="s">
        <v>2854</v>
      </c>
      <c r="I2130" s="5" t="str">
        <f>IF(INDEX(Manual_Review!$W$6:$W$238,U2130)="","",INDEX(Manual_Review!$W$6:$W$238,U2130))</f>
        <v/>
      </c>
      <c r="J2130" s="5" t="str">
        <f t="shared" si="66"/>
        <v>AI provisional</v>
      </c>
      <c r="K2130" s="5" t="str">
        <f t="shared" si="67"/>
        <v>Y</v>
      </c>
      <c r="L2130" s="5" t="s">
        <v>1552</v>
      </c>
      <c r="M2130" s="5" t="s">
        <v>7266</v>
      </c>
      <c r="N2130" s="5" t="s">
        <v>7242</v>
      </c>
      <c r="O2130" s="5" t="s">
        <v>3077</v>
      </c>
      <c r="P2130" s="5" t="s">
        <v>2858</v>
      </c>
      <c r="Q2130" s="11">
        <v>46306.5</v>
      </c>
      <c r="R2130" s="6"/>
      <c r="S2130" s="6"/>
      <c r="T2130" s="6"/>
      <c r="U2130" s="5">
        <f>MATCH(B2130,Manual_Review!$A$6:$A$238,0)</f>
        <v>133</v>
      </c>
      <c r="V2130" s="5" t="str">
        <f>IF(INDEX(Manual_Review!$G$6:$G$238,U2130)="","",INDEX(Manual_Review!$G$6:$G$238,U2130))</f>
        <v/>
      </c>
      <c r="W2130" s="11" t="str">
        <f>IF(INDEX(Manual_Review!$H$6:$H$238,U2130)="","",INDEX(Manual_Review!$H$6:$H$238,U2130))</f>
        <v/>
      </c>
      <c r="X2130" s="5" t="str">
        <f>IF(INDEX(Manual_Review!$I$6:$I$238,U2130)="","",INDEX(Manual_Review!$I$6:$I$238,U2130))</f>
        <v/>
      </c>
      <c r="Y2130" s="5" t="s">
        <v>2859</v>
      </c>
    </row>
    <row r="2131" spans="1:25" ht="25.5">
      <c r="A2131" s="5" t="s">
        <v>7267</v>
      </c>
      <c r="B2131" s="5" t="s">
        <v>1543</v>
      </c>
      <c r="C2131" s="5" t="s">
        <v>1544</v>
      </c>
      <c r="D2131" s="5" t="s">
        <v>118</v>
      </c>
      <c r="E2131" s="5" t="s">
        <v>2794</v>
      </c>
      <c r="F2131" s="5" t="s">
        <v>2764</v>
      </c>
      <c r="G2131" s="5">
        <v>1</v>
      </c>
      <c r="H2131" s="5" t="s">
        <v>2854</v>
      </c>
      <c r="I2131" s="5" t="str">
        <f>IF(INDEX(Manual_Review!$X$6:$X$238,U2131)="","",INDEX(Manual_Review!$X$6:$X$238,U2131))</f>
        <v/>
      </c>
      <c r="J2131" s="5" t="str">
        <f t="shared" si="66"/>
        <v>AI provisional</v>
      </c>
      <c r="K2131" s="5" t="str">
        <f t="shared" si="67"/>
        <v>Y</v>
      </c>
      <c r="L2131" s="5" t="s">
        <v>1552</v>
      </c>
      <c r="M2131" s="5" t="s">
        <v>7268</v>
      </c>
      <c r="N2131" s="5" t="s">
        <v>7242</v>
      </c>
      <c r="O2131" s="5" t="s">
        <v>2984</v>
      </c>
      <c r="P2131" s="5" t="s">
        <v>2858</v>
      </c>
      <c r="Q2131" s="11">
        <v>46306.5</v>
      </c>
      <c r="R2131" s="6"/>
      <c r="S2131" s="6"/>
      <c r="T2131" s="6"/>
      <c r="U2131" s="5">
        <f>MATCH(B2131,Manual_Review!$A$6:$A$238,0)</f>
        <v>133</v>
      </c>
      <c r="V2131" s="5" t="str">
        <f>IF(INDEX(Manual_Review!$G$6:$G$238,U2131)="","",INDEX(Manual_Review!$G$6:$G$238,U2131))</f>
        <v/>
      </c>
      <c r="W2131" s="11" t="str">
        <f>IF(INDEX(Manual_Review!$H$6:$H$238,U2131)="","",INDEX(Manual_Review!$H$6:$H$238,U2131))</f>
        <v/>
      </c>
      <c r="X2131" s="5" t="str">
        <f>IF(INDEX(Manual_Review!$I$6:$I$238,U2131)="","",INDEX(Manual_Review!$I$6:$I$238,U2131))</f>
        <v/>
      </c>
      <c r="Y2131" s="5" t="s">
        <v>2859</v>
      </c>
    </row>
    <row r="2132" spans="1:25" ht="25.5">
      <c r="A2132" s="5" t="s">
        <v>7269</v>
      </c>
      <c r="B2132" s="5" t="s">
        <v>1543</v>
      </c>
      <c r="C2132" s="5" t="s">
        <v>1544</v>
      </c>
      <c r="D2132" s="5" t="s">
        <v>118</v>
      </c>
      <c r="E2132" s="5" t="s">
        <v>2795</v>
      </c>
      <c r="F2132" s="5" t="s">
        <v>2764</v>
      </c>
      <c r="G2132" s="5">
        <v>1</v>
      </c>
      <c r="H2132" s="5" t="s">
        <v>2864</v>
      </c>
      <c r="I2132" s="5" t="str">
        <f>IF(INDEX(Manual_Review!$Y$6:$Y$238,U2132)="","",INDEX(Manual_Review!$Y$6:$Y$238,U2132))</f>
        <v/>
      </c>
      <c r="J2132" s="5" t="str">
        <f t="shared" si="66"/>
        <v>AI provisional</v>
      </c>
      <c r="K2132" s="5" t="str">
        <f t="shared" si="67"/>
        <v>U</v>
      </c>
      <c r="L2132" s="5" t="s">
        <v>1552</v>
      </c>
      <c r="M2132" s="5" t="s">
        <v>7252</v>
      </c>
      <c r="N2132" s="5" t="s">
        <v>7242</v>
      </c>
      <c r="O2132" s="5" t="s">
        <v>2897</v>
      </c>
      <c r="P2132" s="5" t="s">
        <v>2858</v>
      </c>
      <c r="Q2132" s="11">
        <v>46306.5</v>
      </c>
      <c r="R2132" s="6"/>
      <c r="S2132" s="6"/>
      <c r="T2132" s="6"/>
      <c r="U2132" s="5">
        <f>MATCH(B2132,Manual_Review!$A$6:$A$238,0)</f>
        <v>133</v>
      </c>
      <c r="V2132" s="5" t="str">
        <f>IF(INDEX(Manual_Review!$G$6:$G$238,U2132)="","",INDEX(Manual_Review!$G$6:$G$238,U2132))</f>
        <v/>
      </c>
      <c r="W2132" s="11" t="str">
        <f>IF(INDEX(Manual_Review!$H$6:$H$238,U2132)="","",INDEX(Manual_Review!$H$6:$H$238,U2132))</f>
        <v/>
      </c>
      <c r="X2132" s="5" t="str">
        <f>IF(INDEX(Manual_Review!$I$6:$I$238,U2132)="","",INDEX(Manual_Review!$I$6:$I$238,U2132))</f>
        <v/>
      </c>
      <c r="Y2132" s="5" t="s">
        <v>2859</v>
      </c>
    </row>
    <row r="2133" spans="1:25" ht="25.5">
      <c r="A2133" s="5" t="s">
        <v>7270</v>
      </c>
      <c r="B2133" s="5" t="s">
        <v>1543</v>
      </c>
      <c r="C2133" s="5" t="s">
        <v>1544</v>
      </c>
      <c r="D2133" s="5" t="s">
        <v>118</v>
      </c>
      <c r="E2133" s="5" t="s">
        <v>2796</v>
      </c>
      <c r="F2133" s="5" t="s">
        <v>2764</v>
      </c>
      <c r="G2133" s="5">
        <v>1</v>
      </c>
      <c r="H2133" s="5" t="s">
        <v>2864</v>
      </c>
      <c r="I2133" s="5" t="str">
        <f>IF(INDEX(Manual_Review!$Z$6:$Z$238,U2133)="","",INDEX(Manual_Review!$Z$6:$Z$238,U2133))</f>
        <v/>
      </c>
      <c r="J2133" s="5" t="str">
        <f t="shared" si="66"/>
        <v>AI provisional</v>
      </c>
      <c r="K2133" s="5" t="str">
        <f t="shared" si="67"/>
        <v>U</v>
      </c>
      <c r="L2133" s="5" t="s">
        <v>1552</v>
      </c>
      <c r="M2133" s="5" t="s">
        <v>7271</v>
      </c>
      <c r="N2133" s="5" t="s">
        <v>7242</v>
      </c>
      <c r="O2133" s="5" t="s">
        <v>2899</v>
      </c>
      <c r="P2133" s="5" t="s">
        <v>2858</v>
      </c>
      <c r="Q2133" s="11">
        <v>46306.5</v>
      </c>
      <c r="R2133" s="6"/>
      <c r="S2133" s="6"/>
      <c r="T2133" s="6"/>
      <c r="U2133" s="5">
        <f>MATCH(B2133,Manual_Review!$A$6:$A$238,0)</f>
        <v>133</v>
      </c>
      <c r="V2133" s="5" t="str">
        <f>IF(INDEX(Manual_Review!$G$6:$G$238,U2133)="","",INDEX(Manual_Review!$G$6:$G$238,U2133))</f>
        <v/>
      </c>
      <c r="W2133" s="11" t="str">
        <f>IF(INDEX(Manual_Review!$H$6:$H$238,U2133)="","",INDEX(Manual_Review!$H$6:$H$238,U2133))</f>
        <v/>
      </c>
      <c r="X2133" s="5" t="str">
        <f>IF(INDEX(Manual_Review!$I$6:$I$238,U2133)="","",INDEX(Manual_Review!$I$6:$I$238,U2133))</f>
        <v/>
      </c>
      <c r="Y2133" s="5" t="s">
        <v>2859</v>
      </c>
    </row>
    <row r="2134" spans="1:25" ht="38.25">
      <c r="A2134" s="5" t="s">
        <v>7272</v>
      </c>
      <c r="B2134" s="5" t="s">
        <v>1554</v>
      </c>
      <c r="C2134" s="5" t="s">
        <v>1555</v>
      </c>
      <c r="D2134" s="5" t="s">
        <v>118</v>
      </c>
      <c r="E2134" s="5" t="s">
        <v>2781</v>
      </c>
      <c r="F2134" s="5" t="s">
        <v>2754</v>
      </c>
      <c r="G2134" s="5">
        <v>1</v>
      </c>
      <c r="H2134" s="5" t="s">
        <v>2854</v>
      </c>
      <c r="I2134" s="5" t="str">
        <f>IF(INDEX(Manual_Review!$K$6:$K$238,U2134)="","",INDEX(Manual_Review!$K$6:$K$238,U2134))</f>
        <v/>
      </c>
      <c r="J2134" s="5" t="str">
        <f t="shared" si="66"/>
        <v>AI provisional</v>
      </c>
      <c r="K2134" s="5" t="str">
        <f t="shared" si="67"/>
        <v>Y</v>
      </c>
      <c r="L2134" s="5" t="s">
        <v>1564</v>
      </c>
      <c r="M2134" s="5" t="s">
        <v>7273</v>
      </c>
      <c r="N2134" s="5" t="s">
        <v>7274</v>
      </c>
      <c r="O2134" s="5" t="s">
        <v>2857</v>
      </c>
      <c r="P2134" s="5" t="s">
        <v>2858</v>
      </c>
      <c r="Q2134" s="11">
        <v>46306.5</v>
      </c>
      <c r="R2134" s="6"/>
      <c r="S2134" s="6"/>
      <c r="T2134" s="6"/>
      <c r="U2134" s="5">
        <f>MATCH(B2134,Manual_Review!$A$6:$A$238,0)</f>
        <v>134</v>
      </c>
      <c r="V2134" s="5" t="str">
        <f>IF(INDEX(Manual_Review!$G$6:$G$238,U2134)="","",INDEX(Manual_Review!$G$6:$G$238,U2134))</f>
        <v/>
      </c>
      <c r="W2134" s="11" t="str">
        <f>IF(INDEX(Manual_Review!$H$6:$H$238,U2134)="","",INDEX(Manual_Review!$H$6:$H$238,U2134))</f>
        <v/>
      </c>
      <c r="X2134" s="5" t="str">
        <f>IF(INDEX(Manual_Review!$I$6:$I$238,U2134)="","",INDEX(Manual_Review!$I$6:$I$238,U2134))</f>
        <v/>
      </c>
      <c r="Y2134" s="5" t="s">
        <v>2859</v>
      </c>
    </row>
    <row r="2135" spans="1:25" ht="38.25">
      <c r="A2135" s="5" t="s">
        <v>7275</v>
      </c>
      <c r="B2135" s="5" t="s">
        <v>1554</v>
      </c>
      <c r="C2135" s="5" t="s">
        <v>1555</v>
      </c>
      <c r="D2135" s="5" t="s">
        <v>118</v>
      </c>
      <c r="E2135" s="5" t="s">
        <v>2782</v>
      </c>
      <c r="F2135" s="5" t="s">
        <v>2754</v>
      </c>
      <c r="G2135" s="5">
        <v>1</v>
      </c>
      <c r="H2135" s="5" t="s">
        <v>2854</v>
      </c>
      <c r="I2135" s="5" t="str">
        <f>IF(INDEX(Manual_Review!$L$6:$L$238,U2135)="","",INDEX(Manual_Review!$L$6:$L$238,U2135))</f>
        <v/>
      </c>
      <c r="J2135" s="5" t="str">
        <f t="shared" si="66"/>
        <v>AI provisional</v>
      </c>
      <c r="K2135" s="5" t="str">
        <f t="shared" si="67"/>
        <v>Y</v>
      </c>
      <c r="L2135" s="5" t="s">
        <v>1564</v>
      </c>
      <c r="M2135" s="5" t="s">
        <v>7276</v>
      </c>
      <c r="N2135" s="5" t="s">
        <v>7274</v>
      </c>
      <c r="O2135" s="5" t="s">
        <v>2862</v>
      </c>
      <c r="P2135" s="5" t="s">
        <v>2858</v>
      </c>
      <c r="Q2135" s="11">
        <v>46306.5</v>
      </c>
      <c r="R2135" s="6"/>
      <c r="S2135" s="6"/>
      <c r="T2135" s="6"/>
      <c r="U2135" s="5">
        <f>MATCH(B2135,Manual_Review!$A$6:$A$238,0)</f>
        <v>134</v>
      </c>
      <c r="V2135" s="5" t="str">
        <f>IF(INDEX(Manual_Review!$G$6:$G$238,U2135)="","",INDEX(Manual_Review!$G$6:$G$238,U2135))</f>
        <v/>
      </c>
      <c r="W2135" s="11" t="str">
        <f>IF(INDEX(Manual_Review!$H$6:$H$238,U2135)="","",INDEX(Manual_Review!$H$6:$H$238,U2135))</f>
        <v/>
      </c>
      <c r="X2135" s="5" t="str">
        <f>IF(INDEX(Manual_Review!$I$6:$I$238,U2135)="","",INDEX(Manual_Review!$I$6:$I$238,U2135))</f>
        <v/>
      </c>
      <c r="Y2135" s="5" t="s">
        <v>2859</v>
      </c>
    </row>
    <row r="2136" spans="1:25" ht="38.25">
      <c r="A2136" s="5" t="s">
        <v>7277</v>
      </c>
      <c r="B2136" s="5" t="s">
        <v>1554</v>
      </c>
      <c r="C2136" s="5" t="s">
        <v>1555</v>
      </c>
      <c r="D2136" s="5" t="s">
        <v>118</v>
      </c>
      <c r="E2136" s="5" t="s">
        <v>2783</v>
      </c>
      <c r="F2136" s="5" t="s">
        <v>2754</v>
      </c>
      <c r="G2136" s="5">
        <v>1</v>
      </c>
      <c r="H2136" s="5" t="s">
        <v>2854</v>
      </c>
      <c r="I2136" s="5" t="str">
        <f>IF(INDEX(Manual_Review!$M$6:$M$238,U2136)="","",INDEX(Manual_Review!$M$6:$M$238,U2136))</f>
        <v/>
      </c>
      <c r="J2136" s="5" t="str">
        <f t="shared" si="66"/>
        <v>AI provisional</v>
      </c>
      <c r="K2136" s="5" t="str">
        <f t="shared" si="67"/>
        <v>Y</v>
      </c>
      <c r="L2136" s="5" t="s">
        <v>1564</v>
      </c>
      <c r="M2136" s="5" t="s">
        <v>7278</v>
      </c>
      <c r="N2136" s="5" t="s">
        <v>7274</v>
      </c>
      <c r="O2136" s="5" t="s">
        <v>3133</v>
      </c>
      <c r="P2136" s="5" t="s">
        <v>2858</v>
      </c>
      <c r="Q2136" s="11">
        <v>46306.5</v>
      </c>
      <c r="R2136" s="6"/>
      <c r="S2136" s="6"/>
      <c r="T2136" s="6"/>
      <c r="U2136" s="5">
        <f>MATCH(B2136,Manual_Review!$A$6:$A$238,0)</f>
        <v>134</v>
      </c>
      <c r="V2136" s="5" t="str">
        <f>IF(INDEX(Manual_Review!$G$6:$G$238,U2136)="","",INDEX(Manual_Review!$G$6:$G$238,U2136))</f>
        <v/>
      </c>
      <c r="W2136" s="11" t="str">
        <f>IF(INDEX(Manual_Review!$H$6:$H$238,U2136)="","",INDEX(Manual_Review!$H$6:$H$238,U2136))</f>
        <v/>
      </c>
      <c r="X2136" s="5" t="str">
        <f>IF(INDEX(Manual_Review!$I$6:$I$238,U2136)="","",INDEX(Manual_Review!$I$6:$I$238,U2136))</f>
        <v/>
      </c>
      <c r="Y2136" s="5" t="s">
        <v>2859</v>
      </c>
    </row>
    <row r="2137" spans="1:25" ht="38.25">
      <c r="A2137" s="5" t="s">
        <v>7279</v>
      </c>
      <c r="B2137" s="5" t="s">
        <v>1554</v>
      </c>
      <c r="C2137" s="5" t="s">
        <v>1555</v>
      </c>
      <c r="D2137" s="5" t="s">
        <v>118</v>
      </c>
      <c r="E2137" s="5" t="s">
        <v>2784</v>
      </c>
      <c r="F2137" s="5" t="s">
        <v>2756</v>
      </c>
      <c r="G2137" s="5">
        <v>1</v>
      </c>
      <c r="H2137" s="5" t="s">
        <v>2864</v>
      </c>
      <c r="I2137" s="5" t="str">
        <f>IF(INDEX(Manual_Review!$N$6:$N$238,U2137)="","",INDEX(Manual_Review!$N$6:$N$238,U2137))</f>
        <v/>
      </c>
      <c r="J2137" s="5" t="str">
        <f t="shared" si="66"/>
        <v>AI provisional</v>
      </c>
      <c r="K2137" s="5" t="str">
        <f t="shared" si="67"/>
        <v>U</v>
      </c>
      <c r="L2137" s="5" t="s">
        <v>1564</v>
      </c>
      <c r="M2137" s="5" t="s">
        <v>7280</v>
      </c>
      <c r="N2137" s="5" t="s">
        <v>7274</v>
      </c>
      <c r="O2137" s="5" t="s">
        <v>2869</v>
      </c>
      <c r="P2137" s="5" t="s">
        <v>2858</v>
      </c>
      <c r="Q2137" s="11">
        <v>46306.5</v>
      </c>
      <c r="R2137" s="6"/>
      <c r="S2137" s="6"/>
      <c r="T2137" s="6"/>
      <c r="U2137" s="5">
        <f>MATCH(B2137,Manual_Review!$A$6:$A$238,0)</f>
        <v>134</v>
      </c>
      <c r="V2137" s="5" t="str">
        <f>IF(INDEX(Manual_Review!$G$6:$G$238,U2137)="","",INDEX(Manual_Review!$G$6:$G$238,U2137))</f>
        <v/>
      </c>
      <c r="W2137" s="11" t="str">
        <f>IF(INDEX(Manual_Review!$H$6:$H$238,U2137)="","",INDEX(Manual_Review!$H$6:$H$238,U2137))</f>
        <v/>
      </c>
      <c r="X2137" s="5" t="str">
        <f>IF(INDEX(Manual_Review!$I$6:$I$238,U2137)="","",INDEX(Manual_Review!$I$6:$I$238,U2137))</f>
        <v/>
      </c>
      <c r="Y2137" s="5" t="s">
        <v>2859</v>
      </c>
    </row>
    <row r="2138" spans="1:25" ht="38.25">
      <c r="A2138" s="5" t="s">
        <v>7281</v>
      </c>
      <c r="B2138" s="5" t="s">
        <v>1554</v>
      </c>
      <c r="C2138" s="5" t="s">
        <v>1555</v>
      </c>
      <c r="D2138" s="5" t="s">
        <v>118</v>
      </c>
      <c r="E2138" s="5" t="s">
        <v>2785</v>
      </c>
      <c r="F2138" s="5" t="s">
        <v>2756</v>
      </c>
      <c r="G2138" s="5">
        <v>1</v>
      </c>
      <c r="H2138" s="5" t="s">
        <v>2864</v>
      </c>
      <c r="I2138" s="5" t="str">
        <f>IF(INDEX(Manual_Review!$O$6:$O$238,U2138)="","",INDEX(Manual_Review!$O$6:$O$238,U2138))</f>
        <v/>
      </c>
      <c r="J2138" s="5" t="str">
        <f t="shared" si="66"/>
        <v>AI provisional</v>
      </c>
      <c r="K2138" s="5" t="str">
        <f t="shared" si="67"/>
        <v>U</v>
      </c>
      <c r="L2138" s="5" t="s">
        <v>1564</v>
      </c>
      <c r="M2138" s="5" t="s">
        <v>7282</v>
      </c>
      <c r="N2138" s="5" t="s">
        <v>7274</v>
      </c>
      <c r="O2138" s="5" t="s">
        <v>2872</v>
      </c>
      <c r="P2138" s="5" t="s">
        <v>2858</v>
      </c>
      <c r="Q2138" s="11">
        <v>46306.5</v>
      </c>
      <c r="R2138" s="6"/>
      <c r="S2138" s="6"/>
      <c r="T2138" s="6"/>
      <c r="U2138" s="5">
        <f>MATCH(B2138,Manual_Review!$A$6:$A$238,0)</f>
        <v>134</v>
      </c>
      <c r="V2138" s="5" t="str">
        <f>IF(INDEX(Manual_Review!$G$6:$G$238,U2138)="","",INDEX(Manual_Review!$G$6:$G$238,U2138))</f>
        <v/>
      </c>
      <c r="W2138" s="11" t="str">
        <f>IF(INDEX(Manual_Review!$H$6:$H$238,U2138)="","",INDEX(Manual_Review!$H$6:$H$238,U2138))</f>
        <v/>
      </c>
      <c r="X2138" s="5" t="str">
        <f>IF(INDEX(Manual_Review!$I$6:$I$238,U2138)="","",INDEX(Manual_Review!$I$6:$I$238,U2138))</f>
        <v/>
      </c>
      <c r="Y2138" s="5" t="s">
        <v>2859</v>
      </c>
    </row>
    <row r="2139" spans="1:25" ht="38.25">
      <c r="A2139" s="5" t="s">
        <v>7283</v>
      </c>
      <c r="B2139" s="5" t="s">
        <v>1554</v>
      </c>
      <c r="C2139" s="5" t="s">
        <v>1555</v>
      </c>
      <c r="D2139" s="5" t="s">
        <v>118</v>
      </c>
      <c r="E2139" s="5" t="s">
        <v>2786</v>
      </c>
      <c r="F2139" s="5" t="s">
        <v>2756</v>
      </c>
      <c r="G2139" s="5">
        <v>1</v>
      </c>
      <c r="H2139" s="5" t="s">
        <v>2864</v>
      </c>
      <c r="I2139" s="5" t="str">
        <f>IF(INDEX(Manual_Review!$P$6:$P$238,U2139)="","",INDEX(Manual_Review!$P$6:$P$238,U2139))</f>
        <v/>
      </c>
      <c r="J2139" s="5" t="str">
        <f t="shared" si="66"/>
        <v>AI provisional</v>
      </c>
      <c r="K2139" s="5" t="str">
        <f t="shared" si="67"/>
        <v>U</v>
      </c>
      <c r="L2139" s="5" t="s">
        <v>1564</v>
      </c>
      <c r="M2139" s="5" t="s">
        <v>7284</v>
      </c>
      <c r="N2139" s="5" t="s">
        <v>7274</v>
      </c>
      <c r="O2139" s="5" t="s">
        <v>2874</v>
      </c>
      <c r="P2139" s="5" t="s">
        <v>2858</v>
      </c>
      <c r="Q2139" s="11">
        <v>46306.5</v>
      </c>
      <c r="R2139" s="6"/>
      <c r="S2139" s="6"/>
      <c r="T2139" s="6"/>
      <c r="U2139" s="5">
        <f>MATCH(B2139,Manual_Review!$A$6:$A$238,0)</f>
        <v>134</v>
      </c>
      <c r="V2139" s="5" t="str">
        <f>IF(INDEX(Manual_Review!$G$6:$G$238,U2139)="","",INDEX(Manual_Review!$G$6:$G$238,U2139))</f>
        <v/>
      </c>
      <c r="W2139" s="11" t="str">
        <f>IF(INDEX(Manual_Review!$H$6:$H$238,U2139)="","",INDEX(Manual_Review!$H$6:$H$238,U2139))</f>
        <v/>
      </c>
      <c r="X2139" s="5" t="str">
        <f>IF(INDEX(Manual_Review!$I$6:$I$238,U2139)="","",INDEX(Manual_Review!$I$6:$I$238,U2139))</f>
        <v/>
      </c>
      <c r="Y2139" s="5" t="s">
        <v>2859</v>
      </c>
    </row>
    <row r="2140" spans="1:25" ht="38.25">
      <c r="A2140" s="5" t="s">
        <v>7285</v>
      </c>
      <c r="B2140" s="5" t="s">
        <v>1554</v>
      </c>
      <c r="C2140" s="5" t="s">
        <v>1555</v>
      </c>
      <c r="D2140" s="5" t="s">
        <v>118</v>
      </c>
      <c r="E2140" s="5" t="s">
        <v>2787</v>
      </c>
      <c r="F2140" s="5" t="s">
        <v>2758</v>
      </c>
      <c r="G2140" s="5">
        <v>1</v>
      </c>
      <c r="H2140" s="5" t="s">
        <v>2864</v>
      </c>
      <c r="I2140" s="5" t="str">
        <f>IF(INDEX(Manual_Review!$Q$6:$Q$238,U2140)="","",INDEX(Manual_Review!$Q$6:$Q$238,U2140))</f>
        <v/>
      </c>
      <c r="J2140" s="5" t="str">
        <f t="shared" si="66"/>
        <v>AI provisional</v>
      </c>
      <c r="K2140" s="5" t="str">
        <f t="shared" si="67"/>
        <v>U</v>
      </c>
      <c r="L2140" s="5" t="s">
        <v>1564</v>
      </c>
      <c r="M2140" s="5" t="s">
        <v>7286</v>
      </c>
      <c r="N2140" s="5" t="s">
        <v>7274</v>
      </c>
      <c r="O2140" s="5" t="s">
        <v>2877</v>
      </c>
      <c r="P2140" s="5" t="s">
        <v>2858</v>
      </c>
      <c r="Q2140" s="11">
        <v>46306.5</v>
      </c>
      <c r="R2140" s="6"/>
      <c r="S2140" s="6"/>
      <c r="T2140" s="6"/>
      <c r="U2140" s="5">
        <f>MATCH(B2140,Manual_Review!$A$6:$A$238,0)</f>
        <v>134</v>
      </c>
      <c r="V2140" s="5" t="str">
        <f>IF(INDEX(Manual_Review!$G$6:$G$238,U2140)="","",INDEX(Manual_Review!$G$6:$G$238,U2140))</f>
        <v/>
      </c>
      <c r="W2140" s="11" t="str">
        <f>IF(INDEX(Manual_Review!$H$6:$H$238,U2140)="","",INDEX(Manual_Review!$H$6:$H$238,U2140))</f>
        <v/>
      </c>
      <c r="X2140" s="5" t="str">
        <f>IF(INDEX(Manual_Review!$I$6:$I$238,U2140)="","",INDEX(Manual_Review!$I$6:$I$238,U2140))</f>
        <v/>
      </c>
      <c r="Y2140" s="5" t="s">
        <v>2859</v>
      </c>
    </row>
    <row r="2141" spans="1:25" ht="38.25">
      <c r="A2141" s="5" t="s">
        <v>7287</v>
      </c>
      <c r="B2141" s="5" t="s">
        <v>1554</v>
      </c>
      <c r="C2141" s="5" t="s">
        <v>1555</v>
      </c>
      <c r="D2141" s="5" t="s">
        <v>118</v>
      </c>
      <c r="E2141" s="5" t="s">
        <v>2788</v>
      </c>
      <c r="F2141" s="5" t="s">
        <v>2758</v>
      </c>
      <c r="G2141" s="5">
        <v>1</v>
      </c>
      <c r="H2141" s="5" t="s">
        <v>2854</v>
      </c>
      <c r="I2141" s="5" t="str">
        <f>IF(INDEX(Manual_Review!$R$6:$R$238,U2141)="","",INDEX(Manual_Review!$R$6:$R$238,U2141))</f>
        <v/>
      </c>
      <c r="J2141" s="5" t="str">
        <f t="shared" si="66"/>
        <v>AI provisional</v>
      </c>
      <c r="K2141" s="5" t="str">
        <f t="shared" si="67"/>
        <v>Y</v>
      </c>
      <c r="L2141" s="5" t="s">
        <v>1564</v>
      </c>
      <c r="M2141" s="5" t="s">
        <v>7288</v>
      </c>
      <c r="N2141" s="5" t="s">
        <v>7274</v>
      </c>
      <c r="O2141" s="5" t="s">
        <v>3067</v>
      </c>
      <c r="P2141" s="5" t="s">
        <v>2858</v>
      </c>
      <c r="Q2141" s="11">
        <v>46306.5</v>
      </c>
      <c r="R2141" s="6"/>
      <c r="S2141" s="6"/>
      <c r="T2141" s="6"/>
      <c r="U2141" s="5">
        <f>MATCH(B2141,Manual_Review!$A$6:$A$238,0)</f>
        <v>134</v>
      </c>
      <c r="V2141" s="5" t="str">
        <f>IF(INDEX(Manual_Review!$G$6:$G$238,U2141)="","",INDEX(Manual_Review!$G$6:$G$238,U2141))</f>
        <v/>
      </c>
      <c r="W2141" s="11" t="str">
        <f>IF(INDEX(Manual_Review!$H$6:$H$238,U2141)="","",INDEX(Manual_Review!$H$6:$H$238,U2141))</f>
        <v/>
      </c>
      <c r="X2141" s="5" t="str">
        <f>IF(INDEX(Manual_Review!$I$6:$I$238,U2141)="","",INDEX(Manual_Review!$I$6:$I$238,U2141))</f>
        <v/>
      </c>
      <c r="Y2141" s="5" t="s">
        <v>2859</v>
      </c>
    </row>
    <row r="2142" spans="1:25" ht="38.25">
      <c r="A2142" s="5" t="s">
        <v>7289</v>
      </c>
      <c r="B2142" s="5" t="s">
        <v>1554</v>
      </c>
      <c r="C2142" s="5" t="s">
        <v>1555</v>
      </c>
      <c r="D2142" s="5" t="s">
        <v>118</v>
      </c>
      <c r="E2142" s="5" t="s">
        <v>2789</v>
      </c>
      <c r="F2142" s="5" t="s">
        <v>2758</v>
      </c>
      <c r="G2142" s="5">
        <v>1</v>
      </c>
      <c r="H2142" s="5" t="s">
        <v>2854</v>
      </c>
      <c r="I2142" s="5" t="str">
        <f>IF(INDEX(Manual_Review!$S$6:$S$238,U2142)="","",INDEX(Manual_Review!$S$6:$S$238,U2142))</f>
        <v/>
      </c>
      <c r="J2142" s="5" t="str">
        <f t="shared" si="66"/>
        <v>AI provisional</v>
      </c>
      <c r="K2142" s="5" t="str">
        <f t="shared" si="67"/>
        <v>Y</v>
      </c>
      <c r="L2142" s="5" t="s">
        <v>1564</v>
      </c>
      <c r="M2142" s="5" t="s">
        <v>7290</v>
      </c>
      <c r="N2142" s="5" t="s">
        <v>7274</v>
      </c>
      <c r="O2142" s="5" t="s">
        <v>3178</v>
      </c>
      <c r="P2142" s="5" t="s">
        <v>2858</v>
      </c>
      <c r="Q2142" s="11">
        <v>46306.5</v>
      </c>
      <c r="R2142" s="6"/>
      <c r="S2142" s="6"/>
      <c r="T2142" s="6"/>
      <c r="U2142" s="5">
        <f>MATCH(B2142,Manual_Review!$A$6:$A$238,0)</f>
        <v>134</v>
      </c>
      <c r="V2142" s="5" t="str">
        <f>IF(INDEX(Manual_Review!$G$6:$G$238,U2142)="","",INDEX(Manual_Review!$G$6:$G$238,U2142))</f>
        <v/>
      </c>
      <c r="W2142" s="11" t="str">
        <f>IF(INDEX(Manual_Review!$H$6:$H$238,U2142)="","",INDEX(Manual_Review!$H$6:$H$238,U2142))</f>
        <v/>
      </c>
      <c r="X2142" s="5" t="str">
        <f>IF(INDEX(Manual_Review!$I$6:$I$238,U2142)="","",INDEX(Manual_Review!$I$6:$I$238,U2142))</f>
        <v/>
      </c>
      <c r="Y2142" s="5" t="s">
        <v>2859</v>
      </c>
    </row>
    <row r="2143" spans="1:25" ht="38.25">
      <c r="A2143" s="5" t="s">
        <v>7291</v>
      </c>
      <c r="B2143" s="5" t="s">
        <v>1554</v>
      </c>
      <c r="C2143" s="5" t="s">
        <v>1555</v>
      </c>
      <c r="D2143" s="5" t="s">
        <v>118</v>
      </c>
      <c r="E2143" s="5" t="s">
        <v>2790</v>
      </c>
      <c r="F2143" s="5" t="s">
        <v>2760</v>
      </c>
      <c r="G2143" s="5">
        <v>1</v>
      </c>
      <c r="H2143" s="5" t="s">
        <v>2864</v>
      </c>
      <c r="I2143" s="5" t="str">
        <f>IF(INDEX(Manual_Review!$T$6:$T$238,U2143)="","",INDEX(Manual_Review!$T$6:$T$238,U2143))</f>
        <v/>
      </c>
      <c r="J2143" s="5" t="str">
        <f t="shared" si="66"/>
        <v>AI provisional</v>
      </c>
      <c r="K2143" s="5" t="str">
        <f t="shared" si="67"/>
        <v>U</v>
      </c>
      <c r="L2143" s="5" t="s">
        <v>1564</v>
      </c>
      <c r="M2143" s="5" t="s">
        <v>7292</v>
      </c>
      <c r="N2143" s="5" t="s">
        <v>7274</v>
      </c>
      <c r="O2143" s="5" t="s">
        <v>2885</v>
      </c>
      <c r="P2143" s="5" t="s">
        <v>2858</v>
      </c>
      <c r="Q2143" s="11">
        <v>46306.5</v>
      </c>
      <c r="R2143" s="6"/>
      <c r="S2143" s="6"/>
      <c r="T2143" s="6"/>
      <c r="U2143" s="5">
        <f>MATCH(B2143,Manual_Review!$A$6:$A$238,0)</f>
        <v>134</v>
      </c>
      <c r="V2143" s="5" t="str">
        <f>IF(INDEX(Manual_Review!$G$6:$G$238,U2143)="","",INDEX(Manual_Review!$G$6:$G$238,U2143))</f>
        <v/>
      </c>
      <c r="W2143" s="11" t="str">
        <f>IF(INDEX(Manual_Review!$H$6:$H$238,U2143)="","",INDEX(Manual_Review!$H$6:$H$238,U2143))</f>
        <v/>
      </c>
      <c r="X2143" s="5" t="str">
        <f>IF(INDEX(Manual_Review!$I$6:$I$238,U2143)="","",INDEX(Manual_Review!$I$6:$I$238,U2143))</f>
        <v/>
      </c>
      <c r="Y2143" s="5" t="s">
        <v>2859</v>
      </c>
    </row>
    <row r="2144" spans="1:25" ht="38.25">
      <c r="A2144" s="5" t="s">
        <v>7293</v>
      </c>
      <c r="B2144" s="5" t="s">
        <v>1554</v>
      </c>
      <c r="C2144" s="5" t="s">
        <v>1555</v>
      </c>
      <c r="D2144" s="5" t="s">
        <v>118</v>
      </c>
      <c r="E2144" s="5" t="s">
        <v>2791</v>
      </c>
      <c r="F2144" s="5" t="s">
        <v>2760</v>
      </c>
      <c r="G2144" s="5">
        <v>1</v>
      </c>
      <c r="H2144" s="5" t="s">
        <v>2854</v>
      </c>
      <c r="I2144" s="5" t="str">
        <f>IF(INDEX(Manual_Review!$U$6:$U$238,U2144)="","",INDEX(Manual_Review!$U$6:$U$238,U2144))</f>
        <v/>
      </c>
      <c r="J2144" s="5" t="str">
        <f t="shared" si="66"/>
        <v>AI provisional</v>
      </c>
      <c r="K2144" s="5" t="str">
        <f t="shared" si="67"/>
        <v>Y</v>
      </c>
      <c r="L2144" s="5" t="s">
        <v>1564</v>
      </c>
      <c r="M2144" s="5" t="s">
        <v>7294</v>
      </c>
      <c r="N2144" s="5" t="s">
        <v>7274</v>
      </c>
      <c r="O2144" s="5" t="s">
        <v>3380</v>
      </c>
      <c r="P2144" s="5" t="s">
        <v>2858</v>
      </c>
      <c r="Q2144" s="11">
        <v>46306.5</v>
      </c>
      <c r="R2144" s="6"/>
      <c r="S2144" s="6"/>
      <c r="T2144" s="6"/>
      <c r="U2144" s="5">
        <f>MATCH(B2144,Manual_Review!$A$6:$A$238,0)</f>
        <v>134</v>
      </c>
      <c r="V2144" s="5" t="str">
        <f>IF(INDEX(Manual_Review!$G$6:$G$238,U2144)="","",INDEX(Manual_Review!$G$6:$G$238,U2144))</f>
        <v/>
      </c>
      <c r="W2144" s="11" t="str">
        <f>IF(INDEX(Manual_Review!$H$6:$H$238,U2144)="","",INDEX(Manual_Review!$H$6:$H$238,U2144))</f>
        <v/>
      </c>
      <c r="X2144" s="5" t="str">
        <f>IF(INDEX(Manual_Review!$I$6:$I$238,U2144)="","",INDEX(Manual_Review!$I$6:$I$238,U2144))</f>
        <v/>
      </c>
      <c r="Y2144" s="5" t="s">
        <v>2859</v>
      </c>
    </row>
    <row r="2145" spans="1:25" ht="38.25">
      <c r="A2145" s="5" t="s">
        <v>7295</v>
      </c>
      <c r="B2145" s="5" t="s">
        <v>1554</v>
      </c>
      <c r="C2145" s="5" t="s">
        <v>1555</v>
      </c>
      <c r="D2145" s="5" t="s">
        <v>118</v>
      </c>
      <c r="E2145" s="5" t="s">
        <v>2792</v>
      </c>
      <c r="F2145" s="5" t="s">
        <v>2762</v>
      </c>
      <c r="G2145" s="5">
        <v>1</v>
      </c>
      <c r="H2145" s="5" t="s">
        <v>2854</v>
      </c>
      <c r="I2145" s="5" t="str">
        <f>IF(INDEX(Manual_Review!$V$6:$V$238,U2145)="","",INDEX(Manual_Review!$V$6:$V$238,U2145))</f>
        <v/>
      </c>
      <c r="J2145" s="5" t="str">
        <f t="shared" si="66"/>
        <v>AI provisional</v>
      </c>
      <c r="K2145" s="5" t="str">
        <f t="shared" si="67"/>
        <v>Y</v>
      </c>
      <c r="L2145" s="5" t="s">
        <v>1564</v>
      </c>
      <c r="M2145" s="5" t="s">
        <v>7296</v>
      </c>
      <c r="N2145" s="5" t="s">
        <v>7274</v>
      </c>
      <c r="O2145" s="5" t="s">
        <v>3152</v>
      </c>
      <c r="P2145" s="5" t="s">
        <v>2858</v>
      </c>
      <c r="Q2145" s="11">
        <v>46306.5</v>
      </c>
      <c r="R2145" s="6"/>
      <c r="S2145" s="6"/>
      <c r="T2145" s="6"/>
      <c r="U2145" s="5">
        <f>MATCH(B2145,Manual_Review!$A$6:$A$238,0)</f>
        <v>134</v>
      </c>
      <c r="V2145" s="5" t="str">
        <f>IF(INDEX(Manual_Review!$G$6:$G$238,U2145)="","",INDEX(Manual_Review!$G$6:$G$238,U2145))</f>
        <v/>
      </c>
      <c r="W2145" s="11" t="str">
        <f>IF(INDEX(Manual_Review!$H$6:$H$238,U2145)="","",INDEX(Manual_Review!$H$6:$H$238,U2145))</f>
        <v/>
      </c>
      <c r="X2145" s="5" t="str">
        <f>IF(INDEX(Manual_Review!$I$6:$I$238,U2145)="","",INDEX(Manual_Review!$I$6:$I$238,U2145))</f>
        <v/>
      </c>
      <c r="Y2145" s="5" t="s">
        <v>2859</v>
      </c>
    </row>
    <row r="2146" spans="1:25" ht="38.25">
      <c r="A2146" s="5" t="s">
        <v>7297</v>
      </c>
      <c r="B2146" s="5" t="s">
        <v>1554</v>
      </c>
      <c r="C2146" s="5" t="s">
        <v>1555</v>
      </c>
      <c r="D2146" s="5" t="s">
        <v>118</v>
      </c>
      <c r="E2146" s="5" t="s">
        <v>2793</v>
      </c>
      <c r="F2146" s="5" t="s">
        <v>2762</v>
      </c>
      <c r="G2146" s="5">
        <v>1</v>
      </c>
      <c r="H2146" s="5" t="s">
        <v>2854</v>
      </c>
      <c r="I2146" s="5" t="str">
        <f>IF(INDEX(Manual_Review!$W$6:$W$238,U2146)="","",INDEX(Manual_Review!$W$6:$W$238,U2146))</f>
        <v/>
      </c>
      <c r="J2146" s="5" t="str">
        <f t="shared" si="66"/>
        <v>AI provisional</v>
      </c>
      <c r="K2146" s="5" t="str">
        <f t="shared" si="67"/>
        <v>Y</v>
      </c>
      <c r="L2146" s="5" t="s">
        <v>1564</v>
      </c>
      <c r="M2146" s="5" t="s">
        <v>7298</v>
      </c>
      <c r="N2146" s="5" t="s">
        <v>7274</v>
      </c>
      <c r="O2146" s="5" t="s">
        <v>3077</v>
      </c>
      <c r="P2146" s="5" t="s">
        <v>2858</v>
      </c>
      <c r="Q2146" s="11">
        <v>46306.5</v>
      </c>
      <c r="R2146" s="6"/>
      <c r="S2146" s="6"/>
      <c r="T2146" s="6"/>
      <c r="U2146" s="5">
        <f>MATCH(B2146,Manual_Review!$A$6:$A$238,0)</f>
        <v>134</v>
      </c>
      <c r="V2146" s="5" t="str">
        <f>IF(INDEX(Manual_Review!$G$6:$G$238,U2146)="","",INDEX(Manual_Review!$G$6:$G$238,U2146))</f>
        <v/>
      </c>
      <c r="W2146" s="11" t="str">
        <f>IF(INDEX(Manual_Review!$H$6:$H$238,U2146)="","",INDEX(Manual_Review!$H$6:$H$238,U2146))</f>
        <v/>
      </c>
      <c r="X2146" s="5" t="str">
        <f>IF(INDEX(Manual_Review!$I$6:$I$238,U2146)="","",INDEX(Manual_Review!$I$6:$I$238,U2146))</f>
        <v/>
      </c>
      <c r="Y2146" s="5" t="s">
        <v>2859</v>
      </c>
    </row>
    <row r="2147" spans="1:25" ht="38.25">
      <c r="A2147" s="5" t="s">
        <v>7299</v>
      </c>
      <c r="B2147" s="5" t="s">
        <v>1554</v>
      </c>
      <c r="C2147" s="5" t="s">
        <v>1555</v>
      </c>
      <c r="D2147" s="5" t="s">
        <v>118</v>
      </c>
      <c r="E2147" s="5" t="s">
        <v>2794</v>
      </c>
      <c r="F2147" s="5" t="s">
        <v>2764</v>
      </c>
      <c r="G2147" s="5">
        <v>1</v>
      </c>
      <c r="H2147" s="5" t="s">
        <v>2854</v>
      </c>
      <c r="I2147" s="5" t="str">
        <f>IF(INDEX(Manual_Review!$X$6:$X$238,U2147)="","",INDEX(Manual_Review!$X$6:$X$238,U2147))</f>
        <v/>
      </c>
      <c r="J2147" s="5" t="str">
        <f t="shared" si="66"/>
        <v>AI provisional</v>
      </c>
      <c r="K2147" s="5" t="str">
        <f t="shared" si="67"/>
        <v>Y</v>
      </c>
      <c r="L2147" s="5" t="s">
        <v>1564</v>
      </c>
      <c r="M2147" s="5" t="s">
        <v>7300</v>
      </c>
      <c r="N2147" s="5" t="s">
        <v>7274</v>
      </c>
      <c r="O2147" s="5" t="s">
        <v>2984</v>
      </c>
      <c r="P2147" s="5" t="s">
        <v>2858</v>
      </c>
      <c r="Q2147" s="11">
        <v>46306.5</v>
      </c>
      <c r="R2147" s="6"/>
      <c r="S2147" s="6"/>
      <c r="T2147" s="6"/>
      <c r="U2147" s="5">
        <f>MATCH(B2147,Manual_Review!$A$6:$A$238,0)</f>
        <v>134</v>
      </c>
      <c r="V2147" s="5" t="str">
        <f>IF(INDEX(Manual_Review!$G$6:$G$238,U2147)="","",INDEX(Manual_Review!$G$6:$G$238,U2147))</f>
        <v/>
      </c>
      <c r="W2147" s="11" t="str">
        <f>IF(INDEX(Manual_Review!$H$6:$H$238,U2147)="","",INDEX(Manual_Review!$H$6:$H$238,U2147))</f>
        <v/>
      </c>
      <c r="X2147" s="5" t="str">
        <f>IF(INDEX(Manual_Review!$I$6:$I$238,U2147)="","",INDEX(Manual_Review!$I$6:$I$238,U2147))</f>
        <v/>
      </c>
      <c r="Y2147" s="5" t="s">
        <v>2859</v>
      </c>
    </row>
    <row r="2148" spans="1:25" ht="38.25">
      <c r="A2148" s="5" t="s">
        <v>7301</v>
      </c>
      <c r="B2148" s="5" t="s">
        <v>1554</v>
      </c>
      <c r="C2148" s="5" t="s">
        <v>1555</v>
      </c>
      <c r="D2148" s="5" t="s">
        <v>118</v>
      </c>
      <c r="E2148" s="5" t="s">
        <v>2795</v>
      </c>
      <c r="F2148" s="5" t="s">
        <v>2764</v>
      </c>
      <c r="G2148" s="5">
        <v>1</v>
      </c>
      <c r="H2148" s="5" t="s">
        <v>2854</v>
      </c>
      <c r="I2148" s="5" t="str">
        <f>IF(INDEX(Manual_Review!$Y$6:$Y$238,U2148)="","",INDEX(Manual_Review!$Y$6:$Y$238,U2148))</f>
        <v/>
      </c>
      <c r="J2148" s="5" t="str">
        <f t="shared" si="66"/>
        <v>AI provisional</v>
      </c>
      <c r="K2148" s="5" t="str">
        <f t="shared" si="67"/>
        <v>Y</v>
      </c>
      <c r="L2148" s="5" t="s">
        <v>1564</v>
      </c>
      <c r="M2148" s="5" t="s">
        <v>7302</v>
      </c>
      <c r="N2148" s="5" t="s">
        <v>7274</v>
      </c>
      <c r="O2148" s="5" t="s">
        <v>3082</v>
      </c>
      <c r="P2148" s="5" t="s">
        <v>2858</v>
      </c>
      <c r="Q2148" s="11">
        <v>46306.5</v>
      </c>
      <c r="R2148" s="6"/>
      <c r="S2148" s="6"/>
      <c r="T2148" s="6"/>
      <c r="U2148" s="5">
        <f>MATCH(B2148,Manual_Review!$A$6:$A$238,0)</f>
        <v>134</v>
      </c>
      <c r="V2148" s="5" t="str">
        <f>IF(INDEX(Manual_Review!$G$6:$G$238,U2148)="","",INDEX(Manual_Review!$G$6:$G$238,U2148))</f>
        <v/>
      </c>
      <c r="W2148" s="11" t="str">
        <f>IF(INDEX(Manual_Review!$H$6:$H$238,U2148)="","",INDEX(Manual_Review!$H$6:$H$238,U2148))</f>
        <v/>
      </c>
      <c r="X2148" s="5" t="str">
        <f>IF(INDEX(Manual_Review!$I$6:$I$238,U2148)="","",INDEX(Manual_Review!$I$6:$I$238,U2148))</f>
        <v/>
      </c>
      <c r="Y2148" s="5" t="s">
        <v>2859</v>
      </c>
    </row>
    <row r="2149" spans="1:25" ht="38.25">
      <c r="A2149" s="5" t="s">
        <v>7303</v>
      </c>
      <c r="B2149" s="5" t="s">
        <v>1554</v>
      </c>
      <c r="C2149" s="5" t="s">
        <v>1555</v>
      </c>
      <c r="D2149" s="5" t="s">
        <v>118</v>
      </c>
      <c r="E2149" s="5" t="s">
        <v>2796</v>
      </c>
      <c r="F2149" s="5" t="s">
        <v>2764</v>
      </c>
      <c r="G2149" s="5">
        <v>1</v>
      </c>
      <c r="H2149" s="5" t="s">
        <v>2854</v>
      </c>
      <c r="I2149" s="5" t="str">
        <f>IF(INDEX(Manual_Review!$Z$6:$Z$238,U2149)="","",INDEX(Manual_Review!$Z$6:$Z$238,U2149))</f>
        <v/>
      </c>
      <c r="J2149" s="5" t="str">
        <f t="shared" si="66"/>
        <v>AI provisional</v>
      </c>
      <c r="K2149" s="5" t="str">
        <f t="shared" si="67"/>
        <v>Y</v>
      </c>
      <c r="L2149" s="5" t="s">
        <v>1564</v>
      </c>
      <c r="M2149" s="5" t="s">
        <v>7304</v>
      </c>
      <c r="N2149" s="5" t="s">
        <v>7274</v>
      </c>
      <c r="O2149" s="5" t="s">
        <v>3085</v>
      </c>
      <c r="P2149" s="5" t="s">
        <v>2858</v>
      </c>
      <c r="Q2149" s="11">
        <v>46306.5</v>
      </c>
      <c r="R2149" s="6"/>
      <c r="S2149" s="6"/>
      <c r="T2149" s="6"/>
      <c r="U2149" s="5">
        <f>MATCH(B2149,Manual_Review!$A$6:$A$238,0)</f>
        <v>134</v>
      </c>
      <c r="V2149" s="5" t="str">
        <f>IF(INDEX(Manual_Review!$G$6:$G$238,U2149)="","",INDEX(Manual_Review!$G$6:$G$238,U2149))</f>
        <v/>
      </c>
      <c r="W2149" s="11" t="str">
        <f>IF(INDEX(Manual_Review!$H$6:$H$238,U2149)="","",INDEX(Manual_Review!$H$6:$H$238,U2149))</f>
        <v/>
      </c>
      <c r="X2149" s="5" t="str">
        <f>IF(INDEX(Manual_Review!$I$6:$I$238,U2149)="","",INDEX(Manual_Review!$I$6:$I$238,U2149))</f>
        <v/>
      </c>
      <c r="Y2149" s="5" t="s">
        <v>2859</v>
      </c>
    </row>
    <row r="2150" spans="1:25" ht="25.5">
      <c r="A2150" s="5" t="s">
        <v>7305</v>
      </c>
      <c r="B2150" s="5" t="s">
        <v>53</v>
      </c>
      <c r="C2150" s="5" t="s">
        <v>1566</v>
      </c>
      <c r="D2150" s="5" t="s">
        <v>118</v>
      </c>
      <c r="E2150" s="5" t="s">
        <v>2781</v>
      </c>
      <c r="F2150" s="5" t="s">
        <v>2754</v>
      </c>
      <c r="G2150" s="5">
        <v>1</v>
      </c>
      <c r="H2150" s="5" t="s">
        <v>2854</v>
      </c>
      <c r="I2150" s="5" t="str">
        <f>IF(INDEX(Manual_Review!$K$6:$K$238,U2150)="","",INDEX(Manual_Review!$K$6:$K$238,U2150))</f>
        <v/>
      </c>
      <c r="J2150" s="5" t="str">
        <f t="shared" si="66"/>
        <v>AI provisional</v>
      </c>
      <c r="K2150" s="5" t="str">
        <f t="shared" si="67"/>
        <v>Y</v>
      </c>
      <c r="L2150" s="5" t="s">
        <v>1575</v>
      </c>
      <c r="M2150" s="5" t="s">
        <v>7306</v>
      </c>
      <c r="N2150" s="5" t="s">
        <v>7307</v>
      </c>
      <c r="O2150" s="5" t="s">
        <v>3089</v>
      </c>
      <c r="P2150" s="5" t="s">
        <v>3090</v>
      </c>
      <c r="Q2150" s="11">
        <v>46306.5</v>
      </c>
      <c r="R2150" s="6"/>
      <c r="S2150" s="6"/>
      <c r="T2150" s="6"/>
      <c r="U2150" s="5">
        <f>MATCH(B2150,Manual_Review!$A$6:$A$238,0)</f>
        <v>135</v>
      </c>
      <c r="V2150" s="5" t="str">
        <f>IF(INDEX(Manual_Review!$G$6:$G$238,U2150)="","",INDEX(Manual_Review!$G$6:$G$238,U2150))</f>
        <v/>
      </c>
      <c r="W2150" s="11" t="str">
        <f>IF(INDEX(Manual_Review!$H$6:$H$238,U2150)="","",INDEX(Manual_Review!$H$6:$H$238,U2150))</f>
        <v/>
      </c>
      <c r="X2150" s="5" t="str">
        <f>IF(INDEX(Manual_Review!$I$6:$I$238,U2150)="","",INDEX(Manual_Review!$I$6:$I$238,U2150))</f>
        <v/>
      </c>
      <c r="Y2150" s="5" t="s">
        <v>2859</v>
      </c>
    </row>
    <row r="2151" spans="1:25" ht="25.5">
      <c r="A2151" s="5" t="s">
        <v>7308</v>
      </c>
      <c r="B2151" s="5" t="s">
        <v>53</v>
      </c>
      <c r="C2151" s="5" t="s">
        <v>1566</v>
      </c>
      <c r="D2151" s="5" t="s">
        <v>118</v>
      </c>
      <c r="E2151" s="5" t="s">
        <v>2782</v>
      </c>
      <c r="F2151" s="5" t="s">
        <v>2754</v>
      </c>
      <c r="G2151" s="5">
        <v>1</v>
      </c>
      <c r="H2151" s="5" t="s">
        <v>2854</v>
      </c>
      <c r="I2151" s="5" t="str">
        <f>IF(INDEX(Manual_Review!$L$6:$L$238,U2151)="","",INDEX(Manual_Review!$L$6:$L$238,U2151))</f>
        <v/>
      </c>
      <c r="J2151" s="5" t="str">
        <f t="shared" si="66"/>
        <v>AI provisional</v>
      </c>
      <c r="K2151" s="5" t="str">
        <f t="shared" si="67"/>
        <v>Y</v>
      </c>
      <c r="L2151" s="5" t="s">
        <v>1575</v>
      </c>
      <c r="M2151" s="5" t="s">
        <v>7309</v>
      </c>
      <c r="N2151" s="5" t="s">
        <v>7310</v>
      </c>
      <c r="O2151" s="5" t="s">
        <v>3089</v>
      </c>
      <c r="P2151" s="5" t="s">
        <v>3090</v>
      </c>
      <c r="Q2151" s="11">
        <v>46306.5</v>
      </c>
      <c r="R2151" s="6"/>
      <c r="S2151" s="6"/>
      <c r="T2151" s="6"/>
      <c r="U2151" s="5">
        <f>MATCH(B2151,Manual_Review!$A$6:$A$238,0)</f>
        <v>135</v>
      </c>
      <c r="V2151" s="5" t="str">
        <f>IF(INDEX(Manual_Review!$G$6:$G$238,U2151)="","",INDEX(Manual_Review!$G$6:$G$238,U2151))</f>
        <v/>
      </c>
      <c r="W2151" s="11" t="str">
        <f>IF(INDEX(Manual_Review!$H$6:$H$238,U2151)="","",INDEX(Manual_Review!$H$6:$H$238,U2151))</f>
        <v/>
      </c>
      <c r="X2151" s="5" t="str">
        <f>IF(INDEX(Manual_Review!$I$6:$I$238,U2151)="","",INDEX(Manual_Review!$I$6:$I$238,U2151))</f>
        <v/>
      </c>
      <c r="Y2151" s="5" t="s">
        <v>2859</v>
      </c>
    </row>
    <row r="2152" spans="1:25" ht="25.5">
      <c r="A2152" s="5" t="s">
        <v>7311</v>
      </c>
      <c r="B2152" s="5" t="s">
        <v>53</v>
      </c>
      <c r="C2152" s="5" t="s">
        <v>1566</v>
      </c>
      <c r="D2152" s="5" t="s">
        <v>118</v>
      </c>
      <c r="E2152" s="5" t="s">
        <v>2783</v>
      </c>
      <c r="F2152" s="5" t="s">
        <v>2754</v>
      </c>
      <c r="G2152" s="5">
        <v>1</v>
      </c>
      <c r="H2152" s="5" t="s">
        <v>2854</v>
      </c>
      <c r="I2152" s="5" t="str">
        <f>IF(INDEX(Manual_Review!$M$6:$M$238,U2152)="","",INDEX(Manual_Review!$M$6:$M$238,U2152))</f>
        <v/>
      </c>
      <c r="J2152" s="5" t="str">
        <f t="shared" si="66"/>
        <v>AI provisional</v>
      </c>
      <c r="K2152" s="5" t="str">
        <f t="shared" si="67"/>
        <v>Y</v>
      </c>
      <c r="L2152" s="5" t="s">
        <v>7312</v>
      </c>
      <c r="M2152" s="5" t="s">
        <v>7313</v>
      </c>
      <c r="N2152" s="5" t="s">
        <v>7314</v>
      </c>
      <c r="O2152" s="5" t="s">
        <v>3089</v>
      </c>
      <c r="P2152" s="5" t="s">
        <v>3090</v>
      </c>
      <c r="Q2152" s="11">
        <v>46306.5</v>
      </c>
      <c r="R2152" s="6"/>
      <c r="S2152" s="6"/>
      <c r="T2152" s="6"/>
      <c r="U2152" s="5">
        <f>MATCH(B2152,Manual_Review!$A$6:$A$238,0)</f>
        <v>135</v>
      </c>
      <c r="V2152" s="5" t="str">
        <f>IF(INDEX(Manual_Review!$G$6:$G$238,U2152)="","",INDEX(Manual_Review!$G$6:$G$238,U2152))</f>
        <v/>
      </c>
      <c r="W2152" s="11" t="str">
        <f>IF(INDEX(Manual_Review!$H$6:$H$238,U2152)="","",INDEX(Manual_Review!$H$6:$H$238,U2152))</f>
        <v/>
      </c>
      <c r="X2152" s="5" t="str">
        <f>IF(INDEX(Manual_Review!$I$6:$I$238,U2152)="","",INDEX(Manual_Review!$I$6:$I$238,U2152))</f>
        <v/>
      </c>
      <c r="Y2152" s="5" t="s">
        <v>2859</v>
      </c>
    </row>
    <row r="2153" spans="1:25" ht="25.5">
      <c r="A2153" s="5" t="s">
        <v>7315</v>
      </c>
      <c r="B2153" s="5" t="s">
        <v>53</v>
      </c>
      <c r="C2153" s="5" t="s">
        <v>1566</v>
      </c>
      <c r="D2153" s="5" t="s">
        <v>118</v>
      </c>
      <c r="E2153" s="5" t="s">
        <v>2784</v>
      </c>
      <c r="F2153" s="5" t="s">
        <v>2756</v>
      </c>
      <c r="G2153" s="5">
        <v>1</v>
      </c>
      <c r="H2153" s="5" t="s">
        <v>2854</v>
      </c>
      <c r="I2153" s="5" t="str">
        <f>IF(INDEX(Manual_Review!$N$6:$N$238,U2153)="","",INDEX(Manual_Review!$N$6:$N$238,U2153))</f>
        <v/>
      </c>
      <c r="J2153" s="5" t="str">
        <f t="shared" si="66"/>
        <v>AI provisional</v>
      </c>
      <c r="K2153" s="5" t="str">
        <f t="shared" si="67"/>
        <v>Y</v>
      </c>
      <c r="L2153" s="5" t="s">
        <v>7316</v>
      </c>
      <c r="M2153" s="5" t="s">
        <v>7317</v>
      </c>
      <c r="N2153" s="5" t="s">
        <v>7318</v>
      </c>
      <c r="O2153" s="5" t="s">
        <v>3089</v>
      </c>
      <c r="P2153" s="5" t="s">
        <v>3090</v>
      </c>
      <c r="Q2153" s="11">
        <v>46306.5</v>
      </c>
      <c r="R2153" s="6"/>
      <c r="S2153" s="6"/>
      <c r="T2153" s="6"/>
      <c r="U2153" s="5">
        <f>MATCH(B2153,Manual_Review!$A$6:$A$238,0)</f>
        <v>135</v>
      </c>
      <c r="V2153" s="5" t="str">
        <f>IF(INDEX(Manual_Review!$G$6:$G$238,U2153)="","",INDEX(Manual_Review!$G$6:$G$238,U2153))</f>
        <v/>
      </c>
      <c r="W2153" s="11" t="str">
        <f>IF(INDEX(Manual_Review!$H$6:$H$238,U2153)="","",INDEX(Manual_Review!$H$6:$H$238,U2153))</f>
        <v/>
      </c>
      <c r="X2153" s="5" t="str">
        <f>IF(INDEX(Manual_Review!$I$6:$I$238,U2153)="","",INDEX(Manual_Review!$I$6:$I$238,U2153))</f>
        <v/>
      </c>
      <c r="Y2153" s="5" t="s">
        <v>2859</v>
      </c>
    </row>
    <row r="2154" spans="1:25" ht="25.5">
      <c r="A2154" s="5" t="s">
        <v>7319</v>
      </c>
      <c r="B2154" s="5" t="s">
        <v>53</v>
      </c>
      <c r="C2154" s="5" t="s">
        <v>1566</v>
      </c>
      <c r="D2154" s="5" t="s">
        <v>118</v>
      </c>
      <c r="E2154" s="5" t="s">
        <v>2785</v>
      </c>
      <c r="F2154" s="5" t="s">
        <v>2756</v>
      </c>
      <c r="G2154" s="5">
        <v>1</v>
      </c>
      <c r="H2154" s="5" t="s">
        <v>2854</v>
      </c>
      <c r="I2154" s="5" t="str">
        <f>IF(INDEX(Manual_Review!$O$6:$O$238,U2154)="","",INDEX(Manual_Review!$O$6:$O$238,U2154))</f>
        <v/>
      </c>
      <c r="J2154" s="5" t="str">
        <f t="shared" si="66"/>
        <v>AI provisional</v>
      </c>
      <c r="K2154" s="5" t="str">
        <f t="shared" si="67"/>
        <v>Y</v>
      </c>
      <c r="L2154" s="5" t="s">
        <v>7316</v>
      </c>
      <c r="M2154" s="5" t="s">
        <v>7320</v>
      </c>
      <c r="N2154" s="5" t="s">
        <v>7321</v>
      </c>
      <c r="O2154" s="5" t="s">
        <v>3089</v>
      </c>
      <c r="P2154" s="5" t="s">
        <v>3090</v>
      </c>
      <c r="Q2154" s="11">
        <v>46306.5</v>
      </c>
      <c r="R2154" s="6"/>
      <c r="S2154" s="6"/>
      <c r="T2154" s="6"/>
      <c r="U2154" s="5">
        <f>MATCH(B2154,Manual_Review!$A$6:$A$238,0)</f>
        <v>135</v>
      </c>
      <c r="V2154" s="5" t="str">
        <f>IF(INDEX(Manual_Review!$G$6:$G$238,U2154)="","",INDEX(Manual_Review!$G$6:$G$238,U2154))</f>
        <v/>
      </c>
      <c r="W2154" s="11" t="str">
        <f>IF(INDEX(Manual_Review!$H$6:$H$238,U2154)="","",INDEX(Manual_Review!$H$6:$H$238,U2154))</f>
        <v/>
      </c>
      <c r="X2154" s="5" t="str">
        <f>IF(INDEX(Manual_Review!$I$6:$I$238,U2154)="","",INDEX(Manual_Review!$I$6:$I$238,U2154))</f>
        <v/>
      </c>
      <c r="Y2154" s="5" t="s">
        <v>2859</v>
      </c>
    </row>
    <row r="2155" spans="1:25" ht="25.5">
      <c r="A2155" s="5" t="s">
        <v>7322</v>
      </c>
      <c r="B2155" s="5" t="s">
        <v>53</v>
      </c>
      <c r="C2155" s="5" t="s">
        <v>1566</v>
      </c>
      <c r="D2155" s="5" t="s">
        <v>118</v>
      </c>
      <c r="E2155" s="5" t="s">
        <v>2786</v>
      </c>
      <c r="F2155" s="5" t="s">
        <v>2756</v>
      </c>
      <c r="G2155" s="5">
        <v>1</v>
      </c>
      <c r="H2155" s="5" t="s">
        <v>2854</v>
      </c>
      <c r="I2155" s="5" t="str">
        <f>IF(INDEX(Manual_Review!$P$6:$P$238,U2155)="","",INDEX(Manual_Review!$P$6:$P$238,U2155))</f>
        <v/>
      </c>
      <c r="J2155" s="5" t="str">
        <f t="shared" si="66"/>
        <v>AI provisional</v>
      </c>
      <c r="K2155" s="5" t="str">
        <f t="shared" si="67"/>
        <v>Y</v>
      </c>
      <c r="L2155" s="5" t="s">
        <v>7316</v>
      </c>
      <c r="M2155" s="5" t="s">
        <v>7323</v>
      </c>
      <c r="N2155" s="5" t="s">
        <v>7324</v>
      </c>
      <c r="O2155" s="5" t="s">
        <v>3089</v>
      </c>
      <c r="P2155" s="5" t="s">
        <v>3090</v>
      </c>
      <c r="Q2155" s="11">
        <v>46306.5</v>
      </c>
      <c r="R2155" s="6"/>
      <c r="S2155" s="6"/>
      <c r="T2155" s="6"/>
      <c r="U2155" s="5">
        <f>MATCH(B2155,Manual_Review!$A$6:$A$238,0)</f>
        <v>135</v>
      </c>
      <c r="V2155" s="5" t="str">
        <f>IF(INDEX(Manual_Review!$G$6:$G$238,U2155)="","",INDEX(Manual_Review!$G$6:$G$238,U2155))</f>
        <v/>
      </c>
      <c r="W2155" s="11" t="str">
        <f>IF(INDEX(Manual_Review!$H$6:$H$238,U2155)="","",INDEX(Manual_Review!$H$6:$H$238,U2155))</f>
        <v/>
      </c>
      <c r="X2155" s="5" t="str">
        <f>IF(INDEX(Manual_Review!$I$6:$I$238,U2155)="","",INDEX(Manual_Review!$I$6:$I$238,U2155))</f>
        <v/>
      </c>
      <c r="Y2155" s="5" t="s">
        <v>2859</v>
      </c>
    </row>
    <row r="2156" spans="1:25" ht="25.5">
      <c r="A2156" s="5" t="s">
        <v>7325</v>
      </c>
      <c r="B2156" s="5" t="s">
        <v>53</v>
      </c>
      <c r="C2156" s="5" t="s">
        <v>1566</v>
      </c>
      <c r="D2156" s="5" t="s">
        <v>118</v>
      </c>
      <c r="E2156" s="5" t="s">
        <v>2787</v>
      </c>
      <c r="F2156" s="5" t="s">
        <v>2758</v>
      </c>
      <c r="G2156" s="5">
        <v>1</v>
      </c>
      <c r="H2156" s="5" t="s">
        <v>2854</v>
      </c>
      <c r="I2156" s="5" t="str">
        <f>IF(INDEX(Manual_Review!$Q$6:$Q$238,U2156)="","",INDEX(Manual_Review!$Q$6:$Q$238,U2156))</f>
        <v/>
      </c>
      <c r="J2156" s="5" t="str">
        <f t="shared" si="66"/>
        <v>AI provisional</v>
      </c>
      <c r="K2156" s="5" t="str">
        <f t="shared" si="67"/>
        <v>Y</v>
      </c>
      <c r="L2156" s="5" t="s">
        <v>7316</v>
      </c>
      <c r="M2156" s="5" t="s">
        <v>7326</v>
      </c>
      <c r="N2156" s="5" t="s">
        <v>7327</v>
      </c>
      <c r="O2156" s="5" t="s">
        <v>3089</v>
      </c>
      <c r="P2156" s="5" t="s">
        <v>3090</v>
      </c>
      <c r="Q2156" s="11">
        <v>46306.5</v>
      </c>
      <c r="R2156" s="6"/>
      <c r="S2156" s="6"/>
      <c r="T2156" s="6"/>
      <c r="U2156" s="5">
        <f>MATCH(B2156,Manual_Review!$A$6:$A$238,0)</f>
        <v>135</v>
      </c>
      <c r="V2156" s="5" t="str">
        <f>IF(INDEX(Manual_Review!$G$6:$G$238,U2156)="","",INDEX(Manual_Review!$G$6:$G$238,U2156))</f>
        <v/>
      </c>
      <c r="W2156" s="11" t="str">
        <f>IF(INDEX(Manual_Review!$H$6:$H$238,U2156)="","",INDEX(Manual_Review!$H$6:$H$238,U2156))</f>
        <v/>
      </c>
      <c r="X2156" s="5" t="str">
        <f>IF(INDEX(Manual_Review!$I$6:$I$238,U2156)="","",INDEX(Manual_Review!$I$6:$I$238,U2156))</f>
        <v/>
      </c>
      <c r="Y2156" s="5" t="s">
        <v>2859</v>
      </c>
    </row>
    <row r="2157" spans="1:25" ht="25.5">
      <c r="A2157" s="5" t="s">
        <v>7328</v>
      </c>
      <c r="B2157" s="5" t="s">
        <v>53</v>
      </c>
      <c r="C2157" s="5" t="s">
        <v>1566</v>
      </c>
      <c r="D2157" s="5" t="s">
        <v>118</v>
      </c>
      <c r="E2157" s="5" t="s">
        <v>2788</v>
      </c>
      <c r="F2157" s="5" t="s">
        <v>2758</v>
      </c>
      <c r="G2157" s="5">
        <v>1</v>
      </c>
      <c r="H2157" s="5" t="s">
        <v>2854</v>
      </c>
      <c r="I2157" s="5" t="str">
        <f>IF(INDEX(Manual_Review!$R$6:$R$238,U2157)="","",INDEX(Manual_Review!$R$6:$R$238,U2157))</f>
        <v/>
      </c>
      <c r="J2157" s="5" t="str">
        <f t="shared" si="66"/>
        <v>AI provisional</v>
      </c>
      <c r="K2157" s="5" t="str">
        <f t="shared" si="67"/>
        <v>Y</v>
      </c>
      <c r="L2157" s="5" t="s">
        <v>7316</v>
      </c>
      <c r="M2157" s="5" t="s">
        <v>7329</v>
      </c>
      <c r="N2157" s="5" t="s">
        <v>7330</v>
      </c>
      <c r="O2157" s="5" t="s">
        <v>3089</v>
      </c>
      <c r="P2157" s="5" t="s">
        <v>3090</v>
      </c>
      <c r="Q2157" s="11">
        <v>46306.5</v>
      </c>
      <c r="R2157" s="6"/>
      <c r="S2157" s="6"/>
      <c r="T2157" s="6"/>
      <c r="U2157" s="5">
        <f>MATCH(B2157,Manual_Review!$A$6:$A$238,0)</f>
        <v>135</v>
      </c>
      <c r="V2157" s="5" t="str">
        <f>IF(INDEX(Manual_Review!$G$6:$G$238,U2157)="","",INDEX(Manual_Review!$G$6:$G$238,U2157))</f>
        <v/>
      </c>
      <c r="W2157" s="11" t="str">
        <f>IF(INDEX(Manual_Review!$H$6:$H$238,U2157)="","",INDEX(Manual_Review!$H$6:$H$238,U2157))</f>
        <v/>
      </c>
      <c r="X2157" s="5" t="str">
        <f>IF(INDEX(Manual_Review!$I$6:$I$238,U2157)="","",INDEX(Manual_Review!$I$6:$I$238,U2157))</f>
        <v/>
      </c>
      <c r="Y2157" s="5" t="s">
        <v>2859</v>
      </c>
    </row>
    <row r="2158" spans="1:25" ht="25.5">
      <c r="A2158" s="5" t="s">
        <v>7331</v>
      </c>
      <c r="B2158" s="5" t="s">
        <v>53</v>
      </c>
      <c r="C2158" s="5" t="s">
        <v>1566</v>
      </c>
      <c r="D2158" s="5" t="s">
        <v>118</v>
      </c>
      <c r="E2158" s="5" t="s">
        <v>2789</v>
      </c>
      <c r="F2158" s="5" t="s">
        <v>2758</v>
      </c>
      <c r="G2158" s="5">
        <v>1</v>
      </c>
      <c r="H2158" s="5" t="s">
        <v>2854</v>
      </c>
      <c r="I2158" s="5" t="str">
        <f>IF(INDEX(Manual_Review!$S$6:$S$238,U2158)="","",INDEX(Manual_Review!$S$6:$S$238,U2158))</f>
        <v/>
      </c>
      <c r="J2158" s="5" t="str">
        <f t="shared" si="66"/>
        <v>AI provisional</v>
      </c>
      <c r="K2158" s="5" t="str">
        <f t="shared" si="67"/>
        <v>Y</v>
      </c>
      <c r="L2158" s="5" t="s">
        <v>7316</v>
      </c>
      <c r="M2158" s="5" t="s">
        <v>7332</v>
      </c>
      <c r="N2158" s="5" t="s">
        <v>7333</v>
      </c>
      <c r="O2158" s="5" t="s">
        <v>3089</v>
      </c>
      <c r="P2158" s="5" t="s">
        <v>3090</v>
      </c>
      <c r="Q2158" s="11">
        <v>46306.5</v>
      </c>
      <c r="R2158" s="6"/>
      <c r="S2158" s="6"/>
      <c r="T2158" s="6"/>
      <c r="U2158" s="5">
        <f>MATCH(B2158,Manual_Review!$A$6:$A$238,0)</f>
        <v>135</v>
      </c>
      <c r="V2158" s="5" t="str">
        <f>IF(INDEX(Manual_Review!$G$6:$G$238,U2158)="","",INDEX(Manual_Review!$G$6:$G$238,U2158))</f>
        <v/>
      </c>
      <c r="W2158" s="11" t="str">
        <f>IF(INDEX(Manual_Review!$H$6:$H$238,U2158)="","",INDEX(Manual_Review!$H$6:$H$238,U2158))</f>
        <v/>
      </c>
      <c r="X2158" s="5" t="str">
        <f>IF(INDEX(Manual_Review!$I$6:$I$238,U2158)="","",INDEX(Manual_Review!$I$6:$I$238,U2158))</f>
        <v/>
      </c>
      <c r="Y2158" s="5" t="s">
        <v>2859</v>
      </c>
    </row>
    <row r="2159" spans="1:25" ht="25.5">
      <c r="A2159" s="5" t="s">
        <v>7334</v>
      </c>
      <c r="B2159" s="5" t="s">
        <v>53</v>
      </c>
      <c r="C2159" s="5" t="s">
        <v>1566</v>
      </c>
      <c r="D2159" s="5" t="s">
        <v>118</v>
      </c>
      <c r="E2159" s="5" t="s">
        <v>2790</v>
      </c>
      <c r="F2159" s="5" t="s">
        <v>2760</v>
      </c>
      <c r="G2159" s="5">
        <v>1</v>
      </c>
      <c r="H2159" s="5" t="s">
        <v>2854</v>
      </c>
      <c r="I2159" s="5" t="str">
        <f>IF(INDEX(Manual_Review!$T$6:$T$238,U2159)="","",INDEX(Manual_Review!$T$6:$T$238,U2159))</f>
        <v/>
      </c>
      <c r="J2159" s="5" t="str">
        <f t="shared" si="66"/>
        <v>AI provisional</v>
      </c>
      <c r="K2159" s="5" t="str">
        <f t="shared" si="67"/>
        <v>Y</v>
      </c>
      <c r="L2159" s="5" t="s">
        <v>1575</v>
      </c>
      <c r="M2159" s="5" t="s">
        <v>4453</v>
      </c>
      <c r="N2159" s="5" t="s">
        <v>7335</v>
      </c>
      <c r="O2159" s="5" t="s">
        <v>3089</v>
      </c>
      <c r="P2159" s="5" t="s">
        <v>3090</v>
      </c>
      <c r="Q2159" s="11">
        <v>46306.5</v>
      </c>
      <c r="R2159" s="6"/>
      <c r="S2159" s="6"/>
      <c r="T2159" s="6"/>
      <c r="U2159" s="5">
        <f>MATCH(B2159,Manual_Review!$A$6:$A$238,0)</f>
        <v>135</v>
      </c>
      <c r="V2159" s="5" t="str">
        <f>IF(INDEX(Manual_Review!$G$6:$G$238,U2159)="","",INDEX(Manual_Review!$G$6:$G$238,U2159))</f>
        <v/>
      </c>
      <c r="W2159" s="11" t="str">
        <f>IF(INDEX(Manual_Review!$H$6:$H$238,U2159)="","",INDEX(Manual_Review!$H$6:$H$238,U2159))</f>
        <v/>
      </c>
      <c r="X2159" s="5" t="str">
        <f>IF(INDEX(Manual_Review!$I$6:$I$238,U2159)="","",INDEX(Manual_Review!$I$6:$I$238,U2159))</f>
        <v/>
      </c>
      <c r="Y2159" s="5" t="s">
        <v>2859</v>
      </c>
    </row>
    <row r="2160" spans="1:25" ht="25.5">
      <c r="A2160" s="5" t="s">
        <v>7336</v>
      </c>
      <c r="B2160" s="5" t="s">
        <v>53</v>
      </c>
      <c r="C2160" s="5" t="s">
        <v>1566</v>
      </c>
      <c r="D2160" s="5" t="s">
        <v>118</v>
      </c>
      <c r="E2160" s="5" t="s">
        <v>2791</v>
      </c>
      <c r="F2160" s="5" t="s">
        <v>2760</v>
      </c>
      <c r="G2160" s="5">
        <v>1</v>
      </c>
      <c r="H2160" s="5" t="s">
        <v>2854</v>
      </c>
      <c r="I2160" s="5" t="str">
        <f>IF(INDEX(Manual_Review!$U$6:$U$238,U2160)="","",INDEX(Manual_Review!$U$6:$U$238,U2160))</f>
        <v/>
      </c>
      <c r="J2160" s="5" t="str">
        <f t="shared" si="66"/>
        <v>AI provisional</v>
      </c>
      <c r="K2160" s="5" t="str">
        <f t="shared" si="67"/>
        <v>Y</v>
      </c>
      <c r="L2160" s="5" t="s">
        <v>7316</v>
      </c>
      <c r="M2160" s="5" t="s">
        <v>7317</v>
      </c>
      <c r="N2160" s="5" t="s">
        <v>7337</v>
      </c>
      <c r="O2160" s="5" t="s">
        <v>3089</v>
      </c>
      <c r="P2160" s="5" t="s">
        <v>3090</v>
      </c>
      <c r="Q2160" s="11">
        <v>46306.5</v>
      </c>
      <c r="R2160" s="6"/>
      <c r="S2160" s="6"/>
      <c r="T2160" s="6"/>
      <c r="U2160" s="5">
        <f>MATCH(B2160,Manual_Review!$A$6:$A$238,0)</f>
        <v>135</v>
      </c>
      <c r="V2160" s="5" t="str">
        <f>IF(INDEX(Manual_Review!$G$6:$G$238,U2160)="","",INDEX(Manual_Review!$G$6:$G$238,U2160))</f>
        <v/>
      </c>
      <c r="W2160" s="11" t="str">
        <f>IF(INDEX(Manual_Review!$H$6:$H$238,U2160)="","",INDEX(Manual_Review!$H$6:$H$238,U2160))</f>
        <v/>
      </c>
      <c r="X2160" s="5" t="str">
        <f>IF(INDEX(Manual_Review!$I$6:$I$238,U2160)="","",INDEX(Manual_Review!$I$6:$I$238,U2160))</f>
        <v/>
      </c>
      <c r="Y2160" s="5" t="s">
        <v>2859</v>
      </c>
    </row>
    <row r="2161" spans="1:25" ht="25.5">
      <c r="A2161" s="5" t="s">
        <v>7338</v>
      </c>
      <c r="B2161" s="5" t="s">
        <v>53</v>
      </c>
      <c r="C2161" s="5" t="s">
        <v>1566</v>
      </c>
      <c r="D2161" s="5" t="s">
        <v>118</v>
      </c>
      <c r="E2161" s="5" t="s">
        <v>2792</v>
      </c>
      <c r="F2161" s="5" t="s">
        <v>2762</v>
      </c>
      <c r="G2161" s="5">
        <v>1</v>
      </c>
      <c r="H2161" s="5" t="s">
        <v>2854</v>
      </c>
      <c r="I2161" s="5" t="str">
        <f>IF(INDEX(Manual_Review!$V$6:$V$238,U2161)="","",INDEX(Manual_Review!$V$6:$V$238,U2161))</f>
        <v/>
      </c>
      <c r="J2161" s="5" t="str">
        <f t="shared" si="66"/>
        <v>AI provisional</v>
      </c>
      <c r="K2161" s="5" t="str">
        <f t="shared" si="67"/>
        <v>Y</v>
      </c>
      <c r="L2161" s="5" t="s">
        <v>7316</v>
      </c>
      <c r="M2161" s="5" t="s">
        <v>7339</v>
      </c>
      <c r="N2161" s="5" t="s">
        <v>7340</v>
      </c>
      <c r="O2161" s="5" t="s">
        <v>3089</v>
      </c>
      <c r="P2161" s="5" t="s">
        <v>3090</v>
      </c>
      <c r="Q2161" s="11">
        <v>46306.5</v>
      </c>
      <c r="R2161" s="6"/>
      <c r="S2161" s="6"/>
      <c r="T2161" s="6"/>
      <c r="U2161" s="5">
        <f>MATCH(B2161,Manual_Review!$A$6:$A$238,0)</f>
        <v>135</v>
      </c>
      <c r="V2161" s="5" t="str">
        <f>IF(INDEX(Manual_Review!$G$6:$G$238,U2161)="","",INDEX(Manual_Review!$G$6:$G$238,U2161))</f>
        <v/>
      </c>
      <c r="W2161" s="11" t="str">
        <f>IF(INDEX(Manual_Review!$H$6:$H$238,U2161)="","",INDEX(Manual_Review!$H$6:$H$238,U2161))</f>
        <v/>
      </c>
      <c r="X2161" s="5" t="str">
        <f>IF(INDEX(Manual_Review!$I$6:$I$238,U2161)="","",INDEX(Manual_Review!$I$6:$I$238,U2161))</f>
        <v/>
      </c>
      <c r="Y2161" s="5" t="s">
        <v>2859</v>
      </c>
    </row>
    <row r="2162" spans="1:25" ht="25.5">
      <c r="A2162" s="5" t="s">
        <v>7341</v>
      </c>
      <c r="B2162" s="5" t="s">
        <v>53</v>
      </c>
      <c r="C2162" s="5" t="s">
        <v>1566</v>
      </c>
      <c r="D2162" s="5" t="s">
        <v>118</v>
      </c>
      <c r="E2162" s="5" t="s">
        <v>2793</v>
      </c>
      <c r="F2162" s="5" t="s">
        <v>2762</v>
      </c>
      <c r="G2162" s="5">
        <v>1</v>
      </c>
      <c r="H2162" s="5" t="s">
        <v>2854</v>
      </c>
      <c r="I2162" s="5" t="str">
        <f>IF(INDEX(Manual_Review!$W$6:$W$238,U2162)="","",INDEX(Manual_Review!$W$6:$W$238,U2162))</f>
        <v/>
      </c>
      <c r="J2162" s="5" t="str">
        <f t="shared" si="66"/>
        <v>AI provisional</v>
      </c>
      <c r="K2162" s="5" t="str">
        <f t="shared" si="67"/>
        <v>Y</v>
      </c>
      <c r="L2162" s="5" t="s">
        <v>7316</v>
      </c>
      <c r="M2162" s="5" t="s">
        <v>7317</v>
      </c>
      <c r="N2162" s="5" t="s">
        <v>7342</v>
      </c>
      <c r="O2162" s="5" t="s">
        <v>3089</v>
      </c>
      <c r="P2162" s="5" t="s">
        <v>3090</v>
      </c>
      <c r="Q2162" s="11">
        <v>46306.5</v>
      </c>
      <c r="R2162" s="6"/>
      <c r="S2162" s="6"/>
      <c r="T2162" s="6"/>
      <c r="U2162" s="5">
        <f>MATCH(B2162,Manual_Review!$A$6:$A$238,0)</f>
        <v>135</v>
      </c>
      <c r="V2162" s="5" t="str">
        <f>IF(INDEX(Manual_Review!$G$6:$G$238,U2162)="","",INDEX(Manual_Review!$G$6:$G$238,U2162))</f>
        <v/>
      </c>
      <c r="W2162" s="11" t="str">
        <f>IF(INDEX(Manual_Review!$H$6:$H$238,U2162)="","",INDEX(Manual_Review!$H$6:$H$238,U2162))</f>
        <v/>
      </c>
      <c r="X2162" s="5" t="str">
        <f>IF(INDEX(Manual_Review!$I$6:$I$238,U2162)="","",INDEX(Manual_Review!$I$6:$I$238,U2162))</f>
        <v/>
      </c>
      <c r="Y2162" s="5" t="s">
        <v>2859</v>
      </c>
    </row>
    <row r="2163" spans="1:25" ht="25.5">
      <c r="A2163" s="5" t="s">
        <v>7343</v>
      </c>
      <c r="B2163" s="5" t="s">
        <v>53</v>
      </c>
      <c r="C2163" s="5" t="s">
        <v>1566</v>
      </c>
      <c r="D2163" s="5" t="s">
        <v>118</v>
      </c>
      <c r="E2163" s="5" t="s">
        <v>2794</v>
      </c>
      <c r="F2163" s="5" t="s">
        <v>2764</v>
      </c>
      <c r="G2163" s="5">
        <v>1</v>
      </c>
      <c r="H2163" s="5" t="s">
        <v>2854</v>
      </c>
      <c r="I2163" s="5" t="str">
        <f>IF(INDEX(Manual_Review!$X$6:$X$238,U2163)="","",INDEX(Manual_Review!$X$6:$X$238,U2163))</f>
        <v/>
      </c>
      <c r="J2163" s="5" t="str">
        <f t="shared" si="66"/>
        <v>AI provisional</v>
      </c>
      <c r="K2163" s="5" t="str">
        <f t="shared" si="67"/>
        <v>Y</v>
      </c>
      <c r="L2163" s="5" t="s">
        <v>7316</v>
      </c>
      <c r="M2163" s="5" t="s">
        <v>7329</v>
      </c>
      <c r="N2163" s="5" t="s">
        <v>7344</v>
      </c>
      <c r="O2163" s="5" t="s">
        <v>3089</v>
      </c>
      <c r="P2163" s="5" t="s">
        <v>3090</v>
      </c>
      <c r="Q2163" s="11">
        <v>46306.5</v>
      </c>
      <c r="R2163" s="6"/>
      <c r="S2163" s="6"/>
      <c r="T2163" s="6"/>
      <c r="U2163" s="5">
        <f>MATCH(B2163,Manual_Review!$A$6:$A$238,0)</f>
        <v>135</v>
      </c>
      <c r="V2163" s="5" t="str">
        <f>IF(INDEX(Manual_Review!$G$6:$G$238,U2163)="","",INDEX(Manual_Review!$G$6:$G$238,U2163))</f>
        <v/>
      </c>
      <c r="W2163" s="11" t="str">
        <f>IF(INDEX(Manual_Review!$H$6:$H$238,U2163)="","",INDEX(Manual_Review!$H$6:$H$238,U2163))</f>
        <v/>
      </c>
      <c r="X2163" s="5" t="str">
        <f>IF(INDEX(Manual_Review!$I$6:$I$238,U2163)="","",INDEX(Manual_Review!$I$6:$I$238,U2163))</f>
        <v/>
      </c>
      <c r="Y2163" s="5" t="s">
        <v>2859</v>
      </c>
    </row>
    <row r="2164" spans="1:25" ht="25.5">
      <c r="A2164" s="5" t="s">
        <v>7345</v>
      </c>
      <c r="B2164" s="5" t="s">
        <v>53</v>
      </c>
      <c r="C2164" s="5" t="s">
        <v>1566</v>
      </c>
      <c r="D2164" s="5" t="s">
        <v>118</v>
      </c>
      <c r="E2164" s="5" t="s">
        <v>2795</v>
      </c>
      <c r="F2164" s="5" t="s">
        <v>2764</v>
      </c>
      <c r="G2164" s="5">
        <v>1</v>
      </c>
      <c r="H2164" s="5" t="s">
        <v>2854</v>
      </c>
      <c r="I2164" s="5" t="str">
        <f>IF(INDEX(Manual_Review!$Y$6:$Y$238,U2164)="","",INDEX(Manual_Review!$Y$6:$Y$238,U2164))</f>
        <v/>
      </c>
      <c r="J2164" s="5" t="str">
        <f t="shared" si="66"/>
        <v>AI provisional</v>
      </c>
      <c r="K2164" s="5" t="str">
        <f t="shared" si="67"/>
        <v>Y</v>
      </c>
      <c r="L2164" s="5" t="s">
        <v>7316</v>
      </c>
      <c r="M2164" s="5" t="s">
        <v>7346</v>
      </c>
      <c r="N2164" s="5" t="s">
        <v>7347</v>
      </c>
      <c r="O2164" s="5" t="s">
        <v>3089</v>
      </c>
      <c r="P2164" s="5" t="s">
        <v>3090</v>
      </c>
      <c r="Q2164" s="11">
        <v>46306.5</v>
      </c>
      <c r="R2164" s="6"/>
      <c r="S2164" s="6"/>
      <c r="T2164" s="6"/>
      <c r="U2164" s="5">
        <f>MATCH(B2164,Manual_Review!$A$6:$A$238,0)</f>
        <v>135</v>
      </c>
      <c r="V2164" s="5" t="str">
        <f>IF(INDEX(Manual_Review!$G$6:$G$238,U2164)="","",INDEX(Manual_Review!$G$6:$G$238,U2164))</f>
        <v/>
      </c>
      <c r="W2164" s="11" t="str">
        <f>IF(INDEX(Manual_Review!$H$6:$H$238,U2164)="","",INDEX(Manual_Review!$H$6:$H$238,U2164))</f>
        <v/>
      </c>
      <c r="X2164" s="5" t="str">
        <f>IF(INDEX(Manual_Review!$I$6:$I$238,U2164)="","",INDEX(Manual_Review!$I$6:$I$238,U2164))</f>
        <v/>
      </c>
      <c r="Y2164" s="5" t="s">
        <v>2859</v>
      </c>
    </row>
    <row r="2165" spans="1:25" ht="25.5">
      <c r="A2165" s="5" t="s">
        <v>7348</v>
      </c>
      <c r="B2165" s="5" t="s">
        <v>53</v>
      </c>
      <c r="C2165" s="5" t="s">
        <v>1566</v>
      </c>
      <c r="D2165" s="5" t="s">
        <v>118</v>
      </c>
      <c r="E2165" s="5" t="s">
        <v>2796</v>
      </c>
      <c r="F2165" s="5" t="s">
        <v>2764</v>
      </c>
      <c r="G2165" s="5">
        <v>1</v>
      </c>
      <c r="H2165" s="5" t="s">
        <v>2854</v>
      </c>
      <c r="I2165" s="5" t="str">
        <f>IF(INDEX(Manual_Review!$Z$6:$Z$238,U2165)="","",INDEX(Manual_Review!$Z$6:$Z$238,U2165))</f>
        <v/>
      </c>
      <c r="J2165" s="5" t="str">
        <f t="shared" si="66"/>
        <v>AI provisional</v>
      </c>
      <c r="K2165" s="5" t="str">
        <f t="shared" si="67"/>
        <v>Y</v>
      </c>
      <c r="L2165" s="5" t="s">
        <v>7316</v>
      </c>
      <c r="M2165" s="5" t="s">
        <v>7349</v>
      </c>
      <c r="N2165" s="5" t="s">
        <v>7350</v>
      </c>
      <c r="O2165" s="5" t="s">
        <v>3089</v>
      </c>
      <c r="P2165" s="5" t="s">
        <v>3090</v>
      </c>
      <c r="Q2165" s="11">
        <v>46306.5</v>
      </c>
      <c r="R2165" s="6"/>
      <c r="S2165" s="6"/>
      <c r="T2165" s="6"/>
      <c r="U2165" s="5">
        <f>MATCH(B2165,Manual_Review!$A$6:$A$238,0)</f>
        <v>135</v>
      </c>
      <c r="V2165" s="5" t="str">
        <f>IF(INDEX(Manual_Review!$G$6:$G$238,U2165)="","",INDEX(Manual_Review!$G$6:$G$238,U2165))</f>
        <v/>
      </c>
      <c r="W2165" s="11" t="str">
        <f>IF(INDEX(Manual_Review!$H$6:$H$238,U2165)="","",INDEX(Manual_Review!$H$6:$H$238,U2165))</f>
        <v/>
      </c>
      <c r="X2165" s="5" t="str">
        <f>IF(INDEX(Manual_Review!$I$6:$I$238,U2165)="","",INDEX(Manual_Review!$I$6:$I$238,U2165))</f>
        <v/>
      </c>
      <c r="Y2165" s="5" t="s">
        <v>2859</v>
      </c>
    </row>
    <row r="2166" spans="1:25" ht="38.25">
      <c r="A2166" s="5" t="s">
        <v>7351</v>
      </c>
      <c r="B2166" s="5" t="s">
        <v>1578</v>
      </c>
      <c r="C2166" s="5" t="s">
        <v>1579</v>
      </c>
      <c r="D2166" s="5" t="s">
        <v>118</v>
      </c>
      <c r="E2166" s="5" t="s">
        <v>2781</v>
      </c>
      <c r="F2166" s="5" t="s">
        <v>2754</v>
      </c>
      <c r="G2166" s="5">
        <v>1</v>
      </c>
      <c r="H2166" s="5" t="s">
        <v>2854</v>
      </c>
      <c r="I2166" s="5" t="str">
        <f>IF(INDEX(Manual_Review!$K$6:$K$238,U2166)="","",INDEX(Manual_Review!$K$6:$K$238,U2166))</f>
        <v/>
      </c>
      <c r="J2166" s="5" t="str">
        <f t="shared" si="66"/>
        <v>AI provisional</v>
      </c>
      <c r="K2166" s="5" t="str">
        <f t="shared" si="67"/>
        <v>Y</v>
      </c>
      <c r="L2166" s="5" t="s">
        <v>1586</v>
      </c>
      <c r="M2166" s="5" t="s">
        <v>7352</v>
      </c>
      <c r="N2166" s="5" t="s">
        <v>7353</v>
      </c>
      <c r="O2166" s="5" t="s">
        <v>2857</v>
      </c>
      <c r="P2166" s="5" t="s">
        <v>2858</v>
      </c>
      <c r="Q2166" s="11">
        <v>46306.5</v>
      </c>
      <c r="R2166" s="6"/>
      <c r="S2166" s="6"/>
      <c r="T2166" s="6"/>
      <c r="U2166" s="5">
        <f>MATCH(B2166,Manual_Review!$A$6:$A$238,0)</f>
        <v>136</v>
      </c>
      <c r="V2166" s="5" t="str">
        <f>IF(INDEX(Manual_Review!$G$6:$G$238,U2166)="","",INDEX(Manual_Review!$G$6:$G$238,U2166))</f>
        <v/>
      </c>
      <c r="W2166" s="11" t="str">
        <f>IF(INDEX(Manual_Review!$H$6:$H$238,U2166)="","",INDEX(Manual_Review!$H$6:$H$238,U2166))</f>
        <v/>
      </c>
      <c r="X2166" s="5" t="str">
        <f>IF(INDEX(Manual_Review!$I$6:$I$238,U2166)="","",INDEX(Manual_Review!$I$6:$I$238,U2166))</f>
        <v/>
      </c>
      <c r="Y2166" s="5" t="s">
        <v>2859</v>
      </c>
    </row>
    <row r="2167" spans="1:25" ht="38.25">
      <c r="A2167" s="5" t="s">
        <v>7354</v>
      </c>
      <c r="B2167" s="5" t="s">
        <v>1578</v>
      </c>
      <c r="C2167" s="5" t="s">
        <v>1579</v>
      </c>
      <c r="D2167" s="5" t="s">
        <v>118</v>
      </c>
      <c r="E2167" s="5" t="s">
        <v>2782</v>
      </c>
      <c r="F2167" s="5" t="s">
        <v>2754</v>
      </c>
      <c r="G2167" s="5">
        <v>1</v>
      </c>
      <c r="H2167" s="5" t="s">
        <v>2854</v>
      </c>
      <c r="I2167" s="5" t="str">
        <f>IF(INDEX(Manual_Review!$L$6:$L$238,U2167)="","",INDEX(Manual_Review!$L$6:$L$238,U2167))</f>
        <v/>
      </c>
      <c r="J2167" s="5" t="str">
        <f t="shared" si="66"/>
        <v>AI provisional</v>
      </c>
      <c r="K2167" s="5" t="str">
        <f t="shared" si="67"/>
        <v>Y</v>
      </c>
      <c r="L2167" s="5" t="s">
        <v>1586</v>
      </c>
      <c r="M2167" s="5" t="s">
        <v>7355</v>
      </c>
      <c r="N2167" s="5" t="s">
        <v>7353</v>
      </c>
      <c r="O2167" s="5" t="s">
        <v>2862</v>
      </c>
      <c r="P2167" s="5" t="s">
        <v>2858</v>
      </c>
      <c r="Q2167" s="11">
        <v>46306.5</v>
      </c>
      <c r="R2167" s="6"/>
      <c r="S2167" s="6"/>
      <c r="T2167" s="6"/>
      <c r="U2167" s="5">
        <f>MATCH(B2167,Manual_Review!$A$6:$A$238,0)</f>
        <v>136</v>
      </c>
      <c r="V2167" s="5" t="str">
        <f>IF(INDEX(Manual_Review!$G$6:$G$238,U2167)="","",INDEX(Manual_Review!$G$6:$G$238,U2167))</f>
        <v/>
      </c>
      <c r="W2167" s="11" t="str">
        <f>IF(INDEX(Manual_Review!$H$6:$H$238,U2167)="","",INDEX(Manual_Review!$H$6:$H$238,U2167))</f>
        <v/>
      </c>
      <c r="X2167" s="5" t="str">
        <f>IF(INDEX(Manual_Review!$I$6:$I$238,U2167)="","",INDEX(Manual_Review!$I$6:$I$238,U2167))</f>
        <v/>
      </c>
      <c r="Y2167" s="5" t="s">
        <v>2859</v>
      </c>
    </row>
    <row r="2168" spans="1:25" ht="38.25">
      <c r="A2168" s="5" t="s">
        <v>7356</v>
      </c>
      <c r="B2168" s="5" t="s">
        <v>1578</v>
      </c>
      <c r="C2168" s="5" t="s">
        <v>1579</v>
      </c>
      <c r="D2168" s="5" t="s">
        <v>118</v>
      </c>
      <c r="E2168" s="5" t="s">
        <v>2783</v>
      </c>
      <c r="F2168" s="5" t="s">
        <v>2754</v>
      </c>
      <c r="G2168" s="5">
        <v>1</v>
      </c>
      <c r="H2168" s="5" t="s">
        <v>2864</v>
      </c>
      <c r="I2168" s="5" t="str">
        <f>IF(INDEX(Manual_Review!$M$6:$M$238,U2168)="","",INDEX(Manual_Review!$M$6:$M$238,U2168))</f>
        <v/>
      </c>
      <c r="J2168" s="5" t="str">
        <f t="shared" si="66"/>
        <v>AI provisional</v>
      </c>
      <c r="K2168" s="5" t="str">
        <f t="shared" si="67"/>
        <v>U</v>
      </c>
      <c r="L2168" s="5" t="s">
        <v>1586</v>
      </c>
      <c r="M2168" s="5" t="s">
        <v>7357</v>
      </c>
      <c r="N2168" s="5" t="s">
        <v>7353</v>
      </c>
      <c r="O2168" s="5" t="s">
        <v>2866</v>
      </c>
      <c r="P2168" s="5" t="s">
        <v>2858</v>
      </c>
      <c r="Q2168" s="11">
        <v>46306.5</v>
      </c>
      <c r="R2168" s="6"/>
      <c r="S2168" s="6"/>
      <c r="T2168" s="6"/>
      <c r="U2168" s="5">
        <f>MATCH(B2168,Manual_Review!$A$6:$A$238,0)</f>
        <v>136</v>
      </c>
      <c r="V2168" s="5" t="str">
        <f>IF(INDEX(Manual_Review!$G$6:$G$238,U2168)="","",INDEX(Manual_Review!$G$6:$G$238,U2168))</f>
        <v/>
      </c>
      <c r="W2168" s="11" t="str">
        <f>IF(INDEX(Manual_Review!$H$6:$H$238,U2168)="","",INDEX(Manual_Review!$H$6:$H$238,U2168))</f>
        <v/>
      </c>
      <c r="X2168" s="5" t="str">
        <f>IF(INDEX(Manual_Review!$I$6:$I$238,U2168)="","",INDEX(Manual_Review!$I$6:$I$238,U2168))</f>
        <v/>
      </c>
      <c r="Y2168" s="5" t="s">
        <v>2859</v>
      </c>
    </row>
    <row r="2169" spans="1:25" ht="38.25">
      <c r="A2169" s="5" t="s">
        <v>7358</v>
      </c>
      <c r="B2169" s="5" t="s">
        <v>1578</v>
      </c>
      <c r="C2169" s="5" t="s">
        <v>1579</v>
      </c>
      <c r="D2169" s="5" t="s">
        <v>118</v>
      </c>
      <c r="E2169" s="5" t="s">
        <v>2784</v>
      </c>
      <c r="F2169" s="5" t="s">
        <v>2756</v>
      </c>
      <c r="G2169" s="5">
        <v>1</v>
      </c>
      <c r="H2169" s="5" t="s">
        <v>2854</v>
      </c>
      <c r="I2169" s="5" t="str">
        <f>IF(INDEX(Manual_Review!$N$6:$N$238,U2169)="","",INDEX(Manual_Review!$N$6:$N$238,U2169))</f>
        <v/>
      </c>
      <c r="J2169" s="5" t="str">
        <f t="shared" si="66"/>
        <v>AI provisional</v>
      </c>
      <c r="K2169" s="5" t="str">
        <f t="shared" si="67"/>
        <v>Y</v>
      </c>
      <c r="L2169" s="5" t="s">
        <v>1586</v>
      </c>
      <c r="M2169" s="5" t="s">
        <v>7359</v>
      </c>
      <c r="N2169" s="5" t="s">
        <v>7353</v>
      </c>
      <c r="O2169" s="5" t="s">
        <v>2963</v>
      </c>
      <c r="P2169" s="5" t="s">
        <v>2858</v>
      </c>
      <c r="Q2169" s="11">
        <v>46306.5</v>
      </c>
      <c r="R2169" s="6"/>
      <c r="S2169" s="6"/>
      <c r="T2169" s="6"/>
      <c r="U2169" s="5">
        <f>MATCH(B2169,Manual_Review!$A$6:$A$238,0)</f>
        <v>136</v>
      </c>
      <c r="V2169" s="5" t="str">
        <f>IF(INDEX(Manual_Review!$G$6:$G$238,U2169)="","",INDEX(Manual_Review!$G$6:$G$238,U2169))</f>
        <v/>
      </c>
      <c r="W2169" s="11" t="str">
        <f>IF(INDEX(Manual_Review!$H$6:$H$238,U2169)="","",INDEX(Manual_Review!$H$6:$H$238,U2169))</f>
        <v/>
      </c>
      <c r="X2169" s="5" t="str">
        <f>IF(INDEX(Manual_Review!$I$6:$I$238,U2169)="","",INDEX(Manual_Review!$I$6:$I$238,U2169))</f>
        <v/>
      </c>
      <c r="Y2169" s="5" t="s">
        <v>2859</v>
      </c>
    </row>
    <row r="2170" spans="1:25" ht="38.25">
      <c r="A2170" s="5" t="s">
        <v>7360</v>
      </c>
      <c r="B2170" s="5" t="s">
        <v>1578</v>
      </c>
      <c r="C2170" s="5" t="s">
        <v>1579</v>
      </c>
      <c r="D2170" s="5" t="s">
        <v>118</v>
      </c>
      <c r="E2170" s="5" t="s">
        <v>2785</v>
      </c>
      <c r="F2170" s="5" t="s">
        <v>2756</v>
      </c>
      <c r="G2170" s="5">
        <v>1</v>
      </c>
      <c r="H2170" s="5" t="s">
        <v>2854</v>
      </c>
      <c r="I2170" s="5" t="str">
        <f>IF(INDEX(Manual_Review!$O$6:$O$238,U2170)="","",INDEX(Manual_Review!$O$6:$O$238,U2170))</f>
        <v/>
      </c>
      <c r="J2170" s="5" t="str">
        <f t="shared" si="66"/>
        <v>AI provisional</v>
      </c>
      <c r="K2170" s="5" t="str">
        <f t="shared" si="67"/>
        <v>Y</v>
      </c>
      <c r="L2170" s="5" t="s">
        <v>1586</v>
      </c>
      <c r="M2170" s="5" t="s">
        <v>7361</v>
      </c>
      <c r="N2170" s="5" t="s">
        <v>7353</v>
      </c>
      <c r="O2170" s="5" t="s">
        <v>3138</v>
      </c>
      <c r="P2170" s="5" t="s">
        <v>2858</v>
      </c>
      <c r="Q2170" s="11">
        <v>46306.5</v>
      </c>
      <c r="R2170" s="6"/>
      <c r="S2170" s="6"/>
      <c r="T2170" s="6"/>
      <c r="U2170" s="5">
        <f>MATCH(B2170,Manual_Review!$A$6:$A$238,0)</f>
        <v>136</v>
      </c>
      <c r="V2170" s="5" t="str">
        <f>IF(INDEX(Manual_Review!$G$6:$G$238,U2170)="","",INDEX(Manual_Review!$G$6:$G$238,U2170))</f>
        <v/>
      </c>
      <c r="W2170" s="11" t="str">
        <f>IF(INDEX(Manual_Review!$H$6:$H$238,U2170)="","",INDEX(Manual_Review!$H$6:$H$238,U2170))</f>
        <v/>
      </c>
      <c r="X2170" s="5" t="str">
        <f>IF(INDEX(Manual_Review!$I$6:$I$238,U2170)="","",INDEX(Manual_Review!$I$6:$I$238,U2170))</f>
        <v/>
      </c>
      <c r="Y2170" s="5" t="s">
        <v>2859</v>
      </c>
    </row>
    <row r="2171" spans="1:25" ht="38.25">
      <c r="A2171" s="5" t="s">
        <v>7362</v>
      </c>
      <c r="B2171" s="5" t="s">
        <v>1578</v>
      </c>
      <c r="C2171" s="5" t="s">
        <v>1579</v>
      </c>
      <c r="D2171" s="5" t="s">
        <v>118</v>
      </c>
      <c r="E2171" s="5" t="s">
        <v>2786</v>
      </c>
      <c r="F2171" s="5" t="s">
        <v>2756</v>
      </c>
      <c r="G2171" s="5">
        <v>1</v>
      </c>
      <c r="H2171" s="5" t="s">
        <v>2864</v>
      </c>
      <c r="I2171" s="5" t="str">
        <f>IF(INDEX(Manual_Review!$P$6:$P$238,U2171)="","",INDEX(Manual_Review!$P$6:$P$238,U2171))</f>
        <v/>
      </c>
      <c r="J2171" s="5" t="str">
        <f t="shared" si="66"/>
        <v>AI provisional</v>
      </c>
      <c r="K2171" s="5" t="str">
        <f t="shared" si="67"/>
        <v>U</v>
      </c>
      <c r="L2171" s="5" t="s">
        <v>1586</v>
      </c>
      <c r="M2171" s="5" t="s">
        <v>7357</v>
      </c>
      <c r="N2171" s="5" t="s">
        <v>7353</v>
      </c>
      <c r="O2171" s="5" t="s">
        <v>2874</v>
      </c>
      <c r="P2171" s="5" t="s">
        <v>2858</v>
      </c>
      <c r="Q2171" s="11">
        <v>46306.5</v>
      </c>
      <c r="R2171" s="6"/>
      <c r="S2171" s="6"/>
      <c r="T2171" s="6"/>
      <c r="U2171" s="5">
        <f>MATCH(B2171,Manual_Review!$A$6:$A$238,0)</f>
        <v>136</v>
      </c>
      <c r="V2171" s="5" t="str">
        <f>IF(INDEX(Manual_Review!$G$6:$G$238,U2171)="","",INDEX(Manual_Review!$G$6:$G$238,U2171))</f>
        <v/>
      </c>
      <c r="W2171" s="11" t="str">
        <f>IF(INDEX(Manual_Review!$H$6:$H$238,U2171)="","",INDEX(Manual_Review!$H$6:$H$238,U2171))</f>
        <v/>
      </c>
      <c r="X2171" s="5" t="str">
        <f>IF(INDEX(Manual_Review!$I$6:$I$238,U2171)="","",INDEX(Manual_Review!$I$6:$I$238,U2171))</f>
        <v/>
      </c>
      <c r="Y2171" s="5" t="s">
        <v>2859</v>
      </c>
    </row>
    <row r="2172" spans="1:25" ht="38.25">
      <c r="A2172" s="5" t="s">
        <v>7363</v>
      </c>
      <c r="B2172" s="5" t="s">
        <v>1578</v>
      </c>
      <c r="C2172" s="5" t="s">
        <v>1579</v>
      </c>
      <c r="D2172" s="5" t="s">
        <v>118</v>
      </c>
      <c r="E2172" s="5" t="s">
        <v>2787</v>
      </c>
      <c r="F2172" s="5" t="s">
        <v>2758</v>
      </c>
      <c r="G2172" s="5">
        <v>1</v>
      </c>
      <c r="H2172" s="5" t="s">
        <v>2864</v>
      </c>
      <c r="I2172" s="5" t="str">
        <f>IF(INDEX(Manual_Review!$Q$6:$Q$238,U2172)="","",INDEX(Manual_Review!$Q$6:$Q$238,U2172))</f>
        <v/>
      </c>
      <c r="J2172" s="5" t="str">
        <f t="shared" si="66"/>
        <v>AI provisional</v>
      </c>
      <c r="K2172" s="5" t="str">
        <f t="shared" si="67"/>
        <v>U</v>
      </c>
      <c r="L2172" s="5" t="s">
        <v>1586</v>
      </c>
      <c r="M2172" s="5" t="s">
        <v>7364</v>
      </c>
      <c r="N2172" s="5" t="s">
        <v>7353</v>
      </c>
      <c r="O2172" s="5" t="s">
        <v>2877</v>
      </c>
      <c r="P2172" s="5" t="s">
        <v>2858</v>
      </c>
      <c r="Q2172" s="11">
        <v>46306.5</v>
      </c>
      <c r="R2172" s="6"/>
      <c r="S2172" s="6"/>
      <c r="T2172" s="6"/>
      <c r="U2172" s="5">
        <f>MATCH(B2172,Manual_Review!$A$6:$A$238,0)</f>
        <v>136</v>
      </c>
      <c r="V2172" s="5" t="str">
        <f>IF(INDEX(Manual_Review!$G$6:$G$238,U2172)="","",INDEX(Manual_Review!$G$6:$G$238,U2172))</f>
        <v/>
      </c>
      <c r="W2172" s="11" t="str">
        <f>IF(INDEX(Manual_Review!$H$6:$H$238,U2172)="","",INDEX(Manual_Review!$H$6:$H$238,U2172))</f>
        <v/>
      </c>
      <c r="X2172" s="5" t="str">
        <f>IF(INDEX(Manual_Review!$I$6:$I$238,U2172)="","",INDEX(Manual_Review!$I$6:$I$238,U2172))</f>
        <v/>
      </c>
      <c r="Y2172" s="5" t="s">
        <v>2859</v>
      </c>
    </row>
    <row r="2173" spans="1:25" ht="38.25">
      <c r="A2173" s="5" t="s">
        <v>7365</v>
      </c>
      <c r="B2173" s="5" t="s">
        <v>1578</v>
      </c>
      <c r="C2173" s="5" t="s">
        <v>1579</v>
      </c>
      <c r="D2173" s="5" t="s">
        <v>118</v>
      </c>
      <c r="E2173" s="5" t="s">
        <v>2788</v>
      </c>
      <c r="F2173" s="5" t="s">
        <v>2758</v>
      </c>
      <c r="G2173" s="5">
        <v>1</v>
      </c>
      <c r="H2173" s="5" t="s">
        <v>2854</v>
      </c>
      <c r="I2173" s="5" t="str">
        <f>IF(INDEX(Manual_Review!$R$6:$R$238,U2173)="","",INDEX(Manual_Review!$R$6:$R$238,U2173))</f>
        <v/>
      </c>
      <c r="J2173" s="5" t="str">
        <f t="shared" si="66"/>
        <v>AI provisional</v>
      </c>
      <c r="K2173" s="5" t="str">
        <f t="shared" si="67"/>
        <v>Y</v>
      </c>
      <c r="L2173" s="5" t="s">
        <v>1586</v>
      </c>
      <c r="M2173" s="5" t="s">
        <v>7366</v>
      </c>
      <c r="N2173" s="5" t="s">
        <v>7353</v>
      </c>
      <c r="O2173" s="5" t="s">
        <v>3067</v>
      </c>
      <c r="P2173" s="5" t="s">
        <v>2858</v>
      </c>
      <c r="Q2173" s="11">
        <v>46306.5</v>
      </c>
      <c r="R2173" s="6"/>
      <c r="S2173" s="6"/>
      <c r="T2173" s="6"/>
      <c r="U2173" s="5">
        <f>MATCH(B2173,Manual_Review!$A$6:$A$238,0)</f>
        <v>136</v>
      </c>
      <c r="V2173" s="5" t="str">
        <f>IF(INDEX(Manual_Review!$G$6:$G$238,U2173)="","",INDEX(Manual_Review!$G$6:$G$238,U2173))</f>
        <v/>
      </c>
      <c r="W2173" s="11" t="str">
        <f>IF(INDEX(Manual_Review!$H$6:$H$238,U2173)="","",INDEX(Manual_Review!$H$6:$H$238,U2173))</f>
        <v/>
      </c>
      <c r="X2173" s="5" t="str">
        <f>IF(INDEX(Manual_Review!$I$6:$I$238,U2173)="","",INDEX(Manual_Review!$I$6:$I$238,U2173))</f>
        <v/>
      </c>
      <c r="Y2173" s="5" t="s">
        <v>2859</v>
      </c>
    </row>
    <row r="2174" spans="1:25" ht="38.25">
      <c r="A2174" s="5" t="s">
        <v>7367</v>
      </c>
      <c r="B2174" s="5" t="s">
        <v>1578</v>
      </c>
      <c r="C2174" s="5" t="s">
        <v>1579</v>
      </c>
      <c r="D2174" s="5" t="s">
        <v>118</v>
      </c>
      <c r="E2174" s="5" t="s">
        <v>2789</v>
      </c>
      <c r="F2174" s="5" t="s">
        <v>2758</v>
      </c>
      <c r="G2174" s="5">
        <v>1</v>
      </c>
      <c r="H2174" s="5" t="s">
        <v>2854</v>
      </c>
      <c r="I2174" s="5" t="str">
        <f>IF(INDEX(Manual_Review!$S$6:$S$238,U2174)="","",INDEX(Manual_Review!$S$6:$S$238,U2174))</f>
        <v/>
      </c>
      <c r="J2174" s="5" t="str">
        <f t="shared" si="66"/>
        <v>AI provisional</v>
      </c>
      <c r="K2174" s="5" t="str">
        <f t="shared" si="67"/>
        <v>Y</v>
      </c>
      <c r="L2174" s="5" t="s">
        <v>1586</v>
      </c>
      <c r="M2174" s="5" t="s">
        <v>7368</v>
      </c>
      <c r="N2174" s="5" t="s">
        <v>7353</v>
      </c>
      <c r="O2174" s="5" t="s">
        <v>3178</v>
      </c>
      <c r="P2174" s="5" t="s">
        <v>2858</v>
      </c>
      <c r="Q2174" s="11">
        <v>46306.5</v>
      </c>
      <c r="R2174" s="6"/>
      <c r="S2174" s="6"/>
      <c r="T2174" s="6"/>
      <c r="U2174" s="5">
        <f>MATCH(B2174,Manual_Review!$A$6:$A$238,0)</f>
        <v>136</v>
      </c>
      <c r="V2174" s="5" t="str">
        <f>IF(INDEX(Manual_Review!$G$6:$G$238,U2174)="","",INDEX(Manual_Review!$G$6:$G$238,U2174))</f>
        <v/>
      </c>
      <c r="W2174" s="11" t="str">
        <f>IF(INDEX(Manual_Review!$H$6:$H$238,U2174)="","",INDEX(Manual_Review!$H$6:$H$238,U2174))</f>
        <v/>
      </c>
      <c r="X2174" s="5" t="str">
        <f>IF(INDEX(Manual_Review!$I$6:$I$238,U2174)="","",INDEX(Manual_Review!$I$6:$I$238,U2174))</f>
        <v/>
      </c>
      <c r="Y2174" s="5" t="s">
        <v>2859</v>
      </c>
    </row>
    <row r="2175" spans="1:25" ht="38.25">
      <c r="A2175" s="5" t="s">
        <v>7369</v>
      </c>
      <c r="B2175" s="5" t="s">
        <v>1578</v>
      </c>
      <c r="C2175" s="5" t="s">
        <v>1579</v>
      </c>
      <c r="D2175" s="5" t="s">
        <v>118</v>
      </c>
      <c r="E2175" s="5" t="s">
        <v>2790</v>
      </c>
      <c r="F2175" s="5" t="s">
        <v>2760</v>
      </c>
      <c r="G2175" s="5">
        <v>1</v>
      </c>
      <c r="H2175" s="5" t="s">
        <v>2864</v>
      </c>
      <c r="I2175" s="5" t="str">
        <f>IF(INDEX(Manual_Review!$T$6:$T$238,U2175)="","",INDEX(Manual_Review!$T$6:$T$238,U2175))</f>
        <v/>
      </c>
      <c r="J2175" s="5" t="str">
        <f t="shared" si="66"/>
        <v>AI provisional</v>
      </c>
      <c r="K2175" s="5" t="str">
        <f t="shared" si="67"/>
        <v>U</v>
      </c>
      <c r="L2175" s="5" t="s">
        <v>1586</v>
      </c>
      <c r="M2175" s="5" t="s">
        <v>7357</v>
      </c>
      <c r="N2175" s="5" t="s">
        <v>7353</v>
      </c>
      <c r="O2175" s="5" t="s">
        <v>2885</v>
      </c>
      <c r="P2175" s="5" t="s">
        <v>2858</v>
      </c>
      <c r="Q2175" s="11">
        <v>46306.5</v>
      </c>
      <c r="R2175" s="6"/>
      <c r="S2175" s="6"/>
      <c r="T2175" s="6"/>
      <c r="U2175" s="5">
        <f>MATCH(B2175,Manual_Review!$A$6:$A$238,0)</f>
        <v>136</v>
      </c>
      <c r="V2175" s="5" t="str">
        <f>IF(INDEX(Manual_Review!$G$6:$G$238,U2175)="","",INDEX(Manual_Review!$G$6:$G$238,U2175))</f>
        <v/>
      </c>
      <c r="W2175" s="11" t="str">
        <f>IF(INDEX(Manual_Review!$H$6:$H$238,U2175)="","",INDEX(Manual_Review!$H$6:$H$238,U2175))</f>
        <v/>
      </c>
      <c r="X2175" s="5" t="str">
        <f>IF(INDEX(Manual_Review!$I$6:$I$238,U2175)="","",INDEX(Manual_Review!$I$6:$I$238,U2175))</f>
        <v/>
      </c>
      <c r="Y2175" s="5" t="s">
        <v>2859</v>
      </c>
    </row>
    <row r="2176" spans="1:25" ht="38.25">
      <c r="A2176" s="5" t="s">
        <v>7370</v>
      </c>
      <c r="B2176" s="5" t="s">
        <v>1578</v>
      </c>
      <c r="C2176" s="5" t="s">
        <v>1579</v>
      </c>
      <c r="D2176" s="5" t="s">
        <v>118</v>
      </c>
      <c r="E2176" s="5" t="s">
        <v>2791</v>
      </c>
      <c r="F2176" s="5" t="s">
        <v>2760</v>
      </c>
      <c r="G2176" s="5">
        <v>1</v>
      </c>
      <c r="H2176" s="5" t="s">
        <v>2864</v>
      </c>
      <c r="I2176" s="5" t="str">
        <f>IF(INDEX(Manual_Review!$U$6:$U$238,U2176)="","",INDEX(Manual_Review!$U$6:$U$238,U2176))</f>
        <v/>
      </c>
      <c r="J2176" s="5" t="str">
        <f t="shared" si="66"/>
        <v>AI provisional</v>
      </c>
      <c r="K2176" s="5" t="str">
        <f t="shared" si="67"/>
        <v>U</v>
      </c>
      <c r="L2176" s="5" t="s">
        <v>1586</v>
      </c>
      <c r="M2176" s="5" t="s">
        <v>7371</v>
      </c>
      <c r="N2176" s="5" t="s">
        <v>7353</v>
      </c>
      <c r="O2176" s="5" t="s">
        <v>2888</v>
      </c>
      <c r="P2176" s="5" t="s">
        <v>2858</v>
      </c>
      <c r="Q2176" s="11">
        <v>46306.5</v>
      </c>
      <c r="R2176" s="6"/>
      <c r="S2176" s="6"/>
      <c r="T2176" s="6"/>
      <c r="U2176" s="5">
        <f>MATCH(B2176,Manual_Review!$A$6:$A$238,0)</f>
        <v>136</v>
      </c>
      <c r="V2176" s="5" t="str">
        <f>IF(INDEX(Manual_Review!$G$6:$G$238,U2176)="","",INDEX(Manual_Review!$G$6:$G$238,U2176))</f>
        <v/>
      </c>
      <c r="W2176" s="11" t="str">
        <f>IF(INDEX(Manual_Review!$H$6:$H$238,U2176)="","",INDEX(Manual_Review!$H$6:$H$238,U2176))</f>
        <v/>
      </c>
      <c r="X2176" s="5" t="str">
        <f>IF(INDEX(Manual_Review!$I$6:$I$238,U2176)="","",INDEX(Manual_Review!$I$6:$I$238,U2176))</f>
        <v/>
      </c>
      <c r="Y2176" s="5" t="s">
        <v>2859</v>
      </c>
    </row>
    <row r="2177" spans="1:25" ht="38.25">
      <c r="A2177" s="5" t="s">
        <v>7372</v>
      </c>
      <c r="B2177" s="5" t="s">
        <v>1578</v>
      </c>
      <c r="C2177" s="5" t="s">
        <v>1579</v>
      </c>
      <c r="D2177" s="5" t="s">
        <v>118</v>
      </c>
      <c r="E2177" s="5" t="s">
        <v>2792</v>
      </c>
      <c r="F2177" s="5" t="s">
        <v>2762</v>
      </c>
      <c r="G2177" s="5">
        <v>1</v>
      </c>
      <c r="H2177" s="5" t="s">
        <v>2864</v>
      </c>
      <c r="I2177" s="5" t="str">
        <f>IF(INDEX(Manual_Review!$V$6:$V$238,U2177)="","",INDEX(Manual_Review!$V$6:$V$238,U2177))</f>
        <v/>
      </c>
      <c r="J2177" s="5" t="str">
        <f t="shared" si="66"/>
        <v>AI provisional</v>
      </c>
      <c r="K2177" s="5" t="str">
        <f t="shared" si="67"/>
        <v>U</v>
      </c>
      <c r="L2177" s="5" t="s">
        <v>1586</v>
      </c>
      <c r="M2177" s="5" t="s">
        <v>7373</v>
      </c>
      <c r="N2177" s="5" t="s">
        <v>7353</v>
      </c>
      <c r="O2177" s="5" t="s">
        <v>2891</v>
      </c>
      <c r="P2177" s="5" t="s">
        <v>2858</v>
      </c>
      <c r="Q2177" s="11">
        <v>46306.5</v>
      </c>
      <c r="R2177" s="6"/>
      <c r="S2177" s="6"/>
      <c r="T2177" s="6"/>
      <c r="U2177" s="5">
        <f>MATCH(B2177,Manual_Review!$A$6:$A$238,0)</f>
        <v>136</v>
      </c>
      <c r="V2177" s="5" t="str">
        <f>IF(INDEX(Manual_Review!$G$6:$G$238,U2177)="","",INDEX(Manual_Review!$G$6:$G$238,U2177))</f>
        <v/>
      </c>
      <c r="W2177" s="11" t="str">
        <f>IF(INDEX(Manual_Review!$H$6:$H$238,U2177)="","",INDEX(Manual_Review!$H$6:$H$238,U2177))</f>
        <v/>
      </c>
      <c r="X2177" s="5" t="str">
        <f>IF(INDEX(Manual_Review!$I$6:$I$238,U2177)="","",INDEX(Manual_Review!$I$6:$I$238,U2177))</f>
        <v/>
      </c>
      <c r="Y2177" s="5" t="s">
        <v>2859</v>
      </c>
    </row>
    <row r="2178" spans="1:25" ht="38.25">
      <c r="A2178" s="5" t="s">
        <v>7374</v>
      </c>
      <c r="B2178" s="5" t="s">
        <v>1578</v>
      </c>
      <c r="C2178" s="5" t="s">
        <v>1579</v>
      </c>
      <c r="D2178" s="5" t="s">
        <v>118</v>
      </c>
      <c r="E2178" s="5" t="s">
        <v>2793</v>
      </c>
      <c r="F2178" s="5" t="s">
        <v>2762</v>
      </c>
      <c r="G2178" s="5">
        <v>1</v>
      </c>
      <c r="H2178" s="5" t="s">
        <v>2864</v>
      </c>
      <c r="I2178" s="5" t="str">
        <f>IF(INDEX(Manual_Review!$W$6:$W$238,U2178)="","",INDEX(Manual_Review!$W$6:$W$238,U2178))</f>
        <v/>
      </c>
      <c r="J2178" s="5" t="str">
        <f t="shared" si="66"/>
        <v>AI provisional</v>
      </c>
      <c r="K2178" s="5" t="str">
        <f t="shared" si="67"/>
        <v>U</v>
      </c>
      <c r="L2178" s="5" t="s">
        <v>1586</v>
      </c>
      <c r="M2178" s="5" t="s">
        <v>7375</v>
      </c>
      <c r="N2178" s="5" t="s">
        <v>7353</v>
      </c>
      <c r="O2178" s="5" t="s">
        <v>2893</v>
      </c>
      <c r="P2178" s="5" t="s">
        <v>2858</v>
      </c>
      <c r="Q2178" s="11">
        <v>46306.5</v>
      </c>
      <c r="R2178" s="6"/>
      <c r="S2178" s="6"/>
      <c r="T2178" s="6"/>
      <c r="U2178" s="5">
        <f>MATCH(B2178,Manual_Review!$A$6:$A$238,0)</f>
        <v>136</v>
      </c>
      <c r="V2178" s="5" t="str">
        <f>IF(INDEX(Manual_Review!$G$6:$G$238,U2178)="","",INDEX(Manual_Review!$G$6:$G$238,U2178))</f>
        <v/>
      </c>
      <c r="W2178" s="11" t="str">
        <f>IF(INDEX(Manual_Review!$H$6:$H$238,U2178)="","",INDEX(Manual_Review!$H$6:$H$238,U2178))</f>
        <v/>
      </c>
      <c r="X2178" s="5" t="str">
        <f>IF(INDEX(Manual_Review!$I$6:$I$238,U2178)="","",INDEX(Manual_Review!$I$6:$I$238,U2178))</f>
        <v/>
      </c>
      <c r="Y2178" s="5" t="s">
        <v>2859</v>
      </c>
    </row>
    <row r="2179" spans="1:25" ht="38.25">
      <c r="A2179" s="5" t="s">
        <v>7376</v>
      </c>
      <c r="B2179" s="5" t="s">
        <v>1578</v>
      </c>
      <c r="C2179" s="5" t="s">
        <v>1579</v>
      </c>
      <c r="D2179" s="5" t="s">
        <v>118</v>
      </c>
      <c r="E2179" s="5" t="s">
        <v>2794</v>
      </c>
      <c r="F2179" s="5" t="s">
        <v>2764</v>
      </c>
      <c r="G2179" s="5">
        <v>1</v>
      </c>
      <c r="H2179" s="5" t="s">
        <v>2854</v>
      </c>
      <c r="I2179" s="5" t="str">
        <f>IF(INDEX(Manual_Review!$X$6:$X$238,U2179)="","",INDEX(Manual_Review!$X$6:$X$238,U2179))</f>
        <v/>
      </c>
      <c r="J2179" s="5" t="str">
        <f t="shared" si="66"/>
        <v>AI provisional</v>
      </c>
      <c r="K2179" s="5" t="str">
        <f t="shared" si="67"/>
        <v>Y</v>
      </c>
      <c r="L2179" s="5" t="s">
        <v>1586</v>
      </c>
      <c r="M2179" s="5" t="s">
        <v>7377</v>
      </c>
      <c r="N2179" s="5" t="s">
        <v>7353</v>
      </c>
      <c r="O2179" s="5" t="s">
        <v>2984</v>
      </c>
      <c r="P2179" s="5" t="s">
        <v>2858</v>
      </c>
      <c r="Q2179" s="11">
        <v>46306.5</v>
      </c>
      <c r="R2179" s="6"/>
      <c r="S2179" s="6"/>
      <c r="T2179" s="6"/>
      <c r="U2179" s="5">
        <f>MATCH(B2179,Manual_Review!$A$6:$A$238,0)</f>
        <v>136</v>
      </c>
      <c r="V2179" s="5" t="str">
        <f>IF(INDEX(Manual_Review!$G$6:$G$238,U2179)="","",INDEX(Manual_Review!$G$6:$G$238,U2179))</f>
        <v/>
      </c>
      <c r="W2179" s="11" t="str">
        <f>IF(INDEX(Manual_Review!$H$6:$H$238,U2179)="","",INDEX(Manual_Review!$H$6:$H$238,U2179))</f>
        <v/>
      </c>
      <c r="X2179" s="5" t="str">
        <f>IF(INDEX(Manual_Review!$I$6:$I$238,U2179)="","",INDEX(Manual_Review!$I$6:$I$238,U2179))</f>
        <v/>
      </c>
      <c r="Y2179" s="5" t="s">
        <v>2859</v>
      </c>
    </row>
    <row r="2180" spans="1:25" ht="38.25">
      <c r="A2180" s="5" t="s">
        <v>7378</v>
      </c>
      <c r="B2180" s="5" t="s">
        <v>1578</v>
      </c>
      <c r="C2180" s="5" t="s">
        <v>1579</v>
      </c>
      <c r="D2180" s="5" t="s">
        <v>118</v>
      </c>
      <c r="E2180" s="5" t="s">
        <v>2795</v>
      </c>
      <c r="F2180" s="5" t="s">
        <v>2764</v>
      </c>
      <c r="G2180" s="5">
        <v>1</v>
      </c>
      <c r="H2180" s="5" t="s">
        <v>2864</v>
      </c>
      <c r="I2180" s="5" t="str">
        <f>IF(INDEX(Manual_Review!$Y$6:$Y$238,U2180)="","",INDEX(Manual_Review!$Y$6:$Y$238,U2180))</f>
        <v/>
      </c>
      <c r="J2180" s="5" t="str">
        <f t="shared" si="66"/>
        <v>AI provisional</v>
      </c>
      <c r="K2180" s="5" t="str">
        <f t="shared" si="67"/>
        <v>U</v>
      </c>
      <c r="L2180" s="5" t="s">
        <v>1586</v>
      </c>
      <c r="M2180" s="5" t="s">
        <v>7357</v>
      </c>
      <c r="N2180" s="5" t="s">
        <v>7353</v>
      </c>
      <c r="O2180" s="5" t="s">
        <v>2897</v>
      </c>
      <c r="P2180" s="5" t="s">
        <v>2858</v>
      </c>
      <c r="Q2180" s="11">
        <v>46306.5</v>
      </c>
      <c r="R2180" s="6"/>
      <c r="S2180" s="6"/>
      <c r="T2180" s="6"/>
      <c r="U2180" s="5">
        <f>MATCH(B2180,Manual_Review!$A$6:$A$238,0)</f>
        <v>136</v>
      </c>
      <c r="V2180" s="5" t="str">
        <f>IF(INDEX(Manual_Review!$G$6:$G$238,U2180)="","",INDEX(Manual_Review!$G$6:$G$238,U2180))</f>
        <v/>
      </c>
      <c r="W2180" s="11" t="str">
        <f>IF(INDEX(Manual_Review!$H$6:$H$238,U2180)="","",INDEX(Manual_Review!$H$6:$H$238,U2180))</f>
        <v/>
      </c>
      <c r="X2180" s="5" t="str">
        <f>IF(INDEX(Manual_Review!$I$6:$I$238,U2180)="","",INDEX(Manual_Review!$I$6:$I$238,U2180))</f>
        <v/>
      </c>
      <c r="Y2180" s="5" t="s">
        <v>2859</v>
      </c>
    </row>
    <row r="2181" spans="1:25" ht="38.25">
      <c r="A2181" s="5" t="s">
        <v>7379</v>
      </c>
      <c r="B2181" s="5" t="s">
        <v>1578</v>
      </c>
      <c r="C2181" s="5" t="s">
        <v>1579</v>
      </c>
      <c r="D2181" s="5" t="s">
        <v>118</v>
      </c>
      <c r="E2181" s="5" t="s">
        <v>2796</v>
      </c>
      <c r="F2181" s="5" t="s">
        <v>2764</v>
      </c>
      <c r="G2181" s="5">
        <v>1</v>
      </c>
      <c r="H2181" s="5" t="s">
        <v>2854</v>
      </c>
      <c r="I2181" s="5" t="str">
        <f>IF(INDEX(Manual_Review!$Z$6:$Z$238,U2181)="","",INDEX(Manual_Review!$Z$6:$Z$238,U2181))</f>
        <v/>
      </c>
      <c r="J2181" s="5" t="str">
        <f t="shared" si="66"/>
        <v>AI provisional</v>
      </c>
      <c r="K2181" s="5" t="str">
        <f t="shared" si="67"/>
        <v>Y</v>
      </c>
      <c r="L2181" s="5" t="s">
        <v>1586</v>
      </c>
      <c r="M2181" s="5" t="s">
        <v>7380</v>
      </c>
      <c r="N2181" s="5" t="s">
        <v>7353</v>
      </c>
      <c r="O2181" s="5" t="s">
        <v>3085</v>
      </c>
      <c r="P2181" s="5" t="s">
        <v>2858</v>
      </c>
      <c r="Q2181" s="11">
        <v>46306.5</v>
      </c>
      <c r="R2181" s="6"/>
      <c r="S2181" s="6"/>
      <c r="T2181" s="6"/>
      <c r="U2181" s="5">
        <f>MATCH(B2181,Manual_Review!$A$6:$A$238,0)</f>
        <v>136</v>
      </c>
      <c r="V2181" s="5" t="str">
        <f>IF(INDEX(Manual_Review!$G$6:$G$238,U2181)="","",INDEX(Manual_Review!$G$6:$G$238,U2181))</f>
        <v/>
      </c>
      <c r="W2181" s="11" t="str">
        <f>IF(INDEX(Manual_Review!$H$6:$H$238,U2181)="","",INDEX(Manual_Review!$H$6:$H$238,U2181))</f>
        <v/>
      </c>
      <c r="X2181" s="5" t="str">
        <f>IF(INDEX(Manual_Review!$I$6:$I$238,U2181)="","",INDEX(Manual_Review!$I$6:$I$238,U2181))</f>
        <v/>
      </c>
      <c r="Y2181" s="5" t="s">
        <v>2859</v>
      </c>
    </row>
    <row r="2182" spans="1:25" ht="38.25">
      <c r="A2182" s="5" t="s">
        <v>7381</v>
      </c>
      <c r="B2182" s="5" t="s">
        <v>1588</v>
      </c>
      <c r="C2182" s="5" t="s">
        <v>1589</v>
      </c>
      <c r="D2182" s="5" t="s">
        <v>118</v>
      </c>
      <c r="E2182" s="5" t="s">
        <v>2781</v>
      </c>
      <c r="F2182" s="5" t="s">
        <v>2754</v>
      </c>
      <c r="G2182" s="5">
        <v>1</v>
      </c>
      <c r="H2182" s="5" t="s">
        <v>2854</v>
      </c>
      <c r="I2182" s="5" t="str">
        <f>IF(INDEX(Manual_Review!$K$6:$K$238,U2182)="","",INDEX(Manual_Review!$K$6:$K$238,U2182))</f>
        <v/>
      </c>
      <c r="J2182" s="5" t="str">
        <f t="shared" ref="J2182:J2245" si="68">IF(G2182=0,"Not applicable",IF(I2182="","AI provisional",IF(AND(OR(I2182="Y",I2182="N",I2182="U",I2182="X"),V2182&lt;&gt;"",ISNUMBER(W2182),W2182&gt;0,X2182="Confirmed",R2182&lt;&gt;"",S2182&lt;&gt;"",T2182&lt;&gt;""),"Human valid","Evidence needed")))</f>
        <v>AI provisional</v>
      </c>
      <c r="K2182" s="5" t="str">
        <f t="shared" ref="K2182:K2245" si="69">IF(G2182=0,"N/A",IF(I2182="",H2182,IF(J2182="Human valid",I2182,"U")))</f>
        <v>Y</v>
      </c>
      <c r="L2182" s="5" t="s">
        <v>1597</v>
      </c>
      <c r="M2182" s="5" t="s">
        <v>7382</v>
      </c>
      <c r="N2182" s="5" t="s">
        <v>7383</v>
      </c>
      <c r="O2182" s="5" t="s">
        <v>2857</v>
      </c>
      <c r="P2182" s="5" t="s">
        <v>2858</v>
      </c>
      <c r="Q2182" s="11">
        <v>46306.5</v>
      </c>
      <c r="R2182" s="6"/>
      <c r="S2182" s="6"/>
      <c r="T2182" s="6"/>
      <c r="U2182" s="5">
        <f>MATCH(B2182,Manual_Review!$A$6:$A$238,0)</f>
        <v>137</v>
      </c>
      <c r="V2182" s="5" t="str">
        <f>IF(INDEX(Manual_Review!$G$6:$G$238,U2182)="","",INDEX(Manual_Review!$G$6:$G$238,U2182))</f>
        <v/>
      </c>
      <c r="W2182" s="11" t="str">
        <f>IF(INDEX(Manual_Review!$H$6:$H$238,U2182)="","",INDEX(Manual_Review!$H$6:$H$238,U2182))</f>
        <v/>
      </c>
      <c r="X2182" s="5" t="str">
        <f>IF(INDEX(Manual_Review!$I$6:$I$238,U2182)="","",INDEX(Manual_Review!$I$6:$I$238,U2182))</f>
        <v/>
      </c>
      <c r="Y2182" s="5" t="s">
        <v>2859</v>
      </c>
    </row>
    <row r="2183" spans="1:25" ht="38.25">
      <c r="A2183" s="5" t="s">
        <v>7384</v>
      </c>
      <c r="B2183" s="5" t="s">
        <v>1588</v>
      </c>
      <c r="C2183" s="5" t="s">
        <v>1589</v>
      </c>
      <c r="D2183" s="5" t="s">
        <v>118</v>
      </c>
      <c r="E2183" s="5" t="s">
        <v>2782</v>
      </c>
      <c r="F2183" s="5" t="s">
        <v>2754</v>
      </c>
      <c r="G2183" s="5">
        <v>1</v>
      </c>
      <c r="H2183" s="5" t="s">
        <v>2854</v>
      </c>
      <c r="I2183" s="5" t="str">
        <f>IF(INDEX(Manual_Review!$L$6:$L$238,U2183)="","",INDEX(Manual_Review!$L$6:$L$238,U2183))</f>
        <v/>
      </c>
      <c r="J2183" s="5" t="str">
        <f t="shared" si="68"/>
        <v>AI provisional</v>
      </c>
      <c r="K2183" s="5" t="str">
        <f t="shared" si="69"/>
        <v>Y</v>
      </c>
      <c r="L2183" s="5" t="s">
        <v>1597</v>
      </c>
      <c r="M2183" s="5" t="s">
        <v>7385</v>
      </c>
      <c r="N2183" s="5" t="s">
        <v>7383</v>
      </c>
      <c r="O2183" s="5" t="s">
        <v>2862</v>
      </c>
      <c r="P2183" s="5" t="s">
        <v>2858</v>
      </c>
      <c r="Q2183" s="11">
        <v>46306.5</v>
      </c>
      <c r="R2183" s="6"/>
      <c r="S2183" s="6"/>
      <c r="T2183" s="6"/>
      <c r="U2183" s="5">
        <f>MATCH(B2183,Manual_Review!$A$6:$A$238,0)</f>
        <v>137</v>
      </c>
      <c r="V2183" s="5" t="str">
        <f>IF(INDEX(Manual_Review!$G$6:$G$238,U2183)="","",INDEX(Manual_Review!$G$6:$G$238,U2183))</f>
        <v/>
      </c>
      <c r="W2183" s="11" t="str">
        <f>IF(INDEX(Manual_Review!$H$6:$H$238,U2183)="","",INDEX(Manual_Review!$H$6:$H$238,U2183))</f>
        <v/>
      </c>
      <c r="X2183" s="5" t="str">
        <f>IF(INDEX(Manual_Review!$I$6:$I$238,U2183)="","",INDEX(Manual_Review!$I$6:$I$238,U2183))</f>
        <v/>
      </c>
      <c r="Y2183" s="5" t="s">
        <v>2859</v>
      </c>
    </row>
    <row r="2184" spans="1:25" ht="38.25">
      <c r="A2184" s="5" t="s">
        <v>7386</v>
      </c>
      <c r="B2184" s="5" t="s">
        <v>1588</v>
      </c>
      <c r="C2184" s="5" t="s">
        <v>1589</v>
      </c>
      <c r="D2184" s="5" t="s">
        <v>118</v>
      </c>
      <c r="E2184" s="5" t="s">
        <v>2783</v>
      </c>
      <c r="F2184" s="5" t="s">
        <v>2754</v>
      </c>
      <c r="G2184" s="5">
        <v>1</v>
      </c>
      <c r="H2184" s="5" t="s">
        <v>2908</v>
      </c>
      <c r="I2184" s="5" t="str">
        <f>IF(INDEX(Manual_Review!$M$6:$M$238,U2184)="","",INDEX(Manual_Review!$M$6:$M$238,U2184))</f>
        <v/>
      </c>
      <c r="J2184" s="5" t="str">
        <f t="shared" si="68"/>
        <v>AI provisional</v>
      </c>
      <c r="K2184" s="5" t="str">
        <f t="shared" si="69"/>
        <v>X</v>
      </c>
      <c r="L2184" s="5" t="s">
        <v>1597</v>
      </c>
      <c r="M2184" s="5" t="s">
        <v>7387</v>
      </c>
      <c r="N2184" s="5" t="s">
        <v>7383</v>
      </c>
      <c r="O2184" s="5" t="s">
        <v>7388</v>
      </c>
      <c r="P2184" s="5" t="s">
        <v>2858</v>
      </c>
      <c r="Q2184" s="11">
        <v>46306.5</v>
      </c>
      <c r="R2184" s="6"/>
      <c r="S2184" s="6"/>
      <c r="T2184" s="6"/>
      <c r="U2184" s="5">
        <f>MATCH(B2184,Manual_Review!$A$6:$A$238,0)</f>
        <v>137</v>
      </c>
      <c r="V2184" s="5" t="str">
        <f>IF(INDEX(Manual_Review!$G$6:$G$238,U2184)="","",INDEX(Manual_Review!$G$6:$G$238,U2184))</f>
        <v/>
      </c>
      <c r="W2184" s="11" t="str">
        <f>IF(INDEX(Manual_Review!$H$6:$H$238,U2184)="","",INDEX(Manual_Review!$H$6:$H$238,U2184))</f>
        <v/>
      </c>
      <c r="X2184" s="5" t="str">
        <f>IF(INDEX(Manual_Review!$I$6:$I$238,U2184)="","",INDEX(Manual_Review!$I$6:$I$238,U2184))</f>
        <v/>
      </c>
      <c r="Y2184" s="5" t="s">
        <v>2859</v>
      </c>
    </row>
    <row r="2185" spans="1:25" ht="38.25">
      <c r="A2185" s="5" t="s">
        <v>7389</v>
      </c>
      <c r="B2185" s="5" t="s">
        <v>1588</v>
      </c>
      <c r="C2185" s="5" t="s">
        <v>1589</v>
      </c>
      <c r="D2185" s="5" t="s">
        <v>118</v>
      </c>
      <c r="E2185" s="5" t="s">
        <v>2784</v>
      </c>
      <c r="F2185" s="5" t="s">
        <v>2756</v>
      </c>
      <c r="G2185" s="5">
        <v>1</v>
      </c>
      <c r="H2185" s="5" t="s">
        <v>2854</v>
      </c>
      <c r="I2185" s="5" t="str">
        <f>IF(INDEX(Manual_Review!$N$6:$N$238,U2185)="","",INDEX(Manual_Review!$N$6:$N$238,U2185))</f>
        <v/>
      </c>
      <c r="J2185" s="5" t="str">
        <f t="shared" si="68"/>
        <v>AI provisional</v>
      </c>
      <c r="K2185" s="5" t="str">
        <f t="shared" si="69"/>
        <v>Y</v>
      </c>
      <c r="L2185" s="5" t="s">
        <v>1597</v>
      </c>
      <c r="M2185" s="5" t="s">
        <v>7390</v>
      </c>
      <c r="N2185" s="5" t="s">
        <v>7383</v>
      </c>
      <c r="O2185" s="5" t="s">
        <v>2963</v>
      </c>
      <c r="P2185" s="5" t="s">
        <v>2858</v>
      </c>
      <c r="Q2185" s="11">
        <v>46306.5</v>
      </c>
      <c r="R2185" s="6"/>
      <c r="S2185" s="6"/>
      <c r="T2185" s="6"/>
      <c r="U2185" s="5">
        <f>MATCH(B2185,Manual_Review!$A$6:$A$238,0)</f>
        <v>137</v>
      </c>
      <c r="V2185" s="5" t="str">
        <f>IF(INDEX(Manual_Review!$G$6:$G$238,U2185)="","",INDEX(Manual_Review!$G$6:$G$238,U2185))</f>
        <v/>
      </c>
      <c r="W2185" s="11" t="str">
        <f>IF(INDEX(Manual_Review!$H$6:$H$238,U2185)="","",INDEX(Manual_Review!$H$6:$H$238,U2185))</f>
        <v/>
      </c>
      <c r="X2185" s="5" t="str">
        <f>IF(INDEX(Manual_Review!$I$6:$I$238,U2185)="","",INDEX(Manual_Review!$I$6:$I$238,U2185))</f>
        <v/>
      </c>
      <c r="Y2185" s="5" t="s">
        <v>2859</v>
      </c>
    </row>
    <row r="2186" spans="1:25" ht="38.25">
      <c r="A2186" s="5" t="s">
        <v>7391</v>
      </c>
      <c r="B2186" s="5" t="s">
        <v>1588</v>
      </c>
      <c r="C2186" s="5" t="s">
        <v>1589</v>
      </c>
      <c r="D2186" s="5" t="s">
        <v>118</v>
      </c>
      <c r="E2186" s="5" t="s">
        <v>2785</v>
      </c>
      <c r="F2186" s="5" t="s">
        <v>2756</v>
      </c>
      <c r="G2186" s="5">
        <v>1</v>
      </c>
      <c r="H2186" s="5" t="s">
        <v>2854</v>
      </c>
      <c r="I2186" s="5" t="str">
        <f>IF(INDEX(Manual_Review!$O$6:$O$238,U2186)="","",INDEX(Manual_Review!$O$6:$O$238,U2186))</f>
        <v/>
      </c>
      <c r="J2186" s="5" t="str">
        <f t="shared" si="68"/>
        <v>AI provisional</v>
      </c>
      <c r="K2186" s="5" t="str">
        <f t="shared" si="69"/>
        <v>Y</v>
      </c>
      <c r="L2186" s="5" t="s">
        <v>1597</v>
      </c>
      <c r="M2186" s="5" t="s">
        <v>7392</v>
      </c>
      <c r="N2186" s="5" t="s">
        <v>7383</v>
      </c>
      <c r="O2186" s="5" t="s">
        <v>3138</v>
      </c>
      <c r="P2186" s="5" t="s">
        <v>2858</v>
      </c>
      <c r="Q2186" s="11">
        <v>46306.5</v>
      </c>
      <c r="R2186" s="6"/>
      <c r="S2186" s="6"/>
      <c r="T2186" s="6"/>
      <c r="U2186" s="5">
        <f>MATCH(B2186,Manual_Review!$A$6:$A$238,0)</f>
        <v>137</v>
      </c>
      <c r="V2186" s="5" t="str">
        <f>IF(INDEX(Manual_Review!$G$6:$G$238,U2186)="","",INDEX(Manual_Review!$G$6:$G$238,U2186))</f>
        <v/>
      </c>
      <c r="W2186" s="11" t="str">
        <f>IF(INDEX(Manual_Review!$H$6:$H$238,U2186)="","",INDEX(Manual_Review!$H$6:$H$238,U2186))</f>
        <v/>
      </c>
      <c r="X2186" s="5" t="str">
        <f>IF(INDEX(Manual_Review!$I$6:$I$238,U2186)="","",INDEX(Manual_Review!$I$6:$I$238,U2186))</f>
        <v/>
      </c>
      <c r="Y2186" s="5" t="s">
        <v>2859</v>
      </c>
    </row>
    <row r="2187" spans="1:25" ht="38.25">
      <c r="A2187" s="5" t="s">
        <v>7393</v>
      </c>
      <c r="B2187" s="5" t="s">
        <v>1588</v>
      </c>
      <c r="C2187" s="5" t="s">
        <v>1589</v>
      </c>
      <c r="D2187" s="5" t="s">
        <v>118</v>
      </c>
      <c r="E2187" s="5" t="s">
        <v>2786</v>
      </c>
      <c r="F2187" s="5" t="s">
        <v>2756</v>
      </c>
      <c r="G2187" s="5">
        <v>1</v>
      </c>
      <c r="H2187" s="5" t="s">
        <v>2864</v>
      </c>
      <c r="I2187" s="5" t="str">
        <f>IF(INDEX(Manual_Review!$P$6:$P$238,U2187)="","",INDEX(Manual_Review!$P$6:$P$238,U2187))</f>
        <v/>
      </c>
      <c r="J2187" s="5" t="str">
        <f t="shared" si="68"/>
        <v>AI provisional</v>
      </c>
      <c r="K2187" s="5" t="str">
        <f t="shared" si="69"/>
        <v>U</v>
      </c>
      <c r="L2187" s="5" t="s">
        <v>1597</v>
      </c>
      <c r="M2187" s="5" t="s">
        <v>7394</v>
      </c>
      <c r="N2187" s="5" t="s">
        <v>7383</v>
      </c>
      <c r="O2187" s="5" t="s">
        <v>2874</v>
      </c>
      <c r="P2187" s="5" t="s">
        <v>2858</v>
      </c>
      <c r="Q2187" s="11">
        <v>46306.5</v>
      </c>
      <c r="R2187" s="6"/>
      <c r="S2187" s="6"/>
      <c r="T2187" s="6"/>
      <c r="U2187" s="5">
        <f>MATCH(B2187,Manual_Review!$A$6:$A$238,0)</f>
        <v>137</v>
      </c>
      <c r="V2187" s="5" t="str">
        <f>IF(INDEX(Manual_Review!$G$6:$G$238,U2187)="","",INDEX(Manual_Review!$G$6:$G$238,U2187))</f>
        <v/>
      </c>
      <c r="W2187" s="11" t="str">
        <f>IF(INDEX(Manual_Review!$H$6:$H$238,U2187)="","",INDEX(Manual_Review!$H$6:$H$238,U2187))</f>
        <v/>
      </c>
      <c r="X2187" s="5" t="str">
        <f>IF(INDEX(Manual_Review!$I$6:$I$238,U2187)="","",INDEX(Manual_Review!$I$6:$I$238,U2187))</f>
        <v/>
      </c>
      <c r="Y2187" s="5" t="s">
        <v>2859</v>
      </c>
    </row>
    <row r="2188" spans="1:25" ht="38.25">
      <c r="A2188" s="5" t="s">
        <v>7395</v>
      </c>
      <c r="B2188" s="5" t="s">
        <v>1588</v>
      </c>
      <c r="C2188" s="5" t="s">
        <v>1589</v>
      </c>
      <c r="D2188" s="5" t="s">
        <v>118</v>
      </c>
      <c r="E2188" s="5" t="s">
        <v>2787</v>
      </c>
      <c r="F2188" s="5" t="s">
        <v>2758</v>
      </c>
      <c r="G2188" s="5">
        <v>1</v>
      </c>
      <c r="H2188" s="5" t="s">
        <v>2854</v>
      </c>
      <c r="I2188" s="5" t="str">
        <f>IF(INDEX(Manual_Review!$Q$6:$Q$238,U2188)="","",INDEX(Manual_Review!$Q$6:$Q$238,U2188))</f>
        <v/>
      </c>
      <c r="J2188" s="5" t="str">
        <f t="shared" si="68"/>
        <v>AI provisional</v>
      </c>
      <c r="K2188" s="5" t="str">
        <f t="shared" si="69"/>
        <v>Y</v>
      </c>
      <c r="L2188" s="5" t="s">
        <v>1597</v>
      </c>
      <c r="M2188" s="5" t="s">
        <v>7396</v>
      </c>
      <c r="N2188" s="5" t="s">
        <v>7383</v>
      </c>
      <c r="O2188" s="5" t="s">
        <v>2969</v>
      </c>
      <c r="P2188" s="5" t="s">
        <v>2858</v>
      </c>
      <c r="Q2188" s="11">
        <v>46306.5</v>
      </c>
      <c r="R2188" s="6"/>
      <c r="S2188" s="6"/>
      <c r="T2188" s="6"/>
      <c r="U2188" s="5">
        <f>MATCH(B2188,Manual_Review!$A$6:$A$238,0)</f>
        <v>137</v>
      </c>
      <c r="V2188" s="5" t="str">
        <f>IF(INDEX(Manual_Review!$G$6:$G$238,U2188)="","",INDEX(Manual_Review!$G$6:$G$238,U2188))</f>
        <v/>
      </c>
      <c r="W2188" s="11" t="str">
        <f>IF(INDEX(Manual_Review!$H$6:$H$238,U2188)="","",INDEX(Manual_Review!$H$6:$H$238,U2188))</f>
        <v/>
      </c>
      <c r="X2188" s="5" t="str">
        <f>IF(INDEX(Manual_Review!$I$6:$I$238,U2188)="","",INDEX(Manual_Review!$I$6:$I$238,U2188))</f>
        <v/>
      </c>
      <c r="Y2188" s="5" t="s">
        <v>2859</v>
      </c>
    </row>
    <row r="2189" spans="1:25" ht="38.25">
      <c r="A2189" s="5" t="s">
        <v>7397</v>
      </c>
      <c r="B2189" s="5" t="s">
        <v>1588</v>
      </c>
      <c r="C2189" s="5" t="s">
        <v>1589</v>
      </c>
      <c r="D2189" s="5" t="s">
        <v>118</v>
      </c>
      <c r="E2189" s="5" t="s">
        <v>2788</v>
      </c>
      <c r="F2189" s="5" t="s">
        <v>2758</v>
      </c>
      <c r="G2189" s="5">
        <v>1</v>
      </c>
      <c r="H2189" s="5" t="s">
        <v>2854</v>
      </c>
      <c r="I2189" s="5" t="str">
        <f>IF(INDEX(Manual_Review!$R$6:$R$238,U2189)="","",INDEX(Manual_Review!$R$6:$R$238,U2189))</f>
        <v/>
      </c>
      <c r="J2189" s="5" t="str">
        <f t="shared" si="68"/>
        <v>AI provisional</v>
      </c>
      <c r="K2189" s="5" t="str">
        <f t="shared" si="69"/>
        <v>Y</v>
      </c>
      <c r="L2189" s="5" t="s">
        <v>1597</v>
      </c>
      <c r="M2189" s="5" t="s">
        <v>7398</v>
      </c>
      <c r="N2189" s="5" t="s">
        <v>7383</v>
      </c>
      <c r="O2189" s="5" t="s">
        <v>3067</v>
      </c>
      <c r="P2189" s="5" t="s">
        <v>2858</v>
      </c>
      <c r="Q2189" s="11">
        <v>46306.5</v>
      </c>
      <c r="R2189" s="6"/>
      <c r="S2189" s="6"/>
      <c r="T2189" s="6"/>
      <c r="U2189" s="5">
        <f>MATCH(B2189,Manual_Review!$A$6:$A$238,0)</f>
        <v>137</v>
      </c>
      <c r="V2189" s="5" t="str">
        <f>IF(INDEX(Manual_Review!$G$6:$G$238,U2189)="","",INDEX(Manual_Review!$G$6:$G$238,U2189))</f>
        <v/>
      </c>
      <c r="W2189" s="11" t="str">
        <f>IF(INDEX(Manual_Review!$H$6:$H$238,U2189)="","",INDEX(Manual_Review!$H$6:$H$238,U2189))</f>
        <v/>
      </c>
      <c r="X2189" s="5" t="str">
        <f>IF(INDEX(Manual_Review!$I$6:$I$238,U2189)="","",INDEX(Manual_Review!$I$6:$I$238,U2189))</f>
        <v/>
      </c>
      <c r="Y2189" s="5" t="s">
        <v>2859</v>
      </c>
    </row>
    <row r="2190" spans="1:25" ht="38.25">
      <c r="A2190" s="5" t="s">
        <v>7399</v>
      </c>
      <c r="B2190" s="5" t="s">
        <v>1588</v>
      </c>
      <c r="C2190" s="5" t="s">
        <v>1589</v>
      </c>
      <c r="D2190" s="5" t="s">
        <v>118</v>
      </c>
      <c r="E2190" s="5" t="s">
        <v>2789</v>
      </c>
      <c r="F2190" s="5" t="s">
        <v>2758</v>
      </c>
      <c r="G2190" s="5">
        <v>1</v>
      </c>
      <c r="H2190" s="5" t="s">
        <v>2854</v>
      </c>
      <c r="I2190" s="5" t="str">
        <f>IF(INDEX(Manual_Review!$S$6:$S$238,U2190)="","",INDEX(Manual_Review!$S$6:$S$238,U2190))</f>
        <v/>
      </c>
      <c r="J2190" s="5" t="str">
        <f t="shared" si="68"/>
        <v>AI provisional</v>
      </c>
      <c r="K2190" s="5" t="str">
        <f t="shared" si="69"/>
        <v>Y</v>
      </c>
      <c r="L2190" s="5" t="s">
        <v>1597</v>
      </c>
      <c r="M2190" s="5" t="s">
        <v>7400</v>
      </c>
      <c r="N2190" s="5" t="s">
        <v>7383</v>
      </c>
      <c r="O2190" s="5" t="s">
        <v>3178</v>
      </c>
      <c r="P2190" s="5" t="s">
        <v>2858</v>
      </c>
      <c r="Q2190" s="11">
        <v>46306.5</v>
      </c>
      <c r="R2190" s="6"/>
      <c r="S2190" s="6"/>
      <c r="T2190" s="6"/>
      <c r="U2190" s="5">
        <f>MATCH(B2190,Manual_Review!$A$6:$A$238,0)</f>
        <v>137</v>
      </c>
      <c r="V2190" s="5" t="str">
        <f>IF(INDEX(Manual_Review!$G$6:$G$238,U2190)="","",INDEX(Manual_Review!$G$6:$G$238,U2190))</f>
        <v/>
      </c>
      <c r="W2190" s="11" t="str">
        <f>IF(INDEX(Manual_Review!$H$6:$H$238,U2190)="","",INDEX(Manual_Review!$H$6:$H$238,U2190))</f>
        <v/>
      </c>
      <c r="X2190" s="5" t="str">
        <f>IF(INDEX(Manual_Review!$I$6:$I$238,U2190)="","",INDEX(Manual_Review!$I$6:$I$238,U2190))</f>
        <v/>
      </c>
      <c r="Y2190" s="5" t="s">
        <v>2859</v>
      </c>
    </row>
    <row r="2191" spans="1:25" ht="38.25">
      <c r="A2191" s="5" t="s">
        <v>7401</v>
      </c>
      <c r="B2191" s="5" t="s">
        <v>1588</v>
      </c>
      <c r="C2191" s="5" t="s">
        <v>1589</v>
      </c>
      <c r="D2191" s="5" t="s">
        <v>118</v>
      </c>
      <c r="E2191" s="5" t="s">
        <v>2790</v>
      </c>
      <c r="F2191" s="5" t="s">
        <v>2760</v>
      </c>
      <c r="G2191" s="5">
        <v>1</v>
      </c>
      <c r="H2191" s="5" t="s">
        <v>2864</v>
      </c>
      <c r="I2191" s="5" t="str">
        <f>IF(INDEX(Manual_Review!$T$6:$T$238,U2191)="","",INDEX(Manual_Review!$T$6:$T$238,U2191))</f>
        <v/>
      </c>
      <c r="J2191" s="5" t="str">
        <f t="shared" si="68"/>
        <v>AI provisional</v>
      </c>
      <c r="K2191" s="5" t="str">
        <f t="shared" si="69"/>
        <v>U</v>
      </c>
      <c r="L2191" s="5" t="s">
        <v>1597</v>
      </c>
      <c r="M2191" s="5" t="s">
        <v>7402</v>
      </c>
      <c r="N2191" s="5" t="s">
        <v>7383</v>
      </c>
      <c r="O2191" s="5" t="s">
        <v>2885</v>
      </c>
      <c r="P2191" s="5" t="s">
        <v>2858</v>
      </c>
      <c r="Q2191" s="11">
        <v>46306.5</v>
      </c>
      <c r="R2191" s="6"/>
      <c r="S2191" s="6"/>
      <c r="T2191" s="6"/>
      <c r="U2191" s="5">
        <f>MATCH(B2191,Manual_Review!$A$6:$A$238,0)</f>
        <v>137</v>
      </c>
      <c r="V2191" s="5" t="str">
        <f>IF(INDEX(Manual_Review!$G$6:$G$238,U2191)="","",INDEX(Manual_Review!$G$6:$G$238,U2191))</f>
        <v/>
      </c>
      <c r="W2191" s="11" t="str">
        <f>IF(INDEX(Manual_Review!$H$6:$H$238,U2191)="","",INDEX(Manual_Review!$H$6:$H$238,U2191))</f>
        <v/>
      </c>
      <c r="X2191" s="5" t="str">
        <f>IF(INDEX(Manual_Review!$I$6:$I$238,U2191)="","",INDEX(Manual_Review!$I$6:$I$238,U2191))</f>
        <v/>
      </c>
      <c r="Y2191" s="5" t="s">
        <v>2859</v>
      </c>
    </row>
    <row r="2192" spans="1:25" ht="38.25">
      <c r="A2192" s="5" t="s">
        <v>7403</v>
      </c>
      <c r="B2192" s="5" t="s">
        <v>1588</v>
      </c>
      <c r="C2192" s="5" t="s">
        <v>1589</v>
      </c>
      <c r="D2192" s="5" t="s">
        <v>118</v>
      </c>
      <c r="E2192" s="5" t="s">
        <v>2791</v>
      </c>
      <c r="F2192" s="5" t="s">
        <v>2760</v>
      </c>
      <c r="G2192" s="5">
        <v>1</v>
      </c>
      <c r="H2192" s="5" t="s">
        <v>2854</v>
      </c>
      <c r="I2192" s="5" t="str">
        <f>IF(INDEX(Manual_Review!$U$6:$U$238,U2192)="","",INDEX(Manual_Review!$U$6:$U$238,U2192))</f>
        <v/>
      </c>
      <c r="J2192" s="5" t="str">
        <f t="shared" si="68"/>
        <v>AI provisional</v>
      </c>
      <c r="K2192" s="5" t="str">
        <f t="shared" si="69"/>
        <v>Y</v>
      </c>
      <c r="L2192" s="5" t="s">
        <v>1597</v>
      </c>
      <c r="M2192" s="5" t="s">
        <v>7404</v>
      </c>
      <c r="N2192" s="5" t="s">
        <v>7383</v>
      </c>
      <c r="O2192" s="5" t="s">
        <v>3380</v>
      </c>
      <c r="P2192" s="5" t="s">
        <v>2858</v>
      </c>
      <c r="Q2192" s="11">
        <v>46306.5</v>
      </c>
      <c r="R2192" s="6"/>
      <c r="S2192" s="6"/>
      <c r="T2192" s="6"/>
      <c r="U2192" s="5">
        <f>MATCH(B2192,Manual_Review!$A$6:$A$238,0)</f>
        <v>137</v>
      </c>
      <c r="V2192" s="5" t="str">
        <f>IF(INDEX(Manual_Review!$G$6:$G$238,U2192)="","",INDEX(Manual_Review!$G$6:$G$238,U2192))</f>
        <v/>
      </c>
      <c r="W2192" s="11" t="str">
        <f>IF(INDEX(Manual_Review!$H$6:$H$238,U2192)="","",INDEX(Manual_Review!$H$6:$H$238,U2192))</f>
        <v/>
      </c>
      <c r="X2192" s="5" t="str">
        <f>IF(INDEX(Manual_Review!$I$6:$I$238,U2192)="","",INDEX(Manual_Review!$I$6:$I$238,U2192))</f>
        <v/>
      </c>
      <c r="Y2192" s="5" t="s">
        <v>2859</v>
      </c>
    </row>
    <row r="2193" spans="1:25" ht="38.25">
      <c r="A2193" s="5" t="s">
        <v>7405</v>
      </c>
      <c r="B2193" s="5" t="s">
        <v>1588</v>
      </c>
      <c r="C2193" s="5" t="s">
        <v>1589</v>
      </c>
      <c r="D2193" s="5" t="s">
        <v>118</v>
      </c>
      <c r="E2193" s="5" t="s">
        <v>2792</v>
      </c>
      <c r="F2193" s="5" t="s">
        <v>2762</v>
      </c>
      <c r="G2193" s="5">
        <v>1</v>
      </c>
      <c r="H2193" s="5" t="s">
        <v>2864</v>
      </c>
      <c r="I2193" s="5" t="str">
        <f>IF(INDEX(Manual_Review!$V$6:$V$238,U2193)="","",INDEX(Manual_Review!$V$6:$V$238,U2193))</f>
        <v/>
      </c>
      <c r="J2193" s="5" t="str">
        <f t="shared" si="68"/>
        <v>AI provisional</v>
      </c>
      <c r="K2193" s="5" t="str">
        <f t="shared" si="69"/>
        <v>U</v>
      </c>
      <c r="L2193" s="5" t="s">
        <v>1597</v>
      </c>
      <c r="M2193" s="5" t="s">
        <v>7406</v>
      </c>
      <c r="N2193" s="5" t="s">
        <v>7383</v>
      </c>
      <c r="O2193" s="5" t="s">
        <v>2891</v>
      </c>
      <c r="P2193" s="5" t="s">
        <v>2858</v>
      </c>
      <c r="Q2193" s="11">
        <v>46306.5</v>
      </c>
      <c r="R2193" s="6"/>
      <c r="S2193" s="6"/>
      <c r="T2193" s="6"/>
      <c r="U2193" s="5">
        <f>MATCH(B2193,Manual_Review!$A$6:$A$238,0)</f>
        <v>137</v>
      </c>
      <c r="V2193" s="5" t="str">
        <f>IF(INDEX(Manual_Review!$G$6:$G$238,U2193)="","",INDEX(Manual_Review!$G$6:$G$238,U2193))</f>
        <v/>
      </c>
      <c r="W2193" s="11" t="str">
        <f>IF(INDEX(Manual_Review!$H$6:$H$238,U2193)="","",INDEX(Manual_Review!$H$6:$H$238,U2193))</f>
        <v/>
      </c>
      <c r="X2193" s="5" t="str">
        <f>IF(INDEX(Manual_Review!$I$6:$I$238,U2193)="","",INDEX(Manual_Review!$I$6:$I$238,U2193))</f>
        <v/>
      </c>
      <c r="Y2193" s="5" t="s">
        <v>2859</v>
      </c>
    </row>
    <row r="2194" spans="1:25" ht="38.25">
      <c r="A2194" s="5" t="s">
        <v>7407</v>
      </c>
      <c r="B2194" s="5" t="s">
        <v>1588</v>
      </c>
      <c r="C2194" s="5" t="s">
        <v>1589</v>
      </c>
      <c r="D2194" s="5" t="s">
        <v>118</v>
      </c>
      <c r="E2194" s="5" t="s">
        <v>2793</v>
      </c>
      <c r="F2194" s="5" t="s">
        <v>2762</v>
      </c>
      <c r="G2194" s="5">
        <v>1</v>
      </c>
      <c r="H2194" s="5" t="s">
        <v>2854</v>
      </c>
      <c r="I2194" s="5" t="str">
        <f>IF(INDEX(Manual_Review!$W$6:$W$238,U2194)="","",INDEX(Manual_Review!$W$6:$W$238,U2194))</f>
        <v/>
      </c>
      <c r="J2194" s="5" t="str">
        <f t="shared" si="68"/>
        <v>AI provisional</v>
      </c>
      <c r="K2194" s="5" t="str">
        <f t="shared" si="69"/>
        <v>Y</v>
      </c>
      <c r="L2194" s="5" t="s">
        <v>1597</v>
      </c>
      <c r="M2194" s="5" t="s">
        <v>7408</v>
      </c>
      <c r="N2194" s="5" t="s">
        <v>7383</v>
      </c>
      <c r="O2194" s="5" t="s">
        <v>3077</v>
      </c>
      <c r="P2194" s="5" t="s">
        <v>2858</v>
      </c>
      <c r="Q2194" s="11">
        <v>46306.5</v>
      </c>
      <c r="R2194" s="6"/>
      <c r="S2194" s="6"/>
      <c r="T2194" s="6"/>
      <c r="U2194" s="5">
        <f>MATCH(B2194,Manual_Review!$A$6:$A$238,0)</f>
        <v>137</v>
      </c>
      <c r="V2194" s="5" t="str">
        <f>IF(INDEX(Manual_Review!$G$6:$G$238,U2194)="","",INDEX(Manual_Review!$G$6:$G$238,U2194))</f>
        <v/>
      </c>
      <c r="W2194" s="11" t="str">
        <f>IF(INDEX(Manual_Review!$H$6:$H$238,U2194)="","",INDEX(Manual_Review!$H$6:$H$238,U2194))</f>
        <v/>
      </c>
      <c r="X2194" s="5" t="str">
        <f>IF(INDEX(Manual_Review!$I$6:$I$238,U2194)="","",INDEX(Manual_Review!$I$6:$I$238,U2194))</f>
        <v/>
      </c>
      <c r="Y2194" s="5" t="s">
        <v>2859</v>
      </c>
    </row>
    <row r="2195" spans="1:25" ht="38.25">
      <c r="A2195" s="5" t="s">
        <v>7409</v>
      </c>
      <c r="B2195" s="5" t="s">
        <v>1588</v>
      </c>
      <c r="C2195" s="5" t="s">
        <v>1589</v>
      </c>
      <c r="D2195" s="5" t="s">
        <v>118</v>
      </c>
      <c r="E2195" s="5" t="s">
        <v>2794</v>
      </c>
      <c r="F2195" s="5" t="s">
        <v>2764</v>
      </c>
      <c r="G2195" s="5">
        <v>1</v>
      </c>
      <c r="H2195" s="5" t="s">
        <v>2854</v>
      </c>
      <c r="I2195" s="5" t="str">
        <f>IF(INDEX(Manual_Review!$X$6:$X$238,U2195)="","",INDEX(Manual_Review!$X$6:$X$238,U2195))</f>
        <v/>
      </c>
      <c r="J2195" s="5" t="str">
        <f t="shared" si="68"/>
        <v>AI provisional</v>
      </c>
      <c r="K2195" s="5" t="str">
        <f t="shared" si="69"/>
        <v>Y</v>
      </c>
      <c r="L2195" s="5" t="s">
        <v>1597</v>
      </c>
      <c r="M2195" s="5" t="s">
        <v>7410</v>
      </c>
      <c r="N2195" s="5" t="s">
        <v>7383</v>
      </c>
      <c r="O2195" s="5" t="s">
        <v>2984</v>
      </c>
      <c r="P2195" s="5" t="s">
        <v>2858</v>
      </c>
      <c r="Q2195" s="11">
        <v>46306.5</v>
      </c>
      <c r="R2195" s="6"/>
      <c r="S2195" s="6"/>
      <c r="T2195" s="6"/>
      <c r="U2195" s="5">
        <f>MATCH(B2195,Manual_Review!$A$6:$A$238,0)</f>
        <v>137</v>
      </c>
      <c r="V2195" s="5" t="str">
        <f>IF(INDEX(Manual_Review!$G$6:$G$238,U2195)="","",INDEX(Manual_Review!$G$6:$G$238,U2195))</f>
        <v/>
      </c>
      <c r="W2195" s="11" t="str">
        <f>IF(INDEX(Manual_Review!$H$6:$H$238,U2195)="","",INDEX(Manual_Review!$H$6:$H$238,U2195))</f>
        <v/>
      </c>
      <c r="X2195" s="5" t="str">
        <f>IF(INDEX(Manual_Review!$I$6:$I$238,U2195)="","",INDEX(Manual_Review!$I$6:$I$238,U2195))</f>
        <v/>
      </c>
      <c r="Y2195" s="5" t="s">
        <v>2859</v>
      </c>
    </row>
    <row r="2196" spans="1:25" ht="38.25">
      <c r="A2196" s="5" t="s">
        <v>7411</v>
      </c>
      <c r="B2196" s="5" t="s">
        <v>1588</v>
      </c>
      <c r="C2196" s="5" t="s">
        <v>1589</v>
      </c>
      <c r="D2196" s="5" t="s">
        <v>118</v>
      </c>
      <c r="E2196" s="5" t="s">
        <v>2795</v>
      </c>
      <c r="F2196" s="5" t="s">
        <v>2764</v>
      </c>
      <c r="G2196" s="5">
        <v>1</v>
      </c>
      <c r="H2196" s="5" t="s">
        <v>2864</v>
      </c>
      <c r="I2196" s="5" t="str">
        <f>IF(INDEX(Manual_Review!$Y$6:$Y$238,U2196)="","",INDEX(Manual_Review!$Y$6:$Y$238,U2196))</f>
        <v/>
      </c>
      <c r="J2196" s="5" t="str">
        <f t="shared" si="68"/>
        <v>AI provisional</v>
      </c>
      <c r="K2196" s="5" t="str">
        <f t="shared" si="69"/>
        <v>U</v>
      </c>
      <c r="L2196" s="5" t="s">
        <v>1597</v>
      </c>
      <c r="M2196" s="5" t="s">
        <v>7402</v>
      </c>
      <c r="N2196" s="5" t="s">
        <v>7383</v>
      </c>
      <c r="O2196" s="5" t="s">
        <v>2897</v>
      </c>
      <c r="P2196" s="5" t="s">
        <v>2858</v>
      </c>
      <c r="Q2196" s="11">
        <v>46306.5</v>
      </c>
      <c r="R2196" s="6"/>
      <c r="S2196" s="6"/>
      <c r="T2196" s="6"/>
      <c r="U2196" s="5">
        <f>MATCH(B2196,Manual_Review!$A$6:$A$238,0)</f>
        <v>137</v>
      </c>
      <c r="V2196" s="5" t="str">
        <f>IF(INDEX(Manual_Review!$G$6:$G$238,U2196)="","",INDEX(Manual_Review!$G$6:$G$238,U2196))</f>
        <v/>
      </c>
      <c r="W2196" s="11" t="str">
        <f>IF(INDEX(Manual_Review!$H$6:$H$238,U2196)="","",INDEX(Manual_Review!$H$6:$H$238,U2196))</f>
        <v/>
      </c>
      <c r="X2196" s="5" t="str">
        <f>IF(INDEX(Manual_Review!$I$6:$I$238,U2196)="","",INDEX(Manual_Review!$I$6:$I$238,U2196))</f>
        <v/>
      </c>
      <c r="Y2196" s="5" t="s">
        <v>2859</v>
      </c>
    </row>
    <row r="2197" spans="1:25" ht="38.25">
      <c r="A2197" s="5" t="s">
        <v>7412</v>
      </c>
      <c r="B2197" s="5" t="s">
        <v>1588</v>
      </c>
      <c r="C2197" s="5" t="s">
        <v>1589</v>
      </c>
      <c r="D2197" s="5" t="s">
        <v>118</v>
      </c>
      <c r="E2197" s="5" t="s">
        <v>2796</v>
      </c>
      <c r="F2197" s="5" t="s">
        <v>2764</v>
      </c>
      <c r="G2197" s="5">
        <v>1</v>
      </c>
      <c r="H2197" s="5" t="s">
        <v>2864</v>
      </c>
      <c r="I2197" s="5" t="str">
        <f>IF(INDEX(Manual_Review!$Z$6:$Z$238,U2197)="","",INDEX(Manual_Review!$Z$6:$Z$238,U2197))</f>
        <v/>
      </c>
      <c r="J2197" s="5" t="str">
        <f t="shared" si="68"/>
        <v>AI provisional</v>
      </c>
      <c r="K2197" s="5" t="str">
        <f t="shared" si="69"/>
        <v>U</v>
      </c>
      <c r="L2197" s="5" t="s">
        <v>1597</v>
      </c>
      <c r="M2197" s="5" t="s">
        <v>7413</v>
      </c>
      <c r="N2197" s="5" t="s">
        <v>7383</v>
      </c>
      <c r="O2197" s="5" t="s">
        <v>2899</v>
      </c>
      <c r="P2197" s="5" t="s">
        <v>2858</v>
      </c>
      <c r="Q2197" s="11">
        <v>46306.5</v>
      </c>
      <c r="R2197" s="6"/>
      <c r="S2197" s="6"/>
      <c r="T2197" s="6"/>
      <c r="U2197" s="5">
        <f>MATCH(B2197,Manual_Review!$A$6:$A$238,0)</f>
        <v>137</v>
      </c>
      <c r="V2197" s="5" t="str">
        <f>IF(INDEX(Manual_Review!$G$6:$G$238,U2197)="","",INDEX(Manual_Review!$G$6:$G$238,U2197))</f>
        <v/>
      </c>
      <c r="W2197" s="11" t="str">
        <f>IF(INDEX(Manual_Review!$H$6:$H$238,U2197)="","",INDEX(Manual_Review!$H$6:$H$238,U2197))</f>
        <v/>
      </c>
      <c r="X2197" s="5" t="str">
        <f>IF(INDEX(Manual_Review!$I$6:$I$238,U2197)="","",INDEX(Manual_Review!$I$6:$I$238,U2197))</f>
        <v/>
      </c>
      <c r="Y2197" s="5" t="s">
        <v>2859</v>
      </c>
    </row>
    <row r="2198" spans="1:25" ht="38.25">
      <c r="A2198" s="5" t="s">
        <v>7414</v>
      </c>
      <c r="B2198" s="5" t="s">
        <v>1599</v>
      </c>
      <c r="C2198" s="5" t="s">
        <v>1600</v>
      </c>
      <c r="D2198" s="5" t="s">
        <v>118</v>
      </c>
      <c r="E2198" s="5" t="s">
        <v>2781</v>
      </c>
      <c r="F2198" s="5" t="s">
        <v>2754</v>
      </c>
      <c r="G2198" s="5">
        <v>1</v>
      </c>
      <c r="H2198" s="5" t="s">
        <v>2854</v>
      </c>
      <c r="I2198" s="5" t="str">
        <f>IF(INDEX(Manual_Review!$K$6:$K$238,U2198)="","",INDEX(Manual_Review!$K$6:$K$238,U2198))</f>
        <v/>
      </c>
      <c r="J2198" s="5" t="str">
        <f t="shared" si="68"/>
        <v>AI provisional</v>
      </c>
      <c r="K2198" s="5" t="str">
        <f t="shared" si="69"/>
        <v>Y</v>
      </c>
      <c r="L2198" s="5" t="s">
        <v>1608</v>
      </c>
      <c r="M2198" s="5" t="s">
        <v>7415</v>
      </c>
      <c r="N2198" s="5" t="s">
        <v>7416</v>
      </c>
      <c r="O2198" s="5" t="s">
        <v>2857</v>
      </c>
      <c r="P2198" s="5" t="s">
        <v>2858</v>
      </c>
      <c r="Q2198" s="11">
        <v>46306.5</v>
      </c>
      <c r="R2198" s="6"/>
      <c r="S2198" s="6"/>
      <c r="T2198" s="6"/>
      <c r="U2198" s="5">
        <f>MATCH(B2198,Manual_Review!$A$6:$A$238,0)</f>
        <v>138</v>
      </c>
      <c r="V2198" s="5" t="str">
        <f>IF(INDEX(Manual_Review!$G$6:$G$238,U2198)="","",INDEX(Manual_Review!$G$6:$G$238,U2198))</f>
        <v/>
      </c>
      <c r="W2198" s="11" t="str">
        <f>IF(INDEX(Manual_Review!$H$6:$H$238,U2198)="","",INDEX(Manual_Review!$H$6:$H$238,U2198))</f>
        <v/>
      </c>
      <c r="X2198" s="5" t="str">
        <f>IF(INDEX(Manual_Review!$I$6:$I$238,U2198)="","",INDEX(Manual_Review!$I$6:$I$238,U2198))</f>
        <v/>
      </c>
      <c r="Y2198" s="5" t="s">
        <v>2859</v>
      </c>
    </row>
    <row r="2199" spans="1:25" ht="38.25">
      <c r="A2199" s="5" t="s">
        <v>7417</v>
      </c>
      <c r="B2199" s="5" t="s">
        <v>1599</v>
      </c>
      <c r="C2199" s="5" t="s">
        <v>1600</v>
      </c>
      <c r="D2199" s="5" t="s">
        <v>118</v>
      </c>
      <c r="E2199" s="5" t="s">
        <v>2782</v>
      </c>
      <c r="F2199" s="5" t="s">
        <v>2754</v>
      </c>
      <c r="G2199" s="5">
        <v>1</v>
      </c>
      <c r="H2199" s="5" t="s">
        <v>2854</v>
      </c>
      <c r="I2199" s="5" t="str">
        <f>IF(INDEX(Manual_Review!$L$6:$L$238,U2199)="","",INDEX(Manual_Review!$L$6:$L$238,U2199))</f>
        <v/>
      </c>
      <c r="J2199" s="5" t="str">
        <f t="shared" si="68"/>
        <v>AI provisional</v>
      </c>
      <c r="K2199" s="5" t="str">
        <f t="shared" si="69"/>
        <v>Y</v>
      </c>
      <c r="L2199" s="5" t="s">
        <v>1608</v>
      </c>
      <c r="M2199" s="5" t="s">
        <v>7418</v>
      </c>
      <c r="N2199" s="5" t="s">
        <v>7416</v>
      </c>
      <c r="O2199" s="5" t="s">
        <v>2862</v>
      </c>
      <c r="P2199" s="5" t="s">
        <v>2858</v>
      </c>
      <c r="Q2199" s="11">
        <v>46306.5</v>
      </c>
      <c r="R2199" s="6"/>
      <c r="S2199" s="6"/>
      <c r="T2199" s="6"/>
      <c r="U2199" s="5">
        <f>MATCH(B2199,Manual_Review!$A$6:$A$238,0)</f>
        <v>138</v>
      </c>
      <c r="V2199" s="5" t="str">
        <f>IF(INDEX(Manual_Review!$G$6:$G$238,U2199)="","",INDEX(Manual_Review!$G$6:$G$238,U2199))</f>
        <v/>
      </c>
      <c r="W2199" s="11" t="str">
        <f>IF(INDEX(Manual_Review!$H$6:$H$238,U2199)="","",INDEX(Manual_Review!$H$6:$H$238,U2199))</f>
        <v/>
      </c>
      <c r="X2199" s="5" t="str">
        <f>IF(INDEX(Manual_Review!$I$6:$I$238,U2199)="","",INDEX(Manual_Review!$I$6:$I$238,U2199))</f>
        <v/>
      </c>
      <c r="Y2199" s="5" t="s">
        <v>2859</v>
      </c>
    </row>
    <row r="2200" spans="1:25" ht="38.25">
      <c r="A2200" s="5" t="s">
        <v>7419</v>
      </c>
      <c r="B2200" s="5" t="s">
        <v>1599</v>
      </c>
      <c r="C2200" s="5" t="s">
        <v>1600</v>
      </c>
      <c r="D2200" s="5" t="s">
        <v>118</v>
      </c>
      <c r="E2200" s="5" t="s">
        <v>2783</v>
      </c>
      <c r="F2200" s="5" t="s">
        <v>2754</v>
      </c>
      <c r="G2200" s="5">
        <v>1</v>
      </c>
      <c r="H2200" s="5" t="s">
        <v>2854</v>
      </c>
      <c r="I2200" s="5" t="str">
        <f>IF(INDEX(Manual_Review!$M$6:$M$238,U2200)="","",INDEX(Manual_Review!$M$6:$M$238,U2200))</f>
        <v/>
      </c>
      <c r="J2200" s="5" t="str">
        <f t="shared" si="68"/>
        <v>AI provisional</v>
      </c>
      <c r="K2200" s="5" t="str">
        <f t="shared" si="69"/>
        <v>Y</v>
      </c>
      <c r="L2200" s="5" t="s">
        <v>1608</v>
      </c>
      <c r="M2200" s="5" t="s">
        <v>7420</v>
      </c>
      <c r="N2200" s="5" t="s">
        <v>7416</v>
      </c>
      <c r="O2200" s="5" t="s">
        <v>3133</v>
      </c>
      <c r="P2200" s="5" t="s">
        <v>2858</v>
      </c>
      <c r="Q2200" s="11">
        <v>46306.5</v>
      </c>
      <c r="R2200" s="6"/>
      <c r="S2200" s="6"/>
      <c r="T2200" s="6"/>
      <c r="U2200" s="5">
        <f>MATCH(B2200,Manual_Review!$A$6:$A$238,0)</f>
        <v>138</v>
      </c>
      <c r="V2200" s="5" t="str">
        <f>IF(INDEX(Manual_Review!$G$6:$G$238,U2200)="","",INDEX(Manual_Review!$G$6:$G$238,U2200))</f>
        <v/>
      </c>
      <c r="W2200" s="11" t="str">
        <f>IF(INDEX(Manual_Review!$H$6:$H$238,U2200)="","",INDEX(Manual_Review!$H$6:$H$238,U2200))</f>
        <v/>
      </c>
      <c r="X2200" s="5" t="str">
        <f>IF(INDEX(Manual_Review!$I$6:$I$238,U2200)="","",INDEX(Manual_Review!$I$6:$I$238,U2200))</f>
        <v/>
      </c>
      <c r="Y2200" s="5" t="s">
        <v>2859</v>
      </c>
    </row>
    <row r="2201" spans="1:25" ht="38.25">
      <c r="A2201" s="5" t="s">
        <v>7421</v>
      </c>
      <c r="B2201" s="5" t="s">
        <v>1599</v>
      </c>
      <c r="C2201" s="5" t="s">
        <v>1600</v>
      </c>
      <c r="D2201" s="5" t="s">
        <v>118</v>
      </c>
      <c r="E2201" s="5" t="s">
        <v>2784</v>
      </c>
      <c r="F2201" s="5" t="s">
        <v>2756</v>
      </c>
      <c r="G2201" s="5">
        <v>1</v>
      </c>
      <c r="H2201" s="5" t="s">
        <v>2854</v>
      </c>
      <c r="I2201" s="5" t="str">
        <f>IF(INDEX(Manual_Review!$N$6:$N$238,U2201)="","",INDEX(Manual_Review!$N$6:$N$238,U2201))</f>
        <v/>
      </c>
      <c r="J2201" s="5" t="str">
        <f t="shared" si="68"/>
        <v>AI provisional</v>
      </c>
      <c r="K2201" s="5" t="str">
        <f t="shared" si="69"/>
        <v>Y</v>
      </c>
      <c r="L2201" s="5" t="s">
        <v>1608</v>
      </c>
      <c r="M2201" s="5" t="s">
        <v>7422</v>
      </c>
      <c r="N2201" s="5" t="s">
        <v>7416</v>
      </c>
      <c r="O2201" s="5" t="s">
        <v>2963</v>
      </c>
      <c r="P2201" s="5" t="s">
        <v>2858</v>
      </c>
      <c r="Q2201" s="11">
        <v>46306.5</v>
      </c>
      <c r="R2201" s="6"/>
      <c r="S2201" s="6"/>
      <c r="T2201" s="6"/>
      <c r="U2201" s="5">
        <f>MATCH(B2201,Manual_Review!$A$6:$A$238,0)</f>
        <v>138</v>
      </c>
      <c r="V2201" s="5" t="str">
        <f>IF(INDEX(Manual_Review!$G$6:$G$238,U2201)="","",INDEX(Manual_Review!$G$6:$G$238,U2201))</f>
        <v/>
      </c>
      <c r="W2201" s="11" t="str">
        <f>IF(INDEX(Manual_Review!$H$6:$H$238,U2201)="","",INDEX(Manual_Review!$H$6:$H$238,U2201))</f>
        <v/>
      </c>
      <c r="X2201" s="5" t="str">
        <f>IF(INDEX(Manual_Review!$I$6:$I$238,U2201)="","",INDEX(Manual_Review!$I$6:$I$238,U2201))</f>
        <v/>
      </c>
      <c r="Y2201" s="5" t="s">
        <v>2859</v>
      </c>
    </row>
    <row r="2202" spans="1:25" ht="38.25">
      <c r="A2202" s="5" t="s">
        <v>7423</v>
      </c>
      <c r="B2202" s="5" t="s">
        <v>1599</v>
      </c>
      <c r="C2202" s="5" t="s">
        <v>1600</v>
      </c>
      <c r="D2202" s="5" t="s">
        <v>118</v>
      </c>
      <c r="E2202" s="5" t="s">
        <v>2785</v>
      </c>
      <c r="F2202" s="5" t="s">
        <v>2756</v>
      </c>
      <c r="G2202" s="5">
        <v>1</v>
      </c>
      <c r="H2202" s="5" t="s">
        <v>2864</v>
      </c>
      <c r="I2202" s="5" t="str">
        <f>IF(INDEX(Manual_Review!$O$6:$O$238,U2202)="","",INDEX(Manual_Review!$O$6:$O$238,U2202))</f>
        <v/>
      </c>
      <c r="J2202" s="5" t="str">
        <f t="shared" si="68"/>
        <v>AI provisional</v>
      </c>
      <c r="K2202" s="5" t="str">
        <f t="shared" si="69"/>
        <v>U</v>
      </c>
      <c r="L2202" s="5" t="s">
        <v>1608</v>
      </c>
      <c r="M2202" s="5" t="s">
        <v>7424</v>
      </c>
      <c r="N2202" s="5" t="s">
        <v>7416</v>
      </c>
      <c r="O2202" s="5" t="s">
        <v>2872</v>
      </c>
      <c r="P2202" s="5" t="s">
        <v>2858</v>
      </c>
      <c r="Q2202" s="11">
        <v>46306.5</v>
      </c>
      <c r="R2202" s="6"/>
      <c r="S2202" s="6"/>
      <c r="T2202" s="6"/>
      <c r="U2202" s="5">
        <f>MATCH(B2202,Manual_Review!$A$6:$A$238,0)</f>
        <v>138</v>
      </c>
      <c r="V2202" s="5" t="str">
        <f>IF(INDEX(Manual_Review!$G$6:$G$238,U2202)="","",INDEX(Manual_Review!$G$6:$G$238,U2202))</f>
        <v/>
      </c>
      <c r="W2202" s="11" t="str">
        <f>IF(INDEX(Manual_Review!$H$6:$H$238,U2202)="","",INDEX(Manual_Review!$H$6:$H$238,U2202))</f>
        <v/>
      </c>
      <c r="X2202" s="5" t="str">
        <f>IF(INDEX(Manual_Review!$I$6:$I$238,U2202)="","",INDEX(Manual_Review!$I$6:$I$238,U2202))</f>
        <v/>
      </c>
      <c r="Y2202" s="5" t="s">
        <v>2859</v>
      </c>
    </row>
    <row r="2203" spans="1:25" ht="38.25">
      <c r="A2203" s="5" t="s">
        <v>7425</v>
      </c>
      <c r="B2203" s="5" t="s">
        <v>1599</v>
      </c>
      <c r="C2203" s="5" t="s">
        <v>1600</v>
      </c>
      <c r="D2203" s="5" t="s">
        <v>118</v>
      </c>
      <c r="E2203" s="5" t="s">
        <v>2786</v>
      </c>
      <c r="F2203" s="5" t="s">
        <v>2756</v>
      </c>
      <c r="G2203" s="5">
        <v>1</v>
      </c>
      <c r="H2203" s="5" t="s">
        <v>2864</v>
      </c>
      <c r="I2203" s="5" t="str">
        <f>IF(INDEX(Manual_Review!$P$6:$P$238,U2203)="","",INDEX(Manual_Review!$P$6:$P$238,U2203))</f>
        <v/>
      </c>
      <c r="J2203" s="5" t="str">
        <f t="shared" si="68"/>
        <v>AI provisional</v>
      </c>
      <c r="K2203" s="5" t="str">
        <f t="shared" si="69"/>
        <v>U</v>
      </c>
      <c r="L2203" s="5" t="s">
        <v>1608</v>
      </c>
      <c r="M2203" s="5" t="s">
        <v>7426</v>
      </c>
      <c r="N2203" s="5" t="s">
        <v>7416</v>
      </c>
      <c r="O2203" s="5" t="s">
        <v>2874</v>
      </c>
      <c r="P2203" s="5" t="s">
        <v>2858</v>
      </c>
      <c r="Q2203" s="11">
        <v>46306.5</v>
      </c>
      <c r="R2203" s="6"/>
      <c r="S2203" s="6"/>
      <c r="T2203" s="6"/>
      <c r="U2203" s="5">
        <f>MATCH(B2203,Manual_Review!$A$6:$A$238,0)</f>
        <v>138</v>
      </c>
      <c r="V2203" s="5" t="str">
        <f>IF(INDEX(Manual_Review!$G$6:$G$238,U2203)="","",INDEX(Manual_Review!$G$6:$G$238,U2203))</f>
        <v/>
      </c>
      <c r="W2203" s="11" t="str">
        <f>IF(INDEX(Manual_Review!$H$6:$H$238,U2203)="","",INDEX(Manual_Review!$H$6:$H$238,U2203))</f>
        <v/>
      </c>
      <c r="X2203" s="5" t="str">
        <f>IF(INDEX(Manual_Review!$I$6:$I$238,U2203)="","",INDEX(Manual_Review!$I$6:$I$238,U2203))</f>
        <v/>
      </c>
      <c r="Y2203" s="5" t="s">
        <v>2859</v>
      </c>
    </row>
    <row r="2204" spans="1:25" ht="38.25">
      <c r="A2204" s="5" t="s">
        <v>7427</v>
      </c>
      <c r="B2204" s="5" t="s">
        <v>1599</v>
      </c>
      <c r="C2204" s="5" t="s">
        <v>1600</v>
      </c>
      <c r="D2204" s="5" t="s">
        <v>118</v>
      </c>
      <c r="E2204" s="5" t="s">
        <v>2787</v>
      </c>
      <c r="F2204" s="5" t="s">
        <v>2758</v>
      </c>
      <c r="G2204" s="5">
        <v>1</v>
      </c>
      <c r="H2204" s="5" t="s">
        <v>2854</v>
      </c>
      <c r="I2204" s="5" t="str">
        <f>IF(INDEX(Manual_Review!$Q$6:$Q$238,U2204)="","",INDEX(Manual_Review!$Q$6:$Q$238,U2204))</f>
        <v/>
      </c>
      <c r="J2204" s="5" t="str">
        <f t="shared" si="68"/>
        <v>AI provisional</v>
      </c>
      <c r="K2204" s="5" t="str">
        <f t="shared" si="69"/>
        <v>Y</v>
      </c>
      <c r="L2204" s="5" t="s">
        <v>1608</v>
      </c>
      <c r="M2204" s="5" t="s">
        <v>7428</v>
      </c>
      <c r="N2204" s="5" t="s">
        <v>7416</v>
      </c>
      <c r="O2204" s="5" t="s">
        <v>2969</v>
      </c>
      <c r="P2204" s="5" t="s">
        <v>2858</v>
      </c>
      <c r="Q2204" s="11">
        <v>46306.5</v>
      </c>
      <c r="R2204" s="6"/>
      <c r="S2204" s="6"/>
      <c r="T2204" s="6"/>
      <c r="U2204" s="5">
        <f>MATCH(B2204,Manual_Review!$A$6:$A$238,0)</f>
        <v>138</v>
      </c>
      <c r="V2204" s="5" t="str">
        <f>IF(INDEX(Manual_Review!$G$6:$G$238,U2204)="","",INDEX(Manual_Review!$G$6:$G$238,U2204))</f>
        <v/>
      </c>
      <c r="W2204" s="11" t="str">
        <f>IF(INDEX(Manual_Review!$H$6:$H$238,U2204)="","",INDEX(Manual_Review!$H$6:$H$238,U2204))</f>
        <v/>
      </c>
      <c r="X2204" s="5" t="str">
        <f>IF(INDEX(Manual_Review!$I$6:$I$238,U2204)="","",INDEX(Manual_Review!$I$6:$I$238,U2204))</f>
        <v/>
      </c>
      <c r="Y2204" s="5" t="s">
        <v>2859</v>
      </c>
    </row>
    <row r="2205" spans="1:25" ht="38.25">
      <c r="A2205" s="5" t="s">
        <v>7429</v>
      </c>
      <c r="B2205" s="5" t="s">
        <v>1599</v>
      </c>
      <c r="C2205" s="5" t="s">
        <v>1600</v>
      </c>
      <c r="D2205" s="5" t="s">
        <v>118</v>
      </c>
      <c r="E2205" s="5" t="s">
        <v>2788</v>
      </c>
      <c r="F2205" s="5" t="s">
        <v>2758</v>
      </c>
      <c r="G2205" s="5">
        <v>1</v>
      </c>
      <c r="H2205" s="5" t="s">
        <v>2864</v>
      </c>
      <c r="I2205" s="5" t="str">
        <f>IF(INDEX(Manual_Review!$R$6:$R$238,U2205)="","",INDEX(Manual_Review!$R$6:$R$238,U2205))</f>
        <v/>
      </c>
      <c r="J2205" s="5" t="str">
        <f t="shared" si="68"/>
        <v>AI provisional</v>
      </c>
      <c r="K2205" s="5" t="str">
        <f t="shared" si="69"/>
        <v>U</v>
      </c>
      <c r="L2205" s="5" t="s">
        <v>1608</v>
      </c>
      <c r="M2205" s="5" t="s">
        <v>7430</v>
      </c>
      <c r="N2205" s="5" t="s">
        <v>7416</v>
      </c>
      <c r="O2205" s="5" t="s">
        <v>2880</v>
      </c>
      <c r="P2205" s="5" t="s">
        <v>2858</v>
      </c>
      <c r="Q2205" s="11">
        <v>46306.5</v>
      </c>
      <c r="R2205" s="6"/>
      <c r="S2205" s="6"/>
      <c r="T2205" s="6"/>
      <c r="U2205" s="5">
        <f>MATCH(B2205,Manual_Review!$A$6:$A$238,0)</f>
        <v>138</v>
      </c>
      <c r="V2205" s="5" t="str">
        <f>IF(INDEX(Manual_Review!$G$6:$G$238,U2205)="","",INDEX(Manual_Review!$G$6:$G$238,U2205))</f>
        <v/>
      </c>
      <c r="W2205" s="11" t="str">
        <f>IF(INDEX(Manual_Review!$H$6:$H$238,U2205)="","",INDEX(Manual_Review!$H$6:$H$238,U2205))</f>
        <v/>
      </c>
      <c r="X2205" s="5" t="str">
        <f>IF(INDEX(Manual_Review!$I$6:$I$238,U2205)="","",INDEX(Manual_Review!$I$6:$I$238,U2205))</f>
        <v/>
      </c>
      <c r="Y2205" s="5" t="s">
        <v>2859</v>
      </c>
    </row>
    <row r="2206" spans="1:25" ht="38.25">
      <c r="A2206" s="5" t="s">
        <v>7431</v>
      </c>
      <c r="B2206" s="5" t="s">
        <v>1599</v>
      </c>
      <c r="C2206" s="5" t="s">
        <v>1600</v>
      </c>
      <c r="D2206" s="5" t="s">
        <v>118</v>
      </c>
      <c r="E2206" s="5" t="s">
        <v>2789</v>
      </c>
      <c r="F2206" s="5" t="s">
        <v>2758</v>
      </c>
      <c r="G2206" s="5">
        <v>1</v>
      </c>
      <c r="H2206" s="5" t="s">
        <v>2854</v>
      </c>
      <c r="I2206" s="5" t="str">
        <f>IF(INDEX(Manual_Review!$S$6:$S$238,U2206)="","",INDEX(Manual_Review!$S$6:$S$238,U2206))</f>
        <v/>
      </c>
      <c r="J2206" s="5" t="str">
        <f t="shared" si="68"/>
        <v>AI provisional</v>
      </c>
      <c r="K2206" s="5" t="str">
        <f t="shared" si="69"/>
        <v>Y</v>
      </c>
      <c r="L2206" s="5" t="s">
        <v>1608</v>
      </c>
      <c r="M2206" s="5" t="s">
        <v>7432</v>
      </c>
      <c r="N2206" s="5" t="s">
        <v>7416</v>
      </c>
      <c r="O2206" s="5" t="s">
        <v>3178</v>
      </c>
      <c r="P2206" s="5" t="s">
        <v>2858</v>
      </c>
      <c r="Q2206" s="11">
        <v>46306.5</v>
      </c>
      <c r="R2206" s="6"/>
      <c r="S2206" s="6"/>
      <c r="T2206" s="6"/>
      <c r="U2206" s="5">
        <f>MATCH(B2206,Manual_Review!$A$6:$A$238,0)</f>
        <v>138</v>
      </c>
      <c r="V2206" s="5" t="str">
        <f>IF(INDEX(Manual_Review!$G$6:$G$238,U2206)="","",INDEX(Manual_Review!$G$6:$G$238,U2206))</f>
        <v/>
      </c>
      <c r="W2206" s="11" t="str">
        <f>IF(INDEX(Manual_Review!$H$6:$H$238,U2206)="","",INDEX(Manual_Review!$H$6:$H$238,U2206))</f>
        <v/>
      </c>
      <c r="X2206" s="5" t="str">
        <f>IF(INDEX(Manual_Review!$I$6:$I$238,U2206)="","",INDEX(Manual_Review!$I$6:$I$238,U2206))</f>
        <v/>
      </c>
      <c r="Y2206" s="5" t="s">
        <v>2859</v>
      </c>
    </row>
    <row r="2207" spans="1:25" ht="38.25">
      <c r="A2207" s="5" t="s">
        <v>7433</v>
      </c>
      <c r="B2207" s="5" t="s">
        <v>1599</v>
      </c>
      <c r="C2207" s="5" t="s">
        <v>1600</v>
      </c>
      <c r="D2207" s="5" t="s">
        <v>118</v>
      </c>
      <c r="E2207" s="5" t="s">
        <v>2790</v>
      </c>
      <c r="F2207" s="5" t="s">
        <v>2760</v>
      </c>
      <c r="G2207" s="5">
        <v>1</v>
      </c>
      <c r="H2207" s="5" t="s">
        <v>2864</v>
      </c>
      <c r="I2207" s="5" t="str">
        <f>IF(INDEX(Manual_Review!$T$6:$T$238,U2207)="","",INDEX(Manual_Review!$T$6:$T$238,U2207))</f>
        <v/>
      </c>
      <c r="J2207" s="5" t="str">
        <f t="shared" si="68"/>
        <v>AI provisional</v>
      </c>
      <c r="K2207" s="5" t="str">
        <f t="shared" si="69"/>
        <v>U</v>
      </c>
      <c r="L2207" s="5" t="s">
        <v>1608</v>
      </c>
      <c r="M2207" s="5" t="s">
        <v>7426</v>
      </c>
      <c r="N2207" s="5" t="s">
        <v>7416</v>
      </c>
      <c r="O2207" s="5" t="s">
        <v>2885</v>
      </c>
      <c r="P2207" s="5" t="s">
        <v>2858</v>
      </c>
      <c r="Q2207" s="11">
        <v>46306.5</v>
      </c>
      <c r="R2207" s="6"/>
      <c r="S2207" s="6"/>
      <c r="T2207" s="6"/>
      <c r="U2207" s="5">
        <f>MATCH(B2207,Manual_Review!$A$6:$A$238,0)</f>
        <v>138</v>
      </c>
      <c r="V2207" s="5" t="str">
        <f>IF(INDEX(Manual_Review!$G$6:$G$238,U2207)="","",INDEX(Manual_Review!$G$6:$G$238,U2207))</f>
        <v/>
      </c>
      <c r="W2207" s="11" t="str">
        <f>IF(INDEX(Manual_Review!$H$6:$H$238,U2207)="","",INDEX(Manual_Review!$H$6:$H$238,U2207))</f>
        <v/>
      </c>
      <c r="X2207" s="5" t="str">
        <f>IF(INDEX(Manual_Review!$I$6:$I$238,U2207)="","",INDEX(Manual_Review!$I$6:$I$238,U2207))</f>
        <v/>
      </c>
      <c r="Y2207" s="5" t="s">
        <v>2859</v>
      </c>
    </row>
    <row r="2208" spans="1:25" ht="38.25">
      <c r="A2208" s="5" t="s">
        <v>7434</v>
      </c>
      <c r="B2208" s="5" t="s">
        <v>1599</v>
      </c>
      <c r="C2208" s="5" t="s">
        <v>1600</v>
      </c>
      <c r="D2208" s="5" t="s">
        <v>118</v>
      </c>
      <c r="E2208" s="5" t="s">
        <v>2791</v>
      </c>
      <c r="F2208" s="5" t="s">
        <v>2760</v>
      </c>
      <c r="G2208" s="5">
        <v>1</v>
      </c>
      <c r="H2208" s="5" t="s">
        <v>2854</v>
      </c>
      <c r="I2208" s="5" t="str">
        <f>IF(INDEX(Manual_Review!$U$6:$U$238,U2208)="","",INDEX(Manual_Review!$U$6:$U$238,U2208))</f>
        <v/>
      </c>
      <c r="J2208" s="5" t="str">
        <f t="shared" si="68"/>
        <v>AI provisional</v>
      </c>
      <c r="K2208" s="5" t="str">
        <f t="shared" si="69"/>
        <v>Y</v>
      </c>
      <c r="L2208" s="5" t="s">
        <v>1608</v>
      </c>
      <c r="M2208" s="5" t="s">
        <v>7435</v>
      </c>
      <c r="N2208" s="5" t="s">
        <v>7416</v>
      </c>
      <c r="O2208" s="5" t="s">
        <v>3380</v>
      </c>
      <c r="P2208" s="5" t="s">
        <v>2858</v>
      </c>
      <c r="Q2208" s="11">
        <v>46306.5</v>
      </c>
      <c r="R2208" s="6"/>
      <c r="S2208" s="6"/>
      <c r="T2208" s="6"/>
      <c r="U2208" s="5">
        <f>MATCH(B2208,Manual_Review!$A$6:$A$238,0)</f>
        <v>138</v>
      </c>
      <c r="V2208" s="5" t="str">
        <f>IF(INDEX(Manual_Review!$G$6:$G$238,U2208)="","",INDEX(Manual_Review!$G$6:$G$238,U2208))</f>
        <v/>
      </c>
      <c r="W2208" s="11" t="str">
        <f>IF(INDEX(Manual_Review!$H$6:$H$238,U2208)="","",INDEX(Manual_Review!$H$6:$H$238,U2208))</f>
        <v/>
      </c>
      <c r="X2208" s="5" t="str">
        <f>IF(INDEX(Manual_Review!$I$6:$I$238,U2208)="","",INDEX(Manual_Review!$I$6:$I$238,U2208))</f>
        <v/>
      </c>
      <c r="Y2208" s="5" t="s">
        <v>2859</v>
      </c>
    </row>
    <row r="2209" spans="1:25" ht="38.25">
      <c r="A2209" s="5" t="s">
        <v>7436</v>
      </c>
      <c r="B2209" s="5" t="s">
        <v>1599</v>
      </c>
      <c r="C2209" s="5" t="s">
        <v>1600</v>
      </c>
      <c r="D2209" s="5" t="s">
        <v>118</v>
      </c>
      <c r="E2209" s="5" t="s">
        <v>2792</v>
      </c>
      <c r="F2209" s="5" t="s">
        <v>2762</v>
      </c>
      <c r="G2209" s="5">
        <v>1</v>
      </c>
      <c r="H2209" s="5" t="s">
        <v>2864</v>
      </c>
      <c r="I2209" s="5" t="str">
        <f>IF(INDEX(Manual_Review!$V$6:$V$238,U2209)="","",INDEX(Manual_Review!$V$6:$V$238,U2209))</f>
        <v/>
      </c>
      <c r="J2209" s="5" t="str">
        <f t="shared" si="68"/>
        <v>AI provisional</v>
      </c>
      <c r="K2209" s="5" t="str">
        <f t="shared" si="69"/>
        <v>U</v>
      </c>
      <c r="L2209" s="5" t="s">
        <v>1608</v>
      </c>
      <c r="M2209" s="5" t="s">
        <v>7426</v>
      </c>
      <c r="N2209" s="5" t="s">
        <v>7416</v>
      </c>
      <c r="O2209" s="5" t="s">
        <v>2891</v>
      </c>
      <c r="P2209" s="5" t="s">
        <v>2858</v>
      </c>
      <c r="Q2209" s="11">
        <v>46306.5</v>
      </c>
      <c r="R2209" s="6"/>
      <c r="S2209" s="6"/>
      <c r="T2209" s="6"/>
      <c r="U2209" s="5">
        <f>MATCH(B2209,Manual_Review!$A$6:$A$238,0)</f>
        <v>138</v>
      </c>
      <c r="V2209" s="5" t="str">
        <f>IF(INDEX(Manual_Review!$G$6:$G$238,U2209)="","",INDEX(Manual_Review!$G$6:$G$238,U2209))</f>
        <v/>
      </c>
      <c r="W2209" s="11" t="str">
        <f>IF(INDEX(Manual_Review!$H$6:$H$238,U2209)="","",INDEX(Manual_Review!$H$6:$H$238,U2209))</f>
        <v/>
      </c>
      <c r="X2209" s="5" t="str">
        <f>IF(INDEX(Manual_Review!$I$6:$I$238,U2209)="","",INDEX(Manual_Review!$I$6:$I$238,U2209))</f>
        <v/>
      </c>
      <c r="Y2209" s="5" t="s">
        <v>2859</v>
      </c>
    </row>
    <row r="2210" spans="1:25" ht="38.25">
      <c r="A2210" s="5" t="s">
        <v>7437</v>
      </c>
      <c r="B2210" s="5" t="s">
        <v>1599</v>
      </c>
      <c r="C2210" s="5" t="s">
        <v>1600</v>
      </c>
      <c r="D2210" s="5" t="s">
        <v>118</v>
      </c>
      <c r="E2210" s="5" t="s">
        <v>2793</v>
      </c>
      <c r="F2210" s="5" t="s">
        <v>2762</v>
      </c>
      <c r="G2210" s="5">
        <v>1</v>
      </c>
      <c r="H2210" s="5" t="s">
        <v>2864</v>
      </c>
      <c r="I2210" s="5" t="str">
        <f>IF(INDEX(Manual_Review!$W$6:$W$238,U2210)="","",INDEX(Manual_Review!$W$6:$W$238,U2210))</f>
        <v/>
      </c>
      <c r="J2210" s="5" t="str">
        <f t="shared" si="68"/>
        <v>AI provisional</v>
      </c>
      <c r="K2210" s="5" t="str">
        <f t="shared" si="69"/>
        <v>U</v>
      </c>
      <c r="L2210" s="5" t="s">
        <v>1608</v>
      </c>
      <c r="M2210" s="5" t="s">
        <v>7426</v>
      </c>
      <c r="N2210" s="5" t="s">
        <v>7416</v>
      </c>
      <c r="O2210" s="5" t="s">
        <v>2893</v>
      </c>
      <c r="P2210" s="5" t="s">
        <v>2858</v>
      </c>
      <c r="Q2210" s="11">
        <v>46306.5</v>
      </c>
      <c r="R2210" s="6"/>
      <c r="S2210" s="6"/>
      <c r="T2210" s="6"/>
      <c r="U2210" s="5">
        <f>MATCH(B2210,Manual_Review!$A$6:$A$238,0)</f>
        <v>138</v>
      </c>
      <c r="V2210" s="5" t="str">
        <f>IF(INDEX(Manual_Review!$G$6:$G$238,U2210)="","",INDEX(Manual_Review!$G$6:$G$238,U2210))</f>
        <v/>
      </c>
      <c r="W2210" s="11" t="str">
        <f>IF(INDEX(Manual_Review!$H$6:$H$238,U2210)="","",INDEX(Manual_Review!$H$6:$H$238,U2210))</f>
        <v/>
      </c>
      <c r="X2210" s="5" t="str">
        <f>IF(INDEX(Manual_Review!$I$6:$I$238,U2210)="","",INDEX(Manual_Review!$I$6:$I$238,U2210))</f>
        <v/>
      </c>
      <c r="Y2210" s="5" t="s">
        <v>2859</v>
      </c>
    </row>
    <row r="2211" spans="1:25" ht="38.25">
      <c r="A2211" s="5" t="s">
        <v>7438</v>
      </c>
      <c r="B2211" s="5" t="s">
        <v>1599</v>
      </c>
      <c r="C2211" s="5" t="s">
        <v>1600</v>
      </c>
      <c r="D2211" s="5" t="s">
        <v>118</v>
      </c>
      <c r="E2211" s="5" t="s">
        <v>2794</v>
      </c>
      <c r="F2211" s="5" t="s">
        <v>2764</v>
      </c>
      <c r="G2211" s="5">
        <v>1</v>
      </c>
      <c r="H2211" s="5" t="s">
        <v>2864</v>
      </c>
      <c r="I2211" s="5" t="str">
        <f>IF(INDEX(Manual_Review!$X$6:$X$238,U2211)="","",INDEX(Manual_Review!$X$6:$X$238,U2211))</f>
        <v/>
      </c>
      <c r="J2211" s="5" t="str">
        <f t="shared" si="68"/>
        <v>AI provisional</v>
      </c>
      <c r="K2211" s="5" t="str">
        <f t="shared" si="69"/>
        <v>U</v>
      </c>
      <c r="L2211" s="5" t="s">
        <v>1608</v>
      </c>
      <c r="M2211" s="5" t="s">
        <v>7426</v>
      </c>
      <c r="N2211" s="5" t="s">
        <v>7416</v>
      </c>
      <c r="O2211" s="5" t="s">
        <v>2895</v>
      </c>
      <c r="P2211" s="5" t="s">
        <v>2858</v>
      </c>
      <c r="Q2211" s="11">
        <v>46306.5</v>
      </c>
      <c r="R2211" s="6"/>
      <c r="S2211" s="6"/>
      <c r="T2211" s="6"/>
      <c r="U2211" s="5">
        <f>MATCH(B2211,Manual_Review!$A$6:$A$238,0)</f>
        <v>138</v>
      </c>
      <c r="V2211" s="5" t="str">
        <f>IF(INDEX(Manual_Review!$G$6:$G$238,U2211)="","",INDEX(Manual_Review!$G$6:$G$238,U2211))</f>
        <v/>
      </c>
      <c r="W2211" s="11" t="str">
        <f>IF(INDEX(Manual_Review!$H$6:$H$238,U2211)="","",INDEX(Manual_Review!$H$6:$H$238,U2211))</f>
        <v/>
      </c>
      <c r="X2211" s="5" t="str">
        <f>IF(INDEX(Manual_Review!$I$6:$I$238,U2211)="","",INDEX(Manual_Review!$I$6:$I$238,U2211))</f>
        <v/>
      </c>
      <c r="Y2211" s="5" t="s">
        <v>2859</v>
      </c>
    </row>
    <row r="2212" spans="1:25" ht="38.25">
      <c r="A2212" s="5" t="s">
        <v>7439</v>
      </c>
      <c r="B2212" s="5" t="s">
        <v>1599</v>
      </c>
      <c r="C2212" s="5" t="s">
        <v>1600</v>
      </c>
      <c r="D2212" s="5" t="s">
        <v>118</v>
      </c>
      <c r="E2212" s="5" t="s">
        <v>2795</v>
      </c>
      <c r="F2212" s="5" t="s">
        <v>2764</v>
      </c>
      <c r="G2212" s="5">
        <v>1</v>
      </c>
      <c r="H2212" s="5" t="s">
        <v>2854</v>
      </c>
      <c r="I2212" s="5" t="str">
        <f>IF(INDEX(Manual_Review!$Y$6:$Y$238,U2212)="","",INDEX(Manual_Review!$Y$6:$Y$238,U2212))</f>
        <v/>
      </c>
      <c r="J2212" s="5" t="str">
        <f t="shared" si="68"/>
        <v>AI provisional</v>
      </c>
      <c r="K2212" s="5" t="str">
        <f t="shared" si="69"/>
        <v>Y</v>
      </c>
      <c r="L2212" s="5" t="s">
        <v>1608</v>
      </c>
      <c r="M2212" s="5" t="s">
        <v>7426</v>
      </c>
      <c r="N2212" s="5" t="s">
        <v>7416</v>
      </c>
      <c r="O2212" s="5" t="s">
        <v>3082</v>
      </c>
      <c r="P2212" s="5" t="s">
        <v>2858</v>
      </c>
      <c r="Q2212" s="11">
        <v>46306.5</v>
      </c>
      <c r="R2212" s="6"/>
      <c r="S2212" s="6"/>
      <c r="T2212" s="6"/>
      <c r="U2212" s="5">
        <f>MATCH(B2212,Manual_Review!$A$6:$A$238,0)</f>
        <v>138</v>
      </c>
      <c r="V2212" s="5" t="str">
        <f>IF(INDEX(Manual_Review!$G$6:$G$238,U2212)="","",INDEX(Manual_Review!$G$6:$G$238,U2212))</f>
        <v/>
      </c>
      <c r="W2212" s="11" t="str">
        <f>IF(INDEX(Manual_Review!$H$6:$H$238,U2212)="","",INDEX(Manual_Review!$H$6:$H$238,U2212))</f>
        <v/>
      </c>
      <c r="X2212" s="5" t="str">
        <f>IF(INDEX(Manual_Review!$I$6:$I$238,U2212)="","",INDEX(Manual_Review!$I$6:$I$238,U2212))</f>
        <v/>
      </c>
      <c r="Y2212" s="5" t="s">
        <v>2859</v>
      </c>
    </row>
    <row r="2213" spans="1:25" ht="38.25">
      <c r="A2213" s="5" t="s">
        <v>7440</v>
      </c>
      <c r="B2213" s="5" t="s">
        <v>1599</v>
      </c>
      <c r="C2213" s="5" t="s">
        <v>1600</v>
      </c>
      <c r="D2213" s="5" t="s">
        <v>118</v>
      </c>
      <c r="E2213" s="5" t="s">
        <v>2796</v>
      </c>
      <c r="F2213" s="5" t="s">
        <v>2764</v>
      </c>
      <c r="G2213" s="5">
        <v>1</v>
      </c>
      <c r="H2213" s="5" t="s">
        <v>2854</v>
      </c>
      <c r="I2213" s="5" t="str">
        <f>IF(INDEX(Manual_Review!$Z$6:$Z$238,U2213)="","",INDEX(Manual_Review!$Z$6:$Z$238,U2213))</f>
        <v/>
      </c>
      <c r="J2213" s="5" t="str">
        <f t="shared" si="68"/>
        <v>AI provisional</v>
      </c>
      <c r="K2213" s="5" t="str">
        <f t="shared" si="69"/>
        <v>Y</v>
      </c>
      <c r="L2213" s="5" t="s">
        <v>1608</v>
      </c>
      <c r="M2213" s="5" t="s">
        <v>7432</v>
      </c>
      <c r="N2213" s="5" t="s">
        <v>7416</v>
      </c>
      <c r="O2213" s="5" t="s">
        <v>3085</v>
      </c>
      <c r="P2213" s="5" t="s">
        <v>2858</v>
      </c>
      <c r="Q2213" s="11">
        <v>46306.5</v>
      </c>
      <c r="R2213" s="6"/>
      <c r="S2213" s="6"/>
      <c r="T2213" s="6"/>
      <c r="U2213" s="5">
        <f>MATCH(B2213,Manual_Review!$A$6:$A$238,0)</f>
        <v>138</v>
      </c>
      <c r="V2213" s="5" t="str">
        <f>IF(INDEX(Manual_Review!$G$6:$G$238,U2213)="","",INDEX(Manual_Review!$G$6:$G$238,U2213))</f>
        <v/>
      </c>
      <c r="W2213" s="11" t="str">
        <f>IF(INDEX(Manual_Review!$H$6:$H$238,U2213)="","",INDEX(Manual_Review!$H$6:$H$238,U2213))</f>
        <v/>
      </c>
      <c r="X2213" s="5" t="str">
        <f>IF(INDEX(Manual_Review!$I$6:$I$238,U2213)="","",INDEX(Manual_Review!$I$6:$I$238,U2213))</f>
        <v/>
      </c>
      <c r="Y2213" s="5" t="s">
        <v>2859</v>
      </c>
    </row>
    <row r="2214" spans="1:25" ht="38.25">
      <c r="A2214" s="5" t="s">
        <v>7441</v>
      </c>
      <c r="B2214" s="5" t="s">
        <v>1610</v>
      </c>
      <c r="C2214" s="5" t="s">
        <v>1611</v>
      </c>
      <c r="D2214" s="5" t="s">
        <v>118</v>
      </c>
      <c r="E2214" s="5" t="s">
        <v>2781</v>
      </c>
      <c r="F2214" s="5" t="s">
        <v>2754</v>
      </c>
      <c r="G2214" s="5">
        <v>1</v>
      </c>
      <c r="H2214" s="5" t="s">
        <v>2854</v>
      </c>
      <c r="I2214" s="5" t="str">
        <f>IF(INDEX(Manual_Review!$K$6:$K$238,U2214)="","",INDEX(Manual_Review!$K$6:$K$238,U2214))</f>
        <v/>
      </c>
      <c r="J2214" s="5" t="str">
        <f t="shared" si="68"/>
        <v>AI provisional</v>
      </c>
      <c r="K2214" s="5" t="str">
        <f t="shared" si="69"/>
        <v>Y</v>
      </c>
      <c r="L2214" s="5" t="s">
        <v>1620</v>
      </c>
      <c r="M2214" s="5" t="s">
        <v>7442</v>
      </c>
      <c r="N2214" s="5" t="s">
        <v>7443</v>
      </c>
      <c r="O2214" s="5" t="s">
        <v>2857</v>
      </c>
      <c r="P2214" s="5" t="s">
        <v>2858</v>
      </c>
      <c r="Q2214" s="11">
        <v>46306.5</v>
      </c>
      <c r="R2214" s="6"/>
      <c r="S2214" s="6"/>
      <c r="T2214" s="6"/>
      <c r="U2214" s="5">
        <f>MATCH(B2214,Manual_Review!$A$6:$A$238,0)</f>
        <v>139</v>
      </c>
      <c r="V2214" s="5" t="str">
        <f>IF(INDEX(Manual_Review!$G$6:$G$238,U2214)="","",INDEX(Manual_Review!$G$6:$G$238,U2214))</f>
        <v/>
      </c>
      <c r="W2214" s="11" t="str">
        <f>IF(INDEX(Manual_Review!$H$6:$H$238,U2214)="","",INDEX(Manual_Review!$H$6:$H$238,U2214))</f>
        <v/>
      </c>
      <c r="X2214" s="5" t="str">
        <f>IF(INDEX(Manual_Review!$I$6:$I$238,U2214)="","",INDEX(Manual_Review!$I$6:$I$238,U2214))</f>
        <v/>
      </c>
      <c r="Y2214" s="5" t="s">
        <v>2859</v>
      </c>
    </row>
    <row r="2215" spans="1:25" ht="38.25">
      <c r="A2215" s="5" t="s">
        <v>7444</v>
      </c>
      <c r="B2215" s="5" t="s">
        <v>1610</v>
      </c>
      <c r="C2215" s="5" t="s">
        <v>1611</v>
      </c>
      <c r="D2215" s="5" t="s">
        <v>118</v>
      </c>
      <c r="E2215" s="5" t="s">
        <v>2782</v>
      </c>
      <c r="F2215" s="5" t="s">
        <v>2754</v>
      </c>
      <c r="G2215" s="5">
        <v>1</v>
      </c>
      <c r="H2215" s="5" t="s">
        <v>2854</v>
      </c>
      <c r="I2215" s="5" t="str">
        <f>IF(INDEX(Manual_Review!$L$6:$L$238,U2215)="","",INDEX(Manual_Review!$L$6:$L$238,U2215))</f>
        <v/>
      </c>
      <c r="J2215" s="5" t="str">
        <f t="shared" si="68"/>
        <v>AI provisional</v>
      </c>
      <c r="K2215" s="5" t="str">
        <f t="shared" si="69"/>
        <v>Y</v>
      </c>
      <c r="L2215" s="5" t="s">
        <v>1620</v>
      </c>
      <c r="M2215" s="5" t="s">
        <v>7445</v>
      </c>
      <c r="N2215" s="5" t="s">
        <v>7443</v>
      </c>
      <c r="O2215" s="5" t="s">
        <v>2862</v>
      </c>
      <c r="P2215" s="5" t="s">
        <v>2858</v>
      </c>
      <c r="Q2215" s="11">
        <v>46306.5</v>
      </c>
      <c r="R2215" s="6"/>
      <c r="S2215" s="6"/>
      <c r="T2215" s="6"/>
      <c r="U2215" s="5">
        <f>MATCH(B2215,Manual_Review!$A$6:$A$238,0)</f>
        <v>139</v>
      </c>
      <c r="V2215" s="5" t="str">
        <f>IF(INDEX(Manual_Review!$G$6:$G$238,U2215)="","",INDEX(Manual_Review!$G$6:$G$238,U2215))</f>
        <v/>
      </c>
      <c r="W2215" s="11" t="str">
        <f>IF(INDEX(Manual_Review!$H$6:$H$238,U2215)="","",INDEX(Manual_Review!$H$6:$H$238,U2215))</f>
        <v/>
      </c>
      <c r="X2215" s="5" t="str">
        <f>IF(INDEX(Manual_Review!$I$6:$I$238,U2215)="","",INDEX(Manual_Review!$I$6:$I$238,U2215))</f>
        <v/>
      </c>
      <c r="Y2215" s="5" t="s">
        <v>2859</v>
      </c>
    </row>
    <row r="2216" spans="1:25" ht="38.25">
      <c r="A2216" s="5" t="s">
        <v>7446</v>
      </c>
      <c r="B2216" s="5" t="s">
        <v>1610</v>
      </c>
      <c r="C2216" s="5" t="s">
        <v>1611</v>
      </c>
      <c r="D2216" s="5" t="s">
        <v>118</v>
      </c>
      <c r="E2216" s="5" t="s">
        <v>2783</v>
      </c>
      <c r="F2216" s="5" t="s">
        <v>2754</v>
      </c>
      <c r="G2216" s="5">
        <v>1</v>
      </c>
      <c r="H2216" s="5" t="s">
        <v>2854</v>
      </c>
      <c r="I2216" s="5" t="str">
        <f>IF(INDEX(Manual_Review!$M$6:$M$238,U2216)="","",INDEX(Manual_Review!$M$6:$M$238,U2216))</f>
        <v/>
      </c>
      <c r="J2216" s="5" t="str">
        <f t="shared" si="68"/>
        <v>AI provisional</v>
      </c>
      <c r="K2216" s="5" t="str">
        <f t="shared" si="69"/>
        <v>Y</v>
      </c>
      <c r="L2216" s="5" t="s">
        <v>1620</v>
      </c>
      <c r="M2216" s="5" t="s">
        <v>7447</v>
      </c>
      <c r="N2216" s="5" t="s">
        <v>7443</v>
      </c>
      <c r="O2216" s="5" t="s">
        <v>3133</v>
      </c>
      <c r="P2216" s="5" t="s">
        <v>2858</v>
      </c>
      <c r="Q2216" s="11">
        <v>46306.5</v>
      </c>
      <c r="R2216" s="6"/>
      <c r="S2216" s="6"/>
      <c r="T2216" s="6"/>
      <c r="U2216" s="5">
        <f>MATCH(B2216,Manual_Review!$A$6:$A$238,0)</f>
        <v>139</v>
      </c>
      <c r="V2216" s="5" t="str">
        <f>IF(INDEX(Manual_Review!$G$6:$G$238,U2216)="","",INDEX(Manual_Review!$G$6:$G$238,U2216))</f>
        <v/>
      </c>
      <c r="W2216" s="11" t="str">
        <f>IF(INDEX(Manual_Review!$H$6:$H$238,U2216)="","",INDEX(Manual_Review!$H$6:$H$238,U2216))</f>
        <v/>
      </c>
      <c r="X2216" s="5" t="str">
        <f>IF(INDEX(Manual_Review!$I$6:$I$238,U2216)="","",INDEX(Manual_Review!$I$6:$I$238,U2216))</f>
        <v/>
      </c>
      <c r="Y2216" s="5" t="s">
        <v>2859</v>
      </c>
    </row>
    <row r="2217" spans="1:25" ht="38.25">
      <c r="A2217" s="5" t="s">
        <v>7448</v>
      </c>
      <c r="B2217" s="5" t="s">
        <v>1610</v>
      </c>
      <c r="C2217" s="5" t="s">
        <v>1611</v>
      </c>
      <c r="D2217" s="5" t="s">
        <v>118</v>
      </c>
      <c r="E2217" s="5" t="s">
        <v>2784</v>
      </c>
      <c r="F2217" s="5" t="s">
        <v>2756</v>
      </c>
      <c r="G2217" s="5">
        <v>1</v>
      </c>
      <c r="H2217" s="5" t="s">
        <v>2854</v>
      </c>
      <c r="I2217" s="5" t="str">
        <f>IF(INDEX(Manual_Review!$N$6:$N$238,U2217)="","",INDEX(Manual_Review!$N$6:$N$238,U2217))</f>
        <v/>
      </c>
      <c r="J2217" s="5" t="str">
        <f t="shared" si="68"/>
        <v>AI provisional</v>
      </c>
      <c r="K2217" s="5" t="str">
        <f t="shared" si="69"/>
        <v>Y</v>
      </c>
      <c r="L2217" s="5" t="s">
        <v>1620</v>
      </c>
      <c r="M2217" s="5" t="s">
        <v>7449</v>
      </c>
      <c r="N2217" s="5" t="s">
        <v>7443</v>
      </c>
      <c r="O2217" s="5" t="s">
        <v>2963</v>
      </c>
      <c r="P2217" s="5" t="s">
        <v>2858</v>
      </c>
      <c r="Q2217" s="11">
        <v>46306.5</v>
      </c>
      <c r="R2217" s="6"/>
      <c r="S2217" s="6"/>
      <c r="T2217" s="6"/>
      <c r="U2217" s="5">
        <f>MATCH(B2217,Manual_Review!$A$6:$A$238,0)</f>
        <v>139</v>
      </c>
      <c r="V2217" s="5" t="str">
        <f>IF(INDEX(Manual_Review!$G$6:$G$238,U2217)="","",INDEX(Manual_Review!$G$6:$G$238,U2217))</f>
        <v/>
      </c>
      <c r="W2217" s="11" t="str">
        <f>IF(INDEX(Manual_Review!$H$6:$H$238,U2217)="","",INDEX(Manual_Review!$H$6:$H$238,U2217))</f>
        <v/>
      </c>
      <c r="X2217" s="5" t="str">
        <f>IF(INDEX(Manual_Review!$I$6:$I$238,U2217)="","",INDEX(Manual_Review!$I$6:$I$238,U2217))</f>
        <v/>
      </c>
      <c r="Y2217" s="5" t="s">
        <v>2859</v>
      </c>
    </row>
    <row r="2218" spans="1:25" ht="38.25">
      <c r="A2218" s="5" t="s">
        <v>7450</v>
      </c>
      <c r="B2218" s="5" t="s">
        <v>1610</v>
      </c>
      <c r="C2218" s="5" t="s">
        <v>1611</v>
      </c>
      <c r="D2218" s="5" t="s">
        <v>118</v>
      </c>
      <c r="E2218" s="5" t="s">
        <v>2785</v>
      </c>
      <c r="F2218" s="5" t="s">
        <v>2756</v>
      </c>
      <c r="G2218" s="5">
        <v>1</v>
      </c>
      <c r="H2218" s="5" t="s">
        <v>2854</v>
      </c>
      <c r="I2218" s="5" t="str">
        <f>IF(INDEX(Manual_Review!$O$6:$O$238,U2218)="","",INDEX(Manual_Review!$O$6:$O$238,U2218))</f>
        <v/>
      </c>
      <c r="J2218" s="5" t="str">
        <f t="shared" si="68"/>
        <v>AI provisional</v>
      </c>
      <c r="K2218" s="5" t="str">
        <f t="shared" si="69"/>
        <v>Y</v>
      </c>
      <c r="L2218" s="5" t="s">
        <v>1620</v>
      </c>
      <c r="M2218" s="5" t="s">
        <v>7451</v>
      </c>
      <c r="N2218" s="5" t="s">
        <v>7443</v>
      </c>
      <c r="O2218" s="5" t="s">
        <v>3138</v>
      </c>
      <c r="P2218" s="5" t="s">
        <v>2858</v>
      </c>
      <c r="Q2218" s="11">
        <v>46306.5</v>
      </c>
      <c r="R2218" s="6"/>
      <c r="S2218" s="6"/>
      <c r="T2218" s="6"/>
      <c r="U2218" s="5">
        <f>MATCH(B2218,Manual_Review!$A$6:$A$238,0)</f>
        <v>139</v>
      </c>
      <c r="V2218" s="5" t="str">
        <f>IF(INDEX(Manual_Review!$G$6:$G$238,U2218)="","",INDEX(Manual_Review!$G$6:$G$238,U2218))</f>
        <v/>
      </c>
      <c r="W2218" s="11" t="str">
        <f>IF(INDEX(Manual_Review!$H$6:$H$238,U2218)="","",INDEX(Manual_Review!$H$6:$H$238,U2218))</f>
        <v/>
      </c>
      <c r="X2218" s="5" t="str">
        <f>IF(INDEX(Manual_Review!$I$6:$I$238,U2218)="","",INDEX(Manual_Review!$I$6:$I$238,U2218))</f>
        <v/>
      </c>
      <c r="Y2218" s="5" t="s">
        <v>2859</v>
      </c>
    </row>
    <row r="2219" spans="1:25" ht="38.25">
      <c r="A2219" s="5" t="s">
        <v>7452</v>
      </c>
      <c r="B2219" s="5" t="s">
        <v>1610</v>
      </c>
      <c r="C2219" s="5" t="s">
        <v>1611</v>
      </c>
      <c r="D2219" s="5" t="s">
        <v>118</v>
      </c>
      <c r="E2219" s="5" t="s">
        <v>2786</v>
      </c>
      <c r="F2219" s="5" t="s">
        <v>2756</v>
      </c>
      <c r="G2219" s="5">
        <v>1</v>
      </c>
      <c r="H2219" s="5" t="s">
        <v>2854</v>
      </c>
      <c r="I2219" s="5" t="str">
        <f>IF(INDEX(Manual_Review!$P$6:$P$238,U2219)="","",INDEX(Manual_Review!$P$6:$P$238,U2219))</f>
        <v/>
      </c>
      <c r="J2219" s="5" t="str">
        <f t="shared" si="68"/>
        <v>AI provisional</v>
      </c>
      <c r="K2219" s="5" t="str">
        <f t="shared" si="69"/>
        <v>Y</v>
      </c>
      <c r="L2219" s="5" t="s">
        <v>1620</v>
      </c>
      <c r="M2219" s="5" t="s">
        <v>7453</v>
      </c>
      <c r="N2219" s="5" t="s">
        <v>7443</v>
      </c>
      <c r="O2219" s="5" t="s">
        <v>5106</v>
      </c>
      <c r="P2219" s="5" t="s">
        <v>2858</v>
      </c>
      <c r="Q2219" s="11">
        <v>46306.5</v>
      </c>
      <c r="R2219" s="6"/>
      <c r="S2219" s="6"/>
      <c r="T2219" s="6"/>
      <c r="U2219" s="5">
        <f>MATCH(B2219,Manual_Review!$A$6:$A$238,0)</f>
        <v>139</v>
      </c>
      <c r="V2219" s="5" t="str">
        <f>IF(INDEX(Manual_Review!$G$6:$G$238,U2219)="","",INDEX(Manual_Review!$G$6:$G$238,U2219))</f>
        <v/>
      </c>
      <c r="W2219" s="11" t="str">
        <f>IF(INDEX(Manual_Review!$H$6:$H$238,U2219)="","",INDEX(Manual_Review!$H$6:$H$238,U2219))</f>
        <v/>
      </c>
      <c r="X2219" s="5" t="str">
        <f>IF(INDEX(Manual_Review!$I$6:$I$238,U2219)="","",INDEX(Manual_Review!$I$6:$I$238,U2219))</f>
        <v/>
      </c>
      <c r="Y2219" s="5" t="s">
        <v>2859</v>
      </c>
    </row>
    <row r="2220" spans="1:25" ht="38.25">
      <c r="A2220" s="5" t="s">
        <v>7454</v>
      </c>
      <c r="B2220" s="5" t="s">
        <v>1610</v>
      </c>
      <c r="C2220" s="5" t="s">
        <v>1611</v>
      </c>
      <c r="D2220" s="5" t="s">
        <v>118</v>
      </c>
      <c r="E2220" s="5" t="s">
        <v>2787</v>
      </c>
      <c r="F2220" s="5" t="s">
        <v>2758</v>
      </c>
      <c r="G2220" s="5">
        <v>1</v>
      </c>
      <c r="H2220" s="5" t="s">
        <v>2854</v>
      </c>
      <c r="I2220" s="5" t="str">
        <f>IF(INDEX(Manual_Review!$Q$6:$Q$238,U2220)="","",INDEX(Manual_Review!$Q$6:$Q$238,U2220))</f>
        <v/>
      </c>
      <c r="J2220" s="5" t="str">
        <f t="shared" si="68"/>
        <v>AI provisional</v>
      </c>
      <c r="K2220" s="5" t="str">
        <f t="shared" si="69"/>
        <v>Y</v>
      </c>
      <c r="L2220" s="5" t="s">
        <v>1620</v>
      </c>
      <c r="M2220" s="5" t="s">
        <v>7455</v>
      </c>
      <c r="N2220" s="5" t="s">
        <v>7443</v>
      </c>
      <c r="O2220" s="5" t="s">
        <v>2969</v>
      </c>
      <c r="P2220" s="5" t="s">
        <v>2858</v>
      </c>
      <c r="Q2220" s="11">
        <v>46306.5</v>
      </c>
      <c r="R2220" s="6"/>
      <c r="S2220" s="6"/>
      <c r="T2220" s="6"/>
      <c r="U2220" s="5">
        <f>MATCH(B2220,Manual_Review!$A$6:$A$238,0)</f>
        <v>139</v>
      </c>
      <c r="V2220" s="5" t="str">
        <f>IF(INDEX(Manual_Review!$G$6:$G$238,U2220)="","",INDEX(Manual_Review!$G$6:$G$238,U2220))</f>
        <v/>
      </c>
      <c r="W2220" s="11" t="str">
        <f>IF(INDEX(Manual_Review!$H$6:$H$238,U2220)="","",INDEX(Manual_Review!$H$6:$H$238,U2220))</f>
        <v/>
      </c>
      <c r="X2220" s="5" t="str">
        <f>IF(INDEX(Manual_Review!$I$6:$I$238,U2220)="","",INDEX(Manual_Review!$I$6:$I$238,U2220))</f>
        <v/>
      </c>
      <c r="Y2220" s="5" t="s">
        <v>2859</v>
      </c>
    </row>
    <row r="2221" spans="1:25" ht="38.25">
      <c r="A2221" s="5" t="s">
        <v>7456</v>
      </c>
      <c r="B2221" s="5" t="s">
        <v>1610</v>
      </c>
      <c r="C2221" s="5" t="s">
        <v>1611</v>
      </c>
      <c r="D2221" s="5" t="s">
        <v>118</v>
      </c>
      <c r="E2221" s="5" t="s">
        <v>2788</v>
      </c>
      <c r="F2221" s="5" t="s">
        <v>2758</v>
      </c>
      <c r="G2221" s="5">
        <v>1</v>
      </c>
      <c r="H2221" s="5" t="s">
        <v>2854</v>
      </c>
      <c r="I2221" s="5" t="str">
        <f>IF(INDEX(Manual_Review!$R$6:$R$238,U2221)="","",INDEX(Manual_Review!$R$6:$R$238,U2221))</f>
        <v/>
      </c>
      <c r="J2221" s="5" t="str">
        <f t="shared" si="68"/>
        <v>AI provisional</v>
      </c>
      <c r="K2221" s="5" t="str">
        <f t="shared" si="69"/>
        <v>Y</v>
      </c>
      <c r="L2221" s="5" t="s">
        <v>1620</v>
      </c>
      <c r="M2221" s="5" t="s">
        <v>7457</v>
      </c>
      <c r="N2221" s="5" t="s">
        <v>7443</v>
      </c>
      <c r="O2221" s="5" t="s">
        <v>3067</v>
      </c>
      <c r="P2221" s="5" t="s">
        <v>2858</v>
      </c>
      <c r="Q2221" s="11">
        <v>46306.5</v>
      </c>
      <c r="R2221" s="6"/>
      <c r="S2221" s="6"/>
      <c r="T2221" s="6"/>
      <c r="U2221" s="5">
        <f>MATCH(B2221,Manual_Review!$A$6:$A$238,0)</f>
        <v>139</v>
      </c>
      <c r="V2221" s="5" t="str">
        <f>IF(INDEX(Manual_Review!$G$6:$G$238,U2221)="","",INDEX(Manual_Review!$G$6:$G$238,U2221))</f>
        <v/>
      </c>
      <c r="W2221" s="11" t="str">
        <f>IF(INDEX(Manual_Review!$H$6:$H$238,U2221)="","",INDEX(Manual_Review!$H$6:$H$238,U2221))</f>
        <v/>
      </c>
      <c r="X2221" s="5" t="str">
        <f>IF(INDEX(Manual_Review!$I$6:$I$238,U2221)="","",INDEX(Manual_Review!$I$6:$I$238,U2221))</f>
        <v/>
      </c>
      <c r="Y2221" s="5" t="s">
        <v>2859</v>
      </c>
    </row>
    <row r="2222" spans="1:25" ht="38.25">
      <c r="A2222" s="5" t="s">
        <v>7458</v>
      </c>
      <c r="B2222" s="5" t="s">
        <v>1610</v>
      </c>
      <c r="C2222" s="5" t="s">
        <v>1611</v>
      </c>
      <c r="D2222" s="5" t="s">
        <v>118</v>
      </c>
      <c r="E2222" s="5" t="s">
        <v>2789</v>
      </c>
      <c r="F2222" s="5" t="s">
        <v>2758</v>
      </c>
      <c r="G2222" s="5">
        <v>1</v>
      </c>
      <c r="H2222" s="5" t="s">
        <v>2854</v>
      </c>
      <c r="I2222" s="5" t="str">
        <f>IF(INDEX(Manual_Review!$S$6:$S$238,U2222)="","",INDEX(Manual_Review!$S$6:$S$238,U2222))</f>
        <v/>
      </c>
      <c r="J2222" s="5" t="str">
        <f t="shared" si="68"/>
        <v>AI provisional</v>
      </c>
      <c r="K2222" s="5" t="str">
        <f t="shared" si="69"/>
        <v>Y</v>
      </c>
      <c r="L2222" s="5" t="s">
        <v>1620</v>
      </c>
      <c r="M2222" s="5" t="s">
        <v>7459</v>
      </c>
      <c r="N2222" s="5" t="s">
        <v>7443</v>
      </c>
      <c r="O2222" s="5" t="s">
        <v>3178</v>
      </c>
      <c r="P2222" s="5" t="s">
        <v>2858</v>
      </c>
      <c r="Q2222" s="11">
        <v>46306.5</v>
      </c>
      <c r="R2222" s="6"/>
      <c r="S2222" s="6"/>
      <c r="T2222" s="6"/>
      <c r="U2222" s="5">
        <f>MATCH(B2222,Manual_Review!$A$6:$A$238,0)</f>
        <v>139</v>
      </c>
      <c r="V2222" s="5" t="str">
        <f>IF(INDEX(Manual_Review!$G$6:$G$238,U2222)="","",INDEX(Manual_Review!$G$6:$G$238,U2222))</f>
        <v/>
      </c>
      <c r="W2222" s="11" t="str">
        <f>IF(INDEX(Manual_Review!$H$6:$H$238,U2222)="","",INDEX(Manual_Review!$H$6:$H$238,U2222))</f>
        <v/>
      </c>
      <c r="X2222" s="5" t="str">
        <f>IF(INDEX(Manual_Review!$I$6:$I$238,U2222)="","",INDEX(Manual_Review!$I$6:$I$238,U2222))</f>
        <v/>
      </c>
      <c r="Y2222" s="5" t="s">
        <v>2859</v>
      </c>
    </row>
    <row r="2223" spans="1:25" ht="38.25">
      <c r="A2223" s="5" t="s">
        <v>7460</v>
      </c>
      <c r="B2223" s="5" t="s">
        <v>1610</v>
      </c>
      <c r="C2223" s="5" t="s">
        <v>1611</v>
      </c>
      <c r="D2223" s="5" t="s">
        <v>118</v>
      </c>
      <c r="E2223" s="5" t="s">
        <v>2790</v>
      </c>
      <c r="F2223" s="5" t="s">
        <v>2760</v>
      </c>
      <c r="G2223" s="5">
        <v>1</v>
      </c>
      <c r="H2223" s="5" t="s">
        <v>2854</v>
      </c>
      <c r="I2223" s="5" t="str">
        <f>IF(INDEX(Manual_Review!$T$6:$T$238,U2223)="","",INDEX(Manual_Review!$T$6:$T$238,U2223))</f>
        <v/>
      </c>
      <c r="J2223" s="5" t="str">
        <f t="shared" si="68"/>
        <v>AI provisional</v>
      </c>
      <c r="K2223" s="5" t="str">
        <f t="shared" si="69"/>
        <v>Y</v>
      </c>
      <c r="L2223" s="5" t="s">
        <v>1620</v>
      </c>
      <c r="M2223" s="5" t="s">
        <v>7461</v>
      </c>
      <c r="N2223" s="5" t="s">
        <v>7443</v>
      </c>
      <c r="O2223" s="5" t="s">
        <v>2976</v>
      </c>
      <c r="P2223" s="5" t="s">
        <v>2858</v>
      </c>
      <c r="Q2223" s="11">
        <v>46306.5</v>
      </c>
      <c r="R2223" s="6"/>
      <c r="S2223" s="6"/>
      <c r="T2223" s="6"/>
      <c r="U2223" s="5">
        <f>MATCH(B2223,Manual_Review!$A$6:$A$238,0)</f>
        <v>139</v>
      </c>
      <c r="V2223" s="5" t="str">
        <f>IF(INDEX(Manual_Review!$G$6:$G$238,U2223)="","",INDEX(Manual_Review!$G$6:$G$238,U2223))</f>
        <v/>
      </c>
      <c r="W2223" s="11" t="str">
        <f>IF(INDEX(Manual_Review!$H$6:$H$238,U2223)="","",INDEX(Manual_Review!$H$6:$H$238,U2223))</f>
        <v/>
      </c>
      <c r="X2223" s="5" t="str">
        <f>IF(INDEX(Manual_Review!$I$6:$I$238,U2223)="","",INDEX(Manual_Review!$I$6:$I$238,U2223))</f>
        <v/>
      </c>
      <c r="Y2223" s="5" t="s">
        <v>2859</v>
      </c>
    </row>
    <row r="2224" spans="1:25" ht="38.25">
      <c r="A2224" s="5" t="s">
        <v>7462</v>
      </c>
      <c r="B2224" s="5" t="s">
        <v>1610</v>
      </c>
      <c r="C2224" s="5" t="s">
        <v>1611</v>
      </c>
      <c r="D2224" s="5" t="s">
        <v>118</v>
      </c>
      <c r="E2224" s="5" t="s">
        <v>2791</v>
      </c>
      <c r="F2224" s="5" t="s">
        <v>2760</v>
      </c>
      <c r="G2224" s="5">
        <v>1</v>
      </c>
      <c r="H2224" s="5" t="s">
        <v>2854</v>
      </c>
      <c r="I2224" s="5" t="str">
        <f>IF(INDEX(Manual_Review!$U$6:$U$238,U2224)="","",INDEX(Manual_Review!$U$6:$U$238,U2224))</f>
        <v/>
      </c>
      <c r="J2224" s="5" t="str">
        <f t="shared" si="68"/>
        <v>AI provisional</v>
      </c>
      <c r="K2224" s="5" t="str">
        <f t="shared" si="69"/>
        <v>Y</v>
      </c>
      <c r="L2224" s="5" t="s">
        <v>1620</v>
      </c>
      <c r="M2224" s="5" t="s">
        <v>7463</v>
      </c>
      <c r="N2224" s="5" t="s">
        <v>7443</v>
      </c>
      <c r="O2224" s="5" t="s">
        <v>3380</v>
      </c>
      <c r="P2224" s="5" t="s">
        <v>2858</v>
      </c>
      <c r="Q2224" s="11">
        <v>46306.5</v>
      </c>
      <c r="R2224" s="6"/>
      <c r="S2224" s="6"/>
      <c r="T2224" s="6"/>
      <c r="U2224" s="5">
        <f>MATCH(B2224,Manual_Review!$A$6:$A$238,0)</f>
        <v>139</v>
      </c>
      <c r="V2224" s="5" t="str">
        <f>IF(INDEX(Manual_Review!$G$6:$G$238,U2224)="","",INDEX(Manual_Review!$G$6:$G$238,U2224))</f>
        <v/>
      </c>
      <c r="W2224" s="11" t="str">
        <f>IF(INDEX(Manual_Review!$H$6:$H$238,U2224)="","",INDEX(Manual_Review!$H$6:$H$238,U2224))</f>
        <v/>
      </c>
      <c r="X2224" s="5" t="str">
        <f>IF(INDEX(Manual_Review!$I$6:$I$238,U2224)="","",INDEX(Manual_Review!$I$6:$I$238,U2224))</f>
        <v/>
      </c>
      <c r="Y2224" s="5" t="s">
        <v>2859</v>
      </c>
    </row>
    <row r="2225" spans="1:25" ht="38.25">
      <c r="A2225" s="5" t="s">
        <v>7464</v>
      </c>
      <c r="B2225" s="5" t="s">
        <v>1610</v>
      </c>
      <c r="C2225" s="5" t="s">
        <v>1611</v>
      </c>
      <c r="D2225" s="5" t="s">
        <v>118</v>
      </c>
      <c r="E2225" s="5" t="s">
        <v>2792</v>
      </c>
      <c r="F2225" s="5" t="s">
        <v>2762</v>
      </c>
      <c r="G2225" s="5">
        <v>1</v>
      </c>
      <c r="H2225" s="5" t="s">
        <v>2864</v>
      </c>
      <c r="I2225" s="5" t="str">
        <f>IF(INDEX(Manual_Review!$V$6:$V$238,U2225)="","",INDEX(Manual_Review!$V$6:$V$238,U2225))</f>
        <v/>
      </c>
      <c r="J2225" s="5" t="str">
        <f t="shared" si="68"/>
        <v>AI provisional</v>
      </c>
      <c r="K2225" s="5" t="str">
        <f t="shared" si="69"/>
        <v>U</v>
      </c>
      <c r="L2225" s="5" t="s">
        <v>1620</v>
      </c>
      <c r="M2225" s="5" t="s">
        <v>7465</v>
      </c>
      <c r="N2225" s="5" t="s">
        <v>7443</v>
      </c>
      <c r="O2225" s="5" t="s">
        <v>2891</v>
      </c>
      <c r="P2225" s="5" t="s">
        <v>2858</v>
      </c>
      <c r="Q2225" s="11">
        <v>46306.5</v>
      </c>
      <c r="R2225" s="6"/>
      <c r="S2225" s="6"/>
      <c r="T2225" s="6"/>
      <c r="U2225" s="5">
        <f>MATCH(B2225,Manual_Review!$A$6:$A$238,0)</f>
        <v>139</v>
      </c>
      <c r="V2225" s="5" t="str">
        <f>IF(INDEX(Manual_Review!$G$6:$G$238,U2225)="","",INDEX(Manual_Review!$G$6:$G$238,U2225))</f>
        <v/>
      </c>
      <c r="W2225" s="11" t="str">
        <f>IF(INDEX(Manual_Review!$H$6:$H$238,U2225)="","",INDEX(Manual_Review!$H$6:$H$238,U2225))</f>
        <v/>
      </c>
      <c r="X2225" s="5" t="str">
        <f>IF(INDEX(Manual_Review!$I$6:$I$238,U2225)="","",INDEX(Manual_Review!$I$6:$I$238,U2225))</f>
        <v/>
      </c>
      <c r="Y2225" s="5" t="s">
        <v>2859</v>
      </c>
    </row>
    <row r="2226" spans="1:25" ht="38.25">
      <c r="A2226" s="5" t="s">
        <v>7466</v>
      </c>
      <c r="B2226" s="5" t="s">
        <v>1610</v>
      </c>
      <c r="C2226" s="5" t="s">
        <v>1611</v>
      </c>
      <c r="D2226" s="5" t="s">
        <v>118</v>
      </c>
      <c r="E2226" s="5" t="s">
        <v>2793</v>
      </c>
      <c r="F2226" s="5" t="s">
        <v>2762</v>
      </c>
      <c r="G2226" s="5">
        <v>1</v>
      </c>
      <c r="H2226" s="5" t="s">
        <v>2864</v>
      </c>
      <c r="I2226" s="5" t="str">
        <f>IF(INDEX(Manual_Review!$W$6:$W$238,U2226)="","",INDEX(Manual_Review!$W$6:$W$238,U2226))</f>
        <v/>
      </c>
      <c r="J2226" s="5" t="str">
        <f t="shared" si="68"/>
        <v>AI provisional</v>
      </c>
      <c r="K2226" s="5" t="str">
        <f t="shared" si="69"/>
        <v>U</v>
      </c>
      <c r="L2226" s="5" t="s">
        <v>1620</v>
      </c>
      <c r="M2226" s="5" t="s">
        <v>7465</v>
      </c>
      <c r="N2226" s="5" t="s">
        <v>7443</v>
      </c>
      <c r="O2226" s="5" t="s">
        <v>2893</v>
      </c>
      <c r="P2226" s="5" t="s">
        <v>2858</v>
      </c>
      <c r="Q2226" s="11">
        <v>46306.5</v>
      </c>
      <c r="R2226" s="6"/>
      <c r="S2226" s="6"/>
      <c r="T2226" s="6"/>
      <c r="U2226" s="5">
        <f>MATCH(B2226,Manual_Review!$A$6:$A$238,0)</f>
        <v>139</v>
      </c>
      <c r="V2226" s="5" t="str">
        <f>IF(INDEX(Manual_Review!$G$6:$G$238,U2226)="","",INDEX(Manual_Review!$G$6:$G$238,U2226))</f>
        <v/>
      </c>
      <c r="W2226" s="11" t="str">
        <f>IF(INDEX(Manual_Review!$H$6:$H$238,U2226)="","",INDEX(Manual_Review!$H$6:$H$238,U2226))</f>
        <v/>
      </c>
      <c r="X2226" s="5" t="str">
        <f>IF(INDEX(Manual_Review!$I$6:$I$238,U2226)="","",INDEX(Manual_Review!$I$6:$I$238,U2226))</f>
        <v/>
      </c>
      <c r="Y2226" s="5" t="s">
        <v>2859</v>
      </c>
    </row>
    <row r="2227" spans="1:25" ht="38.25">
      <c r="A2227" s="5" t="s">
        <v>7467</v>
      </c>
      <c r="B2227" s="5" t="s">
        <v>1610</v>
      </c>
      <c r="C2227" s="5" t="s">
        <v>1611</v>
      </c>
      <c r="D2227" s="5" t="s">
        <v>118</v>
      </c>
      <c r="E2227" s="5" t="s">
        <v>2794</v>
      </c>
      <c r="F2227" s="5" t="s">
        <v>2764</v>
      </c>
      <c r="G2227" s="5">
        <v>1</v>
      </c>
      <c r="H2227" s="5" t="s">
        <v>2864</v>
      </c>
      <c r="I2227" s="5" t="str">
        <f>IF(INDEX(Manual_Review!$X$6:$X$238,U2227)="","",INDEX(Manual_Review!$X$6:$X$238,U2227))</f>
        <v/>
      </c>
      <c r="J2227" s="5" t="str">
        <f t="shared" si="68"/>
        <v>AI provisional</v>
      </c>
      <c r="K2227" s="5" t="str">
        <f t="shared" si="69"/>
        <v>U</v>
      </c>
      <c r="L2227" s="5" t="s">
        <v>1620</v>
      </c>
      <c r="M2227" s="5" t="s">
        <v>7468</v>
      </c>
      <c r="N2227" s="5" t="s">
        <v>7443</v>
      </c>
      <c r="O2227" s="5" t="s">
        <v>2895</v>
      </c>
      <c r="P2227" s="5" t="s">
        <v>2858</v>
      </c>
      <c r="Q2227" s="11">
        <v>46306.5</v>
      </c>
      <c r="R2227" s="6"/>
      <c r="S2227" s="6"/>
      <c r="T2227" s="6"/>
      <c r="U2227" s="5">
        <f>MATCH(B2227,Manual_Review!$A$6:$A$238,0)</f>
        <v>139</v>
      </c>
      <c r="V2227" s="5" t="str">
        <f>IF(INDEX(Manual_Review!$G$6:$G$238,U2227)="","",INDEX(Manual_Review!$G$6:$G$238,U2227))</f>
        <v/>
      </c>
      <c r="W2227" s="11" t="str">
        <f>IF(INDEX(Manual_Review!$H$6:$H$238,U2227)="","",INDEX(Manual_Review!$H$6:$H$238,U2227))</f>
        <v/>
      </c>
      <c r="X2227" s="5" t="str">
        <f>IF(INDEX(Manual_Review!$I$6:$I$238,U2227)="","",INDEX(Manual_Review!$I$6:$I$238,U2227))</f>
        <v/>
      </c>
      <c r="Y2227" s="5" t="s">
        <v>2859</v>
      </c>
    </row>
    <row r="2228" spans="1:25" ht="38.25">
      <c r="A2228" s="5" t="s">
        <v>7469</v>
      </c>
      <c r="B2228" s="5" t="s">
        <v>1610</v>
      </c>
      <c r="C2228" s="5" t="s">
        <v>1611</v>
      </c>
      <c r="D2228" s="5" t="s">
        <v>118</v>
      </c>
      <c r="E2228" s="5" t="s">
        <v>2795</v>
      </c>
      <c r="F2228" s="5" t="s">
        <v>2764</v>
      </c>
      <c r="G2228" s="5">
        <v>1</v>
      </c>
      <c r="H2228" s="5" t="s">
        <v>2864</v>
      </c>
      <c r="I2228" s="5" t="str">
        <f>IF(INDEX(Manual_Review!$Y$6:$Y$238,U2228)="","",INDEX(Manual_Review!$Y$6:$Y$238,U2228))</f>
        <v/>
      </c>
      <c r="J2228" s="5" t="str">
        <f t="shared" si="68"/>
        <v>AI provisional</v>
      </c>
      <c r="K2228" s="5" t="str">
        <f t="shared" si="69"/>
        <v>U</v>
      </c>
      <c r="L2228" s="5" t="s">
        <v>1620</v>
      </c>
      <c r="M2228" s="5" t="s">
        <v>7470</v>
      </c>
      <c r="N2228" s="5" t="s">
        <v>7443</v>
      </c>
      <c r="O2228" s="5" t="s">
        <v>2897</v>
      </c>
      <c r="P2228" s="5" t="s">
        <v>2858</v>
      </c>
      <c r="Q2228" s="11">
        <v>46306.5</v>
      </c>
      <c r="R2228" s="6"/>
      <c r="S2228" s="6"/>
      <c r="T2228" s="6"/>
      <c r="U2228" s="5">
        <f>MATCH(B2228,Manual_Review!$A$6:$A$238,0)</f>
        <v>139</v>
      </c>
      <c r="V2228" s="5" t="str">
        <f>IF(INDEX(Manual_Review!$G$6:$G$238,U2228)="","",INDEX(Manual_Review!$G$6:$G$238,U2228))</f>
        <v/>
      </c>
      <c r="W2228" s="11" t="str">
        <f>IF(INDEX(Manual_Review!$H$6:$H$238,U2228)="","",INDEX(Manual_Review!$H$6:$H$238,U2228))</f>
        <v/>
      </c>
      <c r="X2228" s="5" t="str">
        <f>IF(INDEX(Manual_Review!$I$6:$I$238,U2228)="","",INDEX(Manual_Review!$I$6:$I$238,U2228))</f>
        <v/>
      </c>
      <c r="Y2228" s="5" t="s">
        <v>2859</v>
      </c>
    </row>
    <row r="2229" spans="1:25" ht="38.25">
      <c r="A2229" s="5" t="s">
        <v>7471</v>
      </c>
      <c r="B2229" s="5" t="s">
        <v>1610</v>
      </c>
      <c r="C2229" s="5" t="s">
        <v>1611</v>
      </c>
      <c r="D2229" s="5" t="s">
        <v>118</v>
      </c>
      <c r="E2229" s="5" t="s">
        <v>2796</v>
      </c>
      <c r="F2229" s="5" t="s">
        <v>2764</v>
      </c>
      <c r="G2229" s="5">
        <v>1</v>
      </c>
      <c r="H2229" s="5" t="s">
        <v>2864</v>
      </c>
      <c r="I2229" s="5" t="str">
        <f>IF(INDEX(Manual_Review!$Z$6:$Z$238,U2229)="","",INDEX(Manual_Review!$Z$6:$Z$238,U2229))</f>
        <v/>
      </c>
      <c r="J2229" s="5" t="str">
        <f t="shared" si="68"/>
        <v>AI provisional</v>
      </c>
      <c r="K2229" s="5" t="str">
        <f t="shared" si="69"/>
        <v>U</v>
      </c>
      <c r="L2229" s="5" t="s">
        <v>1620</v>
      </c>
      <c r="M2229" s="5" t="s">
        <v>7472</v>
      </c>
      <c r="N2229" s="5" t="s">
        <v>7443</v>
      </c>
      <c r="O2229" s="5" t="s">
        <v>2899</v>
      </c>
      <c r="P2229" s="5" t="s">
        <v>2858</v>
      </c>
      <c r="Q2229" s="11">
        <v>46306.5</v>
      </c>
      <c r="R2229" s="6"/>
      <c r="S2229" s="6"/>
      <c r="T2229" s="6"/>
      <c r="U2229" s="5">
        <f>MATCH(B2229,Manual_Review!$A$6:$A$238,0)</f>
        <v>139</v>
      </c>
      <c r="V2229" s="5" t="str">
        <f>IF(INDEX(Manual_Review!$G$6:$G$238,U2229)="","",INDEX(Manual_Review!$G$6:$G$238,U2229))</f>
        <v/>
      </c>
      <c r="W2229" s="11" t="str">
        <f>IF(INDEX(Manual_Review!$H$6:$H$238,U2229)="","",INDEX(Manual_Review!$H$6:$H$238,U2229))</f>
        <v/>
      </c>
      <c r="X2229" s="5" t="str">
        <f>IF(INDEX(Manual_Review!$I$6:$I$238,U2229)="","",INDEX(Manual_Review!$I$6:$I$238,U2229))</f>
        <v/>
      </c>
      <c r="Y2229" s="5" t="s">
        <v>2859</v>
      </c>
    </row>
    <row r="2230" spans="1:25" ht="25.5">
      <c r="A2230" s="5" t="s">
        <v>7473</v>
      </c>
      <c r="B2230" s="5" t="s">
        <v>1622</v>
      </c>
      <c r="C2230" s="5" t="s">
        <v>1623</v>
      </c>
      <c r="D2230" s="5" t="s">
        <v>118</v>
      </c>
      <c r="E2230" s="5" t="s">
        <v>2781</v>
      </c>
      <c r="F2230" s="5" t="s">
        <v>2754</v>
      </c>
      <c r="G2230" s="5">
        <v>1</v>
      </c>
      <c r="H2230" s="5" t="s">
        <v>2854</v>
      </c>
      <c r="I2230" s="5" t="str">
        <f>IF(INDEX(Manual_Review!$K$6:$K$238,U2230)="","",INDEX(Manual_Review!$K$6:$K$238,U2230))</f>
        <v/>
      </c>
      <c r="J2230" s="5" t="str">
        <f t="shared" si="68"/>
        <v>AI provisional</v>
      </c>
      <c r="K2230" s="5" t="str">
        <f t="shared" si="69"/>
        <v>Y</v>
      </c>
      <c r="L2230" s="5" t="s">
        <v>1626</v>
      </c>
      <c r="M2230" s="5" t="s">
        <v>7474</v>
      </c>
      <c r="N2230" s="5" t="s">
        <v>7475</v>
      </c>
      <c r="O2230" s="5" t="s">
        <v>2857</v>
      </c>
      <c r="P2230" s="5" t="s">
        <v>2858</v>
      </c>
      <c r="Q2230" s="11">
        <v>46306.5</v>
      </c>
      <c r="R2230" s="6"/>
      <c r="S2230" s="6"/>
      <c r="T2230" s="6"/>
      <c r="U2230" s="5">
        <f>MATCH(B2230,Manual_Review!$A$6:$A$238,0)</f>
        <v>140</v>
      </c>
      <c r="V2230" s="5" t="str">
        <f>IF(INDEX(Manual_Review!$G$6:$G$238,U2230)="","",INDEX(Manual_Review!$G$6:$G$238,U2230))</f>
        <v/>
      </c>
      <c r="W2230" s="11" t="str">
        <f>IF(INDEX(Manual_Review!$H$6:$H$238,U2230)="","",INDEX(Manual_Review!$H$6:$H$238,U2230))</f>
        <v/>
      </c>
      <c r="X2230" s="5" t="str">
        <f>IF(INDEX(Manual_Review!$I$6:$I$238,U2230)="","",INDEX(Manual_Review!$I$6:$I$238,U2230))</f>
        <v/>
      </c>
      <c r="Y2230" s="5" t="s">
        <v>2859</v>
      </c>
    </row>
    <row r="2231" spans="1:25" ht="25.5">
      <c r="A2231" s="5" t="s">
        <v>7476</v>
      </c>
      <c r="B2231" s="5" t="s">
        <v>1622</v>
      </c>
      <c r="C2231" s="5" t="s">
        <v>1623</v>
      </c>
      <c r="D2231" s="5" t="s">
        <v>118</v>
      </c>
      <c r="E2231" s="5" t="s">
        <v>2782</v>
      </c>
      <c r="F2231" s="5" t="s">
        <v>2754</v>
      </c>
      <c r="G2231" s="5">
        <v>1</v>
      </c>
      <c r="H2231" s="5" t="s">
        <v>2854</v>
      </c>
      <c r="I2231" s="5" t="str">
        <f>IF(INDEX(Manual_Review!$L$6:$L$238,U2231)="","",INDEX(Manual_Review!$L$6:$L$238,U2231))</f>
        <v/>
      </c>
      <c r="J2231" s="5" t="str">
        <f t="shared" si="68"/>
        <v>AI provisional</v>
      </c>
      <c r="K2231" s="5" t="str">
        <f t="shared" si="69"/>
        <v>Y</v>
      </c>
      <c r="L2231" s="5" t="s">
        <v>1626</v>
      </c>
      <c r="M2231" s="5" t="s">
        <v>7477</v>
      </c>
      <c r="N2231" s="5" t="s">
        <v>7475</v>
      </c>
      <c r="O2231" s="5" t="s">
        <v>2862</v>
      </c>
      <c r="P2231" s="5" t="s">
        <v>2858</v>
      </c>
      <c r="Q2231" s="11">
        <v>46306.5</v>
      </c>
      <c r="R2231" s="6"/>
      <c r="S2231" s="6"/>
      <c r="T2231" s="6"/>
      <c r="U2231" s="5">
        <f>MATCH(B2231,Manual_Review!$A$6:$A$238,0)</f>
        <v>140</v>
      </c>
      <c r="V2231" s="5" t="str">
        <f>IF(INDEX(Manual_Review!$G$6:$G$238,U2231)="","",INDEX(Manual_Review!$G$6:$G$238,U2231))</f>
        <v/>
      </c>
      <c r="W2231" s="11" t="str">
        <f>IF(INDEX(Manual_Review!$H$6:$H$238,U2231)="","",INDEX(Manual_Review!$H$6:$H$238,U2231))</f>
        <v/>
      </c>
      <c r="X2231" s="5" t="str">
        <f>IF(INDEX(Manual_Review!$I$6:$I$238,U2231)="","",INDEX(Manual_Review!$I$6:$I$238,U2231))</f>
        <v/>
      </c>
      <c r="Y2231" s="5" t="s">
        <v>2859</v>
      </c>
    </row>
    <row r="2232" spans="1:25" ht="25.5">
      <c r="A2232" s="5" t="s">
        <v>7478</v>
      </c>
      <c r="B2232" s="5" t="s">
        <v>1622</v>
      </c>
      <c r="C2232" s="5" t="s">
        <v>1623</v>
      </c>
      <c r="D2232" s="5" t="s">
        <v>118</v>
      </c>
      <c r="E2232" s="5" t="s">
        <v>2783</v>
      </c>
      <c r="F2232" s="5" t="s">
        <v>2754</v>
      </c>
      <c r="G2232" s="5">
        <v>1</v>
      </c>
      <c r="H2232" s="5" t="s">
        <v>2864</v>
      </c>
      <c r="I2232" s="5" t="str">
        <f>IF(INDEX(Manual_Review!$M$6:$M$238,U2232)="","",INDEX(Manual_Review!$M$6:$M$238,U2232))</f>
        <v/>
      </c>
      <c r="J2232" s="5" t="str">
        <f t="shared" si="68"/>
        <v>AI provisional</v>
      </c>
      <c r="K2232" s="5" t="str">
        <f t="shared" si="69"/>
        <v>U</v>
      </c>
      <c r="L2232" s="5" t="s">
        <v>1626</v>
      </c>
      <c r="M2232" s="5" t="s">
        <v>7479</v>
      </c>
      <c r="N2232" s="5" t="s">
        <v>7475</v>
      </c>
      <c r="O2232" s="5" t="s">
        <v>2866</v>
      </c>
      <c r="P2232" s="5" t="s">
        <v>2858</v>
      </c>
      <c r="Q2232" s="11">
        <v>46306.5</v>
      </c>
      <c r="R2232" s="6"/>
      <c r="S2232" s="6"/>
      <c r="T2232" s="6"/>
      <c r="U2232" s="5">
        <f>MATCH(B2232,Manual_Review!$A$6:$A$238,0)</f>
        <v>140</v>
      </c>
      <c r="V2232" s="5" t="str">
        <f>IF(INDEX(Manual_Review!$G$6:$G$238,U2232)="","",INDEX(Manual_Review!$G$6:$G$238,U2232))</f>
        <v/>
      </c>
      <c r="W2232" s="11" t="str">
        <f>IF(INDEX(Manual_Review!$H$6:$H$238,U2232)="","",INDEX(Manual_Review!$H$6:$H$238,U2232))</f>
        <v/>
      </c>
      <c r="X2232" s="5" t="str">
        <f>IF(INDEX(Manual_Review!$I$6:$I$238,U2232)="","",INDEX(Manual_Review!$I$6:$I$238,U2232))</f>
        <v/>
      </c>
      <c r="Y2232" s="5" t="s">
        <v>2859</v>
      </c>
    </row>
    <row r="2233" spans="1:25" ht="25.5">
      <c r="A2233" s="5" t="s">
        <v>7480</v>
      </c>
      <c r="B2233" s="5" t="s">
        <v>1622</v>
      </c>
      <c r="C2233" s="5" t="s">
        <v>1623</v>
      </c>
      <c r="D2233" s="5" t="s">
        <v>118</v>
      </c>
      <c r="E2233" s="5" t="s">
        <v>2784</v>
      </c>
      <c r="F2233" s="5" t="s">
        <v>2756</v>
      </c>
      <c r="G2233" s="5">
        <v>1</v>
      </c>
      <c r="H2233" s="5" t="s">
        <v>2864</v>
      </c>
      <c r="I2233" s="5" t="str">
        <f>IF(INDEX(Manual_Review!$N$6:$N$238,U2233)="","",INDEX(Manual_Review!$N$6:$N$238,U2233))</f>
        <v/>
      </c>
      <c r="J2233" s="5" t="str">
        <f t="shared" si="68"/>
        <v>AI provisional</v>
      </c>
      <c r="K2233" s="5" t="str">
        <f t="shared" si="69"/>
        <v>U</v>
      </c>
      <c r="L2233" s="5" t="s">
        <v>1626</v>
      </c>
      <c r="M2233" s="5" t="s">
        <v>7481</v>
      </c>
      <c r="N2233" s="5" t="s">
        <v>7475</v>
      </c>
      <c r="O2233" s="5" t="s">
        <v>2869</v>
      </c>
      <c r="P2233" s="5" t="s">
        <v>2858</v>
      </c>
      <c r="Q2233" s="11">
        <v>46306.5</v>
      </c>
      <c r="R2233" s="6"/>
      <c r="S2233" s="6"/>
      <c r="T2233" s="6"/>
      <c r="U2233" s="5">
        <f>MATCH(B2233,Manual_Review!$A$6:$A$238,0)</f>
        <v>140</v>
      </c>
      <c r="V2233" s="5" t="str">
        <f>IF(INDEX(Manual_Review!$G$6:$G$238,U2233)="","",INDEX(Manual_Review!$G$6:$G$238,U2233))</f>
        <v/>
      </c>
      <c r="W2233" s="11" t="str">
        <f>IF(INDEX(Manual_Review!$H$6:$H$238,U2233)="","",INDEX(Manual_Review!$H$6:$H$238,U2233))</f>
        <v/>
      </c>
      <c r="X2233" s="5" t="str">
        <f>IF(INDEX(Manual_Review!$I$6:$I$238,U2233)="","",INDEX(Manual_Review!$I$6:$I$238,U2233))</f>
        <v/>
      </c>
      <c r="Y2233" s="5" t="s">
        <v>2859</v>
      </c>
    </row>
    <row r="2234" spans="1:25" ht="25.5">
      <c r="A2234" s="5" t="s">
        <v>7482</v>
      </c>
      <c r="B2234" s="5" t="s">
        <v>1622</v>
      </c>
      <c r="C2234" s="5" t="s">
        <v>1623</v>
      </c>
      <c r="D2234" s="5" t="s">
        <v>118</v>
      </c>
      <c r="E2234" s="5" t="s">
        <v>2785</v>
      </c>
      <c r="F2234" s="5" t="s">
        <v>2756</v>
      </c>
      <c r="G2234" s="5">
        <v>1</v>
      </c>
      <c r="H2234" s="5" t="s">
        <v>2864</v>
      </c>
      <c r="I2234" s="5" t="str">
        <f>IF(INDEX(Manual_Review!$O$6:$O$238,U2234)="","",INDEX(Manual_Review!$O$6:$O$238,U2234))</f>
        <v/>
      </c>
      <c r="J2234" s="5" t="str">
        <f t="shared" si="68"/>
        <v>AI provisional</v>
      </c>
      <c r="K2234" s="5" t="str">
        <f t="shared" si="69"/>
        <v>U</v>
      </c>
      <c r="L2234" s="5" t="s">
        <v>1626</v>
      </c>
      <c r="M2234" s="5" t="s">
        <v>7479</v>
      </c>
      <c r="N2234" s="5" t="s">
        <v>7475</v>
      </c>
      <c r="O2234" s="5" t="s">
        <v>2872</v>
      </c>
      <c r="P2234" s="5" t="s">
        <v>2858</v>
      </c>
      <c r="Q2234" s="11">
        <v>46306.5</v>
      </c>
      <c r="R2234" s="6"/>
      <c r="S2234" s="6"/>
      <c r="T2234" s="6"/>
      <c r="U2234" s="5">
        <f>MATCH(B2234,Manual_Review!$A$6:$A$238,0)</f>
        <v>140</v>
      </c>
      <c r="V2234" s="5" t="str">
        <f>IF(INDEX(Manual_Review!$G$6:$G$238,U2234)="","",INDEX(Manual_Review!$G$6:$G$238,U2234))</f>
        <v/>
      </c>
      <c r="W2234" s="11" t="str">
        <f>IF(INDEX(Manual_Review!$H$6:$H$238,U2234)="","",INDEX(Manual_Review!$H$6:$H$238,U2234))</f>
        <v/>
      </c>
      <c r="X2234" s="5" t="str">
        <f>IF(INDEX(Manual_Review!$I$6:$I$238,U2234)="","",INDEX(Manual_Review!$I$6:$I$238,U2234))</f>
        <v/>
      </c>
      <c r="Y2234" s="5" t="s">
        <v>2859</v>
      </c>
    </row>
    <row r="2235" spans="1:25" ht="25.5">
      <c r="A2235" s="5" t="s">
        <v>7483</v>
      </c>
      <c r="B2235" s="5" t="s">
        <v>1622</v>
      </c>
      <c r="C2235" s="5" t="s">
        <v>1623</v>
      </c>
      <c r="D2235" s="5" t="s">
        <v>118</v>
      </c>
      <c r="E2235" s="5" t="s">
        <v>2786</v>
      </c>
      <c r="F2235" s="5" t="s">
        <v>2756</v>
      </c>
      <c r="G2235" s="5">
        <v>1</v>
      </c>
      <c r="H2235" s="5" t="s">
        <v>2864</v>
      </c>
      <c r="I2235" s="5" t="str">
        <f>IF(INDEX(Manual_Review!$P$6:$P$238,U2235)="","",INDEX(Manual_Review!$P$6:$P$238,U2235))</f>
        <v/>
      </c>
      <c r="J2235" s="5" t="str">
        <f t="shared" si="68"/>
        <v>AI provisional</v>
      </c>
      <c r="K2235" s="5" t="str">
        <f t="shared" si="69"/>
        <v>U</v>
      </c>
      <c r="L2235" s="5" t="s">
        <v>1626</v>
      </c>
      <c r="M2235" s="5" t="s">
        <v>7479</v>
      </c>
      <c r="N2235" s="5" t="s">
        <v>7475</v>
      </c>
      <c r="O2235" s="5" t="s">
        <v>2874</v>
      </c>
      <c r="P2235" s="5" t="s">
        <v>2858</v>
      </c>
      <c r="Q2235" s="11">
        <v>46306.5</v>
      </c>
      <c r="R2235" s="6"/>
      <c r="S2235" s="6"/>
      <c r="T2235" s="6"/>
      <c r="U2235" s="5">
        <f>MATCH(B2235,Manual_Review!$A$6:$A$238,0)</f>
        <v>140</v>
      </c>
      <c r="V2235" s="5" t="str">
        <f>IF(INDEX(Manual_Review!$G$6:$G$238,U2235)="","",INDEX(Manual_Review!$G$6:$G$238,U2235))</f>
        <v/>
      </c>
      <c r="W2235" s="11" t="str">
        <f>IF(INDEX(Manual_Review!$H$6:$H$238,U2235)="","",INDEX(Manual_Review!$H$6:$H$238,U2235))</f>
        <v/>
      </c>
      <c r="X2235" s="5" t="str">
        <f>IF(INDEX(Manual_Review!$I$6:$I$238,U2235)="","",INDEX(Manual_Review!$I$6:$I$238,U2235))</f>
        <v/>
      </c>
      <c r="Y2235" s="5" t="s">
        <v>2859</v>
      </c>
    </row>
    <row r="2236" spans="1:25" ht="25.5">
      <c r="A2236" s="5" t="s">
        <v>7484</v>
      </c>
      <c r="B2236" s="5" t="s">
        <v>1622</v>
      </c>
      <c r="C2236" s="5" t="s">
        <v>1623</v>
      </c>
      <c r="D2236" s="5" t="s">
        <v>118</v>
      </c>
      <c r="E2236" s="5" t="s">
        <v>2787</v>
      </c>
      <c r="F2236" s="5" t="s">
        <v>2758</v>
      </c>
      <c r="G2236" s="5">
        <v>1</v>
      </c>
      <c r="H2236" s="5" t="s">
        <v>2864</v>
      </c>
      <c r="I2236" s="5" t="str">
        <f>IF(INDEX(Manual_Review!$Q$6:$Q$238,U2236)="","",INDEX(Manual_Review!$Q$6:$Q$238,U2236))</f>
        <v/>
      </c>
      <c r="J2236" s="5" t="str">
        <f t="shared" si="68"/>
        <v>AI provisional</v>
      </c>
      <c r="K2236" s="5" t="str">
        <f t="shared" si="69"/>
        <v>U</v>
      </c>
      <c r="L2236" s="5" t="s">
        <v>1626</v>
      </c>
      <c r="M2236" s="5" t="s">
        <v>7479</v>
      </c>
      <c r="N2236" s="5" t="s">
        <v>7475</v>
      </c>
      <c r="O2236" s="5" t="s">
        <v>2877</v>
      </c>
      <c r="P2236" s="5" t="s">
        <v>2858</v>
      </c>
      <c r="Q2236" s="11">
        <v>46306.5</v>
      </c>
      <c r="R2236" s="6"/>
      <c r="S2236" s="6"/>
      <c r="T2236" s="6"/>
      <c r="U2236" s="5">
        <f>MATCH(B2236,Manual_Review!$A$6:$A$238,0)</f>
        <v>140</v>
      </c>
      <c r="V2236" s="5" t="str">
        <f>IF(INDEX(Manual_Review!$G$6:$G$238,U2236)="","",INDEX(Manual_Review!$G$6:$G$238,U2236))</f>
        <v/>
      </c>
      <c r="W2236" s="11" t="str">
        <f>IF(INDEX(Manual_Review!$H$6:$H$238,U2236)="","",INDEX(Manual_Review!$H$6:$H$238,U2236))</f>
        <v/>
      </c>
      <c r="X2236" s="5" t="str">
        <f>IF(INDEX(Manual_Review!$I$6:$I$238,U2236)="","",INDEX(Manual_Review!$I$6:$I$238,U2236))</f>
        <v/>
      </c>
      <c r="Y2236" s="5" t="s">
        <v>2859</v>
      </c>
    </row>
    <row r="2237" spans="1:25" ht="25.5">
      <c r="A2237" s="5" t="s">
        <v>7485</v>
      </c>
      <c r="B2237" s="5" t="s">
        <v>1622</v>
      </c>
      <c r="C2237" s="5" t="s">
        <v>1623</v>
      </c>
      <c r="D2237" s="5" t="s">
        <v>118</v>
      </c>
      <c r="E2237" s="5" t="s">
        <v>2788</v>
      </c>
      <c r="F2237" s="5" t="s">
        <v>2758</v>
      </c>
      <c r="G2237" s="5">
        <v>1</v>
      </c>
      <c r="H2237" s="5" t="s">
        <v>2864</v>
      </c>
      <c r="I2237" s="5" t="str">
        <f>IF(INDEX(Manual_Review!$R$6:$R$238,U2237)="","",INDEX(Manual_Review!$R$6:$R$238,U2237))</f>
        <v/>
      </c>
      <c r="J2237" s="5" t="str">
        <f t="shared" si="68"/>
        <v>AI provisional</v>
      </c>
      <c r="K2237" s="5" t="str">
        <f t="shared" si="69"/>
        <v>U</v>
      </c>
      <c r="L2237" s="5" t="s">
        <v>1626</v>
      </c>
      <c r="M2237" s="5" t="s">
        <v>7486</v>
      </c>
      <c r="N2237" s="5" t="s">
        <v>7475</v>
      </c>
      <c r="O2237" s="5" t="s">
        <v>2880</v>
      </c>
      <c r="P2237" s="5" t="s">
        <v>2858</v>
      </c>
      <c r="Q2237" s="11">
        <v>46306.5</v>
      </c>
      <c r="R2237" s="6"/>
      <c r="S2237" s="6"/>
      <c r="T2237" s="6"/>
      <c r="U2237" s="5">
        <f>MATCH(B2237,Manual_Review!$A$6:$A$238,0)</f>
        <v>140</v>
      </c>
      <c r="V2237" s="5" t="str">
        <f>IF(INDEX(Manual_Review!$G$6:$G$238,U2237)="","",INDEX(Manual_Review!$G$6:$G$238,U2237))</f>
        <v/>
      </c>
      <c r="W2237" s="11" t="str">
        <f>IF(INDEX(Manual_Review!$H$6:$H$238,U2237)="","",INDEX(Manual_Review!$H$6:$H$238,U2237))</f>
        <v/>
      </c>
      <c r="X2237" s="5" t="str">
        <f>IF(INDEX(Manual_Review!$I$6:$I$238,U2237)="","",INDEX(Manual_Review!$I$6:$I$238,U2237))</f>
        <v/>
      </c>
      <c r="Y2237" s="5" t="s">
        <v>2859</v>
      </c>
    </row>
    <row r="2238" spans="1:25" ht="25.5">
      <c r="A2238" s="5" t="s">
        <v>7487</v>
      </c>
      <c r="B2238" s="5" t="s">
        <v>1622</v>
      </c>
      <c r="C2238" s="5" t="s">
        <v>1623</v>
      </c>
      <c r="D2238" s="5" t="s">
        <v>118</v>
      </c>
      <c r="E2238" s="5" t="s">
        <v>2789</v>
      </c>
      <c r="F2238" s="5" t="s">
        <v>2758</v>
      </c>
      <c r="G2238" s="5">
        <v>1</v>
      </c>
      <c r="H2238" s="5" t="s">
        <v>2864</v>
      </c>
      <c r="I2238" s="5" t="str">
        <f>IF(INDEX(Manual_Review!$S$6:$S$238,U2238)="","",INDEX(Manual_Review!$S$6:$S$238,U2238))</f>
        <v/>
      </c>
      <c r="J2238" s="5" t="str">
        <f t="shared" si="68"/>
        <v>AI provisional</v>
      </c>
      <c r="K2238" s="5" t="str">
        <f t="shared" si="69"/>
        <v>U</v>
      </c>
      <c r="L2238" s="5" t="s">
        <v>1626</v>
      </c>
      <c r="M2238" s="5" t="s">
        <v>7488</v>
      </c>
      <c r="N2238" s="5" t="s">
        <v>7475</v>
      </c>
      <c r="O2238" s="5" t="s">
        <v>2883</v>
      </c>
      <c r="P2238" s="5" t="s">
        <v>2858</v>
      </c>
      <c r="Q2238" s="11">
        <v>46306.5</v>
      </c>
      <c r="R2238" s="6"/>
      <c r="S2238" s="6"/>
      <c r="T2238" s="6"/>
      <c r="U2238" s="5">
        <f>MATCH(B2238,Manual_Review!$A$6:$A$238,0)</f>
        <v>140</v>
      </c>
      <c r="V2238" s="5" t="str">
        <f>IF(INDEX(Manual_Review!$G$6:$G$238,U2238)="","",INDEX(Manual_Review!$G$6:$G$238,U2238))</f>
        <v/>
      </c>
      <c r="W2238" s="11" t="str">
        <f>IF(INDEX(Manual_Review!$H$6:$H$238,U2238)="","",INDEX(Manual_Review!$H$6:$H$238,U2238))</f>
        <v/>
      </c>
      <c r="X2238" s="5" t="str">
        <f>IF(INDEX(Manual_Review!$I$6:$I$238,U2238)="","",INDEX(Manual_Review!$I$6:$I$238,U2238))</f>
        <v/>
      </c>
      <c r="Y2238" s="5" t="s">
        <v>2859</v>
      </c>
    </row>
    <row r="2239" spans="1:25" ht="25.5">
      <c r="A2239" s="5" t="s">
        <v>7489</v>
      </c>
      <c r="B2239" s="5" t="s">
        <v>1622</v>
      </c>
      <c r="C2239" s="5" t="s">
        <v>1623</v>
      </c>
      <c r="D2239" s="5" t="s">
        <v>118</v>
      </c>
      <c r="E2239" s="5" t="s">
        <v>2790</v>
      </c>
      <c r="F2239" s="5" t="s">
        <v>2760</v>
      </c>
      <c r="G2239" s="5">
        <v>1</v>
      </c>
      <c r="H2239" s="5" t="s">
        <v>2864</v>
      </c>
      <c r="I2239" s="5" t="str">
        <f>IF(INDEX(Manual_Review!$T$6:$T$238,U2239)="","",INDEX(Manual_Review!$T$6:$T$238,U2239))</f>
        <v/>
      </c>
      <c r="J2239" s="5" t="str">
        <f t="shared" si="68"/>
        <v>AI provisional</v>
      </c>
      <c r="K2239" s="5" t="str">
        <f t="shared" si="69"/>
        <v>U</v>
      </c>
      <c r="L2239" s="5" t="s">
        <v>1626</v>
      </c>
      <c r="M2239" s="5" t="s">
        <v>7479</v>
      </c>
      <c r="N2239" s="5" t="s">
        <v>7475</v>
      </c>
      <c r="O2239" s="5" t="s">
        <v>2885</v>
      </c>
      <c r="P2239" s="5" t="s">
        <v>2858</v>
      </c>
      <c r="Q2239" s="11">
        <v>46306.5</v>
      </c>
      <c r="R2239" s="6"/>
      <c r="S2239" s="6"/>
      <c r="T2239" s="6"/>
      <c r="U2239" s="5">
        <f>MATCH(B2239,Manual_Review!$A$6:$A$238,0)</f>
        <v>140</v>
      </c>
      <c r="V2239" s="5" t="str">
        <f>IF(INDEX(Manual_Review!$G$6:$G$238,U2239)="","",INDEX(Manual_Review!$G$6:$G$238,U2239))</f>
        <v/>
      </c>
      <c r="W2239" s="11" t="str">
        <f>IF(INDEX(Manual_Review!$H$6:$H$238,U2239)="","",INDEX(Manual_Review!$H$6:$H$238,U2239))</f>
        <v/>
      </c>
      <c r="X2239" s="5" t="str">
        <f>IF(INDEX(Manual_Review!$I$6:$I$238,U2239)="","",INDEX(Manual_Review!$I$6:$I$238,U2239))</f>
        <v/>
      </c>
      <c r="Y2239" s="5" t="s">
        <v>2859</v>
      </c>
    </row>
    <row r="2240" spans="1:25" ht="25.5">
      <c r="A2240" s="5" t="s">
        <v>7490</v>
      </c>
      <c r="B2240" s="5" t="s">
        <v>1622</v>
      </c>
      <c r="C2240" s="5" t="s">
        <v>1623</v>
      </c>
      <c r="D2240" s="5" t="s">
        <v>118</v>
      </c>
      <c r="E2240" s="5" t="s">
        <v>2791</v>
      </c>
      <c r="F2240" s="5" t="s">
        <v>2760</v>
      </c>
      <c r="G2240" s="5">
        <v>1</v>
      </c>
      <c r="H2240" s="5" t="s">
        <v>2864</v>
      </c>
      <c r="I2240" s="5" t="str">
        <f>IF(INDEX(Manual_Review!$U$6:$U$238,U2240)="","",INDEX(Manual_Review!$U$6:$U$238,U2240))</f>
        <v/>
      </c>
      <c r="J2240" s="5" t="str">
        <f t="shared" si="68"/>
        <v>AI provisional</v>
      </c>
      <c r="K2240" s="5" t="str">
        <f t="shared" si="69"/>
        <v>U</v>
      </c>
      <c r="L2240" s="5" t="s">
        <v>1626</v>
      </c>
      <c r="M2240" s="5" t="s">
        <v>7479</v>
      </c>
      <c r="N2240" s="5" t="s">
        <v>7475</v>
      </c>
      <c r="O2240" s="5" t="s">
        <v>2888</v>
      </c>
      <c r="P2240" s="5" t="s">
        <v>2858</v>
      </c>
      <c r="Q2240" s="11">
        <v>46306.5</v>
      </c>
      <c r="R2240" s="6"/>
      <c r="S2240" s="6"/>
      <c r="T2240" s="6"/>
      <c r="U2240" s="5">
        <f>MATCH(B2240,Manual_Review!$A$6:$A$238,0)</f>
        <v>140</v>
      </c>
      <c r="V2240" s="5" t="str">
        <f>IF(INDEX(Manual_Review!$G$6:$G$238,U2240)="","",INDEX(Manual_Review!$G$6:$G$238,U2240))</f>
        <v/>
      </c>
      <c r="W2240" s="11" t="str">
        <f>IF(INDEX(Manual_Review!$H$6:$H$238,U2240)="","",INDEX(Manual_Review!$H$6:$H$238,U2240))</f>
        <v/>
      </c>
      <c r="X2240" s="5" t="str">
        <f>IF(INDEX(Manual_Review!$I$6:$I$238,U2240)="","",INDEX(Manual_Review!$I$6:$I$238,U2240))</f>
        <v/>
      </c>
      <c r="Y2240" s="5" t="s">
        <v>2859</v>
      </c>
    </row>
    <row r="2241" spans="1:25" ht="25.5">
      <c r="A2241" s="5" t="s">
        <v>7491</v>
      </c>
      <c r="B2241" s="5" t="s">
        <v>1622</v>
      </c>
      <c r="C2241" s="5" t="s">
        <v>1623</v>
      </c>
      <c r="D2241" s="5" t="s">
        <v>118</v>
      </c>
      <c r="E2241" s="5" t="s">
        <v>2792</v>
      </c>
      <c r="F2241" s="5" t="s">
        <v>2762</v>
      </c>
      <c r="G2241" s="5">
        <v>1</v>
      </c>
      <c r="H2241" s="5" t="s">
        <v>2864</v>
      </c>
      <c r="I2241" s="5" t="str">
        <f>IF(INDEX(Manual_Review!$V$6:$V$238,U2241)="","",INDEX(Manual_Review!$V$6:$V$238,U2241))</f>
        <v/>
      </c>
      <c r="J2241" s="5" t="str">
        <f t="shared" si="68"/>
        <v>AI provisional</v>
      </c>
      <c r="K2241" s="5" t="str">
        <f t="shared" si="69"/>
        <v>U</v>
      </c>
      <c r="L2241" s="5" t="s">
        <v>1626</v>
      </c>
      <c r="M2241" s="5" t="s">
        <v>7479</v>
      </c>
      <c r="N2241" s="5" t="s">
        <v>7475</v>
      </c>
      <c r="O2241" s="5" t="s">
        <v>2891</v>
      </c>
      <c r="P2241" s="5" t="s">
        <v>2858</v>
      </c>
      <c r="Q2241" s="11">
        <v>46306.5</v>
      </c>
      <c r="R2241" s="6"/>
      <c r="S2241" s="6"/>
      <c r="T2241" s="6"/>
      <c r="U2241" s="5">
        <f>MATCH(B2241,Manual_Review!$A$6:$A$238,0)</f>
        <v>140</v>
      </c>
      <c r="V2241" s="5" t="str">
        <f>IF(INDEX(Manual_Review!$G$6:$G$238,U2241)="","",INDEX(Manual_Review!$G$6:$G$238,U2241))</f>
        <v/>
      </c>
      <c r="W2241" s="11" t="str">
        <f>IF(INDEX(Manual_Review!$H$6:$H$238,U2241)="","",INDEX(Manual_Review!$H$6:$H$238,U2241))</f>
        <v/>
      </c>
      <c r="X2241" s="5" t="str">
        <f>IF(INDEX(Manual_Review!$I$6:$I$238,U2241)="","",INDEX(Manual_Review!$I$6:$I$238,U2241))</f>
        <v/>
      </c>
      <c r="Y2241" s="5" t="s">
        <v>2859</v>
      </c>
    </row>
    <row r="2242" spans="1:25" ht="25.5">
      <c r="A2242" s="5" t="s">
        <v>7492</v>
      </c>
      <c r="B2242" s="5" t="s">
        <v>1622</v>
      </c>
      <c r="C2242" s="5" t="s">
        <v>1623</v>
      </c>
      <c r="D2242" s="5" t="s">
        <v>118</v>
      </c>
      <c r="E2242" s="5" t="s">
        <v>2793</v>
      </c>
      <c r="F2242" s="5" t="s">
        <v>2762</v>
      </c>
      <c r="G2242" s="5">
        <v>1</v>
      </c>
      <c r="H2242" s="5" t="s">
        <v>2864</v>
      </c>
      <c r="I2242" s="5" t="str">
        <f>IF(INDEX(Manual_Review!$W$6:$W$238,U2242)="","",INDEX(Manual_Review!$W$6:$W$238,U2242))</f>
        <v/>
      </c>
      <c r="J2242" s="5" t="str">
        <f t="shared" si="68"/>
        <v>AI provisional</v>
      </c>
      <c r="K2242" s="5" t="str">
        <f t="shared" si="69"/>
        <v>U</v>
      </c>
      <c r="L2242" s="5" t="s">
        <v>1626</v>
      </c>
      <c r="M2242" s="5" t="s">
        <v>7479</v>
      </c>
      <c r="N2242" s="5" t="s">
        <v>7475</v>
      </c>
      <c r="O2242" s="5" t="s">
        <v>2893</v>
      </c>
      <c r="P2242" s="5" t="s">
        <v>2858</v>
      </c>
      <c r="Q2242" s="11">
        <v>46306.5</v>
      </c>
      <c r="R2242" s="6"/>
      <c r="S2242" s="6"/>
      <c r="T2242" s="6"/>
      <c r="U2242" s="5">
        <f>MATCH(B2242,Manual_Review!$A$6:$A$238,0)</f>
        <v>140</v>
      </c>
      <c r="V2242" s="5" t="str">
        <f>IF(INDEX(Manual_Review!$G$6:$G$238,U2242)="","",INDEX(Manual_Review!$G$6:$G$238,U2242))</f>
        <v/>
      </c>
      <c r="W2242" s="11" t="str">
        <f>IF(INDEX(Manual_Review!$H$6:$H$238,U2242)="","",INDEX(Manual_Review!$H$6:$H$238,U2242))</f>
        <v/>
      </c>
      <c r="X2242" s="5" t="str">
        <f>IF(INDEX(Manual_Review!$I$6:$I$238,U2242)="","",INDEX(Manual_Review!$I$6:$I$238,U2242))</f>
        <v/>
      </c>
      <c r="Y2242" s="5" t="s">
        <v>2859</v>
      </c>
    </row>
    <row r="2243" spans="1:25" ht="25.5">
      <c r="A2243" s="5" t="s">
        <v>7493</v>
      </c>
      <c r="B2243" s="5" t="s">
        <v>1622</v>
      </c>
      <c r="C2243" s="5" t="s">
        <v>1623</v>
      </c>
      <c r="D2243" s="5" t="s">
        <v>118</v>
      </c>
      <c r="E2243" s="5" t="s">
        <v>2794</v>
      </c>
      <c r="F2243" s="5" t="s">
        <v>2764</v>
      </c>
      <c r="G2243" s="5">
        <v>1</v>
      </c>
      <c r="H2243" s="5" t="s">
        <v>2864</v>
      </c>
      <c r="I2243" s="5" t="str">
        <f>IF(INDEX(Manual_Review!$X$6:$X$238,U2243)="","",INDEX(Manual_Review!$X$6:$X$238,U2243))</f>
        <v/>
      </c>
      <c r="J2243" s="5" t="str">
        <f t="shared" si="68"/>
        <v>AI provisional</v>
      </c>
      <c r="K2243" s="5" t="str">
        <f t="shared" si="69"/>
        <v>U</v>
      </c>
      <c r="L2243" s="5" t="s">
        <v>1626</v>
      </c>
      <c r="M2243" s="5" t="s">
        <v>7479</v>
      </c>
      <c r="N2243" s="5" t="s">
        <v>7475</v>
      </c>
      <c r="O2243" s="5" t="s">
        <v>2895</v>
      </c>
      <c r="P2243" s="5" t="s">
        <v>2858</v>
      </c>
      <c r="Q2243" s="11">
        <v>46306.5</v>
      </c>
      <c r="R2243" s="6"/>
      <c r="S2243" s="6"/>
      <c r="T2243" s="6"/>
      <c r="U2243" s="5">
        <f>MATCH(B2243,Manual_Review!$A$6:$A$238,0)</f>
        <v>140</v>
      </c>
      <c r="V2243" s="5" t="str">
        <f>IF(INDEX(Manual_Review!$G$6:$G$238,U2243)="","",INDEX(Manual_Review!$G$6:$G$238,U2243))</f>
        <v/>
      </c>
      <c r="W2243" s="11" t="str">
        <f>IF(INDEX(Manual_Review!$H$6:$H$238,U2243)="","",INDEX(Manual_Review!$H$6:$H$238,U2243))</f>
        <v/>
      </c>
      <c r="X2243" s="5" t="str">
        <f>IF(INDEX(Manual_Review!$I$6:$I$238,U2243)="","",INDEX(Manual_Review!$I$6:$I$238,U2243))</f>
        <v/>
      </c>
      <c r="Y2243" s="5" t="s">
        <v>2859</v>
      </c>
    </row>
    <row r="2244" spans="1:25" ht="25.5">
      <c r="A2244" s="5" t="s">
        <v>7494</v>
      </c>
      <c r="B2244" s="5" t="s">
        <v>1622</v>
      </c>
      <c r="C2244" s="5" t="s">
        <v>1623</v>
      </c>
      <c r="D2244" s="5" t="s">
        <v>118</v>
      </c>
      <c r="E2244" s="5" t="s">
        <v>2795</v>
      </c>
      <c r="F2244" s="5" t="s">
        <v>2764</v>
      </c>
      <c r="G2244" s="5">
        <v>1</v>
      </c>
      <c r="H2244" s="5" t="s">
        <v>2864</v>
      </c>
      <c r="I2244" s="5" t="str">
        <f>IF(INDEX(Manual_Review!$Y$6:$Y$238,U2244)="","",INDEX(Manual_Review!$Y$6:$Y$238,U2244))</f>
        <v/>
      </c>
      <c r="J2244" s="5" t="str">
        <f t="shared" si="68"/>
        <v>AI provisional</v>
      </c>
      <c r="K2244" s="5" t="str">
        <f t="shared" si="69"/>
        <v>U</v>
      </c>
      <c r="L2244" s="5" t="s">
        <v>1626</v>
      </c>
      <c r="M2244" s="5" t="s">
        <v>7479</v>
      </c>
      <c r="N2244" s="5" t="s">
        <v>7475</v>
      </c>
      <c r="O2244" s="5" t="s">
        <v>2897</v>
      </c>
      <c r="P2244" s="5" t="s">
        <v>2858</v>
      </c>
      <c r="Q2244" s="11">
        <v>46306.5</v>
      </c>
      <c r="R2244" s="6"/>
      <c r="S2244" s="6"/>
      <c r="T2244" s="6"/>
      <c r="U2244" s="5">
        <f>MATCH(B2244,Manual_Review!$A$6:$A$238,0)</f>
        <v>140</v>
      </c>
      <c r="V2244" s="5" t="str">
        <f>IF(INDEX(Manual_Review!$G$6:$G$238,U2244)="","",INDEX(Manual_Review!$G$6:$G$238,U2244))</f>
        <v/>
      </c>
      <c r="W2244" s="11" t="str">
        <f>IF(INDEX(Manual_Review!$H$6:$H$238,U2244)="","",INDEX(Manual_Review!$H$6:$H$238,U2244))</f>
        <v/>
      </c>
      <c r="X2244" s="5" t="str">
        <f>IF(INDEX(Manual_Review!$I$6:$I$238,U2244)="","",INDEX(Manual_Review!$I$6:$I$238,U2244))</f>
        <v/>
      </c>
      <c r="Y2244" s="5" t="s">
        <v>2859</v>
      </c>
    </row>
    <row r="2245" spans="1:25" ht="25.5">
      <c r="A2245" s="5" t="s">
        <v>7495</v>
      </c>
      <c r="B2245" s="5" t="s">
        <v>1622</v>
      </c>
      <c r="C2245" s="5" t="s">
        <v>1623</v>
      </c>
      <c r="D2245" s="5" t="s">
        <v>118</v>
      </c>
      <c r="E2245" s="5" t="s">
        <v>2796</v>
      </c>
      <c r="F2245" s="5" t="s">
        <v>2764</v>
      </c>
      <c r="G2245" s="5">
        <v>1</v>
      </c>
      <c r="H2245" s="5" t="s">
        <v>2864</v>
      </c>
      <c r="I2245" s="5" t="str">
        <f>IF(INDEX(Manual_Review!$Z$6:$Z$238,U2245)="","",INDEX(Manual_Review!$Z$6:$Z$238,U2245))</f>
        <v/>
      </c>
      <c r="J2245" s="5" t="str">
        <f t="shared" si="68"/>
        <v>AI provisional</v>
      </c>
      <c r="K2245" s="5" t="str">
        <f t="shared" si="69"/>
        <v>U</v>
      </c>
      <c r="L2245" s="5" t="s">
        <v>1626</v>
      </c>
      <c r="M2245" s="5" t="s">
        <v>7488</v>
      </c>
      <c r="N2245" s="5" t="s">
        <v>7475</v>
      </c>
      <c r="O2245" s="5" t="s">
        <v>2899</v>
      </c>
      <c r="P2245" s="5" t="s">
        <v>2858</v>
      </c>
      <c r="Q2245" s="11">
        <v>46306.5</v>
      </c>
      <c r="R2245" s="6"/>
      <c r="S2245" s="6"/>
      <c r="T2245" s="6"/>
      <c r="U2245" s="5">
        <f>MATCH(B2245,Manual_Review!$A$6:$A$238,0)</f>
        <v>140</v>
      </c>
      <c r="V2245" s="5" t="str">
        <f>IF(INDEX(Manual_Review!$G$6:$G$238,U2245)="","",INDEX(Manual_Review!$G$6:$G$238,U2245))</f>
        <v/>
      </c>
      <c r="W2245" s="11" t="str">
        <f>IF(INDEX(Manual_Review!$H$6:$H$238,U2245)="","",INDEX(Manual_Review!$H$6:$H$238,U2245))</f>
        <v/>
      </c>
      <c r="X2245" s="5" t="str">
        <f>IF(INDEX(Manual_Review!$I$6:$I$238,U2245)="","",INDEX(Manual_Review!$I$6:$I$238,U2245))</f>
        <v/>
      </c>
      <c r="Y2245" s="5" t="s">
        <v>2859</v>
      </c>
    </row>
    <row r="2246" spans="1:25" ht="25.5">
      <c r="A2246" s="5" t="s">
        <v>7496</v>
      </c>
      <c r="B2246" s="5" t="s">
        <v>1628</v>
      </c>
      <c r="C2246" s="5" t="s">
        <v>1629</v>
      </c>
      <c r="D2246" s="5" t="s">
        <v>118</v>
      </c>
      <c r="E2246" s="5" t="s">
        <v>2781</v>
      </c>
      <c r="F2246" s="5" t="s">
        <v>2754</v>
      </c>
      <c r="G2246" s="5">
        <v>1</v>
      </c>
      <c r="H2246" s="5" t="s">
        <v>2854</v>
      </c>
      <c r="I2246" s="5" t="str">
        <f>IF(INDEX(Manual_Review!$K$6:$K$238,U2246)="","",INDEX(Manual_Review!$K$6:$K$238,U2246))</f>
        <v/>
      </c>
      <c r="J2246" s="5" t="str">
        <f t="shared" ref="J2246:J2309" si="70">IF(G2246=0,"Not applicable",IF(I2246="","AI provisional",IF(AND(OR(I2246="Y",I2246="N",I2246="U",I2246="X"),V2246&lt;&gt;"",ISNUMBER(W2246),W2246&gt;0,X2246="Confirmed",R2246&lt;&gt;"",S2246&lt;&gt;"",T2246&lt;&gt;""),"Human valid","Evidence needed")))</f>
        <v>AI provisional</v>
      </c>
      <c r="K2246" s="5" t="str">
        <f t="shared" ref="K2246:K2309" si="71">IF(G2246=0,"N/A",IF(I2246="",H2246,IF(J2246="Human valid",I2246,"U")))</f>
        <v>Y</v>
      </c>
      <c r="L2246" s="5" t="s">
        <v>1634</v>
      </c>
      <c r="M2246" s="5" t="s">
        <v>7497</v>
      </c>
      <c r="N2246" s="5" t="s">
        <v>7498</v>
      </c>
      <c r="O2246" s="5" t="s">
        <v>2857</v>
      </c>
      <c r="P2246" s="5" t="s">
        <v>2858</v>
      </c>
      <c r="Q2246" s="11">
        <v>46306.5</v>
      </c>
      <c r="R2246" s="6"/>
      <c r="S2246" s="6"/>
      <c r="T2246" s="6"/>
      <c r="U2246" s="5">
        <f>MATCH(B2246,Manual_Review!$A$6:$A$238,0)</f>
        <v>141</v>
      </c>
      <c r="V2246" s="5" t="str">
        <f>IF(INDEX(Manual_Review!$G$6:$G$238,U2246)="","",INDEX(Manual_Review!$G$6:$G$238,U2246))</f>
        <v/>
      </c>
      <c r="W2246" s="11" t="str">
        <f>IF(INDEX(Manual_Review!$H$6:$H$238,U2246)="","",INDEX(Manual_Review!$H$6:$H$238,U2246))</f>
        <v/>
      </c>
      <c r="X2246" s="5" t="str">
        <f>IF(INDEX(Manual_Review!$I$6:$I$238,U2246)="","",INDEX(Manual_Review!$I$6:$I$238,U2246))</f>
        <v/>
      </c>
      <c r="Y2246" s="5" t="s">
        <v>2859</v>
      </c>
    </row>
    <row r="2247" spans="1:25" ht="25.5">
      <c r="A2247" s="5" t="s">
        <v>7499</v>
      </c>
      <c r="B2247" s="5" t="s">
        <v>1628</v>
      </c>
      <c r="C2247" s="5" t="s">
        <v>1629</v>
      </c>
      <c r="D2247" s="5" t="s">
        <v>118</v>
      </c>
      <c r="E2247" s="5" t="s">
        <v>2782</v>
      </c>
      <c r="F2247" s="5" t="s">
        <v>2754</v>
      </c>
      <c r="G2247" s="5">
        <v>1</v>
      </c>
      <c r="H2247" s="5" t="s">
        <v>2854</v>
      </c>
      <c r="I2247" s="5" t="str">
        <f>IF(INDEX(Manual_Review!$L$6:$L$238,U2247)="","",INDEX(Manual_Review!$L$6:$L$238,U2247))</f>
        <v/>
      </c>
      <c r="J2247" s="5" t="str">
        <f t="shared" si="70"/>
        <v>AI provisional</v>
      </c>
      <c r="K2247" s="5" t="str">
        <f t="shared" si="71"/>
        <v>Y</v>
      </c>
      <c r="L2247" s="5" t="s">
        <v>1634</v>
      </c>
      <c r="M2247" s="5" t="s">
        <v>7500</v>
      </c>
      <c r="N2247" s="5" t="s">
        <v>7498</v>
      </c>
      <c r="O2247" s="5" t="s">
        <v>2862</v>
      </c>
      <c r="P2247" s="5" t="s">
        <v>2858</v>
      </c>
      <c r="Q2247" s="11">
        <v>46306.5</v>
      </c>
      <c r="R2247" s="6"/>
      <c r="S2247" s="6"/>
      <c r="T2247" s="6"/>
      <c r="U2247" s="5">
        <f>MATCH(B2247,Manual_Review!$A$6:$A$238,0)</f>
        <v>141</v>
      </c>
      <c r="V2247" s="5" t="str">
        <f>IF(INDEX(Manual_Review!$G$6:$G$238,U2247)="","",INDEX(Manual_Review!$G$6:$G$238,U2247))</f>
        <v/>
      </c>
      <c r="W2247" s="11" t="str">
        <f>IF(INDEX(Manual_Review!$H$6:$H$238,U2247)="","",INDEX(Manual_Review!$H$6:$H$238,U2247))</f>
        <v/>
      </c>
      <c r="X2247" s="5" t="str">
        <f>IF(INDEX(Manual_Review!$I$6:$I$238,U2247)="","",INDEX(Manual_Review!$I$6:$I$238,U2247))</f>
        <v/>
      </c>
      <c r="Y2247" s="5" t="s">
        <v>2859</v>
      </c>
    </row>
    <row r="2248" spans="1:25" ht="25.5">
      <c r="A2248" s="5" t="s">
        <v>7501</v>
      </c>
      <c r="B2248" s="5" t="s">
        <v>1628</v>
      </c>
      <c r="C2248" s="5" t="s">
        <v>1629</v>
      </c>
      <c r="D2248" s="5" t="s">
        <v>118</v>
      </c>
      <c r="E2248" s="5" t="s">
        <v>2783</v>
      </c>
      <c r="F2248" s="5" t="s">
        <v>2754</v>
      </c>
      <c r="G2248" s="5">
        <v>1</v>
      </c>
      <c r="H2248" s="5" t="s">
        <v>2864</v>
      </c>
      <c r="I2248" s="5" t="str">
        <f>IF(INDEX(Manual_Review!$M$6:$M$238,U2248)="","",INDEX(Manual_Review!$M$6:$M$238,U2248))</f>
        <v/>
      </c>
      <c r="J2248" s="5" t="str">
        <f t="shared" si="70"/>
        <v>AI provisional</v>
      </c>
      <c r="K2248" s="5" t="str">
        <f t="shared" si="71"/>
        <v>U</v>
      </c>
      <c r="L2248" s="5" t="s">
        <v>1634</v>
      </c>
      <c r="M2248" s="5" t="s">
        <v>7502</v>
      </c>
      <c r="N2248" s="5" t="s">
        <v>7498</v>
      </c>
      <c r="O2248" s="5" t="s">
        <v>2866</v>
      </c>
      <c r="P2248" s="5" t="s">
        <v>2858</v>
      </c>
      <c r="Q2248" s="11">
        <v>46306.5</v>
      </c>
      <c r="R2248" s="6"/>
      <c r="S2248" s="6"/>
      <c r="T2248" s="6"/>
      <c r="U2248" s="5">
        <f>MATCH(B2248,Manual_Review!$A$6:$A$238,0)</f>
        <v>141</v>
      </c>
      <c r="V2248" s="5" t="str">
        <f>IF(INDEX(Manual_Review!$G$6:$G$238,U2248)="","",INDEX(Manual_Review!$G$6:$G$238,U2248))</f>
        <v/>
      </c>
      <c r="W2248" s="11" t="str">
        <f>IF(INDEX(Manual_Review!$H$6:$H$238,U2248)="","",INDEX(Manual_Review!$H$6:$H$238,U2248))</f>
        <v/>
      </c>
      <c r="X2248" s="5" t="str">
        <f>IF(INDEX(Manual_Review!$I$6:$I$238,U2248)="","",INDEX(Manual_Review!$I$6:$I$238,U2248))</f>
        <v/>
      </c>
      <c r="Y2248" s="5" t="s">
        <v>2859</v>
      </c>
    </row>
    <row r="2249" spans="1:25" ht="25.5">
      <c r="A2249" s="5" t="s">
        <v>7503</v>
      </c>
      <c r="B2249" s="5" t="s">
        <v>1628</v>
      </c>
      <c r="C2249" s="5" t="s">
        <v>1629</v>
      </c>
      <c r="D2249" s="5" t="s">
        <v>118</v>
      </c>
      <c r="E2249" s="5" t="s">
        <v>2784</v>
      </c>
      <c r="F2249" s="5" t="s">
        <v>2756</v>
      </c>
      <c r="G2249" s="5">
        <v>1</v>
      </c>
      <c r="H2249" s="5" t="s">
        <v>2864</v>
      </c>
      <c r="I2249" s="5" t="str">
        <f>IF(INDEX(Manual_Review!$N$6:$N$238,U2249)="","",INDEX(Manual_Review!$N$6:$N$238,U2249))</f>
        <v/>
      </c>
      <c r="J2249" s="5" t="str">
        <f t="shared" si="70"/>
        <v>AI provisional</v>
      </c>
      <c r="K2249" s="5" t="str">
        <f t="shared" si="71"/>
        <v>U</v>
      </c>
      <c r="L2249" s="5" t="s">
        <v>1634</v>
      </c>
      <c r="M2249" s="5" t="s">
        <v>7504</v>
      </c>
      <c r="N2249" s="5" t="s">
        <v>7498</v>
      </c>
      <c r="O2249" s="5" t="s">
        <v>2869</v>
      </c>
      <c r="P2249" s="5" t="s">
        <v>2858</v>
      </c>
      <c r="Q2249" s="11">
        <v>46306.5</v>
      </c>
      <c r="R2249" s="6"/>
      <c r="S2249" s="6"/>
      <c r="T2249" s="6"/>
      <c r="U2249" s="5">
        <f>MATCH(B2249,Manual_Review!$A$6:$A$238,0)</f>
        <v>141</v>
      </c>
      <c r="V2249" s="5" t="str">
        <f>IF(INDEX(Manual_Review!$G$6:$G$238,U2249)="","",INDEX(Manual_Review!$G$6:$G$238,U2249))</f>
        <v/>
      </c>
      <c r="W2249" s="11" t="str">
        <f>IF(INDEX(Manual_Review!$H$6:$H$238,U2249)="","",INDEX(Manual_Review!$H$6:$H$238,U2249))</f>
        <v/>
      </c>
      <c r="X2249" s="5" t="str">
        <f>IF(INDEX(Manual_Review!$I$6:$I$238,U2249)="","",INDEX(Manual_Review!$I$6:$I$238,U2249))</f>
        <v/>
      </c>
      <c r="Y2249" s="5" t="s">
        <v>2859</v>
      </c>
    </row>
    <row r="2250" spans="1:25" ht="25.5">
      <c r="A2250" s="5" t="s">
        <v>7505</v>
      </c>
      <c r="B2250" s="5" t="s">
        <v>1628</v>
      </c>
      <c r="C2250" s="5" t="s">
        <v>1629</v>
      </c>
      <c r="D2250" s="5" t="s">
        <v>118</v>
      </c>
      <c r="E2250" s="5" t="s">
        <v>2785</v>
      </c>
      <c r="F2250" s="5" t="s">
        <v>2756</v>
      </c>
      <c r="G2250" s="5">
        <v>1</v>
      </c>
      <c r="H2250" s="5" t="s">
        <v>2864</v>
      </c>
      <c r="I2250" s="5" t="str">
        <f>IF(INDEX(Manual_Review!$O$6:$O$238,U2250)="","",INDEX(Manual_Review!$O$6:$O$238,U2250))</f>
        <v/>
      </c>
      <c r="J2250" s="5" t="str">
        <f t="shared" si="70"/>
        <v>AI provisional</v>
      </c>
      <c r="K2250" s="5" t="str">
        <f t="shared" si="71"/>
        <v>U</v>
      </c>
      <c r="L2250" s="5" t="s">
        <v>1634</v>
      </c>
      <c r="M2250" s="5" t="s">
        <v>7502</v>
      </c>
      <c r="N2250" s="5" t="s">
        <v>7498</v>
      </c>
      <c r="O2250" s="5" t="s">
        <v>2872</v>
      </c>
      <c r="P2250" s="5" t="s">
        <v>2858</v>
      </c>
      <c r="Q2250" s="11">
        <v>46306.5</v>
      </c>
      <c r="R2250" s="6"/>
      <c r="S2250" s="6"/>
      <c r="T2250" s="6"/>
      <c r="U2250" s="5">
        <f>MATCH(B2250,Manual_Review!$A$6:$A$238,0)</f>
        <v>141</v>
      </c>
      <c r="V2250" s="5" t="str">
        <f>IF(INDEX(Manual_Review!$G$6:$G$238,U2250)="","",INDEX(Manual_Review!$G$6:$G$238,U2250))</f>
        <v/>
      </c>
      <c r="W2250" s="11" t="str">
        <f>IF(INDEX(Manual_Review!$H$6:$H$238,U2250)="","",INDEX(Manual_Review!$H$6:$H$238,U2250))</f>
        <v/>
      </c>
      <c r="X2250" s="5" t="str">
        <f>IF(INDEX(Manual_Review!$I$6:$I$238,U2250)="","",INDEX(Manual_Review!$I$6:$I$238,U2250))</f>
        <v/>
      </c>
      <c r="Y2250" s="5" t="s">
        <v>2859</v>
      </c>
    </row>
    <row r="2251" spans="1:25" ht="25.5">
      <c r="A2251" s="5" t="s">
        <v>7506</v>
      </c>
      <c r="B2251" s="5" t="s">
        <v>1628</v>
      </c>
      <c r="C2251" s="5" t="s">
        <v>1629</v>
      </c>
      <c r="D2251" s="5" t="s">
        <v>118</v>
      </c>
      <c r="E2251" s="5" t="s">
        <v>2786</v>
      </c>
      <c r="F2251" s="5" t="s">
        <v>2756</v>
      </c>
      <c r="G2251" s="5">
        <v>1</v>
      </c>
      <c r="H2251" s="5" t="s">
        <v>2864</v>
      </c>
      <c r="I2251" s="5" t="str">
        <f>IF(INDEX(Manual_Review!$P$6:$P$238,U2251)="","",INDEX(Manual_Review!$P$6:$P$238,U2251))</f>
        <v/>
      </c>
      <c r="J2251" s="5" t="str">
        <f t="shared" si="70"/>
        <v>AI provisional</v>
      </c>
      <c r="K2251" s="5" t="str">
        <f t="shared" si="71"/>
        <v>U</v>
      </c>
      <c r="L2251" s="5" t="s">
        <v>1634</v>
      </c>
      <c r="M2251" s="5" t="s">
        <v>7502</v>
      </c>
      <c r="N2251" s="5" t="s">
        <v>7498</v>
      </c>
      <c r="O2251" s="5" t="s">
        <v>2874</v>
      </c>
      <c r="P2251" s="5" t="s">
        <v>2858</v>
      </c>
      <c r="Q2251" s="11">
        <v>46306.5</v>
      </c>
      <c r="R2251" s="6"/>
      <c r="S2251" s="6"/>
      <c r="T2251" s="6"/>
      <c r="U2251" s="5">
        <f>MATCH(B2251,Manual_Review!$A$6:$A$238,0)</f>
        <v>141</v>
      </c>
      <c r="V2251" s="5" t="str">
        <f>IF(INDEX(Manual_Review!$G$6:$G$238,U2251)="","",INDEX(Manual_Review!$G$6:$G$238,U2251))</f>
        <v/>
      </c>
      <c r="W2251" s="11" t="str">
        <f>IF(INDEX(Manual_Review!$H$6:$H$238,U2251)="","",INDEX(Manual_Review!$H$6:$H$238,U2251))</f>
        <v/>
      </c>
      <c r="X2251" s="5" t="str">
        <f>IF(INDEX(Manual_Review!$I$6:$I$238,U2251)="","",INDEX(Manual_Review!$I$6:$I$238,U2251))</f>
        <v/>
      </c>
      <c r="Y2251" s="5" t="s">
        <v>2859</v>
      </c>
    </row>
    <row r="2252" spans="1:25" ht="25.5">
      <c r="A2252" s="5" t="s">
        <v>7507</v>
      </c>
      <c r="B2252" s="5" t="s">
        <v>1628</v>
      </c>
      <c r="C2252" s="5" t="s">
        <v>1629</v>
      </c>
      <c r="D2252" s="5" t="s">
        <v>118</v>
      </c>
      <c r="E2252" s="5" t="s">
        <v>2787</v>
      </c>
      <c r="F2252" s="5" t="s">
        <v>2758</v>
      </c>
      <c r="G2252" s="5">
        <v>1</v>
      </c>
      <c r="H2252" s="5" t="s">
        <v>2864</v>
      </c>
      <c r="I2252" s="5" t="str">
        <f>IF(INDEX(Manual_Review!$Q$6:$Q$238,U2252)="","",INDEX(Manual_Review!$Q$6:$Q$238,U2252))</f>
        <v/>
      </c>
      <c r="J2252" s="5" t="str">
        <f t="shared" si="70"/>
        <v>AI provisional</v>
      </c>
      <c r="K2252" s="5" t="str">
        <f t="shared" si="71"/>
        <v>U</v>
      </c>
      <c r="L2252" s="5" t="s">
        <v>1634</v>
      </c>
      <c r="M2252" s="5" t="s">
        <v>7502</v>
      </c>
      <c r="N2252" s="5" t="s">
        <v>7498</v>
      </c>
      <c r="O2252" s="5" t="s">
        <v>2877</v>
      </c>
      <c r="P2252" s="5" t="s">
        <v>2858</v>
      </c>
      <c r="Q2252" s="11">
        <v>46306.5</v>
      </c>
      <c r="R2252" s="6"/>
      <c r="S2252" s="6"/>
      <c r="T2252" s="6"/>
      <c r="U2252" s="5">
        <f>MATCH(B2252,Manual_Review!$A$6:$A$238,0)</f>
        <v>141</v>
      </c>
      <c r="V2252" s="5" t="str">
        <f>IF(INDEX(Manual_Review!$G$6:$G$238,U2252)="","",INDEX(Manual_Review!$G$6:$G$238,U2252))</f>
        <v/>
      </c>
      <c r="W2252" s="11" t="str">
        <f>IF(INDEX(Manual_Review!$H$6:$H$238,U2252)="","",INDEX(Manual_Review!$H$6:$H$238,U2252))</f>
        <v/>
      </c>
      <c r="X2252" s="5" t="str">
        <f>IF(INDEX(Manual_Review!$I$6:$I$238,U2252)="","",INDEX(Manual_Review!$I$6:$I$238,U2252))</f>
        <v/>
      </c>
      <c r="Y2252" s="5" t="s">
        <v>2859</v>
      </c>
    </row>
    <row r="2253" spans="1:25" ht="25.5">
      <c r="A2253" s="5" t="s">
        <v>7508</v>
      </c>
      <c r="B2253" s="5" t="s">
        <v>1628</v>
      </c>
      <c r="C2253" s="5" t="s">
        <v>1629</v>
      </c>
      <c r="D2253" s="5" t="s">
        <v>118</v>
      </c>
      <c r="E2253" s="5" t="s">
        <v>2788</v>
      </c>
      <c r="F2253" s="5" t="s">
        <v>2758</v>
      </c>
      <c r="G2253" s="5">
        <v>1</v>
      </c>
      <c r="H2253" s="5" t="s">
        <v>2864</v>
      </c>
      <c r="I2253" s="5" t="str">
        <f>IF(INDEX(Manual_Review!$R$6:$R$238,U2253)="","",INDEX(Manual_Review!$R$6:$R$238,U2253))</f>
        <v/>
      </c>
      <c r="J2253" s="5" t="str">
        <f t="shared" si="70"/>
        <v>AI provisional</v>
      </c>
      <c r="K2253" s="5" t="str">
        <f t="shared" si="71"/>
        <v>U</v>
      </c>
      <c r="L2253" s="5" t="s">
        <v>1634</v>
      </c>
      <c r="M2253" s="5" t="s">
        <v>7509</v>
      </c>
      <c r="N2253" s="5" t="s">
        <v>7498</v>
      </c>
      <c r="O2253" s="5" t="s">
        <v>2880</v>
      </c>
      <c r="P2253" s="5" t="s">
        <v>2858</v>
      </c>
      <c r="Q2253" s="11">
        <v>46306.5</v>
      </c>
      <c r="R2253" s="6"/>
      <c r="S2253" s="6"/>
      <c r="T2253" s="6"/>
      <c r="U2253" s="5">
        <f>MATCH(B2253,Manual_Review!$A$6:$A$238,0)</f>
        <v>141</v>
      </c>
      <c r="V2253" s="5" t="str">
        <f>IF(INDEX(Manual_Review!$G$6:$G$238,U2253)="","",INDEX(Manual_Review!$G$6:$G$238,U2253))</f>
        <v/>
      </c>
      <c r="W2253" s="11" t="str">
        <f>IF(INDEX(Manual_Review!$H$6:$H$238,U2253)="","",INDEX(Manual_Review!$H$6:$H$238,U2253))</f>
        <v/>
      </c>
      <c r="X2253" s="5" t="str">
        <f>IF(INDEX(Manual_Review!$I$6:$I$238,U2253)="","",INDEX(Manual_Review!$I$6:$I$238,U2253))</f>
        <v/>
      </c>
      <c r="Y2253" s="5" t="s">
        <v>2859</v>
      </c>
    </row>
    <row r="2254" spans="1:25" ht="25.5">
      <c r="A2254" s="5" t="s">
        <v>7510</v>
      </c>
      <c r="B2254" s="5" t="s">
        <v>1628</v>
      </c>
      <c r="C2254" s="5" t="s">
        <v>1629</v>
      </c>
      <c r="D2254" s="5" t="s">
        <v>118</v>
      </c>
      <c r="E2254" s="5" t="s">
        <v>2789</v>
      </c>
      <c r="F2254" s="5" t="s">
        <v>2758</v>
      </c>
      <c r="G2254" s="5">
        <v>1</v>
      </c>
      <c r="H2254" s="5" t="s">
        <v>2864</v>
      </c>
      <c r="I2254" s="5" t="str">
        <f>IF(INDEX(Manual_Review!$S$6:$S$238,U2254)="","",INDEX(Manual_Review!$S$6:$S$238,U2254))</f>
        <v/>
      </c>
      <c r="J2254" s="5" t="str">
        <f t="shared" si="70"/>
        <v>AI provisional</v>
      </c>
      <c r="K2254" s="5" t="str">
        <f t="shared" si="71"/>
        <v>U</v>
      </c>
      <c r="L2254" s="5" t="s">
        <v>1634</v>
      </c>
      <c r="M2254" s="5" t="s">
        <v>7511</v>
      </c>
      <c r="N2254" s="5" t="s">
        <v>7498</v>
      </c>
      <c r="O2254" s="5" t="s">
        <v>2883</v>
      </c>
      <c r="P2254" s="5" t="s">
        <v>2858</v>
      </c>
      <c r="Q2254" s="11">
        <v>46306.5</v>
      </c>
      <c r="R2254" s="6"/>
      <c r="S2254" s="6"/>
      <c r="T2254" s="6"/>
      <c r="U2254" s="5">
        <f>MATCH(B2254,Manual_Review!$A$6:$A$238,0)</f>
        <v>141</v>
      </c>
      <c r="V2254" s="5" t="str">
        <f>IF(INDEX(Manual_Review!$G$6:$G$238,U2254)="","",INDEX(Manual_Review!$G$6:$G$238,U2254))</f>
        <v/>
      </c>
      <c r="W2254" s="11" t="str">
        <f>IF(INDEX(Manual_Review!$H$6:$H$238,U2254)="","",INDEX(Manual_Review!$H$6:$H$238,U2254))</f>
        <v/>
      </c>
      <c r="X2254" s="5" t="str">
        <f>IF(INDEX(Manual_Review!$I$6:$I$238,U2254)="","",INDEX(Manual_Review!$I$6:$I$238,U2254))</f>
        <v/>
      </c>
      <c r="Y2254" s="5" t="s">
        <v>2859</v>
      </c>
    </row>
    <row r="2255" spans="1:25" ht="25.5">
      <c r="A2255" s="5" t="s">
        <v>7512</v>
      </c>
      <c r="B2255" s="5" t="s">
        <v>1628</v>
      </c>
      <c r="C2255" s="5" t="s">
        <v>1629</v>
      </c>
      <c r="D2255" s="5" t="s">
        <v>118</v>
      </c>
      <c r="E2255" s="5" t="s">
        <v>2790</v>
      </c>
      <c r="F2255" s="5" t="s">
        <v>2760</v>
      </c>
      <c r="G2255" s="5">
        <v>1</v>
      </c>
      <c r="H2255" s="5" t="s">
        <v>2864</v>
      </c>
      <c r="I2255" s="5" t="str">
        <f>IF(INDEX(Manual_Review!$T$6:$T$238,U2255)="","",INDEX(Manual_Review!$T$6:$T$238,U2255))</f>
        <v/>
      </c>
      <c r="J2255" s="5" t="str">
        <f t="shared" si="70"/>
        <v>AI provisional</v>
      </c>
      <c r="K2255" s="5" t="str">
        <f t="shared" si="71"/>
        <v>U</v>
      </c>
      <c r="L2255" s="5" t="s">
        <v>1634</v>
      </c>
      <c r="M2255" s="5" t="s">
        <v>7513</v>
      </c>
      <c r="N2255" s="5" t="s">
        <v>7498</v>
      </c>
      <c r="O2255" s="5" t="s">
        <v>2885</v>
      </c>
      <c r="P2255" s="5" t="s">
        <v>2858</v>
      </c>
      <c r="Q2255" s="11">
        <v>46306.5</v>
      </c>
      <c r="R2255" s="6"/>
      <c r="S2255" s="6"/>
      <c r="T2255" s="6"/>
      <c r="U2255" s="5">
        <f>MATCH(B2255,Manual_Review!$A$6:$A$238,0)</f>
        <v>141</v>
      </c>
      <c r="V2255" s="5" t="str">
        <f>IF(INDEX(Manual_Review!$G$6:$G$238,U2255)="","",INDEX(Manual_Review!$G$6:$G$238,U2255))</f>
        <v/>
      </c>
      <c r="W2255" s="11" t="str">
        <f>IF(INDEX(Manual_Review!$H$6:$H$238,U2255)="","",INDEX(Manual_Review!$H$6:$H$238,U2255))</f>
        <v/>
      </c>
      <c r="X2255" s="5" t="str">
        <f>IF(INDEX(Manual_Review!$I$6:$I$238,U2255)="","",INDEX(Manual_Review!$I$6:$I$238,U2255))</f>
        <v/>
      </c>
      <c r="Y2255" s="5" t="s">
        <v>2859</v>
      </c>
    </row>
    <row r="2256" spans="1:25" ht="25.5">
      <c r="A2256" s="5" t="s">
        <v>7514</v>
      </c>
      <c r="B2256" s="5" t="s">
        <v>1628</v>
      </c>
      <c r="C2256" s="5" t="s">
        <v>1629</v>
      </c>
      <c r="D2256" s="5" t="s">
        <v>118</v>
      </c>
      <c r="E2256" s="5" t="s">
        <v>2791</v>
      </c>
      <c r="F2256" s="5" t="s">
        <v>2760</v>
      </c>
      <c r="G2256" s="5">
        <v>1</v>
      </c>
      <c r="H2256" s="5" t="s">
        <v>2864</v>
      </c>
      <c r="I2256" s="5" t="str">
        <f>IF(INDEX(Manual_Review!$U$6:$U$238,U2256)="","",INDEX(Manual_Review!$U$6:$U$238,U2256))</f>
        <v/>
      </c>
      <c r="J2256" s="5" t="str">
        <f t="shared" si="70"/>
        <v>AI provisional</v>
      </c>
      <c r="K2256" s="5" t="str">
        <f t="shared" si="71"/>
        <v>U</v>
      </c>
      <c r="L2256" s="5" t="s">
        <v>1634</v>
      </c>
      <c r="M2256" s="5" t="s">
        <v>7515</v>
      </c>
      <c r="N2256" s="5" t="s">
        <v>7498</v>
      </c>
      <c r="O2256" s="5" t="s">
        <v>2888</v>
      </c>
      <c r="P2256" s="5" t="s">
        <v>2858</v>
      </c>
      <c r="Q2256" s="11">
        <v>46306.5</v>
      </c>
      <c r="R2256" s="6"/>
      <c r="S2256" s="6"/>
      <c r="T2256" s="6"/>
      <c r="U2256" s="5">
        <f>MATCH(B2256,Manual_Review!$A$6:$A$238,0)</f>
        <v>141</v>
      </c>
      <c r="V2256" s="5" t="str">
        <f>IF(INDEX(Manual_Review!$G$6:$G$238,U2256)="","",INDEX(Manual_Review!$G$6:$G$238,U2256))</f>
        <v/>
      </c>
      <c r="W2256" s="11" t="str">
        <f>IF(INDEX(Manual_Review!$H$6:$H$238,U2256)="","",INDEX(Manual_Review!$H$6:$H$238,U2256))</f>
        <v/>
      </c>
      <c r="X2256" s="5" t="str">
        <f>IF(INDEX(Manual_Review!$I$6:$I$238,U2256)="","",INDEX(Manual_Review!$I$6:$I$238,U2256))</f>
        <v/>
      </c>
      <c r="Y2256" s="5" t="s">
        <v>2859</v>
      </c>
    </row>
    <row r="2257" spans="1:25" ht="25.5">
      <c r="A2257" s="5" t="s">
        <v>7516</v>
      </c>
      <c r="B2257" s="5" t="s">
        <v>1628</v>
      </c>
      <c r="C2257" s="5" t="s">
        <v>1629</v>
      </c>
      <c r="D2257" s="5" t="s">
        <v>118</v>
      </c>
      <c r="E2257" s="5" t="s">
        <v>2792</v>
      </c>
      <c r="F2257" s="5" t="s">
        <v>2762</v>
      </c>
      <c r="G2257" s="5">
        <v>1</v>
      </c>
      <c r="H2257" s="5" t="s">
        <v>2864</v>
      </c>
      <c r="I2257" s="5" t="str">
        <f>IF(INDEX(Manual_Review!$V$6:$V$238,U2257)="","",INDEX(Manual_Review!$V$6:$V$238,U2257))</f>
        <v/>
      </c>
      <c r="J2257" s="5" t="str">
        <f t="shared" si="70"/>
        <v>AI provisional</v>
      </c>
      <c r="K2257" s="5" t="str">
        <f t="shared" si="71"/>
        <v>U</v>
      </c>
      <c r="L2257" s="5" t="s">
        <v>1634</v>
      </c>
      <c r="M2257" s="5" t="s">
        <v>7502</v>
      </c>
      <c r="N2257" s="5" t="s">
        <v>7498</v>
      </c>
      <c r="O2257" s="5" t="s">
        <v>2891</v>
      </c>
      <c r="P2257" s="5" t="s">
        <v>2858</v>
      </c>
      <c r="Q2257" s="11">
        <v>46306.5</v>
      </c>
      <c r="R2257" s="6"/>
      <c r="S2257" s="6"/>
      <c r="T2257" s="6"/>
      <c r="U2257" s="5">
        <f>MATCH(B2257,Manual_Review!$A$6:$A$238,0)</f>
        <v>141</v>
      </c>
      <c r="V2257" s="5" t="str">
        <f>IF(INDEX(Manual_Review!$G$6:$G$238,U2257)="","",INDEX(Manual_Review!$G$6:$G$238,U2257))</f>
        <v/>
      </c>
      <c r="W2257" s="11" t="str">
        <f>IF(INDEX(Manual_Review!$H$6:$H$238,U2257)="","",INDEX(Manual_Review!$H$6:$H$238,U2257))</f>
        <v/>
      </c>
      <c r="X2257" s="5" t="str">
        <f>IF(INDEX(Manual_Review!$I$6:$I$238,U2257)="","",INDEX(Manual_Review!$I$6:$I$238,U2257))</f>
        <v/>
      </c>
      <c r="Y2257" s="5" t="s">
        <v>2859</v>
      </c>
    </row>
    <row r="2258" spans="1:25" ht="25.5">
      <c r="A2258" s="5" t="s">
        <v>7517</v>
      </c>
      <c r="B2258" s="5" t="s">
        <v>1628</v>
      </c>
      <c r="C2258" s="5" t="s">
        <v>1629</v>
      </c>
      <c r="D2258" s="5" t="s">
        <v>118</v>
      </c>
      <c r="E2258" s="5" t="s">
        <v>2793</v>
      </c>
      <c r="F2258" s="5" t="s">
        <v>2762</v>
      </c>
      <c r="G2258" s="5">
        <v>1</v>
      </c>
      <c r="H2258" s="5" t="s">
        <v>2864</v>
      </c>
      <c r="I2258" s="5" t="str">
        <f>IF(INDEX(Manual_Review!$W$6:$W$238,U2258)="","",INDEX(Manual_Review!$W$6:$W$238,U2258))</f>
        <v/>
      </c>
      <c r="J2258" s="5" t="str">
        <f t="shared" si="70"/>
        <v>AI provisional</v>
      </c>
      <c r="K2258" s="5" t="str">
        <f t="shared" si="71"/>
        <v>U</v>
      </c>
      <c r="L2258" s="5" t="s">
        <v>1634</v>
      </c>
      <c r="M2258" s="5" t="s">
        <v>7502</v>
      </c>
      <c r="N2258" s="5" t="s">
        <v>7498</v>
      </c>
      <c r="O2258" s="5" t="s">
        <v>2893</v>
      </c>
      <c r="P2258" s="5" t="s">
        <v>2858</v>
      </c>
      <c r="Q2258" s="11">
        <v>46306.5</v>
      </c>
      <c r="R2258" s="6"/>
      <c r="S2258" s="6"/>
      <c r="T2258" s="6"/>
      <c r="U2258" s="5">
        <f>MATCH(B2258,Manual_Review!$A$6:$A$238,0)</f>
        <v>141</v>
      </c>
      <c r="V2258" s="5" t="str">
        <f>IF(INDEX(Manual_Review!$G$6:$G$238,U2258)="","",INDEX(Manual_Review!$G$6:$G$238,U2258))</f>
        <v/>
      </c>
      <c r="W2258" s="11" t="str">
        <f>IF(INDEX(Manual_Review!$H$6:$H$238,U2258)="","",INDEX(Manual_Review!$H$6:$H$238,U2258))</f>
        <v/>
      </c>
      <c r="X2258" s="5" t="str">
        <f>IF(INDEX(Manual_Review!$I$6:$I$238,U2258)="","",INDEX(Manual_Review!$I$6:$I$238,U2258))</f>
        <v/>
      </c>
      <c r="Y2258" s="5" t="s">
        <v>2859</v>
      </c>
    </row>
    <row r="2259" spans="1:25" ht="25.5">
      <c r="A2259" s="5" t="s">
        <v>7518</v>
      </c>
      <c r="B2259" s="5" t="s">
        <v>1628</v>
      </c>
      <c r="C2259" s="5" t="s">
        <v>1629</v>
      </c>
      <c r="D2259" s="5" t="s">
        <v>118</v>
      </c>
      <c r="E2259" s="5" t="s">
        <v>2794</v>
      </c>
      <c r="F2259" s="5" t="s">
        <v>2764</v>
      </c>
      <c r="G2259" s="5">
        <v>1</v>
      </c>
      <c r="H2259" s="5" t="s">
        <v>2864</v>
      </c>
      <c r="I2259" s="5" t="str">
        <f>IF(INDEX(Manual_Review!$X$6:$X$238,U2259)="","",INDEX(Manual_Review!$X$6:$X$238,U2259))</f>
        <v/>
      </c>
      <c r="J2259" s="5" t="str">
        <f t="shared" si="70"/>
        <v>AI provisional</v>
      </c>
      <c r="K2259" s="5" t="str">
        <f t="shared" si="71"/>
        <v>U</v>
      </c>
      <c r="L2259" s="5" t="s">
        <v>1634</v>
      </c>
      <c r="M2259" s="5" t="s">
        <v>7502</v>
      </c>
      <c r="N2259" s="5" t="s">
        <v>7498</v>
      </c>
      <c r="O2259" s="5" t="s">
        <v>2895</v>
      </c>
      <c r="P2259" s="5" t="s">
        <v>2858</v>
      </c>
      <c r="Q2259" s="11">
        <v>46306.5</v>
      </c>
      <c r="R2259" s="6"/>
      <c r="S2259" s="6"/>
      <c r="T2259" s="6"/>
      <c r="U2259" s="5">
        <f>MATCH(B2259,Manual_Review!$A$6:$A$238,0)</f>
        <v>141</v>
      </c>
      <c r="V2259" s="5" t="str">
        <f>IF(INDEX(Manual_Review!$G$6:$G$238,U2259)="","",INDEX(Manual_Review!$G$6:$G$238,U2259))</f>
        <v/>
      </c>
      <c r="W2259" s="11" t="str">
        <f>IF(INDEX(Manual_Review!$H$6:$H$238,U2259)="","",INDEX(Manual_Review!$H$6:$H$238,U2259))</f>
        <v/>
      </c>
      <c r="X2259" s="5" t="str">
        <f>IF(INDEX(Manual_Review!$I$6:$I$238,U2259)="","",INDEX(Manual_Review!$I$6:$I$238,U2259))</f>
        <v/>
      </c>
      <c r="Y2259" s="5" t="s">
        <v>2859</v>
      </c>
    </row>
    <row r="2260" spans="1:25" ht="25.5">
      <c r="A2260" s="5" t="s">
        <v>7519</v>
      </c>
      <c r="B2260" s="5" t="s">
        <v>1628</v>
      </c>
      <c r="C2260" s="5" t="s">
        <v>1629</v>
      </c>
      <c r="D2260" s="5" t="s">
        <v>118</v>
      </c>
      <c r="E2260" s="5" t="s">
        <v>2795</v>
      </c>
      <c r="F2260" s="5" t="s">
        <v>2764</v>
      </c>
      <c r="G2260" s="5">
        <v>1</v>
      </c>
      <c r="H2260" s="5" t="s">
        <v>2864</v>
      </c>
      <c r="I2260" s="5" t="str">
        <f>IF(INDEX(Manual_Review!$Y$6:$Y$238,U2260)="","",INDEX(Manual_Review!$Y$6:$Y$238,U2260))</f>
        <v/>
      </c>
      <c r="J2260" s="5" t="str">
        <f t="shared" si="70"/>
        <v>AI provisional</v>
      </c>
      <c r="K2260" s="5" t="str">
        <f t="shared" si="71"/>
        <v>U</v>
      </c>
      <c r="L2260" s="5" t="s">
        <v>1634</v>
      </c>
      <c r="M2260" s="5" t="s">
        <v>7502</v>
      </c>
      <c r="N2260" s="5" t="s">
        <v>7498</v>
      </c>
      <c r="O2260" s="5" t="s">
        <v>2897</v>
      </c>
      <c r="P2260" s="5" t="s">
        <v>2858</v>
      </c>
      <c r="Q2260" s="11">
        <v>46306.5</v>
      </c>
      <c r="R2260" s="6"/>
      <c r="S2260" s="6"/>
      <c r="T2260" s="6"/>
      <c r="U2260" s="5">
        <f>MATCH(B2260,Manual_Review!$A$6:$A$238,0)</f>
        <v>141</v>
      </c>
      <c r="V2260" s="5" t="str">
        <f>IF(INDEX(Manual_Review!$G$6:$G$238,U2260)="","",INDEX(Manual_Review!$G$6:$G$238,U2260))</f>
        <v/>
      </c>
      <c r="W2260" s="11" t="str">
        <f>IF(INDEX(Manual_Review!$H$6:$H$238,U2260)="","",INDEX(Manual_Review!$H$6:$H$238,U2260))</f>
        <v/>
      </c>
      <c r="X2260" s="5" t="str">
        <f>IF(INDEX(Manual_Review!$I$6:$I$238,U2260)="","",INDEX(Manual_Review!$I$6:$I$238,U2260))</f>
        <v/>
      </c>
      <c r="Y2260" s="5" t="s">
        <v>2859</v>
      </c>
    </row>
    <row r="2261" spans="1:25" ht="25.5">
      <c r="A2261" s="5" t="s">
        <v>7520</v>
      </c>
      <c r="B2261" s="5" t="s">
        <v>1628</v>
      </c>
      <c r="C2261" s="5" t="s">
        <v>1629</v>
      </c>
      <c r="D2261" s="5" t="s">
        <v>118</v>
      </c>
      <c r="E2261" s="5" t="s">
        <v>2796</v>
      </c>
      <c r="F2261" s="5" t="s">
        <v>2764</v>
      </c>
      <c r="G2261" s="5">
        <v>1</v>
      </c>
      <c r="H2261" s="5" t="s">
        <v>2864</v>
      </c>
      <c r="I2261" s="5" t="str">
        <f>IF(INDEX(Manual_Review!$Z$6:$Z$238,U2261)="","",INDEX(Manual_Review!$Z$6:$Z$238,U2261))</f>
        <v/>
      </c>
      <c r="J2261" s="5" t="str">
        <f t="shared" si="70"/>
        <v>AI provisional</v>
      </c>
      <c r="K2261" s="5" t="str">
        <f t="shared" si="71"/>
        <v>U</v>
      </c>
      <c r="L2261" s="5" t="s">
        <v>1634</v>
      </c>
      <c r="M2261" s="5" t="s">
        <v>7511</v>
      </c>
      <c r="N2261" s="5" t="s">
        <v>7498</v>
      </c>
      <c r="O2261" s="5" t="s">
        <v>2899</v>
      </c>
      <c r="P2261" s="5" t="s">
        <v>2858</v>
      </c>
      <c r="Q2261" s="11">
        <v>46306.5</v>
      </c>
      <c r="R2261" s="6"/>
      <c r="S2261" s="6"/>
      <c r="T2261" s="6"/>
      <c r="U2261" s="5">
        <f>MATCH(B2261,Manual_Review!$A$6:$A$238,0)</f>
        <v>141</v>
      </c>
      <c r="V2261" s="5" t="str">
        <f>IF(INDEX(Manual_Review!$G$6:$G$238,U2261)="","",INDEX(Manual_Review!$G$6:$G$238,U2261))</f>
        <v/>
      </c>
      <c r="W2261" s="11" t="str">
        <f>IF(INDEX(Manual_Review!$H$6:$H$238,U2261)="","",INDEX(Manual_Review!$H$6:$H$238,U2261))</f>
        <v/>
      </c>
      <c r="X2261" s="5" t="str">
        <f>IF(INDEX(Manual_Review!$I$6:$I$238,U2261)="","",INDEX(Manual_Review!$I$6:$I$238,U2261))</f>
        <v/>
      </c>
      <c r="Y2261" s="5" t="s">
        <v>2859</v>
      </c>
    </row>
    <row r="2262" spans="1:25" ht="25.5">
      <c r="A2262" s="5" t="s">
        <v>7521</v>
      </c>
      <c r="B2262" s="5" t="s">
        <v>1636</v>
      </c>
      <c r="C2262" s="5" t="s">
        <v>1637</v>
      </c>
      <c r="D2262" s="5" t="s">
        <v>118</v>
      </c>
      <c r="E2262" s="5" t="s">
        <v>2781</v>
      </c>
      <c r="F2262" s="5" t="s">
        <v>2754</v>
      </c>
      <c r="G2262" s="5">
        <v>1</v>
      </c>
      <c r="H2262" s="5" t="s">
        <v>2854</v>
      </c>
      <c r="I2262" s="5" t="str">
        <f>IF(INDEX(Manual_Review!$K$6:$K$238,U2262)="","",INDEX(Manual_Review!$K$6:$K$238,U2262))</f>
        <v/>
      </c>
      <c r="J2262" s="5" t="str">
        <f t="shared" si="70"/>
        <v>AI provisional</v>
      </c>
      <c r="K2262" s="5" t="str">
        <f t="shared" si="71"/>
        <v>Y</v>
      </c>
      <c r="L2262" s="5" t="s">
        <v>1642</v>
      </c>
      <c r="M2262" s="5" t="s">
        <v>7522</v>
      </c>
      <c r="N2262" s="5" t="s">
        <v>7523</v>
      </c>
      <c r="O2262" s="5" t="s">
        <v>2857</v>
      </c>
      <c r="P2262" s="5" t="s">
        <v>2858</v>
      </c>
      <c r="Q2262" s="11">
        <v>46306.5</v>
      </c>
      <c r="R2262" s="6"/>
      <c r="S2262" s="6"/>
      <c r="T2262" s="6"/>
      <c r="U2262" s="5">
        <f>MATCH(B2262,Manual_Review!$A$6:$A$238,0)</f>
        <v>142</v>
      </c>
      <c r="V2262" s="5" t="str">
        <f>IF(INDEX(Manual_Review!$G$6:$G$238,U2262)="","",INDEX(Manual_Review!$G$6:$G$238,U2262))</f>
        <v/>
      </c>
      <c r="W2262" s="11" t="str">
        <f>IF(INDEX(Manual_Review!$H$6:$H$238,U2262)="","",INDEX(Manual_Review!$H$6:$H$238,U2262))</f>
        <v/>
      </c>
      <c r="X2262" s="5" t="str">
        <f>IF(INDEX(Manual_Review!$I$6:$I$238,U2262)="","",INDEX(Manual_Review!$I$6:$I$238,U2262))</f>
        <v/>
      </c>
      <c r="Y2262" s="5" t="s">
        <v>2859</v>
      </c>
    </row>
    <row r="2263" spans="1:25" ht="25.5">
      <c r="A2263" s="5" t="s">
        <v>7524</v>
      </c>
      <c r="B2263" s="5" t="s">
        <v>1636</v>
      </c>
      <c r="C2263" s="5" t="s">
        <v>1637</v>
      </c>
      <c r="D2263" s="5" t="s">
        <v>118</v>
      </c>
      <c r="E2263" s="5" t="s">
        <v>2782</v>
      </c>
      <c r="F2263" s="5" t="s">
        <v>2754</v>
      </c>
      <c r="G2263" s="5">
        <v>1</v>
      </c>
      <c r="H2263" s="5" t="s">
        <v>2854</v>
      </c>
      <c r="I2263" s="5" t="str">
        <f>IF(INDEX(Manual_Review!$L$6:$L$238,U2263)="","",INDEX(Manual_Review!$L$6:$L$238,U2263))</f>
        <v/>
      </c>
      <c r="J2263" s="5" t="str">
        <f t="shared" si="70"/>
        <v>AI provisional</v>
      </c>
      <c r="K2263" s="5" t="str">
        <f t="shared" si="71"/>
        <v>Y</v>
      </c>
      <c r="L2263" s="5" t="s">
        <v>1642</v>
      </c>
      <c r="M2263" s="5" t="s">
        <v>7525</v>
      </c>
      <c r="N2263" s="5" t="s">
        <v>7523</v>
      </c>
      <c r="O2263" s="5" t="s">
        <v>2862</v>
      </c>
      <c r="P2263" s="5" t="s">
        <v>2858</v>
      </c>
      <c r="Q2263" s="11">
        <v>46306.5</v>
      </c>
      <c r="R2263" s="6"/>
      <c r="S2263" s="6"/>
      <c r="T2263" s="6"/>
      <c r="U2263" s="5">
        <f>MATCH(B2263,Manual_Review!$A$6:$A$238,0)</f>
        <v>142</v>
      </c>
      <c r="V2263" s="5" t="str">
        <f>IF(INDEX(Manual_Review!$G$6:$G$238,U2263)="","",INDEX(Manual_Review!$G$6:$G$238,U2263))</f>
        <v/>
      </c>
      <c r="W2263" s="11" t="str">
        <f>IF(INDEX(Manual_Review!$H$6:$H$238,U2263)="","",INDEX(Manual_Review!$H$6:$H$238,U2263))</f>
        <v/>
      </c>
      <c r="X2263" s="5" t="str">
        <f>IF(INDEX(Manual_Review!$I$6:$I$238,U2263)="","",INDEX(Manual_Review!$I$6:$I$238,U2263))</f>
        <v/>
      </c>
      <c r="Y2263" s="5" t="s">
        <v>2859</v>
      </c>
    </row>
    <row r="2264" spans="1:25" ht="25.5">
      <c r="A2264" s="5" t="s">
        <v>7526</v>
      </c>
      <c r="B2264" s="5" t="s">
        <v>1636</v>
      </c>
      <c r="C2264" s="5" t="s">
        <v>1637</v>
      </c>
      <c r="D2264" s="5" t="s">
        <v>118</v>
      </c>
      <c r="E2264" s="5" t="s">
        <v>2783</v>
      </c>
      <c r="F2264" s="5" t="s">
        <v>2754</v>
      </c>
      <c r="G2264" s="5">
        <v>1</v>
      </c>
      <c r="H2264" s="5" t="s">
        <v>2854</v>
      </c>
      <c r="I2264" s="5" t="str">
        <f>IF(INDEX(Manual_Review!$M$6:$M$238,U2264)="","",INDEX(Manual_Review!$M$6:$M$238,U2264))</f>
        <v/>
      </c>
      <c r="J2264" s="5" t="str">
        <f t="shared" si="70"/>
        <v>AI provisional</v>
      </c>
      <c r="K2264" s="5" t="str">
        <f t="shared" si="71"/>
        <v>Y</v>
      </c>
      <c r="L2264" s="5" t="s">
        <v>1642</v>
      </c>
      <c r="M2264" s="5" t="s">
        <v>7527</v>
      </c>
      <c r="N2264" s="5" t="s">
        <v>7523</v>
      </c>
      <c r="O2264" s="5" t="s">
        <v>3133</v>
      </c>
      <c r="P2264" s="5" t="s">
        <v>2858</v>
      </c>
      <c r="Q2264" s="11">
        <v>46306.5</v>
      </c>
      <c r="R2264" s="6"/>
      <c r="S2264" s="6"/>
      <c r="T2264" s="6"/>
      <c r="U2264" s="5">
        <f>MATCH(B2264,Manual_Review!$A$6:$A$238,0)</f>
        <v>142</v>
      </c>
      <c r="V2264" s="5" t="str">
        <f>IF(INDEX(Manual_Review!$G$6:$G$238,U2264)="","",INDEX(Manual_Review!$G$6:$G$238,U2264))</f>
        <v/>
      </c>
      <c r="W2264" s="11" t="str">
        <f>IF(INDEX(Manual_Review!$H$6:$H$238,U2264)="","",INDEX(Manual_Review!$H$6:$H$238,U2264))</f>
        <v/>
      </c>
      <c r="X2264" s="5" t="str">
        <f>IF(INDEX(Manual_Review!$I$6:$I$238,U2264)="","",INDEX(Manual_Review!$I$6:$I$238,U2264))</f>
        <v/>
      </c>
      <c r="Y2264" s="5" t="s">
        <v>2859</v>
      </c>
    </row>
    <row r="2265" spans="1:25" ht="25.5">
      <c r="A2265" s="5" t="s">
        <v>7528</v>
      </c>
      <c r="B2265" s="5" t="s">
        <v>1636</v>
      </c>
      <c r="C2265" s="5" t="s">
        <v>1637</v>
      </c>
      <c r="D2265" s="5" t="s">
        <v>118</v>
      </c>
      <c r="E2265" s="5" t="s">
        <v>2784</v>
      </c>
      <c r="F2265" s="5" t="s">
        <v>2756</v>
      </c>
      <c r="G2265" s="5">
        <v>1</v>
      </c>
      <c r="H2265" s="5" t="s">
        <v>2854</v>
      </c>
      <c r="I2265" s="5" t="str">
        <f>IF(INDEX(Manual_Review!$N$6:$N$238,U2265)="","",INDEX(Manual_Review!$N$6:$N$238,U2265))</f>
        <v/>
      </c>
      <c r="J2265" s="5" t="str">
        <f t="shared" si="70"/>
        <v>AI provisional</v>
      </c>
      <c r="K2265" s="5" t="str">
        <f t="shared" si="71"/>
        <v>Y</v>
      </c>
      <c r="L2265" s="5" t="s">
        <v>1642</v>
      </c>
      <c r="M2265" s="5" t="s">
        <v>7529</v>
      </c>
      <c r="N2265" s="5" t="s">
        <v>7523</v>
      </c>
      <c r="O2265" s="5" t="s">
        <v>2963</v>
      </c>
      <c r="P2265" s="5" t="s">
        <v>2858</v>
      </c>
      <c r="Q2265" s="11">
        <v>46306.5</v>
      </c>
      <c r="R2265" s="6"/>
      <c r="S2265" s="6"/>
      <c r="T2265" s="6"/>
      <c r="U2265" s="5">
        <f>MATCH(B2265,Manual_Review!$A$6:$A$238,0)</f>
        <v>142</v>
      </c>
      <c r="V2265" s="5" t="str">
        <f>IF(INDEX(Manual_Review!$G$6:$G$238,U2265)="","",INDEX(Manual_Review!$G$6:$G$238,U2265))</f>
        <v/>
      </c>
      <c r="W2265" s="11" t="str">
        <f>IF(INDEX(Manual_Review!$H$6:$H$238,U2265)="","",INDEX(Manual_Review!$H$6:$H$238,U2265))</f>
        <v/>
      </c>
      <c r="X2265" s="5" t="str">
        <f>IF(INDEX(Manual_Review!$I$6:$I$238,U2265)="","",INDEX(Manual_Review!$I$6:$I$238,U2265))</f>
        <v/>
      </c>
      <c r="Y2265" s="5" t="s">
        <v>2859</v>
      </c>
    </row>
    <row r="2266" spans="1:25" ht="25.5">
      <c r="A2266" s="5" t="s">
        <v>7530</v>
      </c>
      <c r="B2266" s="5" t="s">
        <v>1636</v>
      </c>
      <c r="C2266" s="5" t="s">
        <v>1637</v>
      </c>
      <c r="D2266" s="5" t="s">
        <v>118</v>
      </c>
      <c r="E2266" s="5" t="s">
        <v>2785</v>
      </c>
      <c r="F2266" s="5" t="s">
        <v>2756</v>
      </c>
      <c r="G2266" s="5">
        <v>1</v>
      </c>
      <c r="H2266" s="5" t="s">
        <v>2854</v>
      </c>
      <c r="I2266" s="5" t="str">
        <f>IF(INDEX(Manual_Review!$O$6:$O$238,U2266)="","",INDEX(Manual_Review!$O$6:$O$238,U2266))</f>
        <v/>
      </c>
      <c r="J2266" s="5" t="str">
        <f t="shared" si="70"/>
        <v>AI provisional</v>
      </c>
      <c r="K2266" s="5" t="str">
        <f t="shared" si="71"/>
        <v>Y</v>
      </c>
      <c r="L2266" s="5" t="s">
        <v>1642</v>
      </c>
      <c r="M2266" s="5" t="s">
        <v>7531</v>
      </c>
      <c r="N2266" s="5" t="s">
        <v>7523</v>
      </c>
      <c r="O2266" s="5" t="s">
        <v>3138</v>
      </c>
      <c r="P2266" s="5" t="s">
        <v>2858</v>
      </c>
      <c r="Q2266" s="11">
        <v>46306.5</v>
      </c>
      <c r="R2266" s="6"/>
      <c r="S2266" s="6"/>
      <c r="T2266" s="6"/>
      <c r="U2266" s="5">
        <f>MATCH(B2266,Manual_Review!$A$6:$A$238,0)</f>
        <v>142</v>
      </c>
      <c r="V2266" s="5" t="str">
        <f>IF(INDEX(Manual_Review!$G$6:$G$238,U2266)="","",INDEX(Manual_Review!$G$6:$G$238,U2266))</f>
        <v/>
      </c>
      <c r="W2266" s="11" t="str">
        <f>IF(INDEX(Manual_Review!$H$6:$H$238,U2266)="","",INDEX(Manual_Review!$H$6:$H$238,U2266))</f>
        <v/>
      </c>
      <c r="X2266" s="5" t="str">
        <f>IF(INDEX(Manual_Review!$I$6:$I$238,U2266)="","",INDEX(Manual_Review!$I$6:$I$238,U2266))</f>
        <v/>
      </c>
      <c r="Y2266" s="5" t="s">
        <v>2859</v>
      </c>
    </row>
    <row r="2267" spans="1:25" ht="25.5">
      <c r="A2267" s="5" t="s">
        <v>7532</v>
      </c>
      <c r="B2267" s="5" t="s">
        <v>1636</v>
      </c>
      <c r="C2267" s="5" t="s">
        <v>1637</v>
      </c>
      <c r="D2267" s="5" t="s">
        <v>118</v>
      </c>
      <c r="E2267" s="5" t="s">
        <v>2786</v>
      </c>
      <c r="F2267" s="5" t="s">
        <v>2756</v>
      </c>
      <c r="G2267" s="5">
        <v>1</v>
      </c>
      <c r="H2267" s="5" t="s">
        <v>2864</v>
      </c>
      <c r="I2267" s="5" t="str">
        <f>IF(INDEX(Manual_Review!$P$6:$P$238,U2267)="","",INDEX(Manual_Review!$P$6:$P$238,U2267))</f>
        <v/>
      </c>
      <c r="J2267" s="5" t="str">
        <f t="shared" si="70"/>
        <v>AI provisional</v>
      </c>
      <c r="K2267" s="5" t="str">
        <f t="shared" si="71"/>
        <v>U</v>
      </c>
      <c r="L2267" s="5" t="s">
        <v>1642</v>
      </c>
      <c r="M2267" s="5" t="s">
        <v>7533</v>
      </c>
      <c r="N2267" s="5" t="s">
        <v>7523</v>
      </c>
      <c r="O2267" s="5" t="s">
        <v>2874</v>
      </c>
      <c r="P2267" s="5" t="s">
        <v>2858</v>
      </c>
      <c r="Q2267" s="11">
        <v>46306.5</v>
      </c>
      <c r="R2267" s="6"/>
      <c r="S2267" s="6"/>
      <c r="T2267" s="6"/>
      <c r="U2267" s="5">
        <f>MATCH(B2267,Manual_Review!$A$6:$A$238,0)</f>
        <v>142</v>
      </c>
      <c r="V2267" s="5" t="str">
        <f>IF(INDEX(Manual_Review!$G$6:$G$238,U2267)="","",INDEX(Manual_Review!$G$6:$G$238,U2267))</f>
        <v/>
      </c>
      <c r="W2267" s="11" t="str">
        <f>IF(INDEX(Manual_Review!$H$6:$H$238,U2267)="","",INDEX(Manual_Review!$H$6:$H$238,U2267))</f>
        <v/>
      </c>
      <c r="X2267" s="5" t="str">
        <f>IF(INDEX(Manual_Review!$I$6:$I$238,U2267)="","",INDEX(Manual_Review!$I$6:$I$238,U2267))</f>
        <v/>
      </c>
      <c r="Y2267" s="5" t="s">
        <v>2859</v>
      </c>
    </row>
    <row r="2268" spans="1:25" ht="25.5">
      <c r="A2268" s="5" t="s">
        <v>7534</v>
      </c>
      <c r="B2268" s="5" t="s">
        <v>1636</v>
      </c>
      <c r="C2268" s="5" t="s">
        <v>1637</v>
      </c>
      <c r="D2268" s="5" t="s">
        <v>118</v>
      </c>
      <c r="E2268" s="5" t="s">
        <v>2787</v>
      </c>
      <c r="F2268" s="5" t="s">
        <v>2758</v>
      </c>
      <c r="G2268" s="5">
        <v>1</v>
      </c>
      <c r="H2268" s="5" t="s">
        <v>2854</v>
      </c>
      <c r="I2268" s="5" t="str">
        <f>IF(INDEX(Manual_Review!$Q$6:$Q$238,U2268)="","",INDEX(Manual_Review!$Q$6:$Q$238,U2268))</f>
        <v/>
      </c>
      <c r="J2268" s="5" t="str">
        <f t="shared" si="70"/>
        <v>AI provisional</v>
      </c>
      <c r="K2268" s="5" t="str">
        <f t="shared" si="71"/>
        <v>Y</v>
      </c>
      <c r="L2268" s="5" t="s">
        <v>1642</v>
      </c>
      <c r="M2268" s="5" t="s">
        <v>7535</v>
      </c>
      <c r="N2268" s="5" t="s">
        <v>7523</v>
      </c>
      <c r="O2268" s="5" t="s">
        <v>2969</v>
      </c>
      <c r="P2268" s="5" t="s">
        <v>2858</v>
      </c>
      <c r="Q2268" s="11">
        <v>46306.5</v>
      </c>
      <c r="R2268" s="6"/>
      <c r="S2268" s="6"/>
      <c r="T2268" s="6"/>
      <c r="U2268" s="5">
        <f>MATCH(B2268,Manual_Review!$A$6:$A$238,0)</f>
        <v>142</v>
      </c>
      <c r="V2268" s="5" t="str">
        <f>IF(INDEX(Manual_Review!$G$6:$G$238,U2268)="","",INDEX(Manual_Review!$G$6:$G$238,U2268))</f>
        <v/>
      </c>
      <c r="W2268" s="11" t="str">
        <f>IF(INDEX(Manual_Review!$H$6:$H$238,U2268)="","",INDEX(Manual_Review!$H$6:$H$238,U2268))</f>
        <v/>
      </c>
      <c r="X2268" s="5" t="str">
        <f>IF(INDEX(Manual_Review!$I$6:$I$238,U2268)="","",INDEX(Manual_Review!$I$6:$I$238,U2268))</f>
        <v/>
      </c>
      <c r="Y2268" s="5" t="s">
        <v>2859</v>
      </c>
    </row>
    <row r="2269" spans="1:25" ht="25.5">
      <c r="A2269" s="5" t="s">
        <v>7536</v>
      </c>
      <c r="B2269" s="5" t="s">
        <v>1636</v>
      </c>
      <c r="C2269" s="5" t="s">
        <v>1637</v>
      </c>
      <c r="D2269" s="5" t="s">
        <v>118</v>
      </c>
      <c r="E2269" s="5" t="s">
        <v>2788</v>
      </c>
      <c r="F2269" s="5" t="s">
        <v>2758</v>
      </c>
      <c r="G2269" s="5">
        <v>1</v>
      </c>
      <c r="H2269" s="5" t="s">
        <v>2854</v>
      </c>
      <c r="I2269" s="5" t="str">
        <f>IF(INDEX(Manual_Review!$R$6:$R$238,U2269)="","",INDEX(Manual_Review!$R$6:$R$238,U2269))</f>
        <v/>
      </c>
      <c r="J2269" s="5" t="str">
        <f t="shared" si="70"/>
        <v>AI provisional</v>
      </c>
      <c r="K2269" s="5" t="str">
        <f t="shared" si="71"/>
        <v>Y</v>
      </c>
      <c r="L2269" s="5" t="s">
        <v>1642</v>
      </c>
      <c r="M2269" s="5" t="s">
        <v>7537</v>
      </c>
      <c r="N2269" s="5" t="s">
        <v>7523</v>
      </c>
      <c r="O2269" s="5" t="s">
        <v>3067</v>
      </c>
      <c r="P2269" s="5" t="s">
        <v>2858</v>
      </c>
      <c r="Q2269" s="11">
        <v>46306.5</v>
      </c>
      <c r="R2269" s="6"/>
      <c r="S2269" s="6"/>
      <c r="T2269" s="6"/>
      <c r="U2269" s="5">
        <f>MATCH(B2269,Manual_Review!$A$6:$A$238,0)</f>
        <v>142</v>
      </c>
      <c r="V2269" s="5" t="str">
        <f>IF(INDEX(Manual_Review!$G$6:$G$238,U2269)="","",INDEX(Manual_Review!$G$6:$G$238,U2269))</f>
        <v/>
      </c>
      <c r="W2269" s="11" t="str">
        <f>IF(INDEX(Manual_Review!$H$6:$H$238,U2269)="","",INDEX(Manual_Review!$H$6:$H$238,U2269))</f>
        <v/>
      </c>
      <c r="X2269" s="5" t="str">
        <f>IF(INDEX(Manual_Review!$I$6:$I$238,U2269)="","",INDEX(Manual_Review!$I$6:$I$238,U2269))</f>
        <v/>
      </c>
      <c r="Y2269" s="5" t="s">
        <v>2859</v>
      </c>
    </row>
    <row r="2270" spans="1:25" ht="25.5">
      <c r="A2270" s="5" t="s">
        <v>7538</v>
      </c>
      <c r="B2270" s="5" t="s">
        <v>1636</v>
      </c>
      <c r="C2270" s="5" t="s">
        <v>1637</v>
      </c>
      <c r="D2270" s="5" t="s">
        <v>118</v>
      </c>
      <c r="E2270" s="5" t="s">
        <v>2789</v>
      </c>
      <c r="F2270" s="5" t="s">
        <v>2758</v>
      </c>
      <c r="G2270" s="5">
        <v>1</v>
      </c>
      <c r="H2270" s="5" t="s">
        <v>2854</v>
      </c>
      <c r="I2270" s="5" t="str">
        <f>IF(INDEX(Manual_Review!$S$6:$S$238,U2270)="","",INDEX(Manual_Review!$S$6:$S$238,U2270))</f>
        <v/>
      </c>
      <c r="J2270" s="5" t="str">
        <f t="shared" si="70"/>
        <v>AI provisional</v>
      </c>
      <c r="K2270" s="5" t="str">
        <f t="shared" si="71"/>
        <v>Y</v>
      </c>
      <c r="L2270" s="5" t="s">
        <v>1642</v>
      </c>
      <c r="M2270" s="5" t="s">
        <v>7539</v>
      </c>
      <c r="N2270" s="5" t="s">
        <v>7523</v>
      </c>
      <c r="O2270" s="5" t="s">
        <v>3178</v>
      </c>
      <c r="P2270" s="5" t="s">
        <v>2858</v>
      </c>
      <c r="Q2270" s="11">
        <v>46306.5</v>
      </c>
      <c r="R2270" s="6"/>
      <c r="S2270" s="6"/>
      <c r="T2270" s="6"/>
      <c r="U2270" s="5">
        <f>MATCH(B2270,Manual_Review!$A$6:$A$238,0)</f>
        <v>142</v>
      </c>
      <c r="V2270" s="5" t="str">
        <f>IF(INDEX(Manual_Review!$G$6:$G$238,U2270)="","",INDEX(Manual_Review!$G$6:$G$238,U2270))</f>
        <v/>
      </c>
      <c r="W2270" s="11" t="str">
        <f>IF(INDEX(Manual_Review!$H$6:$H$238,U2270)="","",INDEX(Manual_Review!$H$6:$H$238,U2270))</f>
        <v/>
      </c>
      <c r="X2270" s="5" t="str">
        <f>IF(INDEX(Manual_Review!$I$6:$I$238,U2270)="","",INDEX(Manual_Review!$I$6:$I$238,U2270))</f>
        <v/>
      </c>
      <c r="Y2270" s="5" t="s">
        <v>2859</v>
      </c>
    </row>
    <row r="2271" spans="1:25" ht="25.5">
      <c r="A2271" s="5" t="s">
        <v>7540</v>
      </c>
      <c r="B2271" s="5" t="s">
        <v>1636</v>
      </c>
      <c r="C2271" s="5" t="s">
        <v>1637</v>
      </c>
      <c r="D2271" s="5" t="s">
        <v>118</v>
      </c>
      <c r="E2271" s="5" t="s">
        <v>2790</v>
      </c>
      <c r="F2271" s="5" t="s">
        <v>2760</v>
      </c>
      <c r="G2271" s="5">
        <v>1</v>
      </c>
      <c r="H2271" s="5" t="s">
        <v>2854</v>
      </c>
      <c r="I2271" s="5" t="str">
        <f>IF(INDEX(Manual_Review!$T$6:$T$238,U2271)="","",INDEX(Manual_Review!$T$6:$T$238,U2271))</f>
        <v/>
      </c>
      <c r="J2271" s="5" t="str">
        <f t="shared" si="70"/>
        <v>AI provisional</v>
      </c>
      <c r="K2271" s="5" t="str">
        <f t="shared" si="71"/>
        <v>Y</v>
      </c>
      <c r="L2271" s="5" t="s">
        <v>1642</v>
      </c>
      <c r="M2271" s="5" t="s">
        <v>7541</v>
      </c>
      <c r="N2271" s="5" t="s">
        <v>7523</v>
      </c>
      <c r="O2271" s="5" t="s">
        <v>2976</v>
      </c>
      <c r="P2271" s="5" t="s">
        <v>2858</v>
      </c>
      <c r="Q2271" s="11">
        <v>46306.5</v>
      </c>
      <c r="R2271" s="6"/>
      <c r="S2271" s="6"/>
      <c r="T2271" s="6"/>
      <c r="U2271" s="5">
        <f>MATCH(B2271,Manual_Review!$A$6:$A$238,0)</f>
        <v>142</v>
      </c>
      <c r="V2271" s="5" t="str">
        <f>IF(INDEX(Manual_Review!$G$6:$G$238,U2271)="","",INDEX(Manual_Review!$G$6:$G$238,U2271))</f>
        <v/>
      </c>
      <c r="W2271" s="11" t="str">
        <f>IF(INDEX(Manual_Review!$H$6:$H$238,U2271)="","",INDEX(Manual_Review!$H$6:$H$238,U2271))</f>
        <v/>
      </c>
      <c r="X2271" s="5" t="str">
        <f>IF(INDEX(Manual_Review!$I$6:$I$238,U2271)="","",INDEX(Manual_Review!$I$6:$I$238,U2271))</f>
        <v/>
      </c>
      <c r="Y2271" s="5" t="s">
        <v>2859</v>
      </c>
    </row>
    <row r="2272" spans="1:25" ht="25.5">
      <c r="A2272" s="5" t="s">
        <v>7542</v>
      </c>
      <c r="B2272" s="5" t="s">
        <v>1636</v>
      </c>
      <c r="C2272" s="5" t="s">
        <v>1637</v>
      </c>
      <c r="D2272" s="5" t="s">
        <v>118</v>
      </c>
      <c r="E2272" s="5" t="s">
        <v>2791</v>
      </c>
      <c r="F2272" s="5" t="s">
        <v>2760</v>
      </c>
      <c r="G2272" s="5">
        <v>1</v>
      </c>
      <c r="H2272" s="5" t="s">
        <v>2864</v>
      </c>
      <c r="I2272" s="5" t="str">
        <f>IF(INDEX(Manual_Review!$U$6:$U$238,U2272)="","",INDEX(Manual_Review!$U$6:$U$238,U2272))</f>
        <v/>
      </c>
      <c r="J2272" s="5" t="str">
        <f t="shared" si="70"/>
        <v>AI provisional</v>
      </c>
      <c r="K2272" s="5" t="str">
        <f t="shared" si="71"/>
        <v>U</v>
      </c>
      <c r="L2272" s="5" t="s">
        <v>1642</v>
      </c>
      <c r="M2272" s="5" t="s">
        <v>7543</v>
      </c>
      <c r="N2272" s="5" t="s">
        <v>7523</v>
      </c>
      <c r="O2272" s="5" t="s">
        <v>2888</v>
      </c>
      <c r="P2272" s="5" t="s">
        <v>2858</v>
      </c>
      <c r="Q2272" s="11">
        <v>46306.5</v>
      </c>
      <c r="R2272" s="6"/>
      <c r="S2272" s="6"/>
      <c r="T2272" s="6"/>
      <c r="U2272" s="5">
        <f>MATCH(B2272,Manual_Review!$A$6:$A$238,0)</f>
        <v>142</v>
      </c>
      <c r="V2272" s="5" t="str">
        <f>IF(INDEX(Manual_Review!$G$6:$G$238,U2272)="","",INDEX(Manual_Review!$G$6:$G$238,U2272))</f>
        <v/>
      </c>
      <c r="W2272" s="11" t="str">
        <f>IF(INDEX(Manual_Review!$H$6:$H$238,U2272)="","",INDEX(Manual_Review!$H$6:$H$238,U2272))</f>
        <v/>
      </c>
      <c r="X2272" s="5" t="str">
        <f>IF(INDEX(Manual_Review!$I$6:$I$238,U2272)="","",INDEX(Manual_Review!$I$6:$I$238,U2272))</f>
        <v/>
      </c>
      <c r="Y2272" s="5" t="s">
        <v>2859</v>
      </c>
    </row>
    <row r="2273" spans="1:25" ht="25.5">
      <c r="A2273" s="5" t="s">
        <v>7544</v>
      </c>
      <c r="B2273" s="5" t="s">
        <v>1636</v>
      </c>
      <c r="C2273" s="5" t="s">
        <v>1637</v>
      </c>
      <c r="D2273" s="5" t="s">
        <v>118</v>
      </c>
      <c r="E2273" s="5" t="s">
        <v>2792</v>
      </c>
      <c r="F2273" s="5" t="s">
        <v>2762</v>
      </c>
      <c r="G2273" s="5">
        <v>1</v>
      </c>
      <c r="H2273" s="5" t="s">
        <v>2864</v>
      </c>
      <c r="I2273" s="5" t="str">
        <f>IF(INDEX(Manual_Review!$V$6:$V$238,U2273)="","",INDEX(Manual_Review!$V$6:$V$238,U2273))</f>
        <v/>
      </c>
      <c r="J2273" s="5" t="str">
        <f t="shared" si="70"/>
        <v>AI provisional</v>
      </c>
      <c r="K2273" s="5" t="str">
        <f t="shared" si="71"/>
        <v>U</v>
      </c>
      <c r="L2273" s="5" t="s">
        <v>1642</v>
      </c>
      <c r="M2273" s="5" t="s">
        <v>7533</v>
      </c>
      <c r="N2273" s="5" t="s">
        <v>7523</v>
      </c>
      <c r="O2273" s="5" t="s">
        <v>2891</v>
      </c>
      <c r="P2273" s="5" t="s">
        <v>2858</v>
      </c>
      <c r="Q2273" s="11">
        <v>46306.5</v>
      </c>
      <c r="R2273" s="6"/>
      <c r="S2273" s="6"/>
      <c r="T2273" s="6"/>
      <c r="U2273" s="5">
        <f>MATCH(B2273,Manual_Review!$A$6:$A$238,0)</f>
        <v>142</v>
      </c>
      <c r="V2273" s="5" t="str">
        <f>IF(INDEX(Manual_Review!$G$6:$G$238,U2273)="","",INDEX(Manual_Review!$G$6:$G$238,U2273))</f>
        <v/>
      </c>
      <c r="W2273" s="11" t="str">
        <f>IF(INDEX(Manual_Review!$H$6:$H$238,U2273)="","",INDEX(Manual_Review!$H$6:$H$238,U2273))</f>
        <v/>
      </c>
      <c r="X2273" s="5" t="str">
        <f>IF(INDEX(Manual_Review!$I$6:$I$238,U2273)="","",INDEX(Manual_Review!$I$6:$I$238,U2273))</f>
        <v/>
      </c>
      <c r="Y2273" s="5" t="s">
        <v>2859</v>
      </c>
    </row>
    <row r="2274" spans="1:25" ht="25.5">
      <c r="A2274" s="5" t="s">
        <v>7545</v>
      </c>
      <c r="B2274" s="5" t="s">
        <v>1636</v>
      </c>
      <c r="C2274" s="5" t="s">
        <v>1637</v>
      </c>
      <c r="D2274" s="5" t="s">
        <v>118</v>
      </c>
      <c r="E2274" s="5" t="s">
        <v>2793</v>
      </c>
      <c r="F2274" s="5" t="s">
        <v>2762</v>
      </c>
      <c r="G2274" s="5">
        <v>1</v>
      </c>
      <c r="H2274" s="5" t="s">
        <v>2854</v>
      </c>
      <c r="I2274" s="5" t="str">
        <f>IF(INDEX(Manual_Review!$W$6:$W$238,U2274)="","",INDEX(Manual_Review!$W$6:$W$238,U2274))</f>
        <v/>
      </c>
      <c r="J2274" s="5" t="str">
        <f t="shared" si="70"/>
        <v>AI provisional</v>
      </c>
      <c r="K2274" s="5" t="str">
        <f t="shared" si="71"/>
        <v>Y</v>
      </c>
      <c r="L2274" s="5" t="s">
        <v>1642</v>
      </c>
      <c r="M2274" s="5" t="s">
        <v>7533</v>
      </c>
      <c r="N2274" s="5" t="s">
        <v>7523</v>
      </c>
      <c r="O2274" s="5" t="s">
        <v>3077</v>
      </c>
      <c r="P2274" s="5" t="s">
        <v>2858</v>
      </c>
      <c r="Q2274" s="11">
        <v>46306.5</v>
      </c>
      <c r="R2274" s="6"/>
      <c r="S2274" s="6"/>
      <c r="T2274" s="6"/>
      <c r="U2274" s="5">
        <f>MATCH(B2274,Manual_Review!$A$6:$A$238,0)</f>
        <v>142</v>
      </c>
      <c r="V2274" s="5" t="str">
        <f>IF(INDEX(Manual_Review!$G$6:$G$238,U2274)="","",INDEX(Manual_Review!$G$6:$G$238,U2274))</f>
        <v/>
      </c>
      <c r="W2274" s="11" t="str">
        <f>IF(INDEX(Manual_Review!$H$6:$H$238,U2274)="","",INDEX(Manual_Review!$H$6:$H$238,U2274))</f>
        <v/>
      </c>
      <c r="X2274" s="5" t="str">
        <f>IF(INDEX(Manual_Review!$I$6:$I$238,U2274)="","",INDEX(Manual_Review!$I$6:$I$238,U2274))</f>
        <v/>
      </c>
      <c r="Y2274" s="5" t="s">
        <v>2859</v>
      </c>
    </row>
    <row r="2275" spans="1:25" ht="25.5">
      <c r="A2275" s="5" t="s">
        <v>7546</v>
      </c>
      <c r="B2275" s="5" t="s">
        <v>1636</v>
      </c>
      <c r="C2275" s="5" t="s">
        <v>1637</v>
      </c>
      <c r="D2275" s="5" t="s">
        <v>118</v>
      </c>
      <c r="E2275" s="5" t="s">
        <v>2794</v>
      </c>
      <c r="F2275" s="5" t="s">
        <v>2764</v>
      </c>
      <c r="G2275" s="5">
        <v>1</v>
      </c>
      <c r="H2275" s="5" t="s">
        <v>2854</v>
      </c>
      <c r="I2275" s="5" t="str">
        <f>IF(INDEX(Manual_Review!$X$6:$X$238,U2275)="","",INDEX(Manual_Review!$X$6:$X$238,U2275))</f>
        <v/>
      </c>
      <c r="J2275" s="5" t="str">
        <f t="shared" si="70"/>
        <v>AI provisional</v>
      </c>
      <c r="K2275" s="5" t="str">
        <f t="shared" si="71"/>
        <v>Y</v>
      </c>
      <c r="L2275" s="5" t="s">
        <v>1642</v>
      </c>
      <c r="M2275" s="5" t="s">
        <v>7533</v>
      </c>
      <c r="N2275" s="5" t="s">
        <v>7523</v>
      </c>
      <c r="O2275" s="5" t="s">
        <v>2984</v>
      </c>
      <c r="P2275" s="5" t="s">
        <v>2858</v>
      </c>
      <c r="Q2275" s="11">
        <v>46306.5</v>
      </c>
      <c r="R2275" s="6"/>
      <c r="S2275" s="6"/>
      <c r="T2275" s="6"/>
      <c r="U2275" s="5">
        <f>MATCH(B2275,Manual_Review!$A$6:$A$238,0)</f>
        <v>142</v>
      </c>
      <c r="V2275" s="5" t="str">
        <f>IF(INDEX(Manual_Review!$G$6:$G$238,U2275)="","",INDEX(Manual_Review!$G$6:$G$238,U2275))</f>
        <v/>
      </c>
      <c r="W2275" s="11" t="str">
        <f>IF(INDEX(Manual_Review!$H$6:$H$238,U2275)="","",INDEX(Manual_Review!$H$6:$H$238,U2275))</f>
        <v/>
      </c>
      <c r="X2275" s="5" t="str">
        <f>IF(INDEX(Manual_Review!$I$6:$I$238,U2275)="","",INDEX(Manual_Review!$I$6:$I$238,U2275))</f>
        <v/>
      </c>
      <c r="Y2275" s="5" t="s">
        <v>2859</v>
      </c>
    </row>
    <row r="2276" spans="1:25" ht="25.5">
      <c r="A2276" s="5" t="s">
        <v>7547</v>
      </c>
      <c r="B2276" s="5" t="s">
        <v>1636</v>
      </c>
      <c r="C2276" s="5" t="s">
        <v>1637</v>
      </c>
      <c r="D2276" s="5" t="s">
        <v>118</v>
      </c>
      <c r="E2276" s="5" t="s">
        <v>2795</v>
      </c>
      <c r="F2276" s="5" t="s">
        <v>2764</v>
      </c>
      <c r="G2276" s="5">
        <v>1</v>
      </c>
      <c r="H2276" s="5" t="s">
        <v>2864</v>
      </c>
      <c r="I2276" s="5" t="str">
        <f>IF(INDEX(Manual_Review!$Y$6:$Y$238,U2276)="","",INDEX(Manual_Review!$Y$6:$Y$238,U2276))</f>
        <v/>
      </c>
      <c r="J2276" s="5" t="str">
        <f t="shared" si="70"/>
        <v>AI provisional</v>
      </c>
      <c r="K2276" s="5" t="str">
        <f t="shared" si="71"/>
        <v>U</v>
      </c>
      <c r="L2276" s="5" t="s">
        <v>1642</v>
      </c>
      <c r="M2276" s="5" t="s">
        <v>7533</v>
      </c>
      <c r="N2276" s="5" t="s">
        <v>7523</v>
      </c>
      <c r="O2276" s="5" t="s">
        <v>2897</v>
      </c>
      <c r="P2276" s="5" t="s">
        <v>2858</v>
      </c>
      <c r="Q2276" s="11">
        <v>46306.5</v>
      </c>
      <c r="R2276" s="6"/>
      <c r="S2276" s="6"/>
      <c r="T2276" s="6"/>
      <c r="U2276" s="5">
        <f>MATCH(B2276,Manual_Review!$A$6:$A$238,0)</f>
        <v>142</v>
      </c>
      <c r="V2276" s="5" t="str">
        <f>IF(INDEX(Manual_Review!$G$6:$G$238,U2276)="","",INDEX(Manual_Review!$G$6:$G$238,U2276))</f>
        <v/>
      </c>
      <c r="W2276" s="11" t="str">
        <f>IF(INDEX(Manual_Review!$H$6:$H$238,U2276)="","",INDEX(Manual_Review!$H$6:$H$238,U2276))</f>
        <v/>
      </c>
      <c r="X2276" s="5" t="str">
        <f>IF(INDEX(Manual_Review!$I$6:$I$238,U2276)="","",INDEX(Manual_Review!$I$6:$I$238,U2276))</f>
        <v/>
      </c>
      <c r="Y2276" s="5" t="s">
        <v>2859</v>
      </c>
    </row>
    <row r="2277" spans="1:25" ht="25.5">
      <c r="A2277" s="5" t="s">
        <v>7548</v>
      </c>
      <c r="B2277" s="5" t="s">
        <v>1636</v>
      </c>
      <c r="C2277" s="5" t="s">
        <v>1637</v>
      </c>
      <c r="D2277" s="5" t="s">
        <v>118</v>
      </c>
      <c r="E2277" s="5" t="s">
        <v>2796</v>
      </c>
      <c r="F2277" s="5" t="s">
        <v>2764</v>
      </c>
      <c r="G2277" s="5">
        <v>1</v>
      </c>
      <c r="H2277" s="5" t="s">
        <v>2864</v>
      </c>
      <c r="I2277" s="5" t="str">
        <f>IF(INDEX(Manual_Review!$Z$6:$Z$238,U2277)="","",INDEX(Manual_Review!$Z$6:$Z$238,U2277))</f>
        <v/>
      </c>
      <c r="J2277" s="5" t="str">
        <f t="shared" si="70"/>
        <v>AI provisional</v>
      </c>
      <c r="K2277" s="5" t="str">
        <f t="shared" si="71"/>
        <v>U</v>
      </c>
      <c r="L2277" s="5" t="s">
        <v>1642</v>
      </c>
      <c r="M2277" s="5" t="s">
        <v>7549</v>
      </c>
      <c r="N2277" s="5" t="s">
        <v>7523</v>
      </c>
      <c r="O2277" s="5" t="s">
        <v>2899</v>
      </c>
      <c r="P2277" s="5" t="s">
        <v>2858</v>
      </c>
      <c r="Q2277" s="11">
        <v>46306.5</v>
      </c>
      <c r="R2277" s="6"/>
      <c r="S2277" s="6"/>
      <c r="T2277" s="6"/>
      <c r="U2277" s="5">
        <f>MATCH(B2277,Manual_Review!$A$6:$A$238,0)</f>
        <v>142</v>
      </c>
      <c r="V2277" s="5" t="str">
        <f>IF(INDEX(Manual_Review!$G$6:$G$238,U2277)="","",INDEX(Manual_Review!$G$6:$G$238,U2277))</f>
        <v/>
      </c>
      <c r="W2277" s="11" t="str">
        <f>IF(INDEX(Manual_Review!$H$6:$H$238,U2277)="","",INDEX(Manual_Review!$H$6:$H$238,U2277))</f>
        <v/>
      </c>
      <c r="X2277" s="5" t="str">
        <f>IF(INDEX(Manual_Review!$I$6:$I$238,U2277)="","",INDEX(Manual_Review!$I$6:$I$238,U2277))</f>
        <v/>
      </c>
      <c r="Y2277" s="5" t="s">
        <v>2859</v>
      </c>
    </row>
    <row r="2278" spans="1:25" ht="38.25">
      <c r="A2278" s="5" t="s">
        <v>7550</v>
      </c>
      <c r="B2278" s="5" t="s">
        <v>1644</v>
      </c>
      <c r="C2278" s="5" t="s">
        <v>1645</v>
      </c>
      <c r="D2278" s="5" t="s">
        <v>118</v>
      </c>
      <c r="E2278" s="5" t="s">
        <v>2781</v>
      </c>
      <c r="F2278" s="5" t="s">
        <v>2754</v>
      </c>
      <c r="G2278" s="5">
        <v>1</v>
      </c>
      <c r="H2278" s="5" t="s">
        <v>2854</v>
      </c>
      <c r="I2278" s="5" t="str">
        <f>IF(INDEX(Manual_Review!$K$6:$K$238,U2278)="","",INDEX(Manual_Review!$K$6:$K$238,U2278))</f>
        <v/>
      </c>
      <c r="J2278" s="5" t="str">
        <f t="shared" si="70"/>
        <v>AI provisional</v>
      </c>
      <c r="K2278" s="5" t="str">
        <f t="shared" si="71"/>
        <v>Y</v>
      </c>
      <c r="L2278" s="5" t="s">
        <v>1651</v>
      </c>
      <c r="M2278" s="5" t="s">
        <v>7551</v>
      </c>
      <c r="N2278" s="5" t="s">
        <v>7552</v>
      </c>
      <c r="O2278" s="5" t="s">
        <v>2857</v>
      </c>
      <c r="P2278" s="5" t="s">
        <v>2858</v>
      </c>
      <c r="Q2278" s="11">
        <v>46306.5</v>
      </c>
      <c r="R2278" s="6"/>
      <c r="S2278" s="6"/>
      <c r="T2278" s="6"/>
      <c r="U2278" s="5">
        <f>MATCH(B2278,Manual_Review!$A$6:$A$238,0)</f>
        <v>143</v>
      </c>
      <c r="V2278" s="5" t="str">
        <f>IF(INDEX(Manual_Review!$G$6:$G$238,U2278)="","",INDEX(Manual_Review!$G$6:$G$238,U2278))</f>
        <v/>
      </c>
      <c r="W2278" s="11" t="str">
        <f>IF(INDEX(Manual_Review!$H$6:$H$238,U2278)="","",INDEX(Manual_Review!$H$6:$H$238,U2278))</f>
        <v/>
      </c>
      <c r="X2278" s="5" t="str">
        <f>IF(INDEX(Manual_Review!$I$6:$I$238,U2278)="","",INDEX(Manual_Review!$I$6:$I$238,U2278))</f>
        <v/>
      </c>
      <c r="Y2278" s="5" t="s">
        <v>2859</v>
      </c>
    </row>
    <row r="2279" spans="1:25" ht="38.25">
      <c r="A2279" s="5" t="s">
        <v>7553</v>
      </c>
      <c r="B2279" s="5" t="s">
        <v>1644</v>
      </c>
      <c r="C2279" s="5" t="s">
        <v>1645</v>
      </c>
      <c r="D2279" s="5" t="s">
        <v>118</v>
      </c>
      <c r="E2279" s="5" t="s">
        <v>2782</v>
      </c>
      <c r="F2279" s="5" t="s">
        <v>2754</v>
      </c>
      <c r="G2279" s="5">
        <v>1</v>
      </c>
      <c r="H2279" s="5" t="s">
        <v>2854</v>
      </c>
      <c r="I2279" s="5" t="str">
        <f>IF(INDEX(Manual_Review!$L$6:$L$238,U2279)="","",INDEX(Manual_Review!$L$6:$L$238,U2279))</f>
        <v/>
      </c>
      <c r="J2279" s="5" t="str">
        <f t="shared" si="70"/>
        <v>AI provisional</v>
      </c>
      <c r="K2279" s="5" t="str">
        <f t="shared" si="71"/>
        <v>Y</v>
      </c>
      <c r="L2279" s="5" t="s">
        <v>1651</v>
      </c>
      <c r="M2279" s="5" t="s">
        <v>7554</v>
      </c>
      <c r="N2279" s="5" t="s">
        <v>7552</v>
      </c>
      <c r="O2279" s="5" t="s">
        <v>2862</v>
      </c>
      <c r="P2279" s="5" t="s">
        <v>2858</v>
      </c>
      <c r="Q2279" s="11">
        <v>46306.5</v>
      </c>
      <c r="R2279" s="6"/>
      <c r="S2279" s="6"/>
      <c r="T2279" s="6"/>
      <c r="U2279" s="5">
        <f>MATCH(B2279,Manual_Review!$A$6:$A$238,0)</f>
        <v>143</v>
      </c>
      <c r="V2279" s="5" t="str">
        <f>IF(INDEX(Manual_Review!$G$6:$G$238,U2279)="","",INDEX(Manual_Review!$G$6:$G$238,U2279))</f>
        <v/>
      </c>
      <c r="W2279" s="11" t="str">
        <f>IF(INDEX(Manual_Review!$H$6:$H$238,U2279)="","",INDEX(Manual_Review!$H$6:$H$238,U2279))</f>
        <v/>
      </c>
      <c r="X2279" s="5" t="str">
        <f>IF(INDEX(Manual_Review!$I$6:$I$238,U2279)="","",INDEX(Manual_Review!$I$6:$I$238,U2279))</f>
        <v/>
      </c>
      <c r="Y2279" s="5" t="s">
        <v>2859</v>
      </c>
    </row>
    <row r="2280" spans="1:25" ht="38.25">
      <c r="A2280" s="5" t="s">
        <v>7555</v>
      </c>
      <c r="B2280" s="5" t="s">
        <v>1644</v>
      </c>
      <c r="C2280" s="5" t="s">
        <v>1645</v>
      </c>
      <c r="D2280" s="5" t="s">
        <v>118</v>
      </c>
      <c r="E2280" s="5" t="s">
        <v>2783</v>
      </c>
      <c r="F2280" s="5" t="s">
        <v>2754</v>
      </c>
      <c r="G2280" s="5">
        <v>1</v>
      </c>
      <c r="H2280" s="5" t="s">
        <v>2854</v>
      </c>
      <c r="I2280" s="5" t="str">
        <f>IF(INDEX(Manual_Review!$M$6:$M$238,U2280)="","",INDEX(Manual_Review!$M$6:$M$238,U2280))</f>
        <v/>
      </c>
      <c r="J2280" s="5" t="str">
        <f t="shared" si="70"/>
        <v>AI provisional</v>
      </c>
      <c r="K2280" s="5" t="str">
        <f t="shared" si="71"/>
        <v>Y</v>
      </c>
      <c r="L2280" s="5" t="s">
        <v>1651</v>
      </c>
      <c r="M2280" s="5" t="s">
        <v>7556</v>
      </c>
      <c r="N2280" s="5" t="s">
        <v>7552</v>
      </c>
      <c r="O2280" s="5" t="s">
        <v>3133</v>
      </c>
      <c r="P2280" s="5" t="s">
        <v>2858</v>
      </c>
      <c r="Q2280" s="11">
        <v>46306.5</v>
      </c>
      <c r="R2280" s="6"/>
      <c r="S2280" s="6"/>
      <c r="T2280" s="6"/>
      <c r="U2280" s="5">
        <f>MATCH(B2280,Manual_Review!$A$6:$A$238,0)</f>
        <v>143</v>
      </c>
      <c r="V2280" s="5" t="str">
        <f>IF(INDEX(Manual_Review!$G$6:$G$238,U2280)="","",INDEX(Manual_Review!$G$6:$G$238,U2280))</f>
        <v/>
      </c>
      <c r="W2280" s="11" t="str">
        <f>IF(INDEX(Manual_Review!$H$6:$H$238,U2280)="","",INDEX(Manual_Review!$H$6:$H$238,U2280))</f>
        <v/>
      </c>
      <c r="X2280" s="5" t="str">
        <f>IF(INDEX(Manual_Review!$I$6:$I$238,U2280)="","",INDEX(Manual_Review!$I$6:$I$238,U2280))</f>
        <v/>
      </c>
      <c r="Y2280" s="5" t="s">
        <v>2859</v>
      </c>
    </row>
    <row r="2281" spans="1:25" ht="38.25">
      <c r="A2281" s="5" t="s">
        <v>7557</v>
      </c>
      <c r="B2281" s="5" t="s">
        <v>1644</v>
      </c>
      <c r="C2281" s="5" t="s">
        <v>1645</v>
      </c>
      <c r="D2281" s="5" t="s">
        <v>118</v>
      </c>
      <c r="E2281" s="5" t="s">
        <v>2784</v>
      </c>
      <c r="F2281" s="5" t="s">
        <v>2756</v>
      </c>
      <c r="G2281" s="5">
        <v>1</v>
      </c>
      <c r="H2281" s="5" t="s">
        <v>2864</v>
      </c>
      <c r="I2281" s="5" t="str">
        <f>IF(INDEX(Manual_Review!$N$6:$N$238,U2281)="","",INDEX(Manual_Review!$N$6:$N$238,U2281))</f>
        <v/>
      </c>
      <c r="J2281" s="5" t="str">
        <f t="shared" si="70"/>
        <v>AI provisional</v>
      </c>
      <c r="K2281" s="5" t="str">
        <f t="shared" si="71"/>
        <v>U</v>
      </c>
      <c r="L2281" s="5" t="s">
        <v>1651</v>
      </c>
      <c r="M2281" s="5" t="s">
        <v>7558</v>
      </c>
      <c r="N2281" s="5" t="s">
        <v>7552</v>
      </c>
      <c r="O2281" s="5" t="s">
        <v>7559</v>
      </c>
      <c r="P2281" s="5" t="s">
        <v>2858</v>
      </c>
      <c r="Q2281" s="11">
        <v>46306.5</v>
      </c>
      <c r="R2281" s="6"/>
      <c r="S2281" s="6"/>
      <c r="T2281" s="6"/>
      <c r="U2281" s="5">
        <f>MATCH(B2281,Manual_Review!$A$6:$A$238,0)</f>
        <v>143</v>
      </c>
      <c r="V2281" s="5" t="str">
        <f>IF(INDEX(Manual_Review!$G$6:$G$238,U2281)="","",INDEX(Manual_Review!$G$6:$G$238,U2281))</f>
        <v/>
      </c>
      <c r="W2281" s="11" t="str">
        <f>IF(INDEX(Manual_Review!$H$6:$H$238,U2281)="","",INDEX(Manual_Review!$H$6:$H$238,U2281))</f>
        <v/>
      </c>
      <c r="X2281" s="5" t="str">
        <f>IF(INDEX(Manual_Review!$I$6:$I$238,U2281)="","",INDEX(Manual_Review!$I$6:$I$238,U2281))</f>
        <v/>
      </c>
      <c r="Y2281" s="5" t="s">
        <v>2859</v>
      </c>
    </row>
    <row r="2282" spans="1:25" ht="38.25">
      <c r="A2282" s="5" t="s">
        <v>7560</v>
      </c>
      <c r="B2282" s="5" t="s">
        <v>1644</v>
      </c>
      <c r="C2282" s="5" t="s">
        <v>1645</v>
      </c>
      <c r="D2282" s="5" t="s">
        <v>118</v>
      </c>
      <c r="E2282" s="5" t="s">
        <v>2785</v>
      </c>
      <c r="F2282" s="5" t="s">
        <v>2756</v>
      </c>
      <c r="G2282" s="5">
        <v>1</v>
      </c>
      <c r="H2282" s="5" t="s">
        <v>2864</v>
      </c>
      <c r="I2282" s="5" t="str">
        <f>IF(INDEX(Manual_Review!$O$6:$O$238,U2282)="","",INDEX(Manual_Review!$O$6:$O$238,U2282))</f>
        <v/>
      </c>
      <c r="J2282" s="5" t="str">
        <f t="shared" si="70"/>
        <v>AI provisional</v>
      </c>
      <c r="K2282" s="5" t="str">
        <f t="shared" si="71"/>
        <v>U</v>
      </c>
      <c r="L2282" s="5" t="s">
        <v>1651</v>
      </c>
      <c r="M2282" s="5" t="s">
        <v>7561</v>
      </c>
      <c r="N2282" s="5" t="s">
        <v>7552</v>
      </c>
      <c r="O2282" s="5" t="s">
        <v>2872</v>
      </c>
      <c r="P2282" s="5" t="s">
        <v>2858</v>
      </c>
      <c r="Q2282" s="11">
        <v>46306.5</v>
      </c>
      <c r="R2282" s="6"/>
      <c r="S2282" s="6"/>
      <c r="T2282" s="6"/>
      <c r="U2282" s="5">
        <f>MATCH(B2282,Manual_Review!$A$6:$A$238,0)</f>
        <v>143</v>
      </c>
      <c r="V2282" s="5" t="str">
        <f>IF(INDEX(Manual_Review!$G$6:$G$238,U2282)="","",INDEX(Manual_Review!$G$6:$G$238,U2282))</f>
        <v/>
      </c>
      <c r="W2282" s="11" t="str">
        <f>IF(INDEX(Manual_Review!$H$6:$H$238,U2282)="","",INDEX(Manual_Review!$H$6:$H$238,U2282))</f>
        <v/>
      </c>
      <c r="X2282" s="5" t="str">
        <f>IF(INDEX(Manual_Review!$I$6:$I$238,U2282)="","",INDEX(Manual_Review!$I$6:$I$238,U2282))</f>
        <v/>
      </c>
      <c r="Y2282" s="5" t="s">
        <v>2859</v>
      </c>
    </row>
    <row r="2283" spans="1:25" ht="38.25">
      <c r="A2283" s="5" t="s">
        <v>7562</v>
      </c>
      <c r="B2283" s="5" t="s">
        <v>1644</v>
      </c>
      <c r="C2283" s="5" t="s">
        <v>1645</v>
      </c>
      <c r="D2283" s="5" t="s">
        <v>118</v>
      </c>
      <c r="E2283" s="5" t="s">
        <v>2786</v>
      </c>
      <c r="F2283" s="5" t="s">
        <v>2756</v>
      </c>
      <c r="G2283" s="5">
        <v>1</v>
      </c>
      <c r="H2283" s="5" t="s">
        <v>2854</v>
      </c>
      <c r="I2283" s="5" t="str">
        <f>IF(INDEX(Manual_Review!$P$6:$P$238,U2283)="","",INDEX(Manual_Review!$P$6:$P$238,U2283))</f>
        <v/>
      </c>
      <c r="J2283" s="5" t="str">
        <f t="shared" si="70"/>
        <v>AI provisional</v>
      </c>
      <c r="K2283" s="5" t="str">
        <f t="shared" si="71"/>
        <v>Y</v>
      </c>
      <c r="L2283" s="5" t="s">
        <v>1651</v>
      </c>
      <c r="M2283" s="5" t="s">
        <v>7563</v>
      </c>
      <c r="N2283" s="5" t="s">
        <v>7552</v>
      </c>
      <c r="O2283" s="5" t="s">
        <v>5106</v>
      </c>
      <c r="P2283" s="5" t="s">
        <v>2858</v>
      </c>
      <c r="Q2283" s="11">
        <v>46306.5</v>
      </c>
      <c r="R2283" s="6"/>
      <c r="S2283" s="6"/>
      <c r="T2283" s="6"/>
      <c r="U2283" s="5">
        <f>MATCH(B2283,Manual_Review!$A$6:$A$238,0)</f>
        <v>143</v>
      </c>
      <c r="V2283" s="5" t="str">
        <f>IF(INDEX(Manual_Review!$G$6:$G$238,U2283)="","",INDEX(Manual_Review!$G$6:$G$238,U2283))</f>
        <v/>
      </c>
      <c r="W2283" s="11" t="str">
        <f>IF(INDEX(Manual_Review!$H$6:$H$238,U2283)="","",INDEX(Manual_Review!$H$6:$H$238,U2283))</f>
        <v/>
      </c>
      <c r="X2283" s="5" t="str">
        <f>IF(INDEX(Manual_Review!$I$6:$I$238,U2283)="","",INDEX(Manual_Review!$I$6:$I$238,U2283))</f>
        <v/>
      </c>
      <c r="Y2283" s="5" t="s">
        <v>2859</v>
      </c>
    </row>
    <row r="2284" spans="1:25" ht="38.25">
      <c r="A2284" s="5" t="s">
        <v>7564</v>
      </c>
      <c r="B2284" s="5" t="s">
        <v>1644</v>
      </c>
      <c r="C2284" s="5" t="s">
        <v>1645</v>
      </c>
      <c r="D2284" s="5" t="s">
        <v>118</v>
      </c>
      <c r="E2284" s="5" t="s">
        <v>2787</v>
      </c>
      <c r="F2284" s="5" t="s">
        <v>2758</v>
      </c>
      <c r="G2284" s="5">
        <v>1</v>
      </c>
      <c r="H2284" s="5" t="s">
        <v>2864</v>
      </c>
      <c r="I2284" s="5" t="str">
        <f>IF(INDEX(Manual_Review!$Q$6:$Q$238,U2284)="","",INDEX(Manual_Review!$Q$6:$Q$238,U2284))</f>
        <v/>
      </c>
      <c r="J2284" s="5" t="str">
        <f t="shared" si="70"/>
        <v>AI provisional</v>
      </c>
      <c r="K2284" s="5" t="str">
        <f t="shared" si="71"/>
        <v>U</v>
      </c>
      <c r="L2284" s="5" t="s">
        <v>1651</v>
      </c>
      <c r="M2284" s="5" t="s">
        <v>7561</v>
      </c>
      <c r="N2284" s="5" t="s">
        <v>7552</v>
      </c>
      <c r="O2284" s="5" t="s">
        <v>2877</v>
      </c>
      <c r="P2284" s="5" t="s">
        <v>2858</v>
      </c>
      <c r="Q2284" s="11">
        <v>46306.5</v>
      </c>
      <c r="R2284" s="6"/>
      <c r="S2284" s="6"/>
      <c r="T2284" s="6"/>
      <c r="U2284" s="5">
        <f>MATCH(B2284,Manual_Review!$A$6:$A$238,0)</f>
        <v>143</v>
      </c>
      <c r="V2284" s="5" t="str">
        <f>IF(INDEX(Manual_Review!$G$6:$G$238,U2284)="","",INDEX(Manual_Review!$G$6:$G$238,U2284))</f>
        <v/>
      </c>
      <c r="W2284" s="11" t="str">
        <f>IF(INDEX(Manual_Review!$H$6:$H$238,U2284)="","",INDEX(Manual_Review!$H$6:$H$238,U2284))</f>
        <v/>
      </c>
      <c r="X2284" s="5" t="str">
        <f>IF(INDEX(Manual_Review!$I$6:$I$238,U2284)="","",INDEX(Manual_Review!$I$6:$I$238,U2284))</f>
        <v/>
      </c>
      <c r="Y2284" s="5" t="s">
        <v>2859</v>
      </c>
    </row>
    <row r="2285" spans="1:25" ht="38.25">
      <c r="A2285" s="5" t="s">
        <v>7565</v>
      </c>
      <c r="B2285" s="5" t="s">
        <v>1644</v>
      </c>
      <c r="C2285" s="5" t="s">
        <v>1645</v>
      </c>
      <c r="D2285" s="5" t="s">
        <v>118</v>
      </c>
      <c r="E2285" s="5" t="s">
        <v>2788</v>
      </c>
      <c r="F2285" s="5" t="s">
        <v>2758</v>
      </c>
      <c r="G2285" s="5">
        <v>1</v>
      </c>
      <c r="H2285" s="5" t="s">
        <v>2854</v>
      </c>
      <c r="I2285" s="5" t="str">
        <f>IF(INDEX(Manual_Review!$R$6:$R$238,U2285)="","",INDEX(Manual_Review!$R$6:$R$238,U2285))</f>
        <v/>
      </c>
      <c r="J2285" s="5" t="str">
        <f t="shared" si="70"/>
        <v>AI provisional</v>
      </c>
      <c r="K2285" s="5" t="str">
        <f t="shared" si="71"/>
        <v>Y</v>
      </c>
      <c r="L2285" s="5" t="s">
        <v>1651</v>
      </c>
      <c r="M2285" s="5" t="s">
        <v>7566</v>
      </c>
      <c r="N2285" s="5" t="s">
        <v>7552</v>
      </c>
      <c r="O2285" s="5" t="s">
        <v>3067</v>
      </c>
      <c r="P2285" s="5" t="s">
        <v>2858</v>
      </c>
      <c r="Q2285" s="11">
        <v>46306.5</v>
      </c>
      <c r="R2285" s="6"/>
      <c r="S2285" s="6"/>
      <c r="T2285" s="6"/>
      <c r="U2285" s="5">
        <f>MATCH(B2285,Manual_Review!$A$6:$A$238,0)</f>
        <v>143</v>
      </c>
      <c r="V2285" s="5" t="str">
        <f>IF(INDEX(Manual_Review!$G$6:$G$238,U2285)="","",INDEX(Manual_Review!$G$6:$G$238,U2285))</f>
        <v/>
      </c>
      <c r="W2285" s="11" t="str">
        <f>IF(INDEX(Manual_Review!$H$6:$H$238,U2285)="","",INDEX(Manual_Review!$H$6:$H$238,U2285))</f>
        <v/>
      </c>
      <c r="X2285" s="5" t="str">
        <f>IF(INDEX(Manual_Review!$I$6:$I$238,U2285)="","",INDEX(Manual_Review!$I$6:$I$238,U2285))</f>
        <v/>
      </c>
      <c r="Y2285" s="5" t="s">
        <v>2859</v>
      </c>
    </row>
    <row r="2286" spans="1:25" ht="38.25">
      <c r="A2286" s="5" t="s">
        <v>7567</v>
      </c>
      <c r="B2286" s="5" t="s">
        <v>1644</v>
      </c>
      <c r="C2286" s="5" t="s">
        <v>1645</v>
      </c>
      <c r="D2286" s="5" t="s">
        <v>118</v>
      </c>
      <c r="E2286" s="5" t="s">
        <v>2789</v>
      </c>
      <c r="F2286" s="5" t="s">
        <v>2758</v>
      </c>
      <c r="G2286" s="5">
        <v>1</v>
      </c>
      <c r="H2286" s="5" t="s">
        <v>2854</v>
      </c>
      <c r="I2286" s="5" t="str">
        <f>IF(INDEX(Manual_Review!$S$6:$S$238,U2286)="","",INDEX(Manual_Review!$S$6:$S$238,U2286))</f>
        <v/>
      </c>
      <c r="J2286" s="5" t="str">
        <f t="shared" si="70"/>
        <v>AI provisional</v>
      </c>
      <c r="K2286" s="5" t="str">
        <f t="shared" si="71"/>
        <v>Y</v>
      </c>
      <c r="L2286" s="5" t="s">
        <v>1651</v>
      </c>
      <c r="M2286" s="5" t="s">
        <v>7568</v>
      </c>
      <c r="N2286" s="5" t="s">
        <v>7552</v>
      </c>
      <c r="O2286" s="5" t="s">
        <v>3178</v>
      </c>
      <c r="P2286" s="5" t="s">
        <v>2858</v>
      </c>
      <c r="Q2286" s="11">
        <v>46306.5</v>
      </c>
      <c r="R2286" s="6"/>
      <c r="S2286" s="6"/>
      <c r="T2286" s="6"/>
      <c r="U2286" s="5">
        <f>MATCH(B2286,Manual_Review!$A$6:$A$238,0)</f>
        <v>143</v>
      </c>
      <c r="V2286" s="5" t="str">
        <f>IF(INDEX(Manual_Review!$G$6:$G$238,U2286)="","",INDEX(Manual_Review!$G$6:$G$238,U2286))</f>
        <v/>
      </c>
      <c r="W2286" s="11" t="str">
        <f>IF(INDEX(Manual_Review!$H$6:$H$238,U2286)="","",INDEX(Manual_Review!$H$6:$H$238,U2286))</f>
        <v/>
      </c>
      <c r="X2286" s="5" t="str">
        <f>IF(INDEX(Manual_Review!$I$6:$I$238,U2286)="","",INDEX(Manual_Review!$I$6:$I$238,U2286))</f>
        <v/>
      </c>
      <c r="Y2286" s="5" t="s">
        <v>2859</v>
      </c>
    </row>
    <row r="2287" spans="1:25" ht="38.25">
      <c r="A2287" s="5" t="s">
        <v>7569</v>
      </c>
      <c r="B2287" s="5" t="s">
        <v>1644</v>
      </c>
      <c r="C2287" s="5" t="s">
        <v>1645</v>
      </c>
      <c r="D2287" s="5" t="s">
        <v>118</v>
      </c>
      <c r="E2287" s="5" t="s">
        <v>2790</v>
      </c>
      <c r="F2287" s="5" t="s">
        <v>2760</v>
      </c>
      <c r="G2287" s="5">
        <v>1</v>
      </c>
      <c r="H2287" s="5" t="s">
        <v>2864</v>
      </c>
      <c r="I2287" s="5" t="str">
        <f>IF(INDEX(Manual_Review!$T$6:$T$238,U2287)="","",INDEX(Manual_Review!$T$6:$T$238,U2287))</f>
        <v/>
      </c>
      <c r="J2287" s="5" t="str">
        <f t="shared" si="70"/>
        <v>AI provisional</v>
      </c>
      <c r="K2287" s="5" t="str">
        <f t="shared" si="71"/>
        <v>U</v>
      </c>
      <c r="L2287" s="5" t="s">
        <v>1651</v>
      </c>
      <c r="M2287" s="5" t="s">
        <v>7563</v>
      </c>
      <c r="N2287" s="5" t="s">
        <v>7552</v>
      </c>
      <c r="O2287" s="5" t="s">
        <v>2885</v>
      </c>
      <c r="P2287" s="5" t="s">
        <v>2858</v>
      </c>
      <c r="Q2287" s="11">
        <v>46306.5</v>
      </c>
      <c r="R2287" s="6"/>
      <c r="S2287" s="6"/>
      <c r="T2287" s="6"/>
      <c r="U2287" s="5">
        <f>MATCH(B2287,Manual_Review!$A$6:$A$238,0)</f>
        <v>143</v>
      </c>
      <c r="V2287" s="5" t="str">
        <f>IF(INDEX(Manual_Review!$G$6:$G$238,U2287)="","",INDEX(Manual_Review!$G$6:$G$238,U2287))</f>
        <v/>
      </c>
      <c r="W2287" s="11" t="str">
        <f>IF(INDEX(Manual_Review!$H$6:$H$238,U2287)="","",INDEX(Manual_Review!$H$6:$H$238,U2287))</f>
        <v/>
      </c>
      <c r="X2287" s="5" t="str">
        <f>IF(INDEX(Manual_Review!$I$6:$I$238,U2287)="","",INDEX(Manual_Review!$I$6:$I$238,U2287))</f>
        <v/>
      </c>
      <c r="Y2287" s="5" t="s">
        <v>2859</v>
      </c>
    </row>
    <row r="2288" spans="1:25" ht="38.25">
      <c r="A2288" s="5" t="s">
        <v>7570</v>
      </c>
      <c r="B2288" s="5" t="s">
        <v>1644</v>
      </c>
      <c r="C2288" s="5" t="s">
        <v>1645</v>
      </c>
      <c r="D2288" s="5" t="s">
        <v>118</v>
      </c>
      <c r="E2288" s="5" t="s">
        <v>2791</v>
      </c>
      <c r="F2288" s="5" t="s">
        <v>2760</v>
      </c>
      <c r="G2288" s="5">
        <v>1</v>
      </c>
      <c r="H2288" s="5" t="s">
        <v>2864</v>
      </c>
      <c r="I2288" s="5" t="str">
        <f>IF(INDEX(Manual_Review!$U$6:$U$238,U2288)="","",INDEX(Manual_Review!$U$6:$U$238,U2288))</f>
        <v/>
      </c>
      <c r="J2288" s="5" t="str">
        <f t="shared" si="70"/>
        <v>AI provisional</v>
      </c>
      <c r="K2288" s="5" t="str">
        <f t="shared" si="71"/>
        <v>U</v>
      </c>
      <c r="L2288" s="5" t="s">
        <v>1651</v>
      </c>
      <c r="M2288" s="5" t="s">
        <v>7561</v>
      </c>
      <c r="N2288" s="5" t="s">
        <v>7552</v>
      </c>
      <c r="O2288" s="5" t="s">
        <v>2888</v>
      </c>
      <c r="P2288" s="5" t="s">
        <v>2858</v>
      </c>
      <c r="Q2288" s="11">
        <v>46306.5</v>
      </c>
      <c r="R2288" s="6"/>
      <c r="S2288" s="6"/>
      <c r="T2288" s="6"/>
      <c r="U2288" s="5">
        <f>MATCH(B2288,Manual_Review!$A$6:$A$238,0)</f>
        <v>143</v>
      </c>
      <c r="V2288" s="5" t="str">
        <f>IF(INDEX(Manual_Review!$G$6:$G$238,U2288)="","",INDEX(Manual_Review!$G$6:$G$238,U2288))</f>
        <v/>
      </c>
      <c r="W2288" s="11" t="str">
        <f>IF(INDEX(Manual_Review!$H$6:$H$238,U2288)="","",INDEX(Manual_Review!$H$6:$H$238,U2288))</f>
        <v/>
      </c>
      <c r="X2288" s="5" t="str">
        <f>IF(INDEX(Manual_Review!$I$6:$I$238,U2288)="","",INDEX(Manual_Review!$I$6:$I$238,U2288))</f>
        <v/>
      </c>
      <c r="Y2288" s="5" t="s">
        <v>2859</v>
      </c>
    </row>
    <row r="2289" spans="1:25" ht="38.25">
      <c r="A2289" s="5" t="s">
        <v>7571</v>
      </c>
      <c r="B2289" s="5" t="s">
        <v>1644</v>
      </c>
      <c r="C2289" s="5" t="s">
        <v>1645</v>
      </c>
      <c r="D2289" s="5" t="s">
        <v>118</v>
      </c>
      <c r="E2289" s="5" t="s">
        <v>2792</v>
      </c>
      <c r="F2289" s="5" t="s">
        <v>2762</v>
      </c>
      <c r="G2289" s="5">
        <v>1</v>
      </c>
      <c r="H2289" s="5" t="s">
        <v>2854</v>
      </c>
      <c r="I2289" s="5" t="str">
        <f>IF(INDEX(Manual_Review!$V$6:$V$238,U2289)="","",INDEX(Manual_Review!$V$6:$V$238,U2289))</f>
        <v/>
      </c>
      <c r="J2289" s="5" t="str">
        <f t="shared" si="70"/>
        <v>AI provisional</v>
      </c>
      <c r="K2289" s="5" t="str">
        <f t="shared" si="71"/>
        <v>Y</v>
      </c>
      <c r="L2289" s="5" t="s">
        <v>1651</v>
      </c>
      <c r="M2289" s="5" t="s">
        <v>7572</v>
      </c>
      <c r="N2289" s="5" t="s">
        <v>7552</v>
      </c>
      <c r="O2289" s="5" t="s">
        <v>3152</v>
      </c>
      <c r="P2289" s="5" t="s">
        <v>2858</v>
      </c>
      <c r="Q2289" s="11">
        <v>46306.5</v>
      </c>
      <c r="R2289" s="6"/>
      <c r="S2289" s="6"/>
      <c r="T2289" s="6"/>
      <c r="U2289" s="5">
        <f>MATCH(B2289,Manual_Review!$A$6:$A$238,0)</f>
        <v>143</v>
      </c>
      <c r="V2289" s="5" t="str">
        <f>IF(INDEX(Manual_Review!$G$6:$G$238,U2289)="","",INDEX(Manual_Review!$G$6:$G$238,U2289))</f>
        <v/>
      </c>
      <c r="W2289" s="11" t="str">
        <f>IF(INDEX(Manual_Review!$H$6:$H$238,U2289)="","",INDEX(Manual_Review!$H$6:$H$238,U2289))</f>
        <v/>
      </c>
      <c r="X2289" s="5" t="str">
        <f>IF(INDEX(Manual_Review!$I$6:$I$238,U2289)="","",INDEX(Manual_Review!$I$6:$I$238,U2289))</f>
        <v/>
      </c>
      <c r="Y2289" s="5" t="s">
        <v>2859</v>
      </c>
    </row>
    <row r="2290" spans="1:25" ht="38.25">
      <c r="A2290" s="5" t="s">
        <v>7573</v>
      </c>
      <c r="B2290" s="5" t="s">
        <v>1644</v>
      </c>
      <c r="C2290" s="5" t="s">
        <v>1645</v>
      </c>
      <c r="D2290" s="5" t="s">
        <v>118</v>
      </c>
      <c r="E2290" s="5" t="s">
        <v>2793</v>
      </c>
      <c r="F2290" s="5" t="s">
        <v>2762</v>
      </c>
      <c r="G2290" s="5">
        <v>1</v>
      </c>
      <c r="H2290" s="5" t="s">
        <v>2854</v>
      </c>
      <c r="I2290" s="5" t="str">
        <f>IF(INDEX(Manual_Review!$W$6:$W$238,U2290)="","",INDEX(Manual_Review!$W$6:$W$238,U2290))</f>
        <v/>
      </c>
      <c r="J2290" s="5" t="str">
        <f t="shared" si="70"/>
        <v>AI provisional</v>
      </c>
      <c r="K2290" s="5" t="str">
        <f t="shared" si="71"/>
        <v>Y</v>
      </c>
      <c r="L2290" s="5" t="s">
        <v>1651</v>
      </c>
      <c r="M2290" s="5" t="s">
        <v>7574</v>
      </c>
      <c r="N2290" s="5" t="s">
        <v>7552</v>
      </c>
      <c r="O2290" s="5" t="s">
        <v>3077</v>
      </c>
      <c r="P2290" s="5" t="s">
        <v>2858</v>
      </c>
      <c r="Q2290" s="11">
        <v>46306.5</v>
      </c>
      <c r="R2290" s="6"/>
      <c r="S2290" s="6"/>
      <c r="T2290" s="6"/>
      <c r="U2290" s="5">
        <f>MATCH(B2290,Manual_Review!$A$6:$A$238,0)</f>
        <v>143</v>
      </c>
      <c r="V2290" s="5" t="str">
        <f>IF(INDEX(Manual_Review!$G$6:$G$238,U2290)="","",INDEX(Manual_Review!$G$6:$G$238,U2290))</f>
        <v/>
      </c>
      <c r="W2290" s="11" t="str">
        <f>IF(INDEX(Manual_Review!$H$6:$H$238,U2290)="","",INDEX(Manual_Review!$H$6:$H$238,U2290))</f>
        <v/>
      </c>
      <c r="X2290" s="5" t="str">
        <f>IF(INDEX(Manual_Review!$I$6:$I$238,U2290)="","",INDEX(Manual_Review!$I$6:$I$238,U2290))</f>
        <v/>
      </c>
      <c r="Y2290" s="5" t="s">
        <v>2859</v>
      </c>
    </row>
    <row r="2291" spans="1:25" ht="38.25">
      <c r="A2291" s="5" t="s">
        <v>7575</v>
      </c>
      <c r="B2291" s="5" t="s">
        <v>1644</v>
      </c>
      <c r="C2291" s="5" t="s">
        <v>1645</v>
      </c>
      <c r="D2291" s="5" t="s">
        <v>118</v>
      </c>
      <c r="E2291" s="5" t="s">
        <v>2794</v>
      </c>
      <c r="F2291" s="5" t="s">
        <v>2764</v>
      </c>
      <c r="G2291" s="5">
        <v>1</v>
      </c>
      <c r="H2291" s="5" t="s">
        <v>2854</v>
      </c>
      <c r="I2291" s="5" t="str">
        <f>IF(INDEX(Manual_Review!$X$6:$X$238,U2291)="","",INDEX(Manual_Review!$X$6:$X$238,U2291))</f>
        <v/>
      </c>
      <c r="J2291" s="5" t="str">
        <f t="shared" si="70"/>
        <v>AI provisional</v>
      </c>
      <c r="K2291" s="5" t="str">
        <f t="shared" si="71"/>
        <v>Y</v>
      </c>
      <c r="L2291" s="5" t="s">
        <v>1651</v>
      </c>
      <c r="M2291" s="5" t="s">
        <v>7576</v>
      </c>
      <c r="N2291" s="5" t="s">
        <v>7552</v>
      </c>
      <c r="O2291" s="5" t="s">
        <v>2984</v>
      </c>
      <c r="P2291" s="5" t="s">
        <v>2858</v>
      </c>
      <c r="Q2291" s="11">
        <v>46306.5</v>
      </c>
      <c r="R2291" s="6"/>
      <c r="S2291" s="6"/>
      <c r="T2291" s="6"/>
      <c r="U2291" s="5">
        <f>MATCH(B2291,Manual_Review!$A$6:$A$238,0)</f>
        <v>143</v>
      </c>
      <c r="V2291" s="5" t="str">
        <f>IF(INDEX(Manual_Review!$G$6:$G$238,U2291)="","",INDEX(Manual_Review!$G$6:$G$238,U2291))</f>
        <v/>
      </c>
      <c r="W2291" s="11" t="str">
        <f>IF(INDEX(Manual_Review!$H$6:$H$238,U2291)="","",INDEX(Manual_Review!$H$6:$H$238,U2291))</f>
        <v/>
      </c>
      <c r="X2291" s="5" t="str">
        <f>IF(INDEX(Manual_Review!$I$6:$I$238,U2291)="","",INDEX(Manual_Review!$I$6:$I$238,U2291))</f>
        <v/>
      </c>
      <c r="Y2291" s="5" t="s">
        <v>2859</v>
      </c>
    </row>
    <row r="2292" spans="1:25" ht="38.25">
      <c r="A2292" s="5" t="s">
        <v>7577</v>
      </c>
      <c r="B2292" s="5" t="s">
        <v>1644</v>
      </c>
      <c r="C2292" s="5" t="s">
        <v>1645</v>
      </c>
      <c r="D2292" s="5" t="s">
        <v>118</v>
      </c>
      <c r="E2292" s="5" t="s">
        <v>2795</v>
      </c>
      <c r="F2292" s="5" t="s">
        <v>2764</v>
      </c>
      <c r="G2292" s="5">
        <v>1</v>
      </c>
      <c r="H2292" s="5" t="s">
        <v>2864</v>
      </c>
      <c r="I2292" s="5" t="str">
        <f>IF(INDEX(Manual_Review!$Y$6:$Y$238,U2292)="","",INDEX(Manual_Review!$Y$6:$Y$238,U2292))</f>
        <v/>
      </c>
      <c r="J2292" s="5" t="str">
        <f t="shared" si="70"/>
        <v>AI provisional</v>
      </c>
      <c r="K2292" s="5" t="str">
        <f t="shared" si="71"/>
        <v>U</v>
      </c>
      <c r="L2292" s="5" t="s">
        <v>1651</v>
      </c>
      <c r="M2292" s="5" t="s">
        <v>7563</v>
      </c>
      <c r="N2292" s="5" t="s">
        <v>7552</v>
      </c>
      <c r="O2292" s="5" t="s">
        <v>2897</v>
      </c>
      <c r="P2292" s="5" t="s">
        <v>2858</v>
      </c>
      <c r="Q2292" s="11">
        <v>46306.5</v>
      </c>
      <c r="R2292" s="6"/>
      <c r="S2292" s="6"/>
      <c r="T2292" s="6"/>
      <c r="U2292" s="5">
        <f>MATCH(B2292,Manual_Review!$A$6:$A$238,0)</f>
        <v>143</v>
      </c>
      <c r="V2292" s="5" t="str">
        <f>IF(INDEX(Manual_Review!$G$6:$G$238,U2292)="","",INDEX(Manual_Review!$G$6:$G$238,U2292))</f>
        <v/>
      </c>
      <c r="W2292" s="11" t="str">
        <f>IF(INDEX(Manual_Review!$H$6:$H$238,U2292)="","",INDEX(Manual_Review!$H$6:$H$238,U2292))</f>
        <v/>
      </c>
      <c r="X2292" s="5" t="str">
        <f>IF(INDEX(Manual_Review!$I$6:$I$238,U2292)="","",INDEX(Manual_Review!$I$6:$I$238,U2292))</f>
        <v/>
      </c>
      <c r="Y2292" s="5" t="s">
        <v>2859</v>
      </c>
    </row>
    <row r="2293" spans="1:25" ht="38.25">
      <c r="A2293" s="5" t="s">
        <v>7578</v>
      </c>
      <c r="B2293" s="5" t="s">
        <v>1644</v>
      </c>
      <c r="C2293" s="5" t="s">
        <v>1645</v>
      </c>
      <c r="D2293" s="5" t="s">
        <v>118</v>
      </c>
      <c r="E2293" s="5" t="s">
        <v>2796</v>
      </c>
      <c r="F2293" s="5" t="s">
        <v>2764</v>
      </c>
      <c r="G2293" s="5">
        <v>1</v>
      </c>
      <c r="H2293" s="5" t="s">
        <v>2864</v>
      </c>
      <c r="I2293" s="5" t="str">
        <f>IF(INDEX(Manual_Review!$Z$6:$Z$238,U2293)="","",INDEX(Manual_Review!$Z$6:$Z$238,U2293))</f>
        <v/>
      </c>
      <c r="J2293" s="5" t="str">
        <f t="shared" si="70"/>
        <v>AI provisional</v>
      </c>
      <c r="K2293" s="5" t="str">
        <f t="shared" si="71"/>
        <v>U</v>
      </c>
      <c r="L2293" s="5" t="s">
        <v>1651</v>
      </c>
      <c r="M2293" s="5" t="s">
        <v>7568</v>
      </c>
      <c r="N2293" s="5" t="s">
        <v>7552</v>
      </c>
      <c r="O2293" s="5" t="s">
        <v>2899</v>
      </c>
      <c r="P2293" s="5" t="s">
        <v>2858</v>
      </c>
      <c r="Q2293" s="11">
        <v>46306.5</v>
      </c>
      <c r="R2293" s="6"/>
      <c r="S2293" s="6"/>
      <c r="T2293" s="6"/>
      <c r="U2293" s="5">
        <f>MATCH(B2293,Manual_Review!$A$6:$A$238,0)</f>
        <v>143</v>
      </c>
      <c r="V2293" s="5" t="str">
        <f>IF(INDEX(Manual_Review!$G$6:$G$238,U2293)="","",INDEX(Manual_Review!$G$6:$G$238,U2293))</f>
        <v/>
      </c>
      <c r="W2293" s="11" t="str">
        <f>IF(INDEX(Manual_Review!$H$6:$H$238,U2293)="","",INDEX(Manual_Review!$H$6:$H$238,U2293))</f>
        <v/>
      </c>
      <c r="X2293" s="5" t="str">
        <f>IF(INDEX(Manual_Review!$I$6:$I$238,U2293)="","",INDEX(Manual_Review!$I$6:$I$238,U2293))</f>
        <v/>
      </c>
      <c r="Y2293" s="5" t="s">
        <v>2859</v>
      </c>
    </row>
    <row r="2294" spans="1:25" ht="25.5">
      <c r="A2294" s="5" t="s">
        <v>7579</v>
      </c>
      <c r="B2294" s="5" t="s">
        <v>1653</v>
      </c>
      <c r="C2294" s="5" t="s">
        <v>1654</v>
      </c>
      <c r="D2294" s="5" t="s">
        <v>118</v>
      </c>
      <c r="E2294" s="5" t="s">
        <v>2781</v>
      </c>
      <c r="F2294" s="5" t="s">
        <v>2754</v>
      </c>
      <c r="G2294" s="5">
        <v>1</v>
      </c>
      <c r="H2294" s="5" t="s">
        <v>2854</v>
      </c>
      <c r="I2294" s="5" t="str">
        <f>IF(INDEX(Manual_Review!$K$6:$K$238,U2294)="","",INDEX(Manual_Review!$K$6:$K$238,U2294))</f>
        <v/>
      </c>
      <c r="J2294" s="5" t="str">
        <f t="shared" si="70"/>
        <v>AI provisional</v>
      </c>
      <c r="K2294" s="5" t="str">
        <f t="shared" si="71"/>
        <v>Y</v>
      </c>
      <c r="L2294" s="5" t="s">
        <v>1660</v>
      </c>
      <c r="M2294" s="5" t="s">
        <v>7580</v>
      </c>
      <c r="N2294" s="5" t="s">
        <v>7581</v>
      </c>
      <c r="O2294" s="5" t="s">
        <v>2857</v>
      </c>
      <c r="P2294" s="5" t="s">
        <v>2858</v>
      </c>
      <c r="Q2294" s="11">
        <v>46306.5</v>
      </c>
      <c r="R2294" s="6"/>
      <c r="S2294" s="6"/>
      <c r="T2294" s="6"/>
      <c r="U2294" s="5">
        <f>MATCH(B2294,Manual_Review!$A$6:$A$238,0)</f>
        <v>144</v>
      </c>
      <c r="V2294" s="5" t="str">
        <f>IF(INDEX(Manual_Review!$G$6:$G$238,U2294)="","",INDEX(Manual_Review!$G$6:$G$238,U2294))</f>
        <v/>
      </c>
      <c r="W2294" s="11" t="str">
        <f>IF(INDEX(Manual_Review!$H$6:$H$238,U2294)="","",INDEX(Manual_Review!$H$6:$H$238,U2294))</f>
        <v/>
      </c>
      <c r="X2294" s="5" t="str">
        <f>IF(INDEX(Manual_Review!$I$6:$I$238,U2294)="","",INDEX(Manual_Review!$I$6:$I$238,U2294))</f>
        <v/>
      </c>
      <c r="Y2294" s="5" t="s">
        <v>2859</v>
      </c>
    </row>
    <row r="2295" spans="1:25" ht="25.5">
      <c r="A2295" s="5" t="s">
        <v>7582</v>
      </c>
      <c r="B2295" s="5" t="s">
        <v>1653</v>
      </c>
      <c r="C2295" s="5" t="s">
        <v>1654</v>
      </c>
      <c r="D2295" s="5" t="s">
        <v>118</v>
      </c>
      <c r="E2295" s="5" t="s">
        <v>2782</v>
      </c>
      <c r="F2295" s="5" t="s">
        <v>2754</v>
      </c>
      <c r="G2295" s="5">
        <v>1</v>
      </c>
      <c r="H2295" s="5" t="s">
        <v>2854</v>
      </c>
      <c r="I2295" s="5" t="str">
        <f>IF(INDEX(Manual_Review!$L$6:$L$238,U2295)="","",INDEX(Manual_Review!$L$6:$L$238,U2295))</f>
        <v/>
      </c>
      <c r="J2295" s="5" t="str">
        <f t="shared" si="70"/>
        <v>AI provisional</v>
      </c>
      <c r="K2295" s="5" t="str">
        <f t="shared" si="71"/>
        <v>Y</v>
      </c>
      <c r="L2295" s="5" t="s">
        <v>1660</v>
      </c>
      <c r="M2295" s="5" t="s">
        <v>7583</v>
      </c>
      <c r="N2295" s="5" t="s">
        <v>7581</v>
      </c>
      <c r="O2295" s="5" t="s">
        <v>2862</v>
      </c>
      <c r="P2295" s="5" t="s">
        <v>2858</v>
      </c>
      <c r="Q2295" s="11">
        <v>46306.5</v>
      </c>
      <c r="R2295" s="6"/>
      <c r="S2295" s="6"/>
      <c r="T2295" s="6"/>
      <c r="U2295" s="5">
        <f>MATCH(B2295,Manual_Review!$A$6:$A$238,0)</f>
        <v>144</v>
      </c>
      <c r="V2295" s="5" t="str">
        <f>IF(INDEX(Manual_Review!$G$6:$G$238,U2295)="","",INDEX(Manual_Review!$G$6:$G$238,U2295))</f>
        <v/>
      </c>
      <c r="W2295" s="11" t="str">
        <f>IF(INDEX(Manual_Review!$H$6:$H$238,U2295)="","",INDEX(Manual_Review!$H$6:$H$238,U2295))</f>
        <v/>
      </c>
      <c r="X2295" s="5" t="str">
        <f>IF(INDEX(Manual_Review!$I$6:$I$238,U2295)="","",INDEX(Manual_Review!$I$6:$I$238,U2295))</f>
        <v/>
      </c>
      <c r="Y2295" s="5" t="s">
        <v>2859</v>
      </c>
    </row>
    <row r="2296" spans="1:25" ht="25.5">
      <c r="A2296" s="5" t="s">
        <v>7584</v>
      </c>
      <c r="B2296" s="5" t="s">
        <v>1653</v>
      </c>
      <c r="C2296" s="5" t="s">
        <v>1654</v>
      </c>
      <c r="D2296" s="5" t="s">
        <v>118</v>
      </c>
      <c r="E2296" s="5" t="s">
        <v>2783</v>
      </c>
      <c r="F2296" s="5" t="s">
        <v>2754</v>
      </c>
      <c r="G2296" s="5">
        <v>1</v>
      </c>
      <c r="H2296" s="5" t="s">
        <v>2854</v>
      </c>
      <c r="I2296" s="5" t="str">
        <f>IF(INDEX(Manual_Review!$M$6:$M$238,U2296)="","",INDEX(Manual_Review!$M$6:$M$238,U2296))</f>
        <v/>
      </c>
      <c r="J2296" s="5" t="str">
        <f t="shared" si="70"/>
        <v>AI provisional</v>
      </c>
      <c r="K2296" s="5" t="str">
        <f t="shared" si="71"/>
        <v>Y</v>
      </c>
      <c r="L2296" s="5" t="s">
        <v>1660</v>
      </c>
      <c r="M2296" s="5" t="s">
        <v>7585</v>
      </c>
      <c r="N2296" s="5" t="s">
        <v>7581</v>
      </c>
      <c r="O2296" s="5" t="s">
        <v>3133</v>
      </c>
      <c r="P2296" s="5" t="s">
        <v>2858</v>
      </c>
      <c r="Q2296" s="11">
        <v>46306.5</v>
      </c>
      <c r="R2296" s="6"/>
      <c r="S2296" s="6"/>
      <c r="T2296" s="6"/>
      <c r="U2296" s="5">
        <f>MATCH(B2296,Manual_Review!$A$6:$A$238,0)</f>
        <v>144</v>
      </c>
      <c r="V2296" s="5" t="str">
        <f>IF(INDEX(Manual_Review!$G$6:$G$238,U2296)="","",INDEX(Manual_Review!$G$6:$G$238,U2296))</f>
        <v/>
      </c>
      <c r="W2296" s="11" t="str">
        <f>IF(INDEX(Manual_Review!$H$6:$H$238,U2296)="","",INDEX(Manual_Review!$H$6:$H$238,U2296))</f>
        <v/>
      </c>
      <c r="X2296" s="5" t="str">
        <f>IF(INDEX(Manual_Review!$I$6:$I$238,U2296)="","",INDEX(Manual_Review!$I$6:$I$238,U2296))</f>
        <v/>
      </c>
      <c r="Y2296" s="5" t="s">
        <v>2859</v>
      </c>
    </row>
    <row r="2297" spans="1:25" ht="25.5">
      <c r="A2297" s="5" t="s">
        <v>7586</v>
      </c>
      <c r="B2297" s="5" t="s">
        <v>1653</v>
      </c>
      <c r="C2297" s="5" t="s">
        <v>1654</v>
      </c>
      <c r="D2297" s="5" t="s">
        <v>118</v>
      </c>
      <c r="E2297" s="5" t="s">
        <v>2784</v>
      </c>
      <c r="F2297" s="5" t="s">
        <v>2756</v>
      </c>
      <c r="G2297" s="5">
        <v>1</v>
      </c>
      <c r="H2297" s="5" t="s">
        <v>2864</v>
      </c>
      <c r="I2297" s="5" t="str">
        <f>IF(INDEX(Manual_Review!$N$6:$N$238,U2297)="","",INDEX(Manual_Review!$N$6:$N$238,U2297))</f>
        <v/>
      </c>
      <c r="J2297" s="5" t="str">
        <f t="shared" si="70"/>
        <v>AI provisional</v>
      </c>
      <c r="K2297" s="5" t="str">
        <f t="shared" si="71"/>
        <v>U</v>
      </c>
      <c r="L2297" s="5" t="s">
        <v>1660</v>
      </c>
      <c r="M2297" s="5" t="s">
        <v>7587</v>
      </c>
      <c r="N2297" s="5" t="s">
        <v>7581</v>
      </c>
      <c r="O2297" s="5" t="s">
        <v>2869</v>
      </c>
      <c r="P2297" s="5" t="s">
        <v>2858</v>
      </c>
      <c r="Q2297" s="11">
        <v>46306.5</v>
      </c>
      <c r="R2297" s="6"/>
      <c r="S2297" s="6"/>
      <c r="T2297" s="6"/>
      <c r="U2297" s="5">
        <f>MATCH(B2297,Manual_Review!$A$6:$A$238,0)</f>
        <v>144</v>
      </c>
      <c r="V2297" s="5" t="str">
        <f>IF(INDEX(Manual_Review!$G$6:$G$238,U2297)="","",INDEX(Manual_Review!$G$6:$G$238,U2297))</f>
        <v/>
      </c>
      <c r="W2297" s="11" t="str">
        <f>IF(INDEX(Manual_Review!$H$6:$H$238,U2297)="","",INDEX(Manual_Review!$H$6:$H$238,U2297))</f>
        <v/>
      </c>
      <c r="X2297" s="5" t="str">
        <f>IF(INDEX(Manual_Review!$I$6:$I$238,U2297)="","",INDEX(Manual_Review!$I$6:$I$238,U2297))</f>
        <v/>
      </c>
      <c r="Y2297" s="5" t="s">
        <v>2859</v>
      </c>
    </row>
    <row r="2298" spans="1:25" ht="25.5">
      <c r="A2298" s="5" t="s">
        <v>7588</v>
      </c>
      <c r="B2298" s="5" t="s">
        <v>1653</v>
      </c>
      <c r="C2298" s="5" t="s">
        <v>1654</v>
      </c>
      <c r="D2298" s="5" t="s">
        <v>118</v>
      </c>
      <c r="E2298" s="5" t="s">
        <v>2785</v>
      </c>
      <c r="F2298" s="5" t="s">
        <v>2756</v>
      </c>
      <c r="G2298" s="5">
        <v>1</v>
      </c>
      <c r="H2298" s="5" t="s">
        <v>2864</v>
      </c>
      <c r="I2298" s="5" t="str">
        <f>IF(INDEX(Manual_Review!$O$6:$O$238,U2298)="","",INDEX(Manual_Review!$O$6:$O$238,U2298))</f>
        <v/>
      </c>
      <c r="J2298" s="5" t="str">
        <f t="shared" si="70"/>
        <v>AI provisional</v>
      </c>
      <c r="K2298" s="5" t="str">
        <f t="shared" si="71"/>
        <v>U</v>
      </c>
      <c r="L2298" s="5" t="s">
        <v>1660</v>
      </c>
      <c r="M2298" s="5" t="s">
        <v>7589</v>
      </c>
      <c r="N2298" s="5" t="s">
        <v>7581</v>
      </c>
      <c r="O2298" s="5" t="s">
        <v>2872</v>
      </c>
      <c r="P2298" s="5" t="s">
        <v>2858</v>
      </c>
      <c r="Q2298" s="11">
        <v>46306.5</v>
      </c>
      <c r="R2298" s="6"/>
      <c r="S2298" s="6"/>
      <c r="T2298" s="6"/>
      <c r="U2298" s="5">
        <f>MATCH(B2298,Manual_Review!$A$6:$A$238,0)</f>
        <v>144</v>
      </c>
      <c r="V2298" s="5" t="str">
        <f>IF(INDEX(Manual_Review!$G$6:$G$238,U2298)="","",INDEX(Manual_Review!$G$6:$G$238,U2298))</f>
        <v/>
      </c>
      <c r="W2298" s="11" t="str">
        <f>IF(INDEX(Manual_Review!$H$6:$H$238,U2298)="","",INDEX(Manual_Review!$H$6:$H$238,U2298))</f>
        <v/>
      </c>
      <c r="X2298" s="5" t="str">
        <f>IF(INDEX(Manual_Review!$I$6:$I$238,U2298)="","",INDEX(Manual_Review!$I$6:$I$238,U2298))</f>
        <v/>
      </c>
      <c r="Y2298" s="5" t="s">
        <v>2859</v>
      </c>
    </row>
    <row r="2299" spans="1:25" ht="25.5">
      <c r="A2299" s="5" t="s">
        <v>7590</v>
      </c>
      <c r="B2299" s="5" t="s">
        <v>1653</v>
      </c>
      <c r="C2299" s="5" t="s">
        <v>1654</v>
      </c>
      <c r="D2299" s="5" t="s">
        <v>118</v>
      </c>
      <c r="E2299" s="5" t="s">
        <v>2786</v>
      </c>
      <c r="F2299" s="5" t="s">
        <v>2756</v>
      </c>
      <c r="G2299" s="5">
        <v>1</v>
      </c>
      <c r="H2299" s="5" t="s">
        <v>2864</v>
      </c>
      <c r="I2299" s="5" t="str">
        <f>IF(INDEX(Manual_Review!$P$6:$P$238,U2299)="","",INDEX(Manual_Review!$P$6:$P$238,U2299))</f>
        <v/>
      </c>
      <c r="J2299" s="5" t="str">
        <f t="shared" si="70"/>
        <v>AI provisional</v>
      </c>
      <c r="K2299" s="5" t="str">
        <f t="shared" si="71"/>
        <v>U</v>
      </c>
      <c r="L2299" s="5" t="s">
        <v>1660</v>
      </c>
      <c r="M2299" s="5" t="s">
        <v>7591</v>
      </c>
      <c r="N2299" s="5" t="s">
        <v>7581</v>
      </c>
      <c r="O2299" s="5" t="s">
        <v>2874</v>
      </c>
      <c r="P2299" s="5" t="s">
        <v>2858</v>
      </c>
      <c r="Q2299" s="11">
        <v>46306.5</v>
      </c>
      <c r="R2299" s="6"/>
      <c r="S2299" s="6"/>
      <c r="T2299" s="6"/>
      <c r="U2299" s="5">
        <f>MATCH(B2299,Manual_Review!$A$6:$A$238,0)</f>
        <v>144</v>
      </c>
      <c r="V2299" s="5" t="str">
        <f>IF(INDEX(Manual_Review!$G$6:$G$238,U2299)="","",INDEX(Manual_Review!$G$6:$G$238,U2299))</f>
        <v/>
      </c>
      <c r="W2299" s="11" t="str">
        <f>IF(INDEX(Manual_Review!$H$6:$H$238,U2299)="","",INDEX(Manual_Review!$H$6:$H$238,U2299))</f>
        <v/>
      </c>
      <c r="X2299" s="5" t="str">
        <f>IF(INDEX(Manual_Review!$I$6:$I$238,U2299)="","",INDEX(Manual_Review!$I$6:$I$238,U2299))</f>
        <v/>
      </c>
      <c r="Y2299" s="5" t="s">
        <v>2859</v>
      </c>
    </row>
    <row r="2300" spans="1:25" ht="25.5">
      <c r="A2300" s="5" t="s">
        <v>7592</v>
      </c>
      <c r="B2300" s="5" t="s">
        <v>1653</v>
      </c>
      <c r="C2300" s="5" t="s">
        <v>1654</v>
      </c>
      <c r="D2300" s="5" t="s">
        <v>118</v>
      </c>
      <c r="E2300" s="5" t="s">
        <v>2787</v>
      </c>
      <c r="F2300" s="5" t="s">
        <v>2758</v>
      </c>
      <c r="G2300" s="5">
        <v>1</v>
      </c>
      <c r="H2300" s="5" t="s">
        <v>2864</v>
      </c>
      <c r="I2300" s="5" t="str">
        <f>IF(INDEX(Manual_Review!$Q$6:$Q$238,U2300)="","",INDEX(Manual_Review!$Q$6:$Q$238,U2300))</f>
        <v/>
      </c>
      <c r="J2300" s="5" t="str">
        <f t="shared" si="70"/>
        <v>AI provisional</v>
      </c>
      <c r="K2300" s="5" t="str">
        <f t="shared" si="71"/>
        <v>U</v>
      </c>
      <c r="L2300" s="5" t="s">
        <v>1660</v>
      </c>
      <c r="M2300" s="5" t="s">
        <v>7589</v>
      </c>
      <c r="N2300" s="5" t="s">
        <v>7581</v>
      </c>
      <c r="O2300" s="5" t="s">
        <v>2877</v>
      </c>
      <c r="P2300" s="5" t="s">
        <v>2858</v>
      </c>
      <c r="Q2300" s="11">
        <v>46306.5</v>
      </c>
      <c r="R2300" s="6"/>
      <c r="S2300" s="6"/>
      <c r="T2300" s="6"/>
      <c r="U2300" s="5">
        <f>MATCH(B2300,Manual_Review!$A$6:$A$238,0)</f>
        <v>144</v>
      </c>
      <c r="V2300" s="5" t="str">
        <f>IF(INDEX(Manual_Review!$G$6:$G$238,U2300)="","",INDEX(Manual_Review!$G$6:$G$238,U2300))</f>
        <v/>
      </c>
      <c r="W2300" s="11" t="str">
        <f>IF(INDEX(Manual_Review!$H$6:$H$238,U2300)="","",INDEX(Manual_Review!$H$6:$H$238,U2300))</f>
        <v/>
      </c>
      <c r="X2300" s="5" t="str">
        <f>IF(INDEX(Manual_Review!$I$6:$I$238,U2300)="","",INDEX(Manual_Review!$I$6:$I$238,U2300))</f>
        <v/>
      </c>
      <c r="Y2300" s="5" t="s">
        <v>2859</v>
      </c>
    </row>
    <row r="2301" spans="1:25" ht="25.5">
      <c r="A2301" s="5" t="s">
        <v>7593</v>
      </c>
      <c r="B2301" s="5" t="s">
        <v>1653</v>
      </c>
      <c r="C2301" s="5" t="s">
        <v>1654</v>
      </c>
      <c r="D2301" s="5" t="s">
        <v>118</v>
      </c>
      <c r="E2301" s="5" t="s">
        <v>2788</v>
      </c>
      <c r="F2301" s="5" t="s">
        <v>2758</v>
      </c>
      <c r="G2301" s="5">
        <v>1</v>
      </c>
      <c r="H2301" s="5" t="s">
        <v>2864</v>
      </c>
      <c r="I2301" s="5" t="str">
        <f>IF(INDEX(Manual_Review!$R$6:$R$238,U2301)="","",INDEX(Manual_Review!$R$6:$R$238,U2301))</f>
        <v/>
      </c>
      <c r="J2301" s="5" t="str">
        <f t="shared" si="70"/>
        <v>AI provisional</v>
      </c>
      <c r="K2301" s="5" t="str">
        <f t="shared" si="71"/>
        <v>U</v>
      </c>
      <c r="L2301" s="5" t="s">
        <v>1660</v>
      </c>
      <c r="M2301" s="5" t="s">
        <v>7594</v>
      </c>
      <c r="N2301" s="5" t="s">
        <v>7581</v>
      </c>
      <c r="O2301" s="5" t="s">
        <v>2880</v>
      </c>
      <c r="P2301" s="5" t="s">
        <v>2858</v>
      </c>
      <c r="Q2301" s="11">
        <v>46306.5</v>
      </c>
      <c r="R2301" s="6"/>
      <c r="S2301" s="6"/>
      <c r="T2301" s="6"/>
      <c r="U2301" s="5">
        <f>MATCH(B2301,Manual_Review!$A$6:$A$238,0)</f>
        <v>144</v>
      </c>
      <c r="V2301" s="5" t="str">
        <f>IF(INDEX(Manual_Review!$G$6:$G$238,U2301)="","",INDEX(Manual_Review!$G$6:$G$238,U2301))</f>
        <v/>
      </c>
      <c r="W2301" s="11" t="str">
        <f>IF(INDEX(Manual_Review!$H$6:$H$238,U2301)="","",INDEX(Manual_Review!$H$6:$H$238,U2301))</f>
        <v/>
      </c>
      <c r="X2301" s="5" t="str">
        <f>IF(INDEX(Manual_Review!$I$6:$I$238,U2301)="","",INDEX(Manual_Review!$I$6:$I$238,U2301))</f>
        <v/>
      </c>
      <c r="Y2301" s="5" t="s">
        <v>2859</v>
      </c>
    </row>
    <row r="2302" spans="1:25" ht="25.5">
      <c r="A2302" s="5" t="s">
        <v>7595</v>
      </c>
      <c r="B2302" s="5" t="s">
        <v>1653</v>
      </c>
      <c r="C2302" s="5" t="s">
        <v>1654</v>
      </c>
      <c r="D2302" s="5" t="s">
        <v>118</v>
      </c>
      <c r="E2302" s="5" t="s">
        <v>2789</v>
      </c>
      <c r="F2302" s="5" t="s">
        <v>2758</v>
      </c>
      <c r="G2302" s="5">
        <v>1</v>
      </c>
      <c r="H2302" s="5" t="s">
        <v>2864</v>
      </c>
      <c r="I2302" s="5" t="str">
        <f>IF(INDEX(Manual_Review!$S$6:$S$238,U2302)="","",INDEX(Manual_Review!$S$6:$S$238,U2302))</f>
        <v/>
      </c>
      <c r="J2302" s="5" t="str">
        <f t="shared" si="70"/>
        <v>AI provisional</v>
      </c>
      <c r="K2302" s="5" t="str">
        <f t="shared" si="71"/>
        <v>U</v>
      </c>
      <c r="L2302" s="5" t="s">
        <v>1660</v>
      </c>
      <c r="M2302" s="5" t="s">
        <v>7596</v>
      </c>
      <c r="N2302" s="5" t="s">
        <v>7581</v>
      </c>
      <c r="O2302" s="5" t="s">
        <v>2883</v>
      </c>
      <c r="P2302" s="5" t="s">
        <v>2858</v>
      </c>
      <c r="Q2302" s="11">
        <v>46306.5</v>
      </c>
      <c r="R2302" s="6"/>
      <c r="S2302" s="6"/>
      <c r="T2302" s="6"/>
      <c r="U2302" s="5">
        <f>MATCH(B2302,Manual_Review!$A$6:$A$238,0)</f>
        <v>144</v>
      </c>
      <c r="V2302" s="5" t="str">
        <f>IF(INDEX(Manual_Review!$G$6:$G$238,U2302)="","",INDEX(Manual_Review!$G$6:$G$238,U2302))</f>
        <v/>
      </c>
      <c r="W2302" s="11" t="str">
        <f>IF(INDEX(Manual_Review!$H$6:$H$238,U2302)="","",INDEX(Manual_Review!$H$6:$H$238,U2302))</f>
        <v/>
      </c>
      <c r="X2302" s="5" t="str">
        <f>IF(INDEX(Manual_Review!$I$6:$I$238,U2302)="","",INDEX(Manual_Review!$I$6:$I$238,U2302))</f>
        <v/>
      </c>
      <c r="Y2302" s="5" t="s">
        <v>2859</v>
      </c>
    </row>
    <row r="2303" spans="1:25" ht="25.5">
      <c r="A2303" s="5" t="s">
        <v>7597</v>
      </c>
      <c r="B2303" s="5" t="s">
        <v>1653</v>
      </c>
      <c r="C2303" s="5" t="s">
        <v>1654</v>
      </c>
      <c r="D2303" s="5" t="s">
        <v>118</v>
      </c>
      <c r="E2303" s="5" t="s">
        <v>2790</v>
      </c>
      <c r="F2303" s="5" t="s">
        <v>2760</v>
      </c>
      <c r="G2303" s="5">
        <v>1</v>
      </c>
      <c r="H2303" s="5" t="s">
        <v>2864</v>
      </c>
      <c r="I2303" s="5" t="str">
        <f>IF(INDEX(Manual_Review!$T$6:$T$238,U2303)="","",INDEX(Manual_Review!$T$6:$T$238,U2303))</f>
        <v/>
      </c>
      <c r="J2303" s="5" t="str">
        <f t="shared" si="70"/>
        <v>AI provisional</v>
      </c>
      <c r="K2303" s="5" t="str">
        <f t="shared" si="71"/>
        <v>U</v>
      </c>
      <c r="L2303" s="5" t="s">
        <v>1660</v>
      </c>
      <c r="M2303" s="5" t="s">
        <v>7591</v>
      </c>
      <c r="N2303" s="5" t="s">
        <v>7581</v>
      </c>
      <c r="O2303" s="5" t="s">
        <v>2885</v>
      </c>
      <c r="P2303" s="5" t="s">
        <v>2858</v>
      </c>
      <c r="Q2303" s="11">
        <v>46306.5</v>
      </c>
      <c r="R2303" s="6"/>
      <c r="S2303" s="6"/>
      <c r="T2303" s="6"/>
      <c r="U2303" s="5">
        <f>MATCH(B2303,Manual_Review!$A$6:$A$238,0)</f>
        <v>144</v>
      </c>
      <c r="V2303" s="5" t="str">
        <f>IF(INDEX(Manual_Review!$G$6:$G$238,U2303)="","",INDEX(Manual_Review!$G$6:$G$238,U2303))</f>
        <v/>
      </c>
      <c r="W2303" s="11" t="str">
        <f>IF(INDEX(Manual_Review!$H$6:$H$238,U2303)="","",INDEX(Manual_Review!$H$6:$H$238,U2303))</f>
        <v/>
      </c>
      <c r="X2303" s="5" t="str">
        <f>IF(INDEX(Manual_Review!$I$6:$I$238,U2303)="","",INDEX(Manual_Review!$I$6:$I$238,U2303))</f>
        <v/>
      </c>
      <c r="Y2303" s="5" t="s">
        <v>2859</v>
      </c>
    </row>
    <row r="2304" spans="1:25" ht="25.5">
      <c r="A2304" s="5" t="s">
        <v>7598</v>
      </c>
      <c r="B2304" s="5" t="s">
        <v>1653</v>
      </c>
      <c r="C2304" s="5" t="s">
        <v>1654</v>
      </c>
      <c r="D2304" s="5" t="s">
        <v>118</v>
      </c>
      <c r="E2304" s="5" t="s">
        <v>2791</v>
      </c>
      <c r="F2304" s="5" t="s">
        <v>2760</v>
      </c>
      <c r="G2304" s="5">
        <v>1</v>
      </c>
      <c r="H2304" s="5" t="s">
        <v>2864</v>
      </c>
      <c r="I2304" s="5" t="str">
        <f>IF(INDEX(Manual_Review!$U$6:$U$238,U2304)="","",INDEX(Manual_Review!$U$6:$U$238,U2304))</f>
        <v/>
      </c>
      <c r="J2304" s="5" t="str">
        <f t="shared" si="70"/>
        <v>AI provisional</v>
      </c>
      <c r="K2304" s="5" t="str">
        <f t="shared" si="71"/>
        <v>U</v>
      </c>
      <c r="L2304" s="5" t="s">
        <v>1660</v>
      </c>
      <c r="M2304" s="5" t="s">
        <v>7589</v>
      </c>
      <c r="N2304" s="5" t="s">
        <v>7581</v>
      </c>
      <c r="O2304" s="5" t="s">
        <v>2888</v>
      </c>
      <c r="P2304" s="5" t="s">
        <v>2858</v>
      </c>
      <c r="Q2304" s="11">
        <v>46306.5</v>
      </c>
      <c r="R2304" s="6"/>
      <c r="S2304" s="6"/>
      <c r="T2304" s="6"/>
      <c r="U2304" s="5">
        <f>MATCH(B2304,Manual_Review!$A$6:$A$238,0)</f>
        <v>144</v>
      </c>
      <c r="V2304" s="5" t="str">
        <f>IF(INDEX(Manual_Review!$G$6:$G$238,U2304)="","",INDEX(Manual_Review!$G$6:$G$238,U2304))</f>
        <v/>
      </c>
      <c r="W2304" s="11" t="str">
        <f>IF(INDEX(Manual_Review!$H$6:$H$238,U2304)="","",INDEX(Manual_Review!$H$6:$H$238,U2304))</f>
        <v/>
      </c>
      <c r="X2304" s="5" t="str">
        <f>IF(INDEX(Manual_Review!$I$6:$I$238,U2304)="","",INDEX(Manual_Review!$I$6:$I$238,U2304))</f>
        <v/>
      </c>
      <c r="Y2304" s="5" t="s">
        <v>2859</v>
      </c>
    </row>
    <row r="2305" spans="1:25" ht="25.5">
      <c r="A2305" s="5" t="s">
        <v>7599</v>
      </c>
      <c r="B2305" s="5" t="s">
        <v>1653</v>
      </c>
      <c r="C2305" s="5" t="s">
        <v>1654</v>
      </c>
      <c r="D2305" s="5" t="s">
        <v>118</v>
      </c>
      <c r="E2305" s="5" t="s">
        <v>2792</v>
      </c>
      <c r="F2305" s="5" t="s">
        <v>2762</v>
      </c>
      <c r="G2305" s="5">
        <v>1</v>
      </c>
      <c r="H2305" s="5" t="s">
        <v>2864</v>
      </c>
      <c r="I2305" s="5" t="str">
        <f>IF(INDEX(Manual_Review!$V$6:$V$238,U2305)="","",INDEX(Manual_Review!$V$6:$V$238,U2305))</f>
        <v/>
      </c>
      <c r="J2305" s="5" t="str">
        <f t="shared" si="70"/>
        <v>AI provisional</v>
      </c>
      <c r="K2305" s="5" t="str">
        <f t="shared" si="71"/>
        <v>U</v>
      </c>
      <c r="L2305" s="5" t="s">
        <v>1660</v>
      </c>
      <c r="M2305" s="5" t="s">
        <v>7600</v>
      </c>
      <c r="N2305" s="5" t="s">
        <v>7581</v>
      </c>
      <c r="O2305" s="5" t="s">
        <v>2891</v>
      </c>
      <c r="P2305" s="5" t="s">
        <v>2858</v>
      </c>
      <c r="Q2305" s="11">
        <v>46306.5</v>
      </c>
      <c r="R2305" s="6"/>
      <c r="S2305" s="6"/>
      <c r="T2305" s="6"/>
      <c r="U2305" s="5">
        <f>MATCH(B2305,Manual_Review!$A$6:$A$238,0)</f>
        <v>144</v>
      </c>
      <c r="V2305" s="5" t="str">
        <f>IF(INDEX(Manual_Review!$G$6:$G$238,U2305)="","",INDEX(Manual_Review!$G$6:$G$238,U2305))</f>
        <v/>
      </c>
      <c r="W2305" s="11" t="str">
        <f>IF(INDEX(Manual_Review!$H$6:$H$238,U2305)="","",INDEX(Manual_Review!$H$6:$H$238,U2305))</f>
        <v/>
      </c>
      <c r="X2305" s="5" t="str">
        <f>IF(INDEX(Manual_Review!$I$6:$I$238,U2305)="","",INDEX(Manual_Review!$I$6:$I$238,U2305))</f>
        <v/>
      </c>
      <c r="Y2305" s="5" t="s">
        <v>2859</v>
      </c>
    </row>
    <row r="2306" spans="1:25" ht="25.5">
      <c r="A2306" s="5" t="s">
        <v>7601</v>
      </c>
      <c r="B2306" s="5" t="s">
        <v>1653</v>
      </c>
      <c r="C2306" s="5" t="s">
        <v>1654</v>
      </c>
      <c r="D2306" s="5" t="s">
        <v>118</v>
      </c>
      <c r="E2306" s="5" t="s">
        <v>2793</v>
      </c>
      <c r="F2306" s="5" t="s">
        <v>2762</v>
      </c>
      <c r="G2306" s="5">
        <v>1</v>
      </c>
      <c r="H2306" s="5" t="s">
        <v>2864</v>
      </c>
      <c r="I2306" s="5" t="str">
        <f>IF(INDEX(Manual_Review!$W$6:$W$238,U2306)="","",INDEX(Manual_Review!$W$6:$W$238,U2306))</f>
        <v/>
      </c>
      <c r="J2306" s="5" t="str">
        <f t="shared" si="70"/>
        <v>AI provisional</v>
      </c>
      <c r="K2306" s="5" t="str">
        <f t="shared" si="71"/>
        <v>U</v>
      </c>
      <c r="L2306" s="5" t="s">
        <v>1660</v>
      </c>
      <c r="M2306" s="5" t="s">
        <v>7602</v>
      </c>
      <c r="N2306" s="5" t="s">
        <v>7581</v>
      </c>
      <c r="O2306" s="5" t="s">
        <v>2893</v>
      </c>
      <c r="P2306" s="5" t="s">
        <v>2858</v>
      </c>
      <c r="Q2306" s="11">
        <v>46306.5</v>
      </c>
      <c r="R2306" s="6"/>
      <c r="S2306" s="6"/>
      <c r="T2306" s="6"/>
      <c r="U2306" s="5">
        <f>MATCH(B2306,Manual_Review!$A$6:$A$238,0)</f>
        <v>144</v>
      </c>
      <c r="V2306" s="5" t="str">
        <f>IF(INDEX(Manual_Review!$G$6:$G$238,U2306)="","",INDEX(Manual_Review!$G$6:$G$238,U2306))</f>
        <v/>
      </c>
      <c r="W2306" s="11" t="str">
        <f>IF(INDEX(Manual_Review!$H$6:$H$238,U2306)="","",INDEX(Manual_Review!$H$6:$H$238,U2306))</f>
        <v/>
      </c>
      <c r="X2306" s="5" t="str">
        <f>IF(INDEX(Manual_Review!$I$6:$I$238,U2306)="","",INDEX(Manual_Review!$I$6:$I$238,U2306))</f>
        <v/>
      </c>
      <c r="Y2306" s="5" t="s">
        <v>2859</v>
      </c>
    </row>
    <row r="2307" spans="1:25" ht="25.5">
      <c r="A2307" s="5" t="s">
        <v>7603</v>
      </c>
      <c r="B2307" s="5" t="s">
        <v>1653</v>
      </c>
      <c r="C2307" s="5" t="s">
        <v>1654</v>
      </c>
      <c r="D2307" s="5" t="s">
        <v>118</v>
      </c>
      <c r="E2307" s="5" t="s">
        <v>2794</v>
      </c>
      <c r="F2307" s="5" t="s">
        <v>2764</v>
      </c>
      <c r="G2307" s="5">
        <v>1</v>
      </c>
      <c r="H2307" s="5" t="s">
        <v>2864</v>
      </c>
      <c r="I2307" s="5" t="str">
        <f>IF(INDEX(Manual_Review!$X$6:$X$238,U2307)="","",INDEX(Manual_Review!$X$6:$X$238,U2307))</f>
        <v/>
      </c>
      <c r="J2307" s="5" t="str">
        <f t="shared" si="70"/>
        <v>AI provisional</v>
      </c>
      <c r="K2307" s="5" t="str">
        <f t="shared" si="71"/>
        <v>U</v>
      </c>
      <c r="L2307" s="5" t="s">
        <v>1660</v>
      </c>
      <c r="M2307" s="5" t="s">
        <v>7591</v>
      </c>
      <c r="N2307" s="5" t="s">
        <v>7581</v>
      </c>
      <c r="O2307" s="5" t="s">
        <v>2895</v>
      </c>
      <c r="P2307" s="5" t="s">
        <v>2858</v>
      </c>
      <c r="Q2307" s="11">
        <v>46306.5</v>
      </c>
      <c r="R2307" s="6"/>
      <c r="S2307" s="6"/>
      <c r="T2307" s="6"/>
      <c r="U2307" s="5">
        <f>MATCH(B2307,Manual_Review!$A$6:$A$238,0)</f>
        <v>144</v>
      </c>
      <c r="V2307" s="5" t="str">
        <f>IF(INDEX(Manual_Review!$G$6:$G$238,U2307)="","",INDEX(Manual_Review!$G$6:$G$238,U2307))</f>
        <v/>
      </c>
      <c r="W2307" s="11" t="str">
        <f>IF(INDEX(Manual_Review!$H$6:$H$238,U2307)="","",INDEX(Manual_Review!$H$6:$H$238,U2307))</f>
        <v/>
      </c>
      <c r="X2307" s="5" t="str">
        <f>IF(INDEX(Manual_Review!$I$6:$I$238,U2307)="","",INDEX(Manual_Review!$I$6:$I$238,U2307))</f>
        <v/>
      </c>
      <c r="Y2307" s="5" t="s">
        <v>2859</v>
      </c>
    </row>
    <row r="2308" spans="1:25" ht="25.5">
      <c r="A2308" s="5" t="s">
        <v>7604</v>
      </c>
      <c r="B2308" s="5" t="s">
        <v>1653</v>
      </c>
      <c r="C2308" s="5" t="s">
        <v>1654</v>
      </c>
      <c r="D2308" s="5" t="s">
        <v>118</v>
      </c>
      <c r="E2308" s="5" t="s">
        <v>2795</v>
      </c>
      <c r="F2308" s="5" t="s">
        <v>2764</v>
      </c>
      <c r="G2308" s="5">
        <v>1</v>
      </c>
      <c r="H2308" s="5" t="s">
        <v>2864</v>
      </c>
      <c r="I2308" s="5" t="str">
        <f>IF(INDEX(Manual_Review!$Y$6:$Y$238,U2308)="","",INDEX(Manual_Review!$Y$6:$Y$238,U2308))</f>
        <v/>
      </c>
      <c r="J2308" s="5" t="str">
        <f t="shared" si="70"/>
        <v>AI provisional</v>
      </c>
      <c r="K2308" s="5" t="str">
        <f t="shared" si="71"/>
        <v>U</v>
      </c>
      <c r="L2308" s="5" t="s">
        <v>1660</v>
      </c>
      <c r="M2308" s="5" t="s">
        <v>7591</v>
      </c>
      <c r="N2308" s="5" t="s">
        <v>7581</v>
      </c>
      <c r="O2308" s="5" t="s">
        <v>2897</v>
      </c>
      <c r="P2308" s="5" t="s">
        <v>2858</v>
      </c>
      <c r="Q2308" s="11">
        <v>46306.5</v>
      </c>
      <c r="R2308" s="6"/>
      <c r="S2308" s="6"/>
      <c r="T2308" s="6"/>
      <c r="U2308" s="5">
        <f>MATCH(B2308,Manual_Review!$A$6:$A$238,0)</f>
        <v>144</v>
      </c>
      <c r="V2308" s="5" t="str">
        <f>IF(INDEX(Manual_Review!$G$6:$G$238,U2308)="","",INDEX(Manual_Review!$G$6:$G$238,U2308))</f>
        <v/>
      </c>
      <c r="W2308" s="11" t="str">
        <f>IF(INDEX(Manual_Review!$H$6:$H$238,U2308)="","",INDEX(Manual_Review!$H$6:$H$238,U2308))</f>
        <v/>
      </c>
      <c r="X2308" s="5" t="str">
        <f>IF(INDEX(Manual_Review!$I$6:$I$238,U2308)="","",INDEX(Manual_Review!$I$6:$I$238,U2308))</f>
        <v/>
      </c>
      <c r="Y2308" s="5" t="s">
        <v>2859</v>
      </c>
    </row>
    <row r="2309" spans="1:25" ht="25.5">
      <c r="A2309" s="5" t="s">
        <v>7605</v>
      </c>
      <c r="B2309" s="5" t="s">
        <v>1653</v>
      </c>
      <c r="C2309" s="5" t="s">
        <v>1654</v>
      </c>
      <c r="D2309" s="5" t="s">
        <v>118</v>
      </c>
      <c r="E2309" s="5" t="s">
        <v>2796</v>
      </c>
      <c r="F2309" s="5" t="s">
        <v>2764</v>
      </c>
      <c r="G2309" s="5">
        <v>1</v>
      </c>
      <c r="H2309" s="5" t="s">
        <v>2864</v>
      </c>
      <c r="I2309" s="5" t="str">
        <f>IF(INDEX(Manual_Review!$Z$6:$Z$238,U2309)="","",INDEX(Manual_Review!$Z$6:$Z$238,U2309))</f>
        <v/>
      </c>
      <c r="J2309" s="5" t="str">
        <f t="shared" si="70"/>
        <v>AI provisional</v>
      </c>
      <c r="K2309" s="5" t="str">
        <f t="shared" si="71"/>
        <v>U</v>
      </c>
      <c r="L2309" s="5" t="s">
        <v>1660</v>
      </c>
      <c r="M2309" s="5" t="s">
        <v>7596</v>
      </c>
      <c r="N2309" s="5" t="s">
        <v>7581</v>
      </c>
      <c r="O2309" s="5" t="s">
        <v>2899</v>
      </c>
      <c r="P2309" s="5" t="s">
        <v>2858</v>
      </c>
      <c r="Q2309" s="11">
        <v>46306.5</v>
      </c>
      <c r="R2309" s="6"/>
      <c r="S2309" s="6"/>
      <c r="T2309" s="6"/>
      <c r="U2309" s="5">
        <f>MATCH(B2309,Manual_Review!$A$6:$A$238,0)</f>
        <v>144</v>
      </c>
      <c r="V2309" s="5" t="str">
        <f>IF(INDEX(Manual_Review!$G$6:$G$238,U2309)="","",INDEX(Manual_Review!$G$6:$G$238,U2309))</f>
        <v/>
      </c>
      <c r="W2309" s="11" t="str">
        <f>IF(INDEX(Manual_Review!$H$6:$H$238,U2309)="","",INDEX(Manual_Review!$H$6:$H$238,U2309))</f>
        <v/>
      </c>
      <c r="X2309" s="5" t="str">
        <f>IF(INDEX(Manual_Review!$I$6:$I$238,U2309)="","",INDEX(Manual_Review!$I$6:$I$238,U2309))</f>
        <v/>
      </c>
      <c r="Y2309" s="5" t="s">
        <v>2859</v>
      </c>
    </row>
    <row r="2310" spans="1:25" ht="38.25">
      <c r="A2310" s="5" t="s">
        <v>7606</v>
      </c>
      <c r="B2310" s="5" t="s">
        <v>1662</v>
      </c>
      <c r="C2310" s="5" t="s">
        <v>1663</v>
      </c>
      <c r="D2310" s="5" t="s">
        <v>118</v>
      </c>
      <c r="E2310" s="5" t="s">
        <v>2781</v>
      </c>
      <c r="F2310" s="5" t="s">
        <v>2754</v>
      </c>
      <c r="G2310" s="5">
        <v>1</v>
      </c>
      <c r="H2310" s="5" t="s">
        <v>2854</v>
      </c>
      <c r="I2310" s="5" t="str">
        <f>IF(INDEX(Manual_Review!$K$6:$K$238,U2310)="","",INDEX(Manual_Review!$K$6:$K$238,U2310))</f>
        <v/>
      </c>
      <c r="J2310" s="5" t="str">
        <f t="shared" ref="J2310:J2373" si="72">IF(G2310=0,"Not applicable",IF(I2310="","AI provisional",IF(AND(OR(I2310="Y",I2310="N",I2310="U",I2310="X"),V2310&lt;&gt;"",ISNUMBER(W2310),W2310&gt;0,X2310="Confirmed",R2310&lt;&gt;"",S2310&lt;&gt;"",T2310&lt;&gt;""),"Human valid","Evidence needed")))</f>
        <v>AI provisional</v>
      </c>
      <c r="K2310" s="5" t="str">
        <f t="shared" ref="K2310:K2373" si="73">IF(G2310=0,"N/A",IF(I2310="",H2310,IF(J2310="Human valid",I2310,"U")))</f>
        <v>Y</v>
      </c>
      <c r="L2310" s="5" t="s">
        <v>1669</v>
      </c>
      <c r="M2310" s="5" t="s">
        <v>7607</v>
      </c>
      <c r="N2310" s="5" t="s">
        <v>7608</v>
      </c>
      <c r="O2310" s="5" t="s">
        <v>2857</v>
      </c>
      <c r="P2310" s="5" t="s">
        <v>2858</v>
      </c>
      <c r="Q2310" s="11">
        <v>46306.5</v>
      </c>
      <c r="R2310" s="6"/>
      <c r="S2310" s="6"/>
      <c r="T2310" s="6"/>
      <c r="U2310" s="5">
        <f>MATCH(B2310,Manual_Review!$A$6:$A$238,0)</f>
        <v>145</v>
      </c>
      <c r="V2310" s="5" t="str">
        <f>IF(INDEX(Manual_Review!$G$6:$G$238,U2310)="","",INDEX(Manual_Review!$G$6:$G$238,U2310))</f>
        <v/>
      </c>
      <c r="W2310" s="11" t="str">
        <f>IF(INDEX(Manual_Review!$H$6:$H$238,U2310)="","",INDEX(Manual_Review!$H$6:$H$238,U2310))</f>
        <v/>
      </c>
      <c r="X2310" s="5" t="str">
        <f>IF(INDEX(Manual_Review!$I$6:$I$238,U2310)="","",INDEX(Manual_Review!$I$6:$I$238,U2310))</f>
        <v/>
      </c>
      <c r="Y2310" s="5" t="s">
        <v>2859</v>
      </c>
    </row>
    <row r="2311" spans="1:25" ht="38.25">
      <c r="A2311" s="5" t="s">
        <v>7609</v>
      </c>
      <c r="B2311" s="5" t="s">
        <v>1662</v>
      </c>
      <c r="C2311" s="5" t="s">
        <v>1663</v>
      </c>
      <c r="D2311" s="5" t="s">
        <v>118</v>
      </c>
      <c r="E2311" s="5" t="s">
        <v>2782</v>
      </c>
      <c r="F2311" s="5" t="s">
        <v>2754</v>
      </c>
      <c r="G2311" s="5">
        <v>1</v>
      </c>
      <c r="H2311" s="5" t="s">
        <v>2854</v>
      </c>
      <c r="I2311" s="5" t="str">
        <f>IF(INDEX(Manual_Review!$L$6:$L$238,U2311)="","",INDEX(Manual_Review!$L$6:$L$238,U2311))</f>
        <v/>
      </c>
      <c r="J2311" s="5" t="str">
        <f t="shared" si="72"/>
        <v>AI provisional</v>
      </c>
      <c r="K2311" s="5" t="str">
        <f t="shared" si="73"/>
        <v>Y</v>
      </c>
      <c r="L2311" s="5" t="s">
        <v>1669</v>
      </c>
      <c r="M2311" s="5" t="s">
        <v>7610</v>
      </c>
      <c r="N2311" s="5" t="s">
        <v>7608</v>
      </c>
      <c r="O2311" s="5" t="s">
        <v>2862</v>
      </c>
      <c r="P2311" s="5" t="s">
        <v>2858</v>
      </c>
      <c r="Q2311" s="11">
        <v>46306.5</v>
      </c>
      <c r="R2311" s="6"/>
      <c r="S2311" s="6"/>
      <c r="T2311" s="6"/>
      <c r="U2311" s="5">
        <f>MATCH(B2311,Manual_Review!$A$6:$A$238,0)</f>
        <v>145</v>
      </c>
      <c r="V2311" s="5" t="str">
        <f>IF(INDEX(Manual_Review!$G$6:$G$238,U2311)="","",INDEX(Manual_Review!$G$6:$G$238,U2311))</f>
        <v/>
      </c>
      <c r="W2311" s="11" t="str">
        <f>IF(INDEX(Manual_Review!$H$6:$H$238,U2311)="","",INDEX(Manual_Review!$H$6:$H$238,U2311))</f>
        <v/>
      </c>
      <c r="X2311" s="5" t="str">
        <f>IF(INDEX(Manual_Review!$I$6:$I$238,U2311)="","",INDEX(Manual_Review!$I$6:$I$238,U2311))</f>
        <v/>
      </c>
      <c r="Y2311" s="5" t="s">
        <v>2859</v>
      </c>
    </row>
    <row r="2312" spans="1:25" ht="38.25">
      <c r="A2312" s="5" t="s">
        <v>7611</v>
      </c>
      <c r="B2312" s="5" t="s">
        <v>1662</v>
      </c>
      <c r="C2312" s="5" t="s">
        <v>1663</v>
      </c>
      <c r="D2312" s="5" t="s">
        <v>118</v>
      </c>
      <c r="E2312" s="5" t="s">
        <v>2783</v>
      </c>
      <c r="F2312" s="5" t="s">
        <v>2754</v>
      </c>
      <c r="G2312" s="5">
        <v>1</v>
      </c>
      <c r="H2312" s="5" t="s">
        <v>2854</v>
      </c>
      <c r="I2312" s="5" t="str">
        <f>IF(INDEX(Manual_Review!$M$6:$M$238,U2312)="","",INDEX(Manual_Review!$M$6:$M$238,U2312))</f>
        <v/>
      </c>
      <c r="J2312" s="5" t="str">
        <f t="shared" si="72"/>
        <v>AI provisional</v>
      </c>
      <c r="K2312" s="5" t="str">
        <f t="shared" si="73"/>
        <v>Y</v>
      </c>
      <c r="L2312" s="5" t="s">
        <v>1669</v>
      </c>
      <c r="M2312" s="5" t="s">
        <v>7612</v>
      </c>
      <c r="N2312" s="5" t="s">
        <v>7608</v>
      </c>
      <c r="O2312" s="5" t="s">
        <v>3133</v>
      </c>
      <c r="P2312" s="5" t="s">
        <v>2858</v>
      </c>
      <c r="Q2312" s="11">
        <v>46306.5</v>
      </c>
      <c r="R2312" s="6"/>
      <c r="S2312" s="6"/>
      <c r="T2312" s="6"/>
      <c r="U2312" s="5">
        <f>MATCH(B2312,Manual_Review!$A$6:$A$238,0)</f>
        <v>145</v>
      </c>
      <c r="V2312" s="5" t="str">
        <f>IF(INDEX(Manual_Review!$G$6:$G$238,U2312)="","",INDEX(Manual_Review!$G$6:$G$238,U2312))</f>
        <v/>
      </c>
      <c r="W2312" s="11" t="str">
        <f>IF(INDEX(Manual_Review!$H$6:$H$238,U2312)="","",INDEX(Manual_Review!$H$6:$H$238,U2312))</f>
        <v/>
      </c>
      <c r="X2312" s="5" t="str">
        <f>IF(INDEX(Manual_Review!$I$6:$I$238,U2312)="","",INDEX(Manual_Review!$I$6:$I$238,U2312))</f>
        <v/>
      </c>
      <c r="Y2312" s="5" t="s">
        <v>2859</v>
      </c>
    </row>
    <row r="2313" spans="1:25" ht="38.25">
      <c r="A2313" s="5" t="s">
        <v>7613</v>
      </c>
      <c r="B2313" s="5" t="s">
        <v>1662</v>
      </c>
      <c r="C2313" s="5" t="s">
        <v>1663</v>
      </c>
      <c r="D2313" s="5" t="s">
        <v>118</v>
      </c>
      <c r="E2313" s="5" t="s">
        <v>2784</v>
      </c>
      <c r="F2313" s="5" t="s">
        <v>2756</v>
      </c>
      <c r="G2313" s="5">
        <v>1</v>
      </c>
      <c r="H2313" s="5" t="s">
        <v>2854</v>
      </c>
      <c r="I2313" s="5" t="str">
        <f>IF(INDEX(Manual_Review!$N$6:$N$238,U2313)="","",INDEX(Manual_Review!$N$6:$N$238,U2313))</f>
        <v/>
      </c>
      <c r="J2313" s="5" t="str">
        <f t="shared" si="72"/>
        <v>AI provisional</v>
      </c>
      <c r="K2313" s="5" t="str">
        <f t="shared" si="73"/>
        <v>Y</v>
      </c>
      <c r="L2313" s="5" t="s">
        <v>1669</v>
      </c>
      <c r="M2313" s="5" t="s">
        <v>7614</v>
      </c>
      <c r="N2313" s="5" t="s">
        <v>7608</v>
      </c>
      <c r="O2313" s="5" t="s">
        <v>2963</v>
      </c>
      <c r="P2313" s="5" t="s">
        <v>2858</v>
      </c>
      <c r="Q2313" s="11">
        <v>46306.5</v>
      </c>
      <c r="R2313" s="6"/>
      <c r="S2313" s="6"/>
      <c r="T2313" s="6"/>
      <c r="U2313" s="5">
        <f>MATCH(B2313,Manual_Review!$A$6:$A$238,0)</f>
        <v>145</v>
      </c>
      <c r="V2313" s="5" t="str">
        <f>IF(INDEX(Manual_Review!$G$6:$G$238,U2313)="","",INDEX(Manual_Review!$G$6:$G$238,U2313))</f>
        <v/>
      </c>
      <c r="W2313" s="11" t="str">
        <f>IF(INDEX(Manual_Review!$H$6:$H$238,U2313)="","",INDEX(Manual_Review!$H$6:$H$238,U2313))</f>
        <v/>
      </c>
      <c r="X2313" s="5" t="str">
        <f>IF(INDEX(Manual_Review!$I$6:$I$238,U2313)="","",INDEX(Manual_Review!$I$6:$I$238,U2313))</f>
        <v/>
      </c>
      <c r="Y2313" s="5" t="s">
        <v>2859</v>
      </c>
    </row>
    <row r="2314" spans="1:25" ht="38.25">
      <c r="A2314" s="5" t="s">
        <v>7615</v>
      </c>
      <c r="B2314" s="5" t="s">
        <v>1662</v>
      </c>
      <c r="C2314" s="5" t="s">
        <v>1663</v>
      </c>
      <c r="D2314" s="5" t="s">
        <v>118</v>
      </c>
      <c r="E2314" s="5" t="s">
        <v>2785</v>
      </c>
      <c r="F2314" s="5" t="s">
        <v>2756</v>
      </c>
      <c r="G2314" s="5">
        <v>1</v>
      </c>
      <c r="H2314" s="5" t="s">
        <v>2864</v>
      </c>
      <c r="I2314" s="5" t="str">
        <f>IF(INDEX(Manual_Review!$O$6:$O$238,U2314)="","",INDEX(Manual_Review!$O$6:$O$238,U2314))</f>
        <v/>
      </c>
      <c r="J2314" s="5" t="str">
        <f t="shared" si="72"/>
        <v>AI provisional</v>
      </c>
      <c r="K2314" s="5" t="str">
        <f t="shared" si="73"/>
        <v>U</v>
      </c>
      <c r="L2314" s="5" t="s">
        <v>1669</v>
      </c>
      <c r="M2314" s="5" t="s">
        <v>7616</v>
      </c>
      <c r="N2314" s="5" t="s">
        <v>7608</v>
      </c>
      <c r="O2314" s="5" t="s">
        <v>2872</v>
      </c>
      <c r="P2314" s="5" t="s">
        <v>2858</v>
      </c>
      <c r="Q2314" s="11">
        <v>46306.5</v>
      </c>
      <c r="R2314" s="6"/>
      <c r="S2314" s="6"/>
      <c r="T2314" s="6"/>
      <c r="U2314" s="5">
        <f>MATCH(B2314,Manual_Review!$A$6:$A$238,0)</f>
        <v>145</v>
      </c>
      <c r="V2314" s="5" t="str">
        <f>IF(INDEX(Manual_Review!$G$6:$G$238,U2314)="","",INDEX(Manual_Review!$G$6:$G$238,U2314))</f>
        <v/>
      </c>
      <c r="W2314" s="11" t="str">
        <f>IF(INDEX(Manual_Review!$H$6:$H$238,U2314)="","",INDEX(Manual_Review!$H$6:$H$238,U2314))</f>
        <v/>
      </c>
      <c r="X2314" s="5" t="str">
        <f>IF(INDEX(Manual_Review!$I$6:$I$238,U2314)="","",INDEX(Manual_Review!$I$6:$I$238,U2314))</f>
        <v/>
      </c>
      <c r="Y2314" s="5" t="s">
        <v>2859</v>
      </c>
    </row>
    <row r="2315" spans="1:25" ht="38.25">
      <c r="A2315" s="5" t="s">
        <v>7617</v>
      </c>
      <c r="B2315" s="5" t="s">
        <v>1662</v>
      </c>
      <c r="C2315" s="5" t="s">
        <v>1663</v>
      </c>
      <c r="D2315" s="5" t="s">
        <v>118</v>
      </c>
      <c r="E2315" s="5" t="s">
        <v>2786</v>
      </c>
      <c r="F2315" s="5" t="s">
        <v>2756</v>
      </c>
      <c r="G2315" s="5">
        <v>1</v>
      </c>
      <c r="H2315" s="5" t="s">
        <v>2864</v>
      </c>
      <c r="I2315" s="5" t="str">
        <f>IF(INDEX(Manual_Review!$P$6:$P$238,U2315)="","",INDEX(Manual_Review!$P$6:$P$238,U2315))</f>
        <v/>
      </c>
      <c r="J2315" s="5" t="str">
        <f t="shared" si="72"/>
        <v>AI provisional</v>
      </c>
      <c r="K2315" s="5" t="str">
        <f t="shared" si="73"/>
        <v>U</v>
      </c>
      <c r="L2315" s="5" t="s">
        <v>1669</v>
      </c>
      <c r="M2315" s="5" t="s">
        <v>7618</v>
      </c>
      <c r="N2315" s="5" t="s">
        <v>7608</v>
      </c>
      <c r="O2315" s="5" t="s">
        <v>2874</v>
      </c>
      <c r="P2315" s="5" t="s">
        <v>2858</v>
      </c>
      <c r="Q2315" s="11">
        <v>46306.5</v>
      </c>
      <c r="R2315" s="6"/>
      <c r="S2315" s="6"/>
      <c r="T2315" s="6"/>
      <c r="U2315" s="5">
        <f>MATCH(B2315,Manual_Review!$A$6:$A$238,0)</f>
        <v>145</v>
      </c>
      <c r="V2315" s="5" t="str">
        <f>IF(INDEX(Manual_Review!$G$6:$G$238,U2315)="","",INDEX(Manual_Review!$G$6:$G$238,U2315))</f>
        <v/>
      </c>
      <c r="W2315" s="11" t="str">
        <f>IF(INDEX(Manual_Review!$H$6:$H$238,U2315)="","",INDEX(Manual_Review!$H$6:$H$238,U2315))</f>
        <v/>
      </c>
      <c r="X2315" s="5" t="str">
        <f>IF(INDEX(Manual_Review!$I$6:$I$238,U2315)="","",INDEX(Manual_Review!$I$6:$I$238,U2315))</f>
        <v/>
      </c>
      <c r="Y2315" s="5" t="s">
        <v>2859</v>
      </c>
    </row>
    <row r="2316" spans="1:25" ht="38.25">
      <c r="A2316" s="5" t="s">
        <v>7619</v>
      </c>
      <c r="B2316" s="5" t="s">
        <v>1662</v>
      </c>
      <c r="C2316" s="5" t="s">
        <v>1663</v>
      </c>
      <c r="D2316" s="5" t="s">
        <v>118</v>
      </c>
      <c r="E2316" s="5" t="s">
        <v>2787</v>
      </c>
      <c r="F2316" s="5" t="s">
        <v>2758</v>
      </c>
      <c r="G2316" s="5">
        <v>1</v>
      </c>
      <c r="H2316" s="5" t="s">
        <v>2864</v>
      </c>
      <c r="I2316" s="5" t="str">
        <f>IF(INDEX(Manual_Review!$Q$6:$Q$238,U2316)="","",INDEX(Manual_Review!$Q$6:$Q$238,U2316))</f>
        <v/>
      </c>
      <c r="J2316" s="5" t="str">
        <f t="shared" si="72"/>
        <v>AI provisional</v>
      </c>
      <c r="K2316" s="5" t="str">
        <f t="shared" si="73"/>
        <v>U</v>
      </c>
      <c r="L2316" s="5" t="s">
        <v>1669</v>
      </c>
      <c r="M2316" s="5" t="s">
        <v>7620</v>
      </c>
      <c r="N2316" s="5" t="s">
        <v>7608</v>
      </c>
      <c r="O2316" s="5" t="s">
        <v>2877</v>
      </c>
      <c r="P2316" s="5" t="s">
        <v>2858</v>
      </c>
      <c r="Q2316" s="11">
        <v>46306.5</v>
      </c>
      <c r="R2316" s="6"/>
      <c r="S2316" s="6"/>
      <c r="T2316" s="6"/>
      <c r="U2316" s="5">
        <f>MATCH(B2316,Manual_Review!$A$6:$A$238,0)</f>
        <v>145</v>
      </c>
      <c r="V2316" s="5" t="str">
        <f>IF(INDEX(Manual_Review!$G$6:$G$238,U2316)="","",INDEX(Manual_Review!$G$6:$G$238,U2316))</f>
        <v/>
      </c>
      <c r="W2316" s="11" t="str">
        <f>IF(INDEX(Manual_Review!$H$6:$H$238,U2316)="","",INDEX(Manual_Review!$H$6:$H$238,U2316))</f>
        <v/>
      </c>
      <c r="X2316" s="5" t="str">
        <f>IF(INDEX(Manual_Review!$I$6:$I$238,U2316)="","",INDEX(Manual_Review!$I$6:$I$238,U2316))</f>
        <v/>
      </c>
      <c r="Y2316" s="5" t="s">
        <v>2859</v>
      </c>
    </row>
    <row r="2317" spans="1:25" ht="38.25">
      <c r="A2317" s="5" t="s">
        <v>7621</v>
      </c>
      <c r="B2317" s="5" t="s">
        <v>1662</v>
      </c>
      <c r="C2317" s="5" t="s">
        <v>1663</v>
      </c>
      <c r="D2317" s="5" t="s">
        <v>118</v>
      </c>
      <c r="E2317" s="5" t="s">
        <v>2788</v>
      </c>
      <c r="F2317" s="5" t="s">
        <v>2758</v>
      </c>
      <c r="G2317" s="5">
        <v>1</v>
      </c>
      <c r="H2317" s="5" t="s">
        <v>2854</v>
      </c>
      <c r="I2317" s="5" t="str">
        <f>IF(INDEX(Manual_Review!$R$6:$R$238,U2317)="","",INDEX(Manual_Review!$R$6:$R$238,U2317))</f>
        <v/>
      </c>
      <c r="J2317" s="5" t="str">
        <f t="shared" si="72"/>
        <v>AI provisional</v>
      </c>
      <c r="K2317" s="5" t="str">
        <f t="shared" si="73"/>
        <v>Y</v>
      </c>
      <c r="L2317" s="5" t="s">
        <v>1669</v>
      </c>
      <c r="M2317" s="5" t="s">
        <v>7622</v>
      </c>
      <c r="N2317" s="5" t="s">
        <v>7608</v>
      </c>
      <c r="O2317" s="5" t="s">
        <v>3067</v>
      </c>
      <c r="P2317" s="5" t="s">
        <v>2858</v>
      </c>
      <c r="Q2317" s="11">
        <v>46306.5</v>
      </c>
      <c r="R2317" s="6"/>
      <c r="S2317" s="6"/>
      <c r="T2317" s="6"/>
      <c r="U2317" s="5">
        <f>MATCH(B2317,Manual_Review!$A$6:$A$238,0)</f>
        <v>145</v>
      </c>
      <c r="V2317" s="5" t="str">
        <f>IF(INDEX(Manual_Review!$G$6:$G$238,U2317)="","",INDEX(Manual_Review!$G$6:$G$238,U2317))</f>
        <v/>
      </c>
      <c r="W2317" s="11" t="str">
        <f>IF(INDEX(Manual_Review!$H$6:$H$238,U2317)="","",INDEX(Manual_Review!$H$6:$H$238,U2317))</f>
        <v/>
      </c>
      <c r="X2317" s="5" t="str">
        <f>IF(INDEX(Manual_Review!$I$6:$I$238,U2317)="","",INDEX(Manual_Review!$I$6:$I$238,U2317))</f>
        <v/>
      </c>
      <c r="Y2317" s="5" t="s">
        <v>2859</v>
      </c>
    </row>
    <row r="2318" spans="1:25" ht="38.25">
      <c r="A2318" s="5" t="s">
        <v>7623</v>
      </c>
      <c r="B2318" s="5" t="s">
        <v>1662</v>
      </c>
      <c r="C2318" s="5" t="s">
        <v>1663</v>
      </c>
      <c r="D2318" s="5" t="s">
        <v>118</v>
      </c>
      <c r="E2318" s="5" t="s">
        <v>2789</v>
      </c>
      <c r="F2318" s="5" t="s">
        <v>2758</v>
      </c>
      <c r="G2318" s="5">
        <v>1</v>
      </c>
      <c r="H2318" s="5" t="s">
        <v>2854</v>
      </c>
      <c r="I2318" s="5" t="str">
        <f>IF(INDEX(Manual_Review!$S$6:$S$238,U2318)="","",INDEX(Manual_Review!$S$6:$S$238,U2318))</f>
        <v/>
      </c>
      <c r="J2318" s="5" t="str">
        <f t="shared" si="72"/>
        <v>AI provisional</v>
      </c>
      <c r="K2318" s="5" t="str">
        <f t="shared" si="73"/>
        <v>Y</v>
      </c>
      <c r="L2318" s="5" t="s">
        <v>1669</v>
      </c>
      <c r="M2318" s="5" t="s">
        <v>7624</v>
      </c>
      <c r="N2318" s="5" t="s">
        <v>7608</v>
      </c>
      <c r="O2318" s="5" t="s">
        <v>3178</v>
      </c>
      <c r="P2318" s="5" t="s">
        <v>2858</v>
      </c>
      <c r="Q2318" s="11">
        <v>46306.5</v>
      </c>
      <c r="R2318" s="6"/>
      <c r="S2318" s="6"/>
      <c r="T2318" s="6"/>
      <c r="U2318" s="5">
        <f>MATCH(B2318,Manual_Review!$A$6:$A$238,0)</f>
        <v>145</v>
      </c>
      <c r="V2318" s="5" t="str">
        <f>IF(INDEX(Manual_Review!$G$6:$G$238,U2318)="","",INDEX(Manual_Review!$G$6:$G$238,U2318))</f>
        <v/>
      </c>
      <c r="W2318" s="11" t="str">
        <f>IF(INDEX(Manual_Review!$H$6:$H$238,U2318)="","",INDEX(Manual_Review!$H$6:$H$238,U2318))</f>
        <v/>
      </c>
      <c r="X2318" s="5" t="str">
        <f>IF(INDEX(Manual_Review!$I$6:$I$238,U2318)="","",INDEX(Manual_Review!$I$6:$I$238,U2318))</f>
        <v/>
      </c>
      <c r="Y2318" s="5" t="s">
        <v>2859</v>
      </c>
    </row>
    <row r="2319" spans="1:25" ht="38.25">
      <c r="A2319" s="5" t="s">
        <v>7625</v>
      </c>
      <c r="B2319" s="5" t="s">
        <v>1662</v>
      </c>
      <c r="C2319" s="5" t="s">
        <v>1663</v>
      </c>
      <c r="D2319" s="5" t="s">
        <v>118</v>
      </c>
      <c r="E2319" s="5" t="s">
        <v>2790</v>
      </c>
      <c r="F2319" s="5" t="s">
        <v>2760</v>
      </c>
      <c r="G2319" s="5">
        <v>1</v>
      </c>
      <c r="H2319" s="5" t="s">
        <v>2854</v>
      </c>
      <c r="I2319" s="5" t="str">
        <f>IF(INDEX(Manual_Review!$T$6:$T$238,U2319)="","",INDEX(Manual_Review!$T$6:$T$238,U2319))</f>
        <v/>
      </c>
      <c r="J2319" s="5" t="str">
        <f t="shared" si="72"/>
        <v>AI provisional</v>
      </c>
      <c r="K2319" s="5" t="str">
        <f t="shared" si="73"/>
        <v>Y</v>
      </c>
      <c r="L2319" s="5" t="s">
        <v>1669</v>
      </c>
      <c r="M2319" s="5" t="s">
        <v>7626</v>
      </c>
      <c r="N2319" s="5" t="s">
        <v>7608</v>
      </c>
      <c r="O2319" s="5" t="s">
        <v>2976</v>
      </c>
      <c r="P2319" s="5" t="s">
        <v>2858</v>
      </c>
      <c r="Q2319" s="11">
        <v>46306.5</v>
      </c>
      <c r="R2319" s="6"/>
      <c r="S2319" s="6"/>
      <c r="T2319" s="6"/>
      <c r="U2319" s="5">
        <f>MATCH(B2319,Manual_Review!$A$6:$A$238,0)</f>
        <v>145</v>
      </c>
      <c r="V2319" s="5" t="str">
        <f>IF(INDEX(Manual_Review!$G$6:$G$238,U2319)="","",INDEX(Manual_Review!$G$6:$G$238,U2319))</f>
        <v/>
      </c>
      <c r="W2319" s="11" t="str">
        <f>IF(INDEX(Manual_Review!$H$6:$H$238,U2319)="","",INDEX(Manual_Review!$H$6:$H$238,U2319))</f>
        <v/>
      </c>
      <c r="X2319" s="5" t="str">
        <f>IF(INDEX(Manual_Review!$I$6:$I$238,U2319)="","",INDEX(Manual_Review!$I$6:$I$238,U2319))</f>
        <v/>
      </c>
      <c r="Y2319" s="5" t="s">
        <v>2859</v>
      </c>
    </row>
    <row r="2320" spans="1:25" ht="38.25">
      <c r="A2320" s="5" t="s">
        <v>7627</v>
      </c>
      <c r="B2320" s="5" t="s">
        <v>1662</v>
      </c>
      <c r="C2320" s="5" t="s">
        <v>1663</v>
      </c>
      <c r="D2320" s="5" t="s">
        <v>118</v>
      </c>
      <c r="E2320" s="5" t="s">
        <v>2791</v>
      </c>
      <c r="F2320" s="5" t="s">
        <v>2760</v>
      </c>
      <c r="G2320" s="5">
        <v>1</v>
      </c>
      <c r="H2320" s="5" t="s">
        <v>2864</v>
      </c>
      <c r="I2320" s="5" t="str">
        <f>IF(INDEX(Manual_Review!$U$6:$U$238,U2320)="","",INDEX(Manual_Review!$U$6:$U$238,U2320))</f>
        <v/>
      </c>
      <c r="J2320" s="5" t="str">
        <f t="shared" si="72"/>
        <v>AI provisional</v>
      </c>
      <c r="K2320" s="5" t="str">
        <f t="shared" si="73"/>
        <v>U</v>
      </c>
      <c r="L2320" s="5" t="s">
        <v>1669</v>
      </c>
      <c r="M2320" s="5" t="s">
        <v>7628</v>
      </c>
      <c r="N2320" s="5" t="s">
        <v>7608</v>
      </c>
      <c r="O2320" s="5" t="s">
        <v>2888</v>
      </c>
      <c r="P2320" s="5" t="s">
        <v>2858</v>
      </c>
      <c r="Q2320" s="11">
        <v>46306.5</v>
      </c>
      <c r="R2320" s="6"/>
      <c r="S2320" s="6"/>
      <c r="T2320" s="6"/>
      <c r="U2320" s="5">
        <f>MATCH(B2320,Manual_Review!$A$6:$A$238,0)</f>
        <v>145</v>
      </c>
      <c r="V2320" s="5" t="str">
        <f>IF(INDEX(Manual_Review!$G$6:$G$238,U2320)="","",INDEX(Manual_Review!$G$6:$G$238,U2320))</f>
        <v/>
      </c>
      <c r="W2320" s="11" t="str">
        <f>IF(INDEX(Manual_Review!$H$6:$H$238,U2320)="","",INDEX(Manual_Review!$H$6:$H$238,U2320))</f>
        <v/>
      </c>
      <c r="X2320" s="5" t="str">
        <f>IF(INDEX(Manual_Review!$I$6:$I$238,U2320)="","",INDEX(Manual_Review!$I$6:$I$238,U2320))</f>
        <v/>
      </c>
      <c r="Y2320" s="5" t="s">
        <v>2859</v>
      </c>
    </row>
    <row r="2321" spans="1:25" ht="38.25">
      <c r="A2321" s="5" t="s">
        <v>7629</v>
      </c>
      <c r="B2321" s="5" t="s">
        <v>1662</v>
      </c>
      <c r="C2321" s="5" t="s">
        <v>1663</v>
      </c>
      <c r="D2321" s="5" t="s">
        <v>118</v>
      </c>
      <c r="E2321" s="5" t="s">
        <v>2792</v>
      </c>
      <c r="F2321" s="5" t="s">
        <v>2762</v>
      </c>
      <c r="G2321" s="5">
        <v>1</v>
      </c>
      <c r="H2321" s="5" t="s">
        <v>2864</v>
      </c>
      <c r="I2321" s="5" t="str">
        <f>IF(INDEX(Manual_Review!$V$6:$V$238,U2321)="","",INDEX(Manual_Review!$V$6:$V$238,U2321))</f>
        <v/>
      </c>
      <c r="J2321" s="5" t="str">
        <f t="shared" si="72"/>
        <v>AI provisional</v>
      </c>
      <c r="K2321" s="5" t="str">
        <f t="shared" si="73"/>
        <v>U</v>
      </c>
      <c r="L2321" s="5" t="s">
        <v>1669</v>
      </c>
      <c r="M2321" s="5" t="s">
        <v>7630</v>
      </c>
      <c r="N2321" s="5" t="s">
        <v>7608</v>
      </c>
      <c r="O2321" s="5" t="s">
        <v>2891</v>
      </c>
      <c r="P2321" s="5" t="s">
        <v>2858</v>
      </c>
      <c r="Q2321" s="11">
        <v>46306.5</v>
      </c>
      <c r="R2321" s="6"/>
      <c r="S2321" s="6"/>
      <c r="T2321" s="6"/>
      <c r="U2321" s="5">
        <f>MATCH(B2321,Manual_Review!$A$6:$A$238,0)</f>
        <v>145</v>
      </c>
      <c r="V2321" s="5" t="str">
        <f>IF(INDEX(Manual_Review!$G$6:$G$238,U2321)="","",INDEX(Manual_Review!$G$6:$G$238,U2321))</f>
        <v/>
      </c>
      <c r="W2321" s="11" t="str">
        <f>IF(INDEX(Manual_Review!$H$6:$H$238,U2321)="","",INDEX(Manual_Review!$H$6:$H$238,U2321))</f>
        <v/>
      </c>
      <c r="X2321" s="5" t="str">
        <f>IF(INDEX(Manual_Review!$I$6:$I$238,U2321)="","",INDEX(Manual_Review!$I$6:$I$238,U2321))</f>
        <v/>
      </c>
      <c r="Y2321" s="5" t="s">
        <v>2859</v>
      </c>
    </row>
    <row r="2322" spans="1:25" ht="38.25">
      <c r="A2322" s="5" t="s">
        <v>7631</v>
      </c>
      <c r="B2322" s="5" t="s">
        <v>1662</v>
      </c>
      <c r="C2322" s="5" t="s">
        <v>1663</v>
      </c>
      <c r="D2322" s="5" t="s">
        <v>118</v>
      </c>
      <c r="E2322" s="5" t="s">
        <v>2793</v>
      </c>
      <c r="F2322" s="5" t="s">
        <v>2762</v>
      </c>
      <c r="G2322" s="5">
        <v>1</v>
      </c>
      <c r="H2322" s="5" t="s">
        <v>2864</v>
      </c>
      <c r="I2322" s="5" t="str">
        <f>IF(INDEX(Manual_Review!$W$6:$W$238,U2322)="","",INDEX(Manual_Review!$W$6:$W$238,U2322))</f>
        <v/>
      </c>
      <c r="J2322" s="5" t="str">
        <f t="shared" si="72"/>
        <v>AI provisional</v>
      </c>
      <c r="K2322" s="5" t="str">
        <f t="shared" si="73"/>
        <v>U</v>
      </c>
      <c r="L2322" s="5" t="s">
        <v>1669</v>
      </c>
      <c r="M2322" s="5" t="s">
        <v>7632</v>
      </c>
      <c r="N2322" s="5" t="s">
        <v>7608</v>
      </c>
      <c r="O2322" s="5" t="s">
        <v>2893</v>
      </c>
      <c r="P2322" s="5" t="s">
        <v>2858</v>
      </c>
      <c r="Q2322" s="11">
        <v>46306.5</v>
      </c>
      <c r="R2322" s="6"/>
      <c r="S2322" s="6"/>
      <c r="T2322" s="6"/>
      <c r="U2322" s="5">
        <f>MATCH(B2322,Manual_Review!$A$6:$A$238,0)</f>
        <v>145</v>
      </c>
      <c r="V2322" s="5" t="str">
        <f>IF(INDEX(Manual_Review!$G$6:$G$238,U2322)="","",INDEX(Manual_Review!$G$6:$G$238,U2322))</f>
        <v/>
      </c>
      <c r="W2322" s="11" t="str">
        <f>IF(INDEX(Manual_Review!$H$6:$H$238,U2322)="","",INDEX(Manual_Review!$H$6:$H$238,U2322))</f>
        <v/>
      </c>
      <c r="X2322" s="5" t="str">
        <f>IF(INDEX(Manual_Review!$I$6:$I$238,U2322)="","",INDEX(Manual_Review!$I$6:$I$238,U2322))</f>
        <v/>
      </c>
      <c r="Y2322" s="5" t="s">
        <v>2859</v>
      </c>
    </row>
    <row r="2323" spans="1:25" ht="38.25">
      <c r="A2323" s="5" t="s">
        <v>7633</v>
      </c>
      <c r="B2323" s="5" t="s">
        <v>1662</v>
      </c>
      <c r="C2323" s="5" t="s">
        <v>1663</v>
      </c>
      <c r="D2323" s="5" t="s">
        <v>118</v>
      </c>
      <c r="E2323" s="5" t="s">
        <v>2794</v>
      </c>
      <c r="F2323" s="5" t="s">
        <v>2764</v>
      </c>
      <c r="G2323" s="5">
        <v>1</v>
      </c>
      <c r="H2323" s="5" t="s">
        <v>2854</v>
      </c>
      <c r="I2323" s="5" t="str">
        <f>IF(INDEX(Manual_Review!$X$6:$X$238,U2323)="","",INDEX(Manual_Review!$X$6:$X$238,U2323))</f>
        <v/>
      </c>
      <c r="J2323" s="5" t="str">
        <f t="shared" si="72"/>
        <v>AI provisional</v>
      </c>
      <c r="K2323" s="5" t="str">
        <f t="shared" si="73"/>
        <v>Y</v>
      </c>
      <c r="L2323" s="5" t="s">
        <v>1669</v>
      </c>
      <c r="M2323" s="5" t="s">
        <v>7630</v>
      </c>
      <c r="N2323" s="5" t="s">
        <v>7608</v>
      </c>
      <c r="O2323" s="5" t="s">
        <v>2984</v>
      </c>
      <c r="P2323" s="5" t="s">
        <v>2858</v>
      </c>
      <c r="Q2323" s="11">
        <v>46306.5</v>
      </c>
      <c r="R2323" s="6"/>
      <c r="S2323" s="6"/>
      <c r="T2323" s="6"/>
      <c r="U2323" s="5">
        <f>MATCH(B2323,Manual_Review!$A$6:$A$238,0)</f>
        <v>145</v>
      </c>
      <c r="V2323" s="5" t="str">
        <f>IF(INDEX(Manual_Review!$G$6:$G$238,U2323)="","",INDEX(Manual_Review!$G$6:$G$238,U2323))</f>
        <v/>
      </c>
      <c r="W2323" s="11" t="str">
        <f>IF(INDEX(Manual_Review!$H$6:$H$238,U2323)="","",INDEX(Manual_Review!$H$6:$H$238,U2323))</f>
        <v/>
      </c>
      <c r="X2323" s="5" t="str">
        <f>IF(INDEX(Manual_Review!$I$6:$I$238,U2323)="","",INDEX(Manual_Review!$I$6:$I$238,U2323))</f>
        <v/>
      </c>
      <c r="Y2323" s="5" t="s">
        <v>2859</v>
      </c>
    </row>
    <row r="2324" spans="1:25" ht="38.25">
      <c r="A2324" s="5" t="s">
        <v>7634</v>
      </c>
      <c r="B2324" s="5" t="s">
        <v>1662</v>
      </c>
      <c r="C2324" s="5" t="s">
        <v>1663</v>
      </c>
      <c r="D2324" s="5" t="s">
        <v>118</v>
      </c>
      <c r="E2324" s="5" t="s">
        <v>2795</v>
      </c>
      <c r="F2324" s="5" t="s">
        <v>2764</v>
      </c>
      <c r="G2324" s="5">
        <v>1</v>
      </c>
      <c r="H2324" s="5" t="s">
        <v>2864</v>
      </c>
      <c r="I2324" s="5" t="str">
        <f>IF(INDEX(Manual_Review!$Y$6:$Y$238,U2324)="","",INDEX(Manual_Review!$Y$6:$Y$238,U2324))</f>
        <v/>
      </c>
      <c r="J2324" s="5" t="str">
        <f t="shared" si="72"/>
        <v>AI provisional</v>
      </c>
      <c r="K2324" s="5" t="str">
        <f t="shared" si="73"/>
        <v>U</v>
      </c>
      <c r="L2324" s="5" t="s">
        <v>1669</v>
      </c>
      <c r="M2324" s="5" t="s">
        <v>7635</v>
      </c>
      <c r="N2324" s="5" t="s">
        <v>7608</v>
      </c>
      <c r="O2324" s="5" t="s">
        <v>2897</v>
      </c>
      <c r="P2324" s="5" t="s">
        <v>2858</v>
      </c>
      <c r="Q2324" s="11">
        <v>46306.5</v>
      </c>
      <c r="R2324" s="6"/>
      <c r="S2324" s="6"/>
      <c r="T2324" s="6"/>
      <c r="U2324" s="5">
        <f>MATCH(B2324,Manual_Review!$A$6:$A$238,0)</f>
        <v>145</v>
      </c>
      <c r="V2324" s="5" t="str">
        <f>IF(INDEX(Manual_Review!$G$6:$G$238,U2324)="","",INDEX(Manual_Review!$G$6:$G$238,U2324))</f>
        <v/>
      </c>
      <c r="W2324" s="11" t="str">
        <f>IF(INDEX(Manual_Review!$H$6:$H$238,U2324)="","",INDEX(Manual_Review!$H$6:$H$238,U2324))</f>
        <v/>
      </c>
      <c r="X2324" s="5" t="str">
        <f>IF(INDEX(Manual_Review!$I$6:$I$238,U2324)="","",INDEX(Manual_Review!$I$6:$I$238,U2324))</f>
        <v/>
      </c>
      <c r="Y2324" s="5" t="s">
        <v>2859</v>
      </c>
    </row>
    <row r="2325" spans="1:25" ht="38.25">
      <c r="A2325" s="5" t="s">
        <v>7636</v>
      </c>
      <c r="B2325" s="5" t="s">
        <v>1662</v>
      </c>
      <c r="C2325" s="5" t="s">
        <v>1663</v>
      </c>
      <c r="D2325" s="5" t="s">
        <v>118</v>
      </c>
      <c r="E2325" s="5" t="s">
        <v>2796</v>
      </c>
      <c r="F2325" s="5" t="s">
        <v>2764</v>
      </c>
      <c r="G2325" s="5">
        <v>1</v>
      </c>
      <c r="H2325" s="5" t="s">
        <v>2864</v>
      </c>
      <c r="I2325" s="5" t="str">
        <f>IF(INDEX(Manual_Review!$Z$6:$Z$238,U2325)="","",INDEX(Manual_Review!$Z$6:$Z$238,U2325))</f>
        <v/>
      </c>
      <c r="J2325" s="5" t="str">
        <f t="shared" si="72"/>
        <v>AI provisional</v>
      </c>
      <c r="K2325" s="5" t="str">
        <f t="shared" si="73"/>
        <v>U</v>
      </c>
      <c r="L2325" s="5" t="s">
        <v>1669</v>
      </c>
      <c r="M2325" s="5" t="s">
        <v>7637</v>
      </c>
      <c r="N2325" s="5" t="s">
        <v>7608</v>
      </c>
      <c r="O2325" s="5" t="s">
        <v>2899</v>
      </c>
      <c r="P2325" s="5" t="s">
        <v>2858</v>
      </c>
      <c r="Q2325" s="11">
        <v>46306.5</v>
      </c>
      <c r="R2325" s="6"/>
      <c r="S2325" s="6"/>
      <c r="T2325" s="6"/>
      <c r="U2325" s="5">
        <f>MATCH(B2325,Manual_Review!$A$6:$A$238,0)</f>
        <v>145</v>
      </c>
      <c r="V2325" s="5" t="str">
        <f>IF(INDEX(Manual_Review!$G$6:$G$238,U2325)="","",INDEX(Manual_Review!$G$6:$G$238,U2325))</f>
        <v/>
      </c>
      <c r="W2325" s="11" t="str">
        <f>IF(INDEX(Manual_Review!$H$6:$H$238,U2325)="","",INDEX(Manual_Review!$H$6:$H$238,U2325))</f>
        <v/>
      </c>
      <c r="X2325" s="5" t="str">
        <f>IF(INDEX(Manual_Review!$I$6:$I$238,U2325)="","",INDEX(Manual_Review!$I$6:$I$238,U2325))</f>
        <v/>
      </c>
      <c r="Y2325" s="5" t="s">
        <v>2859</v>
      </c>
    </row>
    <row r="2326" spans="1:25" ht="38.25">
      <c r="A2326" s="5" t="s">
        <v>7638</v>
      </c>
      <c r="B2326" s="5" t="s">
        <v>1671</v>
      </c>
      <c r="C2326" s="5" t="s">
        <v>1672</v>
      </c>
      <c r="D2326" s="5" t="s">
        <v>118</v>
      </c>
      <c r="E2326" s="5" t="s">
        <v>2781</v>
      </c>
      <c r="F2326" s="5" t="s">
        <v>2754</v>
      </c>
      <c r="G2326" s="5">
        <v>1</v>
      </c>
      <c r="H2326" s="5" t="s">
        <v>2854</v>
      </c>
      <c r="I2326" s="5" t="str">
        <f>IF(INDEX(Manual_Review!$K$6:$K$238,U2326)="","",INDEX(Manual_Review!$K$6:$K$238,U2326))</f>
        <v/>
      </c>
      <c r="J2326" s="5" t="str">
        <f t="shared" si="72"/>
        <v>AI provisional</v>
      </c>
      <c r="K2326" s="5" t="str">
        <f t="shared" si="73"/>
        <v>Y</v>
      </c>
      <c r="L2326" s="5" t="s">
        <v>1677</v>
      </c>
      <c r="M2326" s="5" t="s">
        <v>7639</v>
      </c>
      <c r="N2326" s="5" t="s">
        <v>7640</v>
      </c>
      <c r="O2326" s="5" t="s">
        <v>2857</v>
      </c>
      <c r="P2326" s="5" t="s">
        <v>2858</v>
      </c>
      <c r="Q2326" s="11">
        <v>46306.5</v>
      </c>
      <c r="R2326" s="6"/>
      <c r="S2326" s="6"/>
      <c r="T2326" s="6"/>
      <c r="U2326" s="5">
        <f>MATCH(B2326,Manual_Review!$A$6:$A$238,0)</f>
        <v>146</v>
      </c>
      <c r="V2326" s="5" t="str">
        <f>IF(INDEX(Manual_Review!$G$6:$G$238,U2326)="","",INDEX(Manual_Review!$G$6:$G$238,U2326))</f>
        <v/>
      </c>
      <c r="W2326" s="11" t="str">
        <f>IF(INDEX(Manual_Review!$H$6:$H$238,U2326)="","",INDEX(Manual_Review!$H$6:$H$238,U2326))</f>
        <v/>
      </c>
      <c r="X2326" s="5" t="str">
        <f>IF(INDEX(Manual_Review!$I$6:$I$238,U2326)="","",INDEX(Manual_Review!$I$6:$I$238,U2326))</f>
        <v/>
      </c>
      <c r="Y2326" s="5" t="s">
        <v>2859</v>
      </c>
    </row>
    <row r="2327" spans="1:25" ht="38.25">
      <c r="A2327" s="5" t="s">
        <v>7641</v>
      </c>
      <c r="B2327" s="5" t="s">
        <v>1671</v>
      </c>
      <c r="C2327" s="5" t="s">
        <v>1672</v>
      </c>
      <c r="D2327" s="5" t="s">
        <v>118</v>
      </c>
      <c r="E2327" s="5" t="s">
        <v>2782</v>
      </c>
      <c r="F2327" s="5" t="s">
        <v>2754</v>
      </c>
      <c r="G2327" s="5">
        <v>1</v>
      </c>
      <c r="H2327" s="5" t="s">
        <v>2854</v>
      </c>
      <c r="I2327" s="5" t="str">
        <f>IF(INDEX(Manual_Review!$L$6:$L$238,U2327)="","",INDEX(Manual_Review!$L$6:$L$238,U2327))</f>
        <v/>
      </c>
      <c r="J2327" s="5" t="str">
        <f t="shared" si="72"/>
        <v>AI provisional</v>
      </c>
      <c r="K2327" s="5" t="str">
        <f t="shared" si="73"/>
        <v>Y</v>
      </c>
      <c r="L2327" s="5" t="s">
        <v>1677</v>
      </c>
      <c r="M2327" s="5" t="s">
        <v>7642</v>
      </c>
      <c r="N2327" s="5" t="s">
        <v>7640</v>
      </c>
      <c r="O2327" s="5" t="s">
        <v>2862</v>
      </c>
      <c r="P2327" s="5" t="s">
        <v>2858</v>
      </c>
      <c r="Q2327" s="11">
        <v>46306.5</v>
      </c>
      <c r="R2327" s="6"/>
      <c r="S2327" s="6"/>
      <c r="T2327" s="6"/>
      <c r="U2327" s="5">
        <f>MATCH(B2327,Manual_Review!$A$6:$A$238,0)</f>
        <v>146</v>
      </c>
      <c r="V2327" s="5" t="str">
        <f>IF(INDEX(Manual_Review!$G$6:$G$238,U2327)="","",INDEX(Manual_Review!$G$6:$G$238,U2327))</f>
        <v/>
      </c>
      <c r="W2327" s="11" t="str">
        <f>IF(INDEX(Manual_Review!$H$6:$H$238,U2327)="","",INDEX(Manual_Review!$H$6:$H$238,U2327))</f>
        <v/>
      </c>
      <c r="X2327" s="5" t="str">
        <f>IF(INDEX(Manual_Review!$I$6:$I$238,U2327)="","",INDEX(Manual_Review!$I$6:$I$238,U2327))</f>
        <v/>
      </c>
      <c r="Y2327" s="5" t="s">
        <v>2859</v>
      </c>
    </row>
    <row r="2328" spans="1:25" ht="38.25">
      <c r="A2328" s="5" t="s">
        <v>7643</v>
      </c>
      <c r="B2328" s="5" t="s">
        <v>1671</v>
      </c>
      <c r="C2328" s="5" t="s">
        <v>1672</v>
      </c>
      <c r="D2328" s="5" t="s">
        <v>118</v>
      </c>
      <c r="E2328" s="5" t="s">
        <v>2783</v>
      </c>
      <c r="F2328" s="5" t="s">
        <v>2754</v>
      </c>
      <c r="G2328" s="5">
        <v>1</v>
      </c>
      <c r="H2328" s="5" t="s">
        <v>2854</v>
      </c>
      <c r="I2328" s="5" t="str">
        <f>IF(INDEX(Manual_Review!$M$6:$M$238,U2328)="","",INDEX(Manual_Review!$M$6:$M$238,U2328))</f>
        <v/>
      </c>
      <c r="J2328" s="5" t="str">
        <f t="shared" si="72"/>
        <v>AI provisional</v>
      </c>
      <c r="K2328" s="5" t="str">
        <f t="shared" si="73"/>
        <v>Y</v>
      </c>
      <c r="L2328" s="5" t="s">
        <v>1677</v>
      </c>
      <c r="M2328" s="5" t="s">
        <v>7644</v>
      </c>
      <c r="N2328" s="5" t="s">
        <v>7640</v>
      </c>
      <c r="O2328" s="5" t="s">
        <v>3133</v>
      </c>
      <c r="P2328" s="5" t="s">
        <v>2858</v>
      </c>
      <c r="Q2328" s="11">
        <v>46306.5</v>
      </c>
      <c r="R2328" s="6"/>
      <c r="S2328" s="6"/>
      <c r="T2328" s="6"/>
      <c r="U2328" s="5">
        <f>MATCH(B2328,Manual_Review!$A$6:$A$238,0)</f>
        <v>146</v>
      </c>
      <c r="V2328" s="5" t="str">
        <f>IF(INDEX(Manual_Review!$G$6:$G$238,U2328)="","",INDEX(Manual_Review!$G$6:$G$238,U2328))</f>
        <v/>
      </c>
      <c r="W2328" s="11" t="str">
        <f>IF(INDEX(Manual_Review!$H$6:$H$238,U2328)="","",INDEX(Manual_Review!$H$6:$H$238,U2328))</f>
        <v/>
      </c>
      <c r="X2328" s="5" t="str">
        <f>IF(INDEX(Manual_Review!$I$6:$I$238,U2328)="","",INDEX(Manual_Review!$I$6:$I$238,U2328))</f>
        <v/>
      </c>
      <c r="Y2328" s="5" t="s">
        <v>2859</v>
      </c>
    </row>
    <row r="2329" spans="1:25" ht="38.25">
      <c r="A2329" s="5" t="s">
        <v>7645</v>
      </c>
      <c r="B2329" s="5" t="s">
        <v>1671</v>
      </c>
      <c r="C2329" s="5" t="s">
        <v>1672</v>
      </c>
      <c r="D2329" s="5" t="s">
        <v>118</v>
      </c>
      <c r="E2329" s="5" t="s">
        <v>2784</v>
      </c>
      <c r="F2329" s="5" t="s">
        <v>2756</v>
      </c>
      <c r="G2329" s="5">
        <v>1</v>
      </c>
      <c r="H2329" s="5" t="s">
        <v>2854</v>
      </c>
      <c r="I2329" s="5" t="str">
        <f>IF(INDEX(Manual_Review!$N$6:$N$238,U2329)="","",INDEX(Manual_Review!$N$6:$N$238,U2329))</f>
        <v/>
      </c>
      <c r="J2329" s="5" t="str">
        <f t="shared" si="72"/>
        <v>AI provisional</v>
      </c>
      <c r="K2329" s="5" t="str">
        <f t="shared" si="73"/>
        <v>Y</v>
      </c>
      <c r="L2329" s="5" t="s">
        <v>1677</v>
      </c>
      <c r="M2329" s="5" t="s">
        <v>7646</v>
      </c>
      <c r="N2329" s="5" t="s">
        <v>7640</v>
      </c>
      <c r="O2329" s="5" t="s">
        <v>2963</v>
      </c>
      <c r="P2329" s="5" t="s">
        <v>2858</v>
      </c>
      <c r="Q2329" s="11">
        <v>46306.5</v>
      </c>
      <c r="R2329" s="6"/>
      <c r="S2329" s="6"/>
      <c r="T2329" s="6"/>
      <c r="U2329" s="5">
        <f>MATCH(B2329,Manual_Review!$A$6:$A$238,0)</f>
        <v>146</v>
      </c>
      <c r="V2329" s="5" t="str">
        <f>IF(INDEX(Manual_Review!$G$6:$G$238,U2329)="","",INDEX(Manual_Review!$G$6:$G$238,U2329))</f>
        <v/>
      </c>
      <c r="W2329" s="11" t="str">
        <f>IF(INDEX(Manual_Review!$H$6:$H$238,U2329)="","",INDEX(Manual_Review!$H$6:$H$238,U2329))</f>
        <v/>
      </c>
      <c r="X2329" s="5" t="str">
        <f>IF(INDEX(Manual_Review!$I$6:$I$238,U2329)="","",INDEX(Manual_Review!$I$6:$I$238,U2329))</f>
        <v/>
      </c>
      <c r="Y2329" s="5" t="s">
        <v>2859</v>
      </c>
    </row>
    <row r="2330" spans="1:25" ht="38.25">
      <c r="A2330" s="5" t="s">
        <v>7647</v>
      </c>
      <c r="B2330" s="5" t="s">
        <v>1671</v>
      </c>
      <c r="C2330" s="5" t="s">
        <v>1672</v>
      </c>
      <c r="D2330" s="5" t="s">
        <v>118</v>
      </c>
      <c r="E2330" s="5" t="s">
        <v>2785</v>
      </c>
      <c r="F2330" s="5" t="s">
        <v>2756</v>
      </c>
      <c r="G2330" s="5">
        <v>1</v>
      </c>
      <c r="H2330" s="5" t="s">
        <v>2864</v>
      </c>
      <c r="I2330" s="5" t="str">
        <f>IF(INDEX(Manual_Review!$O$6:$O$238,U2330)="","",INDEX(Manual_Review!$O$6:$O$238,U2330))</f>
        <v/>
      </c>
      <c r="J2330" s="5" t="str">
        <f t="shared" si="72"/>
        <v>AI provisional</v>
      </c>
      <c r="K2330" s="5" t="str">
        <f t="shared" si="73"/>
        <v>U</v>
      </c>
      <c r="L2330" s="5" t="s">
        <v>1677</v>
      </c>
      <c r="M2330" s="5" t="s">
        <v>7648</v>
      </c>
      <c r="N2330" s="5" t="s">
        <v>7640</v>
      </c>
      <c r="O2330" s="5" t="s">
        <v>7649</v>
      </c>
      <c r="P2330" s="5" t="s">
        <v>2858</v>
      </c>
      <c r="Q2330" s="11">
        <v>46306.5</v>
      </c>
      <c r="R2330" s="6"/>
      <c r="S2330" s="6"/>
      <c r="T2330" s="6"/>
      <c r="U2330" s="5">
        <f>MATCH(B2330,Manual_Review!$A$6:$A$238,0)</f>
        <v>146</v>
      </c>
      <c r="V2330" s="5" t="str">
        <f>IF(INDEX(Manual_Review!$G$6:$G$238,U2330)="","",INDEX(Manual_Review!$G$6:$G$238,U2330))</f>
        <v/>
      </c>
      <c r="W2330" s="11" t="str">
        <f>IF(INDEX(Manual_Review!$H$6:$H$238,U2330)="","",INDEX(Manual_Review!$H$6:$H$238,U2330))</f>
        <v/>
      </c>
      <c r="X2330" s="5" t="str">
        <f>IF(INDEX(Manual_Review!$I$6:$I$238,U2330)="","",INDEX(Manual_Review!$I$6:$I$238,U2330))</f>
        <v/>
      </c>
      <c r="Y2330" s="5" t="s">
        <v>2859</v>
      </c>
    </row>
    <row r="2331" spans="1:25" ht="38.25">
      <c r="A2331" s="5" t="s">
        <v>7650</v>
      </c>
      <c r="B2331" s="5" t="s">
        <v>1671</v>
      </c>
      <c r="C2331" s="5" t="s">
        <v>1672</v>
      </c>
      <c r="D2331" s="5" t="s">
        <v>118</v>
      </c>
      <c r="E2331" s="5" t="s">
        <v>2786</v>
      </c>
      <c r="F2331" s="5" t="s">
        <v>2756</v>
      </c>
      <c r="G2331" s="5">
        <v>1</v>
      </c>
      <c r="H2331" s="5" t="s">
        <v>2864</v>
      </c>
      <c r="I2331" s="5" t="str">
        <f>IF(INDEX(Manual_Review!$P$6:$P$238,U2331)="","",INDEX(Manual_Review!$P$6:$P$238,U2331))</f>
        <v/>
      </c>
      <c r="J2331" s="5" t="str">
        <f t="shared" si="72"/>
        <v>AI provisional</v>
      </c>
      <c r="K2331" s="5" t="str">
        <f t="shared" si="73"/>
        <v>U</v>
      </c>
      <c r="L2331" s="5" t="s">
        <v>1677</v>
      </c>
      <c r="M2331" s="5" t="s">
        <v>7651</v>
      </c>
      <c r="N2331" s="5" t="s">
        <v>7640</v>
      </c>
      <c r="O2331" s="5" t="s">
        <v>2874</v>
      </c>
      <c r="P2331" s="5" t="s">
        <v>2858</v>
      </c>
      <c r="Q2331" s="11">
        <v>46306.5</v>
      </c>
      <c r="R2331" s="6"/>
      <c r="S2331" s="6"/>
      <c r="T2331" s="6"/>
      <c r="U2331" s="5">
        <f>MATCH(B2331,Manual_Review!$A$6:$A$238,0)</f>
        <v>146</v>
      </c>
      <c r="V2331" s="5" t="str">
        <f>IF(INDEX(Manual_Review!$G$6:$G$238,U2331)="","",INDEX(Manual_Review!$G$6:$G$238,U2331))</f>
        <v/>
      </c>
      <c r="W2331" s="11" t="str">
        <f>IF(INDEX(Manual_Review!$H$6:$H$238,U2331)="","",INDEX(Manual_Review!$H$6:$H$238,U2331))</f>
        <v/>
      </c>
      <c r="X2331" s="5" t="str">
        <f>IF(INDEX(Manual_Review!$I$6:$I$238,U2331)="","",INDEX(Manual_Review!$I$6:$I$238,U2331))</f>
        <v/>
      </c>
      <c r="Y2331" s="5" t="s">
        <v>2859</v>
      </c>
    </row>
    <row r="2332" spans="1:25" ht="38.25">
      <c r="A2332" s="5" t="s">
        <v>7652</v>
      </c>
      <c r="B2332" s="5" t="s">
        <v>1671</v>
      </c>
      <c r="C2332" s="5" t="s">
        <v>1672</v>
      </c>
      <c r="D2332" s="5" t="s">
        <v>118</v>
      </c>
      <c r="E2332" s="5" t="s">
        <v>2787</v>
      </c>
      <c r="F2332" s="5" t="s">
        <v>2758</v>
      </c>
      <c r="G2332" s="5">
        <v>1</v>
      </c>
      <c r="H2332" s="5" t="s">
        <v>2864</v>
      </c>
      <c r="I2332" s="5" t="str">
        <f>IF(INDEX(Manual_Review!$Q$6:$Q$238,U2332)="","",INDEX(Manual_Review!$Q$6:$Q$238,U2332))</f>
        <v/>
      </c>
      <c r="J2332" s="5" t="str">
        <f t="shared" si="72"/>
        <v>AI provisional</v>
      </c>
      <c r="K2332" s="5" t="str">
        <f t="shared" si="73"/>
        <v>U</v>
      </c>
      <c r="L2332" s="5" t="s">
        <v>1677</v>
      </c>
      <c r="M2332" s="5" t="s">
        <v>7648</v>
      </c>
      <c r="N2332" s="5" t="s">
        <v>7640</v>
      </c>
      <c r="O2332" s="5" t="s">
        <v>2877</v>
      </c>
      <c r="P2332" s="5" t="s">
        <v>2858</v>
      </c>
      <c r="Q2332" s="11">
        <v>46306.5</v>
      </c>
      <c r="R2332" s="6"/>
      <c r="S2332" s="6"/>
      <c r="T2332" s="6"/>
      <c r="U2332" s="5">
        <f>MATCH(B2332,Manual_Review!$A$6:$A$238,0)</f>
        <v>146</v>
      </c>
      <c r="V2332" s="5" t="str">
        <f>IF(INDEX(Manual_Review!$G$6:$G$238,U2332)="","",INDEX(Manual_Review!$G$6:$G$238,U2332))</f>
        <v/>
      </c>
      <c r="W2332" s="11" t="str">
        <f>IF(INDEX(Manual_Review!$H$6:$H$238,U2332)="","",INDEX(Manual_Review!$H$6:$H$238,U2332))</f>
        <v/>
      </c>
      <c r="X2332" s="5" t="str">
        <f>IF(INDEX(Manual_Review!$I$6:$I$238,U2332)="","",INDEX(Manual_Review!$I$6:$I$238,U2332))</f>
        <v/>
      </c>
      <c r="Y2332" s="5" t="s">
        <v>2859</v>
      </c>
    </row>
    <row r="2333" spans="1:25" ht="38.25">
      <c r="A2333" s="5" t="s">
        <v>7653</v>
      </c>
      <c r="B2333" s="5" t="s">
        <v>1671</v>
      </c>
      <c r="C2333" s="5" t="s">
        <v>1672</v>
      </c>
      <c r="D2333" s="5" t="s">
        <v>118</v>
      </c>
      <c r="E2333" s="5" t="s">
        <v>2788</v>
      </c>
      <c r="F2333" s="5" t="s">
        <v>2758</v>
      </c>
      <c r="G2333" s="5">
        <v>1</v>
      </c>
      <c r="H2333" s="5" t="s">
        <v>2864</v>
      </c>
      <c r="I2333" s="5" t="str">
        <f>IF(INDEX(Manual_Review!$R$6:$R$238,U2333)="","",INDEX(Manual_Review!$R$6:$R$238,U2333))</f>
        <v/>
      </c>
      <c r="J2333" s="5" t="str">
        <f t="shared" si="72"/>
        <v>AI provisional</v>
      </c>
      <c r="K2333" s="5" t="str">
        <f t="shared" si="73"/>
        <v>U</v>
      </c>
      <c r="L2333" s="5" t="s">
        <v>1677</v>
      </c>
      <c r="M2333" s="5" t="s">
        <v>7654</v>
      </c>
      <c r="N2333" s="5" t="s">
        <v>7640</v>
      </c>
      <c r="O2333" s="5" t="s">
        <v>2880</v>
      </c>
      <c r="P2333" s="5" t="s">
        <v>2858</v>
      </c>
      <c r="Q2333" s="11">
        <v>46306.5</v>
      </c>
      <c r="R2333" s="6"/>
      <c r="S2333" s="6"/>
      <c r="T2333" s="6"/>
      <c r="U2333" s="5">
        <f>MATCH(B2333,Manual_Review!$A$6:$A$238,0)</f>
        <v>146</v>
      </c>
      <c r="V2333" s="5" t="str">
        <f>IF(INDEX(Manual_Review!$G$6:$G$238,U2333)="","",INDEX(Manual_Review!$G$6:$G$238,U2333))</f>
        <v/>
      </c>
      <c r="W2333" s="11" t="str">
        <f>IF(INDEX(Manual_Review!$H$6:$H$238,U2333)="","",INDEX(Manual_Review!$H$6:$H$238,U2333))</f>
        <v/>
      </c>
      <c r="X2333" s="5" t="str">
        <f>IF(INDEX(Manual_Review!$I$6:$I$238,U2333)="","",INDEX(Manual_Review!$I$6:$I$238,U2333))</f>
        <v/>
      </c>
      <c r="Y2333" s="5" t="s">
        <v>2859</v>
      </c>
    </row>
    <row r="2334" spans="1:25" ht="38.25">
      <c r="A2334" s="5" t="s">
        <v>7655</v>
      </c>
      <c r="B2334" s="5" t="s">
        <v>1671</v>
      </c>
      <c r="C2334" s="5" t="s">
        <v>1672</v>
      </c>
      <c r="D2334" s="5" t="s">
        <v>118</v>
      </c>
      <c r="E2334" s="5" t="s">
        <v>2789</v>
      </c>
      <c r="F2334" s="5" t="s">
        <v>2758</v>
      </c>
      <c r="G2334" s="5">
        <v>1</v>
      </c>
      <c r="H2334" s="5" t="s">
        <v>2864</v>
      </c>
      <c r="I2334" s="5" t="str">
        <f>IF(INDEX(Manual_Review!$S$6:$S$238,U2334)="","",INDEX(Manual_Review!$S$6:$S$238,U2334))</f>
        <v/>
      </c>
      <c r="J2334" s="5" t="str">
        <f t="shared" si="72"/>
        <v>AI provisional</v>
      </c>
      <c r="K2334" s="5" t="str">
        <f t="shared" si="73"/>
        <v>U</v>
      </c>
      <c r="L2334" s="5" t="s">
        <v>1677</v>
      </c>
      <c r="M2334" s="5" t="s">
        <v>7656</v>
      </c>
      <c r="N2334" s="5" t="s">
        <v>7640</v>
      </c>
      <c r="O2334" s="5" t="s">
        <v>2883</v>
      </c>
      <c r="P2334" s="5" t="s">
        <v>2858</v>
      </c>
      <c r="Q2334" s="11">
        <v>46306.5</v>
      </c>
      <c r="R2334" s="6"/>
      <c r="S2334" s="6"/>
      <c r="T2334" s="6"/>
      <c r="U2334" s="5">
        <f>MATCH(B2334,Manual_Review!$A$6:$A$238,0)</f>
        <v>146</v>
      </c>
      <c r="V2334" s="5" t="str">
        <f>IF(INDEX(Manual_Review!$G$6:$G$238,U2334)="","",INDEX(Manual_Review!$G$6:$G$238,U2334))</f>
        <v/>
      </c>
      <c r="W2334" s="11" t="str">
        <f>IF(INDEX(Manual_Review!$H$6:$H$238,U2334)="","",INDEX(Manual_Review!$H$6:$H$238,U2334))</f>
        <v/>
      </c>
      <c r="X2334" s="5" t="str">
        <f>IF(INDEX(Manual_Review!$I$6:$I$238,U2334)="","",INDEX(Manual_Review!$I$6:$I$238,U2334))</f>
        <v/>
      </c>
      <c r="Y2334" s="5" t="s">
        <v>2859</v>
      </c>
    </row>
    <row r="2335" spans="1:25" ht="38.25">
      <c r="A2335" s="5" t="s">
        <v>7657</v>
      </c>
      <c r="B2335" s="5" t="s">
        <v>1671</v>
      </c>
      <c r="C2335" s="5" t="s">
        <v>1672</v>
      </c>
      <c r="D2335" s="5" t="s">
        <v>118</v>
      </c>
      <c r="E2335" s="5" t="s">
        <v>2790</v>
      </c>
      <c r="F2335" s="5" t="s">
        <v>2760</v>
      </c>
      <c r="G2335" s="5">
        <v>1</v>
      </c>
      <c r="H2335" s="5" t="s">
        <v>2864</v>
      </c>
      <c r="I2335" s="5" t="str">
        <f>IF(INDEX(Manual_Review!$T$6:$T$238,U2335)="","",INDEX(Manual_Review!$T$6:$T$238,U2335))</f>
        <v/>
      </c>
      <c r="J2335" s="5" t="str">
        <f t="shared" si="72"/>
        <v>AI provisional</v>
      </c>
      <c r="K2335" s="5" t="str">
        <f t="shared" si="73"/>
        <v>U</v>
      </c>
      <c r="L2335" s="5" t="s">
        <v>1677</v>
      </c>
      <c r="M2335" s="5" t="s">
        <v>7651</v>
      </c>
      <c r="N2335" s="5" t="s">
        <v>7640</v>
      </c>
      <c r="O2335" s="5" t="s">
        <v>2885</v>
      </c>
      <c r="P2335" s="5" t="s">
        <v>2858</v>
      </c>
      <c r="Q2335" s="11">
        <v>46306.5</v>
      </c>
      <c r="R2335" s="6"/>
      <c r="S2335" s="6"/>
      <c r="T2335" s="6"/>
      <c r="U2335" s="5">
        <f>MATCH(B2335,Manual_Review!$A$6:$A$238,0)</f>
        <v>146</v>
      </c>
      <c r="V2335" s="5" t="str">
        <f>IF(INDEX(Manual_Review!$G$6:$G$238,U2335)="","",INDEX(Manual_Review!$G$6:$G$238,U2335))</f>
        <v/>
      </c>
      <c r="W2335" s="11" t="str">
        <f>IF(INDEX(Manual_Review!$H$6:$H$238,U2335)="","",INDEX(Manual_Review!$H$6:$H$238,U2335))</f>
        <v/>
      </c>
      <c r="X2335" s="5" t="str">
        <f>IF(INDEX(Manual_Review!$I$6:$I$238,U2335)="","",INDEX(Manual_Review!$I$6:$I$238,U2335))</f>
        <v/>
      </c>
      <c r="Y2335" s="5" t="s">
        <v>2859</v>
      </c>
    </row>
    <row r="2336" spans="1:25" ht="38.25">
      <c r="A2336" s="5" t="s">
        <v>7658</v>
      </c>
      <c r="B2336" s="5" t="s">
        <v>1671</v>
      </c>
      <c r="C2336" s="5" t="s">
        <v>1672</v>
      </c>
      <c r="D2336" s="5" t="s">
        <v>118</v>
      </c>
      <c r="E2336" s="5" t="s">
        <v>2791</v>
      </c>
      <c r="F2336" s="5" t="s">
        <v>2760</v>
      </c>
      <c r="G2336" s="5">
        <v>1</v>
      </c>
      <c r="H2336" s="5" t="s">
        <v>2864</v>
      </c>
      <c r="I2336" s="5" t="str">
        <f>IF(INDEX(Manual_Review!$U$6:$U$238,U2336)="","",INDEX(Manual_Review!$U$6:$U$238,U2336))</f>
        <v/>
      </c>
      <c r="J2336" s="5" t="str">
        <f t="shared" si="72"/>
        <v>AI provisional</v>
      </c>
      <c r="K2336" s="5" t="str">
        <f t="shared" si="73"/>
        <v>U</v>
      </c>
      <c r="L2336" s="5" t="s">
        <v>1677</v>
      </c>
      <c r="M2336" s="5" t="s">
        <v>7648</v>
      </c>
      <c r="N2336" s="5" t="s">
        <v>7640</v>
      </c>
      <c r="O2336" s="5" t="s">
        <v>2888</v>
      </c>
      <c r="P2336" s="5" t="s">
        <v>2858</v>
      </c>
      <c r="Q2336" s="11">
        <v>46306.5</v>
      </c>
      <c r="R2336" s="6"/>
      <c r="S2336" s="6"/>
      <c r="T2336" s="6"/>
      <c r="U2336" s="5">
        <f>MATCH(B2336,Manual_Review!$A$6:$A$238,0)</f>
        <v>146</v>
      </c>
      <c r="V2336" s="5" t="str">
        <f>IF(INDEX(Manual_Review!$G$6:$G$238,U2336)="","",INDEX(Manual_Review!$G$6:$G$238,U2336))</f>
        <v/>
      </c>
      <c r="W2336" s="11" t="str">
        <f>IF(INDEX(Manual_Review!$H$6:$H$238,U2336)="","",INDEX(Manual_Review!$H$6:$H$238,U2336))</f>
        <v/>
      </c>
      <c r="X2336" s="5" t="str">
        <f>IF(INDEX(Manual_Review!$I$6:$I$238,U2336)="","",INDEX(Manual_Review!$I$6:$I$238,U2336))</f>
        <v/>
      </c>
      <c r="Y2336" s="5" t="s">
        <v>2859</v>
      </c>
    </row>
    <row r="2337" spans="1:25" ht="38.25">
      <c r="A2337" s="5" t="s">
        <v>7659</v>
      </c>
      <c r="B2337" s="5" t="s">
        <v>1671</v>
      </c>
      <c r="C2337" s="5" t="s">
        <v>1672</v>
      </c>
      <c r="D2337" s="5" t="s">
        <v>118</v>
      </c>
      <c r="E2337" s="5" t="s">
        <v>2792</v>
      </c>
      <c r="F2337" s="5" t="s">
        <v>2762</v>
      </c>
      <c r="G2337" s="5">
        <v>1</v>
      </c>
      <c r="H2337" s="5" t="s">
        <v>2864</v>
      </c>
      <c r="I2337" s="5" t="str">
        <f>IF(INDEX(Manual_Review!$V$6:$V$238,U2337)="","",INDEX(Manual_Review!$V$6:$V$238,U2337))</f>
        <v/>
      </c>
      <c r="J2337" s="5" t="str">
        <f t="shared" si="72"/>
        <v>AI provisional</v>
      </c>
      <c r="K2337" s="5" t="str">
        <f t="shared" si="73"/>
        <v>U</v>
      </c>
      <c r="L2337" s="5" t="s">
        <v>1677</v>
      </c>
      <c r="M2337" s="5" t="s">
        <v>7660</v>
      </c>
      <c r="N2337" s="5" t="s">
        <v>7640</v>
      </c>
      <c r="O2337" s="5" t="s">
        <v>2891</v>
      </c>
      <c r="P2337" s="5" t="s">
        <v>2858</v>
      </c>
      <c r="Q2337" s="11">
        <v>46306.5</v>
      </c>
      <c r="R2337" s="6"/>
      <c r="S2337" s="6"/>
      <c r="T2337" s="6"/>
      <c r="U2337" s="5">
        <f>MATCH(B2337,Manual_Review!$A$6:$A$238,0)</f>
        <v>146</v>
      </c>
      <c r="V2337" s="5" t="str">
        <f>IF(INDEX(Manual_Review!$G$6:$G$238,U2337)="","",INDEX(Manual_Review!$G$6:$G$238,U2337))</f>
        <v/>
      </c>
      <c r="W2337" s="11" t="str">
        <f>IF(INDEX(Manual_Review!$H$6:$H$238,U2337)="","",INDEX(Manual_Review!$H$6:$H$238,U2337))</f>
        <v/>
      </c>
      <c r="X2337" s="5" t="str">
        <f>IF(INDEX(Manual_Review!$I$6:$I$238,U2337)="","",INDEX(Manual_Review!$I$6:$I$238,U2337))</f>
        <v/>
      </c>
      <c r="Y2337" s="5" t="s">
        <v>2859</v>
      </c>
    </row>
    <row r="2338" spans="1:25" ht="38.25">
      <c r="A2338" s="5" t="s">
        <v>7661</v>
      </c>
      <c r="B2338" s="5" t="s">
        <v>1671</v>
      </c>
      <c r="C2338" s="5" t="s">
        <v>1672</v>
      </c>
      <c r="D2338" s="5" t="s">
        <v>118</v>
      </c>
      <c r="E2338" s="5" t="s">
        <v>2793</v>
      </c>
      <c r="F2338" s="5" t="s">
        <v>2762</v>
      </c>
      <c r="G2338" s="5">
        <v>1</v>
      </c>
      <c r="H2338" s="5" t="s">
        <v>2864</v>
      </c>
      <c r="I2338" s="5" t="str">
        <f>IF(INDEX(Manual_Review!$W$6:$W$238,U2338)="","",INDEX(Manual_Review!$W$6:$W$238,U2338))</f>
        <v/>
      </c>
      <c r="J2338" s="5" t="str">
        <f t="shared" si="72"/>
        <v>AI provisional</v>
      </c>
      <c r="K2338" s="5" t="str">
        <f t="shared" si="73"/>
        <v>U</v>
      </c>
      <c r="L2338" s="5" t="s">
        <v>1677</v>
      </c>
      <c r="M2338" s="5" t="s">
        <v>7662</v>
      </c>
      <c r="N2338" s="5" t="s">
        <v>7640</v>
      </c>
      <c r="O2338" s="5" t="s">
        <v>2893</v>
      </c>
      <c r="P2338" s="5" t="s">
        <v>2858</v>
      </c>
      <c r="Q2338" s="11">
        <v>46306.5</v>
      </c>
      <c r="R2338" s="6"/>
      <c r="S2338" s="6"/>
      <c r="T2338" s="6"/>
      <c r="U2338" s="5">
        <f>MATCH(B2338,Manual_Review!$A$6:$A$238,0)</f>
        <v>146</v>
      </c>
      <c r="V2338" s="5" t="str">
        <f>IF(INDEX(Manual_Review!$G$6:$G$238,U2338)="","",INDEX(Manual_Review!$G$6:$G$238,U2338))</f>
        <v/>
      </c>
      <c r="W2338" s="11" t="str">
        <f>IF(INDEX(Manual_Review!$H$6:$H$238,U2338)="","",INDEX(Manual_Review!$H$6:$H$238,U2338))</f>
        <v/>
      </c>
      <c r="X2338" s="5" t="str">
        <f>IF(INDEX(Manual_Review!$I$6:$I$238,U2338)="","",INDEX(Manual_Review!$I$6:$I$238,U2338))</f>
        <v/>
      </c>
      <c r="Y2338" s="5" t="s">
        <v>2859</v>
      </c>
    </row>
    <row r="2339" spans="1:25" ht="38.25">
      <c r="A2339" s="5" t="s">
        <v>7663</v>
      </c>
      <c r="B2339" s="5" t="s">
        <v>1671</v>
      </c>
      <c r="C2339" s="5" t="s">
        <v>1672</v>
      </c>
      <c r="D2339" s="5" t="s">
        <v>118</v>
      </c>
      <c r="E2339" s="5" t="s">
        <v>2794</v>
      </c>
      <c r="F2339" s="5" t="s">
        <v>2764</v>
      </c>
      <c r="G2339" s="5">
        <v>1</v>
      </c>
      <c r="H2339" s="5" t="s">
        <v>2864</v>
      </c>
      <c r="I2339" s="5" t="str">
        <f>IF(INDEX(Manual_Review!$X$6:$X$238,U2339)="","",INDEX(Manual_Review!$X$6:$X$238,U2339))</f>
        <v/>
      </c>
      <c r="J2339" s="5" t="str">
        <f t="shared" si="72"/>
        <v>AI provisional</v>
      </c>
      <c r="K2339" s="5" t="str">
        <f t="shared" si="73"/>
        <v>U</v>
      </c>
      <c r="L2339" s="5" t="s">
        <v>1677</v>
      </c>
      <c r="M2339" s="5" t="s">
        <v>7651</v>
      </c>
      <c r="N2339" s="5" t="s">
        <v>7640</v>
      </c>
      <c r="O2339" s="5" t="s">
        <v>2895</v>
      </c>
      <c r="P2339" s="5" t="s">
        <v>2858</v>
      </c>
      <c r="Q2339" s="11">
        <v>46306.5</v>
      </c>
      <c r="R2339" s="6"/>
      <c r="S2339" s="6"/>
      <c r="T2339" s="6"/>
      <c r="U2339" s="5">
        <f>MATCH(B2339,Manual_Review!$A$6:$A$238,0)</f>
        <v>146</v>
      </c>
      <c r="V2339" s="5" t="str">
        <f>IF(INDEX(Manual_Review!$G$6:$G$238,U2339)="","",INDEX(Manual_Review!$G$6:$G$238,U2339))</f>
        <v/>
      </c>
      <c r="W2339" s="11" t="str">
        <f>IF(INDEX(Manual_Review!$H$6:$H$238,U2339)="","",INDEX(Manual_Review!$H$6:$H$238,U2339))</f>
        <v/>
      </c>
      <c r="X2339" s="5" t="str">
        <f>IF(INDEX(Manual_Review!$I$6:$I$238,U2339)="","",INDEX(Manual_Review!$I$6:$I$238,U2339))</f>
        <v/>
      </c>
      <c r="Y2339" s="5" t="s">
        <v>2859</v>
      </c>
    </row>
    <row r="2340" spans="1:25" ht="38.25">
      <c r="A2340" s="5" t="s">
        <v>7664</v>
      </c>
      <c r="B2340" s="5" t="s">
        <v>1671</v>
      </c>
      <c r="C2340" s="5" t="s">
        <v>1672</v>
      </c>
      <c r="D2340" s="5" t="s">
        <v>118</v>
      </c>
      <c r="E2340" s="5" t="s">
        <v>2795</v>
      </c>
      <c r="F2340" s="5" t="s">
        <v>2764</v>
      </c>
      <c r="G2340" s="5">
        <v>1</v>
      </c>
      <c r="H2340" s="5" t="s">
        <v>2864</v>
      </c>
      <c r="I2340" s="5" t="str">
        <f>IF(INDEX(Manual_Review!$Y$6:$Y$238,U2340)="","",INDEX(Manual_Review!$Y$6:$Y$238,U2340))</f>
        <v/>
      </c>
      <c r="J2340" s="5" t="str">
        <f t="shared" si="72"/>
        <v>AI provisional</v>
      </c>
      <c r="K2340" s="5" t="str">
        <f t="shared" si="73"/>
        <v>U</v>
      </c>
      <c r="L2340" s="5" t="s">
        <v>1677</v>
      </c>
      <c r="M2340" s="5" t="s">
        <v>7651</v>
      </c>
      <c r="N2340" s="5" t="s">
        <v>7640</v>
      </c>
      <c r="O2340" s="5" t="s">
        <v>2897</v>
      </c>
      <c r="P2340" s="5" t="s">
        <v>2858</v>
      </c>
      <c r="Q2340" s="11">
        <v>46306.5</v>
      </c>
      <c r="R2340" s="6"/>
      <c r="S2340" s="6"/>
      <c r="T2340" s="6"/>
      <c r="U2340" s="5">
        <f>MATCH(B2340,Manual_Review!$A$6:$A$238,0)</f>
        <v>146</v>
      </c>
      <c r="V2340" s="5" t="str">
        <f>IF(INDEX(Manual_Review!$G$6:$G$238,U2340)="","",INDEX(Manual_Review!$G$6:$G$238,U2340))</f>
        <v/>
      </c>
      <c r="W2340" s="11" t="str">
        <f>IF(INDEX(Manual_Review!$H$6:$H$238,U2340)="","",INDEX(Manual_Review!$H$6:$H$238,U2340))</f>
        <v/>
      </c>
      <c r="X2340" s="5" t="str">
        <f>IF(INDEX(Manual_Review!$I$6:$I$238,U2340)="","",INDEX(Manual_Review!$I$6:$I$238,U2340))</f>
        <v/>
      </c>
      <c r="Y2340" s="5" t="s">
        <v>2859</v>
      </c>
    </row>
    <row r="2341" spans="1:25" ht="38.25">
      <c r="A2341" s="5" t="s">
        <v>7665</v>
      </c>
      <c r="B2341" s="5" t="s">
        <v>1671</v>
      </c>
      <c r="C2341" s="5" t="s">
        <v>1672</v>
      </c>
      <c r="D2341" s="5" t="s">
        <v>118</v>
      </c>
      <c r="E2341" s="5" t="s">
        <v>2796</v>
      </c>
      <c r="F2341" s="5" t="s">
        <v>2764</v>
      </c>
      <c r="G2341" s="5">
        <v>1</v>
      </c>
      <c r="H2341" s="5" t="s">
        <v>2864</v>
      </c>
      <c r="I2341" s="5" t="str">
        <f>IF(INDEX(Manual_Review!$Z$6:$Z$238,U2341)="","",INDEX(Manual_Review!$Z$6:$Z$238,U2341))</f>
        <v/>
      </c>
      <c r="J2341" s="5" t="str">
        <f t="shared" si="72"/>
        <v>AI provisional</v>
      </c>
      <c r="K2341" s="5" t="str">
        <f t="shared" si="73"/>
        <v>U</v>
      </c>
      <c r="L2341" s="5" t="s">
        <v>1677</v>
      </c>
      <c r="M2341" s="5" t="s">
        <v>7656</v>
      </c>
      <c r="N2341" s="5" t="s">
        <v>7640</v>
      </c>
      <c r="O2341" s="5" t="s">
        <v>2899</v>
      </c>
      <c r="P2341" s="5" t="s">
        <v>2858</v>
      </c>
      <c r="Q2341" s="11">
        <v>46306.5</v>
      </c>
      <c r="R2341" s="6"/>
      <c r="S2341" s="6"/>
      <c r="T2341" s="6"/>
      <c r="U2341" s="5">
        <f>MATCH(B2341,Manual_Review!$A$6:$A$238,0)</f>
        <v>146</v>
      </c>
      <c r="V2341" s="5" t="str">
        <f>IF(INDEX(Manual_Review!$G$6:$G$238,U2341)="","",INDEX(Manual_Review!$G$6:$G$238,U2341))</f>
        <v/>
      </c>
      <c r="W2341" s="11" t="str">
        <f>IF(INDEX(Manual_Review!$H$6:$H$238,U2341)="","",INDEX(Manual_Review!$H$6:$H$238,U2341))</f>
        <v/>
      </c>
      <c r="X2341" s="5" t="str">
        <f>IF(INDEX(Manual_Review!$I$6:$I$238,U2341)="","",INDEX(Manual_Review!$I$6:$I$238,U2341))</f>
        <v/>
      </c>
      <c r="Y2341" s="5" t="s">
        <v>2859</v>
      </c>
    </row>
    <row r="2342" spans="1:25" ht="38.25">
      <c r="A2342" s="5" t="s">
        <v>7666</v>
      </c>
      <c r="B2342" s="5" t="s">
        <v>1679</v>
      </c>
      <c r="C2342" s="5" t="s">
        <v>1680</v>
      </c>
      <c r="D2342" s="5" t="s">
        <v>118</v>
      </c>
      <c r="E2342" s="5" t="s">
        <v>2781</v>
      </c>
      <c r="F2342" s="5" t="s">
        <v>2754</v>
      </c>
      <c r="G2342" s="5">
        <v>1</v>
      </c>
      <c r="H2342" s="5" t="s">
        <v>2854</v>
      </c>
      <c r="I2342" s="5" t="str">
        <f>IF(INDEX(Manual_Review!$K$6:$K$238,U2342)="","",INDEX(Manual_Review!$K$6:$K$238,U2342))</f>
        <v/>
      </c>
      <c r="J2342" s="5" t="str">
        <f t="shared" si="72"/>
        <v>AI provisional</v>
      </c>
      <c r="K2342" s="5" t="str">
        <f t="shared" si="73"/>
        <v>Y</v>
      </c>
      <c r="L2342" s="5" t="s">
        <v>1689</v>
      </c>
      <c r="M2342" s="5" t="s">
        <v>7667</v>
      </c>
      <c r="N2342" s="5" t="s">
        <v>7668</v>
      </c>
      <c r="O2342" s="5" t="s">
        <v>2857</v>
      </c>
      <c r="P2342" s="5" t="s">
        <v>2858</v>
      </c>
      <c r="Q2342" s="11">
        <v>46306.5</v>
      </c>
      <c r="R2342" s="6"/>
      <c r="S2342" s="6"/>
      <c r="T2342" s="6"/>
      <c r="U2342" s="5">
        <f>MATCH(B2342,Manual_Review!$A$6:$A$238,0)</f>
        <v>147</v>
      </c>
      <c r="V2342" s="5" t="str">
        <f>IF(INDEX(Manual_Review!$G$6:$G$238,U2342)="","",INDEX(Manual_Review!$G$6:$G$238,U2342))</f>
        <v/>
      </c>
      <c r="W2342" s="11" t="str">
        <f>IF(INDEX(Manual_Review!$H$6:$H$238,U2342)="","",INDEX(Manual_Review!$H$6:$H$238,U2342))</f>
        <v/>
      </c>
      <c r="X2342" s="5" t="str">
        <f>IF(INDEX(Manual_Review!$I$6:$I$238,U2342)="","",INDEX(Manual_Review!$I$6:$I$238,U2342))</f>
        <v/>
      </c>
      <c r="Y2342" s="5" t="s">
        <v>2859</v>
      </c>
    </row>
    <row r="2343" spans="1:25" ht="38.25">
      <c r="A2343" s="5" t="s">
        <v>7669</v>
      </c>
      <c r="B2343" s="5" t="s">
        <v>1679</v>
      </c>
      <c r="C2343" s="5" t="s">
        <v>1680</v>
      </c>
      <c r="D2343" s="5" t="s">
        <v>118</v>
      </c>
      <c r="E2343" s="5" t="s">
        <v>2782</v>
      </c>
      <c r="F2343" s="5" t="s">
        <v>2754</v>
      </c>
      <c r="G2343" s="5">
        <v>1</v>
      </c>
      <c r="H2343" s="5" t="s">
        <v>2854</v>
      </c>
      <c r="I2343" s="5" t="str">
        <f>IF(INDEX(Manual_Review!$L$6:$L$238,U2343)="","",INDEX(Manual_Review!$L$6:$L$238,U2343))</f>
        <v/>
      </c>
      <c r="J2343" s="5" t="str">
        <f t="shared" si="72"/>
        <v>AI provisional</v>
      </c>
      <c r="K2343" s="5" t="str">
        <f t="shared" si="73"/>
        <v>Y</v>
      </c>
      <c r="L2343" s="5" t="s">
        <v>1689</v>
      </c>
      <c r="M2343" s="5" t="s">
        <v>7670</v>
      </c>
      <c r="N2343" s="5" t="s">
        <v>7668</v>
      </c>
      <c r="O2343" s="5" t="s">
        <v>2862</v>
      </c>
      <c r="P2343" s="5" t="s">
        <v>2858</v>
      </c>
      <c r="Q2343" s="11">
        <v>46306.5</v>
      </c>
      <c r="R2343" s="6"/>
      <c r="S2343" s="6"/>
      <c r="T2343" s="6"/>
      <c r="U2343" s="5">
        <f>MATCH(B2343,Manual_Review!$A$6:$A$238,0)</f>
        <v>147</v>
      </c>
      <c r="V2343" s="5" t="str">
        <f>IF(INDEX(Manual_Review!$G$6:$G$238,U2343)="","",INDEX(Manual_Review!$G$6:$G$238,U2343))</f>
        <v/>
      </c>
      <c r="W2343" s="11" t="str">
        <f>IF(INDEX(Manual_Review!$H$6:$H$238,U2343)="","",INDEX(Manual_Review!$H$6:$H$238,U2343))</f>
        <v/>
      </c>
      <c r="X2343" s="5" t="str">
        <f>IF(INDEX(Manual_Review!$I$6:$I$238,U2343)="","",INDEX(Manual_Review!$I$6:$I$238,U2343))</f>
        <v/>
      </c>
      <c r="Y2343" s="5" t="s">
        <v>2859</v>
      </c>
    </row>
    <row r="2344" spans="1:25" ht="38.25">
      <c r="A2344" s="5" t="s">
        <v>7671</v>
      </c>
      <c r="B2344" s="5" t="s">
        <v>1679</v>
      </c>
      <c r="C2344" s="5" t="s">
        <v>1680</v>
      </c>
      <c r="D2344" s="5" t="s">
        <v>118</v>
      </c>
      <c r="E2344" s="5" t="s">
        <v>2783</v>
      </c>
      <c r="F2344" s="5" t="s">
        <v>2754</v>
      </c>
      <c r="G2344" s="5">
        <v>1</v>
      </c>
      <c r="H2344" s="5" t="s">
        <v>2864</v>
      </c>
      <c r="I2344" s="5" t="str">
        <f>IF(INDEX(Manual_Review!$M$6:$M$238,U2344)="","",INDEX(Manual_Review!$M$6:$M$238,U2344))</f>
        <v/>
      </c>
      <c r="J2344" s="5" t="str">
        <f t="shared" si="72"/>
        <v>AI provisional</v>
      </c>
      <c r="K2344" s="5" t="str">
        <f t="shared" si="73"/>
        <v>U</v>
      </c>
      <c r="L2344" s="5" t="s">
        <v>1689</v>
      </c>
      <c r="M2344" s="5" t="s">
        <v>7672</v>
      </c>
      <c r="N2344" s="5" t="s">
        <v>7668</v>
      </c>
      <c r="O2344" s="5" t="s">
        <v>2866</v>
      </c>
      <c r="P2344" s="5" t="s">
        <v>2858</v>
      </c>
      <c r="Q2344" s="11">
        <v>46306.5</v>
      </c>
      <c r="R2344" s="6"/>
      <c r="S2344" s="6"/>
      <c r="T2344" s="6"/>
      <c r="U2344" s="5">
        <f>MATCH(B2344,Manual_Review!$A$6:$A$238,0)</f>
        <v>147</v>
      </c>
      <c r="V2344" s="5" t="str">
        <f>IF(INDEX(Manual_Review!$G$6:$G$238,U2344)="","",INDEX(Manual_Review!$G$6:$G$238,U2344))</f>
        <v/>
      </c>
      <c r="W2344" s="11" t="str">
        <f>IF(INDEX(Manual_Review!$H$6:$H$238,U2344)="","",INDEX(Manual_Review!$H$6:$H$238,U2344))</f>
        <v/>
      </c>
      <c r="X2344" s="5" t="str">
        <f>IF(INDEX(Manual_Review!$I$6:$I$238,U2344)="","",INDEX(Manual_Review!$I$6:$I$238,U2344))</f>
        <v/>
      </c>
      <c r="Y2344" s="5" t="s">
        <v>2859</v>
      </c>
    </row>
    <row r="2345" spans="1:25" ht="38.25">
      <c r="A2345" s="5" t="s">
        <v>7673</v>
      </c>
      <c r="B2345" s="5" t="s">
        <v>1679</v>
      </c>
      <c r="C2345" s="5" t="s">
        <v>1680</v>
      </c>
      <c r="D2345" s="5" t="s">
        <v>118</v>
      </c>
      <c r="E2345" s="5" t="s">
        <v>2784</v>
      </c>
      <c r="F2345" s="5" t="s">
        <v>2756</v>
      </c>
      <c r="G2345" s="5">
        <v>1</v>
      </c>
      <c r="H2345" s="5" t="s">
        <v>2854</v>
      </c>
      <c r="I2345" s="5" t="str">
        <f>IF(INDEX(Manual_Review!$N$6:$N$238,U2345)="","",INDEX(Manual_Review!$N$6:$N$238,U2345))</f>
        <v/>
      </c>
      <c r="J2345" s="5" t="str">
        <f t="shared" si="72"/>
        <v>AI provisional</v>
      </c>
      <c r="K2345" s="5" t="str">
        <f t="shared" si="73"/>
        <v>Y</v>
      </c>
      <c r="L2345" s="5" t="s">
        <v>1689</v>
      </c>
      <c r="M2345" s="5" t="s">
        <v>7674</v>
      </c>
      <c r="N2345" s="5" t="s">
        <v>7668</v>
      </c>
      <c r="O2345" s="5" t="s">
        <v>2963</v>
      </c>
      <c r="P2345" s="5" t="s">
        <v>2858</v>
      </c>
      <c r="Q2345" s="11">
        <v>46306.5</v>
      </c>
      <c r="R2345" s="6"/>
      <c r="S2345" s="6"/>
      <c r="T2345" s="6"/>
      <c r="U2345" s="5">
        <f>MATCH(B2345,Manual_Review!$A$6:$A$238,0)</f>
        <v>147</v>
      </c>
      <c r="V2345" s="5" t="str">
        <f>IF(INDEX(Manual_Review!$G$6:$G$238,U2345)="","",INDEX(Manual_Review!$G$6:$G$238,U2345))</f>
        <v/>
      </c>
      <c r="W2345" s="11" t="str">
        <f>IF(INDEX(Manual_Review!$H$6:$H$238,U2345)="","",INDEX(Manual_Review!$H$6:$H$238,U2345))</f>
        <v/>
      </c>
      <c r="X2345" s="5" t="str">
        <f>IF(INDEX(Manual_Review!$I$6:$I$238,U2345)="","",INDEX(Manual_Review!$I$6:$I$238,U2345))</f>
        <v/>
      </c>
      <c r="Y2345" s="5" t="s">
        <v>2859</v>
      </c>
    </row>
    <row r="2346" spans="1:25" ht="38.25">
      <c r="A2346" s="5" t="s">
        <v>7675</v>
      </c>
      <c r="B2346" s="5" t="s">
        <v>1679</v>
      </c>
      <c r="C2346" s="5" t="s">
        <v>1680</v>
      </c>
      <c r="D2346" s="5" t="s">
        <v>118</v>
      </c>
      <c r="E2346" s="5" t="s">
        <v>2785</v>
      </c>
      <c r="F2346" s="5" t="s">
        <v>2756</v>
      </c>
      <c r="G2346" s="5">
        <v>1</v>
      </c>
      <c r="H2346" s="5" t="s">
        <v>2864</v>
      </c>
      <c r="I2346" s="5" t="str">
        <f>IF(INDEX(Manual_Review!$O$6:$O$238,U2346)="","",INDEX(Manual_Review!$O$6:$O$238,U2346))</f>
        <v/>
      </c>
      <c r="J2346" s="5" t="str">
        <f t="shared" si="72"/>
        <v>AI provisional</v>
      </c>
      <c r="K2346" s="5" t="str">
        <f t="shared" si="73"/>
        <v>U</v>
      </c>
      <c r="L2346" s="5" t="s">
        <v>1689</v>
      </c>
      <c r="M2346" s="5" t="s">
        <v>7676</v>
      </c>
      <c r="N2346" s="5" t="s">
        <v>7668</v>
      </c>
      <c r="O2346" s="5" t="s">
        <v>2872</v>
      </c>
      <c r="P2346" s="5" t="s">
        <v>2858</v>
      </c>
      <c r="Q2346" s="11">
        <v>46306.5</v>
      </c>
      <c r="R2346" s="6"/>
      <c r="S2346" s="6"/>
      <c r="T2346" s="6"/>
      <c r="U2346" s="5">
        <f>MATCH(B2346,Manual_Review!$A$6:$A$238,0)</f>
        <v>147</v>
      </c>
      <c r="V2346" s="5" t="str">
        <f>IF(INDEX(Manual_Review!$G$6:$G$238,U2346)="","",INDEX(Manual_Review!$G$6:$G$238,U2346))</f>
        <v/>
      </c>
      <c r="W2346" s="11" t="str">
        <f>IF(INDEX(Manual_Review!$H$6:$H$238,U2346)="","",INDEX(Manual_Review!$H$6:$H$238,U2346))</f>
        <v/>
      </c>
      <c r="X2346" s="5" t="str">
        <f>IF(INDEX(Manual_Review!$I$6:$I$238,U2346)="","",INDEX(Manual_Review!$I$6:$I$238,U2346))</f>
        <v/>
      </c>
      <c r="Y2346" s="5" t="s">
        <v>2859</v>
      </c>
    </row>
    <row r="2347" spans="1:25" ht="38.25">
      <c r="A2347" s="5" t="s">
        <v>7677</v>
      </c>
      <c r="B2347" s="5" t="s">
        <v>1679</v>
      </c>
      <c r="C2347" s="5" t="s">
        <v>1680</v>
      </c>
      <c r="D2347" s="5" t="s">
        <v>118</v>
      </c>
      <c r="E2347" s="5" t="s">
        <v>2786</v>
      </c>
      <c r="F2347" s="5" t="s">
        <v>2756</v>
      </c>
      <c r="G2347" s="5">
        <v>1</v>
      </c>
      <c r="H2347" s="5" t="s">
        <v>2864</v>
      </c>
      <c r="I2347" s="5" t="str">
        <f>IF(INDEX(Manual_Review!$P$6:$P$238,U2347)="","",INDEX(Manual_Review!$P$6:$P$238,U2347))</f>
        <v/>
      </c>
      <c r="J2347" s="5" t="str">
        <f t="shared" si="72"/>
        <v>AI provisional</v>
      </c>
      <c r="K2347" s="5" t="str">
        <f t="shared" si="73"/>
        <v>U</v>
      </c>
      <c r="L2347" s="5" t="s">
        <v>1689</v>
      </c>
      <c r="M2347" s="5" t="s">
        <v>7678</v>
      </c>
      <c r="N2347" s="5" t="s">
        <v>7668</v>
      </c>
      <c r="O2347" s="5" t="s">
        <v>2874</v>
      </c>
      <c r="P2347" s="5" t="s">
        <v>2858</v>
      </c>
      <c r="Q2347" s="11">
        <v>46306.5</v>
      </c>
      <c r="R2347" s="6"/>
      <c r="S2347" s="6"/>
      <c r="T2347" s="6"/>
      <c r="U2347" s="5">
        <f>MATCH(B2347,Manual_Review!$A$6:$A$238,0)</f>
        <v>147</v>
      </c>
      <c r="V2347" s="5" t="str">
        <f>IF(INDEX(Manual_Review!$G$6:$G$238,U2347)="","",INDEX(Manual_Review!$G$6:$G$238,U2347))</f>
        <v/>
      </c>
      <c r="W2347" s="11" t="str">
        <f>IF(INDEX(Manual_Review!$H$6:$H$238,U2347)="","",INDEX(Manual_Review!$H$6:$H$238,U2347))</f>
        <v/>
      </c>
      <c r="X2347" s="5" t="str">
        <f>IF(INDEX(Manual_Review!$I$6:$I$238,U2347)="","",INDEX(Manual_Review!$I$6:$I$238,U2347))</f>
        <v/>
      </c>
      <c r="Y2347" s="5" t="s">
        <v>2859</v>
      </c>
    </row>
    <row r="2348" spans="1:25" ht="38.25">
      <c r="A2348" s="5" t="s">
        <v>7679</v>
      </c>
      <c r="B2348" s="5" t="s">
        <v>1679</v>
      </c>
      <c r="C2348" s="5" t="s">
        <v>1680</v>
      </c>
      <c r="D2348" s="5" t="s">
        <v>118</v>
      </c>
      <c r="E2348" s="5" t="s">
        <v>2787</v>
      </c>
      <c r="F2348" s="5" t="s">
        <v>2758</v>
      </c>
      <c r="G2348" s="5">
        <v>1</v>
      </c>
      <c r="H2348" s="5" t="s">
        <v>2854</v>
      </c>
      <c r="I2348" s="5" t="str">
        <f>IF(INDEX(Manual_Review!$Q$6:$Q$238,U2348)="","",INDEX(Manual_Review!$Q$6:$Q$238,U2348))</f>
        <v/>
      </c>
      <c r="J2348" s="5" t="str">
        <f t="shared" si="72"/>
        <v>AI provisional</v>
      </c>
      <c r="K2348" s="5" t="str">
        <f t="shared" si="73"/>
        <v>Y</v>
      </c>
      <c r="L2348" s="5" t="s">
        <v>1689</v>
      </c>
      <c r="M2348" s="5" t="s">
        <v>7680</v>
      </c>
      <c r="N2348" s="5" t="s">
        <v>7668</v>
      </c>
      <c r="O2348" s="5" t="s">
        <v>2969</v>
      </c>
      <c r="P2348" s="5" t="s">
        <v>2858</v>
      </c>
      <c r="Q2348" s="11">
        <v>46306.5</v>
      </c>
      <c r="R2348" s="6"/>
      <c r="S2348" s="6"/>
      <c r="T2348" s="6"/>
      <c r="U2348" s="5">
        <f>MATCH(B2348,Manual_Review!$A$6:$A$238,0)</f>
        <v>147</v>
      </c>
      <c r="V2348" s="5" t="str">
        <f>IF(INDEX(Manual_Review!$G$6:$G$238,U2348)="","",INDEX(Manual_Review!$G$6:$G$238,U2348))</f>
        <v/>
      </c>
      <c r="W2348" s="11" t="str">
        <f>IF(INDEX(Manual_Review!$H$6:$H$238,U2348)="","",INDEX(Manual_Review!$H$6:$H$238,U2348))</f>
        <v/>
      </c>
      <c r="X2348" s="5" t="str">
        <f>IF(INDEX(Manual_Review!$I$6:$I$238,U2348)="","",INDEX(Manual_Review!$I$6:$I$238,U2348))</f>
        <v/>
      </c>
      <c r="Y2348" s="5" t="s">
        <v>2859</v>
      </c>
    </row>
    <row r="2349" spans="1:25" ht="38.25">
      <c r="A2349" s="5" t="s">
        <v>7681</v>
      </c>
      <c r="B2349" s="5" t="s">
        <v>1679</v>
      </c>
      <c r="C2349" s="5" t="s">
        <v>1680</v>
      </c>
      <c r="D2349" s="5" t="s">
        <v>118</v>
      </c>
      <c r="E2349" s="5" t="s">
        <v>2788</v>
      </c>
      <c r="F2349" s="5" t="s">
        <v>2758</v>
      </c>
      <c r="G2349" s="5">
        <v>1</v>
      </c>
      <c r="H2349" s="5" t="s">
        <v>2854</v>
      </c>
      <c r="I2349" s="5" t="str">
        <f>IF(INDEX(Manual_Review!$R$6:$R$238,U2349)="","",INDEX(Manual_Review!$R$6:$R$238,U2349))</f>
        <v/>
      </c>
      <c r="J2349" s="5" t="str">
        <f t="shared" si="72"/>
        <v>AI provisional</v>
      </c>
      <c r="K2349" s="5" t="str">
        <f t="shared" si="73"/>
        <v>Y</v>
      </c>
      <c r="L2349" s="5" t="s">
        <v>1689</v>
      </c>
      <c r="M2349" s="5" t="s">
        <v>7682</v>
      </c>
      <c r="N2349" s="5" t="s">
        <v>7668</v>
      </c>
      <c r="O2349" s="5" t="s">
        <v>3067</v>
      </c>
      <c r="P2349" s="5" t="s">
        <v>2858</v>
      </c>
      <c r="Q2349" s="11">
        <v>46306.5</v>
      </c>
      <c r="R2349" s="6"/>
      <c r="S2349" s="6"/>
      <c r="T2349" s="6"/>
      <c r="U2349" s="5">
        <f>MATCH(B2349,Manual_Review!$A$6:$A$238,0)</f>
        <v>147</v>
      </c>
      <c r="V2349" s="5" t="str">
        <f>IF(INDEX(Manual_Review!$G$6:$G$238,U2349)="","",INDEX(Manual_Review!$G$6:$G$238,U2349))</f>
        <v/>
      </c>
      <c r="W2349" s="11" t="str">
        <f>IF(INDEX(Manual_Review!$H$6:$H$238,U2349)="","",INDEX(Manual_Review!$H$6:$H$238,U2349))</f>
        <v/>
      </c>
      <c r="X2349" s="5" t="str">
        <f>IF(INDEX(Manual_Review!$I$6:$I$238,U2349)="","",INDEX(Manual_Review!$I$6:$I$238,U2349))</f>
        <v/>
      </c>
      <c r="Y2349" s="5" t="s">
        <v>2859</v>
      </c>
    </row>
    <row r="2350" spans="1:25" ht="38.25">
      <c r="A2350" s="5" t="s">
        <v>7683</v>
      </c>
      <c r="B2350" s="5" t="s">
        <v>1679</v>
      </c>
      <c r="C2350" s="5" t="s">
        <v>1680</v>
      </c>
      <c r="D2350" s="5" t="s">
        <v>118</v>
      </c>
      <c r="E2350" s="5" t="s">
        <v>2789</v>
      </c>
      <c r="F2350" s="5" t="s">
        <v>2758</v>
      </c>
      <c r="G2350" s="5">
        <v>1</v>
      </c>
      <c r="H2350" s="5" t="s">
        <v>2854</v>
      </c>
      <c r="I2350" s="5" t="str">
        <f>IF(INDEX(Manual_Review!$S$6:$S$238,U2350)="","",INDEX(Manual_Review!$S$6:$S$238,U2350))</f>
        <v/>
      </c>
      <c r="J2350" s="5" t="str">
        <f t="shared" si="72"/>
        <v>AI provisional</v>
      </c>
      <c r="K2350" s="5" t="str">
        <f t="shared" si="73"/>
        <v>Y</v>
      </c>
      <c r="L2350" s="5" t="s">
        <v>1689</v>
      </c>
      <c r="M2350" s="5" t="s">
        <v>7684</v>
      </c>
      <c r="N2350" s="5" t="s">
        <v>7668</v>
      </c>
      <c r="O2350" s="5" t="s">
        <v>3178</v>
      </c>
      <c r="P2350" s="5" t="s">
        <v>2858</v>
      </c>
      <c r="Q2350" s="11">
        <v>46306.5</v>
      </c>
      <c r="R2350" s="6"/>
      <c r="S2350" s="6"/>
      <c r="T2350" s="6"/>
      <c r="U2350" s="5">
        <f>MATCH(B2350,Manual_Review!$A$6:$A$238,0)</f>
        <v>147</v>
      </c>
      <c r="V2350" s="5" t="str">
        <f>IF(INDEX(Manual_Review!$G$6:$G$238,U2350)="","",INDEX(Manual_Review!$G$6:$G$238,U2350))</f>
        <v/>
      </c>
      <c r="W2350" s="11" t="str">
        <f>IF(INDEX(Manual_Review!$H$6:$H$238,U2350)="","",INDEX(Manual_Review!$H$6:$H$238,U2350))</f>
        <v/>
      </c>
      <c r="X2350" s="5" t="str">
        <f>IF(INDEX(Manual_Review!$I$6:$I$238,U2350)="","",INDEX(Manual_Review!$I$6:$I$238,U2350))</f>
        <v/>
      </c>
      <c r="Y2350" s="5" t="s">
        <v>2859</v>
      </c>
    </row>
    <row r="2351" spans="1:25" ht="38.25">
      <c r="A2351" s="5" t="s">
        <v>7685</v>
      </c>
      <c r="B2351" s="5" t="s">
        <v>1679</v>
      </c>
      <c r="C2351" s="5" t="s">
        <v>1680</v>
      </c>
      <c r="D2351" s="5" t="s">
        <v>118</v>
      </c>
      <c r="E2351" s="5" t="s">
        <v>2790</v>
      </c>
      <c r="F2351" s="5" t="s">
        <v>2760</v>
      </c>
      <c r="G2351" s="5">
        <v>1</v>
      </c>
      <c r="H2351" s="5" t="s">
        <v>2854</v>
      </c>
      <c r="I2351" s="5" t="str">
        <f>IF(INDEX(Manual_Review!$T$6:$T$238,U2351)="","",INDEX(Manual_Review!$T$6:$T$238,U2351))</f>
        <v/>
      </c>
      <c r="J2351" s="5" t="str">
        <f t="shared" si="72"/>
        <v>AI provisional</v>
      </c>
      <c r="K2351" s="5" t="str">
        <f t="shared" si="73"/>
        <v>Y</v>
      </c>
      <c r="L2351" s="5" t="s">
        <v>1689</v>
      </c>
      <c r="M2351" s="5" t="s">
        <v>7686</v>
      </c>
      <c r="N2351" s="5" t="s">
        <v>7668</v>
      </c>
      <c r="O2351" s="5" t="s">
        <v>2976</v>
      </c>
      <c r="P2351" s="5" t="s">
        <v>2858</v>
      </c>
      <c r="Q2351" s="11">
        <v>46306.5</v>
      </c>
      <c r="R2351" s="6"/>
      <c r="S2351" s="6"/>
      <c r="T2351" s="6"/>
      <c r="U2351" s="5">
        <f>MATCH(B2351,Manual_Review!$A$6:$A$238,0)</f>
        <v>147</v>
      </c>
      <c r="V2351" s="5" t="str">
        <f>IF(INDEX(Manual_Review!$G$6:$G$238,U2351)="","",INDEX(Manual_Review!$G$6:$G$238,U2351))</f>
        <v/>
      </c>
      <c r="W2351" s="11" t="str">
        <f>IF(INDEX(Manual_Review!$H$6:$H$238,U2351)="","",INDEX(Manual_Review!$H$6:$H$238,U2351))</f>
        <v/>
      </c>
      <c r="X2351" s="5" t="str">
        <f>IF(INDEX(Manual_Review!$I$6:$I$238,U2351)="","",INDEX(Manual_Review!$I$6:$I$238,U2351))</f>
        <v/>
      </c>
      <c r="Y2351" s="5" t="s">
        <v>2859</v>
      </c>
    </row>
    <row r="2352" spans="1:25" ht="38.25">
      <c r="A2352" s="5" t="s">
        <v>7687</v>
      </c>
      <c r="B2352" s="5" t="s">
        <v>1679</v>
      </c>
      <c r="C2352" s="5" t="s">
        <v>1680</v>
      </c>
      <c r="D2352" s="5" t="s">
        <v>118</v>
      </c>
      <c r="E2352" s="5" t="s">
        <v>2791</v>
      </c>
      <c r="F2352" s="5" t="s">
        <v>2760</v>
      </c>
      <c r="G2352" s="5">
        <v>1</v>
      </c>
      <c r="H2352" s="5" t="s">
        <v>2854</v>
      </c>
      <c r="I2352" s="5" t="str">
        <f>IF(INDEX(Manual_Review!$U$6:$U$238,U2352)="","",INDEX(Manual_Review!$U$6:$U$238,U2352))</f>
        <v/>
      </c>
      <c r="J2352" s="5" t="str">
        <f t="shared" si="72"/>
        <v>AI provisional</v>
      </c>
      <c r="K2352" s="5" t="str">
        <f t="shared" si="73"/>
        <v>Y</v>
      </c>
      <c r="L2352" s="5" t="s">
        <v>1689</v>
      </c>
      <c r="M2352" s="5" t="s">
        <v>7688</v>
      </c>
      <c r="N2352" s="5" t="s">
        <v>7668</v>
      </c>
      <c r="O2352" s="5" t="s">
        <v>3380</v>
      </c>
      <c r="P2352" s="5" t="s">
        <v>2858</v>
      </c>
      <c r="Q2352" s="11">
        <v>46306.5</v>
      </c>
      <c r="R2352" s="6"/>
      <c r="S2352" s="6"/>
      <c r="T2352" s="6"/>
      <c r="U2352" s="5">
        <f>MATCH(B2352,Manual_Review!$A$6:$A$238,0)</f>
        <v>147</v>
      </c>
      <c r="V2352" s="5" t="str">
        <f>IF(INDEX(Manual_Review!$G$6:$G$238,U2352)="","",INDEX(Manual_Review!$G$6:$G$238,U2352))</f>
        <v/>
      </c>
      <c r="W2352" s="11" t="str">
        <f>IF(INDEX(Manual_Review!$H$6:$H$238,U2352)="","",INDEX(Manual_Review!$H$6:$H$238,U2352))</f>
        <v/>
      </c>
      <c r="X2352" s="5" t="str">
        <f>IF(INDEX(Manual_Review!$I$6:$I$238,U2352)="","",INDEX(Manual_Review!$I$6:$I$238,U2352))</f>
        <v/>
      </c>
      <c r="Y2352" s="5" t="s">
        <v>2859</v>
      </c>
    </row>
    <row r="2353" spans="1:25" ht="38.25">
      <c r="A2353" s="5" t="s">
        <v>7689</v>
      </c>
      <c r="B2353" s="5" t="s">
        <v>1679</v>
      </c>
      <c r="C2353" s="5" t="s">
        <v>1680</v>
      </c>
      <c r="D2353" s="5" t="s">
        <v>118</v>
      </c>
      <c r="E2353" s="5" t="s">
        <v>2792</v>
      </c>
      <c r="F2353" s="5" t="s">
        <v>2762</v>
      </c>
      <c r="G2353" s="5">
        <v>1</v>
      </c>
      <c r="H2353" s="5" t="s">
        <v>2854</v>
      </c>
      <c r="I2353" s="5" t="str">
        <f>IF(INDEX(Manual_Review!$V$6:$V$238,U2353)="","",INDEX(Manual_Review!$V$6:$V$238,U2353))</f>
        <v/>
      </c>
      <c r="J2353" s="5" t="str">
        <f t="shared" si="72"/>
        <v>AI provisional</v>
      </c>
      <c r="K2353" s="5" t="str">
        <f t="shared" si="73"/>
        <v>Y</v>
      </c>
      <c r="L2353" s="5" t="s">
        <v>1689</v>
      </c>
      <c r="M2353" s="5" t="s">
        <v>7690</v>
      </c>
      <c r="N2353" s="5" t="s">
        <v>7668</v>
      </c>
      <c r="O2353" s="5" t="s">
        <v>3152</v>
      </c>
      <c r="P2353" s="5" t="s">
        <v>2858</v>
      </c>
      <c r="Q2353" s="11">
        <v>46306.5</v>
      </c>
      <c r="R2353" s="6"/>
      <c r="S2353" s="6"/>
      <c r="T2353" s="6"/>
      <c r="U2353" s="5">
        <f>MATCH(B2353,Manual_Review!$A$6:$A$238,0)</f>
        <v>147</v>
      </c>
      <c r="V2353" s="5" t="str">
        <f>IF(INDEX(Manual_Review!$G$6:$G$238,U2353)="","",INDEX(Manual_Review!$G$6:$G$238,U2353))</f>
        <v/>
      </c>
      <c r="W2353" s="11" t="str">
        <f>IF(INDEX(Manual_Review!$H$6:$H$238,U2353)="","",INDEX(Manual_Review!$H$6:$H$238,U2353))</f>
        <v/>
      </c>
      <c r="X2353" s="5" t="str">
        <f>IF(INDEX(Manual_Review!$I$6:$I$238,U2353)="","",INDEX(Manual_Review!$I$6:$I$238,U2353))</f>
        <v/>
      </c>
      <c r="Y2353" s="5" t="s">
        <v>2859</v>
      </c>
    </row>
    <row r="2354" spans="1:25" ht="38.25">
      <c r="A2354" s="5" t="s">
        <v>7691</v>
      </c>
      <c r="B2354" s="5" t="s">
        <v>1679</v>
      </c>
      <c r="C2354" s="5" t="s">
        <v>1680</v>
      </c>
      <c r="D2354" s="5" t="s">
        <v>118</v>
      </c>
      <c r="E2354" s="5" t="s">
        <v>2793</v>
      </c>
      <c r="F2354" s="5" t="s">
        <v>2762</v>
      </c>
      <c r="G2354" s="5">
        <v>1</v>
      </c>
      <c r="H2354" s="5" t="s">
        <v>2854</v>
      </c>
      <c r="I2354" s="5" t="str">
        <f>IF(INDEX(Manual_Review!$W$6:$W$238,U2354)="","",INDEX(Manual_Review!$W$6:$W$238,U2354))</f>
        <v/>
      </c>
      <c r="J2354" s="5" t="str">
        <f t="shared" si="72"/>
        <v>AI provisional</v>
      </c>
      <c r="K2354" s="5" t="str">
        <f t="shared" si="73"/>
        <v>Y</v>
      </c>
      <c r="L2354" s="5" t="s">
        <v>1689</v>
      </c>
      <c r="M2354" s="5" t="s">
        <v>7692</v>
      </c>
      <c r="N2354" s="5" t="s">
        <v>7668</v>
      </c>
      <c r="O2354" s="5" t="s">
        <v>3077</v>
      </c>
      <c r="P2354" s="5" t="s">
        <v>2858</v>
      </c>
      <c r="Q2354" s="11">
        <v>46306.5</v>
      </c>
      <c r="R2354" s="6"/>
      <c r="S2354" s="6"/>
      <c r="T2354" s="6"/>
      <c r="U2354" s="5">
        <f>MATCH(B2354,Manual_Review!$A$6:$A$238,0)</f>
        <v>147</v>
      </c>
      <c r="V2354" s="5" t="str">
        <f>IF(INDEX(Manual_Review!$G$6:$G$238,U2354)="","",INDEX(Manual_Review!$G$6:$G$238,U2354))</f>
        <v/>
      </c>
      <c r="W2354" s="11" t="str">
        <f>IF(INDEX(Manual_Review!$H$6:$H$238,U2354)="","",INDEX(Manual_Review!$H$6:$H$238,U2354))</f>
        <v/>
      </c>
      <c r="X2354" s="5" t="str">
        <f>IF(INDEX(Manual_Review!$I$6:$I$238,U2354)="","",INDEX(Manual_Review!$I$6:$I$238,U2354))</f>
        <v/>
      </c>
      <c r="Y2354" s="5" t="s">
        <v>2859</v>
      </c>
    </row>
    <row r="2355" spans="1:25" ht="38.25">
      <c r="A2355" s="5" t="s">
        <v>7693</v>
      </c>
      <c r="B2355" s="5" t="s">
        <v>1679</v>
      </c>
      <c r="C2355" s="5" t="s">
        <v>1680</v>
      </c>
      <c r="D2355" s="5" t="s">
        <v>118</v>
      </c>
      <c r="E2355" s="5" t="s">
        <v>2794</v>
      </c>
      <c r="F2355" s="5" t="s">
        <v>2764</v>
      </c>
      <c r="G2355" s="5">
        <v>1</v>
      </c>
      <c r="H2355" s="5" t="s">
        <v>2864</v>
      </c>
      <c r="I2355" s="5" t="str">
        <f>IF(INDEX(Manual_Review!$X$6:$X$238,U2355)="","",INDEX(Manual_Review!$X$6:$X$238,U2355))</f>
        <v/>
      </c>
      <c r="J2355" s="5" t="str">
        <f t="shared" si="72"/>
        <v>AI provisional</v>
      </c>
      <c r="K2355" s="5" t="str">
        <f t="shared" si="73"/>
        <v>U</v>
      </c>
      <c r="L2355" s="5" t="s">
        <v>1689</v>
      </c>
      <c r="M2355" s="5" t="s">
        <v>7694</v>
      </c>
      <c r="N2355" s="5" t="s">
        <v>7668</v>
      </c>
      <c r="O2355" s="5" t="s">
        <v>2895</v>
      </c>
      <c r="P2355" s="5" t="s">
        <v>2858</v>
      </c>
      <c r="Q2355" s="11">
        <v>46306.5</v>
      </c>
      <c r="R2355" s="6"/>
      <c r="S2355" s="6"/>
      <c r="T2355" s="6"/>
      <c r="U2355" s="5">
        <f>MATCH(B2355,Manual_Review!$A$6:$A$238,0)</f>
        <v>147</v>
      </c>
      <c r="V2355" s="5" t="str">
        <f>IF(INDEX(Manual_Review!$G$6:$G$238,U2355)="","",INDEX(Manual_Review!$G$6:$G$238,U2355))</f>
        <v/>
      </c>
      <c r="W2355" s="11" t="str">
        <f>IF(INDEX(Manual_Review!$H$6:$H$238,U2355)="","",INDEX(Manual_Review!$H$6:$H$238,U2355))</f>
        <v/>
      </c>
      <c r="X2355" s="5" t="str">
        <f>IF(INDEX(Manual_Review!$I$6:$I$238,U2355)="","",INDEX(Manual_Review!$I$6:$I$238,U2355))</f>
        <v/>
      </c>
      <c r="Y2355" s="5" t="s">
        <v>2859</v>
      </c>
    </row>
    <row r="2356" spans="1:25" ht="38.25">
      <c r="A2356" s="5" t="s">
        <v>7695</v>
      </c>
      <c r="B2356" s="5" t="s">
        <v>1679</v>
      </c>
      <c r="C2356" s="5" t="s">
        <v>1680</v>
      </c>
      <c r="D2356" s="5" t="s">
        <v>118</v>
      </c>
      <c r="E2356" s="5" t="s">
        <v>2795</v>
      </c>
      <c r="F2356" s="5" t="s">
        <v>2764</v>
      </c>
      <c r="G2356" s="5">
        <v>1</v>
      </c>
      <c r="H2356" s="5" t="s">
        <v>2864</v>
      </c>
      <c r="I2356" s="5" t="str">
        <f>IF(INDEX(Manual_Review!$Y$6:$Y$238,U2356)="","",INDEX(Manual_Review!$Y$6:$Y$238,U2356))</f>
        <v/>
      </c>
      <c r="J2356" s="5" t="str">
        <f t="shared" si="72"/>
        <v>AI provisional</v>
      </c>
      <c r="K2356" s="5" t="str">
        <f t="shared" si="73"/>
        <v>U</v>
      </c>
      <c r="L2356" s="5" t="s">
        <v>1689</v>
      </c>
      <c r="M2356" s="5" t="s">
        <v>7672</v>
      </c>
      <c r="N2356" s="5" t="s">
        <v>7668</v>
      </c>
      <c r="O2356" s="5" t="s">
        <v>2897</v>
      </c>
      <c r="P2356" s="5" t="s">
        <v>2858</v>
      </c>
      <c r="Q2356" s="11">
        <v>46306.5</v>
      </c>
      <c r="R2356" s="6"/>
      <c r="S2356" s="6"/>
      <c r="T2356" s="6"/>
      <c r="U2356" s="5">
        <f>MATCH(B2356,Manual_Review!$A$6:$A$238,0)</f>
        <v>147</v>
      </c>
      <c r="V2356" s="5" t="str">
        <f>IF(INDEX(Manual_Review!$G$6:$G$238,U2356)="","",INDEX(Manual_Review!$G$6:$G$238,U2356))</f>
        <v/>
      </c>
      <c r="W2356" s="11" t="str">
        <f>IF(INDEX(Manual_Review!$H$6:$H$238,U2356)="","",INDEX(Manual_Review!$H$6:$H$238,U2356))</f>
        <v/>
      </c>
      <c r="X2356" s="5" t="str">
        <f>IF(INDEX(Manual_Review!$I$6:$I$238,U2356)="","",INDEX(Manual_Review!$I$6:$I$238,U2356))</f>
        <v/>
      </c>
      <c r="Y2356" s="5" t="s">
        <v>2859</v>
      </c>
    </row>
    <row r="2357" spans="1:25" ht="38.25">
      <c r="A2357" s="5" t="s">
        <v>7696</v>
      </c>
      <c r="B2357" s="5" t="s">
        <v>1679</v>
      </c>
      <c r="C2357" s="5" t="s">
        <v>1680</v>
      </c>
      <c r="D2357" s="5" t="s">
        <v>118</v>
      </c>
      <c r="E2357" s="5" t="s">
        <v>2796</v>
      </c>
      <c r="F2357" s="5" t="s">
        <v>2764</v>
      </c>
      <c r="G2357" s="5">
        <v>1</v>
      </c>
      <c r="H2357" s="5" t="s">
        <v>2864</v>
      </c>
      <c r="I2357" s="5" t="str">
        <f>IF(INDEX(Manual_Review!$Z$6:$Z$238,U2357)="","",INDEX(Manual_Review!$Z$6:$Z$238,U2357))</f>
        <v/>
      </c>
      <c r="J2357" s="5" t="str">
        <f t="shared" si="72"/>
        <v>AI provisional</v>
      </c>
      <c r="K2357" s="5" t="str">
        <f t="shared" si="73"/>
        <v>U</v>
      </c>
      <c r="L2357" s="5" t="s">
        <v>1689</v>
      </c>
      <c r="M2357" s="5" t="s">
        <v>7697</v>
      </c>
      <c r="N2357" s="5" t="s">
        <v>7668</v>
      </c>
      <c r="O2357" s="5" t="s">
        <v>2899</v>
      </c>
      <c r="P2357" s="5" t="s">
        <v>2858</v>
      </c>
      <c r="Q2357" s="11">
        <v>46306.5</v>
      </c>
      <c r="R2357" s="6"/>
      <c r="S2357" s="6"/>
      <c r="T2357" s="6"/>
      <c r="U2357" s="5">
        <f>MATCH(B2357,Manual_Review!$A$6:$A$238,0)</f>
        <v>147</v>
      </c>
      <c r="V2357" s="5" t="str">
        <f>IF(INDEX(Manual_Review!$G$6:$G$238,U2357)="","",INDEX(Manual_Review!$G$6:$G$238,U2357))</f>
        <v/>
      </c>
      <c r="W2357" s="11" t="str">
        <f>IF(INDEX(Manual_Review!$H$6:$H$238,U2357)="","",INDEX(Manual_Review!$H$6:$H$238,U2357))</f>
        <v/>
      </c>
      <c r="X2357" s="5" t="str">
        <f>IF(INDEX(Manual_Review!$I$6:$I$238,U2357)="","",INDEX(Manual_Review!$I$6:$I$238,U2357))</f>
        <v/>
      </c>
      <c r="Y2357" s="5" t="s">
        <v>2859</v>
      </c>
    </row>
    <row r="2358" spans="1:25" ht="25.5">
      <c r="A2358" s="5" t="s">
        <v>7698</v>
      </c>
      <c r="B2358" s="5" t="s">
        <v>1691</v>
      </c>
      <c r="C2358" s="5" t="s">
        <v>1692</v>
      </c>
      <c r="D2358" s="5" t="s">
        <v>118</v>
      </c>
      <c r="E2358" s="5" t="s">
        <v>2781</v>
      </c>
      <c r="F2358" s="5" t="s">
        <v>2754</v>
      </c>
      <c r="G2358" s="5">
        <v>1</v>
      </c>
      <c r="H2358" s="5" t="s">
        <v>2854</v>
      </c>
      <c r="I2358" s="5" t="str">
        <f>IF(INDEX(Manual_Review!$K$6:$K$238,U2358)="","",INDEX(Manual_Review!$K$6:$K$238,U2358))</f>
        <v/>
      </c>
      <c r="J2358" s="5" t="str">
        <f t="shared" si="72"/>
        <v>AI provisional</v>
      </c>
      <c r="K2358" s="5" t="str">
        <f t="shared" si="73"/>
        <v>Y</v>
      </c>
      <c r="L2358" s="5" t="s">
        <v>1699</v>
      </c>
      <c r="M2358" s="5" t="s">
        <v>7699</v>
      </c>
      <c r="N2358" s="5" t="s">
        <v>7700</v>
      </c>
      <c r="O2358" s="5" t="s">
        <v>2857</v>
      </c>
      <c r="P2358" s="5" t="s">
        <v>2858</v>
      </c>
      <c r="Q2358" s="11">
        <v>46306.5</v>
      </c>
      <c r="R2358" s="6"/>
      <c r="S2358" s="6"/>
      <c r="T2358" s="6"/>
      <c r="U2358" s="5">
        <f>MATCH(B2358,Manual_Review!$A$6:$A$238,0)</f>
        <v>148</v>
      </c>
      <c r="V2358" s="5" t="str">
        <f>IF(INDEX(Manual_Review!$G$6:$G$238,U2358)="","",INDEX(Manual_Review!$G$6:$G$238,U2358))</f>
        <v/>
      </c>
      <c r="W2358" s="11" t="str">
        <f>IF(INDEX(Manual_Review!$H$6:$H$238,U2358)="","",INDEX(Manual_Review!$H$6:$H$238,U2358))</f>
        <v/>
      </c>
      <c r="X2358" s="5" t="str">
        <f>IF(INDEX(Manual_Review!$I$6:$I$238,U2358)="","",INDEX(Manual_Review!$I$6:$I$238,U2358))</f>
        <v/>
      </c>
      <c r="Y2358" s="5" t="s">
        <v>2859</v>
      </c>
    </row>
    <row r="2359" spans="1:25" ht="25.5">
      <c r="A2359" s="5" t="s">
        <v>7701</v>
      </c>
      <c r="B2359" s="5" t="s">
        <v>1691</v>
      </c>
      <c r="C2359" s="5" t="s">
        <v>1692</v>
      </c>
      <c r="D2359" s="5" t="s">
        <v>118</v>
      </c>
      <c r="E2359" s="5" t="s">
        <v>2782</v>
      </c>
      <c r="F2359" s="5" t="s">
        <v>2754</v>
      </c>
      <c r="G2359" s="5">
        <v>1</v>
      </c>
      <c r="H2359" s="5" t="s">
        <v>2854</v>
      </c>
      <c r="I2359" s="5" t="str">
        <f>IF(INDEX(Manual_Review!$L$6:$L$238,U2359)="","",INDEX(Manual_Review!$L$6:$L$238,U2359))</f>
        <v/>
      </c>
      <c r="J2359" s="5" t="str">
        <f t="shared" si="72"/>
        <v>AI provisional</v>
      </c>
      <c r="K2359" s="5" t="str">
        <f t="shared" si="73"/>
        <v>Y</v>
      </c>
      <c r="L2359" s="5" t="s">
        <v>1699</v>
      </c>
      <c r="M2359" s="5" t="s">
        <v>7702</v>
      </c>
      <c r="N2359" s="5" t="s">
        <v>7700</v>
      </c>
      <c r="O2359" s="5" t="s">
        <v>2862</v>
      </c>
      <c r="P2359" s="5" t="s">
        <v>2858</v>
      </c>
      <c r="Q2359" s="11">
        <v>46306.5</v>
      </c>
      <c r="R2359" s="6"/>
      <c r="S2359" s="6"/>
      <c r="T2359" s="6"/>
      <c r="U2359" s="5">
        <f>MATCH(B2359,Manual_Review!$A$6:$A$238,0)</f>
        <v>148</v>
      </c>
      <c r="V2359" s="5" t="str">
        <f>IF(INDEX(Manual_Review!$G$6:$G$238,U2359)="","",INDEX(Manual_Review!$G$6:$G$238,U2359))</f>
        <v/>
      </c>
      <c r="W2359" s="11" t="str">
        <f>IF(INDEX(Manual_Review!$H$6:$H$238,U2359)="","",INDEX(Manual_Review!$H$6:$H$238,U2359))</f>
        <v/>
      </c>
      <c r="X2359" s="5" t="str">
        <f>IF(INDEX(Manual_Review!$I$6:$I$238,U2359)="","",INDEX(Manual_Review!$I$6:$I$238,U2359))</f>
        <v/>
      </c>
      <c r="Y2359" s="5" t="s">
        <v>2859</v>
      </c>
    </row>
    <row r="2360" spans="1:25" ht="25.5">
      <c r="A2360" s="5" t="s">
        <v>7703</v>
      </c>
      <c r="B2360" s="5" t="s">
        <v>1691</v>
      </c>
      <c r="C2360" s="5" t="s">
        <v>1692</v>
      </c>
      <c r="D2360" s="5" t="s">
        <v>118</v>
      </c>
      <c r="E2360" s="5" t="s">
        <v>2783</v>
      </c>
      <c r="F2360" s="5" t="s">
        <v>2754</v>
      </c>
      <c r="G2360" s="5">
        <v>1</v>
      </c>
      <c r="H2360" s="5" t="s">
        <v>2854</v>
      </c>
      <c r="I2360" s="5" t="str">
        <f>IF(INDEX(Manual_Review!$M$6:$M$238,U2360)="","",INDEX(Manual_Review!$M$6:$M$238,U2360))</f>
        <v/>
      </c>
      <c r="J2360" s="5" t="str">
        <f t="shared" si="72"/>
        <v>AI provisional</v>
      </c>
      <c r="K2360" s="5" t="str">
        <f t="shared" si="73"/>
        <v>Y</v>
      </c>
      <c r="L2360" s="5" t="s">
        <v>1699</v>
      </c>
      <c r="M2360" s="5" t="s">
        <v>7704</v>
      </c>
      <c r="N2360" s="5" t="s">
        <v>7700</v>
      </c>
      <c r="O2360" s="5" t="s">
        <v>3133</v>
      </c>
      <c r="P2360" s="5" t="s">
        <v>2858</v>
      </c>
      <c r="Q2360" s="11">
        <v>46306.5</v>
      </c>
      <c r="R2360" s="6"/>
      <c r="S2360" s="6"/>
      <c r="T2360" s="6"/>
      <c r="U2360" s="5">
        <f>MATCH(B2360,Manual_Review!$A$6:$A$238,0)</f>
        <v>148</v>
      </c>
      <c r="V2360" s="5" t="str">
        <f>IF(INDEX(Manual_Review!$G$6:$G$238,U2360)="","",INDEX(Manual_Review!$G$6:$G$238,U2360))</f>
        <v/>
      </c>
      <c r="W2360" s="11" t="str">
        <f>IF(INDEX(Manual_Review!$H$6:$H$238,U2360)="","",INDEX(Manual_Review!$H$6:$H$238,U2360))</f>
        <v/>
      </c>
      <c r="X2360" s="5" t="str">
        <f>IF(INDEX(Manual_Review!$I$6:$I$238,U2360)="","",INDEX(Manual_Review!$I$6:$I$238,U2360))</f>
        <v/>
      </c>
      <c r="Y2360" s="5" t="s">
        <v>2859</v>
      </c>
    </row>
    <row r="2361" spans="1:25" ht="25.5">
      <c r="A2361" s="5" t="s">
        <v>7705</v>
      </c>
      <c r="B2361" s="5" t="s">
        <v>1691</v>
      </c>
      <c r="C2361" s="5" t="s">
        <v>1692</v>
      </c>
      <c r="D2361" s="5" t="s">
        <v>118</v>
      </c>
      <c r="E2361" s="5" t="s">
        <v>2784</v>
      </c>
      <c r="F2361" s="5" t="s">
        <v>2756</v>
      </c>
      <c r="G2361" s="5">
        <v>1</v>
      </c>
      <c r="H2361" s="5" t="s">
        <v>2854</v>
      </c>
      <c r="I2361" s="5" t="str">
        <f>IF(INDEX(Manual_Review!$N$6:$N$238,U2361)="","",INDEX(Manual_Review!$N$6:$N$238,U2361))</f>
        <v/>
      </c>
      <c r="J2361" s="5" t="str">
        <f t="shared" si="72"/>
        <v>AI provisional</v>
      </c>
      <c r="K2361" s="5" t="str">
        <f t="shared" si="73"/>
        <v>Y</v>
      </c>
      <c r="L2361" s="5" t="s">
        <v>1699</v>
      </c>
      <c r="M2361" s="5" t="s">
        <v>7706</v>
      </c>
      <c r="N2361" s="5" t="s">
        <v>7700</v>
      </c>
      <c r="O2361" s="5" t="s">
        <v>2963</v>
      </c>
      <c r="P2361" s="5" t="s">
        <v>2858</v>
      </c>
      <c r="Q2361" s="11">
        <v>46306.5</v>
      </c>
      <c r="R2361" s="6"/>
      <c r="S2361" s="6"/>
      <c r="T2361" s="6"/>
      <c r="U2361" s="5">
        <f>MATCH(B2361,Manual_Review!$A$6:$A$238,0)</f>
        <v>148</v>
      </c>
      <c r="V2361" s="5" t="str">
        <f>IF(INDEX(Manual_Review!$G$6:$G$238,U2361)="","",INDEX(Manual_Review!$G$6:$G$238,U2361))</f>
        <v/>
      </c>
      <c r="W2361" s="11" t="str">
        <f>IF(INDEX(Manual_Review!$H$6:$H$238,U2361)="","",INDEX(Manual_Review!$H$6:$H$238,U2361))</f>
        <v/>
      </c>
      <c r="X2361" s="5" t="str">
        <f>IF(INDEX(Manual_Review!$I$6:$I$238,U2361)="","",INDEX(Manual_Review!$I$6:$I$238,U2361))</f>
        <v/>
      </c>
      <c r="Y2361" s="5" t="s">
        <v>2859</v>
      </c>
    </row>
    <row r="2362" spans="1:25" ht="25.5">
      <c r="A2362" s="5" t="s">
        <v>7707</v>
      </c>
      <c r="B2362" s="5" t="s">
        <v>1691</v>
      </c>
      <c r="C2362" s="5" t="s">
        <v>1692</v>
      </c>
      <c r="D2362" s="5" t="s">
        <v>118</v>
      </c>
      <c r="E2362" s="5" t="s">
        <v>2785</v>
      </c>
      <c r="F2362" s="5" t="s">
        <v>2756</v>
      </c>
      <c r="G2362" s="5">
        <v>1</v>
      </c>
      <c r="H2362" s="5" t="s">
        <v>2864</v>
      </c>
      <c r="I2362" s="5" t="str">
        <f>IF(INDEX(Manual_Review!$O$6:$O$238,U2362)="","",INDEX(Manual_Review!$O$6:$O$238,U2362))</f>
        <v/>
      </c>
      <c r="J2362" s="5" t="str">
        <f t="shared" si="72"/>
        <v>AI provisional</v>
      </c>
      <c r="K2362" s="5" t="str">
        <f t="shared" si="73"/>
        <v>U</v>
      </c>
      <c r="L2362" s="5" t="s">
        <v>1699</v>
      </c>
      <c r="M2362" s="5" t="s">
        <v>7708</v>
      </c>
      <c r="N2362" s="5" t="s">
        <v>7700</v>
      </c>
      <c r="O2362" s="5" t="s">
        <v>2872</v>
      </c>
      <c r="P2362" s="5" t="s">
        <v>2858</v>
      </c>
      <c r="Q2362" s="11">
        <v>46306.5</v>
      </c>
      <c r="R2362" s="6"/>
      <c r="S2362" s="6"/>
      <c r="T2362" s="6"/>
      <c r="U2362" s="5">
        <f>MATCH(B2362,Manual_Review!$A$6:$A$238,0)</f>
        <v>148</v>
      </c>
      <c r="V2362" s="5" t="str">
        <f>IF(INDEX(Manual_Review!$G$6:$G$238,U2362)="","",INDEX(Manual_Review!$G$6:$G$238,U2362))</f>
        <v/>
      </c>
      <c r="W2362" s="11" t="str">
        <f>IF(INDEX(Manual_Review!$H$6:$H$238,U2362)="","",INDEX(Manual_Review!$H$6:$H$238,U2362))</f>
        <v/>
      </c>
      <c r="X2362" s="5" t="str">
        <f>IF(INDEX(Manual_Review!$I$6:$I$238,U2362)="","",INDEX(Manual_Review!$I$6:$I$238,U2362))</f>
        <v/>
      </c>
      <c r="Y2362" s="5" t="s">
        <v>2859</v>
      </c>
    </row>
    <row r="2363" spans="1:25" ht="25.5">
      <c r="A2363" s="5" t="s">
        <v>7709</v>
      </c>
      <c r="B2363" s="5" t="s">
        <v>1691</v>
      </c>
      <c r="C2363" s="5" t="s">
        <v>1692</v>
      </c>
      <c r="D2363" s="5" t="s">
        <v>118</v>
      </c>
      <c r="E2363" s="5" t="s">
        <v>2786</v>
      </c>
      <c r="F2363" s="5" t="s">
        <v>2756</v>
      </c>
      <c r="G2363" s="5">
        <v>1</v>
      </c>
      <c r="H2363" s="5" t="s">
        <v>2864</v>
      </c>
      <c r="I2363" s="5" t="str">
        <f>IF(INDEX(Manual_Review!$P$6:$P$238,U2363)="","",INDEX(Manual_Review!$P$6:$P$238,U2363))</f>
        <v/>
      </c>
      <c r="J2363" s="5" t="str">
        <f t="shared" si="72"/>
        <v>AI provisional</v>
      </c>
      <c r="K2363" s="5" t="str">
        <f t="shared" si="73"/>
        <v>U</v>
      </c>
      <c r="L2363" s="5" t="s">
        <v>1699</v>
      </c>
      <c r="M2363" s="5" t="s">
        <v>7710</v>
      </c>
      <c r="N2363" s="5" t="s">
        <v>7700</v>
      </c>
      <c r="O2363" s="5" t="s">
        <v>2874</v>
      </c>
      <c r="P2363" s="5" t="s">
        <v>2858</v>
      </c>
      <c r="Q2363" s="11">
        <v>46306.5</v>
      </c>
      <c r="R2363" s="6"/>
      <c r="S2363" s="6"/>
      <c r="T2363" s="6"/>
      <c r="U2363" s="5">
        <f>MATCH(B2363,Manual_Review!$A$6:$A$238,0)</f>
        <v>148</v>
      </c>
      <c r="V2363" s="5" t="str">
        <f>IF(INDEX(Manual_Review!$G$6:$G$238,U2363)="","",INDEX(Manual_Review!$G$6:$G$238,U2363))</f>
        <v/>
      </c>
      <c r="W2363" s="11" t="str">
        <f>IF(INDEX(Manual_Review!$H$6:$H$238,U2363)="","",INDEX(Manual_Review!$H$6:$H$238,U2363))</f>
        <v/>
      </c>
      <c r="X2363" s="5" t="str">
        <f>IF(INDEX(Manual_Review!$I$6:$I$238,U2363)="","",INDEX(Manual_Review!$I$6:$I$238,U2363))</f>
        <v/>
      </c>
      <c r="Y2363" s="5" t="s">
        <v>2859</v>
      </c>
    </row>
    <row r="2364" spans="1:25" ht="25.5">
      <c r="A2364" s="5" t="s">
        <v>7711</v>
      </c>
      <c r="B2364" s="5" t="s">
        <v>1691</v>
      </c>
      <c r="C2364" s="5" t="s">
        <v>1692</v>
      </c>
      <c r="D2364" s="5" t="s">
        <v>118</v>
      </c>
      <c r="E2364" s="5" t="s">
        <v>2787</v>
      </c>
      <c r="F2364" s="5" t="s">
        <v>2758</v>
      </c>
      <c r="G2364" s="5">
        <v>1</v>
      </c>
      <c r="H2364" s="5" t="s">
        <v>2864</v>
      </c>
      <c r="I2364" s="5" t="str">
        <f>IF(INDEX(Manual_Review!$Q$6:$Q$238,U2364)="","",INDEX(Manual_Review!$Q$6:$Q$238,U2364))</f>
        <v/>
      </c>
      <c r="J2364" s="5" t="str">
        <f t="shared" si="72"/>
        <v>AI provisional</v>
      </c>
      <c r="K2364" s="5" t="str">
        <f t="shared" si="73"/>
        <v>U</v>
      </c>
      <c r="L2364" s="5" t="s">
        <v>1699</v>
      </c>
      <c r="M2364" s="5" t="s">
        <v>7712</v>
      </c>
      <c r="N2364" s="5" t="s">
        <v>7700</v>
      </c>
      <c r="O2364" s="5" t="s">
        <v>2877</v>
      </c>
      <c r="P2364" s="5" t="s">
        <v>2858</v>
      </c>
      <c r="Q2364" s="11">
        <v>46306.5</v>
      </c>
      <c r="R2364" s="6"/>
      <c r="S2364" s="6"/>
      <c r="T2364" s="6"/>
      <c r="U2364" s="5">
        <f>MATCH(B2364,Manual_Review!$A$6:$A$238,0)</f>
        <v>148</v>
      </c>
      <c r="V2364" s="5" t="str">
        <f>IF(INDEX(Manual_Review!$G$6:$G$238,U2364)="","",INDEX(Manual_Review!$G$6:$G$238,U2364))</f>
        <v/>
      </c>
      <c r="W2364" s="11" t="str">
        <f>IF(INDEX(Manual_Review!$H$6:$H$238,U2364)="","",INDEX(Manual_Review!$H$6:$H$238,U2364))</f>
        <v/>
      </c>
      <c r="X2364" s="5" t="str">
        <f>IF(INDEX(Manual_Review!$I$6:$I$238,U2364)="","",INDEX(Manual_Review!$I$6:$I$238,U2364))</f>
        <v/>
      </c>
      <c r="Y2364" s="5" t="s">
        <v>2859</v>
      </c>
    </row>
    <row r="2365" spans="1:25" ht="25.5">
      <c r="A2365" s="5" t="s">
        <v>7713</v>
      </c>
      <c r="B2365" s="5" t="s">
        <v>1691</v>
      </c>
      <c r="C2365" s="5" t="s">
        <v>1692</v>
      </c>
      <c r="D2365" s="5" t="s">
        <v>118</v>
      </c>
      <c r="E2365" s="5" t="s">
        <v>2788</v>
      </c>
      <c r="F2365" s="5" t="s">
        <v>2758</v>
      </c>
      <c r="G2365" s="5">
        <v>1</v>
      </c>
      <c r="H2365" s="5" t="s">
        <v>2854</v>
      </c>
      <c r="I2365" s="5" t="str">
        <f>IF(INDEX(Manual_Review!$R$6:$R$238,U2365)="","",INDEX(Manual_Review!$R$6:$R$238,U2365))</f>
        <v/>
      </c>
      <c r="J2365" s="5" t="str">
        <f t="shared" si="72"/>
        <v>AI provisional</v>
      </c>
      <c r="K2365" s="5" t="str">
        <f t="shared" si="73"/>
        <v>Y</v>
      </c>
      <c r="L2365" s="5" t="s">
        <v>1699</v>
      </c>
      <c r="M2365" s="5" t="s">
        <v>7714</v>
      </c>
      <c r="N2365" s="5" t="s">
        <v>7700</v>
      </c>
      <c r="O2365" s="5" t="s">
        <v>3067</v>
      </c>
      <c r="P2365" s="5" t="s">
        <v>2858</v>
      </c>
      <c r="Q2365" s="11">
        <v>46306.5</v>
      </c>
      <c r="R2365" s="6"/>
      <c r="S2365" s="6"/>
      <c r="T2365" s="6"/>
      <c r="U2365" s="5">
        <f>MATCH(B2365,Manual_Review!$A$6:$A$238,0)</f>
        <v>148</v>
      </c>
      <c r="V2365" s="5" t="str">
        <f>IF(INDEX(Manual_Review!$G$6:$G$238,U2365)="","",INDEX(Manual_Review!$G$6:$G$238,U2365))</f>
        <v/>
      </c>
      <c r="W2365" s="11" t="str">
        <f>IF(INDEX(Manual_Review!$H$6:$H$238,U2365)="","",INDEX(Manual_Review!$H$6:$H$238,U2365))</f>
        <v/>
      </c>
      <c r="X2365" s="5" t="str">
        <f>IF(INDEX(Manual_Review!$I$6:$I$238,U2365)="","",INDEX(Manual_Review!$I$6:$I$238,U2365))</f>
        <v/>
      </c>
      <c r="Y2365" s="5" t="s">
        <v>2859</v>
      </c>
    </row>
    <row r="2366" spans="1:25" ht="25.5">
      <c r="A2366" s="5" t="s">
        <v>7715</v>
      </c>
      <c r="B2366" s="5" t="s">
        <v>1691</v>
      </c>
      <c r="C2366" s="5" t="s">
        <v>1692</v>
      </c>
      <c r="D2366" s="5" t="s">
        <v>118</v>
      </c>
      <c r="E2366" s="5" t="s">
        <v>2789</v>
      </c>
      <c r="F2366" s="5" t="s">
        <v>2758</v>
      </c>
      <c r="G2366" s="5">
        <v>1</v>
      </c>
      <c r="H2366" s="5" t="s">
        <v>2854</v>
      </c>
      <c r="I2366" s="5" t="str">
        <f>IF(INDEX(Manual_Review!$S$6:$S$238,U2366)="","",INDEX(Manual_Review!$S$6:$S$238,U2366))</f>
        <v/>
      </c>
      <c r="J2366" s="5" t="str">
        <f t="shared" si="72"/>
        <v>AI provisional</v>
      </c>
      <c r="K2366" s="5" t="str">
        <f t="shared" si="73"/>
        <v>Y</v>
      </c>
      <c r="L2366" s="5" t="s">
        <v>1699</v>
      </c>
      <c r="M2366" s="5" t="s">
        <v>7716</v>
      </c>
      <c r="N2366" s="5" t="s">
        <v>7700</v>
      </c>
      <c r="O2366" s="5" t="s">
        <v>3178</v>
      </c>
      <c r="P2366" s="5" t="s">
        <v>2858</v>
      </c>
      <c r="Q2366" s="11">
        <v>46306.5</v>
      </c>
      <c r="R2366" s="6"/>
      <c r="S2366" s="6"/>
      <c r="T2366" s="6"/>
      <c r="U2366" s="5">
        <f>MATCH(B2366,Manual_Review!$A$6:$A$238,0)</f>
        <v>148</v>
      </c>
      <c r="V2366" s="5" t="str">
        <f>IF(INDEX(Manual_Review!$G$6:$G$238,U2366)="","",INDEX(Manual_Review!$G$6:$G$238,U2366))</f>
        <v/>
      </c>
      <c r="W2366" s="11" t="str">
        <f>IF(INDEX(Manual_Review!$H$6:$H$238,U2366)="","",INDEX(Manual_Review!$H$6:$H$238,U2366))</f>
        <v/>
      </c>
      <c r="X2366" s="5" t="str">
        <f>IF(INDEX(Manual_Review!$I$6:$I$238,U2366)="","",INDEX(Manual_Review!$I$6:$I$238,U2366))</f>
        <v/>
      </c>
      <c r="Y2366" s="5" t="s">
        <v>2859</v>
      </c>
    </row>
    <row r="2367" spans="1:25" ht="25.5">
      <c r="A2367" s="5" t="s">
        <v>7717</v>
      </c>
      <c r="B2367" s="5" t="s">
        <v>1691</v>
      </c>
      <c r="C2367" s="5" t="s">
        <v>1692</v>
      </c>
      <c r="D2367" s="5" t="s">
        <v>118</v>
      </c>
      <c r="E2367" s="5" t="s">
        <v>2790</v>
      </c>
      <c r="F2367" s="5" t="s">
        <v>2760</v>
      </c>
      <c r="G2367" s="5">
        <v>1</v>
      </c>
      <c r="H2367" s="5" t="s">
        <v>2854</v>
      </c>
      <c r="I2367" s="5" t="str">
        <f>IF(INDEX(Manual_Review!$T$6:$T$238,U2367)="","",INDEX(Manual_Review!$T$6:$T$238,U2367))</f>
        <v/>
      </c>
      <c r="J2367" s="5" t="str">
        <f t="shared" si="72"/>
        <v>AI provisional</v>
      </c>
      <c r="K2367" s="5" t="str">
        <f t="shared" si="73"/>
        <v>Y</v>
      </c>
      <c r="L2367" s="5" t="s">
        <v>1699</v>
      </c>
      <c r="M2367" s="5" t="s">
        <v>7718</v>
      </c>
      <c r="N2367" s="5" t="s">
        <v>7700</v>
      </c>
      <c r="O2367" s="5" t="s">
        <v>2976</v>
      </c>
      <c r="P2367" s="5" t="s">
        <v>2858</v>
      </c>
      <c r="Q2367" s="11">
        <v>46306.5</v>
      </c>
      <c r="R2367" s="6"/>
      <c r="S2367" s="6"/>
      <c r="T2367" s="6"/>
      <c r="U2367" s="5">
        <f>MATCH(B2367,Manual_Review!$A$6:$A$238,0)</f>
        <v>148</v>
      </c>
      <c r="V2367" s="5" t="str">
        <f>IF(INDEX(Manual_Review!$G$6:$G$238,U2367)="","",INDEX(Manual_Review!$G$6:$G$238,U2367))</f>
        <v/>
      </c>
      <c r="W2367" s="11" t="str">
        <f>IF(INDEX(Manual_Review!$H$6:$H$238,U2367)="","",INDEX(Manual_Review!$H$6:$H$238,U2367))</f>
        <v/>
      </c>
      <c r="X2367" s="5" t="str">
        <f>IF(INDEX(Manual_Review!$I$6:$I$238,U2367)="","",INDEX(Manual_Review!$I$6:$I$238,U2367))</f>
        <v/>
      </c>
      <c r="Y2367" s="5" t="s">
        <v>2859</v>
      </c>
    </row>
    <row r="2368" spans="1:25" ht="25.5">
      <c r="A2368" s="5" t="s">
        <v>7719</v>
      </c>
      <c r="B2368" s="5" t="s">
        <v>1691</v>
      </c>
      <c r="C2368" s="5" t="s">
        <v>1692</v>
      </c>
      <c r="D2368" s="5" t="s">
        <v>118</v>
      </c>
      <c r="E2368" s="5" t="s">
        <v>2791</v>
      </c>
      <c r="F2368" s="5" t="s">
        <v>2760</v>
      </c>
      <c r="G2368" s="5">
        <v>1</v>
      </c>
      <c r="H2368" s="5" t="s">
        <v>2854</v>
      </c>
      <c r="I2368" s="5" t="str">
        <f>IF(INDEX(Manual_Review!$U$6:$U$238,U2368)="","",INDEX(Manual_Review!$U$6:$U$238,U2368))</f>
        <v/>
      </c>
      <c r="J2368" s="5" t="str">
        <f t="shared" si="72"/>
        <v>AI provisional</v>
      </c>
      <c r="K2368" s="5" t="str">
        <f t="shared" si="73"/>
        <v>Y</v>
      </c>
      <c r="L2368" s="5" t="s">
        <v>1699</v>
      </c>
      <c r="M2368" s="5" t="s">
        <v>7720</v>
      </c>
      <c r="N2368" s="5" t="s">
        <v>7700</v>
      </c>
      <c r="O2368" s="5" t="s">
        <v>3380</v>
      </c>
      <c r="P2368" s="5" t="s">
        <v>2858</v>
      </c>
      <c r="Q2368" s="11">
        <v>46306.5</v>
      </c>
      <c r="R2368" s="6"/>
      <c r="S2368" s="6"/>
      <c r="T2368" s="6"/>
      <c r="U2368" s="5">
        <f>MATCH(B2368,Manual_Review!$A$6:$A$238,0)</f>
        <v>148</v>
      </c>
      <c r="V2368" s="5" t="str">
        <f>IF(INDEX(Manual_Review!$G$6:$G$238,U2368)="","",INDEX(Manual_Review!$G$6:$G$238,U2368))</f>
        <v/>
      </c>
      <c r="W2368" s="11" t="str">
        <f>IF(INDEX(Manual_Review!$H$6:$H$238,U2368)="","",INDEX(Manual_Review!$H$6:$H$238,U2368))</f>
        <v/>
      </c>
      <c r="X2368" s="5" t="str">
        <f>IF(INDEX(Manual_Review!$I$6:$I$238,U2368)="","",INDEX(Manual_Review!$I$6:$I$238,U2368))</f>
        <v/>
      </c>
      <c r="Y2368" s="5" t="s">
        <v>2859</v>
      </c>
    </row>
    <row r="2369" spans="1:25" ht="25.5">
      <c r="A2369" s="5" t="s">
        <v>7721</v>
      </c>
      <c r="B2369" s="5" t="s">
        <v>1691</v>
      </c>
      <c r="C2369" s="5" t="s">
        <v>1692</v>
      </c>
      <c r="D2369" s="5" t="s">
        <v>118</v>
      </c>
      <c r="E2369" s="5" t="s">
        <v>2792</v>
      </c>
      <c r="F2369" s="5" t="s">
        <v>2762</v>
      </c>
      <c r="G2369" s="5">
        <v>1</v>
      </c>
      <c r="H2369" s="5" t="s">
        <v>2854</v>
      </c>
      <c r="I2369" s="5" t="str">
        <f>IF(INDEX(Manual_Review!$V$6:$V$238,U2369)="","",INDEX(Manual_Review!$V$6:$V$238,U2369))</f>
        <v/>
      </c>
      <c r="J2369" s="5" t="str">
        <f t="shared" si="72"/>
        <v>AI provisional</v>
      </c>
      <c r="K2369" s="5" t="str">
        <f t="shared" si="73"/>
        <v>Y</v>
      </c>
      <c r="L2369" s="5" t="s">
        <v>1699</v>
      </c>
      <c r="M2369" s="5" t="s">
        <v>7722</v>
      </c>
      <c r="N2369" s="5" t="s">
        <v>7700</v>
      </c>
      <c r="O2369" s="5" t="s">
        <v>3152</v>
      </c>
      <c r="P2369" s="5" t="s">
        <v>2858</v>
      </c>
      <c r="Q2369" s="11">
        <v>46306.5</v>
      </c>
      <c r="R2369" s="6"/>
      <c r="S2369" s="6"/>
      <c r="T2369" s="6"/>
      <c r="U2369" s="5">
        <f>MATCH(B2369,Manual_Review!$A$6:$A$238,0)</f>
        <v>148</v>
      </c>
      <c r="V2369" s="5" t="str">
        <f>IF(INDEX(Manual_Review!$G$6:$G$238,U2369)="","",INDEX(Manual_Review!$G$6:$G$238,U2369))</f>
        <v/>
      </c>
      <c r="W2369" s="11" t="str">
        <f>IF(INDEX(Manual_Review!$H$6:$H$238,U2369)="","",INDEX(Manual_Review!$H$6:$H$238,U2369))</f>
        <v/>
      </c>
      <c r="X2369" s="5" t="str">
        <f>IF(INDEX(Manual_Review!$I$6:$I$238,U2369)="","",INDEX(Manual_Review!$I$6:$I$238,U2369))</f>
        <v/>
      </c>
      <c r="Y2369" s="5" t="s">
        <v>2859</v>
      </c>
    </row>
    <row r="2370" spans="1:25" ht="25.5">
      <c r="A2370" s="5" t="s">
        <v>7723</v>
      </c>
      <c r="B2370" s="5" t="s">
        <v>1691</v>
      </c>
      <c r="C2370" s="5" t="s">
        <v>1692</v>
      </c>
      <c r="D2370" s="5" t="s">
        <v>118</v>
      </c>
      <c r="E2370" s="5" t="s">
        <v>2793</v>
      </c>
      <c r="F2370" s="5" t="s">
        <v>2762</v>
      </c>
      <c r="G2370" s="5">
        <v>1</v>
      </c>
      <c r="H2370" s="5" t="s">
        <v>2854</v>
      </c>
      <c r="I2370" s="5" t="str">
        <f>IF(INDEX(Manual_Review!$W$6:$W$238,U2370)="","",INDEX(Manual_Review!$W$6:$W$238,U2370))</f>
        <v/>
      </c>
      <c r="J2370" s="5" t="str">
        <f t="shared" si="72"/>
        <v>AI provisional</v>
      </c>
      <c r="K2370" s="5" t="str">
        <f t="shared" si="73"/>
        <v>Y</v>
      </c>
      <c r="L2370" s="5" t="s">
        <v>1699</v>
      </c>
      <c r="M2370" s="5" t="s">
        <v>7724</v>
      </c>
      <c r="N2370" s="5" t="s">
        <v>7700</v>
      </c>
      <c r="O2370" s="5" t="s">
        <v>3077</v>
      </c>
      <c r="P2370" s="5" t="s">
        <v>2858</v>
      </c>
      <c r="Q2370" s="11">
        <v>46306.5</v>
      </c>
      <c r="R2370" s="6"/>
      <c r="S2370" s="6"/>
      <c r="T2370" s="6"/>
      <c r="U2370" s="5">
        <f>MATCH(B2370,Manual_Review!$A$6:$A$238,0)</f>
        <v>148</v>
      </c>
      <c r="V2370" s="5" t="str">
        <f>IF(INDEX(Manual_Review!$G$6:$G$238,U2370)="","",INDEX(Manual_Review!$G$6:$G$238,U2370))</f>
        <v/>
      </c>
      <c r="W2370" s="11" t="str">
        <f>IF(INDEX(Manual_Review!$H$6:$H$238,U2370)="","",INDEX(Manual_Review!$H$6:$H$238,U2370))</f>
        <v/>
      </c>
      <c r="X2370" s="5" t="str">
        <f>IF(INDEX(Manual_Review!$I$6:$I$238,U2370)="","",INDEX(Manual_Review!$I$6:$I$238,U2370))</f>
        <v/>
      </c>
      <c r="Y2370" s="5" t="s">
        <v>2859</v>
      </c>
    </row>
    <row r="2371" spans="1:25" ht="25.5">
      <c r="A2371" s="5" t="s">
        <v>7725</v>
      </c>
      <c r="B2371" s="5" t="s">
        <v>1691</v>
      </c>
      <c r="C2371" s="5" t="s">
        <v>1692</v>
      </c>
      <c r="D2371" s="5" t="s">
        <v>118</v>
      </c>
      <c r="E2371" s="5" t="s">
        <v>2794</v>
      </c>
      <c r="F2371" s="5" t="s">
        <v>2764</v>
      </c>
      <c r="G2371" s="5">
        <v>1</v>
      </c>
      <c r="H2371" s="5" t="s">
        <v>2854</v>
      </c>
      <c r="I2371" s="5" t="str">
        <f>IF(INDEX(Manual_Review!$X$6:$X$238,U2371)="","",INDEX(Manual_Review!$X$6:$X$238,U2371))</f>
        <v/>
      </c>
      <c r="J2371" s="5" t="str">
        <f t="shared" si="72"/>
        <v>AI provisional</v>
      </c>
      <c r="K2371" s="5" t="str">
        <f t="shared" si="73"/>
        <v>Y</v>
      </c>
      <c r="L2371" s="5" t="s">
        <v>1699</v>
      </c>
      <c r="M2371" s="5" t="s">
        <v>7726</v>
      </c>
      <c r="N2371" s="5" t="s">
        <v>7700</v>
      </c>
      <c r="O2371" s="5" t="s">
        <v>2984</v>
      </c>
      <c r="P2371" s="5" t="s">
        <v>2858</v>
      </c>
      <c r="Q2371" s="11">
        <v>46306.5</v>
      </c>
      <c r="R2371" s="6"/>
      <c r="S2371" s="6"/>
      <c r="T2371" s="6"/>
      <c r="U2371" s="5">
        <f>MATCH(B2371,Manual_Review!$A$6:$A$238,0)</f>
        <v>148</v>
      </c>
      <c r="V2371" s="5" t="str">
        <f>IF(INDEX(Manual_Review!$G$6:$G$238,U2371)="","",INDEX(Manual_Review!$G$6:$G$238,U2371))</f>
        <v/>
      </c>
      <c r="W2371" s="11" t="str">
        <f>IF(INDEX(Manual_Review!$H$6:$H$238,U2371)="","",INDEX(Manual_Review!$H$6:$H$238,U2371))</f>
        <v/>
      </c>
      <c r="X2371" s="5" t="str">
        <f>IF(INDEX(Manual_Review!$I$6:$I$238,U2371)="","",INDEX(Manual_Review!$I$6:$I$238,U2371))</f>
        <v/>
      </c>
      <c r="Y2371" s="5" t="s">
        <v>2859</v>
      </c>
    </row>
    <row r="2372" spans="1:25" ht="25.5">
      <c r="A2372" s="5" t="s">
        <v>7727</v>
      </c>
      <c r="B2372" s="5" t="s">
        <v>1691</v>
      </c>
      <c r="C2372" s="5" t="s">
        <v>1692</v>
      </c>
      <c r="D2372" s="5" t="s">
        <v>118</v>
      </c>
      <c r="E2372" s="5" t="s">
        <v>2795</v>
      </c>
      <c r="F2372" s="5" t="s">
        <v>2764</v>
      </c>
      <c r="G2372" s="5">
        <v>1</v>
      </c>
      <c r="H2372" s="5" t="s">
        <v>2864</v>
      </c>
      <c r="I2372" s="5" t="str">
        <f>IF(INDEX(Manual_Review!$Y$6:$Y$238,U2372)="","",INDEX(Manual_Review!$Y$6:$Y$238,U2372))</f>
        <v/>
      </c>
      <c r="J2372" s="5" t="str">
        <f t="shared" si="72"/>
        <v>AI provisional</v>
      </c>
      <c r="K2372" s="5" t="str">
        <f t="shared" si="73"/>
        <v>U</v>
      </c>
      <c r="L2372" s="5" t="s">
        <v>1699</v>
      </c>
      <c r="M2372" s="5" t="s">
        <v>7728</v>
      </c>
      <c r="N2372" s="5" t="s">
        <v>7700</v>
      </c>
      <c r="O2372" s="5" t="s">
        <v>2897</v>
      </c>
      <c r="P2372" s="5" t="s">
        <v>2858</v>
      </c>
      <c r="Q2372" s="11">
        <v>46306.5</v>
      </c>
      <c r="R2372" s="6"/>
      <c r="S2372" s="6"/>
      <c r="T2372" s="6"/>
      <c r="U2372" s="5">
        <f>MATCH(B2372,Manual_Review!$A$6:$A$238,0)</f>
        <v>148</v>
      </c>
      <c r="V2372" s="5" t="str">
        <f>IF(INDEX(Manual_Review!$G$6:$G$238,U2372)="","",INDEX(Manual_Review!$G$6:$G$238,U2372))</f>
        <v/>
      </c>
      <c r="W2372" s="11" t="str">
        <f>IF(INDEX(Manual_Review!$H$6:$H$238,U2372)="","",INDEX(Manual_Review!$H$6:$H$238,U2372))</f>
        <v/>
      </c>
      <c r="X2372" s="5" t="str">
        <f>IF(INDEX(Manual_Review!$I$6:$I$238,U2372)="","",INDEX(Manual_Review!$I$6:$I$238,U2372))</f>
        <v/>
      </c>
      <c r="Y2372" s="5" t="s">
        <v>2859</v>
      </c>
    </row>
    <row r="2373" spans="1:25" ht="25.5">
      <c r="A2373" s="5" t="s">
        <v>7729</v>
      </c>
      <c r="B2373" s="5" t="s">
        <v>1691</v>
      </c>
      <c r="C2373" s="5" t="s">
        <v>1692</v>
      </c>
      <c r="D2373" s="5" t="s">
        <v>118</v>
      </c>
      <c r="E2373" s="5" t="s">
        <v>2796</v>
      </c>
      <c r="F2373" s="5" t="s">
        <v>2764</v>
      </c>
      <c r="G2373" s="5">
        <v>1</v>
      </c>
      <c r="H2373" s="5" t="s">
        <v>2854</v>
      </c>
      <c r="I2373" s="5" t="str">
        <f>IF(INDEX(Manual_Review!$Z$6:$Z$238,U2373)="","",INDEX(Manual_Review!$Z$6:$Z$238,U2373))</f>
        <v/>
      </c>
      <c r="J2373" s="5" t="str">
        <f t="shared" si="72"/>
        <v>AI provisional</v>
      </c>
      <c r="K2373" s="5" t="str">
        <f t="shared" si="73"/>
        <v>Y</v>
      </c>
      <c r="L2373" s="5" t="s">
        <v>1699</v>
      </c>
      <c r="M2373" s="5" t="s">
        <v>7730</v>
      </c>
      <c r="N2373" s="5" t="s">
        <v>7700</v>
      </c>
      <c r="O2373" s="5" t="s">
        <v>3085</v>
      </c>
      <c r="P2373" s="5" t="s">
        <v>2858</v>
      </c>
      <c r="Q2373" s="11">
        <v>46306.5</v>
      </c>
      <c r="R2373" s="6"/>
      <c r="S2373" s="6"/>
      <c r="T2373" s="6"/>
      <c r="U2373" s="5">
        <f>MATCH(B2373,Manual_Review!$A$6:$A$238,0)</f>
        <v>148</v>
      </c>
      <c r="V2373" s="5" t="str">
        <f>IF(INDEX(Manual_Review!$G$6:$G$238,U2373)="","",INDEX(Manual_Review!$G$6:$G$238,U2373))</f>
        <v/>
      </c>
      <c r="W2373" s="11" t="str">
        <f>IF(INDEX(Manual_Review!$H$6:$H$238,U2373)="","",INDEX(Manual_Review!$H$6:$H$238,U2373))</f>
        <v/>
      </c>
      <c r="X2373" s="5" t="str">
        <f>IF(INDEX(Manual_Review!$I$6:$I$238,U2373)="","",INDEX(Manual_Review!$I$6:$I$238,U2373))</f>
        <v/>
      </c>
      <c r="Y2373" s="5" t="s">
        <v>2859</v>
      </c>
    </row>
    <row r="2374" spans="1:25" ht="25.5">
      <c r="A2374" s="5" t="s">
        <v>7731</v>
      </c>
      <c r="B2374" s="5" t="s">
        <v>1701</v>
      </c>
      <c r="C2374" s="5" t="s">
        <v>1702</v>
      </c>
      <c r="D2374" s="5" t="s">
        <v>118</v>
      </c>
      <c r="E2374" s="5" t="s">
        <v>2781</v>
      </c>
      <c r="F2374" s="5" t="s">
        <v>2754</v>
      </c>
      <c r="G2374" s="5">
        <v>1</v>
      </c>
      <c r="H2374" s="5" t="s">
        <v>2854</v>
      </c>
      <c r="I2374" s="5" t="str">
        <f>IF(INDEX(Manual_Review!$K$6:$K$238,U2374)="","",INDEX(Manual_Review!$K$6:$K$238,U2374))</f>
        <v/>
      </c>
      <c r="J2374" s="5" t="str">
        <f t="shared" ref="J2374:J2437" si="74">IF(G2374=0,"Not applicable",IF(I2374="","AI provisional",IF(AND(OR(I2374="Y",I2374="N",I2374="U",I2374="X"),V2374&lt;&gt;"",ISNUMBER(W2374),W2374&gt;0,X2374="Confirmed",R2374&lt;&gt;"",S2374&lt;&gt;"",T2374&lt;&gt;""),"Human valid","Evidence needed")))</f>
        <v>AI provisional</v>
      </c>
      <c r="K2374" s="5" t="str">
        <f t="shared" ref="K2374:K2437" si="75">IF(G2374=0,"N/A",IF(I2374="",H2374,IF(J2374="Human valid",I2374,"U")))</f>
        <v>Y</v>
      </c>
      <c r="L2374" s="5" t="s">
        <v>1707</v>
      </c>
      <c r="M2374" s="5" t="s">
        <v>7732</v>
      </c>
      <c r="N2374" s="5" t="s">
        <v>7733</v>
      </c>
      <c r="O2374" s="5" t="s">
        <v>2857</v>
      </c>
      <c r="P2374" s="5" t="s">
        <v>2858</v>
      </c>
      <c r="Q2374" s="11">
        <v>46306.5</v>
      </c>
      <c r="R2374" s="6"/>
      <c r="S2374" s="6"/>
      <c r="T2374" s="6"/>
      <c r="U2374" s="5">
        <f>MATCH(B2374,Manual_Review!$A$6:$A$238,0)</f>
        <v>149</v>
      </c>
      <c r="V2374" s="5" t="str">
        <f>IF(INDEX(Manual_Review!$G$6:$G$238,U2374)="","",INDEX(Manual_Review!$G$6:$G$238,U2374))</f>
        <v/>
      </c>
      <c r="W2374" s="11" t="str">
        <f>IF(INDEX(Manual_Review!$H$6:$H$238,U2374)="","",INDEX(Manual_Review!$H$6:$H$238,U2374))</f>
        <v/>
      </c>
      <c r="X2374" s="5" t="str">
        <f>IF(INDEX(Manual_Review!$I$6:$I$238,U2374)="","",INDEX(Manual_Review!$I$6:$I$238,U2374))</f>
        <v/>
      </c>
      <c r="Y2374" s="5" t="s">
        <v>2859</v>
      </c>
    </row>
    <row r="2375" spans="1:25" ht="25.5">
      <c r="A2375" s="5" t="s">
        <v>7734</v>
      </c>
      <c r="B2375" s="5" t="s">
        <v>1701</v>
      </c>
      <c r="C2375" s="5" t="s">
        <v>1702</v>
      </c>
      <c r="D2375" s="5" t="s">
        <v>118</v>
      </c>
      <c r="E2375" s="5" t="s">
        <v>2782</v>
      </c>
      <c r="F2375" s="5" t="s">
        <v>2754</v>
      </c>
      <c r="G2375" s="5">
        <v>1</v>
      </c>
      <c r="H2375" s="5" t="s">
        <v>2854</v>
      </c>
      <c r="I2375" s="5" t="str">
        <f>IF(INDEX(Manual_Review!$L$6:$L$238,U2375)="","",INDEX(Manual_Review!$L$6:$L$238,U2375))</f>
        <v/>
      </c>
      <c r="J2375" s="5" t="str">
        <f t="shared" si="74"/>
        <v>AI provisional</v>
      </c>
      <c r="K2375" s="5" t="str">
        <f t="shared" si="75"/>
        <v>Y</v>
      </c>
      <c r="L2375" s="5" t="s">
        <v>1707</v>
      </c>
      <c r="M2375" s="5" t="s">
        <v>7735</v>
      </c>
      <c r="N2375" s="5" t="s">
        <v>7733</v>
      </c>
      <c r="O2375" s="5" t="s">
        <v>2862</v>
      </c>
      <c r="P2375" s="5" t="s">
        <v>2858</v>
      </c>
      <c r="Q2375" s="11">
        <v>46306.5</v>
      </c>
      <c r="R2375" s="6"/>
      <c r="S2375" s="6"/>
      <c r="T2375" s="6"/>
      <c r="U2375" s="5">
        <f>MATCH(B2375,Manual_Review!$A$6:$A$238,0)</f>
        <v>149</v>
      </c>
      <c r="V2375" s="5" t="str">
        <f>IF(INDEX(Manual_Review!$G$6:$G$238,U2375)="","",INDEX(Manual_Review!$G$6:$G$238,U2375))</f>
        <v/>
      </c>
      <c r="W2375" s="11" t="str">
        <f>IF(INDEX(Manual_Review!$H$6:$H$238,U2375)="","",INDEX(Manual_Review!$H$6:$H$238,U2375))</f>
        <v/>
      </c>
      <c r="X2375" s="5" t="str">
        <f>IF(INDEX(Manual_Review!$I$6:$I$238,U2375)="","",INDEX(Manual_Review!$I$6:$I$238,U2375))</f>
        <v/>
      </c>
      <c r="Y2375" s="5" t="s">
        <v>2859</v>
      </c>
    </row>
    <row r="2376" spans="1:25" ht="25.5">
      <c r="A2376" s="5" t="s">
        <v>7736</v>
      </c>
      <c r="B2376" s="5" t="s">
        <v>1701</v>
      </c>
      <c r="C2376" s="5" t="s">
        <v>1702</v>
      </c>
      <c r="D2376" s="5" t="s">
        <v>118</v>
      </c>
      <c r="E2376" s="5" t="s">
        <v>2783</v>
      </c>
      <c r="F2376" s="5" t="s">
        <v>2754</v>
      </c>
      <c r="G2376" s="5">
        <v>1</v>
      </c>
      <c r="H2376" s="5" t="s">
        <v>2854</v>
      </c>
      <c r="I2376" s="5" t="str">
        <f>IF(INDEX(Manual_Review!$M$6:$M$238,U2376)="","",INDEX(Manual_Review!$M$6:$M$238,U2376))</f>
        <v/>
      </c>
      <c r="J2376" s="5" t="str">
        <f t="shared" si="74"/>
        <v>AI provisional</v>
      </c>
      <c r="K2376" s="5" t="str">
        <f t="shared" si="75"/>
        <v>Y</v>
      </c>
      <c r="L2376" s="5" t="s">
        <v>1707</v>
      </c>
      <c r="M2376" s="5" t="s">
        <v>7737</v>
      </c>
      <c r="N2376" s="5" t="s">
        <v>7733</v>
      </c>
      <c r="O2376" s="5" t="s">
        <v>3133</v>
      </c>
      <c r="P2376" s="5" t="s">
        <v>2858</v>
      </c>
      <c r="Q2376" s="11">
        <v>46306.5</v>
      </c>
      <c r="R2376" s="6"/>
      <c r="S2376" s="6"/>
      <c r="T2376" s="6"/>
      <c r="U2376" s="5">
        <f>MATCH(B2376,Manual_Review!$A$6:$A$238,0)</f>
        <v>149</v>
      </c>
      <c r="V2376" s="5" t="str">
        <f>IF(INDEX(Manual_Review!$G$6:$G$238,U2376)="","",INDEX(Manual_Review!$G$6:$G$238,U2376))</f>
        <v/>
      </c>
      <c r="W2376" s="11" t="str">
        <f>IF(INDEX(Manual_Review!$H$6:$H$238,U2376)="","",INDEX(Manual_Review!$H$6:$H$238,U2376))</f>
        <v/>
      </c>
      <c r="X2376" s="5" t="str">
        <f>IF(INDEX(Manual_Review!$I$6:$I$238,U2376)="","",INDEX(Manual_Review!$I$6:$I$238,U2376))</f>
        <v/>
      </c>
      <c r="Y2376" s="5" t="s">
        <v>2859</v>
      </c>
    </row>
    <row r="2377" spans="1:25" ht="25.5">
      <c r="A2377" s="5" t="s">
        <v>7738</v>
      </c>
      <c r="B2377" s="5" t="s">
        <v>1701</v>
      </c>
      <c r="C2377" s="5" t="s">
        <v>1702</v>
      </c>
      <c r="D2377" s="5" t="s">
        <v>118</v>
      </c>
      <c r="E2377" s="5" t="s">
        <v>2784</v>
      </c>
      <c r="F2377" s="5" t="s">
        <v>2756</v>
      </c>
      <c r="G2377" s="5">
        <v>1</v>
      </c>
      <c r="H2377" s="5" t="s">
        <v>2854</v>
      </c>
      <c r="I2377" s="5" t="str">
        <f>IF(INDEX(Manual_Review!$N$6:$N$238,U2377)="","",INDEX(Manual_Review!$N$6:$N$238,U2377))</f>
        <v/>
      </c>
      <c r="J2377" s="5" t="str">
        <f t="shared" si="74"/>
        <v>AI provisional</v>
      </c>
      <c r="K2377" s="5" t="str">
        <f t="shared" si="75"/>
        <v>Y</v>
      </c>
      <c r="L2377" s="5" t="s">
        <v>1707</v>
      </c>
      <c r="M2377" s="5" t="s">
        <v>7739</v>
      </c>
      <c r="N2377" s="5" t="s">
        <v>7733</v>
      </c>
      <c r="O2377" s="5" t="s">
        <v>2963</v>
      </c>
      <c r="P2377" s="5" t="s">
        <v>2858</v>
      </c>
      <c r="Q2377" s="11">
        <v>46306.5</v>
      </c>
      <c r="R2377" s="6"/>
      <c r="S2377" s="6"/>
      <c r="T2377" s="6"/>
      <c r="U2377" s="5">
        <f>MATCH(B2377,Manual_Review!$A$6:$A$238,0)</f>
        <v>149</v>
      </c>
      <c r="V2377" s="5" t="str">
        <f>IF(INDEX(Manual_Review!$G$6:$G$238,U2377)="","",INDEX(Manual_Review!$G$6:$G$238,U2377))</f>
        <v/>
      </c>
      <c r="W2377" s="11" t="str">
        <f>IF(INDEX(Manual_Review!$H$6:$H$238,U2377)="","",INDEX(Manual_Review!$H$6:$H$238,U2377))</f>
        <v/>
      </c>
      <c r="X2377" s="5" t="str">
        <f>IF(INDEX(Manual_Review!$I$6:$I$238,U2377)="","",INDEX(Manual_Review!$I$6:$I$238,U2377))</f>
        <v/>
      </c>
      <c r="Y2377" s="5" t="s">
        <v>2859</v>
      </c>
    </row>
    <row r="2378" spans="1:25" ht="25.5">
      <c r="A2378" s="5" t="s">
        <v>7740</v>
      </c>
      <c r="B2378" s="5" t="s">
        <v>1701</v>
      </c>
      <c r="C2378" s="5" t="s">
        <v>1702</v>
      </c>
      <c r="D2378" s="5" t="s">
        <v>118</v>
      </c>
      <c r="E2378" s="5" t="s">
        <v>2785</v>
      </c>
      <c r="F2378" s="5" t="s">
        <v>2756</v>
      </c>
      <c r="G2378" s="5">
        <v>1</v>
      </c>
      <c r="H2378" s="5" t="s">
        <v>2864</v>
      </c>
      <c r="I2378" s="5" t="str">
        <f>IF(INDEX(Manual_Review!$O$6:$O$238,U2378)="","",INDEX(Manual_Review!$O$6:$O$238,U2378))</f>
        <v/>
      </c>
      <c r="J2378" s="5" t="str">
        <f t="shared" si="74"/>
        <v>AI provisional</v>
      </c>
      <c r="K2378" s="5" t="str">
        <f t="shared" si="75"/>
        <v>U</v>
      </c>
      <c r="L2378" s="5" t="s">
        <v>1707</v>
      </c>
      <c r="M2378" s="5" t="s">
        <v>7741</v>
      </c>
      <c r="N2378" s="5" t="s">
        <v>7733</v>
      </c>
      <c r="O2378" s="5" t="s">
        <v>2872</v>
      </c>
      <c r="P2378" s="5" t="s">
        <v>2858</v>
      </c>
      <c r="Q2378" s="11">
        <v>46306.5</v>
      </c>
      <c r="R2378" s="6"/>
      <c r="S2378" s="6"/>
      <c r="T2378" s="6"/>
      <c r="U2378" s="5">
        <f>MATCH(B2378,Manual_Review!$A$6:$A$238,0)</f>
        <v>149</v>
      </c>
      <c r="V2378" s="5" t="str">
        <f>IF(INDEX(Manual_Review!$G$6:$G$238,U2378)="","",INDEX(Manual_Review!$G$6:$G$238,U2378))</f>
        <v/>
      </c>
      <c r="W2378" s="11" t="str">
        <f>IF(INDEX(Manual_Review!$H$6:$H$238,U2378)="","",INDEX(Manual_Review!$H$6:$H$238,U2378))</f>
        <v/>
      </c>
      <c r="X2378" s="5" t="str">
        <f>IF(INDEX(Manual_Review!$I$6:$I$238,U2378)="","",INDEX(Manual_Review!$I$6:$I$238,U2378))</f>
        <v/>
      </c>
      <c r="Y2378" s="5" t="s">
        <v>2859</v>
      </c>
    </row>
    <row r="2379" spans="1:25" ht="25.5">
      <c r="A2379" s="5" t="s">
        <v>7742</v>
      </c>
      <c r="B2379" s="5" t="s">
        <v>1701</v>
      </c>
      <c r="C2379" s="5" t="s">
        <v>1702</v>
      </c>
      <c r="D2379" s="5" t="s">
        <v>118</v>
      </c>
      <c r="E2379" s="5" t="s">
        <v>2786</v>
      </c>
      <c r="F2379" s="5" t="s">
        <v>2756</v>
      </c>
      <c r="G2379" s="5">
        <v>1</v>
      </c>
      <c r="H2379" s="5" t="s">
        <v>2864</v>
      </c>
      <c r="I2379" s="5" t="str">
        <f>IF(INDEX(Manual_Review!$P$6:$P$238,U2379)="","",INDEX(Manual_Review!$P$6:$P$238,U2379))</f>
        <v/>
      </c>
      <c r="J2379" s="5" t="str">
        <f t="shared" si="74"/>
        <v>AI provisional</v>
      </c>
      <c r="K2379" s="5" t="str">
        <f t="shared" si="75"/>
        <v>U</v>
      </c>
      <c r="L2379" s="5" t="s">
        <v>1707</v>
      </c>
      <c r="M2379" s="5" t="s">
        <v>7743</v>
      </c>
      <c r="N2379" s="5" t="s">
        <v>7733</v>
      </c>
      <c r="O2379" s="5" t="s">
        <v>2874</v>
      </c>
      <c r="P2379" s="5" t="s">
        <v>2858</v>
      </c>
      <c r="Q2379" s="11">
        <v>46306.5</v>
      </c>
      <c r="R2379" s="6"/>
      <c r="S2379" s="6"/>
      <c r="T2379" s="6"/>
      <c r="U2379" s="5">
        <f>MATCH(B2379,Manual_Review!$A$6:$A$238,0)</f>
        <v>149</v>
      </c>
      <c r="V2379" s="5" t="str">
        <f>IF(INDEX(Manual_Review!$G$6:$G$238,U2379)="","",INDEX(Manual_Review!$G$6:$G$238,U2379))</f>
        <v/>
      </c>
      <c r="W2379" s="11" t="str">
        <f>IF(INDEX(Manual_Review!$H$6:$H$238,U2379)="","",INDEX(Manual_Review!$H$6:$H$238,U2379))</f>
        <v/>
      </c>
      <c r="X2379" s="5" t="str">
        <f>IF(INDEX(Manual_Review!$I$6:$I$238,U2379)="","",INDEX(Manual_Review!$I$6:$I$238,U2379))</f>
        <v/>
      </c>
      <c r="Y2379" s="5" t="s">
        <v>2859</v>
      </c>
    </row>
    <row r="2380" spans="1:25" ht="25.5">
      <c r="A2380" s="5" t="s">
        <v>7744</v>
      </c>
      <c r="B2380" s="5" t="s">
        <v>1701</v>
      </c>
      <c r="C2380" s="5" t="s">
        <v>1702</v>
      </c>
      <c r="D2380" s="5" t="s">
        <v>118</v>
      </c>
      <c r="E2380" s="5" t="s">
        <v>2787</v>
      </c>
      <c r="F2380" s="5" t="s">
        <v>2758</v>
      </c>
      <c r="G2380" s="5">
        <v>1</v>
      </c>
      <c r="H2380" s="5" t="s">
        <v>2854</v>
      </c>
      <c r="I2380" s="5" t="str">
        <f>IF(INDEX(Manual_Review!$Q$6:$Q$238,U2380)="","",INDEX(Manual_Review!$Q$6:$Q$238,U2380))</f>
        <v/>
      </c>
      <c r="J2380" s="5" t="str">
        <f t="shared" si="74"/>
        <v>AI provisional</v>
      </c>
      <c r="K2380" s="5" t="str">
        <f t="shared" si="75"/>
        <v>Y</v>
      </c>
      <c r="L2380" s="5" t="s">
        <v>1707</v>
      </c>
      <c r="M2380" s="5" t="s">
        <v>7745</v>
      </c>
      <c r="N2380" s="5" t="s">
        <v>7733</v>
      </c>
      <c r="O2380" s="5" t="s">
        <v>2969</v>
      </c>
      <c r="P2380" s="5" t="s">
        <v>2858</v>
      </c>
      <c r="Q2380" s="11">
        <v>46306.5</v>
      </c>
      <c r="R2380" s="6"/>
      <c r="S2380" s="6"/>
      <c r="T2380" s="6"/>
      <c r="U2380" s="5">
        <f>MATCH(B2380,Manual_Review!$A$6:$A$238,0)</f>
        <v>149</v>
      </c>
      <c r="V2380" s="5" t="str">
        <f>IF(INDEX(Manual_Review!$G$6:$G$238,U2380)="","",INDEX(Manual_Review!$G$6:$G$238,U2380))</f>
        <v/>
      </c>
      <c r="W2380" s="11" t="str">
        <f>IF(INDEX(Manual_Review!$H$6:$H$238,U2380)="","",INDEX(Manual_Review!$H$6:$H$238,U2380))</f>
        <v/>
      </c>
      <c r="X2380" s="5" t="str">
        <f>IF(INDEX(Manual_Review!$I$6:$I$238,U2380)="","",INDEX(Manual_Review!$I$6:$I$238,U2380))</f>
        <v/>
      </c>
      <c r="Y2380" s="5" t="s">
        <v>2859</v>
      </c>
    </row>
    <row r="2381" spans="1:25" ht="25.5">
      <c r="A2381" s="5" t="s">
        <v>7746</v>
      </c>
      <c r="B2381" s="5" t="s">
        <v>1701</v>
      </c>
      <c r="C2381" s="5" t="s">
        <v>1702</v>
      </c>
      <c r="D2381" s="5" t="s">
        <v>118</v>
      </c>
      <c r="E2381" s="5" t="s">
        <v>2788</v>
      </c>
      <c r="F2381" s="5" t="s">
        <v>2758</v>
      </c>
      <c r="G2381" s="5">
        <v>1</v>
      </c>
      <c r="H2381" s="5" t="s">
        <v>2854</v>
      </c>
      <c r="I2381" s="5" t="str">
        <f>IF(INDEX(Manual_Review!$R$6:$R$238,U2381)="","",INDEX(Manual_Review!$R$6:$R$238,U2381))</f>
        <v/>
      </c>
      <c r="J2381" s="5" t="str">
        <f t="shared" si="74"/>
        <v>AI provisional</v>
      </c>
      <c r="K2381" s="5" t="str">
        <f t="shared" si="75"/>
        <v>Y</v>
      </c>
      <c r="L2381" s="5" t="s">
        <v>1707</v>
      </c>
      <c r="M2381" s="5" t="s">
        <v>7747</v>
      </c>
      <c r="N2381" s="5" t="s">
        <v>7733</v>
      </c>
      <c r="O2381" s="5" t="s">
        <v>3067</v>
      </c>
      <c r="P2381" s="5" t="s">
        <v>2858</v>
      </c>
      <c r="Q2381" s="11">
        <v>46306.5</v>
      </c>
      <c r="R2381" s="6"/>
      <c r="S2381" s="6"/>
      <c r="T2381" s="6"/>
      <c r="U2381" s="5">
        <f>MATCH(B2381,Manual_Review!$A$6:$A$238,0)</f>
        <v>149</v>
      </c>
      <c r="V2381" s="5" t="str">
        <f>IF(INDEX(Manual_Review!$G$6:$G$238,U2381)="","",INDEX(Manual_Review!$G$6:$G$238,U2381))</f>
        <v/>
      </c>
      <c r="W2381" s="11" t="str">
        <f>IF(INDEX(Manual_Review!$H$6:$H$238,U2381)="","",INDEX(Manual_Review!$H$6:$H$238,U2381))</f>
        <v/>
      </c>
      <c r="X2381" s="5" t="str">
        <f>IF(INDEX(Manual_Review!$I$6:$I$238,U2381)="","",INDEX(Manual_Review!$I$6:$I$238,U2381))</f>
        <v/>
      </c>
      <c r="Y2381" s="5" t="s">
        <v>2859</v>
      </c>
    </row>
    <row r="2382" spans="1:25" ht="25.5">
      <c r="A2382" s="5" t="s">
        <v>7748</v>
      </c>
      <c r="B2382" s="5" t="s">
        <v>1701</v>
      </c>
      <c r="C2382" s="5" t="s">
        <v>1702</v>
      </c>
      <c r="D2382" s="5" t="s">
        <v>118</v>
      </c>
      <c r="E2382" s="5" t="s">
        <v>2789</v>
      </c>
      <c r="F2382" s="5" t="s">
        <v>2758</v>
      </c>
      <c r="G2382" s="5">
        <v>1</v>
      </c>
      <c r="H2382" s="5" t="s">
        <v>2854</v>
      </c>
      <c r="I2382" s="5" t="str">
        <f>IF(INDEX(Manual_Review!$S$6:$S$238,U2382)="","",INDEX(Manual_Review!$S$6:$S$238,U2382))</f>
        <v/>
      </c>
      <c r="J2382" s="5" t="str">
        <f t="shared" si="74"/>
        <v>AI provisional</v>
      </c>
      <c r="K2382" s="5" t="str">
        <f t="shared" si="75"/>
        <v>Y</v>
      </c>
      <c r="L2382" s="5" t="s">
        <v>1707</v>
      </c>
      <c r="M2382" s="5" t="s">
        <v>7749</v>
      </c>
      <c r="N2382" s="5" t="s">
        <v>7733</v>
      </c>
      <c r="O2382" s="5" t="s">
        <v>3178</v>
      </c>
      <c r="P2382" s="5" t="s">
        <v>2858</v>
      </c>
      <c r="Q2382" s="11">
        <v>46306.5</v>
      </c>
      <c r="R2382" s="6"/>
      <c r="S2382" s="6"/>
      <c r="T2382" s="6"/>
      <c r="U2382" s="5">
        <f>MATCH(B2382,Manual_Review!$A$6:$A$238,0)</f>
        <v>149</v>
      </c>
      <c r="V2382" s="5" t="str">
        <f>IF(INDEX(Manual_Review!$G$6:$G$238,U2382)="","",INDEX(Manual_Review!$G$6:$G$238,U2382))</f>
        <v/>
      </c>
      <c r="W2382" s="11" t="str">
        <f>IF(INDEX(Manual_Review!$H$6:$H$238,U2382)="","",INDEX(Manual_Review!$H$6:$H$238,U2382))</f>
        <v/>
      </c>
      <c r="X2382" s="5" t="str">
        <f>IF(INDEX(Manual_Review!$I$6:$I$238,U2382)="","",INDEX(Manual_Review!$I$6:$I$238,U2382))</f>
        <v/>
      </c>
      <c r="Y2382" s="5" t="s">
        <v>2859</v>
      </c>
    </row>
    <row r="2383" spans="1:25" ht="25.5">
      <c r="A2383" s="5" t="s">
        <v>7750</v>
      </c>
      <c r="B2383" s="5" t="s">
        <v>1701</v>
      </c>
      <c r="C2383" s="5" t="s">
        <v>1702</v>
      </c>
      <c r="D2383" s="5" t="s">
        <v>118</v>
      </c>
      <c r="E2383" s="5" t="s">
        <v>2790</v>
      </c>
      <c r="F2383" s="5" t="s">
        <v>2760</v>
      </c>
      <c r="G2383" s="5">
        <v>1</v>
      </c>
      <c r="H2383" s="5" t="s">
        <v>2854</v>
      </c>
      <c r="I2383" s="5" t="str">
        <f>IF(INDEX(Manual_Review!$T$6:$T$238,U2383)="","",INDEX(Manual_Review!$T$6:$T$238,U2383))</f>
        <v/>
      </c>
      <c r="J2383" s="5" t="str">
        <f t="shared" si="74"/>
        <v>AI provisional</v>
      </c>
      <c r="K2383" s="5" t="str">
        <f t="shared" si="75"/>
        <v>Y</v>
      </c>
      <c r="L2383" s="5" t="s">
        <v>1707</v>
      </c>
      <c r="M2383" s="5" t="s">
        <v>7751</v>
      </c>
      <c r="N2383" s="5" t="s">
        <v>7733</v>
      </c>
      <c r="O2383" s="5" t="s">
        <v>2976</v>
      </c>
      <c r="P2383" s="5" t="s">
        <v>2858</v>
      </c>
      <c r="Q2383" s="11">
        <v>46306.5</v>
      </c>
      <c r="R2383" s="6"/>
      <c r="S2383" s="6"/>
      <c r="T2383" s="6"/>
      <c r="U2383" s="5">
        <f>MATCH(B2383,Manual_Review!$A$6:$A$238,0)</f>
        <v>149</v>
      </c>
      <c r="V2383" s="5" t="str">
        <f>IF(INDEX(Manual_Review!$G$6:$G$238,U2383)="","",INDEX(Manual_Review!$G$6:$G$238,U2383))</f>
        <v/>
      </c>
      <c r="W2383" s="11" t="str">
        <f>IF(INDEX(Manual_Review!$H$6:$H$238,U2383)="","",INDEX(Manual_Review!$H$6:$H$238,U2383))</f>
        <v/>
      </c>
      <c r="X2383" s="5" t="str">
        <f>IF(INDEX(Manual_Review!$I$6:$I$238,U2383)="","",INDEX(Manual_Review!$I$6:$I$238,U2383))</f>
        <v/>
      </c>
      <c r="Y2383" s="5" t="s">
        <v>2859</v>
      </c>
    </row>
    <row r="2384" spans="1:25" ht="25.5">
      <c r="A2384" s="5" t="s">
        <v>7752</v>
      </c>
      <c r="B2384" s="5" t="s">
        <v>1701</v>
      </c>
      <c r="C2384" s="5" t="s">
        <v>1702</v>
      </c>
      <c r="D2384" s="5" t="s">
        <v>118</v>
      </c>
      <c r="E2384" s="5" t="s">
        <v>2791</v>
      </c>
      <c r="F2384" s="5" t="s">
        <v>2760</v>
      </c>
      <c r="G2384" s="5">
        <v>1</v>
      </c>
      <c r="H2384" s="5" t="s">
        <v>2864</v>
      </c>
      <c r="I2384" s="5" t="str">
        <f>IF(INDEX(Manual_Review!$U$6:$U$238,U2384)="","",INDEX(Manual_Review!$U$6:$U$238,U2384))</f>
        <v/>
      </c>
      <c r="J2384" s="5" t="str">
        <f t="shared" si="74"/>
        <v>AI provisional</v>
      </c>
      <c r="K2384" s="5" t="str">
        <f t="shared" si="75"/>
        <v>U</v>
      </c>
      <c r="L2384" s="5" t="s">
        <v>1707</v>
      </c>
      <c r="M2384" s="5" t="s">
        <v>7753</v>
      </c>
      <c r="N2384" s="5" t="s">
        <v>7733</v>
      </c>
      <c r="O2384" s="5" t="s">
        <v>2888</v>
      </c>
      <c r="P2384" s="5" t="s">
        <v>2858</v>
      </c>
      <c r="Q2384" s="11">
        <v>46306.5</v>
      </c>
      <c r="R2384" s="6"/>
      <c r="S2384" s="6"/>
      <c r="T2384" s="6"/>
      <c r="U2384" s="5">
        <f>MATCH(B2384,Manual_Review!$A$6:$A$238,0)</f>
        <v>149</v>
      </c>
      <c r="V2384" s="5" t="str">
        <f>IF(INDEX(Manual_Review!$G$6:$G$238,U2384)="","",INDEX(Manual_Review!$G$6:$G$238,U2384))</f>
        <v/>
      </c>
      <c r="W2384" s="11" t="str">
        <f>IF(INDEX(Manual_Review!$H$6:$H$238,U2384)="","",INDEX(Manual_Review!$H$6:$H$238,U2384))</f>
        <v/>
      </c>
      <c r="X2384" s="5" t="str">
        <f>IF(INDEX(Manual_Review!$I$6:$I$238,U2384)="","",INDEX(Manual_Review!$I$6:$I$238,U2384))</f>
        <v/>
      </c>
      <c r="Y2384" s="5" t="s">
        <v>2859</v>
      </c>
    </row>
    <row r="2385" spans="1:25" ht="25.5">
      <c r="A2385" s="5" t="s">
        <v>7754</v>
      </c>
      <c r="B2385" s="5" t="s">
        <v>1701</v>
      </c>
      <c r="C2385" s="5" t="s">
        <v>1702</v>
      </c>
      <c r="D2385" s="5" t="s">
        <v>118</v>
      </c>
      <c r="E2385" s="5" t="s">
        <v>2792</v>
      </c>
      <c r="F2385" s="5" t="s">
        <v>2762</v>
      </c>
      <c r="G2385" s="5">
        <v>1</v>
      </c>
      <c r="H2385" s="5" t="s">
        <v>2864</v>
      </c>
      <c r="I2385" s="5" t="str">
        <f>IF(INDEX(Manual_Review!$V$6:$V$238,U2385)="","",INDEX(Manual_Review!$V$6:$V$238,U2385))</f>
        <v/>
      </c>
      <c r="J2385" s="5" t="str">
        <f t="shared" si="74"/>
        <v>AI provisional</v>
      </c>
      <c r="K2385" s="5" t="str">
        <f t="shared" si="75"/>
        <v>U</v>
      </c>
      <c r="L2385" s="5" t="s">
        <v>1707</v>
      </c>
      <c r="M2385" s="5" t="s">
        <v>7743</v>
      </c>
      <c r="N2385" s="5" t="s">
        <v>7733</v>
      </c>
      <c r="O2385" s="5" t="s">
        <v>2891</v>
      </c>
      <c r="P2385" s="5" t="s">
        <v>2858</v>
      </c>
      <c r="Q2385" s="11">
        <v>46306.5</v>
      </c>
      <c r="R2385" s="6"/>
      <c r="S2385" s="6"/>
      <c r="T2385" s="6"/>
      <c r="U2385" s="5">
        <f>MATCH(B2385,Manual_Review!$A$6:$A$238,0)</f>
        <v>149</v>
      </c>
      <c r="V2385" s="5" t="str">
        <f>IF(INDEX(Manual_Review!$G$6:$G$238,U2385)="","",INDEX(Manual_Review!$G$6:$G$238,U2385))</f>
        <v/>
      </c>
      <c r="W2385" s="11" t="str">
        <f>IF(INDEX(Manual_Review!$H$6:$H$238,U2385)="","",INDEX(Manual_Review!$H$6:$H$238,U2385))</f>
        <v/>
      </c>
      <c r="X2385" s="5" t="str">
        <f>IF(INDEX(Manual_Review!$I$6:$I$238,U2385)="","",INDEX(Manual_Review!$I$6:$I$238,U2385))</f>
        <v/>
      </c>
      <c r="Y2385" s="5" t="s">
        <v>2859</v>
      </c>
    </row>
    <row r="2386" spans="1:25" ht="25.5">
      <c r="A2386" s="5" t="s">
        <v>7755</v>
      </c>
      <c r="B2386" s="5" t="s">
        <v>1701</v>
      </c>
      <c r="C2386" s="5" t="s">
        <v>1702</v>
      </c>
      <c r="D2386" s="5" t="s">
        <v>118</v>
      </c>
      <c r="E2386" s="5" t="s">
        <v>2793</v>
      </c>
      <c r="F2386" s="5" t="s">
        <v>2762</v>
      </c>
      <c r="G2386" s="5">
        <v>1</v>
      </c>
      <c r="H2386" s="5" t="s">
        <v>2864</v>
      </c>
      <c r="I2386" s="5" t="str">
        <f>IF(INDEX(Manual_Review!$W$6:$W$238,U2386)="","",INDEX(Manual_Review!$W$6:$W$238,U2386))</f>
        <v/>
      </c>
      <c r="J2386" s="5" t="str">
        <f t="shared" si="74"/>
        <v>AI provisional</v>
      </c>
      <c r="K2386" s="5" t="str">
        <f t="shared" si="75"/>
        <v>U</v>
      </c>
      <c r="L2386" s="5" t="s">
        <v>1707</v>
      </c>
      <c r="M2386" s="5" t="s">
        <v>7743</v>
      </c>
      <c r="N2386" s="5" t="s">
        <v>7733</v>
      </c>
      <c r="O2386" s="5" t="s">
        <v>2893</v>
      </c>
      <c r="P2386" s="5" t="s">
        <v>2858</v>
      </c>
      <c r="Q2386" s="11">
        <v>46306.5</v>
      </c>
      <c r="R2386" s="6"/>
      <c r="S2386" s="6"/>
      <c r="T2386" s="6"/>
      <c r="U2386" s="5">
        <f>MATCH(B2386,Manual_Review!$A$6:$A$238,0)</f>
        <v>149</v>
      </c>
      <c r="V2386" s="5" t="str">
        <f>IF(INDEX(Manual_Review!$G$6:$G$238,U2386)="","",INDEX(Manual_Review!$G$6:$G$238,U2386))</f>
        <v/>
      </c>
      <c r="W2386" s="11" t="str">
        <f>IF(INDEX(Manual_Review!$H$6:$H$238,U2386)="","",INDEX(Manual_Review!$H$6:$H$238,U2386))</f>
        <v/>
      </c>
      <c r="X2386" s="5" t="str">
        <f>IF(INDEX(Manual_Review!$I$6:$I$238,U2386)="","",INDEX(Manual_Review!$I$6:$I$238,U2386))</f>
        <v/>
      </c>
      <c r="Y2386" s="5" t="s">
        <v>2859</v>
      </c>
    </row>
    <row r="2387" spans="1:25" ht="25.5">
      <c r="A2387" s="5" t="s">
        <v>7756</v>
      </c>
      <c r="B2387" s="5" t="s">
        <v>1701</v>
      </c>
      <c r="C2387" s="5" t="s">
        <v>1702</v>
      </c>
      <c r="D2387" s="5" t="s">
        <v>118</v>
      </c>
      <c r="E2387" s="5" t="s">
        <v>2794</v>
      </c>
      <c r="F2387" s="5" t="s">
        <v>2764</v>
      </c>
      <c r="G2387" s="5">
        <v>1</v>
      </c>
      <c r="H2387" s="5" t="s">
        <v>2864</v>
      </c>
      <c r="I2387" s="5" t="str">
        <f>IF(INDEX(Manual_Review!$X$6:$X$238,U2387)="","",INDEX(Manual_Review!$X$6:$X$238,U2387))</f>
        <v/>
      </c>
      <c r="J2387" s="5" t="str">
        <f t="shared" si="74"/>
        <v>AI provisional</v>
      </c>
      <c r="K2387" s="5" t="str">
        <f t="shared" si="75"/>
        <v>U</v>
      </c>
      <c r="L2387" s="5" t="s">
        <v>1707</v>
      </c>
      <c r="M2387" s="5" t="s">
        <v>7743</v>
      </c>
      <c r="N2387" s="5" t="s">
        <v>7733</v>
      </c>
      <c r="O2387" s="5" t="s">
        <v>2895</v>
      </c>
      <c r="P2387" s="5" t="s">
        <v>2858</v>
      </c>
      <c r="Q2387" s="11">
        <v>46306.5</v>
      </c>
      <c r="R2387" s="6"/>
      <c r="S2387" s="6"/>
      <c r="T2387" s="6"/>
      <c r="U2387" s="5">
        <f>MATCH(B2387,Manual_Review!$A$6:$A$238,0)</f>
        <v>149</v>
      </c>
      <c r="V2387" s="5" t="str">
        <f>IF(INDEX(Manual_Review!$G$6:$G$238,U2387)="","",INDEX(Manual_Review!$G$6:$G$238,U2387))</f>
        <v/>
      </c>
      <c r="W2387" s="11" t="str">
        <f>IF(INDEX(Manual_Review!$H$6:$H$238,U2387)="","",INDEX(Manual_Review!$H$6:$H$238,U2387))</f>
        <v/>
      </c>
      <c r="X2387" s="5" t="str">
        <f>IF(INDEX(Manual_Review!$I$6:$I$238,U2387)="","",INDEX(Manual_Review!$I$6:$I$238,U2387))</f>
        <v/>
      </c>
      <c r="Y2387" s="5" t="s">
        <v>2859</v>
      </c>
    </row>
    <row r="2388" spans="1:25" ht="25.5">
      <c r="A2388" s="5" t="s">
        <v>7757</v>
      </c>
      <c r="B2388" s="5" t="s">
        <v>1701</v>
      </c>
      <c r="C2388" s="5" t="s">
        <v>1702</v>
      </c>
      <c r="D2388" s="5" t="s">
        <v>118</v>
      </c>
      <c r="E2388" s="5" t="s">
        <v>2795</v>
      </c>
      <c r="F2388" s="5" t="s">
        <v>2764</v>
      </c>
      <c r="G2388" s="5">
        <v>1</v>
      </c>
      <c r="H2388" s="5" t="s">
        <v>2864</v>
      </c>
      <c r="I2388" s="5" t="str">
        <f>IF(INDEX(Manual_Review!$Y$6:$Y$238,U2388)="","",INDEX(Manual_Review!$Y$6:$Y$238,U2388))</f>
        <v/>
      </c>
      <c r="J2388" s="5" t="str">
        <f t="shared" si="74"/>
        <v>AI provisional</v>
      </c>
      <c r="K2388" s="5" t="str">
        <f t="shared" si="75"/>
        <v>U</v>
      </c>
      <c r="L2388" s="5" t="s">
        <v>1707</v>
      </c>
      <c r="M2388" s="5" t="s">
        <v>7743</v>
      </c>
      <c r="N2388" s="5" t="s">
        <v>7733</v>
      </c>
      <c r="O2388" s="5" t="s">
        <v>2897</v>
      </c>
      <c r="P2388" s="5" t="s">
        <v>2858</v>
      </c>
      <c r="Q2388" s="11">
        <v>46306.5</v>
      </c>
      <c r="R2388" s="6"/>
      <c r="S2388" s="6"/>
      <c r="T2388" s="6"/>
      <c r="U2388" s="5">
        <f>MATCH(B2388,Manual_Review!$A$6:$A$238,0)</f>
        <v>149</v>
      </c>
      <c r="V2388" s="5" t="str">
        <f>IF(INDEX(Manual_Review!$G$6:$G$238,U2388)="","",INDEX(Manual_Review!$G$6:$G$238,U2388))</f>
        <v/>
      </c>
      <c r="W2388" s="11" t="str">
        <f>IF(INDEX(Manual_Review!$H$6:$H$238,U2388)="","",INDEX(Manual_Review!$H$6:$H$238,U2388))</f>
        <v/>
      </c>
      <c r="X2388" s="5" t="str">
        <f>IF(INDEX(Manual_Review!$I$6:$I$238,U2388)="","",INDEX(Manual_Review!$I$6:$I$238,U2388))</f>
        <v/>
      </c>
      <c r="Y2388" s="5" t="s">
        <v>2859</v>
      </c>
    </row>
    <row r="2389" spans="1:25" ht="25.5">
      <c r="A2389" s="5" t="s">
        <v>7758</v>
      </c>
      <c r="B2389" s="5" t="s">
        <v>1701</v>
      </c>
      <c r="C2389" s="5" t="s">
        <v>1702</v>
      </c>
      <c r="D2389" s="5" t="s">
        <v>118</v>
      </c>
      <c r="E2389" s="5" t="s">
        <v>2796</v>
      </c>
      <c r="F2389" s="5" t="s">
        <v>2764</v>
      </c>
      <c r="G2389" s="5">
        <v>1</v>
      </c>
      <c r="H2389" s="5" t="s">
        <v>2864</v>
      </c>
      <c r="I2389" s="5" t="str">
        <f>IF(INDEX(Manual_Review!$Z$6:$Z$238,U2389)="","",INDEX(Manual_Review!$Z$6:$Z$238,U2389))</f>
        <v/>
      </c>
      <c r="J2389" s="5" t="str">
        <f t="shared" si="74"/>
        <v>AI provisional</v>
      </c>
      <c r="K2389" s="5" t="str">
        <f t="shared" si="75"/>
        <v>U</v>
      </c>
      <c r="L2389" s="5" t="s">
        <v>1707</v>
      </c>
      <c r="M2389" s="5" t="s">
        <v>7749</v>
      </c>
      <c r="N2389" s="5" t="s">
        <v>7733</v>
      </c>
      <c r="O2389" s="5" t="s">
        <v>2899</v>
      </c>
      <c r="P2389" s="5" t="s">
        <v>2858</v>
      </c>
      <c r="Q2389" s="11">
        <v>46306.5</v>
      </c>
      <c r="R2389" s="6"/>
      <c r="S2389" s="6"/>
      <c r="T2389" s="6"/>
      <c r="U2389" s="5">
        <f>MATCH(B2389,Manual_Review!$A$6:$A$238,0)</f>
        <v>149</v>
      </c>
      <c r="V2389" s="5" t="str">
        <f>IF(INDEX(Manual_Review!$G$6:$G$238,U2389)="","",INDEX(Manual_Review!$G$6:$G$238,U2389))</f>
        <v/>
      </c>
      <c r="W2389" s="11" t="str">
        <f>IF(INDEX(Manual_Review!$H$6:$H$238,U2389)="","",INDEX(Manual_Review!$H$6:$H$238,U2389))</f>
        <v/>
      </c>
      <c r="X2389" s="5" t="str">
        <f>IF(INDEX(Manual_Review!$I$6:$I$238,U2389)="","",INDEX(Manual_Review!$I$6:$I$238,U2389))</f>
        <v/>
      </c>
      <c r="Y2389" s="5" t="s">
        <v>2859</v>
      </c>
    </row>
    <row r="2390" spans="1:25" ht="25.5">
      <c r="A2390" s="5" t="s">
        <v>7759</v>
      </c>
      <c r="B2390" s="5" t="s">
        <v>1709</v>
      </c>
      <c r="C2390" s="5" t="s">
        <v>1710</v>
      </c>
      <c r="D2390" s="5" t="s">
        <v>118</v>
      </c>
      <c r="E2390" s="5" t="s">
        <v>2781</v>
      </c>
      <c r="F2390" s="5" t="s">
        <v>2754</v>
      </c>
      <c r="G2390" s="5">
        <v>1</v>
      </c>
      <c r="H2390" s="5" t="s">
        <v>2854</v>
      </c>
      <c r="I2390" s="5" t="str">
        <f>IF(INDEX(Manual_Review!$K$6:$K$238,U2390)="","",INDEX(Manual_Review!$K$6:$K$238,U2390))</f>
        <v/>
      </c>
      <c r="J2390" s="5" t="str">
        <f t="shared" si="74"/>
        <v>AI provisional</v>
      </c>
      <c r="K2390" s="5" t="str">
        <f t="shared" si="75"/>
        <v>Y</v>
      </c>
      <c r="L2390" s="5" t="s">
        <v>1715</v>
      </c>
      <c r="M2390" s="5" t="s">
        <v>7760</v>
      </c>
      <c r="N2390" s="5" t="s">
        <v>7761</v>
      </c>
      <c r="O2390" s="5" t="s">
        <v>2857</v>
      </c>
      <c r="P2390" s="5" t="s">
        <v>2858</v>
      </c>
      <c r="Q2390" s="11">
        <v>46306.5</v>
      </c>
      <c r="R2390" s="6"/>
      <c r="S2390" s="6"/>
      <c r="T2390" s="6"/>
      <c r="U2390" s="5">
        <f>MATCH(B2390,Manual_Review!$A$6:$A$238,0)</f>
        <v>150</v>
      </c>
      <c r="V2390" s="5" t="str">
        <f>IF(INDEX(Manual_Review!$G$6:$G$238,U2390)="","",INDEX(Manual_Review!$G$6:$G$238,U2390))</f>
        <v/>
      </c>
      <c r="W2390" s="11" t="str">
        <f>IF(INDEX(Manual_Review!$H$6:$H$238,U2390)="","",INDEX(Manual_Review!$H$6:$H$238,U2390))</f>
        <v/>
      </c>
      <c r="X2390" s="5" t="str">
        <f>IF(INDEX(Manual_Review!$I$6:$I$238,U2390)="","",INDEX(Manual_Review!$I$6:$I$238,U2390))</f>
        <v/>
      </c>
      <c r="Y2390" s="5" t="s">
        <v>2859</v>
      </c>
    </row>
    <row r="2391" spans="1:25" ht="25.5">
      <c r="A2391" s="5" t="s">
        <v>7762</v>
      </c>
      <c r="B2391" s="5" t="s">
        <v>1709</v>
      </c>
      <c r="C2391" s="5" t="s">
        <v>1710</v>
      </c>
      <c r="D2391" s="5" t="s">
        <v>118</v>
      </c>
      <c r="E2391" s="5" t="s">
        <v>2782</v>
      </c>
      <c r="F2391" s="5" t="s">
        <v>2754</v>
      </c>
      <c r="G2391" s="5">
        <v>1</v>
      </c>
      <c r="H2391" s="5" t="s">
        <v>2854</v>
      </c>
      <c r="I2391" s="5" t="str">
        <f>IF(INDEX(Manual_Review!$L$6:$L$238,U2391)="","",INDEX(Manual_Review!$L$6:$L$238,U2391))</f>
        <v/>
      </c>
      <c r="J2391" s="5" t="str">
        <f t="shared" si="74"/>
        <v>AI provisional</v>
      </c>
      <c r="K2391" s="5" t="str">
        <f t="shared" si="75"/>
        <v>Y</v>
      </c>
      <c r="L2391" s="5" t="s">
        <v>1715</v>
      </c>
      <c r="M2391" s="5" t="s">
        <v>7763</v>
      </c>
      <c r="N2391" s="5" t="s">
        <v>7761</v>
      </c>
      <c r="O2391" s="5" t="s">
        <v>2862</v>
      </c>
      <c r="P2391" s="5" t="s">
        <v>2858</v>
      </c>
      <c r="Q2391" s="11">
        <v>46306.5</v>
      </c>
      <c r="R2391" s="6"/>
      <c r="S2391" s="6"/>
      <c r="T2391" s="6"/>
      <c r="U2391" s="5">
        <f>MATCH(B2391,Manual_Review!$A$6:$A$238,0)</f>
        <v>150</v>
      </c>
      <c r="V2391" s="5" t="str">
        <f>IF(INDEX(Manual_Review!$G$6:$G$238,U2391)="","",INDEX(Manual_Review!$G$6:$G$238,U2391))</f>
        <v/>
      </c>
      <c r="W2391" s="11" t="str">
        <f>IF(INDEX(Manual_Review!$H$6:$H$238,U2391)="","",INDEX(Manual_Review!$H$6:$H$238,U2391))</f>
        <v/>
      </c>
      <c r="X2391" s="5" t="str">
        <f>IF(INDEX(Manual_Review!$I$6:$I$238,U2391)="","",INDEX(Manual_Review!$I$6:$I$238,U2391))</f>
        <v/>
      </c>
      <c r="Y2391" s="5" t="s">
        <v>2859</v>
      </c>
    </row>
    <row r="2392" spans="1:25" ht="25.5">
      <c r="A2392" s="5" t="s">
        <v>7764</v>
      </c>
      <c r="B2392" s="5" t="s">
        <v>1709</v>
      </c>
      <c r="C2392" s="5" t="s">
        <v>1710</v>
      </c>
      <c r="D2392" s="5" t="s">
        <v>118</v>
      </c>
      <c r="E2392" s="5" t="s">
        <v>2783</v>
      </c>
      <c r="F2392" s="5" t="s">
        <v>2754</v>
      </c>
      <c r="G2392" s="5">
        <v>1</v>
      </c>
      <c r="H2392" s="5" t="s">
        <v>2854</v>
      </c>
      <c r="I2392" s="5" t="str">
        <f>IF(INDEX(Manual_Review!$M$6:$M$238,U2392)="","",INDEX(Manual_Review!$M$6:$M$238,U2392))</f>
        <v/>
      </c>
      <c r="J2392" s="5" t="str">
        <f t="shared" si="74"/>
        <v>AI provisional</v>
      </c>
      <c r="K2392" s="5" t="str">
        <f t="shared" si="75"/>
        <v>Y</v>
      </c>
      <c r="L2392" s="5" t="s">
        <v>1715</v>
      </c>
      <c r="M2392" s="5" t="s">
        <v>7765</v>
      </c>
      <c r="N2392" s="5" t="s">
        <v>7761</v>
      </c>
      <c r="O2392" s="5" t="s">
        <v>3133</v>
      </c>
      <c r="P2392" s="5" t="s">
        <v>2858</v>
      </c>
      <c r="Q2392" s="11">
        <v>46306.5</v>
      </c>
      <c r="R2392" s="6"/>
      <c r="S2392" s="6"/>
      <c r="T2392" s="6"/>
      <c r="U2392" s="5">
        <f>MATCH(B2392,Manual_Review!$A$6:$A$238,0)</f>
        <v>150</v>
      </c>
      <c r="V2392" s="5" t="str">
        <f>IF(INDEX(Manual_Review!$G$6:$G$238,U2392)="","",INDEX(Manual_Review!$G$6:$G$238,U2392))</f>
        <v/>
      </c>
      <c r="W2392" s="11" t="str">
        <f>IF(INDEX(Manual_Review!$H$6:$H$238,U2392)="","",INDEX(Manual_Review!$H$6:$H$238,U2392))</f>
        <v/>
      </c>
      <c r="X2392" s="5" t="str">
        <f>IF(INDEX(Manual_Review!$I$6:$I$238,U2392)="","",INDEX(Manual_Review!$I$6:$I$238,U2392))</f>
        <v/>
      </c>
      <c r="Y2392" s="5" t="s">
        <v>2859</v>
      </c>
    </row>
    <row r="2393" spans="1:25" ht="25.5">
      <c r="A2393" s="5" t="s">
        <v>7766</v>
      </c>
      <c r="B2393" s="5" t="s">
        <v>1709</v>
      </c>
      <c r="C2393" s="5" t="s">
        <v>1710</v>
      </c>
      <c r="D2393" s="5" t="s">
        <v>118</v>
      </c>
      <c r="E2393" s="5" t="s">
        <v>2784</v>
      </c>
      <c r="F2393" s="5" t="s">
        <v>2756</v>
      </c>
      <c r="G2393" s="5">
        <v>1</v>
      </c>
      <c r="H2393" s="5" t="s">
        <v>2854</v>
      </c>
      <c r="I2393" s="5" t="str">
        <f>IF(INDEX(Manual_Review!$N$6:$N$238,U2393)="","",INDEX(Manual_Review!$N$6:$N$238,U2393))</f>
        <v/>
      </c>
      <c r="J2393" s="5" t="str">
        <f t="shared" si="74"/>
        <v>AI provisional</v>
      </c>
      <c r="K2393" s="5" t="str">
        <f t="shared" si="75"/>
        <v>Y</v>
      </c>
      <c r="L2393" s="5" t="s">
        <v>1715</v>
      </c>
      <c r="M2393" s="5" t="s">
        <v>7767</v>
      </c>
      <c r="N2393" s="5" t="s">
        <v>7761</v>
      </c>
      <c r="O2393" s="5" t="s">
        <v>2963</v>
      </c>
      <c r="P2393" s="5" t="s">
        <v>2858</v>
      </c>
      <c r="Q2393" s="11">
        <v>46306.5</v>
      </c>
      <c r="R2393" s="6"/>
      <c r="S2393" s="6"/>
      <c r="T2393" s="6"/>
      <c r="U2393" s="5">
        <f>MATCH(B2393,Manual_Review!$A$6:$A$238,0)</f>
        <v>150</v>
      </c>
      <c r="V2393" s="5" t="str">
        <f>IF(INDEX(Manual_Review!$G$6:$G$238,U2393)="","",INDEX(Manual_Review!$G$6:$G$238,U2393))</f>
        <v/>
      </c>
      <c r="W2393" s="11" t="str">
        <f>IF(INDEX(Manual_Review!$H$6:$H$238,U2393)="","",INDEX(Manual_Review!$H$6:$H$238,U2393))</f>
        <v/>
      </c>
      <c r="X2393" s="5" t="str">
        <f>IF(INDEX(Manual_Review!$I$6:$I$238,U2393)="","",INDEX(Manual_Review!$I$6:$I$238,U2393))</f>
        <v/>
      </c>
      <c r="Y2393" s="5" t="s">
        <v>2859</v>
      </c>
    </row>
    <row r="2394" spans="1:25" ht="25.5">
      <c r="A2394" s="5" t="s">
        <v>7768</v>
      </c>
      <c r="B2394" s="5" t="s">
        <v>1709</v>
      </c>
      <c r="C2394" s="5" t="s">
        <v>1710</v>
      </c>
      <c r="D2394" s="5" t="s">
        <v>118</v>
      </c>
      <c r="E2394" s="5" t="s">
        <v>2785</v>
      </c>
      <c r="F2394" s="5" t="s">
        <v>2756</v>
      </c>
      <c r="G2394" s="5">
        <v>1</v>
      </c>
      <c r="H2394" s="5" t="s">
        <v>2864</v>
      </c>
      <c r="I2394" s="5" t="str">
        <f>IF(INDEX(Manual_Review!$O$6:$O$238,U2394)="","",INDEX(Manual_Review!$O$6:$O$238,U2394))</f>
        <v/>
      </c>
      <c r="J2394" s="5" t="str">
        <f t="shared" si="74"/>
        <v>AI provisional</v>
      </c>
      <c r="K2394" s="5" t="str">
        <f t="shared" si="75"/>
        <v>U</v>
      </c>
      <c r="L2394" s="5" t="s">
        <v>1715</v>
      </c>
      <c r="M2394" s="5" t="s">
        <v>7769</v>
      </c>
      <c r="N2394" s="5" t="s">
        <v>7761</v>
      </c>
      <c r="O2394" s="5" t="s">
        <v>2872</v>
      </c>
      <c r="P2394" s="5" t="s">
        <v>2858</v>
      </c>
      <c r="Q2394" s="11">
        <v>46306.5</v>
      </c>
      <c r="R2394" s="6"/>
      <c r="S2394" s="6"/>
      <c r="T2394" s="6"/>
      <c r="U2394" s="5">
        <f>MATCH(B2394,Manual_Review!$A$6:$A$238,0)</f>
        <v>150</v>
      </c>
      <c r="V2394" s="5" t="str">
        <f>IF(INDEX(Manual_Review!$G$6:$G$238,U2394)="","",INDEX(Manual_Review!$G$6:$G$238,U2394))</f>
        <v/>
      </c>
      <c r="W2394" s="11" t="str">
        <f>IF(INDEX(Manual_Review!$H$6:$H$238,U2394)="","",INDEX(Manual_Review!$H$6:$H$238,U2394))</f>
        <v/>
      </c>
      <c r="X2394" s="5" t="str">
        <f>IF(INDEX(Manual_Review!$I$6:$I$238,U2394)="","",INDEX(Manual_Review!$I$6:$I$238,U2394))</f>
        <v/>
      </c>
      <c r="Y2394" s="5" t="s">
        <v>2859</v>
      </c>
    </row>
    <row r="2395" spans="1:25" ht="25.5">
      <c r="A2395" s="5" t="s">
        <v>7770</v>
      </c>
      <c r="B2395" s="5" t="s">
        <v>1709</v>
      </c>
      <c r="C2395" s="5" t="s">
        <v>1710</v>
      </c>
      <c r="D2395" s="5" t="s">
        <v>118</v>
      </c>
      <c r="E2395" s="5" t="s">
        <v>2786</v>
      </c>
      <c r="F2395" s="5" t="s">
        <v>2756</v>
      </c>
      <c r="G2395" s="5">
        <v>1</v>
      </c>
      <c r="H2395" s="5" t="s">
        <v>2864</v>
      </c>
      <c r="I2395" s="5" t="str">
        <f>IF(INDEX(Manual_Review!$P$6:$P$238,U2395)="","",INDEX(Manual_Review!$P$6:$P$238,U2395))</f>
        <v/>
      </c>
      <c r="J2395" s="5" t="str">
        <f t="shared" si="74"/>
        <v>AI provisional</v>
      </c>
      <c r="K2395" s="5" t="str">
        <f t="shared" si="75"/>
        <v>U</v>
      </c>
      <c r="L2395" s="5" t="s">
        <v>1715</v>
      </c>
      <c r="M2395" s="5" t="s">
        <v>7771</v>
      </c>
      <c r="N2395" s="5" t="s">
        <v>7761</v>
      </c>
      <c r="O2395" s="5" t="s">
        <v>2874</v>
      </c>
      <c r="P2395" s="5" t="s">
        <v>2858</v>
      </c>
      <c r="Q2395" s="11">
        <v>46306.5</v>
      </c>
      <c r="R2395" s="6"/>
      <c r="S2395" s="6"/>
      <c r="T2395" s="6"/>
      <c r="U2395" s="5">
        <f>MATCH(B2395,Manual_Review!$A$6:$A$238,0)</f>
        <v>150</v>
      </c>
      <c r="V2395" s="5" t="str">
        <f>IF(INDEX(Manual_Review!$G$6:$G$238,U2395)="","",INDEX(Manual_Review!$G$6:$G$238,U2395))</f>
        <v/>
      </c>
      <c r="W2395" s="11" t="str">
        <f>IF(INDEX(Manual_Review!$H$6:$H$238,U2395)="","",INDEX(Manual_Review!$H$6:$H$238,U2395))</f>
        <v/>
      </c>
      <c r="X2395" s="5" t="str">
        <f>IF(INDEX(Manual_Review!$I$6:$I$238,U2395)="","",INDEX(Manual_Review!$I$6:$I$238,U2395))</f>
        <v/>
      </c>
      <c r="Y2395" s="5" t="s">
        <v>2859</v>
      </c>
    </row>
    <row r="2396" spans="1:25" ht="25.5">
      <c r="A2396" s="5" t="s">
        <v>7772</v>
      </c>
      <c r="B2396" s="5" t="s">
        <v>1709</v>
      </c>
      <c r="C2396" s="5" t="s">
        <v>1710</v>
      </c>
      <c r="D2396" s="5" t="s">
        <v>118</v>
      </c>
      <c r="E2396" s="5" t="s">
        <v>2787</v>
      </c>
      <c r="F2396" s="5" t="s">
        <v>2758</v>
      </c>
      <c r="G2396" s="5">
        <v>1</v>
      </c>
      <c r="H2396" s="5" t="s">
        <v>2854</v>
      </c>
      <c r="I2396" s="5" t="str">
        <f>IF(INDEX(Manual_Review!$Q$6:$Q$238,U2396)="","",INDEX(Manual_Review!$Q$6:$Q$238,U2396))</f>
        <v/>
      </c>
      <c r="J2396" s="5" t="str">
        <f t="shared" si="74"/>
        <v>AI provisional</v>
      </c>
      <c r="K2396" s="5" t="str">
        <f t="shared" si="75"/>
        <v>Y</v>
      </c>
      <c r="L2396" s="5" t="s">
        <v>1715</v>
      </c>
      <c r="M2396" s="5" t="s">
        <v>7773</v>
      </c>
      <c r="N2396" s="5" t="s">
        <v>7761</v>
      </c>
      <c r="O2396" s="5" t="s">
        <v>2969</v>
      </c>
      <c r="P2396" s="5" t="s">
        <v>2858</v>
      </c>
      <c r="Q2396" s="11">
        <v>46306.5</v>
      </c>
      <c r="R2396" s="6"/>
      <c r="S2396" s="6"/>
      <c r="T2396" s="6"/>
      <c r="U2396" s="5">
        <f>MATCH(B2396,Manual_Review!$A$6:$A$238,0)</f>
        <v>150</v>
      </c>
      <c r="V2396" s="5" t="str">
        <f>IF(INDEX(Manual_Review!$G$6:$G$238,U2396)="","",INDEX(Manual_Review!$G$6:$G$238,U2396))</f>
        <v/>
      </c>
      <c r="W2396" s="11" t="str">
        <f>IF(INDEX(Manual_Review!$H$6:$H$238,U2396)="","",INDEX(Manual_Review!$H$6:$H$238,U2396))</f>
        <v/>
      </c>
      <c r="X2396" s="5" t="str">
        <f>IF(INDEX(Manual_Review!$I$6:$I$238,U2396)="","",INDEX(Manual_Review!$I$6:$I$238,U2396))</f>
        <v/>
      </c>
      <c r="Y2396" s="5" t="s">
        <v>2859</v>
      </c>
    </row>
    <row r="2397" spans="1:25" ht="25.5">
      <c r="A2397" s="5" t="s">
        <v>7774</v>
      </c>
      <c r="B2397" s="5" t="s">
        <v>1709</v>
      </c>
      <c r="C2397" s="5" t="s">
        <v>1710</v>
      </c>
      <c r="D2397" s="5" t="s">
        <v>118</v>
      </c>
      <c r="E2397" s="5" t="s">
        <v>2788</v>
      </c>
      <c r="F2397" s="5" t="s">
        <v>2758</v>
      </c>
      <c r="G2397" s="5">
        <v>1</v>
      </c>
      <c r="H2397" s="5" t="s">
        <v>2854</v>
      </c>
      <c r="I2397" s="5" t="str">
        <f>IF(INDEX(Manual_Review!$R$6:$R$238,U2397)="","",INDEX(Manual_Review!$R$6:$R$238,U2397))</f>
        <v/>
      </c>
      <c r="J2397" s="5" t="str">
        <f t="shared" si="74"/>
        <v>AI provisional</v>
      </c>
      <c r="K2397" s="5" t="str">
        <f t="shared" si="75"/>
        <v>Y</v>
      </c>
      <c r="L2397" s="5" t="s">
        <v>1715</v>
      </c>
      <c r="M2397" s="5" t="s">
        <v>7775</v>
      </c>
      <c r="N2397" s="5" t="s">
        <v>7761</v>
      </c>
      <c r="O2397" s="5" t="s">
        <v>3067</v>
      </c>
      <c r="P2397" s="5" t="s">
        <v>2858</v>
      </c>
      <c r="Q2397" s="11">
        <v>46306.5</v>
      </c>
      <c r="R2397" s="6"/>
      <c r="S2397" s="6"/>
      <c r="T2397" s="6"/>
      <c r="U2397" s="5">
        <f>MATCH(B2397,Manual_Review!$A$6:$A$238,0)</f>
        <v>150</v>
      </c>
      <c r="V2397" s="5" t="str">
        <f>IF(INDEX(Manual_Review!$G$6:$G$238,U2397)="","",INDEX(Manual_Review!$G$6:$G$238,U2397))</f>
        <v/>
      </c>
      <c r="W2397" s="11" t="str">
        <f>IF(INDEX(Manual_Review!$H$6:$H$238,U2397)="","",INDEX(Manual_Review!$H$6:$H$238,U2397))</f>
        <v/>
      </c>
      <c r="X2397" s="5" t="str">
        <f>IF(INDEX(Manual_Review!$I$6:$I$238,U2397)="","",INDEX(Manual_Review!$I$6:$I$238,U2397))</f>
        <v/>
      </c>
      <c r="Y2397" s="5" t="s">
        <v>2859</v>
      </c>
    </row>
    <row r="2398" spans="1:25" ht="25.5">
      <c r="A2398" s="5" t="s">
        <v>7776</v>
      </c>
      <c r="B2398" s="5" t="s">
        <v>1709</v>
      </c>
      <c r="C2398" s="5" t="s">
        <v>1710</v>
      </c>
      <c r="D2398" s="5" t="s">
        <v>118</v>
      </c>
      <c r="E2398" s="5" t="s">
        <v>2789</v>
      </c>
      <c r="F2398" s="5" t="s">
        <v>2758</v>
      </c>
      <c r="G2398" s="5">
        <v>1</v>
      </c>
      <c r="H2398" s="5" t="s">
        <v>2854</v>
      </c>
      <c r="I2398" s="5" t="str">
        <f>IF(INDEX(Manual_Review!$S$6:$S$238,U2398)="","",INDEX(Manual_Review!$S$6:$S$238,U2398))</f>
        <v/>
      </c>
      <c r="J2398" s="5" t="str">
        <f t="shared" si="74"/>
        <v>AI provisional</v>
      </c>
      <c r="K2398" s="5" t="str">
        <f t="shared" si="75"/>
        <v>Y</v>
      </c>
      <c r="L2398" s="5" t="s">
        <v>1715</v>
      </c>
      <c r="M2398" s="5" t="s">
        <v>7777</v>
      </c>
      <c r="N2398" s="5" t="s">
        <v>7761</v>
      </c>
      <c r="O2398" s="5" t="s">
        <v>3178</v>
      </c>
      <c r="P2398" s="5" t="s">
        <v>2858</v>
      </c>
      <c r="Q2398" s="11">
        <v>46306.5</v>
      </c>
      <c r="R2398" s="6"/>
      <c r="S2398" s="6"/>
      <c r="T2398" s="6"/>
      <c r="U2398" s="5">
        <f>MATCH(B2398,Manual_Review!$A$6:$A$238,0)</f>
        <v>150</v>
      </c>
      <c r="V2398" s="5" t="str">
        <f>IF(INDEX(Manual_Review!$G$6:$G$238,U2398)="","",INDEX(Manual_Review!$G$6:$G$238,U2398))</f>
        <v/>
      </c>
      <c r="W2398" s="11" t="str">
        <f>IF(INDEX(Manual_Review!$H$6:$H$238,U2398)="","",INDEX(Manual_Review!$H$6:$H$238,U2398))</f>
        <v/>
      </c>
      <c r="X2398" s="5" t="str">
        <f>IF(INDEX(Manual_Review!$I$6:$I$238,U2398)="","",INDEX(Manual_Review!$I$6:$I$238,U2398))</f>
        <v/>
      </c>
      <c r="Y2398" s="5" t="s">
        <v>2859</v>
      </c>
    </row>
    <row r="2399" spans="1:25" ht="25.5">
      <c r="A2399" s="5" t="s">
        <v>7778</v>
      </c>
      <c r="B2399" s="5" t="s">
        <v>1709</v>
      </c>
      <c r="C2399" s="5" t="s">
        <v>1710</v>
      </c>
      <c r="D2399" s="5" t="s">
        <v>118</v>
      </c>
      <c r="E2399" s="5" t="s">
        <v>2790</v>
      </c>
      <c r="F2399" s="5" t="s">
        <v>2760</v>
      </c>
      <c r="G2399" s="5">
        <v>1</v>
      </c>
      <c r="H2399" s="5" t="s">
        <v>2864</v>
      </c>
      <c r="I2399" s="5" t="str">
        <f>IF(INDEX(Manual_Review!$T$6:$T$238,U2399)="","",INDEX(Manual_Review!$T$6:$T$238,U2399))</f>
        <v/>
      </c>
      <c r="J2399" s="5" t="str">
        <f t="shared" si="74"/>
        <v>AI provisional</v>
      </c>
      <c r="K2399" s="5" t="str">
        <f t="shared" si="75"/>
        <v>U</v>
      </c>
      <c r="L2399" s="5" t="s">
        <v>1715</v>
      </c>
      <c r="M2399" s="5" t="s">
        <v>7771</v>
      </c>
      <c r="N2399" s="5" t="s">
        <v>7761</v>
      </c>
      <c r="O2399" s="5" t="s">
        <v>2885</v>
      </c>
      <c r="P2399" s="5" t="s">
        <v>2858</v>
      </c>
      <c r="Q2399" s="11">
        <v>46306.5</v>
      </c>
      <c r="R2399" s="6"/>
      <c r="S2399" s="6"/>
      <c r="T2399" s="6"/>
      <c r="U2399" s="5">
        <f>MATCH(B2399,Manual_Review!$A$6:$A$238,0)</f>
        <v>150</v>
      </c>
      <c r="V2399" s="5" t="str">
        <f>IF(INDEX(Manual_Review!$G$6:$G$238,U2399)="","",INDEX(Manual_Review!$G$6:$G$238,U2399))</f>
        <v/>
      </c>
      <c r="W2399" s="11" t="str">
        <f>IF(INDEX(Manual_Review!$H$6:$H$238,U2399)="","",INDEX(Manual_Review!$H$6:$H$238,U2399))</f>
        <v/>
      </c>
      <c r="X2399" s="5" t="str">
        <f>IF(INDEX(Manual_Review!$I$6:$I$238,U2399)="","",INDEX(Manual_Review!$I$6:$I$238,U2399))</f>
        <v/>
      </c>
      <c r="Y2399" s="5" t="s">
        <v>2859</v>
      </c>
    </row>
    <row r="2400" spans="1:25" ht="25.5">
      <c r="A2400" s="5" t="s">
        <v>7779</v>
      </c>
      <c r="B2400" s="5" t="s">
        <v>1709</v>
      </c>
      <c r="C2400" s="5" t="s">
        <v>1710</v>
      </c>
      <c r="D2400" s="5" t="s">
        <v>118</v>
      </c>
      <c r="E2400" s="5" t="s">
        <v>2791</v>
      </c>
      <c r="F2400" s="5" t="s">
        <v>2760</v>
      </c>
      <c r="G2400" s="5">
        <v>1</v>
      </c>
      <c r="H2400" s="5" t="s">
        <v>2864</v>
      </c>
      <c r="I2400" s="5" t="str">
        <f>IF(INDEX(Manual_Review!$U$6:$U$238,U2400)="","",INDEX(Manual_Review!$U$6:$U$238,U2400))</f>
        <v/>
      </c>
      <c r="J2400" s="5" t="str">
        <f t="shared" si="74"/>
        <v>AI provisional</v>
      </c>
      <c r="K2400" s="5" t="str">
        <f t="shared" si="75"/>
        <v>U</v>
      </c>
      <c r="L2400" s="5" t="s">
        <v>1715</v>
      </c>
      <c r="M2400" s="5" t="s">
        <v>7780</v>
      </c>
      <c r="N2400" s="5" t="s">
        <v>7761</v>
      </c>
      <c r="O2400" s="5" t="s">
        <v>2888</v>
      </c>
      <c r="P2400" s="5" t="s">
        <v>2858</v>
      </c>
      <c r="Q2400" s="11">
        <v>46306.5</v>
      </c>
      <c r="R2400" s="6"/>
      <c r="S2400" s="6"/>
      <c r="T2400" s="6"/>
      <c r="U2400" s="5">
        <f>MATCH(B2400,Manual_Review!$A$6:$A$238,0)</f>
        <v>150</v>
      </c>
      <c r="V2400" s="5" t="str">
        <f>IF(INDEX(Manual_Review!$G$6:$G$238,U2400)="","",INDEX(Manual_Review!$G$6:$G$238,U2400))</f>
        <v/>
      </c>
      <c r="W2400" s="11" t="str">
        <f>IF(INDEX(Manual_Review!$H$6:$H$238,U2400)="","",INDEX(Manual_Review!$H$6:$H$238,U2400))</f>
        <v/>
      </c>
      <c r="X2400" s="5" t="str">
        <f>IF(INDEX(Manual_Review!$I$6:$I$238,U2400)="","",INDEX(Manual_Review!$I$6:$I$238,U2400))</f>
        <v/>
      </c>
      <c r="Y2400" s="5" t="s">
        <v>2859</v>
      </c>
    </row>
    <row r="2401" spans="1:25" ht="25.5">
      <c r="A2401" s="5" t="s">
        <v>7781</v>
      </c>
      <c r="B2401" s="5" t="s">
        <v>1709</v>
      </c>
      <c r="C2401" s="5" t="s">
        <v>1710</v>
      </c>
      <c r="D2401" s="5" t="s">
        <v>118</v>
      </c>
      <c r="E2401" s="5" t="s">
        <v>2792</v>
      </c>
      <c r="F2401" s="5" t="s">
        <v>2762</v>
      </c>
      <c r="G2401" s="5">
        <v>1</v>
      </c>
      <c r="H2401" s="5" t="s">
        <v>2864</v>
      </c>
      <c r="I2401" s="5" t="str">
        <f>IF(INDEX(Manual_Review!$V$6:$V$238,U2401)="","",INDEX(Manual_Review!$V$6:$V$238,U2401))</f>
        <v/>
      </c>
      <c r="J2401" s="5" t="str">
        <f t="shared" si="74"/>
        <v>AI provisional</v>
      </c>
      <c r="K2401" s="5" t="str">
        <f t="shared" si="75"/>
        <v>U</v>
      </c>
      <c r="L2401" s="5" t="s">
        <v>1715</v>
      </c>
      <c r="M2401" s="5" t="s">
        <v>7782</v>
      </c>
      <c r="N2401" s="5" t="s">
        <v>7761</v>
      </c>
      <c r="O2401" s="5" t="s">
        <v>2891</v>
      </c>
      <c r="P2401" s="5" t="s">
        <v>2858</v>
      </c>
      <c r="Q2401" s="11">
        <v>46306.5</v>
      </c>
      <c r="R2401" s="6"/>
      <c r="S2401" s="6"/>
      <c r="T2401" s="6"/>
      <c r="U2401" s="5">
        <f>MATCH(B2401,Manual_Review!$A$6:$A$238,0)</f>
        <v>150</v>
      </c>
      <c r="V2401" s="5" t="str">
        <f>IF(INDEX(Manual_Review!$G$6:$G$238,U2401)="","",INDEX(Manual_Review!$G$6:$G$238,U2401))</f>
        <v/>
      </c>
      <c r="W2401" s="11" t="str">
        <f>IF(INDEX(Manual_Review!$H$6:$H$238,U2401)="","",INDEX(Manual_Review!$H$6:$H$238,U2401))</f>
        <v/>
      </c>
      <c r="X2401" s="5" t="str">
        <f>IF(INDEX(Manual_Review!$I$6:$I$238,U2401)="","",INDEX(Manual_Review!$I$6:$I$238,U2401))</f>
        <v/>
      </c>
      <c r="Y2401" s="5" t="s">
        <v>2859</v>
      </c>
    </row>
    <row r="2402" spans="1:25" ht="25.5">
      <c r="A2402" s="5" t="s">
        <v>7783</v>
      </c>
      <c r="B2402" s="5" t="s">
        <v>1709</v>
      </c>
      <c r="C2402" s="5" t="s">
        <v>1710</v>
      </c>
      <c r="D2402" s="5" t="s">
        <v>118</v>
      </c>
      <c r="E2402" s="5" t="s">
        <v>2793</v>
      </c>
      <c r="F2402" s="5" t="s">
        <v>2762</v>
      </c>
      <c r="G2402" s="5">
        <v>1</v>
      </c>
      <c r="H2402" s="5" t="s">
        <v>2854</v>
      </c>
      <c r="I2402" s="5" t="str">
        <f>IF(INDEX(Manual_Review!$W$6:$W$238,U2402)="","",INDEX(Manual_Review!$W$6:$W$238,U2402))</f>
        <v/>
      </c>
      <c r="J2402" s="5" t="str">
        <f t="shared" si="74"/>
        <v>AI provisional</v>
      </c>
      <c r="K2402" s="5" t="str">
        <f t="shared" si="75"/>
        <v>Y</v>
      </c>
      <c r="L2402" s="5" t="s">
        <v>1715</v>
      </c>
      <c r="M2402" s="5" t="s">
        <v>7782</v>
      </c>
      <c r="N2402" s="5" t="s">
        <v>7761</v>
      </c>
      <c r="O2402" s="5" t="s">
        <v>3077</v>
      </c>
      <c r="P2402" s="5" t="s">
        <v>2858</v>
      </c>
      <c r="Q2402" s="11">
        <v>46306.5</v>
      </c>
      <c r="R2402" s="6"/>
      <c r="S2402" s="6"/>
      <c r="T2402" s="6"/>
      <c r="U2402" s="5">
        <f>MATCH(B2402,Manual_Review!$A$6:$A$238,0)</f>
        <v>150</v>
      </c>
      <c r="V2402" s="5" t="str">
        <f>IF(INDEX(Manual_Review!$G$6:$G$238,U2402)="","",INDEX(Manual_Review!$G$6:$G$238,U2402))</f>
        <v/>
      </c>
      <c r="W2402" s="11" t="str">
        <f>IF(INDEX(Manual_Review!$H$6:$H$238,U2402)="","",INDEX(Manual_Review!$H$6:$H$238,U2402))</f>
        <v/>
      </c>
      <c r="X2402" s="5" t="str">
        <f>IF(INDEX(Manual_Review!$I$6:$I$238,U2402)="","",INDEX(Manual_Review!$I$6:$I$238,U2402))</f>
        <v/>
      </c>
      <c r="Y2402" s="5" t="s">
        <v>2859</v>
      </c>
    </row>
    <row r="2403" spans="1:25" ht="25.5">
      <c r="A2403" s="5" t="s">
        <v>7784</v>
      </c>
      <c r="B2403" s="5" t="s">
        <v>1709</v>
      </c>
      <c r="C2403" s="5" t="s">
        <v>1710</v>
      </c>
      <c r="D2403" s="5" t="s">
        <v>118</v>
      </c>
      <c r="E2403" s="5" t="s">
        <v>2794</v>
      </c>
      <c r="F2403" s="5" t="s">
        <v>2764</v>
      </c>
      <c r="G2403" s="5">
        <v>1</v>
      </c>
      <c r="H2403" s="5" t="s">
        <v>2854</v>
      </c>
      <c r="I2403" s="5" t="str">
        <f>IF(INDEX(Manual_Review!$X$6:$X$238,U2403)="","",INDEX(Manual_Review!$X$6:$X$238,U2403))</f>
        <v/>
      </c>
      <c r="J2403" s="5" t="str">
        <f t="shared" si="74"/>
        <v>AI provisional</v>
      </c>
      <c r="K2403" s="5" t="str">
        <f t="shared" si="75"/>
        <v>Y</v>
      </c>
      <c r="L2403" s="5" t="s">
        <v>1715</v>
      </c>
      <c r="M2403" s="5" t="s">
        <v>7782</v>
      </c>
      <c r="N2403" s="5" t="s">
        <v>7761</v>
      </c>
      <c r="O2403" s="5" t="s">
        <v>2984</v>
      </c>
      <c r="P2403" s="5" t="s">
        <v>2858</v>
      </c>
      <c r="Q2403" s="11">
        <v>46306.5</v>
      </c>
      <c r="R2403" s="6"/>
      <c r="S2403" s="6"/>
      <c r="T2403" s="6"/>
      <c r="U2403" s="5">
        <f>MATCH(B2403,Manual_Review!$A$6:$A$238,0)</f>
        <v>150</v>
      </c>
      <c r="V2403" s="5" t="str">
        <f>IF(INDEX(Manual_Review!$G$6:$G$238,U2403)="","",INDEX(Manual_Review!$G$6:$G$238,U2403))</f>
        <v/>
      </c>
      <c r="W2403" s="11" t="str">
        <f>IF(INDEX(Manual_Review!$H$6:$H$238,U2403)="","",INDEX(Manual_Review!$H$6:$H$238,U2403))</f>
        <v/>
      </c>
      <c r="X2403" s="5" t="str">
        <f>IF(INDEX(Manual_Review!$I$6:$I$238,U2403)="","",INDEX(Manual_Review!$I$6:$I$238,U2403))</f>
        <v/>
      </c>
      <c r="Y2403" s="5" t="s">
        <v>2859</v>
      </c>
    </row>
    <row r="2404" spans="1:25" ht="25.5">
      <c r="A2404" s="5" t="s">
        <v>7785</v>
      </c>
      <c r="B2404" s="5" t="s">
        <v>1709</v>
      </c>
      <c r="C2404" s="5" t="s">
        <v>1710</v>
      </c>
      <c r="D2404" s="5" t="s">
        <v>118</v>
      </c>
      <c r="E2404" s="5" t="s">
        <v>2795</v>
      </c>
      <c r="F2404" s="5" t="s">
        <v>2764</v>
      </c>
      <c r="G2404" s="5">
        <v>1</v>
      </c>
      <c r="H2404" s="5" t="s">
        <v>2864</v>
      </c>
      <c r="I2404" s="5" t="str">
        <f>IF(INDEX(Manual_Review!$Y$6:$Y$238,U2404)="","",INDEX(Manual_Review!$Y$6:$Y$238,U2404))</f>
        <v/>
      </c>
      <c r="J2404" s="5" t="str">
        <f t="shared" si="74"/>
        <v>AI provisional</v>
      </c>
      <c r="K2404" s="5" t="str">
        <f t="shared" si="75"/>
        <v>U</v>
      </c>
      <c r="L2404" s="5" t="s">
        <v>1715</v>
      </c>
      <c r="M2404" s="5" t="s">
        <v>7771</v>
      </c>
      <c r="N2404" s="5" t="s">
        <v>7761</v>
      </c>
      <c r="O2404" s="5" t="s">
        <v>2897</v>
      </c>
      <c r="P2404" s="5" t="s">
        <v>2858</v>
      </c>
      <c r="Q2404" s="11">
        <v>46306.5</v>
      </c>
      <c r="R2404" s="6"/>
      <c r="S2404" s="6"/>
      <c r="T2404" s="6"/>
      <c r="U2404" s="5">
        <f>MATCH(B2404,Manual_Review!$A$6:$A$238,0)</f>
        <v>150</v>
      </c>
      <c r="V2404" s="5" t="str">
        <f>IF(INDEX(Manual_Review!$G$6:$G$238,U2404)="","",INDEX(Manual_Review!$G$6:$G$238,U2404))</f>
        <v/>
      </c>
      <c r="W2404" s="11" t="str">
        <f>IF(INDEX(Manual_Review!$H$6:$H$238,U2404)="","",INDEX(Manual_Review!$H$6:$H$238,U2404))</f>
        <v/>
      </c>
      <c r="X2404" s="5" t="str">
        <f>IF(INDEX(Manual_Review!$I$6:$I$238,U2404)="","",INDEX(Manual_Review!$I$6:$I$238,U2404))</f>
        <v/>
      </c>
      <c r="Y2404" s="5" t="s">
        <v>2859</v>
      </c>
    </row>
    <row r="2405" spans="1:25" ht="25.5">
      <c r="A2405" s="5" t="s">
        <v>7786</v>
      </c>
      <c r="B2405" s="5" t="s">
        <v>1709</v>
      </c>
      <c r="C2405" s="5" t="s">
        <v>1710</v>
      </c>
      <c r="D2405" s="5" t="s">
        <v>118</v>
      </c>
      <c r="E2405" s="5" t="s">
        <v>2796</v>
      </c>
      <c r="F2405" s="5" t="s">
        <v>2764</v>
      </c>
      <c r="G2405" s="5">
        <v>1</v>
      </c>
      <c r="H2405" s="5" t="s">
        <v>2864</v>
      </c>
      <c r="I2405" s="5" t="str">
        <f>IF(INDEX(Manual_Review!$Z$6:$Z$238,U2405)="","",INDEX(Manual_Review!$Z$6:$Z$238,U2405))</f>
        <v/>
      </c>
      <c r="J2405" s="5" t="str">
        <f t="shared" si="74"/>
        <v>AI provisional</v>
      </c>
      <c r="K2405" s="5" t="str">
        <f t="shared" si="75"/>
        <v>U</v>
      </c>
      <c r="L2405" s="5" t="s">
        <v>1715</v>
      </c>
      <c r="M2405" s="5" t="s">
        <v>7777</v>
      </c>
      <c r="N2405" s="5" t="s">
        <v>7761</v>
      </c>
      <c r="O2405" s="5" t="s">
        <v>2899</v>
      </c>
      <c r="P2405" s="5" t="s">
        <v>2858</v>
      </c>
      <c r="Q2405" s="11">
        <v>46306.5</v>
      </c>
      <c r="R2405" s="6"/>
      <c r="S2405" s="6"/>
      <c r="T2405" s="6"/>
      <c r="U2405" s="5">
        <f>MATCH(B2405,Manual_Review!$A$6:$A$238,0)</f>
        <v>150</v>
      </c>
      <c r="V2405" s="5" t="str">
        <f>IF(INDEX(Manual_Review!$G$6:$G$238,U2405)="","",INDEX(Manual_Review!$G$6:$G$238,U2405))</f>
        <v/>
      </c>
      <c r="W2405" s="11" t="str">
        <f>IF(INDEX(Manual_Review!$H$6:$H$238,U2405)="","",INDEX(Manual_Review!$H$6:$H$238,U2405))</f>
        <v/>
      </c>
      <c r="X2405" s="5" t="str">
        <f>IF(INDEX(Manual_Review!$I$6:$I$238,U2405)="","",INDEX(Manual_Review!$I$6:$I$238,U2405))</f>
        <v/>
      </c>
      <c r="Y2405" s="5" t="s">
        <v>2859</v>
      </c>
    </row>
    <row r="2406" spans="1:25" ht="25.5">
      <c r="A2406" s="5" t="s">
        <v>7787</v>
      </c>
      <c r="B2406" s="5" t="s">
        <v>1717</v>
      </c>
      <c r="C2406" s="5" t="s">
        <v>1718</v>
      </c>
      <c r="D2406" s="5" t="s">
        <v>118</v>
      </c>
      <c r="E2406" s="5" t="s">
        <v>2781</v>
      </c>
      <c r="F2406" s="5" t="s">
        <v>2754</v>
      </c>
      <c r="G2406" s="5">
        <v>1</v>
      </c>
      <c r="H2406" s="5" t="s">
        <v>2854</v>
      </c>
      <c r="I2406" s="5" t="str">
        <f>IF(INDEX(Manual_Review!$K$6:$K$238,U2406)="","",INDEX(Manual_Review!$K$6:$K$238,U2406))</f>
        <v/>
      </c>
      <c r="J2406" s="5" t="str">
        <f t="shared" si="74"/>
        <v>AI provisional</v>
      </c>
      <c r="K2406" s="5" t="str">
        <f t="shared" si="75"/>
        <v>Y</v>
      </c>
      <c r="L2406" s="5" t="s">
        <v>1725</v>
      </c>
      <c r="M2406" s="5" t="s">
        <v>7788</v>
      </c>
      <c r="N2406" s="5" t="s">
        <v>7789</v>
      </c>
      <c r="O2406" s="5" t="s">
        <v>2857</v>
      </c>
      <c r="P2406" s="5" t="s">
        <v>2858</v>
      </c>
      <c r="Q2406" s="11">
        <v>46306.5</v>
      </c>
      <c r="R2406" s="6"/>
      <c r="S2406" s="6"/>
      <c r="T2406" s="6"/>
      <c r="U2406" s="5">
        <f>MATCH(B2406,Manual_Review!$A$6:$A$238,0)</f>
        <v>151</v>
      </c>
      <c r="V2406" s="5" t="str">
        <f>IF(INDEX(Manual_Review!$G$6:$G$238,U2406)="","",INDEX(Manual_Review!$G$6:$G$238,U2406))</f>
        <v/>
      </c>
      <c r="W2406" s="11" t="str">
        <f>IF(INDEX(Manual_Review!$H$6:$H$238,U2406)="","",INDEX(Manual_Review!$H$6:$H$238,U2406))</f>
        <v/>
      </c>
      <c r="X2406" s="5" t="str">
        <f>IF(INDEX(Manual_Review!$I$6:$I$238,U2406)="","",INDEX(Manual_Review!$I$6:$I$238,U2406))</f>
        <v/>
      </c>
      <c r="Y2406" s="5" t="s">
        <v>2859</v>
      </c>
    </row>
    <row r="2407" spans="1:25" ht="25.5">
      <c r="A2407" s="5" t="s">
        <v>7790</v>
      </c>
      <c r="B2407" s="5" t="s">
        <v>1717</v>
      </c>
      <c r="C2407" s="5" t="s">
        <v>1718</v>
      </c>
      <c r="D2407" s="5" t="s">
        <v>118</v>
      </c>
      <c r="E2407" s="5" t="s">
        <v>2782</v>
      </c>
      <c r="F2407" s="5" t="s">
        <v>2754</v>
      </c>
      <c r="G2407" s="5">
        <v>1</v>
      </c>
      <c r="H2407" s="5" t="s">
        <v>2854</v>
      </c>
      <c r="I2407" s="5" t="str">
        <f>IF(INDEX(Manual_Review!$L$6:$L$238,U2407)="","",INDEX(Manual_Review!$L$6:$L$238,U2407))</f>
        <v/>
      </c>
      <c r="J2407" s="5" t="str">
        <f t="shared" si="74"/>
        <v>AI provisional</v>
      </c>
      <c r="K2407" s="5" t="str">
        <f t="shared" si="75"/>
        <v>Y</v>
      </c>
      <c r="L2407" s="5" t="s">
        <v>1725</v>
      </c>
      <c r="M2407" s="5" t="s">
        <v>7791</v>
      </c>
      <c r="N2407" s="5" t="s">
        <v>7789</v>
      </c>
      <c r="O2407" s="5" t="s">
        <v>2862</v>
      </c>
      <c r="P2407" s="5" t="s">
        <v>2858</v>
      </c>
      <c r="Q2407" s="11">
        <v>46306.5</v>
      </c>
      <c r="R2407" s="6"/>
      <c r="S2407" s="6"/>
      <c r="T2407" s="6"/>
      <c r="U2407" s="5">
        <f>MATCH(B2407,Manual_Review!$A$6:$A$238,0)</f>
        <v>151</v>
      </c>
      <c r="V2407" s="5" t="str">
        <f>IF(INDEX(Manual_Review!$G$6:$G$238,U2407)="","",INDEX(Manual_Review!$G$6:$G$238,U2407))</f>
        <v/>
      </c>
      <c r="W2407" s="11" t="str">
        <f>IF(INDEX(Manual_Review!$H$6:$H$238,U2407)="","",INDEX(Manual_Review!$H$6:$H$238,U2407))</f>
        <v/>
      </c>
      <c r="X2407" s="5" t="str">
        <f>IF(INDEX(Manual_Review!$I$6:$I$238,U2407)="","",INDEX(Manual_Review!$I$6:$I$238,U2407))</f>
        <v/>
      </c>
      <c r="Y2407" s="5" t="s">
        <v>2859</v>
      </c>
    </row>
    <row r="2408" spans="1:25" ht="25.5">
      <c r="A2408" s="5" t="s">
        <v>7792</v>
      </c>
      <c r="B2408" s="5" t="s">
        <v>1717</v>
      </c>
      <c r="C2408" s="5" t="s">
        <v>1718</v>
      </c>
      <c r="D2408" s="5" t="s">
        <v>118</v>
      </c>
      <c r="E2408" s="5" t="s">
        <v>2783</v>
      </c>
      <c r="F2408" s="5" t="s">
        <v>2754</v>
      </c>
      <c r="G2408" s="5">
        <v>1</v>
      </c>
      <c r="H2408" s="5" t="s">
        <v>2854</v>
      </c>
      <c r="I2408" s="5" t="str">
        <f>IF(INDEX(Manual_Review!$M$6:$M$238,U2408)="","",INDEX(Manual_Review!$M$6:$M$238,U2408))</f>
        <v/>
      </c>
      <c r="J2408" s="5" t="str">
        <f t="shared" si="74"/>
        <v>AI provisional</v>
      </c>
      <c r="K2408" s="5" t="str">
        <f t="shared" si="75"/>
        <v>Y</v>
      </c>
      <c r="L2408" s="5" t="s">
        <v>1725</v>
      </c>
      <c r="M2408" s="5" t="s">
        <v>7793</v>
      </c>
      <c r="N2408" s="5" t="s">
        <v>7789</v>
      </c>
      <c r="O2408" s="5" t="s">
        <v>3133</v>
      </c>
      <c r="P2408" s="5" t="s">
        <v>2858</v>
      </c>
      <c r="Q2408" s="11">
        <v>46306.5</v>
      </c>
      <c r="R2408" s="6"/>
      <c r="S2408" s="6"/>
      <c r="T2408" s="6"/>
      <c r="U2408" s="5">
        <f>MATCH(B2408,Manual_Review!$A$6:$A$238,0)</f>
        <v>151</v>
      </c>
      <c r="V2408" s="5" t="str">
        <f>IF(INDEX(Manual_Review!$G$6:$G$238,U2408)="","",INDEX(Manual_Review!$G$6:$G$238,U2408))</f>
        <v/>
      </c>
      <c r="W2408" s="11" t="str">
        <f>IF(INDEX(Manual_Review!$H$6:$H$238,U2408)="","",INDEX(Manual_Review!$H$6:$H$238,U2408))</f>
        <v/>
      </c>
      <c r="X2408" s="5" t="str">
        <f>IF(INDEX(Manual_Review!$I$6:$I$238,U2408)="","",INDEX(Manual_Review!$I$6:$I$238,U2408))</f>
        <v/>
      </c>
      <c r="Y2408" s="5" t="s">
        <v>2859</v>
      </c>
    </row>
    <row r="2409" spans="1:25" ht="25.5">
      <c r="A2409" s="5" t="s">
        <v>7794</v>
      </c>
      <c r="B2409" s="5" t="s">
        <v>1717</v>
      </c>
      <c r="C2409" s="5" t="s">
        <v>1718</v>
      </c>
      <c r="D2409" s="5" t="s">
        <v>118</v>
      </c>
      <c r="E2409" s="5" t="s">
        <v>2784</v>
      </c>
      <c r="F2409" s="5" t="s">
        <v>2756</v>
      </c>
      <c r="G2409" s="5">
        <v>1</v>
      </c>
      <c r="H2409" s="5" t="s">
        <v>2854</v>
      </c>
      <c r="I2409" s="5" t="str">
        <f>IF(INDEX(Manual_Review!$N$6:$N$238,U2409)="","",INDEX(Manual_Review!$N$6:$N$238,U2409))</f>
        <v/>
      </c>
      <c r="J2409" s="5" t="str">
        <f t="shared" si="74"/>
        <v>AI provisional</v>
      </c>
      <c r="K2409" s="5" t="str">
        <f t="shared" si="75"/>
        <v>Y</v>
      </c>
      <c r="L2409" s="5" t="s">
        <v>1725</v>
      </c>
      <c r="M2409" s="5" t="s">
        <v>7795</v>
      </c>
      <c r="N2409" s="5" t="s">
        <v>7789</v>
      </c>
      <c r="O2409" s="5" t="s">
        <v>2963</v>
      </c>
      <c r="P2409" s="5" t="s">
        <v>2858</v>
      </c>
      <c r="Q2409" s="11">
        <v>46306.5</v>
      </c>
      <c r="R2409" s="6"/>
      <c r="S2409" s="6"/>
      <c r="T2409" s="6"/>
      <c r="U2409" s="5">
        <f>MATCH(B2409,Manual_Review!$A$6:$A$238,0)</f>
        <v>151</v>
      </c>
      <c r="V2409" s="5" t="str">
        <f>IF(INDEX(Manual_Review!$G$6:$G$238,U2409)="","",INDEX(Manual_Review!$G$6:$G$238,U2409))</f>
        <v/>
      </c>
      <c r="W2409" s="11" t="str">
        <f>IF(INDEX(Manual_Review!$H$6:$H$238,U2409)="","",INDEX(Manual_Review!$H$6:$H$238,U2409))</f>
        <v/>
      </c>
      <c r="X2409" s="5" t="str">
        <f>IF(INDEX(Manual_Review!$I$6:$I$238,U2409)="","",INDEX(Manual_Review!$I$6:$I$238,U2409))</f>
        <v/>
      </c>
      <c r="Y2409" s="5" t="s">
        <v>2859</v>
      </c>
    </row>
    <row r="2410" spans="1:25" ht="25.5">
      <c r="A2410" s="5" t="s">
        <v>7796</v>
      </c>
      <c r="B2410" s="5" t="s">
        <v>1717</v>
      </c>
      <c r="C2410" s="5" t="s">
        <v>1718</v>
      </c>
      <c r="D2410" s="5" t="s">
        <v>118</v>
      </c>
      <c r="E2410" s="5" t="s">
        <v>2785</v>
      </c>
      <c r="F2410" s="5" t="s">
        <v>2756</v>
      </c>
      <c r="G2410" s="5">
        <v>1</v>
      </c>
      <c r="H2410" s="5" t="s">
        <v>2864</v>
      </c>
      <c r="I2410" s="5" t="str">
        <f>IF(INDEX(Manual_Review!$O$6:$O$238,U2410)="","",INDEX(Manual_Review!$O$6:$O$238,U2410))</f>
        <v/>
      </c>
      <c r="J2410" s="5" t="str">
        <f t="shared" si="74"/>
        <v>AI provisional</v>
      </c>
      <c r="K2410" s="5" t="str">
        <f t="shared" si="75"/>
        <v>U</v>
      </c>
      <c r="L2410" s="5" t="s">
        <v>1725</v>
      </c>
      <c r="M2410" s="5" t="s">
        <v>7797</v>
      </c>
      <c r="N2410" s="5" t="s">
        <v>7789</v>
      </c>
      <c r="O2410" s="5" t="s">
        <v>2872</v>
      </c>
      <c r="P2410" s="5" t="s">
        <v>2858</v>
      </c>
      <c r="Q2410" s="11">
        <v>46306.5</v>
      </c>
      <c r="R2410" s="6"/>
      <c r="S2410" s="6"/>
      <c r="T2410" s="6"/>
      <c r="U2410" s="5">
        <f>MATCH(B2410,Manual_Review!$A$6:$A$238,0)</f>
        <v>151</v>
      </c>
      <c r="V2410" s="5" t="str">
        <f>IF(INDEX(Manual_Review!$G$6:$G$238,U2410)="","",INDEX(Manual_Review!$G$6:$G$238,U2410))</f>
        <v/>
      </c>
      <c r="W2410" s="11" t="str">
        <f>IF(INDEX(Manual_Review!$H$6:$H$238,U2410)="","",INDEX(Manual_Review!$H$6:$H$238,U2410))</f>
        <v/>
      </c>
      <c r="X2410" s="5" t="str">
        <f>IF(INDEX(Manual_Review!$I$6:$I$238,U2410)="","",INDEX(Manual_Review!$I$6:$I$238,U2410))</f>
        <v/>
      </c>
      <c r="Y2410" s="5" t="s">
        <v>2859</v>
      </c>
    </row>
    <row r="2411" spans="1:25" ht="25.5">
      <c r="A2411" s="5" t="s">
        <v>7798</v>
      </c>
      <c r="B2411" s="5" t="s">
        <v>1717</v>
      </c>
      <c r="C2411" s="5" t="s">
        <v>1718</v>
      </c>
      <c r="D2411" s="5" t="s">
        <v>118</v>
      </c>
      <c r="E2411" s="5" t="s">
        <v>2786</v>
      </c>
      <c r="F2411" s="5" t="s">
        <v>2756</v>
      </c>
      <c r="G2411" s="5">
        <v>1</v>
      </c>
      <c r="H2411" s="5" t="s">
        <v>2864</v>
      </c>
      <c r="I2411" s="5" t="str">
        <f>IF(INDEX(Manual_Review!$P$6:$P$238,U2411)="","",INDEX(Manual_Review!$P$6:$P$238,U2411))</f>
        <v/>
      </c>
      <c r="J2411" s="5" t="str">
        <f t="shared" si="74"/>
        <v>AI provisional</v>
      </c>
      <c r="K2411" s="5" t="str">
        <f t="shared" si="75"/>
        <v>U</v>
      </c>
      <c r="L2411" s="5" t="s">
        <v>1725</v>
      </c>
      <c r="M2411" s="5" t="s">
        <v>7799</v>
      </c>
      <c r="N2411" s="5" t="s">
        <v>7789</v>
      </c>
      <c r="O2411" s="5" t="s">
        <v>2874</v>
      </c>
      <c r="P2411" s="5" t="s">
        <v>2858</v>
      </c>
      <c r="Q2411" s="11">
        <v>46306.5</v>
      </c>
      <c r="R2411" s="6"/>
      <c r="S2411" s="6"/>
      <c r="T2411" s="6"/>
      <c r="U2411" s="5">
        <f>MATCH(B2411,Manual_Review!$A$6:$A$238,0)</f>
        <v>151</v>
      </c>
      <c r="V2411" s="5" t="str">
        <f>IF(INDEX(Manual_Review!$G$6:$G$238,U2411)="","",INDEX(Manual_Review!$G$6:$G$238,U2411))</f>
        <v/>
      </c>
      <c r="W2411" s="11" t="str">
        <f>IF(INDEX(Manual_Review!$H$6:$H$238,U2411)="","",INDEX(Manual_Review!$H$6:$H$238,U2411))</f>
        <v/>
      </c>
      <c r="X2411" s="5" t="str">
        <f>IF(INDEX(Manual_Review!$I$6:$I$238,U2411)="","",INDEX(Manual_Review!$I$6:$I$238,U2411))</f>
        <v/>
      </c>
      <c r="Y2411" s="5" t="s">
        <v>2859</v>
      </c>
    </row>
    <row r="2412" spans="1:25" ht="25.5">
      <c r="A2412" s="5" t="s">
        <v>7800</v>
      </c>
      <c r="B2412" s="5" t="s">
        <v>1717</v>
      </c>
      <c r="C2412" s="5" t="s">
        <v>1718</v>
      </c>
      <c r="D2412" s="5" t="s">
        <v>118</v>
      </c>
      <c r="E2412" s="5" t="s">
        <v>2787</v>
      </c>
      <c r="F2412" s="5" t="s">
        <v>2758</v>
      </c>
      <c r="G2412" s="5">
        <v>1</v>
      </c>
      <c r="H2412" s="5" t="s">
        <v>2854</v>
      </c>
      <c r="I2412" s="5" t="str">
        <f>IF(INDEX(Manual_Review!$Q$6:$Q$238,U2412)="","",INDEX(Manual_Review!$Q$6:$Q$238,U2412))</f>
        <v/>
      </c>
      <c r="J2412" s="5" t="str">
        <f t="shared" si="74"/>
        <v>AI provisional</v>
      </c>
      <c r="K2412" s="5" t="str">
        <f t="shared" si="75"/>
        <v>Y</v>
      </c>
      <c r="L2412" s="5" t="s">
        <v>1725</v>
      </c>
      <c r="M2412" s="5" t="s">
        <v>7801</v>
      </c>
      <c r="N2412" s="5" t="s">
        <v>7789</v>
      </c>
      <c r="O2412" s="5" t="s">
        <v>2969</v>
      </c>
      <c r="P2412" s="5" t="s">
        <v>2858</v>
      </c>
      <c r="Q2412" s="11">
        <v>46306.5</v>
      </c>
      <c r="R2412" s="6"/>
      <c r="S2412" s="6"/>
      <c r="T2412" s="6"/>
      <c r="U2412" s="5">
        <f>MATCH(B2412,Manual_Review!$A$6:$A$238,0)</f>
        <v>151</v>
      </c>
      <c r="V2412" s="5" t="str">
        <f>IF(INDEX(Manual_Review!$G$6:$G$238,U2412)="","",INDEX(Manual_Review!$G$6:$G$238,U2412))</f>
        <v/>
      </c>
      <c r="W2412" s="11" t="str">
        <f>IF(INDEX(Manual_Review!$H$6:$H$238,U2412)="","",INDEX(Manual_Review!$H$6:$H$238,U2412))</f>
        <v/>
      </c>
      <c r="X2412" s="5" t="str">
        <f>IF(INDEX(Manual_Review!$I$6:$I$238,U2412)="","",INDEX(Manual_Review!$I$6:$I$238,U2412))</f>
        <v/>
      </c>
      <c r="Y2412" s="5" t="s">
        <v>2859</v>
      </c>
    </row>
    <row r="2413" spans="1:25" ht="25.5">
      <c r="A2413" s="5" t="s">
        <v>7802</v>
      </c>
      <c r="B2413" s="5" t="s">
        <v>1717</v>
      </c>
      <c r="C2413" s="5" t="s">
        <v>1718</v>
      </c>
      <c r="D2413" s="5" t="s">
        <v>118</v>
      </c>
      <c r="E2413" s="5" t="s">
        <v>2788</v>
      </c>
      <c r="F2413" s="5" t="s">
        <v>2758</v>
      </c>
      <c r="G2413" s="5">
        <v>1</v>
      </c>
      <c r="H2413" s="5" t="s">
        <v>2864</v>
      </c>
      <c r="I2413" s="5" t="str">
        <f>IF(INDEX(Manual_Review!$R$6:$R$238,U2413)="","",INDEX(Manual_Review!$R$6:$R$238,U2413))</f>
        <v/>
      </c>
      <c r="J2413" s="5" t="str">
        <f t="shared" si="74"/>
        <v>AI provisional</v>
      </c>
      <c r="K2413" s="5" t="str">
        <f t="shared" si="75"/>
        <v>U</v>
      </c>
      <c r="L2413" s="5" t="s">
        <v>1725</v>
      </c>
      <c r="M2413" s="5" t="s">
        <v>7803</v>
      </c>
      <c r="N2413" s="5" t="s">
        <v>7789</v>
      </c>
      <c r="O2413" s="5" t="s">
        <v>2880</v>
      </c>
      <c r="P2413" s="5" t="s">
        <v>2858</v>
      </c>
      <c r="Q2413" s="11">
        <v>46306.5</v>
      </c>
      <c r="R2413" s="6"/>
      <c r="S2413" s="6"/>
      <c r="T2413" s="6"/>
      <c r="U2413" s="5">
        <f>MATCH(B2413,Manual_Review!$A$6:$A$238,0)</f>
        <v>151</v>
      </c>
      <c r="V2413" s="5" t="str">
        <f>IF(INDEX(Manual_Review!$G$6:$G$238,U2413)="","",INDEX(Manual_Review!$G$6:$G$238,U2413))</f>
        <v/>
      </c>
      <c r="W2413" s="11" t="str">
        <f>IF(INDEX(Manual_Review!$H$6:$H$238,U2413)="","",INDEX(Manual_Review!$H$6:$H$238,U2413))</f>
        <v/>
      </c>
      <c r="X2413" s="5" t="str">
        <f>IF(INDEX(Manual_Review!$I$6:$I$238,U2413)="","",INDEX(Manual_Review!$I$6:$I$238,U2413))</f>
        <v/>
      </c>
      <c r="Y2413" s="5" t="s">
        <v>2859</v>
      </c>
    </row>
    <row r="2414" spans="1:25" ht="25.5">
      <c r="A2414" s="5" t="s">
        <v>7804</v>
      </c>
      <c r="B2414" s="5" t="s">
        <v>1717</v>
      </c>
      <c r="C2414" s="5" t="s">
        <v>1718</v>
      </c>
      <c r="D2414" s="5" t="s">
        <v>118</v>
      </c>
      <c r="E2414" s="5" t="s">
        <v>2789</v>
      </c>
      <c r="F2414" s="5" t="s">
        <v>2758</v>
      </c>
      <c r="G2414" s="5">
        <v>1</v>
      </c>
      <c r="H2414" s="5" t="s">
        <v>2864</v>
      </c>
      <c r="I2414" s="5" t="str">
        <f>IF(INDEX(Manual_Review!$S$6:$S$238,U2414)="","",INDEX(Manual_Review!$S$6:$S$238,U2414))</f>
        <v/>
      </c>
      <c r="J2414" s="5" t="str">
        <f t="shared" si="74"/>
        <v>AI provisional</v>
      </c>
      <c r="K2414" s="5" t="str">
        <f t="shared" si="75"/>
        <v>U</v>
      </c>
      <c r="L2414" s="5" t="s">
        <v>1725</v>
      </c>
      <c r="M2414" s="5" t="s">
        <v>7805</v>
      </c>
      <c r="N2414" s="5" t="s">
        <v>7789</v>
      </c>
      <c r="O2414" s="5" t="s">
        <v>2883</v>
      </c>
      <c r="P2414" s="5" t="s">
        <v>2858</v>
      </c>
      <c r="Q2414" s="11">
        <v>46306.5</v>
      </c>
      <c r="R2414" s="6"/>
      <c r="S2414" s="6"/>
      <c r="T2414" s="6"/>
      <c r="U2414" s="5">
        <f>MATCH(B2414,Manual_Review!$A$6:$A$238,0)</f>
        <v>151</v>
      </c>
      <c r="V2414" s="5" t="str">
        <f>IF(INDEX(Manual_Review!$G$6:$G$238,U2414)="","",INDEX(Manual_Review!$G$6:$G$238,U2414))</f>
        <v/>
      </c>
      <c r="W2414" s="11" t="str">
        <f>IF(INDEX(Manual_Review!$H$6:$H$238,U2414)="","",INDEX(Manual_Review!$H$6:$H$238,U2414))</f>
        <v/>
      </c>
      <c r="X2414" s="5" t="str">
        <f>IF(INDEX(Manual_Review!$I$6:$I$238,U2414)="","",INDEX(Manual_Review!$I$6:$I$238,U2414))</f>
        <v/>
      </c>
      <c r="Y2414" s="5" t="s">
        <v>2859</v>
      </c>
    </row>
    <row r="2415" spans="1:25" ht="25.5">
      <c r="A2415" s="5" t="s">
        <v>7806</v>
      </c>
      <c r="B2415" s="5" t="s">
        <v>1717</v>
      </c>
      <c r="C2415" s="5" t="s">
        <v>1718</v>
      </c>
      <c r="D2415" s="5" t="s">
        <v>118</v>
      </c>
      <c r="E2415" s="5" t="s">
        <v>2790</v>
      </c>
      <c r="F2415" s="5" t="s">
        <v>2760</v>
      </c>
      <c r="G2415" s="5">
        <v>1</v>
      </c>
      <c r="H2415" s="5" t="s">
        <v>2864</v>
      </c>
      <c r="I2415" s="5" t="str">
        <f>IF(INDEX(Manual_Review!$T$6:$T$238,U2415)="","",INDEX(Manual_Review!$T$6:$T$238,U2415))</f>
        <v/>
      </c>
      <c r="J2415" s="5" t="str">
        <f t="shared" si="74"/>
        <v>AI provisional</v>
      </c>
      <c r="K2415" s="5" t="str">
        <f t="shared" si="75"/>
        <v>U</v>
      </c>
      <c r="L2415" s="5" t="s">
        <v>1725</v>
      </c>
      <c r="M2415" s="5" t="s">
        <v>7807</v>
      </c>
      <c r="N2415" s="5" t="s">
        <v>7789</v>
      </c>
      <c r="O2415" s="5" t="s">
        <v>2885</v>
      </c>
      <c r="P2415" s="5" t="s">
        <v>2858</v>
      </c>
      <c r="Q2415" s="11">
        <v>46306.5</v>
      </c>
      <c r="R2415" s="6"/>
      <c r="S2415" s="6"/>
      <c r="T2415" s="6"/>
      <c r="U2415" s="5">
        <f>MATCH(B2415,Manual_Review!$A$6:$A$238,0)</f>
        <v>151</v>
      </c>
      <c r="V2415" s="5" t="str">
        <f>IF(INDEX(Manual_Review!$G$6:$G$238,U2415)="","",INDEX(Manual_Review!$G$6:$G$238,U2415))</f>
        <v/>
      </c>
      <c r="W2415" s="11" t="str">
        <f>IF(INDEX(Manual_Review!$H$6:$H$238,U2415)="","",INDEX(Manual_Review!$H$6:$H$238,U2415))</f>
        <v/>
      </c>
      <c r="X2415" s="5" t="str">
        <f>IF(INDEX(Manual_Review!$I$6:$I$238,U2415)="","",INDEX(Manual_Review!$I$6:$I$238,U2415))</f>
        <v/>
      </c>
      <c r="Y2415" s="5" t="s">
        <v>2859</v>
      </c>
    </row>
    <row r="2416" spans="1:25" ht="25.5">
      <c r="A2416" s="5" t="s">
        <v>7808</v>
      </c>
      <c r="B2416" s="5" t="s">
        <v>1717</v>
      </c>
      <c r="C2416" s="5" t="s">
        <v>1718</v>
      </c>
      <c r="D2416" s="5" t="s">
        <v>118</v>
      </c>
      <c r="E2416" s="5" t="s">
        <v>2791</v>
      </c>
      <c r="F2416" s="5" t="s">
        <v>2760</v>
      </c>
      <c r="G2416" s="5">
        <v>1</v>
      </c>
      <c r="H2416" s="5" t="s">
        <v>2864</v>
      </c>
      <c r="I2416" s="5" t="str">
        <f>IF(INDEX(Manual_Review!$U$6:$U$238,U2416)="","",INDEX(Manual_Review!$U$6:$U$238,U2416))</f>
        <v/>
      </c>
      <c r="J2416" s="5" t="str">
        <f t="shared" si="74"/>
        <v>AI provisional</v>
      </c>
      <c r="K2416" s="5" t="str">
        <f t="shared" si="75"/>
        <v>U</v>
      </c>
      <c r="L2416" s="5" t="s">
        <v>1725</v>
      </c>
      <c r="M2416" s="5" t="s">
        <v>7809</v>
      </c>
      <c r="N2416" s="5" t="s">
        <v>7789</v>
      </c>
      <c r="O2416" s="5" t="s">
        <v>2888</v>
      </c>
      <c r="P2416" s="5" t="s">
        <v>2858</v>
      </c>
      <c r="Q2416" s="11">
        <v>46306.5</v>
      </c>
      <c r="R2416" s="6"/>
      <c r="S2416" s="6"/>
      <c r="T2416" s="6"/>
      <c r="U2416" s="5">
        <f>MATCH(B2416,Manual_Review!$A$6:$A$238,0)</f>
        <v>151</v>
      </c>
      <c r="V2416" s="5" t="str">
        <f>IF(INDEX(Manual_Review!$G$6:$G$238,U2416)="","",INDEX(Manual_Review!$G$6:$G$238,U2416))</f>
        <v/>
      </c>
      <c r="W2416" s="11" t="str">
        <f>IF(INDEX(Manual_Review!$H$6:$H$238,U2416)="","",INDEX(Manual_Review!$H$6:$H$238,U2416))</f>
        <v/>
      </c>
      <c r="X2416" s="5" t="str">
        <f>IF(INDEX(Manual_Review!$I$6:$I$238,U2416)="","",INDEX(Manual_Review!$I$6:$I$238,U2416))</f>
        <v/>
      </c>
      <c r="Y2416" s="5" t="s">
        <v>2859</v>
      </c>
    </row>
    <row r="2417" spans="1:25" ht="25.5">
      <c r="A2417" s="5" t="s">
        <v>7810</v>
      </c>
      <c r="B2417" s="5" t="s">
        <v>1717</v>
      </c>
      <c r="C2417" s="5" t="s">
        <v>1718</v>
      </c>
      <c r="D2417" s="5" t="s">
        <v>118</v>
      </c>
      <c r="E2417" s="5" t="s">
        <v>2792</v>
      </c>
      <c r="F2417" s="5" t="s">
        <v>2762</v>
      </c>
      <c r="G2417" s="5">
        <v>1</v>
      </c>
      <c r="H2417" s="5" t="s">
        <v>2864</v>
      </c>
      <c r="I2417" s="5" t="str">
        <f>IF(INDEX(Manual_Review!$V$6:$V$238,U2417)="","",INDEX(Manual_Review!$V$6:$V$238,U2417))</f>
        <v/>
      </c>
      <c r="J2417" s="5" t="str">
        <f t="shared" si="74"/>
        <v>AI provisional</v>
      </c>
      <c r="K2417" s="5" t="str">
        <f t="shared" si="75"/>
        <v>U</v>
      </c>
      <c r="L2417" s="5" t="s">
        <v>1725</v>
      </c>
      <c r="M2417" s="5" t="s">
        <v>7811</v>
      </c>
      <c r="N2417" s="5" t="s">
        <v>7789</v>
      </c>
      <c r="O2417" s="5" t="s">
        <v>2891</v>
      </c>
      <c r="P2417" s="5" t="s">
        <v>2858</v>
      </c>
      <c r="Q2417" s="11">
        <v>46306.5</v>
      </c>
      <c r="R2417" s="6"/>
      <c r="S2417" s="6"/>
      <c r="T2417" s="6"/>
      <c r="U2417" s="5">
        <f>MATCH(B2417,Manual_Review!$A$6:$A$238,0)</f>
        <v>151</v>
      </c>
      <c r="V2417" s="5" t="str">
        <f>IF(INDEX(Manual_Review!$G$6:$G$238,U2417)="","",INDEX(Manual_Review!$G$6:$G$238,U2417))</f>
        <v/>
      </c>
      <c r="W2417" s="11" t="str">
        <f>IF(INDEX(Manual_Review!$H$6:$H$238,U2417)="","",INDEX(Manual_Review!$H$6:$H$238,U2417))</f>
        <v/>
      </c>
      <c r="X2417" s="5" t="str">
        <f>IF(INDEX(Manual_Review!$I$6:$I$238,U2417)="","",INDEX(Manual_Review!$I$6:$I$238,U2417))</f>
        <v/>
      </c>
      <c r="Y2417" s="5" t="s">
        <v>2859</v>
      </c>
    </row>
    <row r="2418" spans="1:25" ht="25.5">
      <c r="A2418" s="5" t="s">
        <v>7812</v>
      </c>
      <c r="B2418" s="5" t="s">
        <v>1717</v>
      </c>
      <c r="C2418" s="5" t="s">
        <v>1718</v>
      </c>
      <c r="D2418" s="5" t="s">
        <v>118</v>
      </c>
      <c r="E2418" s="5" t="s">
        <v>2793</v>
      </c>
      <c r="F2418" s="5" t="s">
        <v>2762</v>
      </c>
      <c r="G2418" s="5">
        <v>1</v>
      </c>
      <c r="H2418" s="5" t="s">
        <v>2864</v>
      </c>
      <c r="I2418" s="5" t="str">
        <f>IF(INDEX(Manual_Review!$W$6:$W$238,U2418)="","",INDEX(Manual_Review!$W$6:$W$238,U2418))</f>
        <v/>
      </c>
      <c r="J2418" s="5" t="str">
        <f t="shared" si="74"/>
        <v>AI provisional</v>
      </c>
      <c r="K2418" s="5" t="str">
        <f t="shared" si="75"/>
        <v>U</v>
      </c>
      <c r="L2418" s="5" t="s">
        <v>1725</v>
      </c>
      <c r="M2418" s="5" t="s">
        <v>7813</v>
      </c>
      <c r="N2418" s="5" t="s">
        <v>7789</v>
      </c>
      <c r="O2418" s="5" t="s">
        <v>2893</v>
      </c>
      <c r="P2418" s="5" t="s">
        <v>2858</v>
      </c>
      <c r="Q2418" s="11">
        <v>46306.5</v>
      </c>
      <c r="R2418" s="6"/>
      <c r="S2418" s="6"/>
      <c r="T2418" s="6"/>
      <c r="U2418" s="5">
        <f>MATCH(B2418,Manual_Review!$A$6:$A$238,0)</f>
        <v>151</v>
      </c>
      <c r="V2418" s="5" t="str">
        <f>IF(INDEX(Manual_Review!$G$6:$G$238,U2418)="","",INDEX(Manual_Review!$G$6:$G$238,U2418))</f>
        <v/>
      </c>
      <c r="W2418" s="11" t="str">
        <f>IF(INDEX(Manual_Review!$H$6:$H$238,U2418)="","",INDEX(Manual_Review!$H$6:$H$238,U2418))</f>
        <v/>
      </c>
      <c r="X2418" s="5" t="str">
        <f>IF(INDEX(Manual_Review!$I$6:$I$238,U2418)="","",INDEX(Manual_Review!$I$6:$I$238,U2418))</f>
        <v/>
      </c>
      <c r="Y2418" s="5" t="s">
        <v>2859</v>
      </c>
    </row>
    <row r="2419" spans="1:25" ht="25.5">
      <c r="A2419" s="5" t="s">
        <v>7814</v>
      </c>
      <c r="B2419" s="5" t="s">
        <v>1717</v>
      </c>
      <c r="C2419" s="5" t="s">
        <v>1718</v>
      </c>
      <c r="D2419" s="5" t="s">
        <v>118</v>
      </c>
      <c r="E2419" s="5" t="s">
        <v>2794</v>
      </c>
      <c r="F2419" s="5" t="s">
        <v>2764</v>
      </c>
      <c r="G2419" s="5">
        <v>1</v>
      </c>
      <c r="H2419" s="5" t="s">
        <v>2854</v>
      </c>
      <c r="I2419" s="5" t="str">
        <f>IF(INDEX(Manual_Review!$X$6:$X$238,U2419)="","",INDEX(Manual_Review!$X$6:$X$238,U2419))</f>
        <v/>
      </c>
      <c r="J2419" s="5" t="str">
        <f t="shared" si="74"/>
        <v>AI provisional</v>
      </c>
      <c r="K2419" s="5" t="str">
        <f t="shared" si="75"/>
        <v>Y</v>
      </c>
      <c r="L2419" s="5" t="s">
        <v>1725</v>
      </c>
      <c r="M2419" s="5" t="s">
        <v>7811</v>
      </c>
      <c r="N2419" s="5" t="s">
        <v>7789</v>
      </c>
      <c r="O2419" s="5" t="s">
        <v>2984</v>
      </c>
      <c r="P2419" s="5" t="s">
        <v>2858</v>
      </c>
      <c r="Q2419" s="11">
        <v>46306.5</v>
      </c>
      <c r="R2419" s="6"/>
      <c r="S2419" s="6"/>
      <c r="T2419" s="6"/>
      <c r="U2419" s="5">
        <f>MATCH(B2419,Manual_Review!$A$6:$A$238,0)</f>
        <v>151</v>
      </c>
      <c r="V2419" s="5" t="str">
        <f>IF(INDEX(Manual_Review!$G$6:$G$238,U2419)="","",INDEX(Manual_Review!$G$6:$G$238,U2419))</f>
        <v/>
      </c>
      <c r="W2419" s="11" t="str">
        <f>IF(INDEX(Manual_Review!$H$6:$H$238,U2419)="","",INDEX(Manual_Review!$H$6:$H$238,U2419))</f>
        <v/>
      </c>
      <c r="X2419" s="5" t="str">
        <f>IF(INDEX(Manual_Review!$I$6:$I$238,U2419)="","",INDEX(Manual_Review!$I$6:$I$238,U2419))</f>
        <v/>
      </c>
      <c r="Y2419" s="5" t="s">
        <v>2859</v>
      </c>
    </row>
    <row r="2420" spans="1:25" ht="25.5">
      <c r="A2420" s="5" t="s">
        <v>7815</v>
      </c>
      <c r="B2420" s="5" t="s">
        <v>1717</v>
      </c>
      <c r="C2420" s="5" t="s">
        <v>1718</v>
      </c>
      <c r="D2420" s="5" t="s">
        <v>118</v>
      </c>
      <c r="E2420" s="5" t="s">
        <v>2795</v>
      </c>
      <c r="F2420" s="5" t="s">
        <v>2764</v>
      </c>
      <c r="G2420" s="5">
        <v>1</v>
      </c>
      <c r="H2420" s="5" t="s">
        <v>2864</v>
      </c>
      <c r="I2420" s="5" t="str">
        <f>IF(INDEX(Manual_Review!$Y$6:$Y$238,U2420)="","",INDEX(Manual_Review!$Y$6:$Y$238,U2420))</f>
        <v/>
      </c>
      <c r="J2420" s="5" t="str">
        <f t="shared" si="74"/>
        <v>AI provisional</v>
      </c>
      <c r="K2420" s="5" t="str">
        <f t="shared" si="75"/>
        <v>U</v>
      </c>
      <c r="L2420" s="5" t="s">
        <v>1725</v>
      </c>
      <c r="M2420" s="5" t="s">
        <v>7816</v>
      </c>
      <c r="N2420" s="5" t="s">
        <v>7789</v>
      </c>
      <c r="O2420" s="5" t="s">
        <v>2897</v>
      </c>
      <c r="P2420" s="5" t="s">
        <v>2858</v>
      </c>
      <c r="Q2420" s="11">
        <v>46306.5</v>
      </c>
      <c r="R2420" s="6"/>
      <c r="S2420" s="6"/>
      <c r="T2420" s="6"/>
      <c r="U2420" s="5">
        <f>MATCH(B2420,Manual_Review!$A$6:$A$238,0)</f>
        <v>151</v>
      </c>
      <c r="V2420" s="5" t="str">
        <f>IF(INDEX(Manual_Review!$G$6:$G$238,U2420)="","",INDEX(Manual_Review!$G$6:$G$238,U2420))</f>
        <v/>
      </c>
      <c r="W2420" s="11" t="str">
        <f>IF(INDEX(Manual_Review!$H$6:$H$238,U2420)="","",INDEX(Manual_Review!$H$6:$H$238,U2420))</f>
        <v/>
      </c>
      <c r="X2420" s="5" t="str">
        <f>IF(INDEX(Manual_Review!$I$6:$I$238,U2420)="","",INDEX(Manual_Review!$I$6:$I$238,U2420))</f>
        <v/>
      </c>
      <c r="Y2420" s="5" t="s">
        <v>2859</v>
      </c>
    </row>
    <row r="2421" spans="1:25" ht="25.5">
      <c r="A2421" s="5" t="s">
        <v>7817</v>
      </c>
      <c r="B2421" s="5" t="s">
        <v>1717</v>
      </c>
      <c r="C2421" s="5" t="s">
        <v>1718</v>
      </c>
      <c r="D2421" s="5" t="s">
        <v>118</v>
      </c>
      <c r="E2421" s="5" t="s">
        <v>2796</v>
      </c>
      <c r="F2421" s="5" t="s">
        <v>2764</v>
      </c>
      <c r="G2421" s="5">
        <v>1</v>
      </c>
      <c r="H2421" s="5" t="s">
        <v>2864</v>
      </c>
      <c r="I2421" s="5" t="str">
        <f>IF(INDEX(Manual_Review!$Z$6:$Z$238,U2421)="","",INDEX(Manual_Review!$Z$6:$Z$238,U2421))</f>
        <v/>
      </c>
      <c r="J2421" s="5" t="str">
        <f t="shared" si="74"/>
        <v>AI provisional</v>
      </c>
      <c r="K2421" s="5" t="str">
        <f t="shared" si="75"/>
        <v>U</v>
      </c>
      <c r="L2421" s="5" t="s">
        <v>1725</v>
      </c>
      <c r="M2421" s="5" t="s">
        <v>7805</v>
      </c>
      <c r="N2421" s="5" t="s">
        <v>7789</v>
      </c>
      <c r="O2421" s="5" t="s">
        <v>2899</v>
      </c>
      <c r="P2421" s="5" t="s">
        <v>2858</v>
      </c>
      <c r="Q2421" s="11">
        <v>46306.5</v>
      </c>
      <c r="R2421" s="6"/>
      <c r="S2421" s="6"/>
      <c r="T2421" s="6"/>
      <c r="U2421" s="5">
        <f>MATCH(B2421,Manual_Review!$A$6:$A$238,0)</f>
        <v>151</v>
      </c>
      <c r="V2421" s="5" t="str">
        <f>IF(INDEX(Manual_Review!$G$6:$G$238,U2421)="","",INDEX(Manual_Review!$G$6:$G$238,U2421))</f>
        <v/>
      </c>
      <c r="W2421" s="11" t="str">
        <f>IF(INDEX(Manual_Review!$H$6:$H$238,U2421)="","",INDEX(Manual_Review!$H$6:$H$238,U2421))</f>
        <v/>
      </c>
      <c r="X2421" s="5" t="str">
        <f>IF(INDEX(Manual_Review!$I$6:$I$238,U2421)="","",INDEX(Manual_Review!$I$6:$I$238,U2421))</f>
        <v/>
      </c>
      <c r="Y2421" s="5" t="s">
        <v>2859</v>
      </c>
    </row>
    <row r="2422" spans="1:25" ht="25.5">
      <c r="A2422" s="5" t="s">
        <v>7818</v>
      </c>
      <c r="B2422" s="5" t="s">
        <v>1727</v>
      </c>
      <c r="C2422" s="5" t="s">
        <v>1728</v>
      </c>
      <c r="D2422" s="5" t="s">
        <v>118</v>
      </c>
      <c r="E2422" s="5" t="s">
        <v>2781</v>
      </c>
      <c r="F2422" s="5" t="s">
        <v>2754</v>
      </c>
      <c r="G2422" s="5">
        <v>1</v>
      </c>
      <c r="H2422" s="5" t="s">
        <v>2854</v>
      </c>
      <c r="I2422" s="5" t="str">
        <f>IF(INDEX(Manual_Review!$K$6:$K$238,U2422)="","",INDEX(Manual_Review!$K$6:$K$238,U2422))</f>
        <v/>
      </c>
      <c r="J2422" s="5" t="str">
        <f t="shared" si="74"/>
        <v>AI provisional</v>
      </c>
      <c r="K2422" s="5" t="str">
        <f t="shared" si="75"/>
        <v>Y</v>
      </c>
      <c r="L2422" s="5" t="s">
        <v>1734</v>
      </c>
      <c r="M2422" s="5" t="s">
        <v>7819</v>
      </c>
      <c r="N2422" s="5" t="s">
        <v>7820</v>
      </c>
      <c r="O2422" s="5" t="s">
        <v>2857</v>
      </c>
      <c r="P2422" s="5" t="s">
        <v>2858</v>
      </c>
      <c r="Q2422" s="11">
        <v>46306.5</v>
      </c>
      <c r="R2422" s="6"/>
      <c r="S2422" s="6"/>
      <c r="T2422" s="6"/>
      <c r="U2422" s="5">
        <f>MATCH(B2422,Manual_Review!$A$6:$A$238,0)</f>
        <v>152</v>
      </c>
      <c r="V2422" s="5" t="str">
        <f>IF(INDEX(Manual_Review!$G$6:$G$238,U2422)="","",INDEX(Manual_Review!$G$6:$G$238,U2422))</f>
        <v/>
      </c>
      <c r="W2422" s="11" t="str">
        <f>IF(INDEX(Manual_Review!$H$6:$H$238,U2422)="","",INDEX(Manual_Review!$H$6:$H$238,U2422))</f>
        <v/>
      </c>
      <c r="X2422" s="5" t="str">
        <f>IF(INDEX(Manual_Review!$I$6:$I$238,U2422)="","",INDEX(Manual_Review!$I$6:$I$238,U2422))</f>
        <v/>
      </c>
      <c r="Y2422" s="5" t="s">
        <v>2859</v>
      </c>
    </row>
    <row r="2423" spans="1:25" ht="25.5">
      <c r="A2423" s="5" t="s">
        <v>7821</v>
      </c>
      <c r="B2423" s="5" t="s">
        <v>1727</v>
      </c>
      <c r="C2423" s="5" t="s">
        <v>1728</v>
      </c>
      <c r="D2423" s="5" t="s">
        <v>118</v>
      </c>
      <c r="E2423" s="5" t="s">
        <v>2782</v>
      </c>
      <c r="F2423" s="5" t="s">
        <v>2754</v>
      </c>
      <c r="G2423" s="5">
        <v>1</v>
      </c>
      <c r="H2423" s="5" t="s">
        <v>2854</v>
      </c>
      <c r="I2423" s="5" t="str">
        <f>IF(INDEX(Manual_Review!$L$6:$L$238,U2423)="","",INDEX(Manual_Review!$L$6:$L$238,U2423))</f>
        <v/>
      </c>
      <c r="J2423" s="5" t="str">
        <f t="shared" si="74"/>
        <v>AI provisional</v>
      </c>
      <c r="K2423" s="5" t="str">
        <f t="shared" si="75"/>
        <v>Y</v>
      </c>
      <c r="L2423" s="5" t="s">
        <v>1734</v>
      </c>
      <c r="M2423" s="5" t="s">
        <v>7822</v>
      </c>
      <c r="N2423" s="5" t="s">
        <v>7820</v>
      </c>
      <c r="O2423" s="5" t="s">
        <v>2862</v>
      </c>
      <c r="P2423" s="5" t="s">
        <v>2858</v>
      </c>
      <c r="Q2423" s="11">
        <v>46306.5</v>
      </c>
      <c r="R2423" s="6"/>
      <c r="S2423" s="6"/>
      <c r="T2423" s="6"/>
      <c r="U2423" s="5">
        <f>MATCH(B2423,Manual_Review!$A$6:$A$238,0)</f>
        <v>152</v>
      </c>
      <c r="V2423" s="5" t="str">
        <f>IF(INDEX(Manual_Review!$G$6:$G$238,U2423)="","",INDEX(Manual_Review!$G$6:$G$238,U2423))</f>
        <v/>
      </c>
      <c r="W2423" s="11" t="str">
        <f>IF(INDEX(Manual_Review!$H$6:$H$238,U2423)="","",INDEX(Manual_Review!$H$6:$H$238,U2423))</f>
        <v/>
      </c>
      <c r="X2423" s="5" t="str">
        <f>IF(INDEX(Manual_Review!$I$6:$I$238,U2423)="","",INDEX(Manual_Review!$I$6:$I$238,U2423))</f>
        <v/>
      </c>
      <c r="Y2423" s="5" t="s">
        <v>2859</v>
      </c>
    </row>
    <row r="2424" spans="1:25" ht="25.5">
      <c r="A2424" s="5" t="s">
        <v>7823</v>
      </c>
      <c r="B2424" s="5" t="s">
        <v>1727</v>
      </c>
      <c r="C2424" s="5" t="s">
        <v>1728</v>
      </c>
      <c r="D2424" s="5" t="s">
        <v>118</v>
      </c>
      <c r="E2424" s="5" t="s">
        <v>2783</v>
      </c>
      <c r="F2424" s="5" t="s">
        <v>2754</v>
      </c>
      <c r="G2424" s="5">
        <v>1</v>
      </c>
      <c r="H2424" s="5" t="s">
        <v>2854</v>
      </c>
      <c r="I2424" s="5" t="str">
        <f>IF(INDEX(Manual_Review!$M$6:$M$238,U2424)="","",INDEX(Manual_Review!$M$6:$M$238,U2424))</f>
        <v/>
      </c>
      <c r="J2424" s="5" t="str">
        <f t="shared" si="74"/>
        <v>AI provisional</v>
      </c>
      <c r="K2424" s="5" t="str">
        <f t="shared" si="75"/>
        <v>Y</v>
      </c>
      <c r="L2424" s="5" t="s">
        <v>1734</v>
      </c>
      <c r="M2424" s="5" t="s">
        <v>7824</v>
      </c>
      <c r="N2424" s="5" t="s">
        <v>7820</v>
      </c>
      <c r="O2424" s="5" t="s">
        <v>3133</v>
      </c>
      <c r="P2424" s="5" t="s">
        <v>2858</v>
      </c>
      <c r="Q2424" s="11">
        <v>46306.5</v>
      </c>
      <c r="R2424" s="6"/>
      <c r="S2424" s="6"/>
      <c r="T2424" s="6"/>
      <c r="U2424" s="5">
        <f>MATCH(B2424,Manual_Review!$A$6:$A$238,0)</f>
        <v>152</v>
      </c>
      <c r="V2424" s="5" t="str">
        <f>IF(INDEX(Manual_Review!$G$6:$G$238,U2424)="","",INDEX(Manual_Review!$G$6:$G$238,U2424))</f>
        <v/>
      </c>
      <c r="W2424" s="11" t="str">
        <f>IF(INDEX(Manual_Review!$H$6:$H$238,U2424)="","",INDEX(Manual_Review!$H$6:$H$238,U2424))</f>
        <v/>
      </c>
      <c r="X2424" s="5" t="str">
        <f>IF(INDEX(Manual_Review!$I$6:$I$238,U2424)="","",INDEX(Manual_Review!$I$6:$I$238,U2424))</f>
        <v/>
      </c>
      <c r="Y2424" s="5" t="s">
        <v>2859</v>
      </c>
    </row>
    <row r="2425" spans="1:25" ht="25.5">
      <c r="A2425" s="5" t="s">
        <v>7825</v>
      </c>
      <c r="B2425" s="5" t="s">
        <v>1727</v>
      </c>
      <c r="C2425" s="5" t="s">
        <v>1728</v>
      </c>
      <c r="D2425" s="5" t="s">
        <v>118</v>
      </c>
      <c r="E2425" s="5" t="s">
        <v>2784</v>
      </c>
      <c r="F2425" s="5" t="s">
        <v>2756</v>
      </c>
      <c r="G2425" s="5">
        <v>1</v>
      </c>
      <c r="H2425" s="5" t="s">
        <v>2854</v>
      </c>
      <c r="I2425" s="5" t="str">
        <f>IF(INDEX(Manual_Review!$N$6:$N$238,U2425)="","",INDEX(Manual_Review!$N$6:$N$238,U2425))</f>
        <v/>
      </c>
      <c r="J2425" s="5" t="str">
        <f t="shared" si="74"/>
        <v>AI provisional</v>
      </c>
      <c r="K2425" s="5" t="str">
        <f t="shared" si="75"/>
        <v>Y</v>
      </c>
      <c r="L2425" s="5" t="s">
        <v>1734</v>
      </c>
      <c r="M2425" s="5" t="s">
        <v>7826</v>
      </c>
      <c r="N2425" s="5" t="s">
        <v>7820</v>
      </c>
      <c r="O2425" s="5" t="s">
        <v>2963</v>
      </c>
      <c r="P2425" s="5" t="s">
        <v>2858</v>
      </c>
      <c r="Q2425" s="11">
        <v>46306.5</v>
      </c>
      <c r="R2425" s="6"/>
      <c r="S2425" s="6"/>
      <c r="T2425" s="6"/>
      <c r="U2425" s="5">
        <f>MATCH(B2425,Manual_Review!$A$6:$A$238,0)</f>
        <v>152</v>
      </c>
      <c r="V2425" s="5" t="str">
        <f>IF(INDEX(Manual_Review!$G$6:$G$238,U2425)="","",INDEX(Manual_Review!$G$6:$G$238,U2425))</f>
        <v/>
      </c>
      <c r="W2425" s="11" t="str">
        <f>IF(INDEX(Manual_Review!$H$6:$H$238,U2425)="","",INDEX(Manual_Review!$H$6:$H$238,U2425))</f>
        <v/>
      </c>
      <c r="X2425" s="5" t="str">
        <f>IF(INDEX(Manual_Review!$I$6:$I$238,U2425)="","",INDEX(Manual_Review!$I$6:$I$238,U2425))</f>
        <v/>
      </c>
      <c r="Y2425" s="5" t="s">
        <v>2859</v>
      </c>
    </row>
    <row r="2426" spans="1:25" ht="25.5">
      <c r="A2426" s="5" t="s">
        <v>7827</v>
      </c>
      <c r="B2426" s="5" t="s">
        <v>1727</v>
      </c>
      <c r="C2426" s="5" t="s">
        <v>1728</v>
      </c>
      <c r="D2426" s="5" t="s">
        <v>118</v>
      </c>
      <c r="E2426" s="5" t="s">
        <v>2785</v>
      </c>
      <c r="F2426" s="5" t="s">
        <v>2756</v>
      </c>
      <c r="G2426" s="5">
        <v>1</v>
      </c>
      <c r="H2426" s="5" t="s">
        <v>2864</v>
      </c>
      <c r="I2426" s="5" t="str">
        <f>IF(INDEX(Manual_Review!$O$6:$O$238,U2426)="","",INDEX(Manual_Review!$O$6:$O$238,U2426))</f>
        <v/>
      </c>
      <c r="J2426" s="5" t="str">
        <f t="shared" si="74"/>
        <v>AI provisional</v>
      </c>
      <c r="K2426" s="5" t="str">
        <f t="shared" si="75"/>
        <v>U</v>
      </c>
      <c r="L2426" s="5" t="s">
        <v>1734</v>
      </c>
      <c r="M2426" s="5" t="s">
        <v>7828</v>
      </c>
      <c r="N2426" s="5" t="s">
        <v>7820</v>
      </c>
      <c r="O2426" s="5" t="s">
        <v>2872</v>
      </c>
      <c r="P2426" s="5" t="s">
        <v>2858</v>
      </c>
      <c r="Q2426" s="11">
        <v>46306.5</v>
      </c>
      <c r="R2426" s="6"/>
      <c r="S2426" s="6"/>
      <c r="T2426" s="6"/>
      <c r="U2426" s="5">
        <f>MATCH(B2426,Manual_Review!$A$6:$A$238,0)</f>
        <v>152</v>
      </c>
      <c r="V2426" s="5" t="str">
        <f>IF(INDEX(Manual_Review!$G$6:$G$238,U2426)="","",INDEX(Manual_Review!$G$6:$G$238,U2426))</f>
        <v/>
      </c>
      <c r="W2426" s="11" t="str">
        <f>IF(INDEX(Manual_Review!$H$6:$H$238,U2426)="","",INDEX(Manual_Review!$H$6:$H$238,U2426))</f>
        <v/>
      </c>
      <c r="X2426" s="5" t="str">
        <f>IF(INDEX(Manual_Review!$I$6:$I$238,U2426)="","",INDEX(Manual_Review!$I$6:$I$238,U2426))</f>
        <v/>
      </c>
      <c r="Y2426" s="5" t="s">
        <v>2859</v>
      </c>
    </row>
    <row r="2427" spans="1:25" ht="25.5">
      <c r="A2427" s="5" t="s">
        <v>7829</v>
      </c>
      <c r="B2427" s="5" t="s">
        <v>1727</v>
      </c>
      <c r="C2427" s="5" t="s">
        <v>1728</v>
      </c>
      <c r="D2427" s="5" t="s">
        <v>118</v>
      </c>
      <c r="E2427" s="5" t="s">
        <v>2786</v>
      </c>
      <c r="F2427" s="5" t="s">
        <v>2756</v>
      </c>
      <c r="G2427" s="5">
        <v>1</v>
      </c>
      <c r="H2427" s="5" t="s">
        <v>2864</v>
      </c>
      <c r="I2427" s="5" t="str">
        <f>IF(INDEX(Manual_Review!$P$6:$P$238,U2427)="","",INDEX(Manual_Review!$P$6:$P$238,U2427))</f>
        <v/>
      </c>
      <c r="J2427" s="5" t="str">
        <f t="shared" si="74"/>
        <v>AI provisional</v>
      </c>
      <c r="K2427" s="5" t="str">
        <f t="shared" si="75"/>
        <v>U</v>
      </c>
      <c r="L2427" s="5" t="s">
        <v>1734</v>
      </c>
      <c r="M2427" s="5" t="s">
        <v>7830</v>
      </c>
      <c r="N2427" s="5" t="s">
        <v>7820</v>
      </c>
      <c r="O2427" s="5" t="s">
        <v>2874</v>
      </c>
      <c r="P2427" s="5" t="s">
        <v>2858</v>
      </c>
      <c r="Q2427" s="11">
        <v>46306.5</v>
      </c>
      <c r="R2427" s="6"/>
      <c r="S2427" s="6"/>
      <c r="T2427" s="6"/>
      <c r="U2427" s="5">
        <f>MATCH(B2427,Manual_Review!$A$6:$A$238,0)</f>
        <v>152</v>
      </c>
      <c r="V2427" s="5" t="str">
        <f>IF(INDEX(Manual_Review!$G$6:$G$238,U2427)="","",INDEX(Manual_Review!$G$6:$G$238,U2427))</f>
        <v/>
      </c>
      <c r="W2427" s="11" t="str">
        <f>IF(INDEX(Manual_Review!$H$6:$H$238,U2427)="","",INDEX(Manual_Review!$H$6:$H$238,U2427))</f>
        <v/>
      </c>
      <c r="X2427" s="5" t="str">
        <f>IF(INDEX(Manual_Review!$I$6:$I$238,U2427)="","",INDEX(Manual_Review!$I$6:$I$238,U2427))</f>
        <v/>
      </c>
      <c r="Y2427" s="5" t="s">
        <v>2859</v>
      </c>
    </row>
    <row r="2428" spans="1:25" ht="25.5">
      <c r="A2428" s="5" t="s">
        <v>7831</v>
      </c>
      <c r="B2428" s="5" t="s">
        <v>1727</v>
      </c>
      <c r="C2428" s="5" t="s">
        <v>1728</v>
      </c>
      <c r="D2428" s="5" t="s">
        <v>118</v>
      </c>
      <c r="E2428" s="5" t="s">
        <v>2787</v>
      </c>
      <c r="F2428" s="5" t="s">
        <v>2758</v>
      </c>
      <c r="G2428" s="5">
        <v>1</v>
      </c>
      <c r="H2428" s="5" t="s">
        <v>2854</v>
      </c>
      <c r="I2428" s="5" t="str">
        <f>IF(INDEX(Manual_Review!$Q$6:$Q$238,U2428)="","",INDEX(Manual_Review!$Q$6:$Q$238,U2428))</f>
        <v/>
      </c>
      <c r="J2428" s="5" t="str">
        <f t="shared" si="74"/>
        <v>AI provisional</v>
      </c>
      <c r="K2428" s="5" t="str">
        <f t="shared" si="75"/>
        <v>Y</v>
      </c>
      <c r="L2428" s="5" t="s">
        <v>1734</v>
      </c>
      <c r="M2428" s="5" t="s">
        <v>7832</v>
      </c>
      <c r="N2428" s="5" t="s">
        <v>7820</v>
      </c>
      <c r="O2428" s="5" t="s">
        <v>2969</v>
      </c>
      <c r="P2428" s="5" t="s">
        <v>2858</v>
      </c>
      <c r="Q2428" s="11">
        <v>46306.5</v>
      </c>
      <c r="R2428" s="6"/>
      <c r="S2428" s="6"/>
      <c r="T2428" s="6"/>
      <c r="U2428" s="5">
        <f>MATCH(B2428,Manual_Review!$A$6:$A$238,0)</f>
        <v>152</v>
      </c>
      <c r="V2428" s="5" t="str">
        <f>IF(INDEX(Manual_Review!$G$6:$G$238,U2428)="","",INDEX(Manual_Review!$G$6:$G$238,U2428))</f>
        <v/>
      </c>
      <c r="W2428" s="11" t="str">
        <f>IF(INDEX(Manual_Review!$H$6:$H$238,U2428)="","",INDEX(Manual_Review!$H$6:$H$238,U2428))</f>
        <v/>
      </c>
      <c r="X2428" s="5" t="str">
        <f>IF(INDEX(Manual_Review!$I$6:$I$238,U2428)="","",INDEX(Manual_Review!$I$6:$I$238,U2428))</f>
        <v/>
      </c>
      <c r="Y2428" s="5" t="s">
        <v>2859</v>
      </c>
    </row>
    <row r="2429" spans="1:25" ht="25.5">
      <c r="A2429" s="5" t="s">
        <v>7833</v>
      </c>
      <c r="B2429" s="5" t="s">
        <v>1727</v>
      </c>
      <c r="C2429" s="5" t="s">
        <v>1728</v>
      </c>
      <c r="D2429" s="5" t="s">
        <v>118</v>
      </c>
      <c r="E2429" s="5" t="s">
        <v>2788</v>
      </c>
      <c r="F2429" s="5" t="s">
        <v>2758</v>
      </c>
      <c r="G2429" s="5">
        <v>1</v>
      </c>
      <c r="H2429" s="5" t="s">
        <v>2864</v>
      </c>
      <c r="I2429" s="5" t="str">
        <f>IF(INDEX(Manual_Review!$R$6:$R$238,U2429)="","",INDEX(Manual_Review!$R$6:$R$238,U2429))</f>
        <v/>
      </c>
      <c r="J2429" s="5" t="str">
        <f t="shared" si="74"/>
        <v>AI provisional</v>
      </c>
      <c r="K2429" s="5" t="str">
        <f t="shared" si="75"/>
        <v>U</v>
      </c>
      <c r="L2429" s="5" t="s">
        <v>1734</v>
      </c>
      <c r="M2429" s="5" t="s">
        <v>7834</v>
      </c>
      <c r="N2429" s="5" t="s">
        <v>7820</v>
      </c>
      <c r="O2429" s="5" t="s">
        <v>2880</v>
      </c>
      <c r="P2429" s="5" t="s">
        <v>2858</v>
      </c>
      <c r="Q2429" s="11">
        <v>46306.5</v>
      </c>
      <c r="R2429" s="6"/>
      <c r="S2429" s="6"/>
      <c r="T2429" s="6"/>
      <c r="U2429" s="5">
        <f>MATCH(B2429,Manual_Review!$A$6:$A$238,0)</f>
        <v>152</v>
      </c>
      <c r="V2429" s="5" t="str">
        <f>IF(INDEX(Manual_Review!$G$6:$G$238,U2429)="","",INDEX(Manual_Review!$G$6:$G$238,U2429))</f>
        <v/>
      </c>
      <c r="W2429" s="11" t="str">
        <f>IF(INDEX(Manual_Review!$H$6:$H$238,U2429)="","",INDEX(Manual_Review!$H$6:$H$238,U2429))</f>
        <v/>
      </c>
      <c r="X2429" s="5" t="str">
        <f>IF(INDEX(Manual_Review!$I$6:$I$238,U2429)="","",INDEX(Manual_Review!$I$6:$I$238,U2429))</f>
        <v/>
      </c>
      <c r="Y2429" s="5" t="s">
        <v>2859</v>
      </c>
    </row>
    <row r="2430" spans="1:25" ht="25.5">
      <c r="A2430" s="5" t="s">
        <v>7835</v>
      </c>
      <c r="B2430" s="5" t="s">
        <v>1727</v>
      </c>
      <c r="C2430" s="5" t="s">
        <v>1728</v>
      </c>
      <c r="D2430" s="5" t="s">
        <v>118</v>
      </c>
      <c r="E2430" s="5" t="s">
        <v>2789</v>
      </c>
      <c r="F2430" s="5" t="s">
        <v>2758</v>
      </c>
      <c r="G2430" s="5">
        <v>1</v>
      </c>
      <c r="H2430" s="5" t="s">
        <v>2864</v>
      </c>
      <c r="I2430" s="5" t="str">
        <f>IF(INDEX(Manual_Review!$S$6:$S$238,U2430)="","",INDEX(Manual_Review!$S$6:$S$238,U2430))</f>
        <v/>
      </c>
      <c r="J2430" s="5" t="str">
        <f t="shared" si="74"/>
        <v>AI provisional</v>
      </c>
      <c r="K2430" s="5" t="str">
        <f t="shared" si="75"/>
        <v>U</v>
      </c>
      <c r="L2430" s="5" t="s">
        <v>1734</v>
      </c>
      <c r="M2430" s="5" t="s">
        <v>7836</v>
      </c>
      <c r="N2430" s="5" t="s">
        <v>7820</v>
      </c>
      <c r="O2430" s="5" t="s">
        <v>2883</v>
      </c>
      <c r="P2430" s="5" t="s">
        <v>2858</v>
      </c>
      <c r="Q2430" s="11">
        <v>46306.5</v>
      </c>
      <c r="R2430" s="6"/>
      <c r="S2430" s="6"/>
      <c r="T2430" s="6"/>
      <c r="U2430" s="5">
        <f>MATCH(B2430,Manual_Review!$A$6:$A$238,0)</f>
        <v>152</v>
      </c>
      <c r="V2430" s="5" t="str">
        <f>IF(INDEX(Manual_Review!$G$6:$G$238,U2430)="","",INDEX(Manual_Review!$G$6:$G$238,U2430))</f>
        <v/>
      </c>
      <c r="W2430" s="11" t="str">
        <f>IF(INDEX(Manual_Review!$H$6:$H$238,U2430)="","",INDEX(Manual_Review!$H$6:$H$238,U2430))</f>
        <v/>
      </c>
      <c r="X2430" s="5" t="str">
        <f>IF(INDEX(Manual_Review!$I$6:$I$238,U2430)="","",INDEX(Manual_Review!$I$6:$I$238,U2430))</f>
        <v/>
      </c>
      <c r="Y2430" s="5" t="s">
        <v>2859</v>
      </c>
    </row>
    <row r="2431" spans="1:25" ht="25.5">
      <c r="A2431" s="5" t="s">
        <v>7837</v>
      </c>
      <c r="B2431" s="5" t="s">
        <v>1727</v>
      </c>
      <c r="C2431" s="5" t="s">
        <v>1728</v>
      </c>
      <c r="D2431" s="5" t="s">
        <v>118</v>
      </c>
      <c r="E2431" s="5" t="s">
        <v>2790</v>
      </c>
      <c r="F2431" s="5" t="s">
        <v>2760</v>
      </c>
      <c r="G2431" s="5">
        <v>1</v>
      </c>
      <c r="H2431" s="5" t="s">
        <v>2908</v>
      </c>
      <c r="I2431" s="5" t="str">
        <f>IF(INDEX(Manual_Review!$T$6:$T$238,U2431)="","",INDEX(Manual_Review!$T$6:$T$238,U2431))</f>
        <v/>
      </c>
      <c r="J2431" s="5" t="str">
        <f t="shared" si="74"/>
        <v>AI provisional</v>
      </c>
      <c r="K2431" s="5" t="str">
        <f t="shared" si="75"/>
        <v>X</v>
      </c>
      <c r="L2431" s="5" t="s">
        <v>1734</v>
      </c>
      <c r="M2431" s="5" t="s">
        <v>7838</v>
      </c>
      <c r="N2431" s="5" t="s">
        <v>7820</v>
      </c>
      <c r="O2431" s="5" t="s">
        <v>7839</v>
      </c>
      <c r="P2431" s="5" t="s">
        <v>2858</v>
      </c>
      <c r="Q2431" s="11">
        <v>46306.5</v>
      </c>
      <c r="R2431" s="6"/>
      <c r="S2431" s="6"/>
      <c r="T2431" s="6"/>
      <c r="U2431" s="5">
        <f>MATCH(B2431,Manual_Review!$A$6:$A$238,0)</f>
        <v>152</v>
      </c>
      <c r="V2431" s="5" t="str">
        <f>IF(INDEX(Manual_Review!$G$6:$G$238,U2431)="","",INDEX(Manual_Review!$G$6:$G$238,U2431))</f>
        <v/>
      </c>
      <c r="W2431" s="11" t="str">
        <f>IF(INDEX(Manual_Review!$H$6:$H$238,U2431)="","",INDEX(Manual_Review!$H$6:$H$238,U2431))</f>
        <v/>
      </c>
      <c r="X2431" s="5" t="str">
        <f>IF(INDEX(Manual_Review!$I$6:$I$238,U2431)="","",INDEX(Manual_Review!$I$6:$I$238,U2431))</f>
        <v/>
      </c>
      <c r="Y2431" s="5" t="s">
        <v>2859</v>
      </c>
    </row>
    <row r="2432" spans="1:25" ht="25.5">
      <c r="A2432" s="5" t="s">
        <v>7840</v>
      </c>
      <c r="B2432" s="5" t="s">
        <v>1727</v>
      </c>
      <c r="C2432" s="5" t="s">
        <v>1728</v>
      </c>
      <c r="D2432" s="5" t="s">
        <v>118</v>
      </c>
      <c r="E2432" s="5" t="s">
        <v>2791</v>
      </c>
      <c r="F2432" s="5" t="s">
        <v>2760</v>
      </c>
      <c r="G2432" s="5">
        <v>1</v>
      </c>
      <c r="H2432" s="5" t="s">
        <v>2854</v>
      </c>
      <c r="I2432" s="5" t="str">
        <f>IF(INDEX(Manual_Review!$U$6:$U$238,U2432)="","",INDEX(Manual_Review!$U$6:$U$238,U2432))</f>
        <v/>
      </c>
      <c r="J2432" s="5" t="str">
        <f t="shared" si="74"/>
        <v>AI provisional</v>
      </c>
      <c r="K2432" s="5" t="str">
        <f t="shared" si="75"/>
        <v>Y</v>
      </c>
      <c r="L2432" s="5" t="s">
        <v>1734</v>
      </c>
      <c r="M2432" s="5" t="s">
        <v>7841</v>
      </c>
      <c r="N2432" s="5" t="s">
        <v>7820</v>
      </c>
      <c r="O2432" s="5" t="s">
        <v>3380</v>
      </c>
      <c r="P2432" s="5" t="s">
        <v>2858</v>
      </c>
      <c r="Q2432" s="11">
        <v>46306.5</v>
      </c>
      <c r="R2432" s="6"/>
      <c r="S2432" s="6"/>
      <c r="T2432" s="6"/>
      <c r="U2432" s="5">
        <f>MATCH(B2432,Manual_Review!$A$6:$A$238,0)</f>
        <v>152</v>
      </c>
      <c r="V2432" s="5" t="str">
        <f>IF(INDEX(Manual_Review!$G$6:$G$238,U2432)="","",INDEX(Manual_Review!$G$6:$G$238,U2432))</f>
        <v/>
      </c>
      <c r="W2432" s="11" t="str">
        <f>IF(INDEX(Manual_Review!$H$6:$H$238,U2432)="","",INDEX(Manual_Review!$H$6:$H$238,U2432))</f>
        <v/>
      </c>
      <c r="X2432" s="5" t="str">
        <f>IF(INDEX(Manual_Review!$I$6:$I$238,U2432)="","",INDEX(Manual_Review!$I$6:$I$238,U2432))</f>
        <v/>
      </c>
      <c r="Y2432" s="5" t="s">
        <v>2859</v>
      </c>
    </row>
    <row r="2433" spans="1:25" ht="25.5">
      <c r="A2433" s="5" t="s">
        <v>7842</v>
      </c>
      <c r="B2433" s="5" t="s">
        <v>1727</v>
      </c>
      <c r="C2433" s="5" t="s">
        <v>1728</v>
      </c>
      <c r="D2433" s="5" t="s">
        <v>118</v>
      </c>
      <c r="E2433" s="5" t="s">
        <v>2792</v>
      </c>
      <c r="F2433" s="5" t="s">
        <v>2762</v>
      </c>
      <c r="G2433" s="5">
        <v>1</v>
      </c>
      <c r="H2433" s="5" t="s">
        <v>2864</v>
      </c>
      <c r="I2433" s="5" t="str">
        <f>IF(INDEX(Manual_Review!$V$6:$V$238,U2433)="","",INDEX(Manual_Review!$V$6:$V$238,U2433))</f>
        <v/>
      </c>
      <c r="J2433" s="5" t="str">
        <f t="shared" si="74"/>
        <v>AI provisional</v>
      </c>
      <c r="K2433" s="5" t="str">
        <f t="shared" si="75"/>
        <v>U</v>
      </c>
      <c r="L2433" s="5" t="s">
        <v>1734</v>
      </c>
      <c r="M2433" s="5" t="s">
        <v>7843</v>
      </c>
      <c r="N2433" s="5" t="s">
        <v>7820</v>
      </c>
      <c r="O2433" s="5" t="s">
        <v>2891</v>
      </c>
      <c r="P2433" s="5" t="s">
        <v>2858</v>
      </c>
      <c r="Q2433" s="11">
        <v>46306.5</v>
      </c>
      <c r="R2433" s="6"/>
      <c r="S2433" s="6"/>
      <c r="T2433" s="6"/>
      <c r="U2433" s="5">
        <f>MATCH(B2433,Manual_Review!$A$6:$A$238,0)</f>
        <v>152</v>
      </c>
      <c r="V2433" s="5" t="str">
        <f>IF(INDEX(Manual_Review!$G$6:$G$238,U2433)="","",INDEX(Manual_Review!$G$6:$G$238,U2433))</f>
        <v/>
      </c>
      <c r="W2433" s="11" t="str">
        <f>IF(INDEX(Manual_Review!$H$6:$H$238,U2433)="","",INDEX(Manual_Review!$H$6:$H$238,U2433))</f>
        <v/>
      </c>
      <c r="X2433" s="5" t="str">
        <f>IF(INDEX(Manual_Review!$I$6:$I$238,U2433)="","",INDEX(Manual_Review!$I$6:$I$238,U2433))</f>
        <v/>
      </c>
      <c r="Y2433" s="5" t="s">
        <v>2859</v>
      </c>
    </row>
    <row r="2434" spans="1:25" ht="25.5">
      <c r="A2434" s="5" t="s">
        <v>7844</v>
      </c>
      <c r="B2434" s="5" t="s">
        <v>1727</v>
      </c>
      <c r="C2434" s="5" t="s">
        <v>1728</v>
      </c>
      <c r="D2434" s="5" t="s">
        <v>118</v>
      </c>
      <c r="E2434" s="5" t="s">
        <v>2793</v>
      </c>
      <c r="F2434" s="5" t="s">
        <v>2762</v>
      </c>
      <c r="G2434" s="5">
        <v>1</v>
      </c>
      <c r="H2434" s="5" t="s">
        <v>2864</v>
      </c>
      <c r="I2434" s="5" t="str">
        <f>IF(INDEX(Manual_Review!$W$6:$W$238,U2434)="","",INDEX(Manual_Review!$W$6:$W$238,U2434))</f>
        <v/>
      </c>
      <c r="J2434" s="5" t="str">
        <f t="shared" si="74"/>
        <v>AI provisional</v>
      </c>
      <c r="K2434" s="5" t="str">
        <f t="shared" si="75"/>
        <v>U</v>
      </c>
      <c r="L2434" s="5" t="s">
        <v>1734</v>
      </c>
      <c r="M2434" s="5" t="s">
        <v>7845</v>
      </c>
      <c r="N2434" s="5" t="s">
        <v>7820</v>
      </c>
      <c r="O2434" s="5" t="s">
        <v>2893</v>
      </c>
      <c r="P2434" s="5" t="s">
        <v>2858</v>
      </c>
      <c r="Q2434" s="11">
        <v>46306.5</v>
      </c>
      <c r="R2434" s="6"/>
      <c r="S2434" s="6"/>
      <c r="T2434" s="6"/>
      <c r="U2434" s="5">
        <f>MATCH(B2434,Manual_Review!$A$6:$A$238,0)</f>
        <v>152</v>
      </c>
      <c r="V2434" s="5" t="str">
        <f>IF(INDEX(Manual_Review!$G$6:$G$238,U2434)="","",INDEX(Manual_Review!$G$6:$G$238,U2434))</f>
        <v/>
      </c>
      <c r="W2434" s="11" t="str">
        <f>IF(INDEX(Manual_Review!$H$6:$H$238,U2434)="","",INDEX(Manual_Review!$H$6:$H$238,U2434))</f>
        <v/>
      </c>
      <c r="X2434" s="5" t="str">
        <f>IF(INDEX(Manual_Review!$I$6:$I$238,U2434)="","",INDEX(Manual_Review!$I$6:$I$238,U2434))</f>
        <v/>
      </c>
      <c r="Y2434" s="5" t="s">
        <v>2859</v>
      </c>
    </row>
    <row r="2435" spans="1:25" ht="25.5">
      <c r="A2435" s="5" t="s">
        <v>7846</v>
      </c>
      <c r="B2435" s="5" t="s">
        <v>1727</v>
      </c>
      <c r="C2435" s="5" t="s">
        <v>1728</v>
      </c>
      <c r="D2435" s="5" t="s">
        <v>118</v>
      </c>
      <c r="E2435" s="5" t="s">
        <v>2794</v>
      </c>
      <c r="F2435" s="5" t="s">
        <v>2764</v>
      </c>
      <c r="G2435" s="5">
        <v>1</v>
      </c>
      <c r="H2435" s="5" t="s">
        <v>2864</v>
      </c>
      <c r="I2435" s="5" t="str">
        <f>IF(INDEX(Manual_Review!$X$6:$X$238,U2435)="","",INDEX(Manual_Review!$X$6:$X$238,U2435))</f>
        <v/>
      </c>
      <c r="J2435" s="5" t="str">
        <f t="shared" si="74"/>
        <v>AI provisional</v>
      </c>
      <c r="K2435" s="5" t="str">
        <f t="shared" si="75"/>
        <v>U</v>
      </c>
      <c r="L2435" s="5" t="s">
        <v>1734</v>
      </c>
      <c r="M2435" s="5" t="s">
        <v>7843</v>
      </c>
      <c r="N2435" s="5" t="s">
        <v>7820</v>
      </c>
      <c r="O2435" s="5" t="s">
        <v>2895</v>
      </c>
      <c r="P2435" s="5" t="s">
        <v>2858</v>
      </c>
      <c r="Q2435" s="11">
        <v>46306.5</v>
      </c>
      <c r="R2435" s="6"/>
      <c r="S2435" s="6"/>
      <c r="T2435" s="6"/>
      <c r="U2435" s="5">
        <f>MATCH(B2435,Manual_Review!$A$6:$A$238,0)</f>
        <v>152</v>
      </c>
      <c r="V2435" s="5" t="str">
        <f>IF(INDEX(Manual_Review!$G$6:$G$238,U2435)="","",INDEX(Manual_Review!$G$6:$G$238,U2435))</f>
        <v/>
      </c>
      <c r="W2435" s="11" t="str">
        <f>IF(INDEX(Manual_Review!$H$6:$H$238,U2435)="","",INDEX(Manual_Review!$H$6:$H$238,U2435))</f>
        <v/>
      </c>
      <c r="X2435" s="5" t="str">
        <f>IF(INDEX(Manual_Review!$I$6:$I$238,U2435)="","",INDEX(Manual_Review!$I$6:$I$238,U2435))</f>
        <v/>
      </c>
      <c r="Y2435" s="5" t="s">
        <v>2859</v>
      </c>
    </row>
    <row r="2436" spans="1:25" ht="25.5">
      <c r="A2436" s="5" t="s">
        <v>7847</v>
      </c>
      <c r="B2436" s="5" t="s">
        <v>1727</v>
      </c>
      <c r="C2436" s="5" t="s">
        <v>1728</v>
      </c>
      <c r="D2436" s="5" t="s">
        <v>118</v>
      </c>
      <c r="E2436" s="5" t="s">
        <v>2795</v>
      </c>
      <c r="F2436" s="5" t="s">
        <v>2764</v>
      </c>
      <c r="G2436" s="5">
        <v>1</v>
      </c>
      <c r="H2436" s="5" t="s">
        <v>2854</v>
      </c>
      <c r="I2436" s="5" t="str">
        <f>IF(INDEX(Manual_Review!$Y$6:$Y$238,U2436)="","",INDEX(Manual_Review!$Y$6:$Y$238,U2436))</f>
        <v/>
      </c>
      <c r="J2436" s="5" t="str">
        <f t="shared" si="74"/>
        <v>AI provisional</v>
      </c>
      <c r="K2436" s="5" t="str">
        <f t="shared" si="75"/>
        <v>Y</v>
      </c>
      <c r="L2436" s="5" t="s">
        <v>1734</v>
      </c>
      <c r="M2436" s="5" t="s">
        <v>7848</v>
      </c>
      <c r="N2436" s="5" t="s">
        <v>7820</v>
      </c>
      <c r="O2436" s="5" t="s">
        <v>3082</v>
      </c>
      <c r="P2436" s="5" t="s">
        <v>2858</v>
      </c>
      <c r="Q2436" s="11">
        <v>46306.5</v>
      </c>
      <c r="R2436" s="6"/>
      <c r="S2436" s="6"/>
      <c r="T2436" s="6"/>
      <c r="U2436" s="5">
        <f>MATCH(B2436,Manual_Review!$A$6:$A$238,0)</f>
        <v>152</v>
      </c>
      <c r="V2436" s="5" t="str">
        <f>IF(INDEX(Manual_Review!$G$6:$G$238,U2436)="","",INDEX(Manual_Review!$G$6:$G$238,U2436))</f>
        <v/>
      </c>
      <c r="W2436" s="11" t="str">
        <f>IF(INDEX(Manual_Review!$H$6:$H$238,U2436)="","",INDEX(Manual_Review!$H$6:$H$238,U2436))</f>
        <v/>
      </c>
      <c r="X2436" s="5" t="str">
        <f>IF(INDEX(Manual_Review!$I$6:$I$238,U2436)="","",INDEX(Manual_Review!$I$6:$I$238,U2436))</f>
        <v/>
      </c>
      <c r="Y2436" s="5" t="s">
        <v>2859</v>
      </c>
    </row>
    <row r="2437" spans="1:25" ht="25.5">
      <c r="A2437" s="5" t="s">
        <v>7849</v>
      </c>
      <c r="B2437" s="5" t="s">
        <v>1727</v>
      </c>
      <c r="C2437" s="5" t="s">
        <v>1728</v>
      </c>
      <c r="D2437" s="5" t="s">
        <v>118</v>
      </c>
      <c r="E2437" s="5" t="s">
        <v>2796</v>
      </c>
      <c r="F2437" s="5" t="s">
        <v>2764</v>
      </c>
      <c r="G2437" s="5">
        <v>1</v>
      </c>
      <c r="H2437" s="5" t="s">
        <v>2854</v>
      </c>
      <c r="I2437" s="5" t="str">
        <f>IF(INDEX(Manual_Review!$Z$6:$Z$238,U2437)="","",INDEX(Manual_Review!$Z$6:$Z$238,U2437))</f>
        <v/>
      </c>
      <c r="J2437" s="5" t="str">
        <f t="shared" si="74"/>
        <v>AI provisional</v>
      </c>
      <c r="K2437" s="5" t="str">
        <f t="shared" si="75"/>
        <v>Y</v>
      </c>
      <c r="L2437" s="5" t="s">
        <v>1734</v>
      </c>
      <c r="M2437" s="5" t="s">
        <v>7850</v>
      </c>
      <c r="N2437" s="5" t="s">
        <v>7820</v>
      </c>
      <c r="O2437" s="5" t="s">
        <v>3085</v>
      </c>
      <c r="P2437" s="5" t="s">
        <v>2858</v>
      </c>
      <c r="Q2437" s="11">
        <v>46306.5</v>
      </c>
      <c r="R2437" s="6"/>
      <c r="S2437" s="6"/>
      <c r="T2437" s="6"/>
      <c r="U2437" s="5">
        <f>MATCH(B2437,Manual_Review!$A$6:$A$238,0)</f>
        <v>152</v>
      </c>
      <c r="V2437" s="5" t="str">
        <f>IF(INDEX(Manual_Review!$G$6:$G$238,U2437)="","",INDEX(Manual_Review!$G$6:$G$238,U2437))</f>
        <v/>
      </c>
      <c r="W2437" s="11" t="str">
        <f>IF(INDEX(Manual_Review!$H$6:$H$238,U2437)="","",INDEX(Manual_Review!$H$6:$H$238,U2437))</f>
        <v/>
      </c>
      <c r="X2437" s="5" t="str">
        <f>IF(INDEX(Manual_Review!$I$6:$I$238,U2437)="","",INDEX(Manual_Review!$I$6:$I$238,U2437))</f>
        <v/>
      </c>
      <c r="Y2437" s="5" t="s">
        <v>2859</v>
      </c>
    </row>
    <row r="2438" spans="1:25" ht="25.5">
      <c r="A2438" s="5" t="s">
        <v>7851</v>
      </c>
      <c r="B2438" s="5" t="s">
        <v>1736</v>
      </c>
      <c r="C2438" s="5" t="s">
        <v>1737</v>
      </c>
      <c r="D2438" s="5" t="s">
        <v>118</v>
      </c>
      <c r="E2438" s="5" t="s">
        <v>2781</v>
      </c>
      <c r="F2438" s="5" t="s">
        <v>2754</v>
      </c>
      <c r="G2438" s="5">
        <v>1</v>
      </c>
      <c r="H2438" s="5" t="s">
        <v>2854</v>
      </c>
      <c r="I2438" s="5" t="str">
        <f>IF(INDEX(Manual_Review!$K$6:$K$238,U2438)="","",INDEX(Manual_Review!$K$6:$K$238,U2438))</f>
        <v/>
      </c>
      <c r="J2438" s="5" t="str">
        <f t="shared" ref="J2438:J2501" si="76">IF(G2438=0,"Not applicable",IF(I2438="","AI provisional",IF(AND(OR(I2438="Y",I2438="N",I2438="U",I2438="X"),V2438&lt;&gt;"",ISNUMBER(W2438),W2438&gt;0,X2438="Confirmed",R2438&lt;&gt;"",S2438&lt;&gt;"",T2438&lt;&gt;""),"Human valid","Evidence needed")))</f>
        <v>AI provisional</v>
      </c>
      <c r="K2438" s="5" t="str">
        <f t="shared" ref="K2438:K2501" si="77">IF(G2438=0,"N/A",IF(I2438="",H2438,IF(J2438="Human valid",I2438,"U")))</f>
        <v>Y</v>
      </c>
      <c r="L2438" s="5" t="s">
        <v>1744</v>
      </c>
      <c r="M2438" s="5" t="s">
        <v>7852</v>
      </c>
      <c r="N2438" s="5" t="s">
        <v>7853</v>
      </c>
      <c r="O2438" s="5" t="s">
        <v>2857</v>
      </c>
      <c r="P2438" s="5" t="s">
        <v>2858</v>
      </c>
      <c r="Q2438" s="11">
        <v>46306.5</v>
      </c>
      <c r="R2438" s="6"/>
      <c r="S2438" s="6"/>
      <c r="T2438" s="6"/>
      <c r="U2438" s="5">
        <f>MATCH(B2438,Manual_Review!$A$6:$A$238,0)</f>
        <v>153</v>
      </c>
      <c r="V2438" s="5" t="str">
        <f>IF(INDEX(Manual_Review!$G$6:$G$238,U2438)="","",INDEX(Manual_Review!$G$6:$G$238,U2438))</f>
        <v/>
      </c>
      <c r="W2438" s="11" t="str">
        <f>IF(INDEX(Manual_Review!$H$6:$H$238,U2438)="","",INDEX(Manual_Review!$H$6:$H$238,U2438))</f>
        <v/>
      </c>
      <c r="X2438" s="5" t="str">
        <f>IF(INDEX(Manual_Review!$I$6:$I$238,U2438)="","",INDEX(Manual_Review!$I$6:$I$238,U2438))</f>
        <v/>
      </c>
      <c r="Y2438" s="5" t="s">
        <v>2859</v>
      </c>
    </row>
    <row r="2439" spans="1:25" ht="25.5">
      <c r="A2439" s="5" t="s">
        <v>7854</v>
      </c>
      <c r="B2439" s="5" t="s">
        <v>1736</v>
      </c>
      <c r="C2439" s="5" t="s">
        <v>1737</v>
      </c>
      <c r="D2439" s="5" t="s">
        <v>118</v>
      </c>
      <c r="E2439" s="5" t="s">
        <v>2782</v>
      </c>
      <c r="F2439" s="5" t="s">
        <v>2754</v>
      </c>
      <c r="G2439" s="5">
        <v>1</v>
      </c>
      <c r="H2439" s="5" t="s">
        <v>2854</v>
      </c>
      <c r="I2439" s="5" t="str">
        <f>IF(INDEX(Manual_Review!$L$6:$L$238,U2439)="","",INDEX(Manual_Review!$L$6:$L$238,U2439))</f>
        <v/>
      </c>
      <c r="J2439" s="5" t="str">
        <f t="shared" si="76"/>
        <v>AI provisional</v>
      </c>
      <c r="K2439" s="5" t="str">
        <f t="shared" si="77"/>
        <v>Y</v>
      </c>
      <c r="L2439" s="5" t="s">
        <v>1744</v>
      </c>
      <c r="M2439" s="5" t="s">
        <v>7855</v>
      </c>
      <c r="N2439" s="5" t="s">
        <v>7853</v>
      </c>
      <c r="O2439" s="5" t="s">
        <v>2862</v>
      </c>
      <c r="P2439" s="5" t="s">
        <v>2858</v>
      </c>
      <c r="Q2439" s="11">
        <v>46306.5</v>
      </c>
      <c r="R2439" s="6"/>
      <c r="S2439" s="6"/>
      <c r="T2439" s="6"/>
      <c r="U2439" s="5">
        <f>MATCH(B2439,Manual_Review!$A$6:$A$238,0)</f>
        <v>153</v>
      </c>
      <c r="V2439" s="5" t="str">
        <f>IF(INDEX(Manual_Review!$G$6:$G$238,U2439)="","",INDEX(Manual_Review!$G$6:$G$238,U2439))</f>
        <v/>
      </c>
      <c r="W2439" s="11" t="str">
        <f>IF(INDEX(Manual_Review!$H$6:$H$238,U2439)="","",INDEX(Manual_Review!$H$6:$H$238,U2439))</f>
        <v/>
      </c>
      <c r="X2439" s="5" t="str">
        <f>IF(INDEX(Manual_Review!$I$6:$I$238,U2439)="","",INDEX(Manual_Review!$I$6:$I$238,U2439))</f>
        <v/>
      </c>
      <c r="Y2439" s="5" t="s">
        <v>2859</v>
      </c>
    </row>
    <row r="2440" spans="1:25" ht="25.5">
      <c r="A2440" s="5" t="s">
        <v>7856</v>
      </c>
      <c r="B2440" s="5" t="s">
        <v>1736</v>
      </c>
      <c r="C2440" s="5" t="s">
        <v>1737</v>
      </c>
      <c r="D2440" s="5" t="s">
        <v>118</v>
      </c>
      <c r="E2440" s="5" t="s">
        <v>2783</v>
      </c>
      <c r="F2440" s="5" t="s">
        <v>2754</v>
      </c>
      <c r="G2440" s="5">
        <v>1</v>
      </c>
      <c r="H2440" s="5" t="s">
        <v>2854</v>
      </c>
      <c r="I2440" s="5" t="str">
        <f>IF(INDEX(Manual_Review!$M$6:$M$238,U2440)="","",INDEX(Manual_Review!$M$6:$M$238,U2440))</f>
        <v/>
      </c>
      <c r="J2440" s="5" t="str">
        <f t="shared" si="76"/>
        <v>AI provisional</v>
      </c>
      <c r="K2440" s="5" t="str">
        <f t="shared" si="77"/>
        <v>Y</v>
      </c>
      <c r="L2440" s="5" t="s">
        <v>1744</v>
      </c>
      <c r="M2440" s="5" t="s">
        <v>7857</v>
      </c>
      <c r="N2440" s="5" t="s">
        <v>7853</v>
      </c>
      <c r="O2440" s="5" t="s">
        <v>3133</v>
      </c>
      <c r="P2440" s="5" t="s">
        <v>2858</v>
      </c>
      <c r="Q2440" s="11">
        <v>46306.5</v>
      </c>
      <c r="R2440" s="6"/>
      <c r="S2440" s="6"/>
      <c r="T2440" s="6"/>
      <c r="U2440" s="5">
        <f>MATCH(B2440,Manual_Review!$A$6:$A$238,0)</f>
        <v>153</v>
      </c>
      <c r="V2440" s="5" t="str">
        <f>IF(INDEX(Manual_Review!$G$6:$G$238,U2440)="","",INDEX(Manual_Review!$G$6:$G$238,U2440))</f>
        <v/>
      </c>
      <c r="W2440" s="11" t="str">
        <f>IF(INDEX(Manual_Review!$H$6:$H$238,U2440)="","",INDEX(Manual_Review!$H$6:$H$238,U2440))</f>
        <v/>
      </c>
      <c r="X2440" s="5" t="str">
        <f>IF(INDEX(Manual_Review!$I$6:$I$238,U2440)="","",INDEX(Manual_Review!$I$6:$I$238,U2440))</f>
        <v/>
      </c>
      <c r="Y2440" s="5" t="s">
        <v>2859</v>
      </c>
    </row>
    <row r="2441" spans="1:25" ht="25.5">
      <c r="A2441" s="5" t="s">
        <v>7858</v>
      </c>
      <c r="B2441" s="5" t="s">
        <v>1736</v>
      </c>
      <c r="C2441" s="5" t="s">
        <v>1737</v>
      </c>
      <c r="D2441" s="5" t="s">
        <v>118</v>
      </c>
      <c r="E2441" s="5" t="s">
        <v>2784</v>
      </c>
      <c r="F2441" s="5" t="s">
        <v>2756</v>
      </c>
      <c r="G2441" s="5">
        <v>1</v>
      </c>
      <c r="H2441" s="5" t="s">
        <v>2854</v>
      </c>
      <c r="I2441" s="5" t="str">
        <f>IF(INDEX(Manual_Review!$N$6:$N$238,U2441)="","",INDEX(Manual_Review!$N$6:$N$238,U2441))</f>
        <v/>
      </c>
      <c r="J2441" s="5" t="str">
        <f t="shared" si="76"/>
        <v>AI provisional</v>
      </c>
      <c r="K2441" s="5" t="str">
        <f t="shared" si="77"/>
        <v>Y</v>
      </c>
      <c r="L2441" s="5" t="s">
        <v>1744</v>
      </c>
      <c r="M2441" s="5" t="s">
        <v>7859</v>
      </c>
      <c r="N2441" s="5" t="s">
        <v>7853</v>
      </c>
      <c r="O2441" s="5" t="s">
        <v>2963</v>
      </c>
      <c r="P2441" s="5" t="s">
        <v>2858</v>
      </c>
      <c r="Q2441" s="11">
        <v>46306.5</v>
      </c>
      <c r="R2441" s="6"/>
      <c r="S2441" s="6"/>
      <c r="T2441" s="6"/>
      <c r="U2441" s="5">
        <f>MATCH(B2441,Manual_Review!$A$6:$A$238,0)</f>
        <v>153</v>
      </c>
      <c r="V2441" s="5" t="str">
        <f>IF(INDEX(Manual_Review!$G$6:$G$238,U2441)="","",INDEX(Manual_Review!$G$6:$G$238,U2441))</f>
        <v/>
      </c>
      <c r="W2441" s="11" t="str">
        <f>IF(INDEX(Manual_Review!$H$6:$H$238,U2441)="","",INDEX(Manual_Review!$H$6:$H$238,U2441))</f>
        <v/>
      </c>
      <c r="X2441" s="5" t="str">
        <f>IF(INDEX(Manual_Review!$I$6:$I$238,U2441)="","",INDEX(Manual_Review!$I$6:$I$238,U2441))</f>
        <v/>
      </c>
      <c r="Y2441" s="5" t="s">
        <v>2859</v>
      </c>
    </row>
    <row r="2442" spans="1:25" ht="25.5">
      <c r="A2442" s="5" t="s">
        <v>7860</v>
      </c>
      <c r="B2442" s="5" t="s">
        <v>1736</v>
      </c>
      <c r="C2442" s="5" t="s">
        <v>1737</v>
      </c>
      <c r="D2442" s="5" t="s">
        <v>118</v>
      </c>
      <c r="E2442" s="5" t="s">
        <v>2785</v>
      </c>
      <c r="F2442" s="5" t="s">
        <v>2756</v>
      </c>
      <c r="G2442" s="5">
        <v>1</v>
      </c>
      <c r="H2442" s="5" t="s">
        <v>2864</v>
      </c>
      <c r="I2442" s="5" t="str">
        <f>IF(INDEX(Manual_Review!$O$6:$O$238,U2442)="","",INDEX(Manual_Review!$O$6:$O$238,U2442))</f>
        <v/>
      </c>
      <c r="J2442" s="5" t="str">
        <f t="shared" si="76"/>
        <v>AI provisional</v>
      </c>
      <c r="K2442" s="5" t="str">
        <f t="shared" si="77"/>
        <v>U</v>
      </c>
      <c r="L2442" s="5" t="s">
        <v>1744</v>
      </c>
      <c r="M2442" s="5" t="s">
        <v>7861</v>
      </c>
      <c r="N2442" s="5" t="s">
        <v>7853</v>
      </c>
      <c r="O2442" s="5" t="s">
        <v>2872</v>
      </c>
      <c r="P2442" s="5" t="s">
        <v>2858</v>
      </c>
      <c r="Q2442" s="11">
        <v>46306.5</v>
      </c>
      <c r="R2442" s="6"/>
      <c r="S2442" s="6"/>
      <c r="T2442" s="6"/>
      <c r="U2442" s="5">
        <f>MATCH(B2442,Manual_Review!$A$6:$A$238,0)</f>
        <v>153</v>
      </c>
      <c r="V2442" s="5" t="str">
        <f>IF(INDEX(Manual_Review!$G$6:$G$238,U2442)="","",INDEX(Manual_Review!$G$6:$G$238,U2442))</f>
        <v/>
      </c>
      <c r="W2442" s="11" t="str">
        <f>IF(INDEX(Manual_Review!$H$6:$H$238,U2442)="","",INDEX(Manual_Review!$H$6:$H$238,U2442))</f>
        <v/>
      </c>
      <c r="X2442" s="5" t="str">
        <f>IF(INDEX(Manual_Review!$I$6:$I$238,U2442)="","",INDEX(Manual_Review!$I$6:$I$238,U2442))</f>
        <v/>
      </c>
      <c r="Y2442" s="5" t="s">
        <v>2859</v>
      </c>
    </row>
    <row r="2443" spans="1:25" ht="25.5">
      <c r="A2443" s="5" t="s">
        <v>7862</v>
      </c>
      <c r="B2443" s="5" t="s">
        <v>1736</v>
      </c>
      <c r="C2443" s="5" t="s">
        <v>1737</v>
      </c>
      <c r="D2443" s="5" t="s">
        <v>118</v>
      </c>
      <c r="E2443" s="5" t="s">
        <v>2786</v>
      </c>
      <c r="F2443" s="5" t="s">
        <v>2756</v>
      </c>
      <c r="G2443" s="5">
        <v>1</v>
      </c>
      <c r="H2443" s="5" t="s">
        <v>2864</v>
      </c>
      <c r="I2443" s="5" t="str">
        <f>IF(INDEX(Manual_Review!$P$6:$P$238,U2443)="","",INDEX(Manual_Review!$P$6:$P$238,U2443))</f>
        <v/>
      </c>
      <c r="J2443" s="5" t="str">
        <f t="shared" si="76"/>
        <v>AI provisional</v>
      </c>
      <c r="K2443" s="5" t="str">
        <f t="shared" si="77"/>
        <v>U</v>
      </c>
      <c r="L2443" s="5" t="s">
        <v>1744</v>
      </c>
      <c r="M2443" s="5" t="s">
        <v>7863</v>
      </c>
      <c r="N2443" s="5" t="s">
        <v>7853</v>
      </c>
      <c r="O2443" s="5" t="s">
        <v>2874</v>
      </c>
      <c r="P2443" s="5" t="s">
        <v>2858</v>
      </c>
      <c r="Q2443" s="11">
        <v>46306.5</v>
      </c>
      <c r="R2443" s="6"/>
      <c r="S2443" s="6"/>
      <c r="T2443" s="6"/>
      <c r="U2443" s="5">
        <f>MATCH(B2443,Manual_Review!$A$6:$A$238,0)</f>
        <v>153</v>
      </c>
      <c r="V2443" s="5" t="str">
        <f>IF(INDEX(Manual_Review!$G$6:$G$238,U2443)="","",INDEX(Manual_Review!$G$6:$G$238,U2443))</f>
        <v/>
      </c>
      <c r="W2443" s="11" t="str">
        <f>IF(INDEX(Manual_Review!$H$6:$H$238,U2443)="","",INDEX(Manual_Review!$H$6:$H$238,U2443))</f>
        <v/>
      </c>
      <c r="X2443" s="5" t="str">
        <f>IF(INDEX(Manual_Review!$I$6:$I$238,U2443)="","",INDEX(Manual_Review!$I$6:$I$238,U2443))</f>
        <v/>
      </c>
      <c r="Y2443" s="5" t="s">
        <v>2859</v>
      </c>
    </row>
    <row r="2444" spans="1:25" ht="25.5">
      <c r="A2444" s="5" t="s">
        <v>7864</v>
      </c>
      <c r="B2444" s="5" t="s">
        <v>1736</v>
      </c>
      <c r="C2444" s="5" t="s">
        <v>1737</v>
      </c>
      <c r="D2444" s="5" t="s">
        <v>118</v>
      </c>
      <c r="E2444" s="5" t="s">
        <v>2787</v>
      </c>
      <c r="F2444" s="5" t="s">
        <v>2758</v>
      </c>
      <c r="G2444" s="5">
        <v>1</v>
      </c>
      <c r="H2444" s="5" t="s">
        <v>2854</v>
      </c>
      <c r="I2444" s="5" t="str">
        <f>IF(INDEX(Manual_Review!$Q$6:$Q$238,U2444)="","",INDEX(Manual_Review!$Q$6:$Q$238,U2444))</f>
        <v/>
      </c>
      <c r="J2444" s="5" t="str">
        <f t="shared" si="76"/>
        <v>AI provisional</v>
      </c>
      <c r="K2444" s="5" t="str">
        <f t="shared" si="77"/>
        <v>Y</v>
      </c>
      <c r="L2444" s="5" t="s">
        <v>1744</v>
      </c>
      <c r="M2444" s="5" t="s">
        <v>7865</v>
      </c>
      <c r="N2444" s="5" t="s">
        <v>7853</v>
      </c>
      <c r="O2444" s="5" t="s">
        <v>2969</v>
      </c>
      <c r="P2444" s="5" t="s">
        <v>2858</v>
      </c>
      <c r="Q2444" s="11">
        <v>46306.5</v>
      </c>
      <c r="R2444" s="6"/>
      <c r="S2444" s="6"/>
      <c r="T2444" s="6"/>
      <c r="U2444" s="5">
        <f>MATCH(B2444,Manual_Review!$A$6:$A$238,0)</f>
        <v>153</v>
      </c>
      <c r="V2444" s="5" t="str">
        <f>IF(INDEX(Manual_Review!$G$6:$G$238,U2444)="","",INDEX(Manual_Review!$G$6:$G$238,U2444))</f>
        <v/>
      </c>
      <c r="W2444" s="11" t="str">
        <f>IF(INDEX(Manual_Review!$H$6:$H$238,U2444)="","",INDEX(Manual_Review!$H$6:$H$238,U2444))</f>
        <v/>
      </c>
      <c r="X2444" s="5" t="str">
        <f>IF(INDEX(Manual_Review!$I$6:$I$238,U2444)="","",INDEX(Manual_Review!$I$6:$I$238,U2444))</f>
        <v/>
      </c>
      <c r="Y2444" s="5" t="s">
        <v>2859</v>
      </c>
    </row>
    <row r="2445" spans="1:25" ht="25.5">
      <c r="A2445" s="5" t="s">
        <v>7866</v>
      </c>
      <c r="B2445" s="5" t="s">
        <v>1736</v>
      </c>
      <c r="C2445" s="5" t="s">
        <v>1737</v>
      </c>
      <c r="D2445" s="5" t="s">
        <v>118</v>
      </c>
      <c r="E2445" s="5" t="s">
        <v>2788</v>
      </c>
      <c r="F2445" s="5" t="s">
        <v>2758</v>
      </c>
      <c r="G2445" s="5">
        <v>1</v>
      </c>
      <c r="H2445" s="5" t="s">
        <v>2854</v>
      </c>
      <c r="I2445" s="5" t="str">
        <f>IF(INDEX(Manual_Review!$R$6:$R$238,U2445)="","",INDEX(Manual_Review!$R$6:$R$238,U2445))</f>
        <v/>
      </c>
      <c r="J2445" s="5" t="str">
        <f t="shared" si="76"/>
        <v>AI provisional</v>
      </c>
      <c r="K2445" s="5" t="str">
        <f t="shared" si="77"/>
        <v>Y</v>
      </c>
      <c r="L2445" s="5" t="s">
        <v>1744</v>
      </c>
      <c r="M2445" s="5" t="s">
        <v>7867</v>
      </c>
      <c r="N2445" s="5" t="s">
        <v>7853</v>
      </c>
      <c r="O2445" s="5" t="s">
        <v>3067</v>
      </c>
      <c r="P2445" s="5" t="s">
        <v>2858</v>
      </c>
      <c r="Q2445" s="11">
        <v>46306.5</v>
      </c>
      <c r="R2445" s="6"/>
      <c r="S2445" s="6"/>
      <c r="T2445" s="6"/>
      <c r="U2445" s="5">
        <f>MATCH(B2445,Manual_Review!$A$6:$A$238,0)</f>
        <v>153</v>
      </c>
      <c r="V2445" s="5" t="str">
        <f>IF(INDEX(Manual_Review!$G$6:$G$238,U2445)="","",INDEX(Manual_Review!$G$6:$G$238,U2445))</f>
        <v/>
      </c>
      <c r="W2445" s="11" t="str">
        <f>IF(INDEX(Manual_Review!$H$6:$H$238,U2445)="","",INDEX(Manual_Review!$H$6:$H$238,U2445))</f>
        <v/>
      </c>
      <c r="X2445" s="5" t="str">
        <f>IF(INDEX(Manual_Review!$I$6:$I$238,U2445)="","",INDEX(Manual_Review!$I$6:$I$238,U2445))</f>
        <v/>
      </c>
      <c r="Y2445" s="5" t="s">
        <v>2859</v>
      </c>
    </row>
    <row r="2446" spans="1:25" ht="25.5">
      <c r="A2446" s="5" t="s">
        <v>7868</v>
      </c>
      <c r="B2446" s="5" t="s">
        <v>1736</v>
      </c>
      <c r="C2446" s="5" t="s">
        <v>1737</v>
      </c>
      <c r="D2446" s="5" t="s">
        <v>118</v>
      </c>
      <c r="E2446" s="5" t="s">
        <v>2789</v>
      </c>
      <c r="F2446" s="5" t="s">
        <v>2758</v>
      </c>
      <c r="G2446" s="5">
        <v>1</v>
      </c>
      <c r="H2446" s="5" t="s">
        <v>2854</v>
      </c>
      <c r="I2446" s="5" t="str">
        <f>IF(INDEX(Manual_Review!$S$6:$S$238,U2446)="","",INDEX(Manual_Review!$S$6:$S$238,U2446))</f>
        <v/>
      </c>
      <c r="J2446" s="5" t="str">
        <f t="shared" si="76"/>
        <v>AI provisional</v>
      </c>
      <c r="K2446" s="5" t="str">
        <f t="shared" si="77"/>
        <v>Y</v>
      </c>
      <c r="L2446" s="5" t="s">
        <v>1744</v>
      </c>
      <c r="M2446" s="5" t="s">
        <v>7869</v>
      </c>
      <c r="N2446" s="5" t="s">
        <v>7853</v>
      </c>
      <c r="O2446" s="5" t="s">
        <v>3178</v>
      </c>
      <c r="P2446" s="5" t="s">
        <v>2858</v>
      </c>
      <c r="Q2446" s="11">
        <v>46306.5</v>
      </c>
      <c r="R2446" s="6"/>
      <c r="S2446" s="6"/>
      <c r="T2446" s="6"/>
      <c r="U2446" s="5">
        <f>MATCH(B2446,Manual_Review!$A$6:$A$238,0)</f>
        <v>153</v>
      </c>
      <c r="V2446" s="5" t="str">
        <f>IF(INDEX(Manual_Review!$G$6:$G$238,U2446)="","",INDEX(Manual_Review!$G$6:$G$238,U2446))</f>
        <v/>
      </c>
      <c r="W2446" s="11" t="str">
        <f>IF(INDEX(Manual_Review!$H$6:$H$238,U2446)="","",INDEX(Manual_Review!$H$6:$H$238,U2446))</f>
        <v/>
      </c>
      <c r="X2446" s="5" t="str">
        <f>IF(INDEX(Manual_Review!$I$6:$I$238,U2446)="","",INDEX(Manual_Review!$I$6:$I$238,U2446))</f>
        <v/>
      </c>
      <c r="Y2446" s="5" t="s">
        <v>2859</v>
      </c>
    </row>
    <row r="2447" spans="1:25" ht="25.5">
      <c r="A2447" s="5" t="s">
        <v>7870</v>
      </c>
      <c r="B2447" s="5" t="s">
        <v>1736</v>
      </c>
      <c r="C2447" s="5" t="s">
        <v>1737</v>
      </c>
      <c r="D2447" s="5" t="s">
        <v>118</v>
      </c>
      <c r="E2447" s="5" t="s">
        <v>2790</v>
      </c>
      <c r="F2447" s="5" t="s">
        <v>2760</v>
      </c>
      <c r="G2447" s="5">
        <v>1</v>
      </c>
      <c r="H2447" s="5" t="s">
        <v>2854</v>
      </c>
      <c r="I2447" s="5" t="str">
        <f>IF(INDEX(Manual_Review!$T$6:$T$238,U2447)="","",INDEX(Manual_Review!$T$6:$T$238,U2447))</f>
        <v/>
      </c>
      <c r="J2447" s="5" t="str">
        <f t="shared" si="76"/>
        <v>AI provisional</v>
      </c>
      <c r="K2447" s="5" t="str">
        <f t="shared" si="77"/>
        <v>Y</v>
      </c>
      <c r="L2447" s="5" t="s">
        <v>1744</v>
      </c>
      <c r="M2447" s="5" t="s">
        <v>7871</v>
      </c>
      <c r="N2447" s="5" t="s">
        <v>7853</v>
      </c>
      <c r="O2447" s="5" t="s">
        <v>2976</v>
      </c>
      <c r="P2447" s="5" t="s">
        <v>2858</v>
      </c>
      <c r="Q2447" s="11">
        <v>46306.5</v>
      </c>
      <c r="R2447" s="6"/>
      <c r="S2447" s="6"/>
      <c r="T2447" s="6"/>
      <c r="U2447" s="5">
        <f>MATCH(B2447,Manual_Review!$A$6:$A$238,0)</f>
        <v>153</v>
      </c>
      <c r="V2447" s="5" t="str">
        <f>IF(INDEX(Manual_Review!$G$6:$G$238,U2447)="","",INDEX(Manual_Review!$G$6:$G$238,U2447))</f>
        <v/>
      </c>
      <c r="W2447" s="11" t="str">
        <f>IF(INDEX(Manual_Review!$H$6:$H$238,U2447)="","",INDEX(Manual_Review!$H$6:$H$238,U2447))</f>
        <v/>
      </c>
      <c r="X2447" s="5" t="str">
        <f>IF(INDEX(Manual_Review!$I$6:$I$238,U2447)="","",INDEX(Manual_Review!$I$6:$I$238,U2447))</f>
        <v/>
      </c>
      <c r="Y2447" s="5" t="s">
        <v>2859</v>
      </c>
    </row>
    <row r="2448" spans="1:25" ht="25.5">
      <c r="A2448" s="5" t="s">
        <v>7872</v>
      </c>
      <c r="B2448" s="5" t="s">
        <v>1736</v>
      </c>
      <c r="C2448" s="5" t="s">
        <v>1737</v>
      </c>
      <c r="D2448" s="5" t="s">
        <v>118</v>
      </c>
      <c r="E2448" s="5" t="s">
        <v>2791</v>
      </c>
      <c r="F2448" s="5" t="s">
        <v>2760</v>
      </c>
      <c r="G2448" s="5">
        <v>1</v>
      </c>
      <c r="H2448" s="5" t="s">
        <v>2854</v>
      </c>
      <c r="I2448" s="5" t="str">
        <f>IF(INDEX(Manual_Review!$U$6:$U$238,U2448)="","",INDEX(Manual_Review!$U$6:$U$238,U2448))</f>
        <v/>
      </c>
      <c r="J2448" s="5" t="str">
        <f t="shared" si="76"/>
        <v>AI provisional</v>
      </c>
      <c r="K2448" s="5" t="str">
        <f t="shared" si="77"/>
        <v>Y</v>
      </c>
      <c r="L2448" s="5" t="s">
        <v>1744</v>
      </c>
      <c r="M2448" s="5" t="s">
        <v>7873</v>
      </c>
      <c r="N2448" s="5" t="s">
        <v>7853</v>
      </c>
      <c r="O2448" s="5" t="s">
        <v>3380</v>
      </c>
      <c r="P2448" s="5" t="s">
        <v>2858</v>
      </c>
      <c r="Q2448" s="11">
        <v>46306.5</v>
      </c>
      <c r="R2448" s="6"/>
      <c r="S2448" s="6"/>
      <c r="T2448" s="6"/>
      <c r="U2448" s="5">
        <f>MATCH(B2448,Manual_Review!$A$6:$A$238,0)</f>
        <v>153</v>
      </c>
      <c r="V2448" s="5" t="str">
        <f>IF(INDEX(Manual_Review!$G$6:$G$238,U2448)="","",INDEX(Manual_Review!$G$6:$G$238,U2448))</f>
        <v/>
      </c>
      <c r="W2448" s="11" t="str">
        <f>IF(INDEX(Manual_Review!$H$6:$H$238,U2448)="","",INDEX(Manual_Review!$H$6:$H$238,U2448))</f>
        <v/>
      </c>
      <c r="X2448" s="5" t="str">
        <f>IF(INDEX(Manual_Review!$I$6:$I$238,U2448)="","",INDEX(Manual_Review!$I$6:$I$238,U2448))</f>
        <v/>
      </c>
      <c r="Y2448" s="5" t="s">
        <v>2859</v>
      </c>
    </row>
    <row r="2449" spans="1:25" ht="25.5">
      <c r="A2449" s="5" t="s">
        <v>7874</v>
      </c>
      <c r="B2449" s="5" t="s">
        <v>1736</v>
      </c>
      <c r="C2449" s="5" t="s">
        <v>1737</v>
      </c>
      <c r="D2449" s="5" t="s">
        <v>118</v>
      </c>
      <c r="E2449" s="5" t="s">
        <v>2792</v>
      </c>
      <c r="F2449" s="5" t="s">
        <v>2762</v>
      </c>
      <c r="G2449" s="5">
        <v>1</v>
      </c>
      <c r="H2449" s="5" t="s">
        <v>2864</v>
      </c>
      <c r="I2449" s="5" t="str">
        <f>IF(INDEX(Manual_Review!$V$6:$V$238,U2449)="","",INDEX(Manual_Review!$V$6:$V$238,U2449))</f>
        <v/>
      </c>
      <c r="J2449" s="5" t="str">
        <f t="shared" si="76"/>
        <v>AI provisional</v>
      </c>
      <c r="K2449" s="5" t="str">
        <f t="shared" si="77"/>
        <v>U</v>
      </c>
      <c r="L2449" s="5" t="s">
        <v>1744</v>
      </c>
      <c r="M2449" s="5" t="s">
        <v>7875</v>
      </c>
      <c r="N2449" s="5" t="s">
        <v>7853</v>
      </c>
      <c r="O2449" s="5" t="s">
        <v>2891</v>
      </c>
      <c r="P2449" s="5" t="s">
        <v>2858</v>
      </c>
      <c r="Q2449" s="11">
        <v>46306.5</v>
      </c>
      <c r="R2449" s="6"/>
      <c r="S2449" s="6"/>
      <c r="T2449" s="6"/>
      <c r="U2449" s="5">
        <f>MATCH(B2449,Manual_Review!$A$6:$A$238,0)</f>
        <v>153</v>
      </c>
      <c r="V2449" s="5" t="str">
        <f>IF(INDEX(Manual_Review!$G$6:$G$238,U2449)="","",INDEX(Manual_Review!$G$6:$G$238,U2449))</f>
        <v/>
      </c>
      <c r="W2449" s="11" t="str">
        <f>IF(INDEX(Manual_Review!$H$6:$H$238,U2449)="","",INDEX(Manual_Review!$H$6:$H$238,U2449))</f>
        <v/>
      </c>
      <c r="X2449" s="5" t="str">
        <f>IF(INDEX(Manual_Review!$I$6:$I$238,U2449)="","",INDEX(Manual_Review!$I$6:$I$238,U2449))</f>
        <v/>
      </c>
      <c r="Y2449" s="5" t="s">
        <v>2859</v>
      </c>
    </row>
    <row r="2450" spans="1:25" ht="25.5">
      <c r="A2450" s="5" t="s">
        <v>7876</v>
      </c>
      <c r="B2450" s="5" t="s">
        <v>1736</v>
      </c>
      <c r="C2450" s="5" t="s">
        <v>1737</v>
      </c>
      <c r="D2450" s="5" t="s">
        <v>118</v>
      </c>
      <c r="E2450" s="5" t="s">
        <v>2793</v>
      </c>
      <c r="F2450" s="5" t="s">
        <v>2762</v>
      </c>
      <c r="G2450" s="5">
        <v>1</v>
      </c>
      <c r="H2450" s="5" t="s">
        <v>2864</v>
      </c>
      <c r="I2450" s="5" t="str">
        <f>IF(INDEX(Manual_Review!$W$6:$W$238,U2450)="","",INDEX(Manual_Review!$W$6:$W$238,U2450))</f>
        <v/>
      </c>
      <c r="J2450" s="5" t="str">
        <f t="shared" si="76"/>
        <v>AI provisional</v>
      </c>
      <c r="K2450" s="5" t="str">
        <f t="shared" si="77"/>
        <v>U</v>
      </c>
      <c r="L2450" s="5" t="s">
        <v>1744</v>
      </c>
      <c r="M2450" s="5" t="s">
        <v>7875</v>
      </c>
      <c r="N2450" s="5" t="s">
        <v>7853</v>
      </c>
      <c r="O2450" s="5" t="s">
        <v>2893</v>
      </c>
      <c r="P2450" s="5" t="s">
        <v>2858</v>
      </c>
      <c r="Q2450" s="11">
        <v>46306.5</v>
      </c>
      <c r="R2450" s="6"/>
      <c r="S2450" s="6"/>
      <c r="T2450" s="6"/>
      <c r="U2450" s="5">
        <f>MATCH(B2450,Manual_Review!$A$6:$A$238,0)</f>
        <v>153</v>
      </c>
      <c r="V2450" s="5" t="str">
        <f>IF(INDEX(Manual_Review!$G$6:$G$238,U2450)="","",INDEX(Manual_Review!$G$6:$G$238,U2450))</f>
        <v/>
      </c>
      <c r="W2450" s="11" t="str">
        <f>IF(INDEX(Manual_Review!$H$6:$H$238,U2450)="","",INDEX(Manual_Review!$H$6:$H$238,U2450))</f>
        <v/>
      </c>
      <c r="X2450" s="5" t="str">
        <f>IF(INDEX(Manual_Review!$I$6:$I$238,U2450)="","",INDEX(Manual_Review!$I$6:$I$238,U2450))</f>
        <v/>
      </c>
      <c r="Y2450" s="5" t="s">
        <v>2859</v>
      </c>
    </row>
    <row r="2451" spans="1:25" ht="25.5">
      <c r="A2451" s="5" t="s">
        <v>7877</v>
      </c>
      <c r="B2451" s="5" t="s">
        <v>1736</v>
      </c>
      <c r="C2451" s="5" t="s">
        <v>1737</v>
      </c>
      <c r="D2451" s="5" t="s">
        <v>118</v>
      </c>
      <c r="E2451" s="5" t="s">
        <v>2794</v>
      </c>
      <c r="F2451" s="5" t="s">
        <v>2764</v>
      </c>
      <c r="G2451" s="5">
        <v>1</v>
      </c>
      <c r="H2451" s="5" t="s">
        <v>2854</v>
      </c>
      <c r="I2451" s="5" t="str">
        <f>IF(INDEX(Manual_Review!$X$6:$X$238,U2451)="","",INDEX(Manual_Review!$X$6:$X$238,U2451))</f>
        <v/>
      </c>
      <c r="J2451" s="5" t="str">
        <f t="shared" si="76"/>
        <v>AI provisional</v>
      </c>
      <c r="K2451" s="5" t="str">
        <f t="shared" si="77"/>
        <v>Y</v>
      </c>
      <c r="L2451" s="5" t="s">
        <v>1744</v>
      </c>
      <c r="M2451" s="5" t="s">
        <v>7878</v>
      </c>
      <c r="N2451" s="5" t="s">
        <v>7853</v>
      </c>
      <c r="O2451" s="5" t="s">
        <v>2984</v>
      </c>
      <c r="P2451" s="5" t="s">
        <v>2858</v>
      </c>
      <c r="Q2451" s="11">
        <v>46306.5</v>
      </c>
      <c r="R2451" s="6"/>
      <c r="S2451" s="6"/>
      <c r="T2451" s="6"/>
      <c r="U2451" s="5">
        <f>MATCH(B2451,Manual_Review!$A$6:$A$238,0)</f>
        <v>153</v>
      </c>
      <c r="V2451" s="5" t="str">
        <f>IF(INDEX(Manual_Review!$G$6:$G$238,U2451)="","",INDEX(Manual_Review!$G$6:$G$238,U2451))</f>
        <v/>
      </c>
      <c r="W2451" s="11" t="str">
        <f>IF(INDEX(Manual_Review!$H$6:$H$238,U2451)="","",INDEX(Manual_Review!$H$6:$H$238,U2451))</f>
        <v/>
      </c>
      <c r="X2451" s="5" t="str">
        <f>IF(INDEX(Manual_Review!$I$6:$I$238,U2451)="","",INDEX(Manual_Review!$I$6:$I$238,U2451))</f>
        <v/>
      </c>
      <c r="Y2451" s="5" t="s">
        <v>2859</v>
      </c>
    </row>
    <row r="2452" spans="1:25" ht="25.5">
      <c r="A2452" s="5" t="s">
        <v>7879</v>
      </c>
      <c r="B2452" s="5" t="s">
        <v>1736</v>
      </c>
      <c r="C2452" s="5" t="s">
        <v>1737</v>
      </c>
      <c r="D2452" s="5" t="s">
        <v>118</v>
      </c>
      <c r="E2452" s="5" t="s">
        <v>2795</v>
      </c>
      <c r="F2452" s="5" t="s">
        <v>2764</v>
      </c>
      <c r="G2452" s="5">
        <v>1</v>
      </c>
      <c r="H2452" s="5" t="s">
        <v>2854</v>
      </c>
      <c r="I2452" s="5" t="str">
        <f>IF(INDEX(Manual_Review!$Y$6:$Y$238,U2452)="","",INDEX(Manual_Review!$Y$6:$Y$238,U2452))</f>
        <v/>
      </c>
      <c r="J2452" s="5" t="str">
        <f t="shared" si="76"/>
        <v>AI provisional</v>
      </c>
      <c r="K2452" s="5" t="str">
        <f t="shared" si="77"/>
        <v>Y</v>
      </c>
      <c r="L2452" s="5" t="s">
        <v>1744</v>
      </c>
      <c r="M2452" s="5" t="s">
        <v>7880</v>
      </c>
      <c r="N2452" s="5" t="s">
        <v>7853</v>
      </c>
      <c r="O2452" s="5" t="s">
        <v>3082</v>
      </c>
      <c r="P2452" s="5" t="s">
        <v>2858</v>
      </c>
      <c r="Q2452" s="11">
        <v>46306.5</v>
      </c>
      <c r="R2452" s="6"/>
      <c r="S2452" s="6"/>
      <c r="T2452" s="6"/>
      <c r="U2452" s="5">
        <f>MATCH(B2452,Manual_Review!$A$6:$A$238,0)</f>
        <v>153</v>
      </c>
      <c r="V2452" s="5" t="str">
        <f>IF(INDEX(Manual_Review!$G$6:$G$238,U2452)="","",INDEX(Manual_Review!$G$6:$G$238,U2452))</f>
        <v/>
      </c>
      <c r="W2452" s="11" t="str">
        <f>IF(INDEX(Manual_Review!$H$6:$H$238,U2452)="","",INDEX(Manual_Review!$H$6:$H$238,U2452))</f>
        <v/>
      </c>
      <c r="X2452" s="5" t="str">
        <f>IF(INDEX(Manual_Review!$I$6:$I$238,U2452)="","",INDEX(Manual_Review!$I$6:$I$238,U2452))</f>
        <v/>
      </c>
      <c r="Y2452" s="5" t="s">
        <v>2859</v>
      </c>
    </row>
    <row r="2453" spans="1:25" ht="25.5">
      <c r="A2453" s="5" t="s">
        <v>7881</v>
      </c>
      <c r="B2453" s="5" t="s">
        <v>1736</v>
      </c>
      <c r="C2453" s="5" t="s">
        <v>1737</v>
      </c>
      <c r="D2453" s="5" t="s">
        <v>118</v>
      </c>
      <c r="E2453" s="5" t="s">
        <v>2796</v>
      </c>
      <c r="F2453" s="5" t="s">
        <v>2764</v>
      </c>
      <c r="G2453" s="5">
        <v>1</v>
      </c>
      <c r="H2453" s="5" t="s">
        <v>2854</v>
      </c>
      <c r="I2453" s="5" t="str">
        <f>IF(INDEX(Manual_Review!$Z$6:$Z$238,U2453)="","",INDEX(Manual_Review!$Z$6:$Z$238,U2453))</f>
        <v/>
      </c>
      <c r="J2453" s="5" t="str">
        <f t="shared" si="76"/>
        <v>AI provisional</v>
      </c>
      <c r="K2453" s="5" t="str">
        <f t="shared" si="77"/>
        <v>Y</v>
      </c>
      <c r="L2453" s="5" t="s">
        <v>1744</v>
      </c>
      <c r="M2453" s="5" t="s">
        <v>7882</v>
      </c>
      <c r="N2453" s="5" t="s">
        <v>7853</v>
      </c>
      <c r="O2453" s="5" t="s">
        <v>3085</v>
      </c>
      <c r="P2453" s="5" t="s">
        <v>2858</v>
      </c>
      <c r="Q2453" s="11">
        <v>46306.5</v>
      </c>
      <c r="R2453" s="6"/>
      <c r="S2453" s="6"/>
      <c r="T2453" s="6"/>
      <c r="U2453" s="5">
        <f>MATCH(B2453,Manual_Review!$A$6:$A$238,0)</f>
        <v>153</v>
      </c>
      <c r="V2453" s="5" t="str">
        <f>IF(INDEX(Manual_Review!$G$6:$G$238,U2453)="","",INDEX(Manual_Review!$G$6:$G$238,U2453))</f>
        <v/>
      </c>
      <c r="W2453" s="11" t="str">
        <f>IF(INDEX(Manual_Review!$H$6:$H$238,U2453)="","",INDEX(Manual_Review!$H$6:$H$238,U2453))</f>
        <v/>
      </c>
      <c r="X2453" s="5" t="str">
        <f>IF(INDEX(Manual_Review!$I$6:$I$238,U2453)="","",INDEX(Manual_Review!$I$6:$I$238,U2453))</f>
        <v/>
      </c>
      <c r="Y2453" s="5" t="s">
        <v>2859</v>
      </c>
    </row>
    <row r="2454" spans="1:25" ht="38.25">
      <c r="A2454" s="5" t="s">
        <v>7883</v>
      </c>
      <c r="B2454" s="5" t="s">
        <v>1746</v>
      </c>
      <c r="C2454" s="5" t="s">
        <v>1747</v>
      </c>
      <c r="D2454" s="5" t="s">
        <v>118</v>
      </c>
      <c r="E2454" s="5" t="s">
        <v>2781</v>
      </c>
      <c r="F2454" s="5" t="s">
        <v>2754</v>
      </c>
      <c r="G2454" s="5">
        <v>1</v>
      </c>
      <c r="H2454" s="5" t="s">
        <v>2854</v>
      </c>
      <c r="I2454" s="5" t="str">
        <f>IF(INDEX(Manual_Review!$K$6:$K$238,U2454)="","",INDEX(Manual_Review!$K$6:$K$238,U2454))</f>
        <v/>
      </c>
      <c r="J2454" s="5" t="str">
        <f t="shared" si="76"/>
        <v>AI provisional</v>
      </c>
      <c r="K2454" s="5" t="str">
        <f t="shared" si="77"/>
        <v>Y</v>
      </c>
      <c r="L2454" s="5" t="s">
        <v>1754</v>
      </c>
      <c r="M2454" s="5" t="s">
        <v>7884</v>
      </c>
      <c r="N2454" s="5" t="s">
        <v>7885</v>
      </c>
      <c r="O2454" s="5" t="s">
        <v>2857</v>
      </c>
      <c r="P2454" s="5" t="s">
        <v>2858</v>
      </c>
      <c r="Q2454" s="11">
        <v>46306.5</v>
      </c>
      <c r="R2454" s="6"/>
      <c r="S2454" s="6"/>
      <c r="T2454" s="6"/>
      <c r="U2454" s="5">
        <f>MATCH(B2454,Manual_Review!$A$6:$A$238,0)</f>
        <v>154</v>
      </c>
      <c r="V2454" s="5" t="str">
        <f>IF(INDEX(Manual_Review!$G$6:$G$238,U2454)="","",INDEX(Manual_Review!$G$6:$G$238,U2454))</f>
        <v/>
      </c>
      <c r="W2454" s="11" t="str">
        <f>IF(INDEX(Manual_Review!$H$6:$H$238,U2454)="","",INDEX(Manual_Review!$H$6:$H$238,U2454))</f>
        <v/>
      </c>
      <c r="X2454" s="5" t="str">
        <f>IF(INDEX(Manual_Review!$I$6:$I$238,U2454)="","",INDEX(Manual_Review!$I$6:$I$238,U2454))</f>
        <v/>
      </c>
      <c r="Y2454" s="5" t="s">
        <v>2859</v>
      </c>
    </row>
    <row r="2455" spans="1:25" ht="38.25">
      <c r="A2455" s="5" t="s">
        <v>7886</v>
      </c>
      <c r="B2455" s="5" t="s">
        <v>1746</v>
      </c>
      <c r="C2455" s="5" t="s">
        <v>1747</v>
      </c>
      <c r="D2455" s="5" t="s">
        <v>118</v>
      </c>
      <c r="E2455" s="5" t="s">
        <v>2782</v>
      </c>
      <c r="F2455" s="5" t="s">
        <v>2754</v>
      </c>
      <c r="G2455" s="5">
        <v>1</v>
      </c>
      <c r="H2455" s="5" t="s">
        <v>2854</v>
      </c>
      <c r="I2455" s="5" t="str">
        <f>IF(INDEX(Manual_Review!$L$6:$L$238,U2455)="","",INDEX(Manual_Review!$L$6:$L$238,U2455))</f>
        <v/>
      </c>
      <c r="J2455" s="5" t="str">
        <f t="shared" si="76"/>
        <v>AI provisional</v>
      </c>
      <c r="K2455" s="5" t="str">
        <f t="shared" si="77"/>
        <v>Y</v>
      </c>
      <c r="L2455" s="5" t="s">
        <v>1754</v>
      </c>
      <c r="M2455" s="5" t="s">
        <v>7887</v>
      </c>
      <c r="N2455" s="5" t="s">
        <v>7885</v>
      </c>
      <c r="O2455" s="5" t="s">
        <v>2862</v>
      </c>
      <c r="P2455" s="5" t="s">
        <v>2858</v>
      </c>
      <c r="Q2455" s="11">
        <v>46306.5</v>
      </c>
      <c r="R2455" s="6"/>
      <c r="S2455" s="6"/>
      <c r="T2455" s="6"/>
      <c r="U2455" s="5">
        <f>MATCH(B2455,Manual_Review!$A$6:$A$238,0)</f>
        <v>154</v>
      </c>
      <c r="V2455" s="5" t="str">
        <f>IF(INDEX(Manual_Review!$G$6:$G$238,U2455)="","",INDEX(Manual_Review!$G$6:$G$238,U2455))</f>
        <v/>
      </c>
      <c r="W2455" s="11" t="str">
        <f>IF(INDEX(Manual_Review!$H$6:$H$238,U2455)="","",INDEX(Manual_Review!$H$6:$H$238,U2455))</f>
        <v/>
      </c>
      <c r="X2455" s="5" t="str">
        <f>IF(INDEX(Manual_Review!$I$6:$I$238,U2455)="","",INDEX(Manual_Review!$I$6:$I$238,U2455))</f>
        <v/>
      </c>
      <c r="Y2455" s="5" t="s">
        <v>2859</v>
      </c>
    </row>
    <row r="2456" spans="1:25" ht="38.25">
      <c r="A2456" s="5" t="s">
        <v>7888</v>
      </c>
      <c r="B2456" s="5" t="s">
        <v>1746</v>
      </c>
      <c r="C2456" s="5" t="s">
        <v>1747</v>
      </c>
      <c r="D2456" s="5" t="s">
        <v>118</v>
      </c>
      <c r="E2456" s="5" t="s">
        <v>2783</v>
      </c>
      <c r="F2456" s="5" t="s">
        <v>2754</v>
      </c>
      <c r="G2456" s="5">
        <v>1</v>
      </c>
      <c r="H2456" s="5" t="s">
        <v>2854</v>
      </c>
      <c r="I2456" s="5" t="str">
        <f>IF(INDEX(Manual_Review!$M$6:$M$238,U2456)="","",INDEX(Manual_Review!$M$6:$M$238,U2456))</f>
        <v/>
      </c>
      <c r="J2456" s="5" t="str">
        <f t="shared" si="76"/>
        <v>AI provisional</v>
      </c>
      <c r="K2456" s="5" t="str">
        <f t="shared" si="77"/>
        <v>Y</v>
      </c>
      <c r="L2456" s="5" t="s">
        <v>1754</v>
      </c>
      <c r="M2456" s="5" t="s">
        <v>7889</v>
      </c>
      <c r="N2456" s="5" t="s">
        <v>7885</v>
      </c>
      <c r="O2456" s="5" t="s">
        <v>3133</v>
      </c>
      <c r="P2456" s="5" t="s">
        <v>2858</v>
      </c>
      <c r="Q2456" s="11">
        <v>46306.5</v>
      </c>
      <c r="R2456" s="6"/>
      <c r="S2456" s="6"/>
      <c r="T2456" s="6"/>
      <c r="U2456" s="5">
        <f>MATCH(B2456,Manual_Review!$A$6:$A$238,0)</f>
        <v>154</v>
      </c>
      <c r="V2456" s="5" t="str">
        <f>IF(INDEX(Manual_Review!$G$6:$G$238,U2456)="","",INDEX(Manual_Review!$G$6:$G$238,U2456))</f>
        <v/>
      </c>
      <c r="W2456" s="11" t="str">
        <f>IF(INDEX(Manual_Review!$H$6:$H$238,U2456)="","",INDEX(Manual_Review!$H$6:$H$238,U2456))</f>
        <v/>
      </c>
      <c r="X2456" s="5" t="str">
        <f>IF(INDEX(Manual_Review!$I$6:$I$238,U2456)="","",INDEX(Manual_Review!$I$6:$I$238,U2456))</f>
        <v/>
      </c>
      <c r="Y2456" s="5" t="s">
        <v>2859</v>
      </c>
    </row>
    <row r="2457" spans="1:25" ht="38.25">
      <c r="A2457" s="5" t="s">
        <v>7890</v>
      </c>
      <c r="B2457" s="5" t="s">
        <v>1746</v>
      </c>
      <c r="C2457" s="5" t="s">
        <v>1747</v>
      </c>
      <c r="D2457" s="5" t="s">
        <v>118</v>
      </c>
      <c r="E2457" s="5" t="s">
        <v>2784</v>
      </c>
      <c r="F2457" s="5" t="s">
        <v>2756</v>
      </c>
      <c r="G2457" s="5">
        <v>1</v>
      </c>
      <c r="H2457" s="5" t="s">
        <v>2854</v>
      </c>
      <c r="I2457" s="5" t="str">
        <f>IF(INDEX(Manual_Review!$N$6:$N$238,U2457)="","",INDEX(Manual_Review!$N$6:$N$238,U2457))</f>
        <v/>
      </c>
      <c r="J2457" s="5" t="str">
        <f t="shared" si="76"/>
        <v>AI provisional</v>
      </c>
      <c r="K2457" s="5" t="str">
        <f t="shared" si="77"/>
        <v>Y</v>
      </c>
      <c r="L2457" s="5" t="s">
        <v>1754</v>
      </c>
      <c r="M2457" s="5" t="s">
        <v>7891</v>
      </c>
      <c r="N2457" s="5" t="s">
        <v>7885</v>
      </c>
      <c r="O2457" s="5" t="s">
        <v>2963</v>
      </c>
      <c r="P2457" s="5" t="s">
        <v>2858</v>
      </c>
      <c r="Q2457" s="11">
        <v>46306.5</v>
      </c>
      <c r="R2457" s="6"/>
      <c r="S2457" s="6"/>
      <c r="T2457" s="6"/>
      <c r="U2457" s="5">
        <f>MATCH(B2457,Manual_Review!$A$6:$A$238,0)</f>
        <v>154</v>
      </c>
      <c r="V2457" s="5" t="str">
        <f>IF(INDEX(Manual_Review!$G$6:$G$238,U2457)="","",INDEX(Manual_Review!$G$6:$G$238,U2457))</f>
        <v/>
      </c>
      <c r="W2457" s="11" t="str">
        <f>IF(INDEX(Manual_Review!$H$6:$H$238,U2457)="","",INDEX(Manual_Review!$H$6:$H$238,U2457))</f>
        <v/>
      </c>
      <c r="X2457" s="5" t="str">
        <f>IF(INDEX(Manual_Review!$I$6:$I$238,U2457)="","",INDEX(Manual_Review!$I$6:$I$238,U2457))</f>
        <v/>
      </c>
      <c r="Y2457" s="5" t="s">
        <v>2859</v>
      </c>
    </row>
    <row r="2458" spans="1:25" ht="38.25">
      <c r="A2458" s="5" t="s">
        <v>7892</v>
      </c>
      <c r="B2458" s="5" t="s">
        <v>1746</v>
      </c>
      <c r="C2458" s="5" t="s">
        <v>1747</v>
      </c>
      <c r="D2458" s="5" t="s">
        <v>118</v>
      </c>
      <c r="E2458" s="5" t="s">
        <v>2785</v>
      </c>
      <c r="F2458" s="5" t="s">
        <v>2756</v>
      </c>
      <c r="G2458" s="5">
        <v>1</v>
      </c>
      <c r="H2458" s="5" t="s">
        <v>2854</v>
      </c>
      <c r="I2458" s="5" t="str">
        <f>IF(INDEX(Manual_Review!$O$6:$O$238,U2458)="","",INDEX(Manual_Review!$O$6:$O$238,U2458))</f>
        <v/>
      </c>
      <c r="J2458" s="5" t="str">
        <f t="shared" si="76"/>
        <v>AI provisional</v>
      </c>
      <c r="K2458" s="5" t="str">
        <f t="shared" si="77"/>
        <v>Y</v>
      </c>
      <c r="L2458" s="5" t="s">
        <v>1754</v>
      </c>
      <c r="M2458" s="5" t="s">
        <v>7893</v>
      </c>
      <c r="N2458" s="5" t="s">
        <v>7885</v>
      </c>
      <c r="O2458" s="5" t="s">
        <v>3138</v>
      </c>
      <c r="P2458" s="5" t="s">
        <v>2858</v>
      </c>
      <c r="Q2458" s="11">
        <v>46306.5</v>
      </c>
      <c r="R2458" s="6"/>
      <c r="S2458" s="6"/>
      <c r="T2458" s="6"/>
      <c r="U2458" s="5">
        <f>MATCH(B2458,Manual_Review!$A$6:$A$238,0)</f>
        <v>154</v>
      </c>
      <c r="V2458" s="5" t="str">
        <f>IF(INDEX(Manual_Review!$G$6:$G$238,U2458)="","",INDEX(Manual_Review!$G$6:$G$238,U2458))</f>
        <v/>
      </c>
      <c r="W2458" s="11" t="str">
        <f>IF(INDEX(Manual_Review!$H$6:$H$238,U2458)="","",INDEX(Manual_Review!$H$6:$H$238,U2458))</f>
        <v/>
      </c>
      <c r="X2458" s="5" t="str">
        <f>IF(INDEX(Manual_Review!$I$6:$I$238,U2458)="","",INDEX(Manual_Review!$I$6:$I$238,U2458))</f>
        <v/>
      </c>
      <c r="Y2458" s="5" t="s">
        <v>2859</v>
      </c>
    </row>
    <row r="2459" spans="1:25" ht="38.25">
      <c r="A2459" s="5" t="s">
        <v>7894</v>
      </c>
      <c r="B2459" s="5" t="s">
        <v>1746</v>
      </c>
      <c r="C2459" s="5" t="s">
        <v>1747</v>
      </c>
      <c r="D2459" s="5" t="s">
        <v>118</v>
      </c>
      <c r="E2459" s="5" t="s">
        <v>2786</v>
      </c>
      <c r="F2459" s="5" t="s">
        <v>2756</v>
      </c>
      <c r="G2459" s="5">
        <v>1</v>
      </c>
      <c r="H2459" s="5" t="s">
        <v>2864</v>
      </c>
      <c r="I2459" s="5" t="str">
        <f>IF(INDEX(Manual_Review!$P$6:$P$238,U2459)="","",INDEX(Manual_Review!$P$6:$P$238,U2459))</f>
        <v/>
      </c>
      <c r="J2459" s="5" t="str">
        <f t="shared" si="76"/>
        <v>AI provisional</v>
      </c>
      <c r="K2459" s="5" t="str">
        <f t="shared" si="77"/>
        <v>U</v>
      </c>
      <c r="L2459" s="5" t="s">
        <v>1754</v>
      </c>
      <c r="M2459" s="5" t="s">
        <v>7895</v>
      </c>
      <c r="N2459" s="5" t="s">
        <v>7885</v>
      </c>
      <c r="O2459" s="5" t="s">
        <v>2874</v>
      </c>
      <c r="P2459" s="5" t="s">
        <v>2858</v>
      </c>
      <c r="Q2459" s="11">
        <v>46306.5</v>
      </c>
      <c r="R2459" s="6"/>
      <c r="S2459" s="6"/>
      <c r="T2459" s="6"/>
      <c r="U2459" s="5">
        <f>MATCH(B2459,Manual_Review!$A$6:$A$238,0)</f>
        <v>154</v>
      </c>
      <c r="V2459" s="5" t="str">
        <f>IF(INDEX(Manual_Review!$G$6:$G$238,U2459)="","",INDEX(Manual_Review!$G$6:$G$238,U2459))</f>
        <v/>
      </c>
      <c r="W2459" s="11" t="str">
        <f>IF(INDEX(Manual_Review!$H$6:$H$238,U2459)="","",INDEX(Manual_Review!$H$6:$H$238,U2459))</f>
        <v/>
      </c>
      <c r="X2459" s="5" t="str">
        <f>IF(INDEX(Manual_Review!$I$6:$I$238,U2459)="","",INDEX(Manual_Review!$I$6:$I$238,U2459))</f>
        <v/>
      </c>
      <c r="Y2459" s="5" t="s">
        <v>2859</v>
      </c>
    </row>
    <row r="2460" spans="1:25" ht="38.25">
      <c r="A2460" s="5" t="s">
        <v>7896</v>
      </c>
      <c r="B2460" s="5" t="s">
        <v>1746</v>
      </c>
      <c r="C2460" s="5" t="s">
        <v>1747</v>
      </c>
      <c r="D2460" s="5" t="s">
        <v>118</v>
      </c>
      <c r="E2460" s="5" t="s">
        <v>2787</v>
      </c>
      <c r="F2460" s="5" t="s">
        <v>2758</v>
      </c>
      <c r="G2460" s="5">
        <v>1</v>
      </c>
      <c r="H2460" s="5" t="s">
        <v>2854</v>
      </c>
      <c r="I2460" s="5" t="str">
        <f>IF(INDEX(Manual_Review!$Q$6:$Q$238,U2460)="","",INDEX(Manual_Review!$Q$6:$Q$238,U2460))</f>
        <v/>
      </c>
      <c r="J2460" s="5" t="str">
        <f t="shared" si="76"/>
        <v>AI provisional</v>
      </c>
      <c r="K2460" s="5" t="str">
        <f t="shared" si="77"/>
        <v>Y</v>
      </c>
      <c r="L2460" s="5" t="s">
        <v>1754</v>
      </c>
      <c r="M2460" s="5" t="s">
        <v>7897</v>
      </c>
      <c r="N2460" s="5" t="s">
        <v>7885</v>
      </c>
      <c r="O2460" s="5" t="s">
        <v>2969</v>
      </c>
      <c r="P2460" s="5" t="s">
        <v>2858</v>
      </c>
      <c r="Q2460" s="11">
        <v>46306.5</v>
      </c>
      <c r="R2460" s="6"/>
      <c r="S2460" s="6"/>
      <c r="T2460" s="6"/>
      <c r="U2460" s="5">
        <f>MATCH(B2460,Manual_Review!$A$6:$A$238,0)</f>
        <v>154</v>
      </c>
      <c r="V2460" s="5" t="str">
        <f>IF(INDEX(Manual_Review!$G$6:$G$238,U2460)="","",INDEX(Manual_Review!$G$6:$G$238,U2460))</f>
        <v/>
      </c>
      <c r="W2460" s="11" t="str">
        <f>IF(INDEX(Manual_Review!$H$6:$H$238,U2460)="","",INDEX(Manual_Review!$H$6:$H$238,U2460))</f>
        <v/>
      </c>
      <c r="X2460" s="5" t="str">
        <f>IF(INDEX(Manual_Review!$I$6:$I$238,U2460)="","",INDEX(Manual_Review!$I$6:$I$238,U2460))</f>
        <v/>
      </c>
      <c r="Y2460" s="5" t="s">
        <v>2859</v>
      </c>
    </row>
    <row r="2461" spans="1:25" ht="38.25">
      <c r="A2461" s="5" t="s">
        <v>7898</v>
      </c>
      <c r="B2461" s="5" t="s">
        <v>1746</v>
      </c>
      <c r="C2461" s="5" t="s">
        <v>1747</v>
      </c>
      <c r="D2461" s="5" t="s">
        <v>118</v>
      </c>
      <c r="E2461" s="5" t="s">
        <v>2788</v>
      </c>
      <c r="F2461" s="5" t="s">
        <v>2758</v>
      </c>
      <c r="G2461" s="5">
        <v>1</v>
      </c>
      <c r="H2461" s="5" t="s">
        <v>2854</v>
      </c>
      <c r="I2461" s="5" t="str">
        <f>IF(INDEX(Manual_Review!$R$6:$R$238,U2461)="","",INDEX(Manual_Review!$R$6:$R$238,U2461))</f>
        <v/>
      </c>
      <c r="J2461" s="5" t="str">
        <f t="shared" si="76"/>
        <v>AI provisional</v>
      </c>
      <c r="K2461" s="5" t="str">
        <f t="shared" si="77"/>
        <v>Y</v>
      </c>
      <c r="L2461" s="5" t="s">
        <v>1754</v>
      </c>
      <c r="M2461" s="5" t="s">
        <v>7899</v>
      </c>
      <c r="N2461" s="5" t="s">
        <v>7885</v>
      </c>
      <c r="O2461" s="5" t="s">
        <v>3067</v>
      </c>
      <c r="P2461" s="5" t="s">
        <v>2858</v>
      </c>
      <c r="Q2461" s="11">
        <v>46306.5</v>
      </c>
      <c r="R2461" s="6"/>
      <c r="S2461" s="6"/>
      <c r="T2461" s="6"/>
      <c r="U2461" s="5">
        <f>MATCH(B2461,Manual_Review!$A$6:$A$238,0)</f>
        <v>154</v>
      </c>
      <c r="V2461" s="5" t="str">
        <f>IF(INDEX(Manual_Review!$G$6:$G$238,U2461)="","",INDEX(Manual_Review!$G$6:$G$238,U2461))</f>
        <v/>
      </c>
      <c r="W2461" s="11" t="str">
        <f>IF(INDEX(Manual_Review!$H$6:$H$238,U2461)="","",INDEX(Manual_Review!$H$6:$H$238,U2461))</f>
        <v/>
      </c>
      <c r="X2461" s="5" t="str">
        <f>IF(INDEX(Manual_Review!$I$6:$I$238,U2461)="","",INDEX(Manual_Review!$I$6:$I$238,U2461))</f>
        <v/>
      </c>
      <c r="Y2461" s="5" t="s">
        <v>2859</v>
      </c>
    </row>
    <row r="2462" spans="1:25" ht="38.25">
      <c r="A2462" s="5" t="s">
        <v>7900</v>
      </c>
      <c r="B2462" s="5" t="s">
        <v>1746</v>
      </c>
      <c r="C2462" s="5" t="s">
        <v>1747</v>
      </c>
      <c r="D2462" s="5" t="s">
        <v>118</v>
      </c>
      <c r="E2462" s="5" t="s">
        <v>2789</v>
      </c>
      <c r="F2462" s="5" t="s">
        <v>2758</v>
      </c>
      <c r="G2462" s="5">
        <v>1</v>
      </c>
      <c r="H2462" s="5" t="s">
        <v>2854</v>
      </c>
      <c r="I2462" s="5" t="str">
        <f>IF(INDEX(Manual_Review!$S$6:$S$238,U2462)="","",INDEX(Manual_Review!$S$6:$S$238,U2462))</f>
        <v/>
      </c>
      <c r="J2462" s="5" t="str">
        <f t="shared" si="76"/>
        <v>AI provisional</v>
      </c>
      <c r="K2462" s="5" t="str">
        <f t="shared" si="77"/>
        <v>Y</v>
      </c>
      <c r="L2462" s="5" t="s">
        <v>1754</v>
      </c>
      <c r="M2462" s="5" t="s">
        <v>7901</v>
      </c>
      <c r="N2462" s="5" t="s">
        <v>7885</v>
      </c>
      <c r="O2462" s="5" t="s">
        <v>3178</v>
      </c>
      <c r="P2462" s="5" t="s">
        <v>2858</v>
      </c>
      <c r="Q2462" s="11">
        <v>46306.5</v>
      </c>
      <c r="R2462" s="6"/>
      <c r="S2462" s="6"/>
      <c r="T2462" s="6"/>
      <c r="U2462" s="5">
        <f>MATCH(B2462,Manual_Review!$A$6:$A$238,0)</f>
        <v>154</v>
      </c>
      <c r="V2462" s="5" t="str">
        <f>IF(INDEX(Manual_Review!$G$6:$G$238,U2462)="","",INDEX(Manual_Review!$G$6:$G$238,U2462))</f>
        <v/>
      </c>
      <c r="W2462" s="11" t="str">
        <f>IF(INDEX(Manual_Review!$H$6:$H$238,U2462)="","",INDEX(Manual_Review!$H$6:$H$238,U2462))</f>
        <v/>
      </c>
      <c r="X2462" s="5" t="str">
        <f>IF(INDEX(Manual_Review!$I$6:$I$238,U2462)="","",INDEX(Manual_Review!$I$6:$I$238,U2462))</f>
        <v/>
      </c>
      <c r="Y2462" s="5" t="s">
        <v>2859</v>
      </c>
    </row>
    <row r="2463" spans="1:25" ht="38.25">
      <c r="A2463" s="5" t="s">
        <v>7902</v>
      </c>
      <c r="B2463" s="5" t="s">
        <v>1746</v>
      </c>
      <c r="C2463" s="5" t="s">
        <v>1747</v>
      </c>
      <c r="D2463" s="5" t="s">
        <v>118</v>
      </c>
      <c r="E2463" s="5" t="s">
        <v>2790</v>
      </c>
      <c r="F2463" s="5" t="s">
        <v>2760</v>
      </c>
      <c r="G2463" s="5">
        <v>1</v>
      </c>
      <c r="H2463" s="5" t="s">
        <v>2864</v>
      </c>
      <c r="I2463" s="5" t="str">
        <f>IF(INDEX(Manual_Review!$T$6:$T$238,U2463)="","",INDEX(Manual_Review!$T$6:$T$238,U2463))</f>
        <v/>
      </c>
      <c r="J2463" s="5" t="str">
        <f t="shared" si="76"/>
        <v>AI provisional</v>
      </c>
      <c r="K2463" s="5" t="str">
        <f t="shared" si="77"/>
        <v>U</v>
      </c>
      <c r="L2463" s="5" t="s">
        <v>1754</v>
      </c>
      <c r="M2463" s="5" t="s">
        <v>7903</v>
      </c>
      <c r="N2463" s="5" t="s">
        <v>7885</v>
      </c>
      <c r="O2463" s="5" t="s">
        <v>7904</v>
      </c>
      <c r="P2463" s="5" t="s">
        <v>2858</v>
      </c>
      <c r="Q2463" s="11">
        <v>46306.5</v>
      </c>
      <c r="R2463" s="6"/>
      <c r="S2463" s="6"/>
      <c r="T2463" s="6"/>
      <c r="U2463" s="5">
        <f>MATCH(B2463,Manual_Review!$A$6:$A$238,0)</f>
        <v>154</v>
      </c>
      <c r="V2463" s="5" t="str">
        <f>IF(INDEX(Manual_Review!$G$6:$G$238,U2463)="","",INDEX(Manual_Review!$G$6:$G$238,U2463))</f>
        <v/>
      </c>
      <c r="W2463" s="11" t="str">
        <f>IF(INDEX(Manual_Review!$H$6:$H$238,U2463)="","",INDEX(Manual_Review!$H$6:$H$238,U2463))</f>
        <v/>
      </c>
      <c r="X2463" s="5" t="str">
        <f>IF(INDEX(Manual_Review!$I$6:$I$238,U2463)="","",INDEX(Manual_Review!$I$6:$I$238,U2463))</f>
        <v/>
      </c>
      <c r="Y2463" s="5" t="s">
        <v>2859</v>
      </c>
    </row>
    <row r="2464" spans="1:25" ht="38.25">
      <c r="A2464" s="5" t="s">
        <v>7905</v>
      </c>
      <c r="B2464" s="5" t="s">
        <v>1746</v>
      </c>
      <c r="C2464" s="5" t="s">
        <v>1747</v>
      </c>
      <c r="D2464" s="5" t="s">
        <v>118</v>
      </c>
      <c r="E2464" s="5" t="s">
        <v>2791</v>
      </c>
      <c r="F2464" s="5" t="s">
        <v>2760</v>
      </c>
      <c r="G2464" s="5">
        <v>1</v>
      </c>
      <c r="H2464" s="5" t="s">
        <v>2854</v>
      </c>
      <c r="I2464" s="5" t="str">
        <f>IF(INDEX(Manual_Review!$U$6:$U$238,U2464)="","",INDEX(Manual_Review!$U$6:$U$238,U2464))</f>
        <v/>
      </c>
      <c r="J2464" s="5" t="str">
        <f t="shared" si="76"/>
        <v>AI provisional</v>
      </c>
      <c r="K2464" s="5" t="str">
        <f t="shared" si="77"/>
        <v>Y</v>
      </c>
      <c r="L2464" s="5" t="s">
        <v>1754</v>
      </c>
      <c r="M2464" s="5" t="s">
        <v>7906</v>
      </c>
      <c r="N2464" s="5" t="s">
        <v>7885</v>
      </c>
      <c r="O2464" s="5" t="s">
        <v>3380</v>
      </c>
      <c r="P2464" s="5" t="s">
        <v>2858</v>
      </c>
      <c r="Q2464" s="11">
        <v>46306.5</v>
      </c>
      <c r="R2464" s="6"/>
      <c r="S2464" s="6"/>
      <c r="T2464" s="6"/>
      <c r="U2464" s="5">
        <f>MATCH(B2464,Manual_Review!$A$6:$A$238,0)</f>
        <v>154</v>
      </c>
      <c r="V2464" s="5" t="str">
        <f>IF(INDEX(Manual_Review!$G$6:$G$238,U2464)="","",INDEX(Manual_Review!$G$6:$G$238,U2464))</f>
        <v/>
      </c>
      <c r="W2464" s="11" t="str">
        <f>IF(INDEX(Manual_Review!$H$6:$H$238,U2464)="","",INDEX(Manual_Review!$H$6:$H$238,U2464))</f>
        <v/>
      </c>
      <c r="X2464" s="5" t="str">
        <f>IF(INDEX(Manual_Review!$I$6:$I$238,U2464)="","",INDEX(Manual_Review!$I$6:$I$238,U2464))</f>
        <v/>
      </c>
      <c r="Y2464" s="5" t="s">
        <v>2859</v>
      </c>
    </row>
    <row r="2465" spans="1:25" ht="38.25">
      <c r="A2465" s="5" t="s">
        <v>7907</v>
      </c>
      <c r="B2465" s="5" t="s">
        <v>1746</v>
      </c>
      <c r="C2465" s="5" t="s">
        <v>1747</v>
      </c>
      <c r="D2465" s="5" t="s">
        <v>118</v>
      </c>
      <c r="E2465" s="5" t="s">
        <v>2792</v>
      </c>
      <c r="F2465" s="5" t="s">
        <v>2762</v>
      </c>
      <c r="G2465" s="5">
        <v>1</v>
      </c>
      <c r="H2465" s="5" t="s">
        <v>2864</v>
      </c>
      <c r="I2465" s="5" t="str">
        <f>IF(INDEX(Manual_Review!$V$6:$V$238,U2465)="","",INDEX(Manual_Review!$V$6:$V$238,U2465))</f>
        <v/>
      </c>
      <c r="J2465" s="5" t="str">
        <f t="shared" si="76"/>
        <v>AI provisional</v>
      </c>
      <c r="K2465" s="5" t="str">
        <f t="shared" si="77"/>
        <v>U</v>
      </c>
      <c r="L2465" s="5" t="s">
        <v>1754</v>
      </c>
      <c r="M2465" s="5" t="s">
        <v>7908</v>
      </c>
      <c r="N2465" s="5" t="s">
        <v>7885</v>
      </c>
      <c r="O2465" s="5" t="s">
        <v>2891</v>
      </c>
      <c r="P2465" s="5" t="s">
        <v>2858</v>
      </c>
      <c r="Q2465" s="11">
        <v>46306.5</v>
      </c>
      <c r="R2465" s="6"/>
      <c r="S2465" s="6"/>
      <c r="T2465" s="6"/>
      <c r="U2465" s="5">
        <f>MATCH(B2465,Manual_Review!$A$6:$A$238,0)</f>
        <v>154</v>
      </c>
      <c r="V2465" s="5" t="str">
        <f>IF(INDEX(Manual_Review!$G$6:$G$238,U2465)="","",INDEX(Manual_Review!$G$6:$G$238,U2465))</f>
        <v/>
      </c>
      <c r="W2465" s="11" t="str">
        <f>IF(INDEX(Manual_Review!$H$6:$H$238,U2465)="","",INDEX(Manual_Review!$H$6:$H$238,U2465))</f>
        <v/>
      </c>
      <c r="X2465" s="5" t="str">
        <f>IF(INDEX(Manual_Review!$I$6:$I$238,U2465)="","",INDEX(Manual_Review!$I$6:$I$238,U2465))</f>
        <v/>
      </c>
      <c r="Y2465" s="5" t="s">
        <v>2859</v>
      </c>
    </row>
    <row r="2466" spans="1:25" ht="38.25">
      <c r="A2466" s="5" t="s">
        <v>7909</v>
      </c>
      <c r="B2466" s="5" t="s">
        <v>1746</v>
      </c>
      <c r="C2466" s="5" t="s">
        <v>1747</v>
      </c>
      <c r="D2466" s="5" t="s">
        <v>118</v>
      </c>
      <c r="E2466" s="5" t="s">
        <v>2793</v>
      </c>
      <c r="F2466" s="5" t="s">
        <v>2762</v>
      </c>
      <c r="G2466" s="5">
        <v>1</v>
      </c>
      <c r="H2466" s="5" t="s">
        <v>2854</v>
      </c>
      <c r="I2466" s="5" t="str">
        <f>IF(INDEX(Manual_Review!$W$6:$W$238,U2466)="","",INDEX(Manual_Review!$W$6:$W$238,U2466))</f>
        <v/>
      </c>
      <c r="J2466" s="5" t="str">
        <f t="shared" si="76"/>
        <v>AI provisional</v>
      </c>
      <c r="K2466" s="5" t="str">
        <f t="shared" si="77"/>
        <v>Y</v>
      </c>
      <c r="L2466" s="5" t="s">
        <v>1754</v>
      </c>
      <c r="M2466" s="5" t="s">
        <v>7910</v>
      </c>
      <c r="N2466" s="5" t="s">
        <v>7885</v>
      </c>
      <c r="O2466" s="5" t="s">
        <v>3077</v>
      </c>
      <c r="P2466" s="5" t="s">
        <v>2858</v>
      </c>
      <c r="Q2466" s="11">
        <v>46306.5</v>
      </c>
      <c r="R2466" s="6"/>
      <c r="S2466" s="6"/>
      <c r="T2466" s="6"/>
      <c r="U2466" s="5">
        <f>MATCH(B2466,Manual_Review!$A$6:$A$238,0)</f>
        <v>154</v>
      </c>
      <c r="V2466" s="5" t="str">
        <f>IF(INDEX(Manual_Review!$G$6:$G$238,U2466)="","",INDEX(Manual_Review!$G$6:$G$238,U2466))</f>
        <v/>
      </c>
      <c r="W2466" s="11" t="str">
        <f>IF(INDEX(Manual_Review!$H$6:$H$238,U2466)="","",INDEX(Manual_Review!$H$6:$H$238,U2466))</f>
        <v/>
      </c>
      <c r="X2466" s="5" t="str">
        <f>IF(INDEX(Manual_Review!$I$6:$I$238,U2466)="","",INDEX(Manual_Review!$I$6:$I$238,U2466))</f>
        <v/>
      </c>
      <c r="Y2466" s="5" t="s">
        <v>2859</v>
      </c>
    </row>
    <row r="2467" spans="1:25" ht="38.25">
      <c r="A2467" s="5" t="s">
        <v>7911</v>
      </c>
      <c r="B2467" s="5" t="s">
        <v>1746</v>
      </c>
      <c r="C2467" s="5" t="s">
        <v>1747</v>
      </c>
      <c r="D2467" s="5" t="s">
        <v>118</v>
      </c>
      <c r="E2467" s="5" t="s">
        <v>2794</v>
      </c>
      <c r="F2467" s="5" t="s">
        <v>2764</v>
      </c>
      <c r="G2467" s="5">
        <v>1</v>
      </c>
      <c r="H2467" s="5" t="s">
        <v>2864</v>
      </c>
      <c r="I2467" s="5" t="str">
        <f>IF(INDEX(Manual_Review!$X$6:$X$238,U2467)="","",INDEX(Manual_Review!$X$6:$X$238,U2467))</f>
        <v/>
      </c>
      <c r="J2467" s="5" t="str">
        <f t="shared" si="76"/>
        <v>AI provisional</v>
      </c>
      <c r="K2467" s="5" t="str">
        <f t="shared" si="77"/>
        <v>U</v>
      </c>
      <c r="L2467" s="5" t="s">
        <v>1754</v>
      </c>
      <c r="M2467" s="5" t="s">
        <v>7895</v>
      </c>
      <c r="N2467" s="5" t="s">
        <v>7885</v>
      </c>
      <c r="O2467" s="5" t="s">
        <v>2895</v>
      </c>
      <c r="P2467" s="5" t="s">
        <v>2858</v>
      </c>
      <c r="Q2467" s="11">
        <v>46306.5</v>
      </c>
      <c r="R2467" s="6"/>
      <c r="S2467" s="6"/>
      <c r="T2467" s="6"/>
      <c r="U2467" s="5">
        <f>MATCH(B2467,Manual_Review!$A$6:$A$238,0)</f>
        <v>154</v>
      </c>
      <c r="V2467" s="5" t="str">
        <f>IF(INDEX(Manual_Review!$G$6:$G$238,U2467)="","",INDEX(Manual_Review!$G$6:$G$238,U2467))</f>
        <v/>
      </c>
      <c r="W2467" s="11" t="str">
        <f>IF(INDEX(Manual_Review!$H$6:$H$238,U2467)="","",INDEX(Manual_Review!$H$6:$H$238,U2467))</f>
        <v/>
      </c>
      <c r="X2467" s="5" t="str">
        <f>IF(INDEX(Manual_Review!$I$6:$I$238,U2467)="","",INDEX(Manual_Review!$I$6:$I$238,U2467))</f>
        <v/>
      </c>
      <c r="Y2467" s="5" t="s">
        <v>2859</v>
      </c>
    </row>
    <row r="2468" spans="1:25" ht="38.25">
      <c r="A2468" s="5" t="s">
        <v>7912</v>
      </c>
      <c r="B2468" s="5" t="s">
        <v>1746</v>
      </c>
      <c r="C2468" s="5" t="s">
        <v>1747</v>
      </c>
      <c r="D2468" s="5" t="s">
        <v>118</v>
      </c>
      <c r="E2468" s="5" t="s">
        <v>2795</v>
      </c>
      <c r="F2468" s="5" t="s">
        <v>2764</v>
      </c>
      <c r="G2468" s="5">
        <v>1</v>
      </c>
      <c r="H2468" s="5" t="s">
        <v>2864</v>
      </c>
      <c r="I2468" s="5" t="str">
        <f>IF(INDEX(Manual_Review!$Y$6:$Y$238,U2468)="","",INDEX(Manual_Review!$Y$6:$Y$238,U2468))</f>
        <v/>
      </c>
      <c r="J2468" s="5" t="str">
        <f t="shared" si="76"/>
        <v>AI provisional</v>
      </c>
      <c r="K2468" s="5" t="str">
        <f t="shared" si="77"/>
        <v>U</v>
      </c>
      <c r="L2468" s="5" t="s">
        <v>1754</v>
      </c>
      <c r="M2468" s="5" t="s">
        <v>7895</v>
      </c>
      <c r="N2468" s="5" t="s">
        <v>7885</v>
      </c>
      <c r="O2468" s="5" t="s">
        <v>2897</v>
      </c>
      <c r="P2468" s="5" t="s">
        <v>2858</v>
      </c>
      <c r="Q2468" s="11">
        <v>46306.5</v>
      </c>
      <c r="R2468" s="6"/>
      <c r="S2468" s="6"/>
      <c r="T2468" s="6"/>
      <c r="U2468" s="5">
        <f>MATCH(B2468,Manual_Review!$A$6:$A$238,0)</f>
        <v>154</v>
      </c>
      <c r="V2468" s="5" t="str">
        <f>IF(INDEX(Manual_Review!$G$6:$G$238,U2468)="","",INDEX(Manual_Review!$G$6:$G$238,U2468))</f>
        <v/>
      </c>
      <c r="W2468" s="11" t="str">
        <f>IF(INDEX(Manual_Review!$H$6:$H$238,U2468)="","",INDEX(Manual_Review!$H$6:$H$238,U2468))</f>
        <v/>
      </c>
      <c r="X2468" s="5" t="str">
        <f>IF(INDEX(Manual_Review!$I$6:$I$238,U2468)="","",INDEX(Manual_Review!$I$6:$I$238,U2468))</f>
        <v/>
      </c>
      <c r="Y2468" s="5" t="s">
        <v>2859</v>
      </c>
    </row>
    <row r="2469" spans="1:25" ht="38.25">
      <c r="A2469" s="5" t="s">
        <v>7913</v>
      </c>
      <c r="B2469" s="5" t="s">
        <v>1746</v>
      </c>
      <c r="C2469" s="5" t="s">
        <v>1747</v>
      </c>
      <c r="D2469" s="5" t="s">
        <v>118</v>
      </c>
      <c r="E2469" s="5" t="s">
        <v>2796</v>
      </c>
      <c r="F2469" s="5" t="s">
        <v>2764</v>
      </c>
      <c r="G2469" s="5">
        <v>1</v>
      </c>
      <c r="H2469" s="5" t="s">
        <v>2854</v>
      </c>
      <c r="I2469" s="5" t="str">
        <f>IF(INDEX(Manual_Review!$Z$6:$Z$238,U2469)="","",INDEX(Manual_Review!$Z$6:$Z$238,U2469))</f>
        <v/>
      </c>
      <c r="J2469" s="5" t="str">
        <f t="shared" si="76"/>
        <v>AI provisional</v>
      </c>
      <c r="K2469" s="5" t="str">
        <f t="shared" si="77"/>
        <v>Y</v>
      </c>
      <c r="L2469" s="5" t="s">
        <v>1754</v>
      </c>
      <c r="M2469" s="5" t="s">
        <v>7914</v>
      </c>
      <c r="N2469" s="5" t="s">
        <v>7885</v>
      </c>
      <c r="O2469" s="5" t="s">
        <v>3085</v>
      </c>
      <c r="P2469" s="5" t="s">
        <v>2858</v>
      </c>
      <c r="Q2469" s="11">
        <v>46306.5</v>
      </c>
      <c r="R2469" s="6"/>
      <c r="S2469" s="6"/>
      <c r="T2469" s="6"/>
      <c r="U2469" s="5">
        <f>MATCH(B2469,Manual_Review!$A$6:$A$238,0)</f>
        <v>154</v>
      </c>
      <c r="V2469" s="5" t="str">
        <f>IF(INDEX(Manual_Review!$G$6:$G$238,U2469)="","",INDEX(Manual_Review!$G$6:$G$238,U2469))</f>
        <v/>
      </c>
      <c r="W2469" s="11" t="str">
        <f>IF(INDEX(Manual_Review!$H$6:$H$238,U2469)="","",INDEX(Manual_Review!$H$6:$H$238,U2469))</f>
        <v/>
      </c>
      <c r="X2469" s="5" t="str">
        <f>IF(INDEX(Manual_Review!$I$6:$I$238,U2469)="","",INDEX(Manual_Review!$I$6:$I$238,U2469))</f>
        <v/>
      </c>
      <c r="Y2469" s="5" t="s">
        <v>2859</v>
      </c>
    </row>
    <row r="2470" spans="1:25" ht="25.5">
      <c r="A2470" s="5" t="s">
        <v>7915</v>
      </c>
      <c r="B2470" s="5" t="s">
        <v>1756</v>
      </c>
      <c r="C2470" s="5" t="s">
        <v>1757</v>
      </c>
      <c r="D2470" s="5" t="s">
        <v>118</v>
      </c>
      <c r="E2470" s="5" t="s">
        <v>2781</v>
      </c>
      <c r="F2470" s="5" t="s">
        <v>2754</v>
      </c>
      <c r="G2470" s="5">
        <v>1</v>
      </c>
      <c r="H2470" s="5" t="s">
        <v>2854</v>
      </c>
      <c r="I2470" s="5" t="str">
        <f>IF(INDEX(Manual_Review!$K$6:$K$238,U2470)="","",INDEX(Manual_Review!$K$6:$K$238,U2470))</f>
        <v/>
      </c>
      <c r="J2470" s="5" t="str">
        <f t="shared" si="76"/>
        <v>AI provisional</v>
      </c>
      <c r="K2470" s="5" t="str">
        <f t="shared" si="77"/>
        <v>Y</v>
      </c>
      <c r="L2470" s="5" t="s">
        <v>1765</v>
      </c>
      <c r="M2470" s="5" t="s">
        <v>7916</v>
      </c>
      <c r="N2470" s="5" t="s">
        <v>7917</v>
      </c>
      <c r="O2470" s="5" t="s">
        <v>2857</v>
      </c>
      <c r="P2470" s="5" t="s">
        <v>2858</v>
      </c>
      <c r="Q2470" s="11">
        <v>46306.5</v>
      </c>
      <c r="R2470" s="6"/>
      <c r="S2470" s="6"/>
      <c r="T2470" s="6"/>
      <c r="U2470" s="5">
        <f>MATCH(B2470,Manual_Review!$A$6:$A$238,0)</f>
        <v>155</v>
      </c>
      <c r="V2470" s="5" t="str">
        <f>IF(INDEX(Manual_Review!$G$6:$G$238,U2470)="","",INDEX(Manual_Review!$G$6:$G$238,U2470))</f>
        <v/>
      </c>
      <c r="W2470" s="11" t="str">
        <f>IF(INDEX(Manual_Review!$H$6:$H$238,U2470)="","",INDEX(Manual_Review!$H$6:$H$238,U2470))</f>
        <v/>
      </c>
      <c r="X2470" s="5" t="str">
        <f>IF(INDEX(Manual_Review!$I$6:$I$238,U2470)="","",INDEX(Manual_Review!$I$6:$I$238,U2470))</f>
        <v/>
      </c>
      <c r="Y2470" s="5" t="s">
        <v>2859</v>
      </c>
    </row>
    <row r="2471" spans="1:25" ht="25.5">
      <c r="A2471" s="5" t="s">
        <v>7918</v>
      </c>
      <c r="B2471" s="5" t="s">
        <v>1756</v>
      </c>
      <c r="C2471" s="5" t="s">
        <v>1757</v>
      </c>
      <c r="D2471" s="5" t="s">
        <v>118</v>
      </c>
      <c r="E2471" s="5" t="s">
        <v>2782</v>
      </c>
      <c r="F2471" s="5" t="s">
        <v>2754</v>
      </c>
      <c r="G2471" s="5">
        <v>1</v>
      </c>
      <c r="H2471" s="5" t="s">
        <v>2854</v>
      </c>
      <c r="I2471" s="5" t="str">
        <f>IF(INDEX(Manual_Review!$L$6:$L$238,U2471)="","",INDEX(Manual_Review!$L$6:$L$238,U2471))</f>
        <v/>
      </c>
      <c r="J2471" s="5" t="str">
        <f t="shared" si="76"/>
        <v>AI provisional</v>
      </c>
      <c r="K2471" s="5" t="str">
        <f t="shared" si="77"/>
        <v>Y</v>
      </c>
      <c r="L2471" s="5" t="s">
        <v>1765</v>
      </c>
      <c r="M2471" s="5" t="s">
        <v>7919</v>
      </c>
      <c r="N2471" s="5" t="s">
        <v>7917</v>
      </c>
      <c r="O2471" s="5" t="s">
        <v>2862</v>
      </c>
      <c r="P2471" s="5" t="s">
        <v>2858</v>
      </c>
      <c r="Q2471" s="11">
        <v>46306.5</v>
      </c>
      <c r="R2471" s="6"/>
      <c r="S2471" s="6"/>
      <c r="T2471" s="6"/>
      <c r="U2471" s="5">
        <f>MATCH(B2471,Manual_Review!$A$6:$A$238,0)</f>
        <v>155</v>
      </c>
      <c r="V2471" s="5" t="str">
        <f>IF(INDEX(Manual_Review!$G$6:$G$238,U2471)="","",INDEX(Manual_Review!$G$6:$G$238,U2471))</f>
        <v/>
      </c>
      <c r="W2471" s="11" t="str">
        <f>IF(INDEX(Manual_Review!$H$6:$H$238,U2471)="","",INDEX(Manual_Review!$H$6:$H$238,U2471))</f>
        <v/>
      </c>
      <c r="X2471" s="5" t="str">
        <f>IF(INDEX(Manual_Review!$I$6:$I$238,U2471)="","",INDEX(Manual_Review!$I$6:$I$238,U2471))</f>
        <v/>
      </c>
      <c r="Y2471" s="5" t="s">
        <v>2859</v>
      </c>
    </row>
    <row r="2472" spans="1:25" ht="25.5">
      <c r="A2472" s="5" t="s">
        <v>7920</v>
      </c>
      <c r="B2472" s="5" t="s">
        <v>1756</v>
      </c>
      <c r="C2472" s="5" t="s">
        <v>1757</v>
      </c>
      <c r="D2472" s="5" t="s">
        <v>118</v>
      </c>
      <c r="E2472" s="5" t="s">
        <v>2783</v>
      </c>
      <c r="F2472" s="5" t="s">
        <v>2754</v>
      </c>
      <c r="G2472" s="5">
        <v>1</v>
      </c>
      <c r="H2472" s="5" t="s">
        <v>2864</v>
      </c>
      <c r="I2472" s="5" t="str">
        <f>IF(INDEX(Manual_Review!$M$6:$M$238,U2472)="","",INDEX(Manual_Review!$M$6:$M$238,U2472))</f>
        <v/>
      </c>
      <c r="J2472" s="5" t="str">
        <f t="shared" si="76"/>
        <v>AI provisional</v>
      </c>
      <c r="K2472" s="5" t="str">
        <f t="shared" si="77"/>
        <v>U</v>
      </c>
      <c r="L2472" s="5" t="s">
        <v>1765</v>
      </c>
      <c r="M2472" s="5" t="s">
        <v>7921</v>
      </c>
      <c r="N2472" s="5" t="s">
        <v>7917</v>
      </c>
      <c r="O2472" s="5" t="s">
        <v>2866</v>
      </c>
      <c r="P2472" s="5" t="s">
        <v>2858</v>
      </c>
      <c r="Q2472" s="11">
        <v>46306.5</v>
      </c>
      <c r="R2472" s="6"/>
      <c r="S2472" s="6"/>
      <c r="T2472" s="6"/>
      <c r="U2472" s="5">
        <f>MATCH(B2472,Manual_Review!$A$6:$A$238,0)</f>
        <v>155</v>
      </c>
      <c r="V2472" s="5" t="str">
        <f>IF(INDEX(Manual_Review!$G$6:$G$238,U2472)="","",INDEX(Manual_Review!$G$6:$G$238,U2472))</f>
        <v/>
      </c>
      <c r="W2472" s="11" t="str">
        <f>IF(INDEX(Manual_Review!$H$6:$H$238,U2472)="","",INDEX(Manual_Review!$H$6:$H$238,U2472))</f>
        <v/>
      </c>
      <c r="X2472" s="5" t="str">
        <f>IF(INDEX(Manual_Review!$I$6:$I$238,U2472)="","",INDEX(Manual_Review!$I$6:$I$238,U2472))</f>
        <v/>
      </c>
      <c r="Y2472" s="5" t="s">
        <v>2859</v>
      </c>
    </row>
    <row r="2473" spans="1:25" ht="25.5">
      <c r="A2473" s="5" t="s">
        <v>7922</v>
      </c>
      <c r="B2473" s="5" t="s">
        <v>1756</v>
      </c>
      <c r="C2473" s="5" t="s">
        <v>1757</v>
      </c>
      <c r="D2473" s="5" t="s">
        <v>118</v>
      </c>
      <c r="E2473" s="5" t="s">
        <v>2784</v>
      </c>
      <c r="F2473" s="5" t="s">
        <v>2756</v>
      </c>
      <c r="G2473" s="5">
        <v>1</v>
      </c>
      <c r="H2473" s="5" t="s">
        <v>2864</v>
      </c>
      <c r="I2473" s="5" t="str">
        <f>IF(INDEX(Manual_Review!$N$6:$N$238,U2473)="","",INDEX(Manual_Review!$N$6:$N$238,U2473))</f>
        <v/>
      </c>
      <c r="J2473" s="5" t="str">
        <f t="shared" si="76"/>
        <v>AI provisional</v>
      </c>
      <c r="K2473" s="5" t="str">
        <f t="shared" si="77"/>
        <v>U</v>
      </c>
      <c r="L2473" s="5" t="s">
        <v>1765</v>
      </c>
      <c r="M2473" s="5" t="s">
        <v>7923</v>
      </c>
      <c r="N2473" s="5" t="s">
        <v>7917</v>
      </c>
      <c r="O2473" s="5" t="s">
        <v>2869</v>
      </c>
      <c r="P2473" s="5" t="s">
        <v>2858</v>
      </c>
      <c r="Q2473" s="11">
        <v>46306.5</v>
      </c>
      <c r="R2473" s="6"/>
      <c r="S2473" s="6"/>
      <c r="T2473" s="6"/>
      <c r="U2473" s="5">
        <f>MATCH(B2473,Manual_Review!$A$6:$A$238,0)</f>
        <v>155</v>
      </c>
      <c r="V2473" s="5" t="str">
        <f>IF(INDEX(Manual_Review!$G$6:$G$238,U2473)="","",INDEX(Manual_Review!$G$6:$G$238,U2473))</f>
        <v/>
      </c>
      <c r="W2473" s="11" t="str">
        <f>IF(INDEX(Manual_Review!$H$6:$H$238,U2473)="","",INDEX(Manual_Review!$H$6:$H$238,U2473))</f>
        <v/>
      </c>
      <c r="X2473" s="5" t="str">
        <f>IF(INDEX(Manual_Review!$I$6:$I$238,U2473)="","",INDEX(Manual_Review!$I$6:$I$238,U2473))</f>
        <v/>
      </c>
      <c r="Y2473" s="5" t="s">
        <v>2859</v>
      </c>
    </row>
    <row r="2474" spans="1:25" ht="25.5">
      <c r="A2474" s="5" t="s">
        <v>7924</v>
      </c>
      <c r="B2474" s="5" t="s">
        <v>1756</v>
      </c>
      <c r="C2474" s="5" t="s">
        <v>1757</v>
      </c>
      <c r="D2474" s="5" t="s">
        <v>118</v>
      </c>
      <c r="E2474" s="5" t="s">
        <v>2785</v>
      </c>
      <c r="F2474" s="5" t="s">
        <v>2756</v>
      </c>
      <c r="G2474" s="5">
        <v>1</v>
      </c>
      <c r="H2474" s="5" t="s">
        <v>2864</v>
      </c>
      <c r="I2474" s="5" t="str">
        <f>IF(INDEX(Manual_Review!$O$6:$O$238,U2474)="","",INDEX(Manual_Review!$O$6:$O$238,U2474))</f>
        <v/>
      </c>
      <c r="J2474" s="5" t="str">
        <f t="shared" si="76"/>
        <v>AI provisional</v>
      </c>
      <c r="K2474" s="5" t="str">
        <f t="shared" si="77"/>
        <v>U</v>
      </c>
      <c r="L2474" s="5" t="s">
        <v>1765</v>
      </c>
      <c r="M2474" s="5" t="s">
        <v>7925</v>
      </c>
      <c r="N2474" s="5" t="s">
        <v>7917</v>
      </c>
      <c r="O2474" s="5" t="s">
        <v>2872</v>
      </c>
      <c r="P2474" s="5" t="s">
        <v>2858</v>
      </c>
      <c r="Q2474" s="11">
        <v>46306.5</v>
      </c>
      <c r="R2474" s="6"/>
      <c r="S2474" s="6"/>
      <c r="T2474" s="6"/>
      <c r="U2474" s="5">
        <f>MATCH(B2474,Manual_Review!$A$6:$A$238,0)</f>
        <v>155</v>
      </c>
      <c r="V2474" s="5" t="str">
        <f>IF(INDEX(Manual_Review!$G$6:$G$238,U2474)="","",INDEX(Manual_Review!$G$6:$G$238,U2474))</f>
        <v/>
      </c>
      <c r="W2474" s="11" t="str">
        <f>IF(INDEX(Manual_Review!$H$6:$H$238,U2474)="","",INDEX(Manual_Review!$H$6:$H$238,U2474))</f>
        <v/>
      </c>
      <c r="X2474" s="5" t="str">
        <f>IF(INDEX(Manual_Review!$I$6:$I$238,U2474)="","",INDEX(Manual_Review!$I$6:$I$238,U2474))</f>
        <v/>
      </c>
      <c r="Y2474" s="5" t="s">
        <v>2859</v>
      </c>
    </row>
    <row r="2475" spans="1:25" ht="25.5">
      <c r="A2475" s="5" t="s">
        <v>7926</v>
      </c>
      <c r="B2475" s="5" t="s">
        <v>1756</v>
      </c>
      <c r="C2475" s="5" t="s">
        <v>1757</v>
      </c>
      <c r="D2475" s="5" t="s">
        <v>118</v>
      </c>
      <c r="E2475" s="5" t="s">
        <v>2786</v>
      </c>
      <c r="F2475" s="5" t="s">
        <v>2756</v>
      </c>
      <c r="G2475" s="5">
        <v>1</v>
      </c>
      <c r="H2475" s="5" t="s">
        <v>2864</v>
      </c>
      <c r="I2475" s="5" t="str">
        <f>IF(INDEX(Manual_Review!$P$6:$P$238,U2475)="","",INDEX(Manual_Review!$P$6:$P$238,U2475))</f>
        <v/>
      </c>
      <c r="J2475" s="5" t="str">
        <f t="shared" si="76"/>
        <v>AI provisional</v>
      </c>
      <c r="K2475" s="5" t="str">
        <f t="shared" si="77"/>
        <v>U</v>
      </c>
      <c r="L2475" s="5" t="s">
        <v>1765</v>
      </c>
      <c r="M2475" s="5" t="s">
        <v>7921</v>
      </c>
      <c r="N2475" s="5" t="s">
        <v>7917</v>
      </c>
      <c r="O2475" s="5" t="s">
        <v>2874</v>
      </c>
      <c r="P2475" s="5" t="s">
        <v>2858</v>
      </c>
      <c r="Q2475" s="11">
        <v>46306.5</v>
      </c>
      <c r="R2475" s="6"/>
      <c r="S2475" s="6"/>
      <c r="T2475" s="6"/>
      <c r="U2475" s="5">
        <f>MATCH(B2475,Manual_Review!$A$6:$A$238,0)</f>
        <v>155</v>
      </c>
      <c r="V2475" s="5" t="str">
        <f>IF(INDEX(Manual_Review!$G$6:$G$238,U2475)="","",INDEX(Manual_Review!$G$6:$G$238,U2475))</f>
        <v/>
      </c>
      <c r="W2475" s="11" t="str">
        <f>IF(INDEX(Manual_Review!$H$6:$H$238,U2475)="","",INDEX(Manual_Review!$H$6:$H$238,U2475))</f>
        <v/>
      </c>
      <c r="X2475" s="5" t="str">
        <f>IF(INDEX(Manual_Review!$I$6:$I$238,U2475)="","",INDEX(Manual_Review!$I$6:$I$238,U2475))</f>
        <v/>
      </c>
      <c r="Y2475" s="5" t="s">
        <v>2859</v>
      </c>
    </row>
    <row r="2476" spans="1:25" ht="25.5">
      <c r="A2476" s="5" t="s">
        <v>7927</v>
      </c>
      <c r="B2476" s="5" t="s">
        <v>1756</v>
      </c>
      <c r="C2476" s="5" t="s">
        <v>1757</v>
      </c>
      <c r="D2476" s="5" t="s">
        <v>118</v>
      </c>
      <c r="E2476" s="5" t="s">
        <v>2787</v>
      </c>
      <c r="F2476" s="5" t="s">
        <v>2758</v>
      </c>
      <c r="G2476" s="5">
        <v>1</v>
      </c>
      <c r="H2476" s="5" t="s">
        <v>2864</v>
      </c>
      <c r="I2476" s="5" t="str">
        <f>IF(INDEX(Manual_Review!$Q$6:$Q$238,U2476)="","",INDEX(Manual_Review!$Q$6:$Q$238,U2476))</f>
        <v/>
      </c>
      <c r="J2476" s="5" t="str">
        <f t="shared" si="76"/>
        <v>AI provisional</v>
      </c>
      <c r="K2476" s="5" t="str">
        <f t="shared" si="77"/>
        <v>U</v>
      </c>
      <c r="L2476" s="5" t="s">
        <v>1765</v>
      </c>
      <c r="M2476" s="5" t="s">
        <v>7928</v>
      </c>
      <c r="N2476" s="5" t="s">
        <v>7917</v>
      </c>
      <c r="O2476" s="5" t="s">
        <v>2877</v>
      </c>
      <c r="P2476" s="5" t="s">
        <v>2858</v>
      </c>
      <c r="Q2476" s="11">
        <v>46306.5</v>
      </c>
      <c r="R2476" s="6"/>
      <c r="S2476" s="6"/>
      <c r="T2476" s="6"/>
      <c r="U2476" s="5">
        <f>MATCH(B2476,Manual_Review!$A$6:$A$238,0)</f>
        <v>155</v>
      </c>
      <c r="V2476" s="5" t="str">
        <f>IF(INDEX(Manual_Review!$G$6:$G$238,U2476)="","",INDEX(Manual_Review!$G$6:$G$238,U2476))</f>
        <v/>
      </c>
      <c r="W2476" s="11" t="str">
        <f>IF(INDEX(Manual_Review!$H$6:$H$238,U2476)="","",INDEX(Manual_Review!$H$6:$H$238,U2476))</f>
        <v/>
      </c>
      <c r="X2476" s="5" t="str">
        <f>IF(INDEX(Manual_Review!$I$6:$I$238,U2476)="","",INDEX(Manual_Review!$I$6:$I$238,U2476))</f>
        <v/>
      </c>
      <c r="Y2476" s="5" t="s">
        <v>2859</v>
      </c>
    </row>
    <row r="2477" spans="1:25" ht="25.5">
      <c r="A2477" s="5" t="s">
        <v>7929</v>
      </c>
      <c r="B2477" s="5" t="s">
        <v>1756</v>
      </c>
      <c r="C2477" s="5" t="s">
        <v>1757</v>
      </c>
      <c r="D2477" s="5" t="s">
        <v>118</v>
      </c>
      <c r="E2477" s="5" t="s">
        <v>2788</v>
      </c>
      <c r="F2477" s="5" t="s">
        <v>2758</v>
      </c>
      <c r="G2477" s="5">
        <v>1</v>
      </c>
      <c r="H2477" s="5" t="s">
        <v>2864</v>
      </c>
      <c r="I2477" s="5" t="str">
        <f>IF(INDEX(Manual_Review!$R$6:$R$238,U2477)="","",INDEX(Manual_Review!$R$6:$R$238,U2477))</f>
        <v/>
      </c>
      <c r="J2477" s="5" t="str">
        <f t="shared" si="76"/>
        <v>AI provisional</v>
      </c>
      <c r="K2477" s="5" t="str">
        <f t="shared" si="77"/>
        <v>U</v>
      </c>
      <c r="L2477" s="5" t="s">
        <v>1765</v>
      </c>
      <c r="M2477" s="5" t="s">
        <v>7930</v>
      </c>
      <c r="N2477" s="5" t="s">
        <v>7917</v>
      </c>
      <c r="O2477" s="5" t="s">
        <v>2880</v>
      </c>
      <c r="P2477" s="5" t="s">
        <v>2858</v>
      </c>
      <c r="Q2477" s="11">
        <v>46306.5</v>
      </c>
      <c r="R2477" s="6"/>
      <c r="S2477" s="6"/>
      <c r="T2477" s="6"/>
      <c r="U2477" s="5">
        <f>MATCH(B2477,Manual_Review!$A$6:$A$238,0)</f>
        <v>155</v>
      </c>
      <c r="V2477" s="5" t="str">
        <f>IF(INDEX(Manual_Review!$G$6:$G$238,U2477)="","",INDEX(Manual_Review!$G$6:$G$238,U2477))</f>
        <v/>
      </c>
      <c r="W2477" s="11" t="str">
        <f>IF(INDEX(Manual_Review!$H$6:$H$238,U2477)="","",INDEX(Manual_Review!$H$6:$H$238,U2477))</f>
        <v/>
      </c>
      <c r="X2477" s="5" t="str">
        <f>IF(INDEX(Manual_Review!$I$6:$I$238,U2477)="","",INDEX(Manual_Review!$I$6:$I$238,U2477))</f>
        <v/>
      </c>
      <c r="Y2477" s="5" t="s">
        <v>2859</v>
      </c>
    </row>
    <row r="2478" spans="1:25" ht="25.5">
      <c r="A2478" s="5" t="s">
        <v>7931</v>
      </c>
      <c r="B2478" s="5" t="s">
        <v>1756</v>
      </c>
      <c r="C2478" s="5" t="s">
        <v>1757</v>
      </c>
      <c r="D2478" s="5" t="s">
        <v>118</v>
      </c>
      <c r="E2478" s="5" t="s">
        <v>2789</v>
      </c>
      <c r="F2478" s="5" t="s">
        <v>2758</v>
      </c>
      <c r="G2478" s="5">
        <v>1</v>
      </c>
      <c r="H2478" s="5" t="s">
        <v>2864</v>
      </c>
      <c r="I2478" s="5" t="str">
        <f>IF(INDEX(Manual_Review!$S$6:$S$238,U2478)="","",INDEX(Manual_Review!$S$6:$S$238,U2478))</f>
        <v/>
      </c>
      <c r="J2478" s="5" t="str">
        <f t="shared" si="76"/>
        <v>AI provisional</v>
      </c>
      <c r="K2478" s="5" t="str">
        <f t="shared" si="77"/>
        <v>U</v>
      </c>
      <c r="L2478" s="5" t="s">
        <v>1765</v>
      </c>
      <c r="M2478" s="5" t="s">
        <v>7932</v>
      </c>
      <c r="N2478" s="5" t="s">
        <v>7917</v>
      </c>
      <c r="O2478" s="5" t="s">
        <v>2883</v>
      </c>
      <c r="P2478" s="5" t="s">
        <v>2858</v>
      </c>
      <c r="Q2478" s="11">
        <v>46306.5</v>
      </c>
      <c r="R2478" s="6"/>
      <c r="S2478" s="6"/>
      <c r="T2478" s="6"/>
      <c r="U2478" s="5">
        <f>MATCH(B2478,Manual_Review!$A$6:$A$238,0)</f>
        <v>155</v>
      </c>
      <c r="V2478" s="5" t="str">
        <f>IF(INDEX(Manual_Review!$G$6:$G$238,U2478)="","",INDEX(Manual_Review!$G$6:$G$238,U2478))</f>
        <v/>
      </c>
      <c r="W2478" s="11" t="str">
        <f>IF(INDEX(Manual_Review!$H$6:$H$238,U2478)="","",INDEX(Manual_Review!$H$6:$H$238,U2478))</f>
        <v/>
      </c>
      <c r="X2478" s="5" t="str">
        <f>IF(INDEX(Manual_Review!$I$6:$I$238,U2478)="","",INDEX(Manual_Review!$I$6:$I$238,U2478))</f>
        <v/>
      </c>
      <c r="Y2478" s="5" t="s">
        <v>2859</v>
      </c>
    </row>
    <row r="2479" spans="1:25" ht="25.5">
      <c r="A2479" s="5" t="s">
        <v>7933</v>
      </c>
      <c r="B2479" s="5" t="s">
        <v>1756</v>
      </c>
      <c r="C2479" s="5" t="s">
        <v>1757</v>
      </c>
      <c r="D2479" s="5" t="s">
        <v>118</v>
      </c>
      <c r="E2479" s="5" t="s">
        <v>2790</v>
      </c>
      <c r="F2479" s="5" t="s">
        <v>2760</v>
      </c>
      <c r="G2479" s="5">
        <v>1</v>
      </c>
      <c r="H2479" s="5" t="s">
        <v>2864</v>
      </c>
      <c r="I2479" s="5" t="str">
        <f>IF(INDEX(Manual_Review!$T$6:$T$238,U2479)="","",INDEX(Manual_Review!$T$6:$T$238,U2479))</f>
        <v/>
      </c>
      <c r="J2479" s="5" t="str">
        <f t="shared" si="76"/>
        <v>AI provisional</v>
      </c>
      <c r="K2479" s="5" t="str">
        <f t="shared" si="77"/>
        <v>U</v>
      </c>
      <c r="L2479" s="5" t="s">
        <v>1765</v>
      </c>
      <c r="M2479" s="5" t="s">
        <v>7934</v>
      </c>
      <c r="N2479" s="5" t="s">
        <v>7917</v>
      </c>
      <c r="O2479" s="5" t="s">
        <v>2885</v>
      </c>
      <c r="P2479" s="5" t="s">
        <v>2858</v>
      </c>
      <c r="Q2479" s="11">
        <v>46306.5</v>
      </c>
      <c r="R2479" s="6"/>
      <c r="S2479" s="6"/>
      <c r="T2479" s="6"/>
      <c r="U2479" s="5">
        <f>MATCH(B2479,Manual_Review!$A$6:$A$238,0)</f>
        <v>155</v>
      </c>
      <c r="V2479" s="5" t="str">
        <f>IF(INDEX(Manual_Review!$G$6:$G$238,U2479)="","",INDEX(Manual_Review!$G$6:$G$238,U2479))</f>
        <v/>
      </c>
      <c r="W2479" s="11" t="str">
        <f>IF(INDEX(Manual_Review!$H$6:$H$238,U2479)="","",INDEX(Manual_Review!$H$6:$H$238,U2479))</f>
        <v/>
      </c>
      <c r="X2479" s="5" t="str">
        <f>IF(INDEX(Manual_Review!$I$6:$I$238,U2479)="","",INDEX(Manual_Review!$I$6:$I$238,U2479))</f>
        <v/>
      </c>
      <c r="Y2479" s="5" t="s">
        <v>2859</v>
      </c>
    </row>
    <row r="2480" spans="1:25" ht="25.5">
      <c r="A2480" s="5" t="s">
        <v>7935</v>
      </c>
      <c r="B2480" s="5" t="s">
        <v>1756</v>
      </c>
      <c r="C2480" s="5" t="s">
        <v>1757</v>
      </c>
      <c r="D2480" s="5" t="s">
        <v>118</v>
      </c>
      <c r="E2480" s="5" t="s">
        <v>2791</v>
      </c>
      <c r="F2480" s="5" t="s">
        <v>2760</v>
      </c>
      <c r="G2480" s="5">
        <v>1</v>
      </c>
      <c r="H2480" s="5" t="s">
        <v>2864</v>
      </c>
      <c r="I2480" s="5" t="str">
        <f>IF(INDEX(Manual_Review!$U$6:$U$238,U2480)="","",INDEX(Manual_Review!$U$6:$U$238,U2480))</f>
        <v/>
      </c>
      <c r="J2480" s="5" t="str">
        <f t="shared" si="76"/>
        <v>AI provisional</v>
      </c>
      <c r="K2480" s="5" t="str">
        <f t="shared" si="77"/>
        <v>U</v>
      </c>
      <c r="L2480" s="5" t="s">
        <v>1765</v>
      </c>
      <c r="M2480" s="5" t="s">
        <v>7936</v>
      </c>
      <c r="N2480" s="5" t="s">
        <v>7917</v>
      </c>
      <c r="O2480" s="5" t="s">
        <v>2888</v>
      </c>
      <c r="P2480" s="5" t="s">
        <v>2858</v>
      </c>
      <c r="Q2480" s="11">
        <v>46306.5</v>
      </c>
      <c r="R2480" s="6"/>
      <c r="S2480" s="6"/>
      <c r="T2480" s="6"/>
      <c r="U2480" s="5">
        <f>MATCH(B2480,Manual_Review!$A$6:$A$238,0)</f>
        <v>155</v>
      </c>
      <c r="V2480" s="5" t="str">
        <f>IF(INDEX(Manual_Review!$G$6:$G$238,U2480)="","",INDEX(Manual_Review!$G$6:$G$238,U2480))</f>
        <v/>
      </c>
      <c r="W2480" s="11" t="str">
        <f>IF(INDEX(Manual_Review!$H$6:$H$238,U2480)="","",INDEX(Manual_Review!$H$6:$H$238,U2480))</f>
        <v/>
      </c>
      <c r="X2480" s="5" t="str">
        <f>IF(INDEX(Manual_Review!$I$6:$I$238,U2480)="","",INDEX(Manual_Review!$I$6:$I$238,U2480))</f>
        <v/>
      </c>
      <c r="Y2480" s="5" t="s">
        <v>2859</v>
      </c>
    </row>
    <row r="2481" spans="1:25" ht="25.5">
      <c r="A2481" s="5" t="s">
        <v>7937</v>
      </c>
      <c r="B2481" s="5" t="s">
        <v>1756</v>
      </c>
      <c r="C2481" s="5" t="s">
        <v>1757</v>
      </c>
      <c r="D2481" s="5" t="s">
        <v>118</v>
      </c>
      <c r="E2481" s="5" t="s">
        <v>2792</v>
      </c>
      <c r="F2481" s="5" t="s">
        <v>2762</v>
      </c>
      <c r="G2481" s="5">
        <v>1</v>
      </c>
      <c r="H2481" s="5" t="s">
        <v>2864</v>
      </c>
      <c r="I2481" s="5" t="str">
        <f>IF(INDEX(Manual_Review!$V$6:$V$238,U2481)="","",INDEX(Manual_Review!$V$6:$V$238,U2481))</f>
        <v/>
      </c>
      <c r="J2481" s="5" t="str">
        <f t="shared" si="76"/>
        <v>AI provisional</v>
      </c>
      <c r="K2481" s="5" t="str">
        <f t="shared" si="77"/>
        <v>U</v>
      </c>
      <c r="L2481" s="5" t="s">
        <v>1765</v>
      </c>
      <c r="M2481" s="5" t="s">
        <v>7938</v>
      </c>
      <c r="N2481" s="5" t="s">
        <v>7917</v>
      </c>
      <c r="O2481" s="5" t="s">
        <v>2891</v>
      </c>
      <c r="P2481" s="5" t="s">
        <v>2858</v>
      </c>
      <c r="Q2481" s="11">
        <v>46306.5</v>
      </c>
      <c r="R2481" s="6"/>
      <c r="S2481" s="6"/>
      <c r="T2481" s="6"/>
      <c r="U2481" s="5">
        <f>MATCH(B2481,Manual_Review!$A$6:$A$238,0)</f>
        <v>155</v>
      </c>
      <c r="V2481" s="5" t="str">
        <f>IF(INDEX(Manual_Review!$G$6:$G$238,U2481)="","",INDEX(Manual_Review!$G$6:$G$238,U2481))</f>
        <v/>
      </c>
      <c r="W2481" s="11" t="str">
        <f>IF(INDEX(Manual_Review!$H$6:$H$238,U2481)="","",INDEX(Manual_Review!$H$6:$H$238,U2481))</f>
        <v/>
      </c>
      <c r="X2481" s="5" t="str">
        <f>IF(INDEX(Manual_Review!$I$6:$I$238,U2481)="","",INDEX(Manual_Review!$I$6:$I$238,U2481))</f>
        <v/>
      </c>
      <c r="Y2481" s="5" t="s">
        <v>2859</v>
      </c>
    </row>
    <row r="2482" spans="1:25" ht="25.5">
      <c r="A2482" s="5" t="s">
        <v>7939</v>
      </c>
      <c r="B2482" s="5" t="s">
        <v>1756</v>
      </c>
      <c r="C2482" s="5" t="s">
        <v>1757</v>
      </c>
      <c r="D2482" s="5" t="s">
        <v>118</v>
      </c>
      <c r="E2482" s="5" t="s">
        <v>2793</v>
      </c>
      <c r="F2482" s="5" t="s">
        <v>2762</v>
      </c>
      <c r="G2482" s="5">
        <v>1</v>
      </c>
      <c r="H2482" s="5" t="s">
        <v>2864</v>
      </c>
      <c r="I2482" s="5" t="str">
        <f>IF(INDEX(Manual_Review!$W$6:$W$238,U2482)="","",INDEX(Manual_Review!$W$6:$W$238,U2482))</f>
        <v/>
      </c>
      <c r="J2482" s="5" t="str">
        <f t="shared" si="76"/>
        <v>AI provisional</v>
      </c>
      <c r="K2482" s="5" t="str">
        <f t="shared" si="77"/>
        <v>U</v>
      </c>
      <c r="L2482" s="5" t="s">
        <v>1765</v>
      </c>
      <c r="M2482" s="5" t="s">
        <v>7938</v>
      </c>
      <c r="N2482" s="5" t="s">
        <v>7917</v>
      </c>
      <c r="O2482" s="5" t="s">
        <v>2893</v>
      </c>
      <c r="P2482" s="5" t="s">
        <v>2858</v>
      </c>
      <c r="Q2482" s="11">
        <v>46306.5</v>
      </c>
      <c r="R2482" s="6"/>
      <c r="S2482" s="6"/>
      <c r="T2482" s="6"/>
      <c r="U2482" s="5">
        <f>MATCH(B2482,Manual_Review!$A$6:$A$238,0)</f>
        <v>155</v>
      </c>
      <c r="V2482" s="5" t="str">
        <f>IF(INDEX(Manual_Review!$G$6:$G$238,U2482)="","",INDEX(Manual_Review!$G$6:$G$238,U2482))</f>
        <v/>
      </c>
      <c r="W2482" s="11" t="str">
        <f>IF(INDEX(Manual_Review!$H$6:$H$238,U2482)="","",INDEX(Manual_Review!$H$6:$H$238,U2482))</f>
        <v/>
      </c>
      <c r="X2482" s="5" t="str">
        <f>IF(INDEX(Manual_Review!$I$6:$I$238,U2482)="","",INDEX(Manual_Review!$I$6:$I$238,U2482))</f>
        <v/>
      </c>
      <c r="Y2482" s="5" t="s">
        <v>2859</v>
      </c>
    </row>
    <row r="2483" spans="1:25" ht="25.5">
      <c r="A2483" s="5" t="s">
        <v>7940</v>
      </c>
      <c r="B2483" s="5" t="s">
        <v>1756</v>
      </c>
      <c r="C2483" s="5" t="s">
        <v>1757</v>
      </c>
      <c r="D2483" s="5" t="s">
        <v>118</v>
      </c>
      <c r="E2483" s="5" t="s">
        <v>2794</v>
      </c>
      <c r="F2483" s="5" t="s">
        <v>2764</v>
      </c>
      <c r="G2483" s="5">
        <v>1</v>
      </c>
      <c r="H2483" s="5" t="s">
        <v>2864</v>
      </c>
      <c r="I2483" s="5" t="str">
        <f>IF(INDEX(Manual_Review!$X$6:$X$238,U2483)="","",INDEX(Manual_Review!$X$6:$X$238,U2483))</f>
        <v/>
      </c>
      <c r="J2483" s="5" t="str">
        <f t="shared" si="76"/>
        <v>AI provisional</v>
      </c>
      <c r="K2483" s="5" t="str">
        <f t="shared" si="77"/>
        <v>U</v>
      </c>
      <c r="L2483" s="5" t="s">
        <v>1765</v>
      </c>
      <c r="M2483" s="5" t="s">
        <v>7941</v>
      </c>
      <c r="N2483" s="5" t="s">
        <v>7917</v>
      </c>
      <c r="O2483" s="5" t="s">
        <v>2895</v>
      </c>
      <c r="P2483" s="5" t="s">
        <v>2858</v>
      </c>
      <c r="Q2483" s="11">
        <v>46306.5</v>
      </c>
      <c r="R2483" s="6"/>
      <c r="S2483" s="6"/>
      <c r="T2483" s="6"/>
      <c r="U2483" s="5">
        <f>MATCH(B2483,Manual_Review!$A$6:$A$238,0)</f>
        <v>155</v>
      </c>
      <c r="V2483" s="5" t="str">
        <f>IF(INDEX(Manual_Review!$G$6:$G$238,U2483)="","",INDEX(Manual_Review!$G$6:$G$238,U2483))</f>
        <v/>
      </c>
      <c r="W2483" s="11" t="str">
        <f>IF(INDEX(Manual_Review!$H$6:$H$238,U2483)="","",INDEX(Manual_Review!$H$6:$H$238,U2483))</f>
        <v/>
      </c>
      <c r="X2483" s="5" t="str">
        <f>IF(INDEX(Manual_Review!$I$6:$I$238,U2483)="","",INDEX(Manual_Review!$I$6:$I$238,U2483))</f>
        <v/>
      </c>
      <c r="Y2483" s="5" t="s">
        <v>2859</v>
      </c>
    </row>
    <row r="2484" spans="1:25" ht="25.5">
      <c r="A2484" s="5" t="s">
        <v>7942</v>
      </c>
      <c r="B2484" s="5" t="s">
        <v>1756</v>
      </c>
      <c r="C2484" s="5" t="s">
        <v>1757</v>
      </c>
      <c r="D2484" s="5" t="s">
        <v>118</v>
      </c>
      <c r="E2484" s="5" t="s">
        <v>2795</v>
      </c>
      <c r="F2484" s="5" t="s">
        <v>2764</v>
      </c>
      <c r="G2484" s="5">
        <v>1</v>
      </c>
      <c r="H2484" s="5" t="s">
        <v>2864</v>
      </c>
      <c r="I2484" s="5" t="str">
        <f>IF(INDEX(Manual_Review!$Y$6:$Y$238,U2484)="","",INDEX(Manual_Review!$Y$6:$Y$238,U2484))</f>
        <v/>
      </c>
      <c r="J2484" s="5" t="str">
        <f t="shared" si="76"/>
        <v>AI provisional</v>
      </c>
      <c r="K2484" s="5" t="str">
        <f t="shared" si="77"/>
        <v>U</v>
      </c>
      <c r="L2484" s="5" t="s">
        <v>1765</v>
      </c>
      <c r="M2484" s="5" t="s">
        <v>7921</v>
      </c>
      <c r="N2484" s="5" t="s">
        <v>7917</v>
      </c>
      <c r="O2484" s="5" t="s">
        <v>2897</v>
      </c>
      <c r="P2484" s="5" t="s">
        <v>2858</v>
      </c>
      <c r="Q2484" s="11">
        <v>46306.5</v>
      </c>
      <c r="R2484" s="6"/>
      <c r="S2484" s="6"/>
      <c r="T2484" s="6"/>
      <c r="U2484" s="5">
        <f>MATCH(B2484,Manual_Review!$A$6:$A$238,0)</f>
        <v>155</v>
      </c>
      <c r="V2484" s="5" t="str">
        <f>IF(INDEX(Manual_Review!$G$6:$G$238,U2484)="","",INDEX(Manual_Review!$G$6:$G$238,U2484))</f>
        <v/>
      </c>
      <c r="W2484" s="11" t="str">
        <f>IF(INDEX(Manual_Review!$H$6:$H$238,U2484)="","",INDEX(Manual_Review!$H$6:$H$238,U2484))</f>
        <v/>
      </c>
      <c r="X2484" s="5" t="str">
        <f>IF(INDEX(Manual_Review!$I$6:$I$238,U2484)="","",INDEX(Manual_Review!$I$6:$I$238,U2484))</f>
        <v/>
      </c>
      <c r="Y2484" s="5" t="s">
        <v>2859</v>
      </c>
    </row>
    <row r="2485" spans="1:25" ht="25.5">
      <c r="A2485" s="5" t="s">
        <v>7943</v>
      </c>
      <c r="B2485" s="5" t="s">
        <v>1756</v>
      </c>
      <c r="C2485" s="5" t="s">
        <v>1757</v>
      </c>
      <c r="D2485" s="5" t="s">
        <v>118</v>
      </c>
      <c r="E2485" s="5" t="s">
        <v>2796</v>
      </c>
      <c r="F2485" s="5" t="s">
        <v>2764</v>
      </c>
      <c r="G2485" s="5">
        <v>1</v>
      </c>
      <c r="H2485" s="5" t="s">
        <v>2864</v>
      </c>
      <c r="I2485" s="5" t="str">
        <f>IF(INDEX(Manual_Review!$Z$6:$Z$238,U2485)="","",INDEX(Manual_Review!$Z$6:$Z$238,U2485))</f>
        <v/>
      </c>
      <c r="J2485" s="5" t="str">
        <f t="shared" si="76"/>
        <v>AI provisional</v>
      </c>
      <c r="K2485" s="5" t="str">
        <f t="shared" si="77"/>
        <v>U</v>
      </c>
      <c r="L2485" s="5" t="s">
        <v>1765</v>
      </c>
      <c r="M2485" s="5" t="s">
        <v>7932</v>
      </c>
      <c r="N2485" s="5" t="s">
        <v>7917</v>
      </c>
      <c r="O2485" s="5" t="s">
        <v>2899</v>
      </c>
      <c r="P2485" s="5" t="s">
        <v>2858</v>
      </c>
      <c r="Q2485" s="11">
        <v>46306.5</v>
      </c>
      <c r="R2485" s="6"/>
      <c r="S2485" s="6"/>
      <c r="T2485" s="6"/>
      <c r="U2485" s="5">
        <f>MATCH(B2485,Manual_Review!$A$6:$A$238,0)</f>
        <v>155</v>
      </c>
      <c r="V2485" s="5" t="str">
        <f>IF(INDEX(Manual_Review!$G$6:$G$238,U2485)="","",INDEX(Manual_Review!$G$6:$G$238,U2485))</f>
        <v/>
      </c>
      <c r="W2485" s="11" t="str">
        <f>IF(INDEX(Manual_Review!$H$6:$H$238,U2485)="","",INDEX(Manual_Review!$H$6:$H$238,U2485))</f>
        <v/>
      </c>
      <c r="X2485" s="5" t="str">
        <f>IF(INDEX(Manual_Review!$I$6:$I$238,U2485)="","",INDEX(Manual_Review!$I$6:$I$238,U2485))</f>
        <v/>
      </c>
      <c r="Y2485" s="5" t="s">
        <v>2859</v>
      </c>
    </row>
    <row r="2486" spans="1:25" ht="25.5">
      <c r="A2486" s="5" t="s">
        <v>7944</v>
      </c>
      <c r="B2486" s="5" t="s">
        <v>1767</v>
      </c>
      <c r="C2486" s="5" t="s">
        <v>1768</v>
      </c>
      <c r="D2486" s="5" t="s">
        <v>118</v>
      </c>
      <c r="E2486" s="5" t="s">
        <v>2781</v>
      </c>
      <c r="F2486" s="5" t="s">
        <v>2754</v>
      </c>
      <c r="G2486" s="5">
        <v>1</v>
      </c>
      <c r="H2486" s="5" t="s">
        <v>2854</v>
      </c>
      <c r="I2486" s="5" t="str">
        <f>IF(INDEX(Manual_Review!$K$6:$K$238,U2486)="","",INDEX(Manual_Review!$K$6:$K$238,U2486))</f>
        <v/>
      </c>
      <c r="J2486" s="5" t="str">
        <f t="shared" si="76"/>
        <v>AI provisional</v>
      </c>
      <c r="K2486" s="5" t="str">
        <f t="shared" si="77"/>
        <v>Y</v>
      </c>
      <c r="L2486" s="5" t="s">
        <v>1775</v>
      </c>
      <c r="M2486" s="5" t="s">
        <v>7945</v>
      </c>
      <c r="N2486" s="5" t="s">
        <v>7946</v>
      </c>
      <c r="O2486" s="5" t="s">
        <v>2857</v>
      </c>
      <c r="P2486" s="5" t="s">
        <v>2858</v>
      </c>
      <c r="Q2486" s="11">
        <v>46306.5</v>
      </c>
      <c r="R2486" s="6"/>
      <c r="S2486" s="6"/>
      <c r="T2486" s="6"/>
      <c r="U2486" s="5">
        <f>MATCH(B2486,Manual_Review!$A$6:$A$238,0)</f>
        <v>156</v>
      </c>
      <c r="V2486" s="5" t="str">
        <f>IF(INDEX(Manual_Review!$G$6:$G$238,U2486)="","",INDEX(Manual_Review!$G$6:$G$238,U2486))</f>
        <v/>
      </c>
      <c r="W2486" s="11" t="str">
        <f>IF(INDEX(Manual_Review!$H$6:$H$238,U2486)="","",INDEX(Manual_Review!$H$6:$H$238,U2486))</f>
        <v/>
      </c>
      <c r="X2486" s="5" t="str">
        <f>IF(INDEX(Manual_Review!$I$6:$I$238,U2486)="","",INDEX(Manual_Review!$I$6:$I$238,U2486))</f>
        <v/>
      </c>
      <c r="Y2486" s="5" t="s">
        <v>2859</v>
      </c>
    </row>
    <row r="2487" spans="1:25" ht="25.5">
      <c r="A2487" s="5" t="s">
        <v>7947</v>
      </c>
      <c r="B2487" s="5" t="s">
        <v>1767</v>
      </c>
      <c r="C2487" s="5" t="s">
        <v>1768</v>
      </c>
      <c r="D2487" s="5" t="s">
        <v>118</v>
      </c>
      <c r="E2487" s="5" t="s">
        <v>2782</v>
      </c>
      <c r="F2487" s="5" t="s">
        <v>2754</v>
      </c>
      <c r="G2487" s="5">
        <v>1</v>
      </c>
      <c r="H2487" s="5" t="s">
        <v>2854</v>
      </c>
      <c r="I2487" s="5" t="str">
        <f>IF(INDEX(Manual_Review!$L$6:$L$238,U2487)="","",INDEX(Manual_Review!$L$6:$L$238,U2487))</f>
        <v/>
      </c>
      <c r="J2487" s="5" t="str">
        <f t="shared" si="76"/>
        <v>AI provisional</v>
      </c>
      <c r="K2487" s="5" t="str">
        <f t="shared" si="77"/>
        <v>Y</v>
      </c>
      <c r="L2487" s="5" t="s">
        <v>1775</v>
      </c>
      <c r="M2487" s="5" t="s">
        <v>7948</v>
      </c>
      <c r="N2487" s="5" t="s">
        <v>7946</v>
      </c>
      <c r="O2487" s="5" t="s">
        <v>2862</v>
      </c>
      <c r="P2487" s="5" t="s">
        <v>2858</v>
      </c>
      <c r="Q2487" s="11">
        <v>46306.5</v>
      </c>
      <c r="R2487" s="6"/>
      <c r="S2487" s="6"/>
      <c r="T2487" s="6"/>
      <c r="U2487" s="5">
        <f>MATCH(B2487,Manual_Review!$A$6:$A$238,0)</f>
        <v>156</v>
      </c>
      <c r="V2487" s="5" t="str">
        <f>IF(INDEX(Manual_Review!$G$6:$G$238,U2487)="","",INDEX(Manual_Review!$G$6:$G$238,U2487))</f>
        <v/>
      </c>
      <c r="W2487" s="11" t="str">
        <f>IF(INDEX(Manual_Review!$H$6:$H$238,U2487)="","",INDEX(Manual_Review!$H$6:$H$238,U2487))</f>
        <v/>
      </c>
      <c r="X2487" s="5" t="str">
        <f>IF(INDEX(Manual_Review!$I$6:$I$238,U2487)="","",INDEX(Manual_Review!$I$6:$I$238,U2487))</f>
        <v/>
      </c>
      <c r="Y2487" s="5" t="s">
        <v>2859</v>
      </c>
    </row>
    <row r="2488" spans="1:25" ht="25.5">
      <c r="A2488" s="5" t="s">
        <v>7949</v>
      </c>
      <c r="B2488" s="5" t="s">
        <v>1767</v>
      </c>
      <c r="C2488" s="5" t="s">
        <v>1768</v>
      </c>
      <c r="D2488" s="5" t="s">
        <v>118</v>
      </c>
      <c r="E2488" s="5" t="s">
        <v>2783</v>
      </c>
      <c r="F2488" s="5" t="s">
        <v>2754</v>
      </c>
      <c r="G2488" s="5">
        <v>1</v>
      </c>
      <c r="H2488" s="5" t="s">
        <v>2854</v>
      </c>
      <c r="I2488" s="5" t="str">
        <f>IF(INDEX(Manual_Review!$M$6:$M$238,U2488)="","",INDEX(Manual_Review!$M$6:$M$238,U2488))</f>
        <v/>
      </c>
      <c r="J2488" s="5" t="str">
        <f t="shared" si="76"/>
        <v>AI provisional</v>
      </c>
      <c r="K2488" s="5" t="str">
        <f t="shared" si="77"/>
        <v>Y</v>
      </c>
      <c r="L2488" s="5" t="s">
        <v>1775</v>
      </c>
      <c r="M2488" s="5" t="s">
        <v>7950</v>
      </c>
      <c r="N2488" s="5" t="s">
        <v>7946</v>
      </c>
      <c r="O2488" s="5" t="s">
        <v>3133</v>
      </c>
      <c r="P2488" s="5" t="s">
        <v>2858</v>
      </c>
      <c r="Q2488" s="11">
        <v>46306.5</v>
      </c>
      <c r="R2488" s="6"/>
      <c r="S2488" s="6"/>
      <c r="T2488" s="6"/>
      <c r="U2488" s="5">
        <f>MATCH(B2488,Manual_Review!$A$6:$A$238,0)</f>
        <v>156</v>
      </c>
      <c r="V2488" s="5" t="str">
        <f>IF(INDEX(Manual_Review!$G$6:$G$238,U2488)="","",INDEX(Manual_Review!$G$6:$G$238,U2488))</f>
        <v/>
      </c>
      <c r="W2488" s="11" t="str">
        <f>IF(INDEX(Manual_Review!$H$6:$H$238,U2488)="","",INDEX(Manual_Review!$H$6:$H$238,U2488))</f>
        <v/>
      </c>
      <c r="X2488" s="5" t="str">
        <f>IF(INDEX(Manual_Review!$I$6:$I$238,U2488)="","",INDEX(Manual_Review!$I$6:$I$238,U2488))</f>
        <v/>
      </c>
      <c r="Y2488" s="5" t="s">
        <v>2859</v>
      </c>
    </row>
    <row r="2489" spans="1:25" ht="25.5">
      <c r="A2489" s="5" t="s">
        <v>7951</v>
      </c>
      <c r="B2489" s="5" t="s">
        <v>1767</v>
      </c>
      <c r="C2489" s="5" t="s">
        <v>1768</v>
      </c>
      <c r="D2489" s="5" t="s">
        <v>118</v>
      </c>
      <c r="E2489" s="5" t="s">
        <v>2784</v>
      </c>
      <c r="F2489" s="5" t="s">
        <v>2756</v>
      </c>
      <c r="G2489" s="5">
        <v>1</v>
      </c>
      <c r="H2489" s="5" t="s">
        <v>2854</v>
      </c>
      <c r="I2489" s="5" t="str">
        <f>IF(INDEX(Manual_Review!$N$6:$N$238,U2489)="","",INDEX(Manual_Review!$N$6:$N$238,U2489))</f>
        <v/>
      </c>
      <c r="J2489" s="5" t="str">
        <f t="shared" si="76"/>
        <v>AI provisional</v>
      </c>
      <c r="K2489" s="5" t="str">
        <f t="shared" si="77"/>
        <v>Y</v>
      </c>
      <c r="L2489" s="5" t="s">
        <v>1775</v>
      </c>
      <c r="M2489" s="5" t="s">
        <v>7952</v>
      </c>
      <c r="N2489" s="5" t="s">
        <v>7946</v>
      </c>
      <c r="O2489" s="5" t="s">
        <v>2963</v>
      </c>
      <c r="P2489" s="5" t="s">
        <v>2858</v>
      </c>
      <c r="Q2489" s="11">
        <v>46306.5</v>
      </c>
      <c r="R2489" s="6"/>
      <c r="S2489" s="6"/>
      <c r="T2489" s="6"/>
      <c r="U2489" s="5">
        <f>MATCH(B2489,Manual_Review!$A$6:$A$238,0)</f>
        <v>156</v>
      </c>
      <c r="V2489" s="5" t="str">
        <f>IF(INDEX(Manual_Review!$G$6:$G$238,U2489)="","",INDEX(Manual_Review!$G$6:$G$238,U2489))</f>
        <v/>
      </c>
      <c r="W2489" s="11" t="str">
        <f>IF(INDEX(Manual_Review!$H$6:$H$238,U2489)="","",INDEX(Manual_Review!$H$6:$H$238,U2489))</f>
        <v/>
      </c>
      <c r="X2489" s="5" t="str">
        <f>IF(INDEX(Manual_Review!$I$6:$I$238,U2489)="","",INDEX(Manual_Review!$I$6:$I$238,U2489))</f>
        <v/>
      </c>
      <c r="Y2489" s="5" t="s">
        <v>2859</v>
      </c>
    </row>
    <row r="2490" spans="1:25" ht="25.5">
      <c r="A2490" s="5" t="s">
        <v>7953</v>
      </c>
      <c r="B2490" s="5" t="s">
        <v>1767</v>
      </c>
      <c r="C2490" s="5" t="s">
        <v>1768</v>
      </c>
      <c r="D2490" s="5" t="s">
        <v>118</v>
      </c>
      <c r="E2490" s="5" t="s">
        <v>2785</v>
      </c>
      <c r="F2490" s="5" t="s">
        <v>2756</v>
      </c>
      <c r="G2490" s="5">
        <v>1</v>
      </c>
      <c r="H2490" s="5" t="s">
        <v>2864</v>
      </c>
      <c r="I2490" s="5" t="str">
        <f>IF(INDEX(Manual_Review!$O$6:$O$238,U2490)="","",INDEX(Manual_Review!$O$6:$O$238,U2490))</f>
        <v/>
      </c>
      <c r="J2490" s="5" t="str">
        <f t="shared" si="76"/>
        <v>AI provisional</v>
      </c>
      <c r="K2490" s="5" t="str">
        <f t="shared" si="77"/>
        <v>U</v>
      </c>
      <c r="L2490" s="5" t="s">
        <v>1775</v>
      </c>
      <c r="M2490" s="5" t="s">
        <v>7954</v>
      </c>
      <c r="N2490" s="5" t="s">
        <v>7946</v>
      </c>
      <c r="O2490" s="5" t="s">
        <v>2872</v>
      </c>
      <c r="P2490" s="5" t="s">
        <v>2858</v>
      </c>
      <c r="Q2490" s="11">
        <v>46306.5</v>
      </c>
      <c r="R2490" s="6"/>
      <c r="S2490" s="6"/>
      <c r="T2490" s="6"/>
      <c r="U2490" s="5">
        <f>MATCH(B2490,Manual_Review!$A$6:$A$238,0)</f>
        <v>156</v>
      </c>
      <c r="V2490" s="5" t="str">
        <f>IF(INDEX(Manual_Review!$G$6:$G$238,U2490)="","",INDEX(Manual_Review!$G$6:$G$238,U2490))</f>
        <v/>
      </c>
      <c r="W2490" s="11" t="str">
        <f>IF(INDEX(Manual_Review!$H$6:$H$238,U2490)="","",INDEX(Manual_Review!$H$6:$H$238,U2490))</f>
        <v/>
      </c>
      <c r="X2490" s="5" t="str">
        <f>IF(INDEX(Manual_Review!$I$6:$I$238,U2490)="","",INDEX(Manual_Review!$I$6:$I$238,U2490))</f>
        <v/>
      </c>
      <c r="Y2490" s="5" t="s">
        <v>2859</v>
      </c>
    </row>
    <row r="2491" spans="1:25" ht="25.5">
      <c r="A2491" s="5" t="s">
        <v>7955</v>
      </c>
      <c r="B2491" s="5" t="s">
        <v>1767</v>
      </c>
      <c r="C2491" s="5" t="s">
        <v>1768</v>
      </c>
      <c r="D2491" s="5" t="s">
        <v>118</v>
      </c>
      <c r="E2491" s="5" t="s">
        <v>2786</v>
      </c>
      <c r="F2491" s="5" t="s">
        <v>2756</v>
      </c>
      <c r="G2491" s="5">
        <v>1</v>
      </c>
      <c r="H2491" s="5" t="s">
        <v>2864</v>
      </c>
      <c r="I2491" s="5" t="str">
        <f>IF(INDEX(Manual_Review!$P$6:$P$238,U2491)="","",INDEX(Manual_Review!$P$6:$P$238,U2491))</f>
        <v/>
      </c>
      <c r="J2491" s="5" t="str">
        <f t="shared" si="76"/>
        <v>AI provisional</v>
      </c>
      <c r="K2491" s="5" t="str">
        <f t="shared" si="77"/>
        <v>U</v>
      </c>
      <c r="L2491" s="5" t="s">
        <v>1775</v>
      </c>
      <c r="M2491" s="5" t="s">
        <v>7950</v>
      </c>
      <c r="N2491" s="5" t="s">
        <v>7946</v>
      </c>
      <c r="O2491" s="5" t="s">
        <v>2874</v>
      </c>
      <c r="P2491" s="5" t="s">
        <v>2858</v>
      </c>
      <c r="Q2491" s="11">
        <v>46306.5</v>
      </c>
      <c r="R2491" s="6"/>
      <c r="S2491" s="6"/>
      <c r="T2491" s="6"/>
      <c r="U2491" s="5">
        <f>MATCH(B2491,Manual_Review!$A$6:$A$238,0)</f>
        <v>156</v>
      </c>
      <c r="V2491" s="5" t="str">
        <f>IF(INDEX(Manual_Review!$G$6:$G$238,U2491)="","",INDEX(Manual_Review!$G$6:$G$238,U2491))</f>
        <v/>
      </c>
      <c r="W2491" s="11" t="str">
        <f>IF(INDEX(Manual_Review!$H$6:$H$238,U2491)="","",INDEX(Manual_Review!$H$6:$H$238,U2491))</f>
        <v/>
      </c>
      <c r="X2491" s="5" t="str">
        <f>IF(INDEX(Manual_Review!$I$6:$I$238,U2491)="","",INDEX(Manual_Review!$I$6:$I$238,U2491))</f>
        <v/>
      </c>
      <c r="Y2491" s="5" t="s">
        <v>2859</v>
      </c>
    </row>
    <row r="2492" spans="1:25" ht="25.5">
      <c r="A2492" s="5" t="s">
        <v>7956</v>
      </c>
      <c r="B2492" s="5" t="s">
        <v>1767</v>
      </c>
      <c r="C2492" s="5" t="s">
        <v>1768</v>
      </c>
      <c r="D2492" s="5" t="s">
        <v>118</v>
      </c>
      <c r="E2492" s="5" t="s">
        <v>2787</v>
      </c>
      <c r="F2492" s="5" t="s">
        <v>2758</v>
      </c>
      <c r="G2492" s="5">
        <v>1</v>
      </c>
      <c r="H2492" s="5" t="s">
        <v>2864</v>
      </c>
      <c r="I2492" s="5" t="str">
        <f>IF(INDEX(Manual_Review!$Q$6:$Q$238,U2492)="","",INDEX(Manual_Review!$Q$6:$Q$238,U2492))</f>
        <v/>
      </c>
      <c r="J2492" s="5" t="str">
        <f t="shared" si="76"/>
        <v>AI provisional</v>
      </c>
      <c r="K2492" s="5" t="str">
        <f t="shared" si="77"/>
        <v>U</v>
      </c>
      <c r="L2492" s="5" t="s">
        <v>1775</v>
      </c>
      <c r="M2492" s="5" t="s">
        <v>7957</v>
      </c>
      <c r="N2492" s="5" t="s">
        <v>7946</v>
      </c>
      <c r="O2492" s="5" t="s">
        <v>2877</v>
      </c>
      <c r="P2492" s="5" t="s">
        <v>2858</v>
      </c>
      <c r="Q2492" s="11">
        <v>46306.5</v>
      </c>
      <c r="R2492" s="6"/>
      <c r="S2492" s="6"/>
      <c r="T2492" s="6"/>
      <c r="U2492" s="5">
        <f>MATCH(B2492,Manual_Review!$A$6:$A$238,0)</f>
        <v>156</v>
      </c>
      <c r="V2492" s="5" t="str">
        <f>IF(INDEX(Manual_Review!$G$6:$G$238,U2492)="","",INDEX(Manual_Review!$G$6:$G$238,U2492))</f>
        <v/>
      </c>
      <c r="W2492" s="11" t="str">
        <f>IF(INDEX(Manual_Review!$H$6:$H$238,U2492)="","",INDEX(Manual_Review!$H$6:$H$238,U2492))</f>
        <v/>
      </c>
      <c r="X2492" s="5" t="str">
        <f>IF(INDEX(Manual_Review!$I$6:$I$238,U2492)="","",INDEX(Manual_Review!$I$6:$I$238,U2492))</f>
        <v/>
      </c>
      <c r="Y2492" s="5" t="s">
        <v>2859</v>
      </c>
    </row>
    <row r="2493" spans="1:25" ht="25.5">
      <c r="A2493" s="5" t="s">
        <v>7958</v>
      </c>
      <c r="B2493" s="5" t="s">
        <v>1767</v>
      </c>
      <c r="C2493" s="5" t="s">
        <v>1768</v>
      </c>
      <c r="D2493" s="5" t="s">
        <v>118</v>
      </c>
      <c r="E2493" s="5" t="s">
        <v>2788</v>
      </c>
      <c r="F2493" s="5" t="s">
        <v>2758</v>
      </c>
      <c r="G2493" s="5">
        <v>1</v>
      </c>
      <c r="H2493" s="5" t="s">
        <v>2864</v>
      </c>
      <c r="I2493" s="5" t="str">
        <f>IF(INDEX(Manual_Review!$R$6:$R$238,U2493)="","",INDEX(Manual_Review!$R$6:$R$238,U2493))</f>
        <v/>
      </c>
      <c r="J2493" s="5" t="str">
        <f t="shared" si="76"/>
        <v>AI provisional</v>
      </c>
      <c r="K2493" s="5" t="str">
        <f t="shared" si="77"/>
        <v>U</v>
      </c>
      <c r="L2493" s="5" t="s">
        <v>1775</v>
      </c>
      <c r="M2493" s="5" t="s">
        <v>7959</v>
      </c>
      <c r="N2493" s="5" t="s">
        <v>7946</v>
      </c>
      <c r="O2493" s="5" t="s">
        <v>2880</v>
      </c>
      <c r="P2493" s="5" t="s">
        <v>2858</v>
      </c>
      <c r="Q2493" s="11">
        <v>46306.5</v>
      </c>
      <c r="R2493" s="6"/>
      <c r="S2493" s="6"/>
      <c r="T2493" s="6"/>
      <c r="U2493" s="5">
        <f>MATCH(B2493,Manual_Review!$A$6:$A$238,0)</f>
        <v>156</v>
      </c>
      <c r="V2493" s="5" t="str">
        <f>IF(INDEX(Manual_Review!$G$6:$G$238,U2493)="","",INDEX(Manual_Review!$G$6:$G$238,U2493))</f>
        <v/>
      </c>
      <c r="W2493" s="11" t="str">
        <f>IF(INDEX(Manual_Review!$H$6:$H$238,U2493)="","",INDEX(Manual_Review!$H$6:$H$238,U2493))</f>
        <v/>
      </c>
      <c r="X2493" s="5" t="str">
        <f>IF(INDEX(Manual_Review!$I$6:$I$238,U2493)="","",INDEX(Manual_Review!$I$6:$I$238,U2493))</f>
        <v/>
      </c>
      <c r="Y2493" s="5" t="s">
        <v>2859</v>
      </c>
    </row>
    <row r="2494" spans="1:25" ht="25.5">
      <c r="A2494" s="5" t="s">
        <v>7960</v>
      </c>
      <c r="B2494" s="5" t="s">
        <v>1767</v>
      </c>
      <c r="C2494" s="5" t="s">
        <v>1768</v>
      </c>
      <c r="D2494" s="5" t="s">
        <v>118</v>
      </c>
      <c r="E2494" s="5" t="s">
        <v>2789</v>
      </c>
      <c r="F2494" s="5" t="s">
        <v>2758</v>
      </c>
      <c r="G2494" s="5">
        <v>1</v>
      </c>
      <c r="H2494" s="5" t="s">
        <v>2864</v>
      </c>
      <c r="I2494" s="5" t="str">
        <f>IF(INDEX(Manual_Review!$S$6:$S$238,U2494)="","",INDEX(Manual_Review!$S$6:$S$238,U2494))</f>
        <v/>
      </c>
      <c r="J2494" s="5" t="str">
        <f t="shared" si="76"/>
        <v>AI provisional</v>
      </c>
      <c r="K2494" s="5" t="str">
        <f t="shared" si="77"/>
        <v>U</v>
      </c>
      <c r="L2494" s="5" t="s">
        <v>1775</v>
      </c>
      <c r="M2494" s="5" t="s">
        <v>7961</v>
      </c>
      <c r="N2494" s="5" t="s">
        <v>7946</v>
      </c>
      <c r="O2494" s="5" t="s">
        <v>2883</v>
      </c>
      <c r="P2494" s="5" t="s">
        <v>2858</v>
      </c>
      <c r="Q2494" s="11">
        <v>46306.5</v>
      </c>
      <c r="R2494" s="6"/>
      <c r="S2494" s="6"/>
      <c r="T2494" s="6"/>
      <c r="U2494" s="5">
        <f>MATCH(B2494,Manual_Review!$A$6:$A$238,0)</f>
        <v>156</v>
      </c>
      <c r="V2494" s="5" t="str">
        <f>IF(INDEX(Manual_Review!$G$6:$G$238,U2494)="","",INDEX(Manual_Review!$G$6:$G$238,U2494))</f>
        <v/>
      </c>
      <c r="W2494" s="11" t="str">
        <f>IF(INDEX(Manual_Review!$H$6:$H$238,U2494)="","",INDEX(Manual_Review!$H$6:$H$238,U2494))</f>
        <v/>
      </c>
      <c r="X2494" s="5" t="str">
        <f>IF(INDEX(Manual_Review!$I$6:$I$238,U2494)="","",INDEX(Manual_Review!$I$6:$I$238,U2494))</f>
        <v/>
      </c>
      <c r="Y2494" s="5" t="s">
        <v>2859</v>
      </c>
    </row>
    <row r="2495" spans="1:25" ht="25.5">
      <c r="A2495" s="5" t="s">
        <v>7962</v>
      </c>
      <c r="B2495" s="5" t="s">
        <v>1767</v>
      </c>
      <c r="C2495" s="5" t="s">
        <v>1768</v>
      </c>
      <c r="D2495" s="5" t="s">
        <v>118</v>
      </c>
      <c r="E2495" s="5" t="s">
        <v>2790</v>
      </c>
      <c r="F2495" s="5" t="s">
        <v>2760</v>
      </c>
      <c r="G2495" s="5">
        <v>1</v>
      </c>
      <c r="H2495" s="5" t="s">
        <v>2854</v>
      </c>
      <c r="I2495" s="5" t="str">
        <f>IF(INDEX(Manual_Review!$T$6:$T$238,U2495)="","",INDEX(Manual_Review!$T$6:$T$238,U2495))</f>
        <v/>
      </c>
      <c r="J2495" s="5" t="str">
        <f t="shared" si="76"/>
        <v>AI provisional</v>
      </c>
      <c r="K2495" s="5" t="str">
        <f t="shared" si="77"/>
        <v>Y</v>
      </c>
      <c r="L2495" s="5" t="s">
        <v>1775</v>
      </c>
      <c r="M2495" s="5" t="s">
        <v>7963</v>
      </c>
      <c r="N2495" s="5" t="s">
        <v>7946</v>
      </c>
      <c r="O2495" s="5" t="s">
        <v>2976</v>
      </c>
      <c r="P2495" s="5" t="s">
        <v>2858</v>
      </c>
      <c r="Q2495" s="11">
        <v>46306.5</v>
      </c>
      <c r="R2495" s="6"/>
      <c r="S2495" s="6"/>
      <c r="T2495" s="6"/>
      <c r="U2495" s="5">
        <f>MATCH(B2495,Manual_Review!$A$6:$A$238,0)</f>
        <v>156</v>
      </c>
      <c r="V2495" s="5" t="str">
        <f>IF(INDEX(Manual_Review!$G$6:$G$238,U2495)="","",INDEX(Manual_Review!$G$6:$G$238,U2495))</f>
        <v/>
      </c>
      <c r="W2495" s="11" t="str">
        <f>IF(INDEX(Manual_Review!$H$6:$H$238,U2495)="","",INDEX(Manual_Review!$H$6:$H$238,U2495))</f>
        <v/>
      </c>
      <c r="X2495" s="5" t="str">
        <f>IF(INDEX(Manual_Review!$I$6:$I$238,U2495)="","",INDEX(Manual_Review!$I$6:$I$238,U2495))</f>
        <v/>
      </c>
      <c r="Y2495" s="5" t="s">
        <v>2859</v>
      </c>
    </row>
    <row r="2496" spans="1:25" ht="25.5">
      <c r="A2496" s="5" t="s">
        <v>7964</v>
      </c>
      <c r="B2496" s="5" t="s">
        <v>1767</v>
      </c>
      <c r="C2496" s="5" t="s">
        <v>1768</v>
      </c>
      <c r="D2496" s="5" t="s">
        <v>118</v>
      </c>
      <c r="E2496" s="5" t="s">
        <v>2791</v>
      </c>
      <c r="F2496" s="5" t="s">
        <v>2760</v>
      </c>
      <c r="G2496" s="5">
        <v>1</v>
      </c>
      <c r="H2496" s="5" t="s">
        <v>2864</v>
      </c>
      <c r="I2496" s="5" t="str">
        <f>IF(INDEX(Manual_Review!$U$6:$U$238,U2496)="","",INDEX(Manual_Review!$U$6:$U$238,U2496))</f>
        <v/>
      </c>
      <c r="J2496" s="5" t="str">
        <f t="shared" si="76"/>
        <v>AI provisional</v>
      </c>
      <c r="K2496" s="5" t="str">
        <f t="shared" si="77"/>
        <v>U</v>
      </c>
      <c r="L2496" s="5" t="s">
        <v>1775</v>
      </c>
      <c r="M2496" s="5" t="s">
        <v>7965</v>
      </c>
      <c r="N2496" s="5" t="s">
        <v>7946</v>
      </c>
      <c r="O2496" s="5" t="s">
        <v>2888</v>
      </c>
      <c r="P2496" s="5" t="s">
        <v>2858</v>
      </c>
      <c r="Q2496" s="11">
        <v>46306.5</v>
      </c>
      <c r="R2496" s="6"/>
      <c r="S2496" s="6"/>
      <c r="T2496" s="6"/>
      <c r="U2496" s="5">
        <f>MATCH(B2496,Manual_Review!$A$6:$A$238,0)</f>
        <v>156</v>
      </c>
      <c r="V2496" s="5" t="str">
        <f>IF(INDEX(Manual_Review!$G$6:$G$238,U2496)="","",INDEX(Manual_Review!$G$6:$G$238,U2496))</f>
        <v/>
      </c>
      <c r="W2496" s="11" t="str">
        <f>IF(INDEX(Manual_Review!$H$6:$H$238,U2496)="","",INDEX(Manual_Review!$H$6:$H$238,U2496))</f>
        <v/>
      </c>
      <c r="X2496" s="5" t="str">
        <f>IF(INDEX(Manual_Review!$I$6:$I$238,U2496)="","",INDEX(Manual_Review!$I$6:$I$238,U2496))</f>
        <v/>
      </c>
      <c r="Y2496" s="5" t="s">
        <v>2859</v>
      </c>
    </row>
    <row r="2497" spans="1:25" ht="25.5">
      <c r="A2497" s="5" t="s">
        <v>7966</v>
      </c>
      <c r="B2497" s="5" t="s">
        <v>1767</v>
      </c>
      <c r="C2497" s="5" t="s">
        <v>1768</v>
      </c>
      <c r="D2497" s="5" t="s">
        <v>118</v>
      </c>
      <c r="E2497" s="5" t="s">
        <v>2792</v>
      </c>
      <c r="F2497" s="5" t="s">
        <v>2762</v>
      </c>
      <c r="G2497" s="5">
        <v>1</v>
      </c>
      <c r="H2497" s="5" t="s">
        <v>2864</v>
      </c>
      <c r="I2497" s="5" t="str">
        <f>IF(INDEX(Manual_Review!$V$6:$V$238,U2497)="","",INDEX(Manual_Review!$V$6:$V$238,U2497))</f>
        <v/>
      </c>
      <c r="J2497" s="5" t="str">
        <f t="shared" si="76"/>
        <v>AI provisional</v>
      </c>
      <c r="K2497" s="5" t="str">
        <f t="shared" si="77"/>
        <v>U</v>
      </c>
      <c r="L2497" s="5" t="s">
        <v>1775</v>
      </c>
      <c r="M2497" s="5" t="s">
        <v>7967</v>
      </c>
      <c r="N2497" s="5" t="s">
        <v>7946</v>
      </c>
      <c r="O2497" s="5" t="s">
        <v>2891</v>
      </c>
      <c r="P2497" s="5" t="s">
        <v>2858</v>
      </c>
      <c r="Q2497" s="11">
        <v>46306.5</v>
      </c>
      <c r="R2497" s="6"/>
      <c r="S2497" s="6"/>
      <c r="T2497" s="6"/>
      <c r="U2497" s="5">
        <f>MATCH(B2497,Manual_Review!$A$6:$A$238,0)</f>
        <v>156</v>
      </c>
      <c r="V2497" s="5" t="str">
        <f>IF(INDEX(Manual_Review!$G$6:$G$238,U2497)="","",INDEX(Manual_Review!$G$6:$G$238,U2497))</f>
        <v/>
      </c>
      <c r="W2497" s="11" t="str">
        <f>IF(INDEX(Manual_Review!$H$6:$H$238,U2497)="","",INDEX(Manual_Review!$H$6:$H$238,U2497))</f>
        <v/>
      </c>
      <c r="X2497" s="5" t="str">
        <f>IF(INDEX(Manual_Review!$I$6:$I$238,U2497)="","",INDEX(Manual_Review!$I$6:$I$238,U2497))</f>
        <v/>
      </c>
      <c r="Y2497" s="5" t="s">
        <v>2859</v>
      </c>
    </row>
    <row r="2498" spans="1:25" ht="25.5">
      <c r="A2498" s="5" t="s">
        <v>7968</v>
      </c>
      <c r="B2498" s="5" t="s">
        <v>1767</v>
      </c>
      <c r="C2498" s="5" t="s">
        <v>1768</v>
      </c>
      <c r="D2498" s="5" t="s">
        <v>118</v>
      </c>
      <c r="E2498" s="5" t="s">
        <v>2793</v>
      </c>
      <c r="F2498" s="5" t="s">
        <v>2762</v>
      </c>
      <c r="G2498" s="5">
        <v>1</v>
      </c>
      <c r="H2498" s="5" t="s">
        <v>2864</v>
      </c>
      <c r="I2498" s="5" t="str">
        <f>IF(INDEX(Manual_Review!$W$6:$W$238,U2498)="","",INDEX(Manual_Review!$W$6:$W$238,U2498))</f>
        <v/>
      </c>
      <c r="J2498" s="5" t="str">
        <f t="shared" si="76"/>
        <v>AI provisional</v>
      </c>
      <c r="K2498" s="5" t="str">
        <f t="shared" si="77"/>
        <v>U</v>
      </c>
      <c r="L2498" s="5" t="s">
        <v>1775</v>
      </c>
      <c r="M2498" s="5" t="s">
        <v>7967</v>
      </c>
      <c r="N2498" s="5" t="s">
        <v>7946</v>
      </c>
      <c r="O2498" s="5" t="s">
        <v>2893</v>
      </c>
      <c r="P2498" s="5" t="s">
        <v>2858</v>
      </c>
      <c r="Q2498" s="11">
        <v>46306.5</v>
      </c>
      <c r="R2498" s="6"/>
      <c r="S2498" s="6"/>
      <c r="T2498" s="6"/>
      <c r="U2498" s="5">
        <f>MATCH(B2498,Manual_Review!$A$6:$A$238,0)</f>
        <v>156</v>
      </c>
      <c r="V2498" s="5" t="str">
        <f>IF(INDEX(Manual_Review!$G$6:$G$238,U2498)="","",INDEX(Manual_Review!$G$6:$G$238,U2498))</f>
        <v/>
      </c>
      <c r="W2498" s="11" t="str">
        <f>IF(INDEX(Manual_Review!$H$6:$H$238,U2498)="","",INDEX(Manual_Review!$H$6:$H$238,U2498))</f>
        <v/>
      </c>
      <c r="X2498" s="5" t="str">
        <f>IF(INDEX(Manual_Review!$I$6:$I$238,U2498)="","",INDEX(Manual_Review!$I$6:$I$238,U2498))</f>
        <v/>
      </c>
      <c r="Y2498" s="5" t="s">
        <v>2859</v>
      </c>
    </row>
    <row r="2499" spans="1:25" ht="25.5">
      <c r="A2499" s="5" t="s">
        <v>7969</v>
      </c>
      <c r="B2499" s="5" t="s">
        <v>1767</v>
      </c>
      <c r="C2499" s="5" t="s">
        <v>1768</v>
      </c>
      <c r="D2499" s="5" t="s">
        <v>118</v>
      </c>
      <c r="E2499" s="5" t="s">
        <v>2794</v>
      </c>
      <c r="F2499" s="5" t="s">
        <v>2764</v>
      </c>
      <c r="G2499" s="5">
        <v>1</v>
      </c>
      <c r="H2499" s="5" t="s">
        <v>2864</v>
      </c>
      <c r="I2499" s="5" t="str">
        <f>IF(INDEX(Manual_Review!$X$6:$X$238,U2499)="","",INDEX(Manual_Review!$X$6:$X$238,U2499))</f>
        <v/>
      </c>
      <c r="J2499" s="5" t="str">
        <f t="shared" si="76"/>
        <v>AI provisional</v>
      </c>
      <c r="K2499" s="5" t="str">
        <f t="shared" si="77"/>
        <v>U</v>
      </c>
      <c r="L2499" s="5" t="s">
        <v>1775</v>
      </c>
      <c r="M2499" s="5" t="s">
        <v>7970</v>
      </c>
      <c r="N2499" s="5" t="s">
        <v>7946</v>
      </c>
      <c r="O2499" s="5" t="s">
        <v>2895</v>
      </c>
      <c r="P2499" s="5" t="s">
        <v>2858</v>
      </c>
      <c r="Q2499" s="11">
        <v>46306.5</v>
      </c>
      <c r="R2499" s="6"/>
      <c r="S2499" s="6"/>
      <c r="T2499" s="6"/>
      <c r="U2499" s="5">
        <f>MATCH(B2499,Manual_Review!$A$6:$A$238,0)</f>
        <v>156</v>
      </c>
      <c r="V2499" s="5" t="str">
        <f>IF(INDEX(Manual_Review!$G$6:$G$238,U2499)="","",INDEX(Manual_Review!$G$6:$G$238,U2499))</f>
        <v/>
      </c>
      <c r="W2499" s="11" t="str">
        <f>IF(INDEX(Manual_Review!$H$6:$H$238,U2499)="","",INDEX(Manual_Review!$H$6:$H$238,U2499))</f>
        <v/>
      </c>
      <c r="X2499" s="5" t="str">
        <f>IF(INDEX(Manual_Review!$I$6:$I$238,U2499)="","",INDEX(Manual_Review!$I$6:$I$238,U2499))</f>
        <v/>
      </c>
      <c r="Y2499" s="5" t="s">
        <v>2859</v>
      </c>
    </row>
    <row r="2500" spans="1:25" ht="25.5">
      <c r="A2500" s="5" t="s">
        <v>7971</v>
      </c>
      <c r="B2500" s="5" t="s">
        <v>1767</v>
      </c>
      <c r="C2500" s="5" t="s">
        <v>1768</v>
      </c>
      <c r="D2500" s="5" t="s">
        <v>118</v>
      </c>
      <c r="E2500" s="5" t="s">
        <v>2795</v>
      </c>
      <c r="F2500" s="5" t="s">
        <v>2764</v>
      </c>
      <c r="G2500" s="5">
        <v>1</v>
      </c>
      <c r="H2500" s="5" t="s">
        <v>2864</v>
      </c>
      <c r="I2500" s="5" t="str">
        <f>IF(INDEX(Manual_Review!$Y$6:$Y$238,U2500)="","",INDEX(Manual_Review!$Y$6:$Y$238,U2500))</f>
        <v/>
      </c>
      <c r="J2500" s="5" t="str">
        <f t="shared" si="76"/>
        <v>AI provisional</v>
      </c>
      <c r="K2500" s="5" t="str">
        <f t="shared" si="77"/>
        <v>U</v>
      </c>
      <c r="L2500" s="5" t="s">
        <v>1775</v>
      </c>
      <c r="M2500" s="5" t="s">
        <v>7950</v>
      </c>
      <c r="N2500" s="5" t="s">
        <v>7946</v>
      </c>
      <c r="O2500" s="5" t="s">
        <v>2897</v>
      </c>
      <c r="P2500" s="5" t="s">
        <v>2858</v>
      </c>
      <c r="Q2500" s="11">
        <v>46306.5</v>
      </c>
      <c r="R2500" s="6"/>
      <c r="S2500" s="6"/>
      <c r="T2500" s="6"/>
      <c r="U2500" s="5">
        <f>MATCH(B2500,Manual_Review!$A$6:$A$238,0)</f>
        <v>156</v>
      </c>
      <c r="V2500" s="5" t="str">
        <f>IF(INDEX(Manual_Review!$G$6:$G$238,U2500)="","",INDEX(Manual_Review!$G$6:$G$238,U2500))</f>
        <v/>
      </c>
      <c r="W2500" s="11" t="str">
        <f>IF(INDEX(Manual_Review!$H$6:$H$238,U2500)="","",INDEX(Manual_Review!$H$6:$H$238,U2500))</f>
        <v/>
      </c>
      <c r="X2500" s="5" t="str">
        <f>IF(INDEX(Manual_Review!$I$6:$I$238,U2500)="","",INDEX(Manual_Review!$I$6:$I$238,U2500))</f>
        <v/>
      </c>
      <c r="Y2500" s="5" t="s">
        <v>2859</v>
      </c>
    </row>
    <row r="2501" spans="1:25" ht="25.5">
      <c r="A2501" s="5" t="s">
        <v>7972</v>
      </c>
      <c r="B2501" s="5" t="s">
        <v>1767</v>
      </c>
      <c r="C2501" s="5" t="s">
        <v>1768</v>
      </c>
      <c r="D2501" s="5" t="s">
        <v>118</v>
      </c>
      <c r="E2501" s="5" t="s">
        <v>2796</v>
      </c>
      <c r="F2501" s="5" t="s">
        <v>2764</v>
      </c>
      <c r="G2501" s="5">
        <v>1</v>
      </c>
      <c r="H2501" s="5" t="s">
        <v>2864</v>
      </c>
      <c r="I2501" s="5" t="str">
        <f>IF(INDEX(Manual_Review!$Z$6:$Z$238,U2501)="","",INDEX(Manual_Review!$Z$6:$Z$238,U2501))</f>
        <v/>
      </c>
      <c r="J2501" s="5" t="str">
        <f t="shared" si="76"/>
        <v>AI provisional</v>
      </c>
      <c r="K2501" s="5" t="str">
        <f t="shared" si="77"/>
        <v>U</v>
      </c>
      <c r="L2501" s="5" t="s">
        <v>1775</v>
      </c>
      <c r="M2501" s="5" t="s">
        <v>7973</v>
      </c>
      <c r="N2501" s="5" t="s">
        <v>7946</v>
      </c>
      <c r="O2501" s="5" t="s">
        <v>2899</v>
      </c>
      <c r="P2501" s="5" t="s">
        <v>2858</v>
      </c>
      <c r="Q2501" s="11">
        <v>46306.5</v>
      </c>
      <c r="R2501" s="6"/>
      <c r="S2501" s="6"/>
      <c r="T2501" s="6"/>
      <c r="U2501" s="5">
        <f>MATCH(B2501,Manual_Review!$A$6:$A$238,0)</f>
        <v>156</v>
      </c>
      <c r="V2501" s="5" t="str">
        <f>IF(INDEX(Manual_Review!$G$6:$G$238,U2501)="","",INDEX(Manual_Review!$G$6:$G$238,U2501))</f>
        <v/>
      </c>
      <c r="W2501" s="11" t="str">
        <f>IF(INDEX(Manual_Review!$H$6:$H$238,U2501)="","",INDEX(Manual_Review!$H$6:$H$238,U2501))</f>
        <v/>
      </c>
      <c r="X2501" s="5" t="str">
        <f>IF(INDEX(Manual_Review!$I$6:$I$238,U2501)="","",INDEX(Manual_Review!$I$6:$I$238,U2501))</f>
        <v/>
      </c>
      <c r="Y2501" s="5" t="s">
        <v>2859</v>
      </c>
    </row>
    <row r="2502" spans="1:25" ht="25.5">
      <c r="A2502" s="5" t="s">
        <v>7974</v>
      </c>
      <c r="B2502" s="5" t="s">
        <v>60</v>
      </c>
      <c r="C2502" s="5" t="s">
        <v>61</v>
      </c>
      <c r="D2502" s="5" t="s">
        <v>118</v>
      </c>
      <c r="E2502" s="5" t="s">
        <v>2781</v>
      </c>
      <c r="F2502" s="5" t="s">
        <v>2754</v>
      </c>
      <c r="G2502" s="5">
        <v>1</v>
      </c>
      <c r="H2502" s="5" t="s">
        <v>2854</v>
      </c>
      <c r="I2502" s="5" t="str">
        <f>IF(INDEX(Manual_Review!$K$6:$K$238,U2502)="","",INDEX(Manual_Review!$K$6:$K$238,U2502))</f>
        <v/>
      </c>
      <c r="J2502" s="5" t="str">
        <f t="shared" ref="J2502:J2565" si="78">IF(G2502=0,"Not applicable",IF(I2502="","AI provisional",IF(AND(OR(I2502="Y",I2502="N",I2502="U",I2502="X"),V2502&lt;&gt;"",ISNUMBER(W2502),W2502&gt;0,X2502="Confirmed",R2502&lt;&gt;"",S2502&lt;&gt;"",T2502&lt;&gt;""),"Human valid","Evidence needed")))</f>
        <v>AI provisional</v>
      </c>
      <c r="K2502" s="5" t="str">
        <f t="shared" ref="K2502:K2565" si="79">IF(G2502=0,"N/A",IF(I2502="",H2502,IF(J2502="Human valid",I2502,"U")))</f>
        <v>Y</v>
      </c>
      <c r="L2502" s="5" t="s">
        <v>1787</v>
      </c>
      <c r="M2502" s="5" t="s">
        <v>4</v>
      </c>
      <c r="N2502" s="5" t="s">
        <v>7975</v>
      </c>
      <c r="O2502" s="5" t="s">
        <v>3089</v>
      </c>
      <c r="P2502" s="5" t="s">
        <v>3090</v>
      </c>
      <c r="Q2502" s="11">
        <v>46306.5</v>
      </c>
      <c r="R2502" s="6"/>
      <c r="S2502" s="6"/>
      <c r="T2502" s="6"/>
      <c r="U2502" s="5">
        <f>MATCH(B2502,Manual_Review!$A$6:$A$238,0)</f>
        <v>157</v>
      </c>
      <c r="V2502" s="5" t="str">
        <f>IF(INDEX(Manual_Review!$G$6:$G$238,U2502)="","",INDEX(Manual_Review!$G$6:$G$238,U2502))</f>
        <v/>
      </c>
      <c r="W2502" s="11" t="str">
        <f>IF(INDEX(Manual_Review!$H$6:$H$238,U2502)="","",INDEX(Manual_Review!$H$6:$H$238,U2502))</f>
        <v/>
      </c>
      <c r="X2502" s="5" t="str">
        <f>IF(INDEX(Manual_Review!$I$6:$I$238,U2502)="","",INDEX(Manual_Review!$I$6:$I$238,U2502))</f>
        <v/>
      </c>
      <c r="Y2502" s="5" t="s">
        <v>2859</v>
      </c>
    </row>
    <row r="2503" spans="1:25" ht="25.5">
      <c r="A2503" s="5" t="s">
        <v>7976</v>
      </c>
      <c r="B2503" s="5" t="s">
        <v>60</v>
      </c>
      <c r="C2503" s="5" t="s">
        <v>61</v>
      </c>
      <c r="D2503" s="5" t="s">
        <v>118</v>
      </c>
      <c r="E2503" s="5" t="s">
        <v>2782</v>
      </c>
      <c r="F2503" s="5" t="s">
        <v>2754</v>
      </c>
      <c r="G2503" s="5">
        <v>1</v>
      </c>
      <c r="H2503" s="5" t="s">
        <v>2854</v>
      </c>
      <c r="I2503" s="5" t="str">
        <f>IF(INDEX(Manual_Review!$L$6:$L$238,U2503)="","",INDEX(Manual_Review!$L$6:$L$238,U2503))</f>
        <v/>
      </c>
      <c r="J2503" s="5" t="str">
        <f t="shared" si="78"/>
        <v>AI provisional</v>
      </c>
      <c r="K2503" s="5" t="str">
        <f t="shared" si="79"/>
        <v>Y</v>
      </c>
      <c r="L2503" s="5" t="s">
        <v>1787</v>
      </c>
      <c r="M2503" s="5" t="s">
        <v>4</v>
      </c>
      <c r="N2503" s="5" t="s">
        <v>7977</v>
      </c>
      <c r="O2503" s="5" t="s">
        <v>3089</v>
      </c>
      <c r="P2503" s="5" t="s">
        <v>3090</v>
      </c>
      <c r="Q2503" s="11">
        <v>46306.5</v>
      </c>
      <c r="R2503" s="6"/>
      <c r="S2503" s="6"/>
      <c r="T2503" s="6"/>
      <c r="U2503" s="5">
        <f>MATCH(B2503,Manual_Review!$A$6:$A$238,0)</f>
        <v>157</v>
      </c>
      <c r="V2503" s="5" t="str">
        <f>IF(INDEX(Manual_Review!$G$6:$G$238,U2503)="","",INDEX(Manual_Review!$G$6:$G$238,U2503))</f>
        <v/>
      </c>
      <c r="W2503" s="11" t="str">
        <f>IF(INDEX(Manual_Review!$H$6:$H$238,U2503)="","",INDEX(Manual_Review!$H$6:$H$238,U2503))</f>
        <v/>
      </c>
      <c r="X2503" s="5" t="str">
        <f>IF(INDEX(Manual_Review!$I$6:$I$238,U2503)="","",INDEX(Manual_Review!$I$6:$I$238,U2503))</f>
        <v/>
      </c>
      <c r="Y2503" s="5" t="s">
        <v>2859</v>
      </c>
    </row>
    <row r="2504" spans="1:25" ht="25.5">
      <c r="A2504" s="5" t="s">
        <v>7978</v>
      </c>
      <c r="B2504" s="5" t="s">
        <v>60</v>
      </c>
      <c r="C2504" s="5" t="s">
        <v>61</v>
      </c>
      <c r="D2504" s="5" t="s">
        <v>118</v>
      </c>
      <c r="E2504" s="5" t="s">
        <v>2783</v>
      </c>
      <c r="F2504" s="5" t="s">
        <v>2754</v>
      </c>
      <c r="G2504" s="5">
        <v>1</v>
      </c>
      <c r="H2504" s="5" t="s">
        <v>2864</v>
      </c>
      <c r="I2504" s="5" t="str">
        <f>IF(INDEX(Manual_Review!$M$6:$M$238,U2504)="","",INDEX(Manual_Review!$M$6:$M$238,U2504))</f>
        <v/>
      </c>
      <c r="J2504" s="5" t="str">
        <f t="shared" si="78"/>
        <v>AI provisional</v>
      </c>
      <c r="K2504" s="5" t="str">
        <f t="shared" si="79"/>
        <v>U</v>
      </c>
      <c r="L2504" s="5" t="s">
        <v>1787</v>
      </c>
      <c r="M2504" s="5" t="s">
        <v>7979</v>
      </c>
      <c r="N2504" s="5" t="s">
        <v>7980</v>
      </c>
      <c r="O2504" s="5" t="s">
        <v>3089</v>
      </c>
      <c r="P2504" s="5" t="s">
        <v>3090</v>
      </c>
      <c r="Q2504" s="11">
        <v>46306.5</v>
      </c>
      <c r="R2504" s="6"/>
      <c r="S2504" s="6"/>
      <c r="T2504" s="6"/>
      <c r="U2504" s="5">
        <f>MATCH(B2504,Manual_Review!$A$6:$A$238,0)</f>
        <v>157</v>
      </c>
      <c r="V2504" s="5" t="str">
        <f>IF(INDEX(Manual_Review!$G$6:$G$238,U2504)="","",INDEX(Manual_Review!$G$6:$G$238,U2504))</f>
        <v/>
      </c>
      <c r="W2504" s="11" t="str">
        <f>IF(INDEX(Manual_Review!$H$6:$H$238,U2504)="","",INDEX(Manual_Review!$H$6:$H$238,U2504))</f>
        <v/>
      </c>
      <c r="X2504" s="5" t="str">
        <f>IF(INDEX(Manual_Review!$I$6:$I$238,U2504)="","",INDEX(Manual_Review!$I$6:$I$238,U2504))</f>
        <v/>
      </c>
      <c r="Y2504" s="5" t="s">
        <v>2859</v>
      </c>
    </row>
    <row r="2505" spans="1:25" ht="25.5">
      <c r="A2505" s="5" t="s">
        <v>7981</v>
      </c>
      <c r="B2505" s="5" t="s">
        <v>60</v>
      </c>
      <c r="C2505" s="5" t="s">
        <v>61</v>
      </c>
      <c r="D2505" s="5" t="s">
        <v>118</v>
      </c>
      <c r="E2505" s="5" t="s">
        <v>2784</v>
      </c>
      <c r="F2505" s="5" t="s">
        <v>2756</v>
      </c>
      <c r="G2505" s="5">
        <v>1</v>
      </c>
      <c r="H2505" s="5" t="s">
        <v>2854</v>
      </c>
      <c r="I2505" s="5" t="str">
        <f>IF(INDEX(Manual_Review!$N$6:$N$238,U2505)="","",INDEX(Manual_Review!$N$6:$N$238,U2505))</f>
        <v/>
      </c>
      <c r="J2505" s="5" t="str">
        <f t="shared" si="78"/>
        <v>AI provisional</v>
      </c>
      <c r="K2505" s="5" t="str">
        <f t="shared" si="79"/>
        <v>Y</v>
      </c>
      <c r="L2505" s="5" t="s">
        <v>7982</v>
      </c>
      <c r="M2505" s="5" t="s">
        <v>7983</v>
      </c>
      <c r="N2505" s="5" t="s">
        <v>7984</v>
      </c>
      <c r="O2505" s="5" t="s">
        <v>3089</v>
      </c>
      <c r="P2505" s="5" t="s">
        <v>3090</v>
      </c>
      <c r="Q2505" s="11">
        <v>46306.5</v>
      </c>
      <c r="R2505" s="6"/>
      <c r="S2505" s="6"/>
      <c r="T2505" s="6"/>
      <c r="U2505" s="5">
        <f>MATCH(B2505,Manual_Review!$A$6:$A$238,0)</f>
        <v>157</v>
      </c>
      <c r="V2505" s="5" t="str">
        <f>IF(INDEX(Manual_Review!$G$6:$G$238,U2505)="","",INDEX(Manual_Review!$G$6:$G$238,U2505))</f>
        <v/>
      </c>
      <c r="W2505" s="11" t="str">
        <f>IF(INDEX(Manual_Review!$H$6:$H$238,U2505)="","",INDEX(Manual_Review!$H$6:$H$238,U2505))</f>
        <v/>
      </c>
      <c r="X2505" s="5" t="str">
        <f>IF(INDEX(Manual_Review!$I$6:$I$238,U2505)="","",INDEX(Manual_Review!$I$6:$I$238,U2505))</f>
        <v/>
      </c>
      <c r="Y2505" s="5" t="s">
        <v>2859</v>
      </c>
    </row>
    <row r="2506" spans="1:25" ht="25.5">
      <c r="A2506" s="5" t="s">
        <v>7985</v>
      </c>
      <c r="B2506" s="5" t="s">
        <v>60</v>
      </c>
      <c r="C2506" s="5" t="s">
        <v>61</v>
      </c>
      <c r="D2506" s="5" t="s">
        <v>118</v>
      </c>
      <c r="E2506" s="5" t="s">
        <v>2785</v>
      </c>
      <c r="F2506" s="5" t="s">
        <v>2756</v>
      </c>
      <c r="G2506" s="5">
        <v>1</v>
      </c>
      <c r="H2506" s="5" t="s">
        <v>2864</v>
      </c>
      <c r="I2506" s="5" t="str">
        <f>IF(INDEX(Manual_Review!$O$6:$O$238,U2506)="","",INDEX(Manual_Review!$O$6:$O$238,U2506))</f>
        <v/>
      </c>
      <c r="J2506" s="5" t="str">
        <f t="shared" si="78"/>
        <v>AI provisional</v>
      </c>
      <c r="K2506" s="5" t="str">
        <f t="shared" si="79"/>
        <v>U</v>
      </c>
      <c r="L2506" s="5" t="s">
        <v>7982</v>
      </c>
      <c r="M2506" s="5" t="s">
        <v>7986</v>
      </c>
      <c r="N2506" s="5" t="s">
        <v>7987</v>
      </c>
      <c r="O2506" s="5" t="s">
        <v>3089</v>
      </c>
      <c r="P2506" s="5" t="s">
        <v>3090</v>
      </c>
      <c r="Q2506" s="11">
        <v>46306.5</v>
      </c>
      <c r="R2506" s="6"/>
      <c r="S2506" s="6"/>
      <c r="T2506" s="6"/>
      <c r="U2506" s="5">
        <f>MATCH(B2506,Manual_Review!$A$6:$A$238,0)</f>
        <v>157</v>
      </c>
      <c r="V2506" s="5" t="str">
        <f>IF(INDEX(Manual_Review!$G$6:$G$238,U2506)="","",INDEX(Manual_Review!$G$6:$G$238,U2506))</f>
        <v/>
      </c>
      <c r="W2506" s="11" t="str">
        <f>IF(INDEX(Manual_Review!$H$6:$H$238,U2506)="","",INDEX(Manual_Review!$H$6:$H$238,U2506))</f>
        <v/>
      </c>
      <c r="X2506" s="5" t="str">
        <f>IF(INDEX(Manual_Review!$I$6:$I$238,U2506)="","",INDEX(Manual_Review!$I$6:$I$238,U2506))</f>
        <v/>
      </c>
      <c r="Y2506" s="5" t="s">
        <v>2859</v>
      </c>
    </row>
    <row r="2507" spans="1:25" ht="25.5">
      <c r="A2507" s="5" t="s">
        <v>7988</v>
      </c>
      <c r="B2507" s="5" t="s">
        <v>60</v>
      </c>
      <c r="C2507" s="5" t="s">
        <v>61</v>
      </c>
      <c r="D2507" s="5" t="s">
        <v>118</v>
      </c>
      <c r="E2507" s="5" t="s">
        <v>2786</v>
      </c>
      <c r="F2507" s="5" t="s">
        <v>2756</v>
      </c>
      <c r="G2507" s="5">
        <v>1</v>
      </c>
      <c r="H2507" s="5" t="s">
        <v>2864</v>
      </c>
      <c r="I2507" s="5" t="str">
        <f>IF(INDEX(Manual_Review!$P$6:$P$238,U2507)="","",INDEX(Manual_Review!$P$6:$P$238,U2507))</f>
        <v/>
      </c>
      <c r="J2507" s="5" t="str">
        <f t="shared" si="78"/>
        <v>AI provisional</v>
      </c>
      <c r="K2507" s="5" t="str">
        <f t="shared" si="79"/>
        <v>U</v>
      </c>
      <c r="L2507" s="5" t="s">
        <v>7982</v>
      </c>
      <c r="M2507" s="5" t="s">
        <v>7986</v>
      </c>
      <c r="N2507" s="5" t="s">
        <v>7989</v>
      </c>
      <c r="O2507" s="5" t="s">
        <v>3089</v>
      </c>
      <c r="P2507" s="5" t="s">
        <v>3090</v>
      </c>
      <c r="Q2507" s="11">
        <v>46306.5</v>
      </c>
      <c r="R2507" s="6"/>
      <c r="S2507" s="6"/>
      <c r="T2507" s="6"/>
      <c r="U2507" s="5">
        <f>MATCH(B2507,Manual_Review!$A$6:$A$238,0)</f>
        <v>157</v>
      </c>
      <c r="V2507" s="5" t="str">
        <f>IF(INDEX(Manual_Review!$G$6:$G$238,U2507)="","",INDEX(Manual_Review!$G$6:$G$238,U2507))</f>
        <v/>
      </c>
      <c r="W2507" s="11" t="str">
        <f>IF(INDEX(Manual_Review!$H$6:$H$238,U2507)="","",INDEX(Manual_Review!$H$6:$H$238,U2507))</f>
        <v/>
      </c>
      <c r="X2507" s="5" t="str">
        <f>IF(INDEX(Manual_Review!$I$6:$I$238,U2507)="","",INDEX(Manual_Review!$I$6:$I$238,U2507))</f>
        <v/>
      </c>
      <c r="Y2507" s="5" t="s">
        <v>2859</v>
      </c>
    </row>
    <row r="2508" spans="1:25" ht="25.5">
      <c r="A2508" s="5" t="s">
        <v>7990</v>
      </c>
      <c r="B2508" s="5" t="s">
        <v>60</v>
      </c>
      <c r="C2508" s="5" t="s">
        <v>61</v>
      </c>
      <c r="D2508" s="5" t="s">
        <v>118</v>
      </c>
      <c r="E2508" s="5" t="s">
        <v>2787</v>
      </c>
      <c r="F2508" s="5" t="s">
        <v>2758</v>
      </c>
      <c r="G2508" s="5">
        <v>1</v>
      </c>
      <c r="H2508" s="5" t="s">
        <v>2864</v>
      </c>
      <c r="I2508" s="5" t="str">
        <f>IF(INDEX(Manual_Review!$Q$6:$Q$238,U2508)="","",INDEX(Manual_Review!$Q$6:$Q$238,U2508))</f>
        <v/>
      </c>
      <c r="J2508" s="5" t="str">
        <f t="shared" si="78"/>
        <v>AI provisional</v>
      </c>
      <c r="K2508" s="5" t="str">
        <f t="shared" si="79"/>
        <v>U</v>
      </c>
      <c r="L2508" s="5" t="s">
        <v>7991</v>
      </c>
      <c r="M2508" s="5" t="s">
        <v>7992</v>
      </c>
      <c r="N2508" s="5" t="s">
        <v>7993</v>
      </c>
      <c r="O2508" s="5" t="s">
        <v>3089</v>
      </c>
      <c r="P2508" s="5" t="s">
        <v>3090</v>
      </c>
      <c r="Q2508" s="11">
        <v>46306.5</v>
      </c>
      <c r="R2508" s="6"/>
      <c r="S2508" s="6"/>
      <c r="T2508" s="6"/>
      <c r="U2508" s="5">
        <f>MATCH(B2508,Manual_Review!$A$6:$A$238,0)</f>
        <v>157</v>
      </c>
      <c r="V2508" s="5" t="str">
        <f>IF(INDEX(Manual_Review!$G$6:$G$238,U2508)="","",INDEX(Manual_Review!$G$6:$G$238,U2508))</f>
        <v/>
      </c>
      <c r="W2508" s="11" t="str">
        <f>IF(INDEX(Manual_Review!$H$6:$H$238,U2508)="","",INDEX(Manual_Review!$H$6:$H$238,U2508))</f>
        <v/>
      </c>
      <c r="X2508" s="5" t="str">
        <f>IF(INDEX(Manual_Review!$I$6:$I$238,U2508)="","",INDEX(Manual_Review!$I$6:$I$238,U2508))</f>
        <v/>
      </c>
      <c r="Y2508" s="5" t="s">
        <v>2859</v>
      </c>
    </row>
    <row r="2509" spans="1:25" ht="25.5">
      <c r="A2509" s="5" t="s">
        <v>7994</v>
      </c>
      <c r="B2509" s="5" t="s">
        <v>60</v>
      </c>
      <c r="C2509" s="5" t="s">
        <v>61</v>
      </c>
      <c r="D2509" s="5" t="s">
        <v>118</v>
      </c>
      <c r="E2509" s="5" t="s">
        <v>2788</v>
      </c>
      <c r="F2509" s="5" t="s">
        <v>2758</v>
      </c>
      <c r="G2509" s="5">
        <v>1</v>
      </c>
      <c r="H2509" s="5" t="s">
        <v>2854</v>
      </c>
      <c r="I2509" s="5" t="str">
        <f>IF(INDEX(Manual_Review!$R$6:$R$238,U2509)="","",INDEX(Manual_Review!$R$6:$R$238,U2509))</f>
        <v/>
      </c>
      <c r="J2509" s="5" t="str">
        <f t="shared" si="78"/>
        <v>AI provisional</v>
      </c>
      <c r="K2509" s="5" t="str">
        <f t="shared" si="79"/>
        <v>Y</v>
      </c>
      <c r="L2509" s="5" t="s">
        <v>7982</v>
      </c>
      <c r="M2509" s="5" t="s">
        <v>7986</v>
      </c>
      <c r="N2509" s="5" t="s">
        <v>7995</v>
      </c>
      <c r="O2509" s="5" t="s">
        <v>3089</v>
      </c>
      <c r="P2509" s="5" t="s">
        <v>3090</v>
      </c>
      <c r="Q2509" s="11">
        <v>46306.5</v>
      </c>
      <c r="R2509" s="6"/>
      <c r="S2509" s="6"/>
      <c r="T2509" s="6"/>
      <c r="U2509" s="5">
        <f>MATCH(B2509,Manual_Review!$A$6:$A$238,0)</f>
        <v>157</v>
      </c>
      <c r="V2509" s="5" t="str">
        <f>IF(INDEX(Manual_Review!$G$6:$G$238,U2509)="","",INDEX(Manual_Review!$G$6:$G$238,U2509))</f>
        <v/>
      </c>
      <c r="W2509" s="11" t="str">
        <f>IF(INDEX(Manual_Review!$H$6:$H$238,U2509)="","",INDEX(Manual_Review!$H$6:$H$238,U2509))</f>
        <v/>
      </c>
      <c r="X2509" s="5" t="str">
        <f>IF(INDEX(Manual_Review!$I$6:$I$238,U2509)="","",INDEX(Manual_Review!$I$6:$I$238,U2509))</f>
        <v/>
      </c>
      <c r="Y2509" s="5" t="s">
        <v>2859</v>
      </c>
    </row>
    <row r="2510" spans="1:25" ht="25.5">
      <c r="A2510" s="5" t="s">
        <v>7996</v>
      </c>
      <c r="B2510" s="5" t="s">
        <v>60</v>
      </c>
      <c r="C2510" s="5" t="s">
        <v>61</v>
      </c>
      <c r="D2510" s="5" t="s">
        <v>118</v>
      </c>
      <c r="E2510" s="5" t="s">
        <v>2789</v>
      </c>
      <c r="F2510" s="5" t="s">
        <v>2758</v>
      </c>
      <c r="G2510" s="5">
        <v>1</v>
      </c>
      <c r="H2510" s="5" t="s">
        <v>2854</v>
      </c>
      <c r="I2510" s="5" t="str">
        <f>IF(INDEX(Manual_Review!$S$6:$S$238,U2510)="","",INDEX(Manual_Review!$S$6:$S$238,U2510))</f>
        <v/>
      </c>
      <c r="J2510" s="5" t="str">
        <f t="shared" si="78"/>
        <v>AI provisional</v>
      </c>
      <c r="K2510" s="5" t="str">
        <f t="shared" si="79"/>
        <v>Y</v>
      </c>
      <c r="L2510" s="5" t="s">
        <v>7982</v>
      </c>
      <c r="M2510" s="5" t="s">
        <v>7997</v>
      </c>
      <c r="N2510" s="5" t="s">
        <v>7998</v>
      </c>
      <c r="O2510" s="5" t="s">
        <v>3089</v>
      </c>
      <c r="P2510" s="5" t="s">
        <v>3090</v>
      </c>
      <c r="Q2510" s="11">
        <v>46306.5</v>
      </c>
      <c r="R2510" s="6"/>
      <c r="S2510" s="6"/>
      <c r="T2510" s="6"/>
      <c r="U2510" s="5">
        <f>MATCH(B2510,Manual_Review!$A$6:$A$238,0)</f>
        <v>157</v>
      </c>
      <c r="V2510" s="5" t="str">
        <f>IF(INDEX(Manual_Review!$G$6:$G$238,U2510)="","",INDEX(Manual_Review!$G$6:$G$238,U2510))</f>
        <v/>
      </c>
      <c r="W2510" s="11" t="str">
        <f>IF(INDEX(Manual_Review!$H$6:$H$238,U2510)="","",INDEX(Manual_Review!$H$6:$H$238,U2510))</f>
        <v/>
      </c>
      <c r="X2510" s="5" t="str">
        <f>IF(INDEX(Manual_Review!$I$6:$I$238,U2510)="","",INDEX(Manual_Review!$I$6:$I$238,U2510))</f>
        <v/>
      </c>
      <c r="Y2510" s="5" t="s">
        <v>2859</v>
      </c>
    </row>
    <row r="2511" spans="1:25" ht="25.5">
      <c r="A2511" s="5" t="s">
        <v>7999</v>
      </c>
      <c r="B2511" s="5" t="s">
        <v>60</v>
      </c>
      <c r="C2511" s="5" t="s">
        <v>61</v>
      </c>
      <c r="D2511" s="5" t="s">
        <v>118</v>
      </c>
      <c r="E2511" s="5" t="s">
        <v>2790</v>
      </c>
      <c r="F2511" s="5" t="s">
        <v>2760</v>
      </c>
      <c r="G2511" s="5">
        <v>1</v>
      </c>
      <c r="H2511" s="5" t="s">
        <v>2854</v>
      </c>
      <c r="I2511" s="5" t="str">
        <f>IF(INDEX(Manual_Review!$T$6:$T$238,U2511)="","",INDEX(Manual_Review!$T$6:$T$238,U2511))</f>
        <v/>
      </c>
      <c r="J2511" s="5" t="str">
        <f t="shared" si="78"/>
        <v>AI provisional</v>
      </c>
      <c r="K2511" s="5" t="str">
        <f t="shared" si="79"/>
        <v>Y</v>
      </c>
      <c r="L2511" s="5" t="s">
        <v>7982</v>
      </c>
      <c r="M2511" s="5" t="s">
        <v>7986</v>
      </c>
      <c r="N2511" s="5" t="s">
        <v>8000</v>
      </c>
      <c r="O2511" s="5" t="s">
        <v>3089</v>
      </c>
      <c r="P2511" s="5" t="s">
        <v>3090</v>
      </c>
      <c r="Q2511" s="11">
        <v>46306.5</v>
      </c>
      <c r="R2511" s="6"/>
      <c r="S2511" s="6"/>
      <c r="T2511" s="6"/>
      <c r="U2511" s="5">
        <f>MATCH(B2511,Manual_Review!$A$6:$A$238,0)</f>
        <v>157</v>
      </c>
      <c r="V2511" s="5" t="str">
        <f>IF(INDEX(Manual_Review!$G$6:$G$238,U2511)="","",INDEX(Manual_Review!$G$6:$G$238,U2511))</f>
        <v/>
      </c>
      <c r="W2511" s="11" t="str">
        <f>IF(INDEX(Manual_Review!$H$6:$H$238,U2511)="","",INDEX(Manual_Review!$H$6:$H$238,U2511))</f>
        <v/>
      </c>
      <c r="X2511" s="5" t="str">
        <f>IF(INDEX(Manual_Review!$I$6:$I$238,U2511)="","",INDEX(Manual_Review!$I$6:$I$238,U2511))</f>
        <v/>
      </c>
      <c r="Y2511" s="5" t="s">
        <v>2859</v>
      </c>
    </row>
    <row r="2512" spans="1:25" ht="25.5">
      <c r="A2512" s="5" t="s">
        <v>8001</v>
      </c>
      <c r="B2512" s="5" t="s">
        <v>60</v>
      </c>
      <c r="C2512" s="5" t="s">
        <v>61</v>
      </c>
      <c r="D2512" s="5" t="s">
        <v>118</v>
      </c>
      <c r="E2512" s="5" t="s">
        <v>2791</v>
      </c>
      <c r="F2512" s="5" t="s">
        <v>2760</v>
      </c>
      <c r="G2512" s="5">
        <v>1</v>
      </c>
      <c r="H2512" s="5" t="s">
        <v>2854</v>
      </c>
      <c r="I2512" s="5" t="str">
        <f>IF(INDEX(Manual_Review!$U$6:$U$238,U2512)="","",INDEX(Manual_Review!$U$6:$U$238,U2512))</f>
        <v/>
      </c>
      <c r="J2512" s="5" t="str">
        <f t="shared" si="78"/>
        <v>AI provisional</v>
      </c>
      <c r="K2512" s="5" t="str">
        <f t="shared" si="79"/>
        <v>Y</v>
      </c>
      <c r="L2512" s="5" t="s">
        <v>7982</v>
      </c>
      <c r="M2512" s="5" t="s">
        <v>7986</v>
      </c>
      <c r="N2512" s="5" t="s">
        <v>8002</v>
      </c>
      <c r="O2512" s="5" t="s">
        <v>3089</v>
      </c>
      <c r="P2512" s="5" t="s">
        <v>3090</v>
      </c>
      <c r="Q2512" s="11">
        <v>46306.5</v>
      </c>
      <c r="R2512" s="6"/>
      <c r="S2512" s="6"/>
      <c r="T2512" s="6"/>
      <c r="U2512" s="5">
        <f>MATCH(B2512,Manual_Review!$A$6:$A$238,0)</f>
        <v>157</v>
      </c>
      <c r="V2512" s="5" t="str">
        <f>IF(INDEX(Manual_Review!$G$6:$G$238,U2512)="","",INDEX(Manual_Review!$G$6:$G$238,U2512))</f>
        <v/>
      </c>
      <c r="W2512" s="11" t="str">
        <f>IF(INDEX(Manual_Review!$H$6:$H$238,U2512)="","",INDEX(Manual_Review!$H$6:$H$238,U2512))</f>
        <v/>
      </c>
      <c r="X2512" s="5" t="str">
        <f>IF(INDEX(Manual_Review!$I$6:$I$238,U2512)="","",INDEX(Manual_Review!$I$6:$I$238,U2512))</f>
        <v/>
      </c>
      <c r="Y2512" s="5" t="s">
        <v>2859</v>
      </c>
    </row>
    <row r="2513" spans="1:25" ht="25.5">
      <c r="A2513" s="5" t="s">
        <v>8003</v>
      </c>
      <c r="B2513" s="5" t="s">
        <v>60</v>
      </c>
      <c r="C2513" s="5" t="s">
        <v>61</v>
      </c>
      <c r="D2513" s="5" t="s">
        <v>118</v>
      </c>
      <c r="E2513" s="5" t="s">
        <v>2792</v>
      </c>
      <c r="F2513" s="5" t="s">
        <v>2762</v>
      </c>
      <c r="G2513" s="5">
        <v>1</v>
      </c>
      <c r="H2513" s="5" t="s">
        <v>2864</v>
      </c>
      <c r="I2513" s="5" t="str">
        <f>IF(INDEX(Manual_Review!$V$6:$V$238,U2513)="","",INDEX(Manual_Review!$V$6:$V$238,U2513))</f>
        <v/>
      </c>
      <c r="J2513" s="5" t="str">
        <f t="shared" si="78"/>
        <v>AI provisional</v>
      </c>
      <c r="K2513" s="5" t="str">
        <f t="shared" si="79"/>
        <v>U</v>
      </c>
      <c r="L2513" s="5" t="s">
        <v>7982</v>
      </c>
      <c r="M2513" s="5" t="s">
        <v>7986</v>
      </c>
      <c r="N2513" s="5" t="s">
        <v>8004</v>
      </c>
      <c r="O2513" s="5" t="s">
        <v>3089</v>
      </c>
      <c r="P2513" s="5" t="s">
        <v>3090</v>
      </c>
      <c r="Q2513" s="11">
        <v>46306.5</v>
      </c>
      <c r="R2513" s="6"/>
      <c r="S2513" s="6"/>
      <c r="T2513" s="6"/>
      <c r="U2513" s="5">
        <f>MATCH(B2513,Manual_Review!$A$6:$A$238,0)</f>
        <v>157</v>
      </c>
      <c r="V2513" s="5" t="str">
        <f>IF(INDEX(Manual_Review!$G$6:$G$238,U2513)="","",INDEX(Manual_Review!$G$6:$G$238,U2513))</f>
        <v/>
      </c>
      <c r="W2513" s="11" t="str">
        <f>IF(INDEX(Manual_Review!$H$6:$H$238,U2513)="","",INDEX(Manual_Review!$H$6:$H$238,U2513))</f>
        <v/>
      </c>
      <c r="X2513" s="5" t="str">
        <f>IF(INDEX(Manual_Review!$I$6:$I$238,U2513)="","",INDEX(Manual_Review!$I$6:$I$238,U2513))</f>
        <v/>
      </c>
      <c r="Y2513" s="5" t="s">
        <v>2859</v>
      </c>
    </row>
    <row r="2514" spans="1:25" ht="25.5">
      <c r="A2514" s="5" t="s">
        <v>8005</v>
      </c>
      <c r="B2514" s="5" t="s">
        <v>60</v>
      </c>
      <c r="C2514" s="5" t="s">
        <v>61</v>
      </c>
      <c r="D2514" s="5" t="s">
        <v>118</v>
      </c>
      <c r="E2514" s="5" t="s">
        <v>2793</v>
      </c>
      <c r="F2514" s="5" t="s">
        <v>2762</v>
      </c>
      <c r="G2514" s="5">
        <v>1</v>
      </c>
      <c r="H2514" s="5" t="s">
        <v>2864</v>
      </c>
      <c r="I2514" s="5" t="str">
        <f>IF(INDEX(Manual_Review!$W$6:$W$238,U2514)="","",INDEX(Manual_Review!$W$6:$W$238,U2514))</f>
        <v/>
      </c>
      <c r="J2514" s="5" t="str">
        <f t="shared" si="78"/>
        <v>AI provisional</v>
      </c>
      <c r="K2514" s="5" t="str">
        <f t="shared" si="79"/>
        <v>U</v>
      </c>
      <c r="L2514" s="5" t="s">
        <v>7982</v>
      </c>
      <c r="M2514" s="5" t="s">
        <v>7986</v>
      </c>
      <c r="N2514" s="5" t="s">
        <v>8006</v>
      </c>
      <c r="O2514" s="5" t="s">
        <v>3089</v>
      </c>
      <c r="P2514" s="5" t="s">
        <v>3090</v>
      </c>
      <c r="Q2514" s="11">
        <v>46306.5</v>
      </c>
      <c r="R2514" s="6"/>
      <c r="S2514" s="6"/>
      <c r="T2514" s="6"/>
      <c r="U2514" s="5">
        <f>MATCH(B2514,Manual_Review!$A$6:$A$238,0)</f>
        <v>157</v>
      </c>
      <c r="V2514" s="5" t="str">
        <f>IF(INDEX(Manual_Review!$G$6:$G$238,U2514)="","",INDEX(Manual_Review!$G$6:$G$238,U2514))</f>
        <v/>
      </c>
      <c r="W2514" s="11" t="str">
        <f>IF(INDEX(Manual_Review!$H$6:$H$238,U2514)="","",INDEX(Manual_Review!$H$6:$H$238,U2514))</f>
        <v/>
      </c>
      <c r="X2514" s="5" t="str">
        <f>IF(INDEX(Manual_Review!$I$6:$I$238,U2514)="","",INDEX(Manual_Review!$I$6:$I$238,U2514))</f>
        <v/>
      </c>
      <c r="Y2514" s="5" t="s">
        <v>2859</v>
      </c>
    </row>
    <row r="2515" spans="1:25" ht="25.5">
      <c r="A2515" s="5" t="s">
        <v>8007</v>
      </c>
      <c r="B2515" s="5" t="s">
        <v>60</v>
      </c>
      <c r="C2515" s="5" t="s">
        <v>61</v>
      </c>
      <c r="D2515" s="5" t="s">
        <v>118</v>
      </c>
      <c r="E2515" s="5" t="s">
        <v>2794</v>
      </c>
      <c r="F2515" s="5" t="s">
        <v>2764</v>
      </c>
      <c r="G2515" s="5">
        <v>1</v>
      </c>
      <c r="H2515" s="5" t="s">
        <v>2854</v>
      </c>
      <c r="I2515" s="5" t="str">
        <f>IF(INDEX(Manual_Review!$X$6:$X$238,U2515)="","",INDEX(Manual_Review!$X$6:$X$238,U2515))</f>
        <v/>
      </c>
      <c r="J2515" s="5" t="str">
        <f t="shared" si="78"/>
        <v>AI provisional</v>
      </c>
      <c r="K2515" s="5" t="str">
        <f t="shared" si="79"/>
        <v>Y</v>
      </c>
      <c r="L2515" s="5" t="s">
        <v>7982</v>
      </c>
      <c r="M2515" s="5" t="s">
        <v>7986</v>
      </c>
      <c r="N2515" s="5" t="s">
        <v>8008</v>
      </c>
      <c r="O2515" s="5" t="s">
        <v>3089</v>
      </c>
      <c r="P2515" s="5" t="s">
        <v>3090</v>
      </c>
      <c r="Q2515" s="11">
        <v>46306.5</v>
      </c>
      <c r="R2515" s="6"/>
      <c r="S2515" s="6"/>
      <c r="T2515" s="6"/>
      <c r="U2515" s="5">
        <f>MATCH(B2515,Manual_Review!$A$6:$A$238,0)</f>
        <v>157</v>
      </c>
      <c r="V2515" s="5" t="str">
        <f>IF(INDEX(Manual_Review!$G$6:$G$238,U2515)="","",INDEX(Manual_Review!$G$6:$G$238,U2515))</f>
        <v/>
      </c>
      <c r="W2515" s="11" t="str">
        <f>IF(INDEX(Manual_Review!$H$6:$H$238,U2515)="","",INDEX(Manual_Review!$H$6:$H$238,U2515))</f>
        <v/>
      </c>
      <c r="X2515" s="5" t="str">
        <f>IF(INDEX(Manual_Review!$I$6:$I$238,U2515)="","",INDEX(Manual_Review!$I$6:$I$238,U2515))</f>
        <v/>
      </c>
      <c r="Y2515" s="5" t="s">
        <v>2859</v>
      </c>
    </row>
    <row r="2516" spans="1:25" ht="25.5">
      <c r="A2516" s="5" t="s">
        <v>8009</v>
      </c>
      <c r="B2516" s="5" t="s">
        <v>60</v>
      </c>
      <c r="C2516" s="5" t="s">
        <v>61</v>
      </c>
      <c r="D2516" s="5" t="s">
        <v>118</v>
      </c>
      <c r="E2516" s="5" t="s">
        <v>2795</v>
      </c>
      <c r="F2516" s="5" t="s">
        <v>2764</v>
      </c>
      <c r="G2516" s="5">
        <v>1</v>
      </c>
      <c r="H2516" s="5" t="s">
        <v>2864</v>
      </c>
      <c r="I2516" s="5" t="str">
        <f>IF(INDEX(Manual_Review!$Y$6:$Y$238,U2516)="","",INDEX(Manual_Review!$Y$6:$Y$238,U2516))</f>
        <v/>
      </c>
      <c r="J2516" s="5" t="str">
        <f t="shared" si="78"/>
        <v>AI provisional</v>
      </c>
      <c r="K2516" s="5" t="str">
        <f t="shared" si="79"/>
        <v>U</v>
      </c>
      <c r="L2516" s="5" t="s">
        <v>7982</v>
      </c>
      <c r="M2516" s="5" t="s">
        <v>7986</v>
      </c>
      <c r="N2516" s="5" t="s">
        <v>8010</v>
      </c>
      <c r="O2516" s="5" t="s">
        <v>3089</v>
      </c>
      <c r="P2516" s="5" t="s">
        <v>3090</v>
      </c>
      <c r="Q2516" s="11">
        <v>46306.5</v>
      </c>
      <c r="R2516" s="6"/>
      <c r="S2516" s="6"/>
      <c r="T2516" s="6"/>
      <c r="U2516" s="5">
        <f>MATCH(B2516,Manual_Review!$A$6:$A$238,0)</f>
        <v>157</v>
      </c>
      <c r="V2516" s="5" t="str">
        <f>IF(INDEX(Manual_Review!$G$6:$G$238,U2516)="","",INDEX(Manual_Review!$G$6:$G$238,U2516))</f>
        <v/>
      </c>
      <c r="W2516" s="11" t="str">
        <f>IF(INDEX(Manual_Review!$H$6:$H$238,U2516)="","",INDEX(Manual_Review!$H$6:$H$238,U2516))</f>
        <v/>
      </c>
      <c r="X2516" s="5" t="str">
        <f>IF(INDEX(Manual_Review!$I$6:$I$238,U2516)="","",INDEX(Manual_Review!$I$6:$I$238,U2516))</f>
        <v/>
      </c>
      <c r="Y2516" s="5" t="s">
        <v>2859</v>
      </c>
    </row>
    <row r="2517" spans="1:25" ht="25.5">
      <c r="A2517" s="5" t="s">
        <v>8011</v>
      </c>
      <c r="B2517" s="5" t="s">
        <v>60</v>
      </c>
      <c r="C2517" s="5" t="s">
        <v>61</v>
      </c>
      <c r="D2517" s="5" t="s">
        <v>118</v>
      </c>
      <c r="E2517" s="5" t="s">
        <v>2796</v>
      </c>
      <c r="F2517" s="5" t="s">
        <v>2764</v>
      </c>
      <c r="G2517" s="5">
        <v>1</v>
      </c>
      <c r="H2517" s="5" t="s">
        <v>2854</v>
      </c>
      <c r="I2517" s="5" t="str">
        <f>IF(INDEX(Manual_Review!$Z$6:$Z$238,U2517)="","",INDEX(Manual_Review!$Z$6:$Z$238,U2517))</f>
        <v/>
      </c>
      <c r="J2517" s="5" t="str">
        <f t="shared" si="78"/>
        <v>AI provisional</v>
      </c>
      <c r="K2517" s="5" t="str">
        <f t="shared" si="79"/>
        <v>Y</v>
      </c>
      <c r="L2517" s="5" t="s">
        <v>7982</v>
      </c>
      <c r="M2517" s="5" t="s">
        <v>8012</v>
      </c>
      <c r="N2517" s="5" t="s">
        <v>8013</v>
      </c>
      <c r="O2517" s="5" t="s">
        <v>3089</v>
      </c>
      <c r="P2517" s="5" t="s">
        <v>3090</v>
      </c>
      <c r="Q2517" s="11">
        <v>46306.5</v>
      </c>
      <c r="R2517" s="6"/>
      <c r="S2517" s="6"/>
      <c r="T2517" s="6"/>
      <c r="U2517" s="5">
        <f>MATCH(B2517,Manual_Review!$A$6:$A$238,0)</f>
        <v>157</v>
      </c>
      <c r="V2517" s="5" t="str">
        <f>IF(INDEX(Manual_Review!$G$6:$G$238,U2517)="","",INDEX(Manual_Review!$G$6:$G$238,U2517))</f>
        <v/>
      </c>
      <c r="W2517" s="11" t="str">
        <f>IF(INDEX(Manual_Review!$H$6:$H$238,U2517)="","",INDEX(Manual_Review!$H$6:$H$238,U2517))</f>
        <v/>
      </c>
      <c r="X2517" s="5" t="str">
        <f>IF(INDEX(Manual_Review!$I$6:$I$238,U2517)="","",INDEX(Manual_Review!$I$6:$I$238,U2517))</f>
        <v/>
      </c>
      <c r="Y2517" s="5" t="s">
        <v>2859</v>
      </c>
    </row>
    <row r="2518" spans="1:25" ht="38.25">
      <c r="A2518" s="5" t="s">
        <v>8014</v>
      </c>
      <c r="B2518" s="5" t="s">
        <v>1790</v>
      </c>
      <c r="C2518" s="5" t="s">
        <v>1791</v>
      </c>
      <c r="D2518" s="5" t="s">
        <v>118</v>
      </c>
      <c r="E2518" s="5" t="s">
        <v>2781</v>
      </c>
      <c r="F2518" s="5" t="s">
        <v>2754</v>
      </c>
      <c r="G2518" s="5">
        <v>1</v>
      </c>
      <c r="H2518" s="5" t="s">
        <v>2854</v>
      </c>
      <c r="I2518" s="5" t="str">
        <f>IF(INDEX(Manual_Review!$K$6:$K$238,U2518)="","",INDEX(Manual_Review!$K$6:$K$238,U2518))</f>
        <v/>
      </c>
      <c r="J2518" s="5" t="str">
        <f t="shared" si="78"/>
        <v>AI provisional</v>
      </c>
      <c r="K2518" s="5" t="str">
        <f t="shared" si="79"/>
        <v>Y</v>
      </c>
      <c r="L2518" s="5" t="s">
        <v>1798</v>
      </c>
      <c r="M2518" s="5" t="s">
        <v>8015</v>
      </c>
      <c r="N2518" s="5" t="s">
        <v>8016</v>
      </c>
      <c r="O2518" s="5" t="s">
        <v>2857</v>
      </c>
      <c r="P2518" s="5" t="s">
        <v>2858</v>
      </c>
      <c r="Q2518" s="11">
        <v>46306.5</v>
      </c>
      <c r="R2518" s="6"/>
      <c r="S2518" s="6"/>
      <c r="T2518" s="6"/>
      <c r="U2518" s="5">
        <f>MATCH(B2518,Manual_Review!$A$6:$A$238,0)</f>
        <v>158</v>
      </c>
      <c r="V2518" s="5" t="str">
        <f>IF(INDEX(Manual_Review!$G$6:$G$238,U2518)="","",INDEX(Manual_Review!$G$6:$G$238,U2518))</f>
        <v/>
      </c>
      <c r="W2518" s="11" t="str">
        <f>IF(INDEX(Manual_Review!$H$6:$H$238,U2518)="","",INDEX(Manual_Review!$H$6:$H$238,U2518))</f>
        <v/>
      </c>
      <c r="X2518" s="5" t="str">
        <f>IF(INDEX(Manual_Review!$I$6:$I$238,U2518)="","",INDEX(Manual_Review!$I$6:$I$238,U2518))</f>
        <v/>
      </c>
      <c r="Y2518" s="5" t="s">
        <v>2859</v>
      </c>
    </row>
    <row r="2519" spans="1:25" ht="38.25">
      <c r="A2519" s="5" t="s">
        <v>8017</v>
      </c>
      <c r="B2519" s="5" t="s">
        <v>1790</v>
      </c>
      <c r="C2519" s="5" t="s">
        <v>1791</v>
      </c>
      <c r="D2519" s="5" t="s">
        <v>118</v>
      </c>
      <c r="E2519" s="5" t="s">
        <v>2782</v>
      </c>
      <c r="F2519" s="5" t="s">
        <v>2754</v>
      </c>
      <c r="G2519" s="5">
        <v>1</v>
      </c>
      <c r="H2519" s="5" t="s">
        <v>2854</v>
      </c>
      <c r="I2519" s="5" t="str">
        <f>IF(INDEX(Manual_Review!$L$6:$L$238,U2519)="","",INDEX(Manual_Review!$L$6:$L$238,U2519))</f>
        <v/>
      </c>
      <c r="J2519" s="5" t="str">
        <f t="shared" si="78"/>
        <v>AI provisional</v>
      </c>
      <c r="K2519" s="5" t="str">
        <f t="shared" si="79"/>
        <v>Y</v>
      </c>
      <c r="L2519" s="5" t="s">
        <v>1798</v>
      </c>
      <c r="M2519" s="5" t="s">
        <v>8018</v>
      </c>
      <c r="N2519" s="5" t="s">
        <v>8016</v>
      </c>
      <c r="O2519" s="5" t="s">
        <v>2862</v>
      </c>
      <c r="P2519" s="5" t="s">
        <v>2858</v>
      </c>
      <c r="Q2519" s="11">
        <v>46306.5</v>
      </c>
      <c r="R2519" s="6"/>
      <c r="S2519" s="6"/>
      <c r="T2519" s="6"/>
      <c r="U2519" s="5">
        <f>MATCH(B2519,Manual_Review!$A$6:$A$238,0)</f>
        <v>158</v>
      </c>
      <c r="V2519" s="5" t="str">
        <f>IF(INDEX(Manual_Review!$G$6:$G$238,U2519)="","",INDEX(Manual_Review!$G$6:$G$238,U2519))</f>
        <v/>
      </c>
      <c r="W2519" s="11" t="str">
        <f>IF(INDEX(Manual_Review!$H$6:$H$238,U2519)="","",INDEX(Manual_Review!$H$6:$H$238,U2519))</f>
        <v/>
      </c>
      <c r="X2519" s="5" t="str">
        <f>IF(INDEX(Manual_Review!$I$6:$I$238,U2519)="","",INDEX(Manual_Review!$I$6:$I$238,U2519))</f>
        <v/>
      </c>
      <c r="Y2519" s="5" t="s">
        <v>2859</v>
      </c>
    </row>
    <row r="2520" spans="1:25" ht="38.25">
      <c r="A2520" s="5" t="s">
        <v>8019</v>
      </c>
      <c r="B2520" s="5" t="s">
        <v>1790</v>
      </c>
      <c r="C2520" s="5" t="s">
        <v>1791</v>
      </c>
      <c r="D2520" s="5" t="s">
        <v>118</v>
      </c>
      <c r="E2520" s="5" t="s">
        <v>2783</v>
      </c>
      <c r="F2520" s="5" t="s">
        <v>2754</v>
      </c>
      <c r="G2520" s="5">
        <v>1</v>
      </c>
      <c r="H2520" s="5" t="s">
        <v>2908</v>
      </c>
      <c r="I2520" s="5" t="str">
        <f>IF(INDEX(Manual_Review!$M$6:$M$238,U2520)="","",INDEX(Manual_Review!$M$6:$M$238,U2520))</f>
        <v/>
      </c>
      <c r="J2520" s="5" t="str">
        <f t="shared" si="78"/>
        <v>AI provisional</v>
      </c>
      <c r="K2520" s="5" t="str">
        <f t="shared" si="79"/>
        <v>X</v>
      </c>
      <c r="L2520" s="5" t="s">
        <v>1798</v>
      </c>
      <c r="M2520" s="5" t="s">
        <v>8020</v>
      </c>
      <c r="N2520" s="5" t="s">
        <v>8016</v>
      </c>
      <c r="O2520" s="5" t="s">
        <v>8021</v>
      </c>
      <c r="P2520" s="5" t="s">
        <v>2858</v>
      </c>
      <c r="Q2520" s="11">
        <v>46306.5</v>
      </c>
      <c r="R2520" s="6"/>
      <c r="S2520" s="6"/>
      <c r="T2520" s="6"/>
      <c r="U2520" s="5">
        <f>MATCH(B2520,Manual_Review!$A$6:$A$238,0)</f>
        <v>158</v>
      </c>
      <c r="V2520" s="5" t="str">
        <f>IF(INDEX(Manual_Review!$G$6:$G$238,U2520)="","",INDEX(Manual_Review!$G$6:$G$238,U2520))</f>
        <v/>
      </c>
      <c r="W2520" s="11" t="str">
        <f>IF(INDEX(Manual_Review!$H$6:$H$238,U2520)="","",INDEX(Manual_Review!$H$6:$H$238,U2520))</f>
        <v/>
      </c>
      <c r="X2520" s="5" t="str">
        <f>IF(INDEX(Manual_Review!$I$6:$I$238,U2520)="","",INDEX(Manual_Review!$I$6:$I$238,U2520))</f>
        <v/>
      </c>
      <c r="Y2520" s="5" t="s">
        <v>2859</v>
      </c>
    </row>
    <row r="2521" spans="1:25" ht="38.25">
      <c r="A2521" s="5" t="s">
        <v>8022</v>
      </c>
      <c r="B2521" s="5" t="s">
        <v>1790</v>
      </c>
      <c r="C2521" s="5" t="s">
        <v>1791</v>
      </c>
      <c r="D2521" s="5" t="s">
        <v>118</v>
      </c>
      <c r="E2521" s="5" t="s">
        <v>2784</v>
      </c>
      <c r="F2521" s="5" t="s">
        <v>2756</v>
      </c>
      <c r="G2521" s="5">
        <v>1</v>
      </c>
      <c r="H2521" s="5" t="s">
        <v>2864</v>
      </c>
      <c r="I2521" s="5" t="str">
        <f>IF(INDEX(Manual_Review!$N$6:$N$238,U2521)="","",INDEX(Manual_Review!$N$6:$N$238,U2521))</f>
        <v/>
      </c>
      <c r="J2521" s="5" t="str">
        <f t="shared" si="78"/>
        <v>AI provisional</v>
      </c>
      <c r="K2521" s="5" t="str">
        <f t="shared" si="79"/>
        <v>U</v>
      </c>
      <c r="L2521" s="5" t="s">
        <v>1798</v>
      </c>
      <c r="M2521" s="5" t="s">
        <v>8023</v>
      </c>
      <c r="N2521" s="5" t="s">
        <v>8016</v>
      </c>
      <c r="O2521" s="5" t="s">
        <v>2869</v>
      </c>
      <c r="P2521" s="5" t="s">
        <v>2858</v>
      </c>
      <c r="Q2521" s="11">
        <v>46306.5</v>
      </c>
      <c r="R2521" s="6"/>
      <c r="S2521" s="6"/>
      <c r="T2521" s="6"/>
      <c r="U2521" s="5">
        <f>MATCH(B2521,Manual_Review!$A$6:$A$238,0)</f>
        <v>158</v>
      </c>
      <c r="V2521" s="5" t="str">
        <f>IF(INDEX(Manual_Review!$G$6:$G$238,U2521)="","",INDEX(Manual_Review!$G$6:$G$238,U2521))</f>
        <v/>
      </c>
      <c r="W2521" s="11" t="str">
        <f>IF(INDEX(Manual_Review!$H$6:$H$238,U2521)="","",INDEX(Manual_Review!$H$6:$H$238,U2521))</f>
        <v/>
      </c>
      <c r="X2521" s="5" t="str">
        <f>IF(INDEX(Manual_Review!$I$6:$I$238,U2521)="","",INDEX(Manual_Review!$I$6:$I$238,U2521))</f>
        <v/>
      </c>
      <c r="Y2521" s="5" t="s">
        <v>2859</v>
      </c>
    </row>
    <row r="2522" spans="1:25" ht="38.25">
      <c r="A2522" s="5" t="s">
        <v>8024</v>
      </c>
      <c r="B2522" s="5" t="s">
        <v>1790</v>
      </c>
      <c r="C2522" s="5" t="s">
        <v>1791</v>
      </c>
      <c r="D2522" s="5" t="s">
        <v>118</v>
      </c>
      <c r="E2522" s="5" t="s">
        <v>2785</v>
      </c>
      <c r="F2522" s="5" t="s">
        <v>2756</v>
      </c>
      <c r="G2522" s="5">
        <v>1</v>
      </c>
      <c r="H2522" s="5" t="s">
        <v>2864</v>
      </c>
      <c r="I2522" s="5" t="str">
        <f>IF(INDEX(Manual_Review!$O$6:$O$238,U2522)="","",INDEX(Manual_Review!$O$6:$O$238,U2522))</f>
        <v/>
      </c>
      <c r="J2522" s="5" t="str">
        <f t="shared" si="78"/>
        <v>AI provisional</v>
      </c>
      <c r="K2522" s="5" t="str">
        <f t="shared" si="79"/>
        <v>U</v>
      </c>
      <c r="L2522" s="5" t="s">
        <v>1798</v>
      </c>
      <c r="M2522" s="5" t="s">
        <v>8025</v>
      </c>
      <c r="N2522" s="5" t="s">
        <v>8016</v>
      </c>
      <c r="O2522" s="5" t="s">
        <v>2872</v>
      </c>
      <c r="P2522" s="5" t="s">
        <v>2858</v>
      </c>
      <c r="Q2522" s="11">
        <v>46306.5</v>
      </c>
      <c r="R2522" s="6"/>
      <c r="S2522" s="6"/>
      <c r="T2522" s="6"/>
      <c r="U2522" s="5">
        <f>MATCH(B2522,Manual_Review!$A$6:$A$238,0)</f>
        <v>158</v>
      </c>
      <c r="V2522" s="5" t="str">
        <f>IF(INDEX(Manual_Review!$G$6:$G$238,U2522)="","",INDEX(Manual_Review!$G$6:$G$238,U2522))</f>
        <v/>
      </c>
      <c r="W2522" s="11" t="str">
        <f>IF(INDEX(Manual_Review!$H$6:$H$238,U2522)="","",INDEX(Manual_Review!$H$6:$H$238,U2522))</f>
        <v/>
      </c>
      <c r="X2522" s="5" t="str">
        <f>IF(INDEX(Manual_Review!$I$6:$I$238,U2522)="","",INDEX(Manual_Review!$I$6:$I$238,U2522))</f>
        <v/>
      </c>
      <c r="Y2522" s="5" t="s">
        <v>2859</v>
      </c>
    </row>
    <row r="2523" spans="1:25" ht="38.25">
      <c r="A2523" s="5" t="s">
        <v>8026</v>
      </c>
      <c r="B2523" s="5" t="s">
        <v>1790</v>
      </c>
      <c r="C2523" s="5" t="s">
        <v>1791</v>
      </c>
      <c r="D2523" s="5" t="s">
        <v>118</v>
      </c>
      <c r="E2523" s="5" t="s">
        <v>2786</v>
      </c>
      <c r="F2523" s="5" t="s">
        <v>2756</v>
      </c>
      <c r="G2523" s="5">
        <v>1</v>
      </c>
      <c r="H2523" s="5" t="s">
        <v>2854</v>
      </c>
      <c r="I2523" s="5" t="str">
        <f>IF(INDEX(Manual_Review!$P$6:$P$238,U2523)="","",INDEX(Manual_Review!$P$6:$P$238,U2523))</f>
        <v/>
      </c>
      <c r="J2523" s="5" t="str">
        <f t="shared" si="78"/>
        <v>AI provisional</v>
      </c>
      <c r="K2523" s="5" t="str">
        <f t="shared" si="79"/>
        <v>Y</v>
      </c>
      <c r="L2523" s="5" t="s">
        <v>1798</v>
      </c>
      <c r="M2523" s="5" t="s">
        <v>8027</v>
      </c>
      <c r="N2523" s="5" t="s">
        <v>8016</v>
      </c>
      <c r="O2523" s="5" t="s">
        <v>5106</v>
      </c>
      <c r="P2523" s="5" t="s">
        <v>2858</v>
      </c>
      <c r="Q2523" s="11">
        <v>46306.5</v>
      </c>
      <c r="R2523" s="6"/>
      <c r="S2523" s="6"/>
      <c r="T2523" s="6"/>
      <c r="U2523" s="5">
        <f>MATCH(B2523,Manual_Review!$A$6:$A$238,0)</f>
        <v>158</v>
      </c>
      <c r="V2523" s="5" t="str">
        <f>IF(INDEX(Manual_Review!$G$6:$G$238,U2523)="","",INDEX(Manual_Review!$G$6:$G$238,U2523))</f>
        <v/>
      </c>
      <c r="W2523" s="11" t="str">
        <f>IF(INDEX(Manual_Review!$H$6:$H$238,U2523)="","",INDEX(Manual_Review!$H$6:$H$238,U2523))</f>
        <v/>
      </c>
      <c r="X2523" s="5" t="str">
        <f>IF(INDEX(Manual_Review!$I$6:$I$238,U2523)="","",INDEX(Manual_Review!$I$6:$I$238,U2523))</f>
        <v/>
      </c>
      <c r="Y2523" s="5" t="s">
        <v>2859</v>
      </c>
    </row>
    <row r="2524" spans="1:25" ht="38.25">
      <c r="A2524" s="5" t="s">
        <v>8028</v>
      </c>
      <c r="B2524" s="5" t="s">
        <v>1790</v>
      </c>
      <c r="C2524" s="5" t="s">
        <v>1791</v>
      </c>
      <c r="D2524" s="5" t="s">
        <v>118</v>
      </c>
      <c r="E2524" s="5" t="s">
        <v>2787</v>
      </c>
      <c r="F2524" s="5" t="s">
        <v>2758</v>
      </c>
      <c r="G2524" s="5">
        <v>1</v>
      </c>
      <c r="H2524" s="5" t="s">
        <v>2864</v>
      </c>
      <c r="I2524" s="5" t="str">
        <f>IF(INDEX(Manual_Review!$Q$6:$Q$238,U2524)="","",INDEX(Manual_Review!$Q$6:$Q$238,U2524))</f>
        <v/>
      </c>
      <c r="J2524" s="5" t="str">
        <f t="shared" si="78"/>
        <v>AI provisional</v>
      </c>
      <c r="K2524" s="5" t="str">
        <f t="shared" si="79"/>
        <v>U</v>
      </c>
      <c r="L2524" s="5" t="s">
        <v>1798</v>
      </c>
      <c r="M2524" s="5" t="s">
        <v>8029</v>
      </c>
      <c r="N2524" s="5" t="s">
        <v>8016</v>
      </c>
      <c r="O2524" s="5" t="s">
        <v>2877</v>
      </c>
      <c r="P2524" s="5" t="s">
        <v>2858</v>
      </c>
      <c r="Q2524" s="11">
        <v>46306.5</v>
      </c>
      <c r="R2524" s="6"/>
      <c r="S2524" s="6"/>
      <c r="T2524" s="6"/>
      <c r="U2524" s="5">
        <f>MATCH(B2524,Manual_Review!$A$6:$A$238,0)</f>
        <v>158</v>
      </c>
      <c r="V2524" s="5" t="str">
        <f>IF(INDEX(Manual_Review!$G$6:$G$238,U2524)="","",INDEX(Manual_Review!$G$6:$G$238,U2524))</f>
        <v/>
      </c>
      <c r="W2524" s="11" t="str">
        <f>IF(INDEX(Manual_Review!$H$6:$H$238,U2524)="","",INDEX(Manual_Review!$H$6:$H$238,U2524))</f>
        <v/>
      </c>
      <c r="X2524" s="5" t="str">
        <f>IF(INDEX(Manual_Review!$I$6:$I$238,U2524)="","",INDEX(Manual_Review!$I$6:$I$238,U2524))</f>
        <v/>
      </c>
      <c r="Y2524" s="5" t="s">
        <v>2859</v>
      </c>
    </row>
    <row r="2525" spans="1:25" ht="38.25">
      <c r="A2525" s="5" t="s">
        <v>8030</v>
      </c>
      <c r="B2525" s="5" t="s">
        <v>1790</v>
      </c>
      <c r="C2525" s="5" t="s">
        <v>1791</v>
      </c>
      <c r="D2525" s="5" t="s">
        <v>118</v>
      </c>
      <c r="E2525" s="5" t="s">
        <v>2788</v>
      </c>
      <c r="F2525" s="5" t="s">
        <v>2758</v>
      </c>
      <c r="G2525" s="5">
        <v>1</v>
      </c>
      <c r="H2525" s="5" t="s">
        <v>2864</v>
      </c>
      <c r="I2525" s="5" t="str">
        <f>IF(INDEX(Manual_Review!$R$6:$R$238,U2525)="","",INDEX(Manual_Review!$R$6:$R$238,U2525))</f>
        <v/>
      </c>
      <c r="J2525" s="5" t="str">
        <f t="shared" si="78"/>
        <v>AI provisional</v>
      </c>
      <c r="K2525" s="5" t="str">
        <f t="shared" si="79"/>
        <v>U</v>
      </c>
      <c r="L2525" s="5" t="s">
        <v>1798</v>
      </c>
      <c r="M2525" s="5" t="s">
        <v>8031</v>
      </c>
      <c r="N2525" s="5" t="s">
        <v>8016</v>
      </c>
      <c r="O2525" s="5" t="s">
        <v>2880</v>
      </c>
      <c r="P2525" s="5" t="s">
        <v>2858</v>
      </c>
      <c r="Q2525" s="11">
        <v>46306.5</v>
      </c>
      <c r="R2525" s="6"/>
      <c r="S2525" s="6"/>
      <c r="T2525" s="6"/>
      <c r="U2525" s="5">
        <f>MATCH(B2525,Manual_Review!$A$6:$A$238,0)</f>
        <v>158</v>
      </c>
      <c r="V2525" s="5" t="str">
        <f>IF(INDEX(Manual_Review!$G$6:$G$238,U2525)="","",INDEX(Manual_Review!$G$6:$G$238,U2525))</f>
        <v/>
      </c>
      <c r="W2525" s="11" t="str">
        <f>IF(INDEX(Manual_Review!$H$6:$H$238,U2525)="","",INDEX(Manual_Review!$H$6:$H$238,U2525))</f>
        <v/>
      </c>
      <c r="X2525" s="5" t="str">
        <f>IF(INDEX(Manual_Review!$I$6:$I$238,U2525)="","",INDEX(Manual_Review!$I$6:$I$238,U2525))</f>
        <v/>
      </c>
      <c r="Y2525" s="5" t="s">
        <v>2859</v>
      </c>
    </row>
    <row r="2526" spans="1:25" ht="38.25">
      <c r="A2526" s="5" t="s">
        <v>8032</v>
      </c>
      <c r="B2526" s="5" t="s">
        <v>1790</v>
      </c>
      <c r="C2526" s="5" t="s">
        <v>1791</v>
      </c>
      <c r="D2526" s="5" t="s">
        <v>118</v>
      </c>
      <c r="E2526" s="5" t="s">
        <v>2789</v>
      </c>
      <c r="F2526" s="5" t="s">
        <v>2758</v>
      </c>
      <c r="G2526" s="5">
        <v>1</v>
      </c>
      <c r="H2526" s="5" t="s">
        <v>2864</v>
      </c>
      <c r="I2526" s="5" t="str">
        <f>IF(INDEX(Manual_Review!$S$6:$S$238,U2526)="","",INDEX(Manual_Review!$S$6:$S$238,U2526))</f>
        <v/>
      </c>
      <c r="J2526" s="5" t="str">
        <f t="shared" si="78"/>
        <v>AI provisional</v>
      </c>
      <c r="K2526" s="5" t="str">
        <f t="shared" si="79"/>
        <v>U</v>
      </c>
      <c r="L2526" s="5" t="s">
        <v>1798</v>
      </c>
      <c r="M2526" s="5" t="s">
        <v>8033</v>
      </c>
      <c r="N2526" s="5" t="s">
        <v>8016</v>
      </c>
      <c r="O2526" s="5" t="s">
        <v>2883</v>
      </c>
      <c r="P2526" s="5" t="s">
        <v>2858</v>
      </c>
      <c r="Q2526" s="11">
        <v>46306.5</v>
      </c>
      <c r="R2526" s="6"/>
      <c r="S2526" s="6"/>
      <c r="T2526" s="6"/>
      <c r="U2526" s="5">
        <f>MATCH(B2526,Manual_Review!$A$6:$A$238,0)</f>
        <v>158</v>
      </c>
      <c r="V2526" s="5" t="str">
        <f>IF(INDEX(Manual_Review!$G$6:$G$238,U2526)="","",INDEX(Manual_Review!$G$6:$G$238,U2526))</f>
        <v/>
      </c>
      <c r="W2526" s="11" t="str">
        <f>IF(INDEX(Manual_Review!$H$6:$H$238,U2526)="","",INDEX(Manual_Review!$H$6:$H$238,U2526))</f>
        <v/>
      </c>
      <c r="X2526" s="5" t="str">
        <f>IF(INDEX(Manual_Review!$I$6:$I$238,U2526)="","",INDEX(Manual_Review!$I$6:$I$238,U2526))</f>
        <v/>
      </c>
      <c r="Y2526" s="5" t="s">
        <v>2859</v>
      </c>
    </row>
    <row r="2527" spans="1:25" ht="38.25">
      <c r="A2527" s="5" t="s">
        <v>8034</v>
      </c>
      <c r="B2527" s="5" t="s">
        <v>1790</v>
      </c>
      <c r="C2527" s="5" t="s">
        <v>1791</v>
      </c>
      <c r="D2527" s="5" t="s">
        <v>118</v>
      </c>
      <c r="E2527" s="5" t="s">
        <v>2790</v>
      </c>
      <c r="F2527" s="5" t="s">
        <v>2760</v>
      </c>
      <c r="G2527" s="5">
        <v>1</v>
      </c>
      <c r="H2527" s="5" t="s">
        <v>2864</v>
      </c>
      <c r="I2527" s="5" t="str">
        <f>IF(INDEX(Manual_Review!$T$6:$T$238,U2527)="","",INDEX(Manual_Review!$T$6:$T$238,U2527))</f>
        <v/>
      </c>
      <c r="J2527" s="5" t="str">
        <f t="shared" si="78"/>
        <v>AI provisional</v>
      </c>
      <c r="K2527" s="5" t="str">
        <f t="shared" si="79"/>
        <v>U</v>
      </c>
      <c r="L2527" s="5" t="s">
        <v>1798</v>
      </c>
      <c r="M2527" s="5" t="s">
        <v>8020</v>
      </c>
      <c r="N2527" s="5" t="s">
        <v>8016</v>
      </c>
      <c r="O2527" s="5" t="s">
        <v>2885</v>
      </c>
      <c r="P2527" s="5" t="s">
        <v>2858</v>
      </c>
      <c r="Q2527" s="11">
        <v>46306.5</v>
      </c>
      <c r="R2527" s="6"/>
      <c r="S2527" s="6"/>
      <c r="T2527" s="6"/>
      <c r="U2527" s="5">
        <f>MATCH(B2527,Manual_Review!$A$6:$A$238,0)</f>
        <v>158</v>
      </c>
      <c r="V2527" s="5" t="str">
        <f>IF(INDEX(Manual_Review!$G$6:$G$238,U2527)="","",INDEX(Manual_Review!$G$6:$G$238,U2527))</f>
        <v/>
      </c>
      <c r="W2527" s="11" t="str">
        <f>IF(INDEX(Manual_Review!$H$6:$H$238,U2527)="","",INDEX(Manual_Review!$H$6:$H$238,U2527))</f>
        <v/>
      </c>
      <c r="X2527" s="5" t="str">
        <f>IF(INDEX(Manual_Review!$I$6:$I$238,U2527)="","",INDEX(Manual_Review!$I$6:$I$238,U2527))</f>
        <v/>
      </c>
      <c r="Y2527" s="5" t="s">
        <v>2859</v>
      </c>
    </row>
    <row r="2528" spans="1:25" ht="38.25">
      <c r="A2528" s="5" t="s">
        <v>8035</v>
      </c>
      <c r="B2528" s="5" t="s">
        <v>1790</v>
      </c>
      <c r="C2528" s="5" t="s">
        <v>1791</v>
      </c>
      <c r="D2528" s="5" t="s">
        <v>118</v>
      </c>
      <c r="E2528" s="5" t="s">
        <v>2791</v>
      </c>
      <c r="F2528" s="5" t="s">
        <v>2760</v>
      </c>
      <c r="G2528" s="5">
        <v>1</v>
      </c>
      <c r="H2528" s="5" t="s">
        <v>2864</v>
      </c>
      <c r="I2528" s="5" t="str">
        <f>IF(INDEX(Manual_Review!$U$6:$U$238,U2528)="","",INDEX(Manual_Review!$U$6:$U$238,U2528))</f>
        <v/>
      </c>
      <c r="J2528" s="5" t="str">
        <f t="shared" si="78"/>
        <v>AI provisional</v>
      </c>
      <c r="K2528" s="5" t="str">
        <f t="shared" si="79"/>
        <v>U</v>
      </c>
      <c r="L2528" s="5" t="s">
        <v>1798</v>
      </c>
      <c r="M2528" s="5" t="s">
        <v>8036</v>
      </c>
      <c r="N2528" s="5" t="s">
        <v>8016</v>
      </c>
      <c r="O2528" s="5" t="s">
        <v>2888</v>
      </c>
      <c r="P2528" s="5" t="s">
        <v>2858</v>
      </c>
      <c r="Q2528" s="11">
        <v>46306.5</v>
      </c>
      <c r="R2528" s="6"/>
      <c r="S2528" s="6"/>
      <c r="T2528" s="6"/>
      <c r="U2528" s="5">
        <f>MATCH(B2528,Manual_Review!$A$6:$A$238,0)</f>
        <v>158</v>
      </c>
      <c r="V2528" s="5" t="str">
        <f>IF(INDEX(Manual_Review!$G$6:$G$238,U2528)="","",INDEX(Manual_Review!$G$6:$G$238,U2528))</f>
        <v/>
      </c>
      <c r="W2528" s="11" t="str">
        <f>IF(INDEX(Manual_Review!$H$6:$H$238,U2528)="","",INDEX(Manual_Review!$H$6:$H$238,U2528))</f>
        <v/>
      </c>
      <c r="X2528" s="5" t="str">
        <f>IF(INDEX(Manual_Review!$I$6:$I$238,U2528)="","",INDEX(Manual_Review!$I$6:$I$238,U2528))</f>
        <v/>
      </c>
      <c r="Y2528" s="5" t="s">
        <v>2859</v>
      </c>
    </row>
    <row r="2529" spans="1:25" ht="38.25">
      <c r="A2529" s="5" t="s">
        <v>8037</v>
      </c>
      <c r="B2529" s="5" t="s">
        <v>1790</v>
      </c>
      <c r="C2529" s="5" t="s">
        <v>1791</v>
      </c>
      <c r="D2529" s="5" t="s">
        <v>118</v>
      </c>
      <c r="E2529" s="5" t="s">
        <v>2792</v>
      </c>
      <c r="F2529" s="5" t="s">
        <v>2762</v>
      </c>
      <c r="G2529" s="5">
        <v>1</v>
      </c>
      <c r="H2529" s="5" t="s">
        <v>2864</v>
      </c>
      <c r="I2529" s="5" t="str">
        <f>IF(INDEX(Manual_Review!$V$6:$V$238,U2529)="","",INDEX(Manual_Review!$V$6:$V$238,U2529))</f>
        <v/>
      </c>
      <c r="J2529" s="5" t="str">
        <f t="shared" si="78"/>
        <v>AI provisional</v>
      </c>
      <c r="K2529" s="5" t="str">
        <f t="shared" si="79"/>
        <v>U</v>
      </c>
      <c r="L2529" s="5" t="s">
        <v>1798</v>
      </c>
      <c r="M2529" s="5" t="s">
        <v>8038</v>
      </c>
      <c r="N2529" s="5" t="s">
        <v>8016</v>
      </c>
      <c r="O2529" s="5" t="s">
        <v>2891</v>
      </c>
      <c r="P2529" s="5" t="s">
        <v>2858</v>
      </c>
      <c r="Q2529" s="11">
        <v>46306.5</v>
      </c>
      <c r="R2529" s="6"/>
      <c r="S2529" s="6"/>
      <c r="T2529" s="6"/>
      <c r="U2529" s="5">
        <f>MATCH(B2529,Manual_Review!$A$6:$A$238,0)</f>
        <v>158</v>
      </c>
      <c r="V2529" s="5" t="str">
        <f>IF(INDEX(Manual_Review!$G$6:$G$238,U2529)="","",INDEX(Manual_Review!$G$6:$G$238,U2529))</f>
        <v/>
      </c>
      <c r="W2529" s="11" t="str">
        <f>IF(INDEX(Manual_Review!$H$6:$H$238,U2529)="","",INDEX(Manual_Review!$H$6:$H$238,U2529))</f>
        <v/>
      </c>
      <c r="X2529" s="5" t="str">
        <f>IF(INDEX(Manual_Review!$I$6:$I$238,U2529)="","",INDEX(Manual_Review!$I$6:$I$238,U2529))</f>
        <v/>
      </c>
      <c r="Y2529" s="5" t="s">
        <v>2859</v>
      </c>
    </row>
    <row r="2530" spans="1:25" ht="38.25">
      <c r="A2530" s="5" t="s">
        <v>8039</v>
      </c>
      <c r="B2530" s="5" t="s">
        <v>1790</v>
      </c>
      <c r="C2530" s="5" t="s">
        <v>1791</v>
      </c>
      <c r="D2530" s="5" t="s">
        <v>118</v>
      </c>
      <c r="E2530" s="5" t="s">
        <v>2793</v>
      </c>
      <c r="F2530" s="5" t="s">
        <v>2762</v>
      </c>
      <c r="G2530" s="5">
        <v>1</v>
      </c>
      <c r="H2530" s="5" t="s">
        <v>2854</v>
      </c>
      <c r="I2530" s="5" t="str">
        <f>IF(INDEX(Manual_Review!$W$6:$W$238,U2530)="","",INDEX(Manual_Review!$W$6:$W$238,U2530))</f>
        <v/>
      </c>
      <c r="J2530" s="5" t="str">
        <f t="shared" si="78"/>
        <v>AI provisional</v>
      </c>
      <c r="K2530" s="5" t="str">
        <f t="shared" si="79"/>
        <v>Y</v>
      </c>
      <c r="L2530" s="5" t="s">
        <v>1798</v>
      </c>
      <c r="M2530" s="5" t="s">
        <v>8040</v>
      </c>
      <c r="N2530" s="5" t="s">
        <v>8016</v>
      </c>
      <c r="O2530" s="5" t="s">
        <v>3077</v>
      </c>
      <c r="P2530" s="5" t="s">
        <v>2858</v>
      </c>
      <c r="Q2530" s="11">
        <v>46306.5</v>
      </c>
      <c r="R2530" s="6"/>
      <c r="S2530" s="6"/>
      <c r="T2530" s="6"/>
      <c r="U2530" s="5">
        <f>MATCH(B2530,Manual_Review!$A$6:$A$238,0)</f>
        <v>158</v>
      </c>
      <c r="V2530" s="5" t="str">
        <f>IF(INDEX(Manual_Review!$G$6:$G$238,U2530)="","",INDEX(Manual_Review!$G$6:$G$238,U2530))</f>
        <v/>
      </c>
      <c r="W2530" s="11" t="str">
        <f>IF(INDEX(Manual_Review!$H$6:$H$238,U2530)="","",INDEX(Manual_Review!$H$6:$H$238,U2530))</f>
        <v/>
      </c>
      <c r="X2530" s="5" t="str">
        <f>IF(INDEX(Manual_Review!$I$6:$I$238,U2530)="","",INDEX(Manual_Review!$I$6:$I$238,U2530))</f>
        <v/>
      </c>
      <c r="Y2530" s="5" t="s">
        <v>2859</v>
      </c>
    </row>
    <row r="2531" spans="1:25" ht="38.25">
      <c r="A2531" s="5" t="s">
        <v>8041</v>
      </c>
      <c r="B2531" s="5" t="s">
        <v>1790</v>
      </c>
      <c r="C2531" s="5" t="s">
        <v>1791</v>
      </c>
      <c r="D2531" s="5" t="s">
        <v>118</v>
      </c>
      <c r="E2531" s="5" t="s">
        <v>2794</v>
      </c>
      <c r="F2531" s="5" t="s">
        <v>2764</v>
      </c>
      <c r="G2531" s="5">
        <v>1</v>
      </c>
      <c r="H2531" s="5" t="s">
        <v>2854</v>
      </c>
      <c r="I2531" s="5" t="str">
        <f>IF(INDEX(Manual_Review!$X$6:$X$238,U2531)="","",INDEX(Manual_Review!$X$6:$X$238,U2531))</f>
        <v/>
      </c>
      <c r="J2531" s="5" t="str">
        <f t="shared" si="78"/>
        <v>AI provisional</v>
      </c>
      <c r="K2531" s="5" t="str">
        <f t="shared" si="79"/>
        <v>Y</v>
      </c>
      <c r="L2531" s="5" t="s">
        <v>1798</v>
      </c>
      <c r="M2531" s="5" t="s">
        <v>8042</v>
      </c>
      <c r="N2531" s="5" t="s">
        <v>8016</v>
      </c>
      <c r="O2531" s="5" t="s">
        <v>2984</v>
      </c>
      <c r="P2531" s="5" t="s">
        <v>2858</v>
      </c>
      <c r="Q2531" s="11">
        <v>46306.5</v>
      </c>
      <c r="R2531" s="6"/>
      <c r="S2531" s="6"/>
      <c r="T2531" s="6"/>
      <c r="U2531" s="5">
        <f>MATCH(B2531,Manual_Review!$A$6:$A$238,0)</f>
        <v>158</v>
      </c>
      <c r="V2531" s="5" t="str">
        <f>IF(INDEX(Manual_Review!$G$6:$G$238,U2531)="","",INDEX(Manual_Review!$G$6:$G$238,U2531))</f>
        <v/>
      </c>
      <c r="W2531" s="11" t="str">
        <f>IF(INDEX(Manual_Review!$H$6:$H$238,U2531)="","",INDEX(Manual_Review!$H$6:$H$238,U2531))</f>
        <v/>
      </c>
      <c r="X2531" s="5" t="str">
        <f>IF(INDEX(Manual_Review!$I$6:$I$238,U2531)="","",INDEX(Manual_Review!$I$6:$I$238,U2531))</f>
        <v/>
      </c>
      <c r="Y2531" s="5" t="s">
        <v>2859</v>
      </c>
    </row>
    <row r="2532" spans="1:25" ht="38.25">
      <c r="A2532" s="5" t="s">
        <v>8043</v>
      </c>
      <c r="B2532" s="5" t="s">
        <v>1790</v>
      </c>
      <c r="C2532" s="5" t="s">
        <v>1791</v>
      </c>
      <c r="D2532" s="5" t="s">
        <v>118</v>
      </c>
      <c r="E2532" s="5" t="s">
        <v>2795</v>
      </c>
      <c r="F2532" s="5" t="s">
        <v>2764</v>
      </c>
      <c r="G2532" s="5">
        <v>1</v>
      </c>
      <c r="H2532" s="5" t="s">
        <v>2854</v>
      </c>
      <c r="I2532" s="5" t="str">
        <f>IF(INDEX(Manual_Review!$Y$6:$Y$238,U2532)="","",INDEX(Manual_Review!$Y$6:$Y$238,U2532))</f>
        <v/>
      </c>
      <c r="J2532" s="5" t="str">
        <f t="shared" si="78"/>
        <v>AI provisional</v>
      </c>
      <c r="K2532" s="5" t="str">
        <f t="shared" si="79"/>
        <v>Y</v>
      </c>
      <c r="L2532" s="5" t="s">
        <v>1798</v>
      </c>
      <c r="M2532" s="5" t="s">
        <v>8044</v>
      </c>
      <c r="N2532" s="5" t="s">
        <v>8016</v>
      </c>
      <c r="O2532" s="5" t="s">
        <v>3082</v>
      </c>
      <c r="P2532" s="5" t="s">
        <v>2858</v>
      </c>
      <c r="Q2532" s="11">
        <v>46306.5</v>
      </c>
      <c r="R2532" s="6"/>
      <c r="S2532" s="6"/>
      <c r="T2532" s="6"/>
      <c r="U2532" s="5">
        <f>MATCH(B2532,Manual_Review!$A$6:$A$238,0)</f>
        <v>158</v>
      </c>
      <c r="V2532" s="5" t="str">
        <f>IF(INDEX(Manual_Review!$G$6:$G$238,U2532)="","",INDEX(Manual_Review!$G$6:$G$238,U2532))</f>
        <v/>
      </c>
      <c r="W2532" s="11" t="str">
        <f>IF(INDEX(Manual_Review!$H$6:$H$238,U2532)="","",INDEX(Manual_Review!$H$6:$H$238,U2532))</f>
        <v/>
      </c>
      <c r="X2532" s="5" t="str">
        <f>IF(INDEX(Manual_Review!$I$6:$I$238,U2532)="","",INDEX(Manual_Review!$I$6:$I$238,U2532))</f>
        <v/>
      </c>
      <c r="Y2532" s="5" t="s">
        <v>2859</v>
      </c>
    </row>
    <row r="2533" spans="1:25" ht="38.25">
      <c r="A2533" s="5" t="s">
        <v>8045</v>
      </c>
      <c r="B2533" s="5" t="s">
        <v>1790</v>
      </c>
      <c r="C2533" s="5" t="s">
        <v>1791</v>
      </c>
      <c r="D2533" s="5" t="s">
        <v>118</v>
      </c>
      <c r="E2533" s="5" t="s">
        <v>2796</v>
      </c>
      <c r="F2533" s="5" t="s">
        <v>2764</v>
      </c>
      <c r="G2533" s="5">
        <v>1</v>
      </c>
      <c r="H2533" s="5" t="s">
        <v>2864</v>
      </c>
      <c r="I2533" s="5" t="str">
        <f>IF(INDEX(Manual_Review!$Z$6:$Z$238,U2533)="","",INDEX(Manual_Review!$Z$6:$Z$238,U2533))</f>
        <v/>
      </c>
      <c r="J2533" s="5" t="str">
        <f t="shared" si="78"/>
        <v>AI provisional</v>
      </c>
      <c r="K2533" s="5" t="str">
        <f t="shared" si="79"/>
        <v>U</v>
      </c>
      <c r="L2533" s="5" t="s">
        <v>1798</v>
      </c>
      <c r="M2533" s="5" t="s">
        <v>8046</v>
      </c>
      <c r="N2533" s="5" t="s">
        <v>8016</v>
      </c>
      <c r="O2533" s="5" t="s">
        <v>2899</v>
      </c>
      <c r="P2533" s="5" t="s">
        <v>2858</v>
      </c>
      <c r="Q2533" s="11">
        <v>46306.5</v>
      </c>
      <c r="R2533" s="6"/>
      <c r="S2533" s="6"/>
      <c r="T2533" s="6"/>
      <c r="U2533" s="5">
        <f>MATCH(B2533,Manual_Review!$A$6:$A$238,0)</f>
        <v>158</v>
      </c>
      <c r="V2533" s="5" t="str">
        <f>IF(INDEX(Manual_Review!$G$6:$G$238,U2533)="","",INDEX(Manual_Review!$G$6:$G$238,U2533))</f>
        <v/>
      </c>
      <c r="W2533" s="11" t="str">
        <f>IF(INDEX(Manual_Review!$H$6:$H$238,U2533)="","",INDEX(Manual_Review!$H$6:$H$238,U2533))</f>
        <v/>
      </c>
      <c r="X2533" s="5" t="str">
        <f>IF(INDEX(Manual_Review!$I$6:$I$238,U2533)="","",INDEX(Manual_Review!$I$6:$I$238,U2533))</f>
        <v/>
      </c>
      <c r="Y2533" s="5" t="s">
        <v>2859</v>
      </c>
    </row>
    <row r="2534" spans="1:25" ht="38.25">
      <c r="A2534" s="5" t="s">
        <v>8047</v>
      </c>
      <c r="B2534" s="5" t="s">
        <v>1800</v>
      </c>
      <c r="C2534" s="5" t="s">
        <v>1801</v>
      </c>
      <c r="D2534" s="5" t="s">
        <v>118</v>
      </c>
      <c r="E2534" s="5" t="s">
        <v>2781</v>
      </c>
      <c r="F2534" s="5" t="s">
        <v>2754</v>
      </c>
      <c r="G2534" s="5">
        <v>1</v>
      </c>
      <c r="H2534" s="5" t="s">
        <v>2854</v>
      </c>
      <c r="I2534" s="5" t="str">
        <f>IF(INDEX(Manual_Review!$K$6:$K$238,U2534)="","",INDEX(Manual_Review!$K$6:$K$238,U2534))</f>
        <v/>
      </c>
      <c r="J2534" s="5" t="str">
        <f t="shared" si="78"/>
        <v>AI provisional</v>
      </c>
      <c r="K2534" s="5" t="str">
        <f t="shared" si="79"/>
        <v>Y</v>
      </c>
      <c r="L2534" s="5" t="s">
        <v>1806</v>
      </c>
      <c r="M2534" s="5" t="s">
        <v>8048</v>
      </c>
      <c r="N2534" s="5" t="s">
        <v>8049</v>
      </c>
      <c r="O2534" s="5" t="s">
        <v>2857</v>
      </c>
      <c r="P2534" s="5" t="s">
        <v>2858</v>
      </c>
      <c r="Q2534" s="11">
        <v>46306.5</v>
      </c>
      <c r="R2534" s="6"/>
      <c r="S2534" s="6"/>
      <c r="T2534" s="6"/>
      <c r="U2534" s="5">
        <f>MATCH(B2534,Manual_Review!$A$6:$A$238,0)</f>
        <v>159</v>
      </c>
      <c r="V2534" s="5" t="str">
        <f>IF(INDEX(Manual_Review!$G$6:$G$238,U2534)="","",INDEX(Manual_Review!$G$6:$G$238,U2534))</f>
        <v/>
      </c>
      <c r="W2534" s="11" t="str">
        <f>IF(INDEX(Manual_Review!$H$6:$H$238,U2534)="","",INDEX(Manual_Review!$H$6:$H$238,U2534))</f>
        <v/>
      </c>
      <c r="X2534" s="5" t="str">
        <f>IF(INDEX(Manual_Review!$I$6:$I$238,U2534)="","",INDEX(Manual_Review!$I$6:$I$238,U2534))</f>
        <v/>
      </c>
      <c r="Y2534" s="5" t="s">
        <v>2859</v>
      </c>
    </row>
    <row r="2535" spans="1:25" ht="38.25">
      <c r="A2535" s="5" t="s">
        <v>8050</v>
      </c>
      <c r="B2535" s="5" t="s">
        <v>1800</v>
      </c>
      <c r="C2535" s="5" t="s">
        <v>1801</v>
      </c>
      <c r="D2535" s="5" t="s">
        <v>118</v>
      </c>
      <c r="E2535" s="5" t="s">
        <v>2782</v>
      </c>
      <c r="F2535" s="5" t="s">
        <v>2754</v>
      </c>
      <c r="G2535" s="5">
        <v>1</v>
      </c>
      <c r="H2535" s="5" t="s">
        <v>2854</v>
      </c>
      <c r="I2535" s="5" t="str">
        <f>IF(INDEX(Manual_Review!$L$6:$L$238,U2535)="","",INDEX(Manual_Review!$L$6:$L$238,U2535))</f>
        <v/>
      </c>
      <c r="J2535" s="5" t="str">
        <f t="shared" si="78"/>
        <v>AI provisional</v>
      </c>
      <c r="K2535" s="5" t="str">
        <f t="shared" si="79"/>
        <v>Y</v>
      </c>
      <c r="L2535" s="5" t="s">
        <v>1806</v>
      </c>
      <c r="M2535" s="5" t="s">
        <v>8051</v>
      </c>
      <c r="N2535" s="5" t="s">
        <v>8049</v>
      </c>
      <c r="O2535" s="5" t="s">
        <v>2862</v>
      </c>
      <c r="P2535" s="5" t="s">
        <v>2858</v>
      </c>
      <c r="Q2535" s="11">
        <v>46306.5</v>
      </c>
      <c r="R2535" s="6"/>
      <c r="S2535" s="6"/>
      <c r="T2535" s="6"/>
      <c r="U2535" s="5">
        <f>MATCH(B2535,Manual_Review!$A$6:$A$238,0)</f>
        <v>159</v>
      </c>
      <c r="V2535" s="5" t="str">
        <f>IF(INDEX(Manual_Review!$G$6:$G$238,U2535)="","",INDEX(Manual_Review!$G$6:$G$238,U2535))</f>
        <v/>
      </c>
      <c r="W2535" s="11" t="str">
        <f>IF(INDEX(Manual_Review!$H$6:$H$238,U2535)="","",INDEX(Manual_Review!$H$6:$H$238,U2535))</f>
        <v/>
      </c>
      <c r="X2535" s="5" t="str">
        <f>IF(INDEX(Manual_Review!$I$6:$I$238,U2535)="","",INDEX(Manual_Review!$I$6:$I$238,U2535))</f>
        <v/>
      </c>
      <c r="Y2535" s="5" t="s">
        <v>2859</v>
      </c>
    </row>
    <row r="2536" spans="1:25" ht="38.25">
      <c r="A2536" s="5" t="s">
        <v>8052</v>
      </c>
      <c r="B2536" s="5" t="s">
        <v>1800</v>
      </c>
      <c r="C2536" s="5" t="s">
        <v>1801</v>
      </c>
      <c r="D2536" s="5" t="s">
        <v>118</v>
      </c>
      <c r="E2536" s="5" t="s">
        <v>2783</v>
      </c>
      <c r="F2536" s="5" t="s">
        <v>2754</v>
      </c>
      <c r="G2536" s="5">
        <v>1</v>
      </c>
      <c r="H2536" s="5" t="s">
        <v>2854</v>
      </c>
      <c r="I2536" s="5" t="str">
        <f>IF(INDEX(Manual_Review!$M$6:$M$238,U2536)="","",INDEX(Manual_Review!$M$6:$M$238,U2536))</f>
        <v/>
      </c>
      <c r="J2536" s="5" t="str">
        <f t="shared" si="78"/>
        <v>AI provisional</v>
      </c>
      <c r="K2536" s="5" t="str">
        <f t="shared" si="79"/>
        <v>Y</v>
      </c>
      <c r="L2536" s="5" t="s">
        <v>1806</v>
      </c>
      <c r="M2536" s="5" t="s">
        <v>8053</v>
      </c>
      <c r="N2536" s="5" t="s">
        <v>8049</v>
      </c>
      <c r="O2536" s="5" t="s">
        <v>3133</v>
      </c>
      <c r="P2536" s="5" t="s">
        <v>2858</v>
      </c>
      <c r="Q2536" s="11">
        <v>46306.5</v>
      </c>
      <c r="R2536" s="6"/>
      <c r="S2536" s="6"/>
      <c r="T2536" s="6"/>
      <c r="U2536" s="5">
        <f>MATCH(B2536,Manual_Review!$A$6:$A$238,0)</f>
        <v>159</v>
      </c>
      <c r="V2536" s="5" t="str">
        <f>IF(INDEX(Manual_Review!$G$6:$G$238,U2536)="","",INDEX(Manual_Review!$G$6:$G$238,U2536))</f>
        <v/>
      </c>
      <c r="W2536" s="11" t="str">
        <f>IF(INDEX(Manual_Review!$H$6:$H$238,U2536)="","",INDEX(Manual_Review!$H$6:$H$238,U2536))</f>
        <v/>
      </c>
      <c r="X2536" s="5" t="str">
        <f>IF(INDEX(Manual_Review!$I$6:$I$238,U2536)="","",INDEX(Manual_Review!$I$6:$I$238,U2536))</f>
        <v/>
      </c>
      <c r="Y2536" s="5" t="s">
        <v>2859</v>
      </c>
    </row>
    <row r="2537" spans="1:25" ht="38.25">
      <c r="A2537" s="5" t="s">
        <v>8054</v>
      </c>
      <c r="B2537" s="5" t="s">
        <v>1800</v>
      </c>
      <c r="C2537" s="5" t="s">
        <v>1801</v>
      </c>
      <c r="D2537" s="5" t="s">
        <v>118</v>
      </c>
      <c r="E2537" s="5" t="s">
        <v>2784</v>
      </c>
      <c r="F2537" s="5" t="s">
        <v>2756</v>
      </c>
      <c r="G2537" s="5">
        <v>1</v>
      </c>
      <c r="H2537" s="5" t="s">
        <v>2854</v>
      </c>
      <c r="I2537" s="5" t="str">
        <f>IF(INDEX(Manual_Review!$N$6:$N$238,U2537)="","",INDEX(Manual_Review!$N$6:$N$238,U2537))</f>
        <v/>
      </c>
      <c r="J2537" s="5" t="str">
        <f t="shared" si="78"/>
        <v>AI provisional</v>
      </c>
      <c r="K2537" s="5" t="str">
        <f t="shared" si="79"/>
        <v>Y</v>
      </c>
      <c r="L2537" s="5" t="s">
        <v>1806</v>
      </c>
      <c r="M2537" s="5" t="s">
        <v>8055</v>
      </c>
      <c r="N2537" s="5" t="s">
        <v>8049</v>
      </c>
      <c r="O2537" s="5" t="s">
        <v>2963</v>
      </c>
      <c r="P2537" s="5" t="s">
        <v>2858</v>
      </c>
      <c r="Q2537" s="11">
        <v>46306.5</v>
      </c>
      <c r="R2537" s="6"/>
      <c r="S2537" s="6"/>
      <c r="T2537" s="6"/>
      <c r="U2537" s="5">
        <f>MATCH(B2537,Manual_Review!$A$6:$A$238,0)</f>
        <v>159</v>
      </c>
      <c r="V2537" s="5" t="str">
        <f>IF(INDEX(Manual_Review!$G$6:$G$238,U2537)="","",INDEX(Manual_Review!$G$6:$G$238,U2537))</f>
        <v/>
      </c>
      <c r="W2537" s="11" t="str">
        <f>IF(INDEX(Manual_Review!$H$6:$H$238,U2537)="","",INDEX(Manual_Review!$H$6:$H$238,U2537))</f>
        <v/>
      </c>
      <c r="X2537" s="5" t="str">
        <f>IF(INDEX(Manual_Review!$I$6:$I$238,U2537)="","",INDEX(Manual_Review!$I$6:$I$238,U2537))</f>
        <v/>
      </c>
      <c r="Y2537" s="5" t="s">
        <v>2859</v>
      </c>
    </row>
    <row r="2538" spans="1:25" ht="38.25">
      <c r="A2538" s="5" t="s">
        <v>8056</v>
      </c>
      <c r="B2538" s="5" t="s">
        <v>1800</v>
      </c>
      <c r="C2538" s="5" t="s">
        <v>1801</v>
      </c>
      <c r="D2538" s="5" t="s">
        <v>118</v>
      </c>
      <c r="E2538" s="5" t="s">
        <v>2785</v>
      </c>
      <c r="F2538" s="5" t="s">
        <v>2756</v>
      </c>
      <c r="G2538" s="5">
        <v>1</v>
      </c>
      <c r="H2538" s="5" t="s">
        <v>2854</v>
      </c>
      <c r="I2538" s="5" t="str">
        <f>IF(INDEX(Manual_Review!$O$6:$O$238,U2538)="","",INDEX(Manual_Review!$O$6:$O$238,U2538))</f>
        <v/>
      </c>
      <c r="J2538" s="5" t="str">
        <f t="shared" si="78"/>
        <v>AI provisional</v>
      </c>
      <c r="K2538" s="5" t="str">
        <f t="shared" si="79"/>
        <v>Y</v>
      </c>
      <c r="L2538" s="5" t="s">
        <v>1806</v>
      </c>
      <c r="M2538" s="5" t="s">
        <v>8057</v>
      </c>
      <c r="N2538" s="5" t="s">
        <v>8049</v>
      </c>
      <c r="O2538" s="5" t="s">
        <v>3138</v>
      </c>
      <c r="P2538" s="5" t="s">
        <v>2858</v>
      </c>
      <c r="Q2538" s="11">
        <v>46306.5</v>
      </c>
      <c r="R2538" s="6"/>
      <c r="S2538" s="6"/>
      <c r="T2538" s="6"/>
      <c r="U2538" s="5">
        <f>MATCH(B2538,Manual_Review!$A$6:$A$238,0)</f>
        <v>159</v>
      </c>
      <c r="V2538" s="5" t="str">
        <f>IF(INDEX(Manual_Review!$G$6:$G$238,U2538)="","",INDEX(Manual_Review!$G$6:$G$238,U2538))</f>
        <v/>
      </c>
      <c r="W2538" s="11" t="str">
        <f>IF(INDEX(Manual_Review!$H$6:$H$238,U2538)="","",INDEX(Manual_Review!$H$6:$H$238,U2538))</f>
        <v/>
      </c>
      <c r="X2538" s="5" t="str">
        <f>IF(INDEX(Manual_Review!$I$6:$I$238,U2538)="","",INDEX(Manual_Review!$I$6:$I$238,U2538))</f>
        <v/>
      </c>
      <c r="Y2538" s="5" t="s">
        <v>2859</v>
      </c>
    </row>
    <row r="2539" spans="1:25" ht="38.25">
      <c r="A2539" s="5" t="s">
        <v>8058</v>
      </c>
      <c r="B2539" s="5" t="s">
        <v>1800</v>
      </c>
      <c r="C2539" s="5" t="s">
        <v>1801</v>
      </c>
      <c r="D2539" s="5" t="s">
        <v>118</v>
      </c>
      <c r="E2539" s="5" t="s">
        <v>2786</v>
      </c>
      <c r="F2539" s="5" t="s">
        <v>2756</v>
      </c>
      <c r="G2539" s="5">
        <v>1</v>
      </c>
      <c r="H2539" s="5" t="s">
        <v>2864</v>
      </c>
      <c r="I2539" s="5" t="str">
        <f>IF(INDEX(Manual_Review!$P$6:$P$238,U2539)="","",INDEX(Manual_Review!$P$6:$P$238,U2539))</f>
        <v/>
      </c>
      <c r="J2539" s="5" t="str">
        <f t="shared" si="78"/>
        <v>AI provisional</v>
      </c>
      <c r="K2539" s="5" t="str">
        <f t="shared" si="79"/>
        <v>U</v>
      </c>
      <c r="L2539" s="5" t="s">
        <v>1806</v>
      </c>
      <c r="M2539" s="5" t="s">
        <v>8059</v>
      </c>
      <c r="N2539" s="5" t="s">
        <v>8049</v>
      </c>
      <c r="O2539" s="5" t="s">
        <v>2874</v>
      </c>
      <c r="P2539" s="5" t="s">
        <v>2858</v>
      </c>
      <c r="Q2539" s="11">
        <v>46306.5</v>
      </c>
      <c r="R2539" s="6"/>
      <c r="S2539" s="6"/>
      <c r="T2539" s="6"/>
      <c r="U2539" s="5">
        <f>MATCH(B2539,Manual_Review!$A$6:$A$238,0)</f>
        <v>159</v>
      </c>
      <c r="V2539" s="5" t="str">
        <f>IF(INDEX(Manual_Review!$G$6:$G$238,U2539)="","",INDEX(Manual_Review!$G$6:$G$238,U2539))</f>
        <v/>
      </c>
      <c r="W2539" s="11" t="str">
        <f>IF(INDEX(Manual_Review!$H$6:$H$238,U2539)="","",INDEX(Manual_Review!$H$6:$H$238,U2539))</f>
        <v/>
      </c>
      <c r="X2539" s="5" t="str">
        <f>IF(INDEX(Manual_Review!$I$6:$I$238,U2539)="","",INDEX(Manual_Review!$I$6:$I$238,U2539))</f>
        <v/>
      </c>
      <c r="Y2539" s="5" t="s">
        <v>2859</v>
      </c>
    </row>
    <row r="2540" spans="1:25" ht="38.25">
      <c r="A2540" s="5" t="s">
        <v>8060</v>
      </c>
      <c r="B2540" s="5" t="s">
        <v>1800</v>
      </c>
      <c r="C2540" s="5" t="s">
        <v>1801</v>
      </c>
      <c r="D2540" s="5" t="s">
        <v>118</v>
      </c>
      <c r="E2540" s="5" t="s">
        <v>2787</v>
      </c>
      <c r="F2540" s="5" t="s">
        <v>2758</v>
      </c>
      <c r="G2540" s="5">
        <v>1</v>
      </c>
      <c r="H2540" s="5" t="s">
        <v>2854</v>
      </c>
      <c r="I2540" s="5" t="str">
        <f>IF(INDEX(Manual_Review!$Q$6:$Q$238,U2540)="","",INDEX(Manual_Review!$Q$6:$Q$238,U2540))</f>
        <v/>
      </c>
      <c r="J2540" s="5" t="str">
        <f t="shared" si="78"/>
        <v>AI provisional</v>
      </c>
      <c r="K2540" s="5" t="str">
        <f t="shared" si="79"/>
        <v>Y</v>
      </c>
      <c r="L2540" s="5" t="s">
        <v>1806</v>
      </c>
      <c r="M2540" s="5" t="s">
        <v>8061</v>
      </c>
      <c r="N2540" s="5" t="s">
        <v>8049</v>
      </c>
      <c r="O2540" s="5" t="s">
        <v>2969</v>
      </c>
      <c r="P2540" s="5" t="s">
        <v>2858</v>
      </c>
      <c r="Q2540" s="11">
        <v>46306.5</v>
      </c>
      <c r="R2540" s="6"/>
      <c r="S2540" s="6"/>
      <c r="T2540" s="6"/>
      <c r="U2540" s="5">
        <f>MATCH(B2540,Manual_Review!$A$6:$A$238,0)</f>
        <v>159</v>
      </c>
      <c r="V2540" s="5" t="str">
        <f>IF(INDEX(Manual_Review!$G$6:$G$238,U2540)="","",INDEX(Manual_Review!$G$6:$G$238,U2540))</f>
        <v/>
      </c>
      <c r="W2540" s="11" t="str">
        <f>IF(INDEX(Manual_Review!$H$6:$H$238,U2540)="","",INDEX(Manual_Review!$H$6:$H$238,U2540))</f>
        <v/>
      </c>
      <c r="X2540" s="5" t="str">
        <f>IF(INDEX(Manual_Review!$I$6:$I$238,U2540)="","",INDEX(Manual_Review!$I$6:$I$238,U2540))</f>
        <v/>
      </c>
      <c r="Y2540" s="5" t="s">
        <v>2859</v>
      </c>
    </row>
    <row r="2541" spans="1:25" ht="38.25">
      <c r="A2541" s="5" t="s">
        <v>8062</v>
      </c>
      <c r="B2541" s="5" t="s">
        <v>1800</v>
      </c>
      <c r="C2541" s="5" t="s">
        <v>1801</v>
      </c>
      <c r="D2541" s="5" t="s">
        <v>118</v>
      </c>
      <c r="E2541" s="5" t="s">
        <v>2788</v>
      </c>
      <c r="F2541" s="5" t="s">
        <v>2758</v>
      </c>
      <c r="G2541" s="5">
        <v>1</v>
      </c>
      <c r="H2541" s="5" t="s">
        <v>2854</v>
      </c>
      <c r="I2541" s="5" t="str">
        <f>IF(INDEX(Manual_Review!$R$6:$R$238,U2541)="","",INDEX(Manual_Review!$R$6:$R$238,U2541))</f>
        <v/>
      </c>
      <c r="J2541" s="5" t="str">
        <f t="shared" si="78"/>
        <v>AI provisional</v>
      </c>
      <c r="K2541" s="5" t="str">
        <f t="shared" si="79"/>
        <v>Y</v>
      </c>
      <c r="L2541" s="5" t="s">
        <v>1806</v>
      </c>
      <c r="M2541" s="5" t="s">
        <v>8063</v>
      </c>
      <c r="N2541" s="5" t="s">
        <v>8049</v>
      </c>
      <c r="O2541" s="5" t="s">
        <v>3067</v>
      </c>
      <c r="P2541" s="5" t="s">
        <v>2858</v>
      </c>
      <c r="Q2541" s="11">
        <v>46306.5</v>
      </c>
      <c r="R2541" s="6"/>
      <c r="S2541" s="6"/>
      <c r="T2541" s="6"/>
      <c r="U2541" s="5">
        <f>MATCH(B2541,Manual_Review!$A$6:$A$238,0)</f>
        <v>159</v>
      </c>
      <c r="V2541" s="5" t="str">
        <f>IF(INDEX(Manual_Review!$G$6:$G$238,U2541)="","",INDEX(Manual_Review!$G$6:$G$238,U2541))</f>
        <v/>
      </c>
      <c r="W2541" s="11" t="str">
        <f>IF(INDEX(Manual_Review!$H$6:$H$238,U2541)="","",INDEX(Manual_Review!$H$6:$H$238,U2541))</f>
        <v/>
      </c>
      <c r="X2541" s="5" t="str">
        <f>IF(INDEX(Manual_Review!$I$6:$I$238,U2541)="","",INDEX(Manual_Review!$I$6:$I$238,U2541))</f>
        <v/>
      </c>
      <c r="Y2541" s="5" t="s">
        <v>2859</v>
      </c>
    </row>
    <row r="2542" spans="1:25" ht="38.25">
      <c r="A2542" s="5" t="s">
        <v>8064</v>
      </c>
      <c r="B2542" s="5" t="s">
        <v>1800</v>
      </c>
      <c r="C2542" s="5" t="s">
        <v>1801</v>
      </c>
      <c r="D2542" s="5" t="s">
        <v>118</v>
      </c>
      <c r="E2542" s="5" t="s">
        <v>2789</v>
      </c>
      <c r="F2542" s="5" t="s">
        <v>2758</v>
      </c>
      <c r="G2542" s="5">
        <v>1</v>
      </c>
      <c r="H2542" s="5" t="s">
        <v>2864</v>
      </c>
      <c r="I2542" s="5" t="str">
        <f>IF(INDEX(Manual_Review!$S$6:$S$238,U2542)="","",INDEX(Manual_Review!$S$6:$S$238,U2542))</f>
        <v/>
      </c>
      <c r="J2542" s="5" t="str">
        <f t="shared" si="78"/>
        <v>AI provisional</v>
      </c>
      <c r="K2542" s="5" t="str">
        <f t="shared" si="79"/>
        <v>U</v>
      </c>
      <c r="L2542" s="5" t="s">
        <v>1806</v>
      </c>
      <c r="M2542" s="5" t="s">
        <v>8065</v>
      </c>
      <c r="N2542" s="5" t="s">
        <v>8049</v>
      </c>
      <c r="O2542" s="5" t="s">
        <v>2883</v>
      </c>
      <c r="P2542" s="5" t="s">
        <v>2858</v>
      </c>
      <c r="Q2542" s="11">
        <v>46306.5</v>
      </c>
      <c r="R2542" s="6"/>
      <c r="S2542" s="6"/>
      <c r="T2542" s="6"/>
      <c r="U2542" s="5">
        <f>MATCH(B2542,Manual_Review!$A$6:$A$238,0)</f>
        <v>159</v>
      </c>
      <c r="V2542" s="5" t="str">
        <f>IF(INDEX(Manual_Review!$G$6:$G$238,U2542)="","",INDEX(Manual_Review!$G$6:$G$238,U2542))</f>
        <v/>
      </c>
      <c r="W2542" s="11" t="str">
        <f>IF(INDEX(Manual_Review!$H$6:$H$238,U2542)="","",INDEX(Manual_Review!$H$6:$H$238,U2542))</f>
        <v/>
      </c>
      <c r="X2542" s="5" t="str">
        <f>IF(INDEX(Manual_Review!$I$6:$I$238,U2542)="","",INDEX(Manual_Review!$I$6:$I$238,U2542))</f>
        <v/>
      </c>
      <c r="Y2542" s="5" t="s">
        <v>2859</v>
      </c>
    </row>
    <row r="2543" spans="1:25" ht="38.25">
      <c r="A2543" s="5" t="s">
        <v>8066</v>
      </c>
      <c r="B2543" s="5" t="s">
        <v>1800</v>
      </c>
      <c r="C2543" s="5" t="s">
        <v>1801</v>
      </c>
      <c r="D2543" s="5" t="s">
        <v>118</v>
      </c>
      <c r="E2543" s="5" t="s">
        <v>2790</v>
      </c>
      <c r="F2543" s="5" t="s">
        <v>2760</v>
      </c>
      <c r="G2543" s="5">
        <v>1</v>
      </c>
      <c r="H2543" s="5" t="s">
        <v>2854</v>
      </c>
      <c r="I2543" s="5" t="str">
        <f>IF(INDEX(Manual_Review!$T$6:$T$238,U2543)="","",INDEX(Manual_Review!$T$6:$T$238,U2543))</f>
        <v/>
      </c>
      <c r="J2543" s="5" t="str">
        <f t="shared" si="78"/>
        <v>AI provisional</v>
      </c>
      <c r="K2543" s="5" t="str">
        <f t="shared" si="79"/>
        <v>Y</v>
      </c>
      <c r="L2543" s="5" t="s">
        <v>1806</v>
      </c>
      <c r="M2543" s="5" t="s">
        <v>8067</v>
      </c>
      <c r="N2543" s="5" t="s">
        <v>8049</v>
      </c>
      <c r="O2543" s="5" t="s">
        <v>2976</v>
      </c>
      <c r="P2543" s="5" t="s">
        <v>2858</v>
      </c>
      <c r="Q2543" s="11">
        <v>46306.5</v>
      </c>
      <c r="R2543" s="6"/>
      <c r="S2543" s="6"/>
      <c r="T2543" s="6"/>
      <c r="U2543" s="5">
        <f>MATCH(B2543,Manual_Review!$A$6:$A$238,0)</f>
        <v>159</v>
      </c>
      <c r="V2543" s="5" t="str">
        <f>IF(INDEX(Manual_Review!$G$6:$G$238,U2543)="","",INDEX(Manual_Review!$G$6:$G$238,U2543))</f>
        <v/>
      </c>
      <c r="W2543" s="11" t="str">
        <f>IF(INDEX(Manual_Review!$H$6:$H$238,U2543)="","",INDEX(Manual_Review!$H$6:$H$238,U2543))</f>
        <v/>
      </c>
      <c r="X2543" s="5" t="str">
        <f>IF(INDEX(Manual_Review!$I$6:$I$238,U2543)="","",INDEX(Manual_Review!$I$6:$I$238,U2543))</f>
        <v/>
      </c>
      <c r="Y2543" s="5" t="s">
        <v>2859</v>
      </c>
    </row>
    <row r="2544" spans="1:25" ht="38.25">
      <c r="A2544" s="5" t="s">
        <v>8068</v>
      </c>
      <c r="B2544" s="5" t="s">
        <v>1800</v>
      </c>
      <c r="C2544" s="5" t="s">
        <v>1801</v>
      </c>
      <c r="D2544" s="5" t="s">
        <v>118</v>
      </c>
      <c r="E2544" s="5" t="s">
        <v>2791</v>
      </c>
      <c r="F2544" s="5" t="s">
        <v>2760</v>
      </c>
      <c r="G2544" s="5">
        <v>1</v>
      </c>
      <c r="H2544" s="5" t="s">
        <v>2864</v>
      </c>
      <c r="I2544" s="5" t="str">
        <f>IF(INDEX(Manual_Review!$U$6:$U$238,U2544)="","",INDEX(Manual_Review!$U$6:$U$238,U2544))</f>
        <v/>
      </c>
      <c r="J2544" s="5" t="str">
        <f t="shared" si="78"/>
        <v>AI provisional</v>
      </c>
      <c r="K2544" s="5" t="str">
        <f t="shared" si="79"/>
        <v>U</v>
      </c>
      <c r="L2544" s="5" t="s">
        <v>1806</v>
      </c>
      <c r="M2544" s="5" t="s">
        <v>8069</v>
      </c>
      <c r="N2544" s="5" t="s">
        <v>8049</v>
      </c>
      <c r="O2544" s="5" t="s">
        <v>2888</v>
      </c>
      <c r="P2544" s="5" t="s">
        <v>2858</v>
      </c>
      <c r="Q2544" s="11">
        <v>46306.5</v>
      </c>
      <c r="R2544" s="6"/>
      <c r="S2544" s="6"/>
      <c r="T2544" s="6"/>
      <c r="U2544" s="5">
        <f>MATCH(B2544,Manual_Review!$A$6:$A$238,0)</f>
        <v>159</v>
      </c>
      <c r="V2544" s="5" t="str">
        <f>IF(INDEX(Manual_Review!$G$6:$G$238,U2544)="","",INDEX(Manual_Review!$G$6:$G$238,U2544))</f>
        <v/>
      </c>
      <c r="W2544" s="11" t="str">
        <f>IF(INDEX(Manual_Review!$H$6:$H$238,U2544)="","",INDEX(Manual_Review!$H$6:$H$238,U2544))</f>
        <v/>
      </c>
      <c r="X2544" s="5" t="str">
        <f>IF(INDEX(Manual_Review!$I$6:$I$238,U2544)="","",INDEX(Manual_Review!$I$6:$I$238,U2544))</f>
        <v/>
      </c>
      <c r="Y2544" s="5" t="s">
        <v>2859</v>
      </c>
    </row>
    <row r="2545" spans="1:25" ht="38.25">
      <c r="A2545" s="5" t="s">
        <v>8070</v>
      </c>
      <c r="B2545" s="5" t="s">
        <v>1800</v>
      </c>
      <c r="C2545" s="5" t="s">
        <v>1801</v>
      </c>
      <c r="D2545" s="5" t="s">
        <v>118</v>
      </c>
      <c r="E2545" s="5" t="s">
        <v>2792</v>
      </c>
      <c r="F2545" s="5" t="s">
        <v>2762</v>
      </c>
      <c r="G2545" s="5">
        <v>1</v>
      </c>
      <c r="H2545" s="5" t="s">
        <v>2864</v>
      </c>
      <c r="I2545" s="5" t="str">
        <f>IF(INDEX(Manual_Review!$V$6:$V$238,U2545)="","",INDEX(Manual_Review!$V$6:$V$238,U2545))</f>
        <v/>
      </c>
      <c r="J2545" s="5" t="str">
        <f t="shared" si="78"/>
        <v>AI provisional</v>
      </c>
      <c r="K2545" s="5" t="str">
        <f t="shared" si="79"/>
        <v>U</v>
      </c>
      <c r="L2545" s="5" t="s">
        <v>1806</v>
      </c>
      <c r="M2545" s="5" t="s">
        <v>8071</v>
      </c>
      <c r="N2545" s="5" t="s">
        <v>8049</v>
      </c>
      <c r="O2545" s="5" t="s">
        <v>2891</v>
      </c>
      <c r="P2545" s="5" t="s">
        <v>2858</v>
      </c>
      <c r="Q2545" s="11">
        <v>46306.5</v>
      </c>
      <c r="R2545" s="6"/>
      <c r="S2545" s="6"/>
      <c r="T2545" s="6"/>
      <c r="U2545" s="5">
        <f>MATCH(B2545,Manual_Review!$A$6:$A$238,0)</f>
        <v>159</v>
      </c>
      <c r="V2545" s="5" t="str">
        <f>IF(INDEX(Manual_Review!$G$6:$G$238,U2545)="","",INDEX(Manual_Review!$G$6:$G$238,U2545))</f>
        <v/>
      </c>
      <c r="W2545" s="11" t="str">
        <f>IF(INDEX(Manual_Review!$H$6:$H$238,U2545)="","",INDEX(Manual_Review!$H$6:$H$238,U2545))</f>
        <v/>
      </c>
      <c r="X2545" s="5" t="str">
        <f>IF(INDEX(Manual_Review!$I$6:$I$238,U2545)="","",INDEX(Manual_Review!$I$6:$I$238,U2545))</f>
        <v/>
      </c>
      <c r="Y2545" s="5" t="s">
        <v>2859</v>
      </c>
    </row>
    <row r="2546" spans="1:25" ht="38.25">
      <c r="A2546" s="5" t="s">
        <v>8072</v>
      </c>
      <c r="B2546" s="5" t="s">
        <v>1800</v>
      </c>
      <c r="C2546" s="5" t="s">
        <v>1801</v>
      </c>
      <c r="D2546" s="5" t="s">
        <v>118</v>
      </c>
      <c r="E2546" s="5" t="s">
        <v>2793</v>
      </c>
      <c r="F2546" s="5" t="s">
        <v>2762</v>
      </c>
      <c r="G2546" s="5">
        <v>1</v>
      </c>
      <c r="H2546" s="5" t="s">
        <v>2854</v>
      </c>
      <c r="I2546" s="5" t="str">
        <f>IF(INDEX(Manual_Review!$W$6:$W$238,U2546)="","",INDEX(Manual_Review!$W$6:$W$238,U2546))</f>
        <v/>
      </c>
      <c r="J2546" s="5" t="str">
        <f t="shared" si="78"/>
        <v>AI provisional</v>
      </c>
      <c r="K2546" s="5" t="str">
        <f t="shared" si="79"/>
        <v>Y</v>
      </c>
      <c r="L2546" s="5" t="s">
        <v>1806</v>
      </c>
      <c r="M2546" s="5" t="s">
        <v>8071</v>
      </c>
      <c r="N2546" s="5" t="s">
        <v>8049</v>
      </c>
      <c r="O2546" s="5" t="s">
        <v>3077</v>
      </c>
      <c r="P2546" s="5" t="s">
        <v>2858</v>
      </c>
      <c r="Q2546" s="11">
        <v>46306.5</v>
      </c>
      <c r="R2546" s="6"/>
      <c r="S2546" s="6"/>
      <c r="T2546" s="6"/>
      <c r="U2546" s="5">
        <f>MATCH(B2546,Manual_Review!$A$6:$A$238,0)</f>
        <v>159</v>
      </c>
      <c r="V2546" s="5" t="str">
        <f>IF(INDEX(Manual_Review!$G$6:$G$238,U2546)="","",INDEX(Manual_Review!$G$6:$G$238,U2546))</f>
        <v/>
      </c>
      <c r="W2546" s="11" t="str">
        <f>IF(INDEX(Manual_Review!$H$6:$H$238,U2546)="","",INDEX(Manual_Review!$H$6:$H$238,U2546))</f>
        <v/>
      </c>
      <c r="X2546" s="5" t="str">
        <f>IF(INDEX(Manual_Review!$I$6:$I$238,U2546)="","",INDEX(Manual_Review!$I$6:$I$238,U2546))</f>
        <v/>
      </c>
      <c r="Y2546" s="5" t="s">
        <v>2859</v>
      </c>
    </row>
    <row r="2547" spans="1:25" ht="38.25">
      <c r="A2547" s="5" t="s">
        <v>8073</v>
      </c>
      <c r="B2547" s="5" t="s">
        <v>1800</v>
      </c>
      <c r="C2547" s="5" t="s">
        <v>1801</v>
      </c>
      <c r="D2547" s="5" t="s">
        <v>118</v>
      </c>
      <c r="E2547" s="5" t="s">
        <v>2794</v>
      </c>
      <c r="F2547" s="5" t="s">
        <v>2764</v>
      </c>
      <c r="G2547" s="5">
        <v>1</v>
      </c>
      <c r="H2547" s="5" t="s">
        <v>2854</v>
      </c>
      <c r="I2547" s="5" t="str">
        <f>IF(INDEX(Manual_Review!$X$6:$X$238,U2547)="","",INDEX(Manual_Review!$X$6:$X$238,U2547))</f>
        <v/>
      </c>
      <c r="J2547" s="5" t="str">
        <f t="shared" si="78"/>
        <v>AI provisional</v>
      </c>
      <c r="K2547" s="5" t="str">
        <f t="shared" si="79"/>
        <v>Y</v>
      </c>
      <c r="L2547" s="5" t="s">
        <v>1806</v>
      </c>
      <c r="M2547" s="5" t="s">
        <v>8074</v>
      </c>
      <c r="N2547" s="5" t="s">
        <v>8049</v>
      </c>
      <c r="O2547" s="5" t="s">
        <v>2984</v>
      </c>
      <c r="P2547" s="5" t="s">
        <v>2858</v>
      </c>
      <c r="Q2547" s="11">
        <v>46306.5</v>
      </c>
      <c r="R2547" s="6"/>
      <c r="S2547" s="6"/>
      <c r="T2547" s="6"/>
      <c r="U2547" s="5">
        <f>MATCH(B2547,Manual_Review!$A$6:$A$238,0)</f>
        <v>159</v>
      </c>
      <c r="V2547" s="5" t="str">
        <f>IF(INDEX(Manual_Review!$G$6:$G$238,U2547)="","",INDEX(Manual_Review!$G$6:$G$238,U2547))</f>
        <v/>
      </c>
      <c r="W2547" s="11" t="str">
        <f>IF(INDEX(Manual_Review!$H$6:$H$238,U2547)="","",INDEX(Manual_Review!$H$6:$H$238,U2547))</f>
        <v/>
      </c>
      <c r="X2547" s="5" t="str">
        <f>IF(INDEX(Manual_Review!$I$6:$I$238,U2547)="","",INDEX(Manual_Review!$I$6:$I$238,U2547))</f>
        <v/>
      </c>
      <c r="Y2547" s="5" t="s">
        <v>2859</v>
      </c>
    </row>
    <row r="2548" spans="1:25" ht="38.25">
      <c r="A2548" s="5" t="s">
        <v>8075</v>
      </c>
      <c r="B2548" s="5" t="s">
        <v>1800</v>
      </c>
      <c r="C2548" s="5" t="s">
        <v>1801</v>
      </c>
      <c r="D2548" s="5" t="s">
        <v>118</v>
      </c>
      <c r="E2548" s="5" t="s">
        <v>2795</v>
      </c>
      <c r="F2548" s="5" t="s">
        <v>2764</v>
      </c>
      <c r="G2548" s="5">
        <v>1</v>
      </c>
      <c r="H2548" s="5" t="s">
        <v>2854</v>
      </c>
      <c r="I2548" s="5" t="str">
        <f>IF(INDEX(Manual_Review!$Y$6:$Y$238,U2548)="","",INDEX(Manual_Review!$Y$6:$Y$238,U2548))</f>
        <v/>
      </c>
      <c r="J2548" s="5" t="str">
        <f t="shared" si="78"/>
        <v>AI provisional</v>
      </c>
      <c r="K2548" s="5" t="str">
        <f t="shared" si="79"/>
        <v>Y</v>
      </c>
      <c r="L2548" s="5" t="s">
        <v>1806</v>
      </c>
      <c r="M2548" s="5" t="s">
        <v>8076</v>
      </c>
      <c r="N2548" s="5" t="s">
        <v>8049</v>
      </c>
      <c r="O2548" s="5" t="s">
        <v>3082</v>
      </c>
      <c r="P2548" s="5" t="s">
        <v>2858</v>
      </c>
      <c r="Q2548" s="11">
        <v>46306.5</v>
      </c>
      <c r="R2548" s="6"/>
      <c r="S2548" s="6"/>
      <c r="T2548" s="6"/>
      <c r="U2548" s="5">
        <f>MATCH(B2548,Manual_Review!$A$6:$A$238,0)</f>
        <v>159</v>
      </c>
      <c r="V2548" s="5" t="str">
        <f>IF(INDEX(Manual_Review!$G$6:$G$238,U2548)="","",INDEX(Manual_Review!$G$6:$G$238,U2548))</f>
        <v/>
      </c>
      <c r="W2548" s="11" t="str">
        <f>IF(INDEX(Manual_Review!$H$6:$H$238,U2548)="","",INDEX(Manual_Review!$H$6:$H$238,U2548))</f>
        <v/>
      </c>
      <c r="X2548" s="5" t="str">
        <f>IF(INDEX(Manual_Review!$I$6:$I$238,U2548)="","",INDEX(Manual_Review!$I$6:$I$238,U2548))</f>
        <v/>
      </c>
      <c r="Y2548" s="5" t="s">
        <v>2859</v>
      </c>
    </row>
    <row r="2549" spans="1:25" ht="38.25">
      <c r="A2549" s="5" t="s">
        <v>8077</v>
      </c>
      <c r="B2549" s="5" t="s">
        <v>1800</v>
      </c>
      <c r="C2549" s="5" t="s">
        <v>1801</v>
      </c>
      <c r="D2549" s="5" t="s">
        <v>118</v>
      </c>
      <c r="E2549" s="5" t="s">
        <v>2796</v>
      </c>
      <c r="F2549" s="5" t="s">
        <v>2764</v>
      </c>
      <c r="G2549" s="5">
        <v>1</v>
      </c>
      <c r="H2549" s="5" t="s">
        <v>2864</v>
      </c>
      <c r="I2549" s="5" t="str">
        <f>IF(INDEX(Manual_Review!$Z$6:$Z$238,U2549)="","",INDEX(Manual_Review!$Z$6:$Z$238,U2549))</f>
        <v/>
      </c>
      <c r="J2549" s="5" t="str">
        <f t="shared" si="78"/>
        <v>AI provisional</v>
      </c>
      <c r="K2549" s="5" t="str">
        <f t="shared" si="79"/>
        <v>U</v>
      </c>
      <c r="L2549" s="5" t="s">
        <v>1806</v>
      </c>
      <c r="M2549" s="5" t="s">
        <v>8078</v>
      </c>
      <c r="N2549" s="5" t="s">
        <v>8049</v>
      </c>
      <c r="O2549" s="5" t="s">
        <v>2899</v>
      </c>
      <c r="P2549" s="5" t="s">
        <v>2858</v>
      </c>
      <c r="Q2549" s="11">
        <v>46306.5</v>
      </c>
      <c r="R2549" s="6"/>
      <c r="S2549" s="6"/>
      <c r="T2549" s="6"/>
      <c r="U2549" s="5">
        <f>MATCH(B2549,Manual_Review!$A$6:$A$238,0)</f>
        <v>159</v>
      </c>
      <c r="V2549" s="5" t="str">
        <f>IF(INDEX(Manual_Review!$G$6:$G$238,U2549)="","",INDEX(Manual_Review!$G$6:$G$238,U2549))</f>
        <v/>
      </c>
      <c r="W2549" s="11" t="str">
        <f>IF(INDEX(Manual_Review!$H$6:$H$238,U2549)="","",INDEX(Manual_Review!$H$6:$H$238,U2549))</f>
        <v/>
      </c>
      <c r="X2549" s="5" t="str">
        <f>IF(INDEX(Manual_Review!$I$6:$I$238,U2549)="","",INDEX(Manual_Review!$I$6:$I$238,U2549))</f>
        <v/>
      </c>
      <c r="Y2549" s="5" t="s">
        <v>2859</v>
      </c>
    </row>
    <row r="2550" spans="1:25" ht="25.5">
      <c r="A2550" s="5" t="s">
        <v>8079</v>
      </c>
      <c r="B2550" s="5" t="s">
        <v>67</v>
      </c>
      <c r="C2550" s="5" t="s">
        <v>1808</v>
      </c>
      <c r="D2550" s="5" t="s">
        <v>118</v>
      </c>
      <c r="E2550" s="5" t="s">
        <v>2781</v>
      </c>
      <c r="F2550" s="5" t="s">
        <v>2754</v>
      </c>
      <c r="G2550" s="5">
        <v>1</v>
      </c>
      <c r="H2550" s="5" t="s">
        <v>2854</v>
      </c>
      <c r="I2550" s="5" t="str">
        <f>IF(INDEX(Manual_Review!$K$6:$K$238,U2550)="","",INDEX(Manual_Review!$K$6:$K$238,U2550))</f>
        <v/>
      </c>
      <c r="J2550" s="5" t="str">
        <f t="shared" si="78"/>
        <v>AI provisional</v>
      </c>
      <c r="K2550" s="5" t="str">
        <f t="shared" si="79"/>
        <v>Y</v>
      </c>
      <c r="L2550" s="5" t="s">
        <v>1818</v>
      </c>
      <c r="M2550" s="5" t="s">
        <v>8080</v>
      </c>
      <c r="N2550" s="5" t="s">
        <v>8081</v>
      </c>
      <c r="O2550" s="5" t="s">
        <v>3089</v>
      </c>
      <c r="P2550" s="5" t="s">
        <v>3090</v>
      </c>
      <c r="Q2550" s="11">
        <v>46306.5</v>
      </c>
      <c r="R2550" s="6"/>
      <c r="S2550" s="6"/>
      <c r="T2550" s="6"/>
      <c r="U2550" s="5">
        <f>MATCH(B2550,Manual_Review!$A$6:$A$238,0)</f>
        <v>160</v>
      </c>
      <c r="V2550" s="5" t="str">
        <f>IF(INDEX(Manual_Review!$G$6:$G$238,U2550)="","",INDEX(Manual_Review!$G$6:$G$238,U2550))</f>
        <v/>
      </c>
      <c r="W2550" s="11" t="str">
        <f>IF(INDEX(Manual_Review!$H$6:$H$238,U2550)="","",INDEX(Manual_Review!$H$6:$H$238,U2550))</f>
        <v/>
      </c>
      <c r="X2550" s="5" t="str">
        <f>IF(INDEX(Manual_Review!$I$6:$I$238,U2550)="","",INDEX(Manual_Review!$I$6:$I$238,U2550))</f>
        <v/>
      </c>
      <c r="Y2550" s="5" t="s">
        <v>2859</v>
      </c>
    </row>
    <row r="2551" spans="1:25" ht="25.5">
      <c r="A2551" s="5" t="s">
        <v>8082</v>
      </c>
      <c r="B2551" s="5" t="s">
        <v>67</v>
      </c>
      <c r="C2551" s="5" t="s">
        <v>1808</v>
      </c>
      <c r="D2551" s="5" t="s">
        <v>118</v>
      </c>
      <c r="E2551" s="5" t="s">
        <v>2782</v>
      </c>
      <c r="F2551" s="5" t="s">
        <v>2754</v>
      </c>
      <c r="G2551" s="5">
        <v>1</v>
      </c>
      <c r="H2551" s="5" t="s">
        <v>2854</v>
      </c>
      <c r="I2551" s="5" t="str">
        <f>IF(INDEX(Manual_Review!$L$6:$L$238,U2551)="","",INDEX(Manual_Review!$L$6:$L$238,U2551))</f>
        <v/>
      </c>
      <c r="J2551" s="5" t="str">
        <f t="shared" si="78"/>
        <v>AI provisional</v>
      </c>
      <c r="K2551" s="5" t="str">
        <f t="shared" si="79"/>
        <v>Y</v>
      </c>
      <c r="L2551" s="5" t="s">
        <v>1818</v>
      </c>
      <c r="M2551" s="5" t="s">
        <v>8080</v>
      </c>
      <c r="N2551" s="5" t="s">
        <v>8083</v>
      </c>
      <c r="O2551" s="5" t="s">
        <v>3089</v>
      </c>
      <c r="P2551" s="5" t="s">
        <v>3090</v>
      </c>
      <c r="Q2551" s="11">
        <v>46306.5</v>
      </c>
      <c r="R2551" s="6"/>
      <c r="S2551" s="6"/>
      <c r="T2551" s="6"/>
      <c r="U2551" s="5">
        <f>MATCH(B2551,Manual_Review!$A$6:$A$238,0)</f>
        <v>160</v>
      </c>
      <c r="V2551" s="5" t="str">
        <f>IF(INDEX(Manual_Review!$G$6:$G$238,U2551)="","",INDEX(Manual_Review!$G$6:$G$238,U2551))</f>
        <v/>
      </c>
      <c r="W2551" s="11" t="str">
        <f>IF(INDEX(Manual_Review!$H$6:$H$238,U2551)="","",INDEX(Manual_Review!$H$6:$H$238,U2551))</f>
        <v/>
      </c>
      <c r="X2551" s="5" t="str">
        <f>IF(INDEX(Manual_Review!$I$6:$I$238,U2551)="","",INDEX(Manual_Review!$I$6:$I$238,U2551))</f>
        <v/>
      </c>
      <c r="Y2551" s="5" t="s">
        <v>2859</v>
      </c>
    </row>
    <row r="2552" spans="1:25" ht="25.5">
      <c r="A2552" s="5" t="s">
        <v>8084</v>
      </c>
      <c r="B2552" s="5" t="s">
        <v>67</v>
      </c>
      <c r="C2552" s="5" t="s">
        <v>1808</v>
      </c>
      <c r="D2552" s="5" t="s">
        <v>118</v>
      </c>
      <c r="E2552" s="5" t="s">
        <v>2783</v>
      </c>
      <c r="F2552" s="5" t="s">
        <v>2754</v>
      </c>
      <c r="G2552" s="5">
        <v>1</v>
      </c>
      <c r="H2552" s="5" t="s">
        <v>2864</v>
      </c>
      <c r="I2552" s="5" t="str">
        <f>IF(INDEX(Manual_Review!$M$6:$M$238,U2552)="","",INDEX(Manual_Review!$M$6:$M$238,U2552))</f>
        <v/>
      </c>
      <c r="J2552" s="5" t="str">
        <f t="shared" si="78"/>
        <v>AI provisional</v>
      </c>
      <c r="K2552" s="5" t="str">
        <f t="shared" si="79"/>
        <v>U</v>
      </c>
      <c r="L2552" s="5" t="s">
        <v>1818</v>
      </c>
      <c r="M2552" s="5" t="s">
        <v>5672</v>
      </c>
      <c r="N2552" s="5" t="s">
        <v>8085</v>
      </c>
      <c r="O2552" s="5" t="s">
        <v>3089</v>
      </c>
      <c r="P2552" s="5" t="s">
        <v>3090</v>
      </c>
      <c r="Q2552" s="11">
        <v>46306.5</v>
      </c>
      <c r="R2552" s="6"/>
      <c r="S2552" s="6"/>
      <c r="T2552" s="6"/>
      <c r="U2552" s="5">
        <f>MATCH(B2552,Manual_Review!$A$6:$A$238,0)</f>
        <v>160</v>
      </c>
      <c r="V2552" s="5" t="str">
        <f>IF(INDEX(Manual_Review!$G$6:$G$238,U2552)="","",INDEX(Manual_Review!$G$6:$G$238,U2552))</f>
        <v/>
      </c>
      <c r="W2552" s="11" t="str">
        <f>IF(INDEX(Manual_Review!$H$6:$H$238,U2552)="","",INDEX(Manual_Review!$H$6:$H$238,U2552))</f>
        <v/>
      </c>
      <c r="X2552" s="5" t="str">
        <f>IF(INDEX(Manual_Review!$I$6:$I$238,U2552)="","",INDEX(Manual_Review!$I$6:$I$238,U2552))</f>
        <v/>
      </c>
      <c r="Y2552" s="5" t="s">
        <v>2859</v>
      </c>
    </row>
    <row r="2553" spans="1:25" ht="25.5">
      <c r="A2553" s="5" t="s">
        <v>8086</v>
      </c>
      <c r="B2553" s="5" t="s">
        <v>67</v>
      </c>
      <c r="C2553" s="5" t="s">
        <v>1808</v>
      </c>
      <c r="D2553" s="5" t="s">
        <v>118</v>
      </c>
      <c r="E2553" s="5" t="s">
        <v>2784</v>
      </c>
      <c r="F2553" s="5" t="s">
        <v>2756</v>
      </c>
      <c r="G2553" s="5">
        <v>1</v>
      </c>
      <c r="H2553" s="5" t="s">
        <v>2854</v>
      </c>
      <c r="I2553" s="5" t="str">
        <f>IF(INDEX(Manual_Review!$N$6:$N$238,U2553)="","",INDEX(Manual_Review!$N$6:$N$238,U2553))</f>
        <v/>
      </c>
      <c r="J2553" s="5" t="str">
        <f t="shared" si="78"/>
        <v>AI provisional</v>
      </c>
      <c r="K2553" s="5" t="str">
        <f t="shared" si="79"/>
        <v>Y</v>
      </c>
      <c r="L2553" s="5" t="s">
        <v>1818</v>
      </c>
      <c r="M2553" s="5" t="s">
        <v>8087</v>
      </c>
      <c r="N2553" s="5" t="s">
        <v>8088</v>
      </c>
      <c r="O2553" s="5" t="s">
        <v>3089</v>
      </c>
      <c r="P2553" s="5" t="s">
        <v>3090</v>
      </c>
      <c r="Q2553" s="11">
        <v>46306.5</v>
      </c>
      <c r="R2553" s="6"/>
      <c r="S2553" s="6"/>
      <c r="T2553" s="6"/>
      <c r="U2553" s="5">
        <f>MATCH(B2553,Manual_Review!$A$6:$A$238,0)</f>
        <v>160</v>
      </c>
      <c r="V2553" s="5" t="str">
        <f>IF(INDEX(Manual_Review!$G$6:$G$238,U2553)="","",INDEX(Manual_Review!$G$6:$G$238,U2553))</f>
        <v/>
      </c>
      <c r="W2553" s="11" t="str">
        <f>IF(INDEX(Manual_Review!$H$6:$H$238,U2553)="","",INDEX(Manual_Review!$H$6:$H$238,U2553))</f>
        <v/>
      </c>
      <c r="X2553" s="5" t="str">
        <f>IF(INDEX(Manual_Review!$I$6:$I$238,U2553)="","",INDEX(Manual_Review!$I$6:$I$238,U2553))</f>
        <v/>
      </c>
      <c r="Y2553" s="5" t="s">
        <v>2859</v>
      </c>
    </row>
    <row r="2554" spans="1:25" ht="25.5">
      <c r="A2554" s="5" t="s">
        <v>8089</v>
      </c>
      <c r="B2554" s="5" t="s">
        <v>67</v>
      </c>
      <c r="C2554" s="5" t="s">
        <v>1808</v>
      </c>
      <c r="D2554" s="5" t="s">
        <v>118</v>
      </c>
      <c r="E2554" s="5" t="s">
        <v>2785</v>
      </c>
      <c r="F2554" s="5" t="s">
        <v>2756</v>
      </c>
      <c r="G2554" s="5">
        <v>1</v>
      </c>
      <c r="H2554" s="5" t="s">
        <v>2854</v>
      </c>
      <c r="I2554" s="5" t="str">
        <f>IF(INDEX(Manual_Review!$O$6:$O$238,U2554)="","",INDEX(Manual_Review!$O$6:$O$238,U2554))</f>
        <v/>
      </c>
      <c r="J2554" s="5" t="str">
        <f t="shared" si="78"/>
        <v>AI provisional</v>
      </c>
      <c r="K2554" s="5" t="str">
        <f t="shared" si="79"/>
        <v>Y</v>
      </c>
      <c r="L2554" s="5" t="s">
        <v>8090</v>
      </c>
      <c r="M2554" s="5" t="s">
        <v>8091</v>
      </c>
      <c r="N2554" s="5" t="s">
        <v>8092</v>
      </c>
      <c r="O2554" s="5" t="s">
        <v>3089</v>
      </c>
      <c r="P2554" s="5" t="s">
        <v>3090</v>
      </c>
      <c r="Q2554" s="11">
        <v>46306.5</v>
      </c>
      <c r="R2554" s="6"/>
      <c r="S2554" s="6"/>
      <c r="T2554" s="6"/>
      <c r="U2554" s="5">
        <f>MATCH(B2554,Manual_Review!$A$6:$A$238,0)</f>
        <v>160</v>
      </c>
      <c r="V2554" s="5" t="str">
        <f>IF(INDEX(Manual_Review!$G$6:$G$238,U2554)="","",INDEX(Manual_Review!$G$6:$G$238,U2554))</f>
        <v/>
      </c>
      <c r="W2554" s="11" t="str">
        <f>IF(INDEX(Manual_Review!$H$6:$H$238,U2554)="","",INDEX(Manual_Review!$H$6:$H$238,U2554))</f>
        <v/>
      </c>
      <c r="X2554" s="5" t="str">
        <f>IF(INDEX(Manual_Review!$I$6:$I$238,U2554)="","",INDEX(Manual_Review!$I$6:$I$238,U2554))</f>
        <v/>
      </c>
      <c r="Y2554" s="5" t="s">
        <v>2859</v>
      </c>
    </row>
    <row r="2555" spans="1:25" ht="25.5">
      <c r="A2555" s="5" t="s">
        <v>8093</v>
      </c>
      <c r="B2555" s="5" t="s">
        <v>67</v>
      </c>
      <c r="C2555" s="5" t="s">
        <v>1808</v>
      </c>
      <c r="D2555" s="5" t="s">
        <v>118</v>
      </c>
      <c r="E2555" s="5" t="s">
        <v>2786</v>
      </c>
      <c r="F2555" s="5" t="s">
        <v>2756</v>
      </c>
      <c r="G2555" s="5">
        <v>1</v>
      </c>
      <c r="H2555" s="5" t="s">
        <v>2864</v>
      </c>
      <c r="I2555" s="5" t="str">
        <f>IF(INDEX(Manual_Review!$P$6:$P$238,U2555)="","",INDEX(Manual_Review!$P$6:$P$238,U2555))</f>
        <v/>
      </c>
      <c r="J2555" s="5" t="str">
        <f t="shared" si="78"/>
        <v>AI provisional</v>
      </c>
      <c r="K2555" s="5" t="str">
        <f t="shared" si="79"/>
        <v>U</v>
      </c>
      <c r="L2555" s="5" t="s">
        <v>1818</v>
      </c>
      <c r="M2555" s="5" t="s">
        <v>8087</v>
      </c>
      <c r="N2555" s="5" t="s">
        <v>7989</v>
      </c>
      <c r="O2555" s="5" t="s">
        <v>3089</v>
      </c>
      <c r="P2555" s="5" t="s">
        <v>3090</v>
      </c>
      <c r="Q2555" s="11">
        <v>46306.5</v>
      </c>
      <c r="R2555" s="6"/>
      <c r="S2555" s="6"/>
      <c r="T2555" s="6"/>
      <c r="U2555" s="5">
        <f>MATCH(B2555,Manual_Review!$A$6:$A$238,0)</f>
        <v>160</v>
      </c>
      <c r="V2555" s="5" t="str">
        <f>IF(INDEX(Manual_Review!$G$6:$G$238,U2555)="","",INDEX(Manual_Review!$G$6:$G$238,U2555))</f>
        <v/>
      </c>
      <c r="W2555" s="11" t="str">
        <f>IF(INDEX(Manual_Review!$H$6:$H$238,U2555)="","",INDEX(Manual_Review!$H$6:$H$238,U2555))</f>
        <v/>
      </c>
      <c r="X2555" s="5" t="str">
        <f>IF(INDEX(Manual_Review!$I$6:$I$238,U2555)="","",INDEX(Manual_Review!$I$6:$I$238,U2555))</f>
        <v/>
      </c>
      <c r="Y2555" s="5" t="s">
        <v>2859</v>
      </c>
    </row>
    <row r="2556" spans="1:25" ht="25.5">
      <c r="A2556" s="5" t="s">
        <v>8094</v>
      </c>
      <c r="B2556" s="5" t="s">
        <v>67</v>
      </c>
      <c r="C2556" s="5" t="s">
        <v>1808</v>
      </c>
      <c r="D2556" s="5" t="s">
        <v>118</v>
      </c>
      <c r="E2556" s="5" t="s">
        <v>2787</v>
      </c>
      <c r="F2556" s="5" t="s">
        <v>2758</v>
      </c>
      <c r="G2556" s="5">
        <v>1</v>
      </c>
      <c r="H2556" s="5" t="s">
        <v>2864</v>
      </c>
      <c r="I2556" s="5" t="str">
        <f>IF(INDEX(Manual_Review!$Q$6:$Q$238,U2556)="","",INDEX(Manual_Review!$Q$6:$Q$238,U2556))</f>
        <v/>
      </c>
      <c r="J2556" s="5" t="str">
        <f t="shared" si="78"/>
        <v>AI provisional</v>
      </c>
      <c r="K2556" s="5" t="str">
        <f t="shared" si="79"/>
        <v>U</v>
      </c>
      <c r="L2556" s="5" t="s">
        <v>1818</v>
      </c>
      <c r="M2556" s="5" t="s">
        <v>8095</v>
      </c>
      <c r="N2556" s="5" t="s">
        <v>8096</v>
      </c>
      <c r="O2556" s="5" t="s">
        <v>3089</v>
      </c>
      <c r="P2556" s="5" t="s">
        <v>3090</v>
      </c>
      <c r="Q2556" s="11">
        <v>46306.5</v>
      </c>
      <c r="R2556" s="6"/>
      <c r="S2556" s="6"/>
      <c r="T2556" s="6"/>
      <c r="U2556" s="5">
        <f>MATCH(B2556,Manual_Review!$A$6:$A$238,0)</f>
        <v>160</v>
      </c>
      <c r="V2556" s="5" t="str">
        <f>IF(INDEX(Manual_Review!$G$6:$G$238,U2556)="","",INDEX(Manual_Review!$G$6:$G$238,U2556))</f>
        <v/>
      </c>
      <c r="W2556" s="11" t="str">
        <f>IF(INDEX(Manual_Review!$H$6:$H$238,U2556)="","",INDEX(Manual_Review!$H$6:$H$238,U2556))</f>
        <v/>
      </c>
      <c r="X2556" s="5" t="str">
        <f>IF(INDEX(Manual_Review!$I$6:$I$238,U2556)="","",INDEX(Manual_Review!$I$6:$I$238,U2556))</f>
        <v/>
      </c>
      <c r="Y2556" s="5" t="s">
        <v>2859</v>
      </c>
    </row>
    <row r="2557" spans="1:25" ht="25.5">
      <c r="A2557" s="5" t="s">
        <v>8097</v>
      </c>
      <c r="B2557" s="5" t="s">
        <v>67</v>
      </c>
      <c r="C2557" s="5" t="s">
        <v>1808</v>
      </c>
      <c r="D2557" s="5" t="s">
        <v>118</v>
      </c>
      <c r="E2557" s="5" t="s">
        <v>2788</v>
      </c>
      <c r="F2557" s="5" t="s">
        <v>2758</v>
      </c>
      <c r="G2557" s="5">
        <v>1</v>
      </c>
      <c r="H2557" s="5" t="s">
        <v>2854</v>
      </c>
      <c r="I2557" s="5" t="str">
        <f>IF(INDEX(Manual_Review!$R$6:$R$238,U2557)="","",INDEX(Manual_Review!$R$6:$R$238,U2557))</f>
        <v/>
      </c>
      <c r="J2557" s="5" t="str">
        <f t="shared" si="78"/>
        <v>AI provisional</v>
      </c>
      <c r="K2557" s="5" t="str">
        <f t="shared" si="79"/>
        <v>Y</v>
      </c>
      <c r="L2557" s="5" t="s">
        <v>1818</v>
      </c>
      <c r="M2557" s="5" t="s">
        <v>8098</v>
      </c>
      <c r="N2557" s="5" t="s">
        <v>8099</v>
      </c>
      <c r="O2557" s="5" t="s">
        <v>3089</v>
      </c>
      <c r="P2557" s="5" t="s">
        <v>3090</v>
      </c>
      <c r="Q2557" s="11">
        <v>46306.5</v>
      </c>
      <c r="R2557" s="6"/>
      <c r="S2557" s="6"/>
      <c r="T2557" s="6"/>
      <c r="U2557" s="5">
        <f>MATCH(B2557,Manual_Review!$A$6:$A$238,0)</f>
        <v>160</v>
      </c>
      <c r="V2557" s="5" t="str">
        <f>IF(INDEX(Manual_Review!$G$6:$G$238,U2557)="","",INDEX(Manual_Review!$G$6:$G$238,U2557))</f>
        <v/>
      </c>
      <c r="W2557" s="11" t="str">
        <f>IF(INDEX(Manual_Review!$H$6:$H$238,U2557)="","",INDEX(Manual_Review!$H$6:$H$238,U2557))</f>
        <v/>
      </c>
      <c r="X2557" s="5" t="str">
        <f>IF(INDEX(Manual_Review!$I$6:$I$238,U2557)="","",INDEX(Manual_Review!$I$6:$I$238,U2557))</f>
        <v/>
      </c>
      <c r="Y2557" s="5" t="s">
        <v>2859</v>
      </c>
    </row>
    <row r="2558" spans="1:25" ht="25.5">
      <c r="A2558" s="5" t="s">
        <v>8100</v>
      </c>
      <c r="B2558" s="5" t="s">
        <v>67</v>
      </c>
      <c r="C2558" s="5" t="s">
        <v>1808</v>
      </c>
      <c r="D2558" s="5" t="s">
        <v>118</v>
      </c>
      <c r="E2558" s="5" t="s">
        <v>2789</v>
      </c>
      <c r="F2558" s="5" t="s">
        <v>2758</v>
      </c>
      <c r="G2558" s="5">
        <v>1</v>
      </c>
      <c r="H2558" s="5" t="s">
        <v>2854</v>
      </c>
      <c r="I2558" s="5" t="str">
        <f>IF(INDEX(Manual_Review!$S$6:$S$238,U2558)="","",INDEX(Manual_Review!$S$6:$S$238,U2558))</f>
        <v/>
      </c>
      <c r="J2558" s="5" t="str">
        <f t="shared" si="78"/>
        <v>AI provisional</v>
      </c>
      <c r="K2558" s="5" t="str">
        <f t="shared" si="79"/>
        <v>Y</v>
      </c>
      <c r="L2558" s="5" t="s">
        <v>1818</v>
      </c>
      <c r="M2558" s="5" t="s">
        <v>8101</v>
      </c>
      <c r="N2558" s="5" t="s">
        <v>8102</v>
      </c>
      <c r="O2558" s="5" t="s">
        <v>3089</v>
      </c>
      <c r="P2558" s="5" t="s">
        <v>3090</v>
      </c>
      <c r="Q2558" s="11">
        <v>46306.5</v>
      </c>
      <c r="R2558" s="6"/>
      <c r="S2558" s="6"/>
      <c r="T2558" s="6"/>
      <c r="U2558" s="5">
        <f>MATCH(B2558,Manual_Review!$A$6:$A$238,0)</f>
        <v>160</v>
      </c>
      <c r="V2558" s="5" t="str">
        <f>IF(INDEX(Manual_Review!$G$6:$G$238,U2558)="","",INDEX(Manual_Review!$G$6:$G$238,U2558))</f>
        <v/>
      </c>
      <c r="W2558" s="11" t="str">
        <f>IF(INDEX(Manual_Review!$H$6:$H$238,U2558)="","",INDEX(Manual_Review!$H$6:$H$238,U2558))</f>
        <v/>
      </c>
      <c r="X2558" s="5" t="str">
        <f>IF(INDEX(Manual_Review!$I$6:$I$238,U2558)="","",INDEX(Manual_Review!$I$6:$I$238,U2558))</f>
        <v/>
      </c>
      <c r="Y2558" s="5" t="s">
        <v>2859</v>
      </c>
    </row>
    <row r="2559" spans="1:25" ht="25.5">
      <c r="A2559" s="5" t="s">
        <v>8103</v>
      </c>
      <c r="B2559" s="5" t="s">
        <v>67</v>
      </c>
      <c r="C2559" s="5" t="s">
        <v>1808</v>
      </c>
      <c r="D2559" s="5" t="s">
        <v>118</v>
      </c>
      <c r="E2559" s="5" t="s">
        <v>2790</v>
      </c>
      <c r="F2559" s="5" t="s">
        <v>2760</v>
      </c>
      <c r="G2559" s="5">
        <v>1</v>
      </c>
      <c r="H2559" s="5" t="s">
        <v>2854</v>
      </c>
      <c r="I2559" s="5" t="str">
        <f>IF(INDEX(Manual_Review!$T$6:$T$238,U2559)="","",INDEX(Manual_Review!$T$6:$T$238,U2559))</f>
        <v/>
      </c>
      <c r="J2559" s="5" t="str">
        <f t="shared" si="78"/>
        <v>AI provisional</v>
      </c>
      <c r="K2559" s="5" t="str">
        <f t="shared" si="79"/>
        <v>Y</v>
      </c>
      <c r="L2559" s="5" t="s">
        <v>1818</v>
      </c>
      <c r="M2559" s="5" t="s">
        <v>8104</v>
      </c>
      <c r="N2559" s="5" t="s">
        <v>8105</v>
      </c>
      <c r="O2559" s="5" t="s">
        <v>3089</v>
      </c>
      <c r="P2559" s="5" t="s">
        <v>3090</v>
      </c>
      <c r="Q2559" s="11">
        <v>46306.5</v>
      </c>
      <c r="R2559" s="6"/>
      <c r="S2559" s="6"/>
      <c r="T2559" s="6"/>
      <c r="U2559" s="5">
        <f>MATCH(B2559,Manual_Review!$A$6:$A$238,0)</f>
        <v>160</v>
      </c>
      <c r="V2559" s="5" t="str">
        <f>IF(INDEX(Manual_Review!$G$6:$G$238,U2559)="","",INDEX(Manual_Review!$G$6:$G$238,U2559))</f>
        <v/>
      </c>
      <c r="W2559" s="11" t="str">
        <f>IF(INDEX(Manual_Review!$H$6:$H$238,U2559)="","",INDEX(Manual_Review!$H$6:$H$238,U2559))</f>
        <v/>
      </c>
      <c r="X2559" s="5" t="str">
        <f>IF(INDEX(Manual_Review!$I$6:$I$238,U2559)="","",INDEX(Manual_Review!$I$6:$I$238,U2559))</f>
        <v/>
      </c>
      <c r="Y2559" s="5" t="s">
        <v>2859</v>
      </c>
    </row>
    <row r="2560" spans="1:25" ht="25.5">
      <c r="A2560" s="5" t="s">
        <v>8106</v>
      </c>
      <c r="B2560" s="5" t="s">
        <v>67</v>
      </c>
      <c r="C2560" s="5" t="s">
        <v>1808</v>
      </c>
      <c r="D2560" s="5" t="s">
        <v>118</v>
      </c>
      <c r="E2560" s="5" t="s">
        <v>2791</v>
      </c>
      <c r="F2560" s="5" t="s">
        <v>2760</v>
      </c>
      <c r="G2560" s="5">
        <v>1</v>
      </c>
      <c r="H2560" s="5" t="s">
        <v>2854</v>
      </c>
      <c r="I2560" s="5" t="str">
        <f>IF(INDEX(Manual_Review!$U$6:$U$238,U2560)="","",INDEX(Manual_Review!$U$6:$U$238,U2560))</f>
        <v/>
      </c>
      <c r="J2560" s="5" t="str">
        <f t="shared" si="78"/>
        <v>AI provisional</v>
      </c>
      <c r="K2560" s="5" t="str">
        <f t="shared" si="79"/>
        <v>Y</v>
      </c>
      <c r="L2560" s="5" t="s">
        <v>1818</v>
      </c>
      <c r="M2560" s="5" t="s">
        <v>8104</v>
      </c>
      <c r="N2560" s="5" t="s">
        <v>8107</v>
      </c>
      <c r="O2560" s="5" t="s">
        <v>3089</v>
      </c>
      <c r="P2560" s="5" t="s">
        <v>3090</v>
      </c>
      <c r="Q2560" s="11">
        <v>46306.5</v>
      </c>
      <c r="R2560" s="6"/>
      <c r="S2560" s="6"/>
      <c r="T2560" s="6"/>
      <c r="U2560" s="5">
        <f>MATCH(B2560,Manual_Review!$A$6:$A$238,0)</f>
        <v>160</v>
      </c>
      <c r="V2560" s="5" t="str">
        <f>IF(INDEX(Manual_Review!$G$6:$G$238,U2560)="","",INDEX(Manual_Review!$G$6:$G$238,U2560))</f>
        <v/>
      </c>
      <c r="W2560" s="11" t="str">
        <f>IF(INDEX(Manual_Review!$H$6:$H$238,U2560)="","",INDEX(Manual_Review!$H$6:$H$238,U2560))</f>
        <v/>
      </c>
      <c r="X2560" s="5" t="str">
        <f>IF(INDEX(Manual_Review!$I$6:$I$238,U2560)="","",INDEX(Manual_Review!$I$6:$I$238,U2560))</f>
        <v/>
      </c>
      <c r="Y2560" s="5" t="s">
        <v>2859</v>
      </c>
    </row>
    <row r="2561" spans="1:25" ht="25.5">
      <c r="A2561" s="5" t="s">
        <v>8108</v>
      </c>
      <c r="B2561" s="5" t="s">
        <v>67</v>
      </c>
      <c r="C2561" s="5" t="s">
        <v>1808</v>
      </c>
      <c r="D2561" s="5" t="s">
        <v>118</v>
      </c>
      <c r="E2561" s="5" t="s">
        <v>2792</v>
      </c>
      <c r="F2561" s="5" t="s">
        <v>2762</v>
      </c>
      <c r="G2561" s="5">
        <v>1</v>
      </c>
      <c r="H2561" s="5" t="s">
        <v>2864</v>
      </c>
      <c r="I2561" s="5" t="str">
        <f>IF(INDEX(Manual_Review!$V$6:$V$238,U2561)="","",INDEX(Manual_Review!$V$6:$V$238,U2561))</f>
        <v/>
      </c>
      <c r="J2561" s="5" t="str">
        <f t="shared" si="78"/>
        <v>AI provisional</v>
      </c>
      <c r="K2561" s="5" t="str">
        <f t="shared" si="79"/>
        <v>U</v>
      </c>
      <c r="L2561" s="5" t="s">
        <v>1818</v>
      </c>
      <c r="M2561" s="5" t="s">
        <v>8104</v>
      </c>
      <c r="N2561" s="5" t="s">
        <v>8109</v>
      </c>
      <c r="O2561" s="5" t="s">
        <v>3089</v>
      </c>
      <c r="P2561" s="5" t="s">
        <v>3090</v>
      </c>
      <c r="Q2561" s="11">
        <v>46306.5</v>
      </c>
      <c r="R2561" s="6"/>
      <c r="S2561" s="6"/>
      <c r="T2561" s="6"/>
      <c r="U2561" s="5">
        <f>MATCH(B2561,Manual_Review!$A$6:$A$238,0)</f>
        <v>160</v>
      </c>
      <c r="V2561" s="5" t="str">
        <f>IF(INDEX(Manual_Review!$G$6:$G$238,U2561)="","",INDEX(Manual_Review!$G$6:$G$238,U2561))</f>
        <v/>
      </c>
      <c r="W2561" s="11" t="str">
        <f>IF(INDEX(Manual_Review!$H$6:$H$238,U2561)="","",INDEX(Manual_Review!$H$6:$H$238,U2561))</f>
        <v/>
      </c>
      <c r="X2561" s="5" t="str">
        <f>IF(INDEX(Manual_Review!$I$6:$I$238,U2561)="","",INDEX(Manual_Review!$I$6:$I$238,U2561))</f>
        <v/>
      </c>
      <c r="Y2561" s="5" t="s">
        <v>2859</v>
      </c>
    </row>
    <row r="2562" spans="1:25" ht="25.5">
      <c r="A2562" s="5" t="s">
        <v>8110</v>
      </c>
      <c r="B2562" s="5" t="s">
        <v>67</v>
      </c>
      <c r="C2562" s="5" t="s">
        <v>1808</v>
      </c>
      <c r="D2562" s="5" t="s">
        <v>118</v>
      </c>
      <c r="E2562" s="5" t="s">
        <v>2793</v>
      </c>
      <c r="F2562" s="5" t="s">
        <v>2762</v>
      </c>
      <c r="G2562" s="5">
        <v>1</v>
      </c>
      <c r="H2562" s="5" t="s">
        <v>2854</v>
      </c>
      <c r="I2562" s="5" t="str">
        <f>IF(INDEX(Manual_Review!$W$6:$W$238,U2562)="","",INDEX(Manual_Review!$W$6:$W$238,U2562))</f>
        <v/>
      </c>
      <c r="J2562" s="5" t="str">
        <f t="shared" si="78"/>
        <v>AI provisional</v>
      </c>
      <c r="K2562" s="5" t="str">
        <f t="shared" si="79"/>
        <v>Y</v>
      </c>
      <c r="L2562" s="5" t="s">
        <v>1818</v>
      </c>
      <c r="M2562" s="5" t="s">
        <v>8111</v>
      </c>
      <c r="N2562" s="5" t="s">
        <v>8112</v>
      </c>
      <c r="O2562" s="5" t="s">
        <v>3089</v>
      </c>
      <c r="P2562" s="5" t="s">
        <v>3090</v>
      </c>
      <c r="Q2562" s="11">
        <v>46306.5</v>
      </c>
      <c r="R2562" s="6"/>
      <c r="S2562" s="6"/>
      <c r="T2562" s="6"/>
      <c r="U2562" s="5">
        <f>MATCH(B2562,Manual_Review!$A$6:$A$238,0)</f>
        <v>160</v>
      </c>
      <c r="V2562" s="5" t="str">
        <f>IF(INDEX(Manual_Review!$G$6:$G$238,U2562)="","",INDEX(Manual_Review!$G$6:$G$238,U2562))</f>
        <v/>
      </c>
      <c r="W2562" s="11" t="str">
        <f>IF(INDEX(Manual_Review!$H$6:$H$238,U2562)="","",INDEX(Manual_Review!$H$6:$H$238,U2562))</f>
        <v/>
      </c>
      <c r="X2562" s="5" t="str">
        <f>IF(INDEX(Manual_Review!$I$6:$I$238,U2562)="","",INDEX(Manual_Review!$I$6:$I$238,U2562))</f>
        <v/>
      </c>
      <c r="Y2562" s="5" t="s">
        <v>2859</v>
      </c>
    </row>
    <row r="2563" spans="1:25" ht="25.5">
      <c r="A2563" s="5" t="s">
        <v>8113</v>
      </c>
      <c r="B2563" s="5" t="s">
        <v>67</v>
      </c>
      <c r="C2563" s="5" t="s">
        <v>1808</v>
      </c>
      <c r="D2563" s="5" t="s">
        <v>118</v>
      </c>
      <c r="E2563" s="5" t="s">
        <v>2794</v>
      </c>
      <c r="F2563" s="5" t="s">
        <v>2764</v>
      </c>
      <c r="G2563" s="5">
        <v>1</v>
      </c>
      <c r="H2563" s="5" t="s">
        <v>2854</v>
      </c>
      <c r="I2563" s="5" t="str">
        <f>IF(INDEX(Manual_Review!$X$6:$X$238,U2563)="","",INDEX(Manual_Review!$X$6:$X$238,U2563))</f>
        <v/>
      </c>
      <c r="J2563" s="5" t="str">
        <f t="shared" si="78"/>
        <v>AI provisional</v>
      </c>
      <c r="K2563" s="5" t="str">
        <f t="shared" si="79"/>
        <v>Y</v>
      </c>
      <c r="L2563" s="5" t="s">
        <v>1818</v>
      </c>
      <c r="M2563" s="5" t="s">
        <v>8114</v>
      </c>
      <c r="N2563" s="5" t="s">
        <v>8115</v>
      </c>
      <c r="O2563" s="5" t="s">
        <v>3089</v>
      </c>
      <c r="P2563" s="5" t="s">
        <v>3090</v>
      </c>
      <c r="Q2563" s="11">
        <v>46306.5</v>
      </c>
      <c r="R2563" s="6"/>
      <c r="S2563" s="6"/>
      <c r="T2563" s="6"/>
      <c r="U2563" s="5">
        <f>MATCH(B2563,Manual_Review!$A$6:$A$238,0)</f>
        <v>160</v>
      </c>
      <c r="V2563" s="5" t="str">
        <f>IF(INDEX(Manual_Review!$G$6:$G$238,U2563)="","",INDEX(Manual_Review!$G$6:$G$238,U2563))</f>
        <v/>
      </c>
      <c r="W2563" s="11" t="str">
        <f>IF(INDEX(Manual_Review!$H$6:$H$238,U2563)="","",INDEX(Manual_Review!$H$6:$H$238,U2563))</f>
        <v/>
      </c>
      <c r="X2563" s="5" t="str">
        <f>IF(INDEX(Manual_Review!$I$6:$I$238,U2563)="","",INDEX(Manual_Review!$I$6:$I$238,U2563))</f>
        <v/>
      </c>
      <c r="Y2563" s="5" t="s">
        <v>2859</v>
      </c>
    </row>
    <row r="2564" spans="1:25" ht="25.5">
      <c r="A2564" s="5" t="s">
        <v>8116</v>
      </c>
      <c r="B2564" s="5" t="s">
        <v>67</v>
      </c>
      <c r="C2564" s="5" t="s">
        <v>1808</v>
      </c>
      <c r="D2564" s="5" t="s">
        <v>118</v>
      </c>
      <c r="E2564" s="5" t="s">
        <v>2795</v>
      </c>
      <c r="F2564" s="5" t="s">
        <v>2764</v>
      </c>
      <c r="G2564" s="5">
        <v>1</v>
      </c>
      <c r="H2564" s="5" t="s">
        <v>2854</v>
      </c>
      <c r="I2564" s="5" t="str">
        <f>IF(INDEX(Manual_Review!$Y$6:$Y$238,U2564)="","",INDEX(Manual_Review!$Y$6:$Y$238,U2564))</f>
        <v/>
      </c>
      <c r="J2564" s="5" t="str">
        <f t="shared" si="78"/>
        <v>AI provisional</v>
      </c>
      <c r="K2564" s="5" t="str">
        <f t="shared" si="79"/>
        <v>Y</v>
      </c>
      <c r="L2564" s="5" t="s">
        <v>1818</v>
      </c>
      <c r="M2564" s="5" t="s">
        <v>8117</v>
      </c>
      <c r="N2564" s="5" t="s">
        <v>8118</v>
      </c>
      <c r="O2564" s="5" t="s">
        <v>3089</v>
      </c>
      <c r="P2564" s="5" t="s">
        <v>3090</v>
      </c>
      <c r="Q2564" s="11">
        <v>46306.5</v>
      </c>
      <c r="R2564" s="6"/>
      <c r="S2564" s="6"/>
      <c r="T2564" s="6"/>
      <c r="U2564" s="5">
        <f>MATCH(B2564,Manual_Review!$A$6:$A$238,0)</f>
        <v>160</v>
      </c>
      <c r="V2564" s="5" t="str">
        <f>IF(INDEX(Manual_Review!$G$6:$G$238,U2564)="","",INDEX(Manual_Review!$G$6:$G$238,U2564))</f>
        <v/>
      </c>
      <c r="W2564" s="11" t="str">
        <f>IF(INDEX(Manual_Review!$H$6:$H$238,U2564)="","",INDEX(Manual_Review!$H$6:$H$238,U2564))</f>
        <v/>
      </c>
      <c r="X2564" s="5" t="str">
        <f>IF(INDEX(Manual_Review!$I$6:$I$238,U2564)="","",INDEX(Manual_Review!$I$6:$I$238,U2564))</f>
        <v/>
      </c>
      <c r="Y2564" s="5" t="s">
        <v>2859</v>
      </c>
    </row>
    <row r="2565" spans="1:25" ht="25.5">
      <c r="A2565" s="5" t="s">
        <v>8119</v>
      </c>
      <c r="B2565" s="5" t="s">
        <v>67</v>
      </c>
      <c r="C2565" s="5" t="s">
        <v>1808</v>
      </c>
      <c r="D2565" s="5" t="s">
        <v>118</v>
      </c>
      <c r="E2565" s="5" t="s">
        <v>2796</v>
      </c>
      <c r="F2565" s="5" t="s">
        <v>2764</v>
      </c>
      <c r="G2565" s="5">
        <v>1</v>
      </c>
      <c r="H2565" s="5" t="s">
        <v>2854</v>
      </c>
      <c r="I2565" s="5" t="str">
        <f>IF(INDEX(Manual_Review!$Z$6:$Z$238,U2565)="","",INDEX(Manual_Review!$Z$6:$Z$238,U2565))</f>
        <v/>
      </c>
      <c r="J2565" s="5" t="str">
        <f t="shared" si="78"/>
        <v>AI provisional</v>
      </c>
      <c r="K2565" s="5" t="str">
        <f t="shared" si="79"/>
        <v>Y</v>
      </c>
      <c r="L2565" s="5" t="s">
        <v>1818</v>
      </c>
      <c r="M2565" s="5" t="s">
        <v>8120</v>
      </c>
      <c r="N2565" s="5" t="s">
        <v>8121</v>
      </c>
      <c r="O2565" s="5" t="s">
        <v>3089</v>
      </c>
      <c r="P2565" s="5" t="s">
        <v>3090</v>
      </c>
      <c r="Q2565" s="11">
        <v>46306.5</v>
      </c>
      <c r="R2565" s="6"/>
      <c r="S2565" s="6"/>
      <c r="T2565" s="6"/>
      <c r="U2565" s="5">
        <f>MATCH(B2565,Manual_Review!$A$6:$A$238,0)</f>
        <v>160</v>
      </c>
      <c r="V2565" s="5" t="str">
        <f>IF(INDEX(Manual_Review!$G$6:$G$238,U2565)="","",INDEX(Manual_Review!$G$6:$G$238,U2565))</f>
        <v/>
      </c>
      <c r="W2565" s="11" t="str">
        <f>IF(INDEX(Manual_Review!$H$6:$H$238,U2565)="","",INDEX(Manual_Review!$H$6:$H$238,U2565))</f>
        <v/>
      </c>
      <c r="X2565" s="5" t="str">
        <f>IF(INDEX(Manual_Review!$I$6:$I$238,U2565)="","",INDEX(Manual_Review!$I$6:$I$238,U2565))</f>
        <v/>
      </c>
      <c r="Y2565" s="5" t="s">
        <v>2859</v>
      </c>
    </row>
    <row r="2566" spans="1:25" ht="25.5">
      <c r="A2566" s="5" t="s">
        <v>8122</v>
      </c>
      <c r="B2566" s="5" t="s">
        <v>1821</v>
      </c>
      <c r="C2566" s="5" t="s">
        <v>1822</v>
      </c>
      <c r="D2566" s="5" t="s">
        <v>118</v>
      </c>
      <c r="E2566" s="5" t="s">
        <v>2781</v>
      </c>
      <c r="F2566" s="5" t="s">
        <v>2754</v>
      </c>
      <c r="G2566" s="5">
        <v>1</v>
      </c>
      <c r="H2566" s="5" t="s">
        <v>2854</v>
      </c>
      <c r="I2566" s="5" t="str">
        <f>IF(INDEX(Manual_Review!$K$6:$K$238,U2566)="","",INDEX(Manual_Review!$K$6:$K$238,U2566))</f>
        <v/>
      </c>
      <c r="J2566" s="5" t="str">
        <f t="shared" ref="J2566:J2629" si="80">IF(G2566=0,"Not applicable",IF(I2566="","AI provisional",IF(AND(OR(I2566="Y",I2566="N",I2566="U",I2566="X"),V2566&lt;&gt;"",ISNUMBER(W2566),W2566&gt;0,X2566="Confirmed",R2566&lt;&gt;"",S2566&lt;&gt;"",T2566&lt;&gt;""),"Human valid","Evidence needed")))</f>
        <v>AI provisional</v>
      </c>
      <c r="K2566" s="5" t="str">
        <f t="shared" ref="K2566:K2629" si="81">IF(G2566=0,"N/A",IF(I2566="",H2566,IF(J2566="Human valid",I2566,"U")))</f>
        <v>Y</v>
      </c>
      <c r="L2566" s="5" t="s">
        <v>1829</v>
      </c>
      <c r="M2566" s="5" t="s">
        <v>8123</v>
      </c>
      <c r="N2566" s="5" t="s">
        <v>8124</v>
      </c>
      <c r="O2566" s="5" t="s">
        <v>2857</v>
      </c>
      <c r="P2566" s="5" t="s">
        <v>2858</v>
      </c>
      <c r="Q2566" s="11">
        <v>46306.5</v>
      </c>
      <c r="R2566" s="6"/>
      <c r="S2566" s="6"/>
      <c r="T2566" s="6"/>
      <c r="U2566" s="5">
        <f>MATCH(B2566,Manual_Review!$A$6:$A$238,0)</f>
        <v>161</v>
      </c>
      <c r="V2566" s="5" t="str">
        <f>IF(INDEX(Manual_Review!$G$6:$G$238,U2566)="","",INDEX(Manual_Review!$G$6:$G$238,U2566))</f>
        <v/>
      </c>
      <c r="W2566" s="11" t="str">
        <f>IF(INDEX(Manual_Review!$H$6:$H$238,U2566)="","",INDEX(Manual_Review!$H$6:$H$238,U2566))</f>
        <v/>
      </c>
      <c r="X2566" s="5" t="str">
        <f>IF(INDEX(Manual_Review!$I$6:$I$238,U2566)="","",INDEX(Manual_Review!$I$6:$I$238,U2566))</f>
        <v/>
      </c>
      <c r="Y2566" s="5" t="s">
        <v>2859</v>
      </c>
    </row>
    <row r="2567" spans="1:25" ht="25.5">
      <c r="A2567" s="5" t="s">
        <v>8125</v>
      </c>
      <c r="B2567" s="5" t="s">
        <v>1821</v>
      </c>
      <c r="C2567" s="5" t="s">
        <v>1822</v>
      </c>
      <c r="D2567" s="5" t="s">
        <v>118</v>
      </c>
      <c r="E2567" s="5" t="s">
        <v>2782</v>
      </c>
      <c r="F2567" s="5" t="s">
        <v>2754</v>
      </c>
      <c r="G2567" s="5">
        <v>1</v>
      </c>
      <c r="H2567" s="5" t="s">
        <v>2854</v>
      </c>
      <c r="I2567" s="5" t="str">
        <f>IF(INDEX(Manual_Review!$L$6:$L$238,U2567)="","",INDEX(Manual_Review!$L$6:$L$238,U2567))</f>
        <v/>
      </c>
      <c r="J2567" s="5" t="str">
        <f t="shared" si="80"/>
        <v>AI provisional</v>
      </c>
      <c r="K2567" s="5" t="str">
        <f t="shared" si="81"/>
        <v>Y</v>
      </c>
      <c r="L2567" s="5" t="s">
        <v>1829</v>
      </c>
      <c r="M2567" s="5" t="s">
        <v>8126</v>
      </c>
      <c r="N2567" s="5" t="s">
        <v>8124</v>
      </c>
      <c r="O2567" s="5" t="s">
        <v>2862</v>
      </c>
      <c r="P2567" s="5" t="s">
        <v>2858</v>
      </c>
      <c r="Q2567" s="11">
        <v>46306.5</v>
      </c>
      <c r="R2567" s="6"/>
      <c r="S2567" s="6"/>
      <c r="T2567" s="6"/>
      <c r="U2567" s="5">
        <f>MATCH(B2567,Manual_Review!$A$6:$A$238,0)</f>
        <v>161</v>
      </c>
      <c r="V2567" s="5" t="str">
        <f>IF(INDEX(Manual_Review!$G$6:$G$238,U2567)="","",INDEX(Manual_Review!$G$6:$G$238,U2567))</f>
        <v/>
      </c>
      <c r="W2567" s="11" t="str">
        <f>IF(INDEX(Manual_Review!$H$6:$H$238,U2567)="","",INDEX(Manual_Review!$H$6:$H$238,U2567))</f>
        <v/>
      </c>
      <c r="X2567" s="5" t="str">
        <f>IF(INDEX(Manual_Review!$I$6:$I$238,U2567)="","",INDEX(Manual_Review!$I$6:$I$238,U2567))</f>
        <v/>
      </c>
      <c r="Y2567" s="5" t="s">
        <v>2859</v>
      </c>
    </row>
    <row r="2568" spans="1:25" ht="25.5">
      <c r="A2568" s="5" t="s">
        <v>8127</v>
      </c>
      <c r="B2568" s="5" t="s">
        <v>1821</v>
      </c>
      <c r="C2568" s="5" t="s">
        <v>1822</v>
      </c>
      <c r="D2568" s="5" t="s">
        <v>118</v>
      </c>
      <c r="E2568" s="5" t="s">
        <v>2783</v>
      </c>
      <c r="F2568" s="5" t="s">
        <v>2754</v>
      </c>
      <c r="G2568" s="5">
        <v>1</v>
      </c>
      <c r="H2568" s="5" t="s">
        <v>2854</v>
      </c>
      <c r="I2568" s="5" t="str">
        <f>IF(INDEX(Manual_Review!$M$6:$M$238,U2568)="","",INDEX(Manual_Review!$M$6:$M$238,U2568))</f>
        <v/>
      </c>
      <c r="J2568" s="5" t="str">
        <f t="shared" si="80"/>
        <v>AI provisional</v>
      </c>
      <c r="K2568" s="5" t="str">
        <f t="shared" si="81"/>
        <v>Y</v>
      </c>
      <c r="L2568" s="5" t="s">
        <v>1829</v>
      </c>
      <c r="M2568" s="5" t="s">
        <v>8128</v>
      </c>
      <c r="N2568" s="5" t="s">
        <v>8124</v>
      </c>
      <c r="O2568" s="5" t="s">
        <v>3133</v>
      </c>
      <c r="P2568" s="5" t="s">
        <v>2858</v>
      </c>
      <c r="Q2568" s="11">
        <v>46306.5</v>
      </c>
      <c r="R2568" s="6"/>
      <c r="S2568" s="6"/>
      <c r="T2568" s="6"/>
      <c r="U2568" s="5">
        <f>MATCH(B2568,Manual_Review!$A$6:$A$238,0)</f>
        <v>161</v>
      </c>
      <c r="V2568" s="5" t="str">
        <f>IF(INDEX(Manual_Review!$G$6:$G$238,U2568)="","",INDEX(Manual_Review!$G$6:$G$238,U2568))</f>
        <v/>
      </c>
      <c r="W2568" s="11" t="str">
        <f>IF(INDEX(Manual_Review!$H$6:$H$238,U2568)="","",INDEX(Manual_Review!$H$6:$H$238,U2568))</f>
        <v/>
      </c>
      <c r="X2568" s="5" t="str">
        <f>IF(INDEX(Manual_Review!$I$6:$I$238,U2568)="","",INDEX(Manual_Review!$I$6:$I$238,U2568))</f>
        <v/>
      </c>
      <c r="Y2568" s="5" t="s">
        <v>2859</v>
      </c>
    </row>
    <row r="2569" spans="1:25" ht="25.5">
      <c r="A2569" s="5" t="s">
        <v>8129</v>
      </c>
      <c r="B2569" s="5" t="s">
        <v>1821</v>
      </c>
      <c r="C2569" s="5" t="s">
        <v>1822</v>
      </c>
      <c r="D2569" s="5" t="s">
        <v>118</v>
      </c>
      <c r="E2569" s="5" t="s">
        <v>2784</v>
      </c>
      <c r="F2569" s="5" t="s">
        <v>2756</v>
      </c>
      <c r="G2569" s="5">
        <v>1</v>
      </c>
      <c r="H2569" s="5" t="s">
        <v>2854</v>
      </c>
      <c r="I2569" s="5" t="str">
        <f>IF(INDEX(Manual_Review!$N$6:$N$238,U2569)="","",INDEX(Manual_Review!$N$6:$N$238,U2569))</f>
        <v/>
      </c>
      <c r="J2569" s="5" t="str">
        <f t="shared" si="80"/>
        <v>AI provisional</v>
      </c>
      <c r="K2569" s="5" t="str">
        <f t="shared" si="81"/>
        <v>Y</v>
      </c>
      <c r="L2569" s="5" t="s">
        <v>1829</v>
      </c>
      <c r="M2569" s="5" t="s">
        <v>8130</v>
      </c>
      <c r="N2569" s="5" t="s">
        <v>8124</v>
      </c>
      <c r="O2569" s="5" t="s">
        <v>2963</v>
      </c>
      <c r="P2569" s="5" t="s">
        <v>2858</v>
      </c>
      <c r="Q2569" s="11">
        <v>46306.5</v>
      </c>
      <c r="R2569" s="6"/>
      <c r="S2569" s="6"/>
      <c r="T2569" s="6"/>
      <c r="U2569" s="5">
        <f>MATCH(B2569,Manual_Review!$A$6:$A$238,0)</f>
        <v>161</v>
      </c>
      <c r="V2569" s="5" t="str">
        <f>IF(INDEX(Manual_Review!$G$6:$G$238,U2569)="","",INDEX(Manual_Review!$G$6:$G$238,U2569))</f>
        <v/>
      </c>
      <c r="W2569" s="11" t="str">
        <f>IF(INDEX(Manual_Review!$H$6:$H$238,U2569)="","",INDEX(Manual_Review!$H$6:$H$238,U2569))</f>
        <v/>
      </c>
      <c r="X2569" s="5" t="str">
        <f>IF(INDEX(Manual_Review!$I$6:$I$238,U2569)="","",INDEX(Manual_Review!$I$6:$I$238,U2569))</f>
        <v/>
      </c>
      <c r="Y2569" s="5" t="s">
        <v>2859</v>
      </c>
    </row>
    <row r="2570" spans="1:25" ht="25.5">
      <c r="A2570" s="5" t="s">
        <v>8131</v>
      </c>
      <c r="B2570" s="5" t="s">
        <v>1821</v>
      </c>
      <c r="C2570" s="5" t="s">
        <v>1822</v>
      </c>
      <c r="D2570" s="5" t="s">
        <v>118</v>
      </c>
      <c r="E2570" s="5" t="s">
        <v>2785</v>
      </c>
      <c r="F2570" s="5" t="s">
        <v>2756</v>
      </c>
      <c r="G2570" s="5">
        <v>1</v>
      </c>
      <c r="H2570" s="5" t="s">
        <v>2864</v>
      </c>
      <c r="I2570" s="5" t="str">
        <f>IF(INDEX(Manual_Review!$O$6:$O$238,U2570)="","",INDEX(Manual_Review!$O$6:$O$238,U2570))</f>
        <v/>
      </c>
      <c r="J2570" s="5" t="str">
        <f t="shared" si="80"/>
        <v>AI provisional</v>
      </c>
      <c r="K2570" s="5" t="str">
        <f t="shared" si="81"/>
        <v>U</v>
      </c>
      <c r="L2570" s="5" t="s">
        <v>1829</v>
      </c>
      <c r="M2570" s="5" t="s">
        <v>8132</v>
      </c>
      <c r="N2570" s="5" t="s">
        <v>8124</v>
      </c>
      <c r="O2570" s="5" t="s">
        <v>2872</v>
      </c>
      <c r="P2570" s="5" t="s">
        <v>2858</v>
      </c>
      <c r="Q2570" s="11">
        <v>46306.5</v>
      </c>
      <c r="R2570" s="6"/>
      <c r="S2570" s="6"/>
      <c r="T2570" s="6"/>
      <c r="U2570" s="5">
        <f>MATCH(B2570,Manual_Review!$A$6:$A$238,0)</f>
        <v>161</v>
      </c>
      <c r="V2570" s="5" t="str">
        <f>IF(INDEX(Manual_Review!$G$6:$G$238,U2570)="","",INDEX(Manual_Review!$G$6:$G$238,U2570))</f>
        <v/>
      </c>
      <c r="W2570" s="11" t="str">
        <f>IF(INDEX(Manual_Review!$H$6:$H$238,U2570)="","",INDEX(Manual_Review!$H$6:$H$238,U2570))</f>
        <v/>
      </c>
      <c r="X2570" s="5" t="str">
        <f>IF(INDEX(Manual_Review!$I$6:$I$238,U2570)="","",INDEX(Manual_Review!$I$6:$I$238,U2570))</f>
        <v/>
      </c>
      <c r="Y2570" s="5" t="s">
        <v>2859</v>
      </c>
    </row>
    <row r="2571" spans="1:25" ht="25.5">
      <c r="A2571" s="5" t="s">
        <v>8133</v>
      </c>
      <c r="B2571" s="5" t="s">
        <v>1821</v>
      </c>
      <c r="C2571" s="5" t="s">
        <v>1822</v>
      </c>
      <c r="D2571" s="5" t="s">
        <v>118</v>
      </c>
      <c r="E2571" s="5" t="s">
        <v>2786</v>
      </c>
      <c r="F2571" s="5" t="s">
        <v>2756</v>
      </c>
      <c r="G2571" s="5">
        <v>1</v>
      </c>
      <c r="H2571" s="5" t="s">
        <v>2864</v>
      </c>
      <c r="I2571" s="5" t="str">
        <f>IF(INDEX(Manual_Review!$P$6:$P$238,U2571)="","",INDEX(Manual_Review!$P$6:$P$238,U2571))</f>
        <v/>
      </c>
      <c r="J2571" s="5" t="str">
        <f t="shared" si="80"/>
        <v>AI provisional</v>
      </c>
      <c r="K2571" s="5" t="str">
        <f t="shared" si="81"/>
        <v>U</v>
      </c>
      <c r="L2571" s="5" t="s">
        <v>1829</v>
      </c>
      <c r="M2571" s="5" t="s">
        <v>8134</v>
      </c>
      <c r="N2571" s="5" t="s">
        <v>8124</v>
      </c>
      <c r="O2571" s="5" t="s">
        <v>2874</v>
      </c>
      <c r="P2571" s="5" t="s">
        <v>2858</v>
      </c>
      <c r="Q2571" s="11">
        <v>46306.5</v>
      </c>
      <c r="R2571" s="6"/>
      <c r="S2571" s="6"/>
      <c r="T2571" s="6"/>
      <c r="U2571" s="5">
        <f>MATCH(B2571,Manual_Review!$A$6:$A$238,0)</f>
        <v>161</v>
      </c>
      <c r="V2571" s="5" t="str">
        <f>IF(INDEX(Manual_Review!$G$6:$G$238,U2571)="","",INDEX(Manual_Review!$G$6:$G$238,U2571))</f>
        <v/>
      </c>
      <c r="W2571" s="11" t="str">
        <f>IF(INDEX(Manual_Review!$H$6:$H$238,U2571)="","",INDEX(Manual_Review!$H$6:$H$238,U2571))</f>
        <v/>
      </c>
      <c r="X2571" s="5" t="str">
        <f>IF(INDEX(Manual_Review!$I$6:$I$238,U2571)="","",INDEX(Manual_Review!$I$6:$I$238,U2571))</f>
        <v/>
      </c>
      <c r="Y2571" s="5" t="s">
        <v>2859</v>
      </c>
    </row>
    <row r="2572" spans="1:25" ht="25.5">
      <c r="A2572" s="5" t="s">
        <v>8135</v>
      </c>
      <c r="B2572" s="5" t="s">
        <v>1821</v>
      </c>
      <c r="C2572" s="5" t="s">
        <v>1822</v>
      </c>
      <c r="D2572" s="5" t="s">
        <v>118</v>
      </c>
      <c r="E2572" s="5" t="s">
        <v>2787</v>
      </c>
      <c r="F2572" s="5" t="s">
        <v>2758</v>
      </c>
      <c r="G2572" s="5">
        <v>1</v>
      </c>
      <c r="H2572" s="5" t="s">
        <v>2864</v>
      </c>
      <c r="I2572" s="5" t="str">
        <f>IF(INDEX(Manual_Review!$Q$6:$Q$238,U2572)="","",INDEX(Manual_Review!$Q$6:$Q$238,U2572))</f>
        <v/>
      </c>
      <c r="J2572" s="5" t="str">
        <f t="shared" si="80"/>
        <v>AI provisional</v>
      </c>
      <c r="K2572" s="5" t="str">
        <f t="shared" si="81"/>
        <v>U</v>
      </c>
      <c r="L2572" s="5" t="s">
        <v>1829</v>
      </c>
      <c r="M2572" s="5" t="s">
        <v>8132</v>
      </c>
      <c r="N2572" s="5" t="s">
        <v>8124</v>
      </c>
      <c r="O2572" s="5" t="s">
        <v>2877</v>
      </c>
      <c r="P2572" s="5" t="s">
        <v>2858</v>
      </c>
      <c r="Q2572" s="11">
        <v>46306.5</v>
      </c>
      <c r="R2572" s="6"/>
      <c r="S2572" s="6"/>
      <c r="T2572" s="6"/>
      <c r="U2572" s="5">
        <f>MATCH(B2572,Manual_Review!$A$6:$A$238,0)</f>
        <v>161</v>
      </c>
      <c r="V2572" s="5" t="str">
        <f>IF(INDEX(Manual_Review!$G$6:$G$238,U2572)="","",INDEX(Manual_Review!$G$6:$G$238,U2572))</f>
        <v/>
      </c>
      <c r="W2572" s="11" t="str">
        <f>IF(INDEX(Manual_Review!$H$6:$H$238,U2572)="","",INDEX(Manual_Review!$H$6:$H$238,U2572))</f>
        <v/>
      </c>
      <c r="X2572" s="5" t="str">
        <f>IF(INDEX(Manual_Review!$I$6:$I$238,U2572)="","",INDEX(Manual_Review!$I$6:$I$238,U2572))</f>
        <v/>
      </c>
      <c r="Y2572" s="5" t="s">
        <v>2859</v>
      </c>
    </row>
    <row r="2573" spans="1:25" ht="25.5">
      <c r="A2573" s="5" t="s">
        <v>8136</v>
      </c>
      <c r="B2573" s="5" t="s">
        <v>1821</v>
      </c>
      <c r="C2573" s="5" t="s">
        <v>1822</v>
      </c>
      <c r="D2573" s="5" t="s">
        <v>118</v>
      </c>
      <c r="E2573" s="5" t="s">
        <v>2788</v>
      </c>
      <c r="F2573" s="5" t="s">
        <v>2758</v>
      </c>
      <c r="G2573" s="5">
        <v>1</v>
      </c>
      <c r="H2573" s="5" t="s">
        <v>2864</v>
      </c>
      <c r="I2573" s="5" t="str">
        <f>IF(INDEX(Manual_Review!$R$6:$R$238,U2573)="","",INDEX(Manual_Review!$R$6:$R$238,U2573))</f>
        <v/>
      </c>
      <c r="J2573" s="5" t="str">
        <f t="shared" si="80"/>
        <v>AI provisional</v>
      </c>
      <c r="K2573" s="5" t="str">
        <f t="shared" si="81"/>
        <v>U</v>
      </c>
      <c r="L2573" s="5" t="s">
        <v>1829</v>
      </c>
      <c r="M2573" s="5" t="s">
        <v>8137</v>
      </c>
      <c r="N2573" s="5" t="s">
        <v>8124</v>
      </c>
      <c r="O2573" s="5" t="s">
        <v>2880</v>
      </c>
      <c r="P2573" s="5" t="s">
        <v>2858</v>
      </c>
      <c r="Q2573" s="11">
        <v>46306.5</v>
      </c>
      <c r="R2573" s="6"/>
      <c r="S2573" s="6"/>
      <c r="T2573" s="6"/>
      <c r="U2573" s="5">
        <f>MATCH(B2573,Manual_Review!$A$6:$A$238,0)</f>
        <v>161</v>
      </c>
      <c r="V2573" s="5" t="str">
        <f>IF(INDEX(Manual_Review!$G$6:$G$238,U2573)="","",INDEX(Manual_Review!$G$6:$G$238,U2573))</f>
        <v/>
      </c>
      <c r="W2573" s="11" t="str">
        <f>IF(INDEX(Manual_Review!$H$6:$H$238,U2573)="","",INDEX(Manual_Review!$H$6:$H$238,U2573))</f>
        <v/>
      </c>
      <c r="X2573" s="5" t="str">
        <f>IF(INDEX(Manual_Review!$I$6:$I$238,U2573)="","",INDEX(Manual_Review!$I$6:$I$238,U2573))</f>
        <v/>
      </c>
      <c r="Y2573" s="5" t="s">
        <v>2859</v>
      </c>
    </row>
    <row r="2574" spans="1:25" ht="25.5">
      <c r="A2574" s="5" t="s">
        <v>8138</v>
      </c>
      <c r="B2574" s="5" t="s">
        <v>1821</v>
      </c>
      <c r="C2574" s="5" t="s">
        <v>1822</v>
      </c>
      <c r="D2574" s="5" t="s">
        <v>118</v>
      </c>
      <c r="E2574" s="5" t="s">
        <v>2789</v>
      </c>
      <c r="F2574" s="5" t="s">
        <v>2758</v>
      </c>
      <c r="G2574" s="5">
        <v>1</v>
      </c>
      <c r="H2574" s="5" t="s">
        <v>2854</v>
      </c>
      <c r="I2574" s="5" t="str">
        <f>IF(INDEX(Manual_Review!$S$6:$S$238,U2574)="","",INDEX(Manual_Review!$S$6:$S$238,U2574))</f>
        <v/>
      </c>
      <c r="J2574" s="5" t="str">
        <f t="shared" si="80"/>
        <v>AI provisional</v>
      </c>
      <c r="K2574" s="5" t="str">
        <f t="shared" si="81"/>
        <v>Y</v>
      </c>
      <c r="L2574" s="5" t="s">
        <v>1829</v>
      </c>
      <c r="M2574" s="5" t="s">
        <v>8139</v>
      </c>
      <c r="N2574" s="5" t="s">
        <v>8124</v>
      </c>
      <c r="O2574" s="5" t="s">
        <v>3178</v>
      </c>
      <c r="P2574" s="5" t="s">
        <v>2858</v>
      </c>
      <c r="Q2574" s="11">
        <v>46306.5</v>
      </c>
      <c r="R2574" s="6"/>
      <c r="S2574" s="6"/>
      <c r="T2574" s="6"/>
      <c r="U2574" s="5">
        <f>MATCH(B2574,Manual_Review!$A$6:$A$238,0)</f>
        <v>161</v>
      </c>
      <c r="V2574" s="5" t="str">
        <f>IF(INDEX(Manual_Review!$G$6:$G$238,U2574)="","",INDEX(Manual_Review!$G$6:$G$238,U2574))</f>
        <v/>
      </c>
      <c r="W2574" s="11" t="str">
        <f>IF(INDEX(Manual_Review!$H$6:$H$238,U2574)="","",INDEX(Manual_Review!$H$6:$H$238,U2574))</f>
        <v/>
      </c>
      <c r="X2574" s="5" t="str">
        <f>IF(INDEX(Manual_Review!$I$6:$I$238,U2574)="","",INDEX(Manual_Review!$I$6:$I$238,U2574))</f>
        <v/>
      </c>
      <c r="Y2574" s="5" t="s">
        <v>2859</v>
      </c>
    </row>
    <row r="2575" spans="1:25" ht="25.5">
      <c r="A2575" s="5" t="s">
        <v>8140</v>
      </c>
      <c r="B2575" s="5" t="s">
        <v>1821</v>
      </c>
      <c r="C2575" s="5" t="s">
        <v>1822</v>
      </c>
      <c r="D2575" s="5" t="s">
        <v>118</v>
      </c>
      <c r="E2575" s="5" t="s">
        <v>2790</v>
      </c>
      <c r="F2575" s="5" t="s">
        <v>2760</v>
      </c>
      <c r="G2575" s="5">
        <v>1</v>
      </c>
      <c r="H2575" s="5" t="s">
        <v>2854</v>
      </c>
      <c r="I2575" s="5" t="str">
        <f>IF(INDEX(Manual_Review!$T$6:$T$238,U2575)="","",INDEX(Manual_Review!$T$6:$T$238,U2575))</f>
        <v/>
      </c>
      <c r="J2575" s="5" t="str">
        <f t="shared" si="80"/>
        <v>AI provisional</v>
      </c>
      <c r="K2575" s="5" t="str">
        <f t="shared" si="81"/>
        <v>Y</v>
      </c>
      <c r="L2575" s="5" t="s">
        <v>1829</v>
      </c>
      <c r="M2575" s="5" t="s">
        <v>8141</v>
      </c>
      <c r="N2575" s="5" t="s">
        <v>8124</v>
      </c>
      <c r="O2575" s="5" t="s">
        <v>2976</v>
      </c>
      <c r="P2575" s="5" t="s">
        <v>2858</v>
      </c>
      <c r="Q2575" s="11">
        <v>46306.5</v>
      </c>
      <c r="R2575" s="6"/>
      <c r="S2575" s="6"/>
      <c r="T2575" s="6"/>
      <c r="U2575" s="5">
        <f>MATCH(B2575,Manual_Review!$A$6:$A$238,0)</f>
        <v>161</v>
      </c>
      <c r="V2575" s="5" t="str">
        <f>IF(INDEX(Manual_Review!$G$6:$G$238,U2575)="","",INDEX(Manual_Review!$G$6:$G$238,U2575))</f>
        <v/>
      </c>
      <c r="W2575" s="11" t="str">
        <f>IF(INDEX(Manual_Review!$H$6:$H$238,U2575)="","",INDEX(Manual_Review!$H$6:$H$238,U2575))</f>
        <v/>
      </c>
      <c r="X2575" s="5" t="str">
        <f>IF(INDEX(Manual_Review!$I$6:$I$238,U2575)="","",INDEX(Manual_Review!$I$6:$I$238,U2575))</f>
        <v/>
      </c>
      <c r="Y2575" s="5" t="s">
        <v>2859</v>
      </c>
    </row>
    <row r="2576" spans="1:25" ht="25.5">
      <c r="A2576" s="5" t="s">
        <v>8142</v>
      </c>
      <c r="B2576" s="5" t="s">
        <v>1821</v>
      </c>
      <c r="C2576" s="5" t="s">
        <v>1822</v>
      </c>
      <c r="D2576" s="5" t="s">
        <v>118</v>
      </c>
      <c r="E2576" s="5" t="s">
        <v>2791</v>
      </c>
      <c r="F2576" s="5" t="s">
        <v>2760</v>
      </c>
      <c r="G2576" s="5">
        <v>1</v>
      </c>
      <c r="H2576" s="5" t="s">
        <v>2864</v>
      </c>
      <c r="I2576" s="5" t="str">
        <f>IF(INDEX(Manual_Review!$U$6:$U$238,U2576)="","",INDEX(Manual_Review!$U$6:$U$238,U2576))</f>
        <v/>
      </c>
      <c r="J2576" s="5" t="str">
        <f t="shared" si="80"/>
        <v>AI provisional</v>
      </c>
      <c r="K2576" s="5" t="str">
        <f t="shared" si="81"/>
        <v>U</v>
      </c>
      <c r="L2576" s="5" t="s">
        <v>1829</v>
      </c>
      <c r="M2576" s="5" t="s">
        <v>8143</v>
      </c>
      <c r="N2576" s="5" t="s">
        <v>8124</v>
      </c>
      <c r="O2576" s="5" t="s">
        <v>2888</v>
      </c>
      <c r="P2576" s="5" t="s">
        <v>2858</v>
      </c>
      <c r="Q2576" s="11">
        <v>46306.5</v>
      </c>
      <c r="R2576" s="6"/>
      <c r="S2576" s="6"/>
      <c r="T2576" s="6"/>
      <c r="U2576" s="5">
        <f>MATCH(B2576,Manual_Review!$A$6:$A$238,0)</f>
        <v>161</v>
      </c>
      <c r="V2576" s="5" t="str">
        <f>IF(INDEX(Manual_Review!$G$6:$G$238,U2576)="","",INDEX(Manual_Review!$G$6:$G$238,U2576))</f>
        <v/>
      </c>
      <c r="W2576" s="11" t="str">
        <f>IF(INDEX(Manual_Review!$H$6:$H$238,U2576)="","",INDEX(Manual_Review!$H$6:$H$238,U2576))</f>
        <v/>
      </c>
      <c r="X2576" s="5" t="str">
        <f>IF(INDEX(Manual_Review!$I$6:$I$238,U2576)="","",INDEX(Manual_Review!$I$6:$I$238,U2576))</f>
        <v/>
      </c>
      <c r="Y2576" s="5" t="s">
        <v>2859</v>
      </c>
    </row>
    <row r="2577" spans="1:25" ht="25.5">
      <c r="A2577" s="5" t="s">
        <v>8144</v>
      </c>
      <c r="B2577" s="5" t="s">
        <v>1821</v>
      </c>
      <c r="C2577" s="5" t="s">
        <v>1822</v>
      </c>
      <c r="D2577" s="5" t="s">
        <v>118</v>
      </c>
      <c r="E2577" s="5" t="s">
        <v>2792</v>
      </c>
      <c r="F2577" s="5" t="s">
        <v>2762</v>
      </c>
      <c r="G2577" s="5">
        <v>1</v>
      </c>
      <c r="H2577" s="5" t="s">
        <v>2854</v>
      </c>
      <c r="I2577" s="5" t="str">
        <f>IF(INDEX(Manual_Review!$V$6:$V$238,U2577)="","",INDEX(Manual_Review!$V$6:$V$238,U2577))</f>
        <v/>
      </c>
      <c r="J2577" s="5" t="str">
        <f t="shared" si="80"/>
        <v>AI provisional</v>
      </c>
      <c r="K2577" s="5" t="str">
        <f t="shared" si="81"/>
        <v>Y</v>
      </c>
      <c r="L2577" s="5" t="s">
        <v>1829</v>
      </c>
      <c r="M2577" s="5" t="s">
        <v>8145</v>
      </c>
      <c r="N2577" s="5" t="s">
        <v>8124</v>
      </c>
      <c r="O2577" s="5" t="s">
        <v>3152</v>
      </c>
      <c r="P2577" s="5" t="s">
        <v>2858</v>
      </c>
      <c r="Q2577" s="11">
        <v>46306.5</v>
      </c>
      <c r="R2577" s="6"/>
      <c r="S2577" s="6"/>
      <c r="T2577" s="6"/>
      <c r="U2577" s="5">
        <f>MATCH(B2577,Manual_Review!$A$6:$A$238,0)</f>
        <v>161</v>
      </c>
      <c r="V2577" s="5" t="str">
        <f>IF(INDEX(Manual_Review!$G$6:$G$238,U2577)="","",INDEX(Manual_Review!$G$6:$G$238,U2577))</f>
        <v/>
      </c>
      <c r="W2577" s="11" t="str">
        <f>IF(INDEX(Manual_Review!$H$6:$H$238,U2577)="","",INDEX(Manual_Review!$H$6:$H$238,U2577))</f>
        <v/>
      </c>
      <c r="X2577" s="5" t="str">
        <f>IF(INDEX(Manual_Review!$I$6:$I$238,U2577)="","",INDEX(Manual_Review!$I$6:$I$238,U2577))</f>
        <v/>
      </c>
      <c r="Y2577" s="5" t="s">
        <v>2859</v>
      </c>
    </row>
    <row r="2578" spans="1:25" ht="25.5">
      <c r="A2578" s="5" t="s">
        <v>8146</v>
      </c>
      <c r="B2578" s="5" t="s">
        <v>1821</v>
      </c>
      <c r="C2578" s="5" t="s">
        <v>1822</v>
      </c>
      <c r="D2578" s="5" t="s">
        <v>118</v>
      </c>
      <c r="E2578" s="5" t="s">
        <v>2793</v>
      </c>
      <c r="F2578" s="5" t="s">
        <v>2762</v>
      </c>
      <c r="G2578" s="5">
        <v>1</v>
      </c>
      <c r="H2578" s="5" t="s">
        <v>2864</v>
      </c>
      <c r="I2578" s="5" t="str">
        <f>IF(INDEX(Manual_Review!$W$6:$W$238,U2578)="","",INDEX(Manual_Review!$W$6:$W$238,U2578))</f>
        <v/>
      </c>
      <c r="J2578" s="5" t="str">
        <f t="shared" si="80"/>
        <v>AI provisional</v>
      </c>
      <c r="K2578" s="5" t="str">
        <f t="shared" si="81"/>
        <v>U</v>
      </c>
      <c r="L2578" s="5" t="s">
        <v>1829</v>
      </c>
      <c r="M2578" s="5" t="s">
        <v>8147</v>
      </c>
      <c r="N2578" s="5" t="s">
        <v>8124</v>
      </c>
      <c r="O2578" s="5" t="s">
        <v>2893</v>
      </c>
      <c r="P2578" s="5" t="s">
        <v>2858</v>
      </c>
      <c r="Q2578" s="11">
        <v>46306.5</v>
      </c>
      <c r="R2578" s="6"/>
      <c r="S2578" s="6"/>
      <c r="T2578" s="6"/>
      <c r="U2578" s="5">
        <f>MATCH(B2578,Manual_Review!$A$6:$A$238,0)</f>
        <v>161</v>
      </c>
      <c r="V2578" s="5" t="str">
        <f>IF(INDEX(Manual_Review!$G$6:$G$238,U2578)="","",INDEX(Manual_Review!$G$6:$G$238,U2578))</f>
        <v/>
      </c>
      <c r="W2578" s="11" t="str">
        <f>IF(INDEX(Manual_Review!$H$6:$H$238,U2578)="","",INDEX(Manual_Review!$H$6:$H$238,U2578))</f>
        <v/>
      </c>
      <c r="X2578" s="5" t="str">
        <f>IF(INDEX(Manual_Review!$I$6:$I$238,U2578)="","",INDEX(Manual_Review!$I$6:$I$238,U2578))</f>
        <v/>
      </c>
      <c r="Y2578" s="5" t="s">
        <v>2859</v>
      </c>
    </row>
    <row r="2579" spans="1:25" ht="25.5">
      <c r="A2579" s="5" t="s">
        <v>8148</v>
      </c>
      <c r="B2579" s="5" t="s">
        <v>1821</v>
      </c>
      <c r="C2579" s="5" t="s">
        <v>1822</v>
      </c>
      <c r="D2579" s="5" t="s">
        <v>118</v>
      </c>
      <c r="E2579" s="5" t="s">
        <v>2794</v>
      </c>
      <c r="F2579" s="5" t="s">
        <v>2764</v>
      </c>
      <c r="G2579" s="5">
        <v>1</v>
      </c>
      <c r="H2579" s="5" t="s">
        <v>2864</v>
      </c>
      <c r="I2579" s="5" t="str">
        <f>IF(INDEX(Manual_Review!$X$6:$X$238,U2579)="","",INDEX(Manual_Review!$X$6:$X$238,U2579))</f>
        <v/>
      </c>
      <c r="J2579" s="5" t="str">
        <f t="shared" si="80"/>
        <v>AI provisional</v>
      </c>
      <c r="K2579" s="5" t="str">
        <f t="shared" si="81"/>
        <v>U</v>
      </c>
      <c r="L2579" s="5" t="s">
        <v>1829</v>
      </c>
      <c r="M2579" s="5" t="s">
        <v>8134</v>
      </c>
      <c r="N2579" s="5" t="s">
        <v>8124</v>
      </c>
      <c r="O2579" s="5" t="s">
        <v>2895</v>
      </c>
      <c r="P2579" s="5" t="s">
        <v>2858</v>
      </c>
      <c r="Q2579" s="11">
        <v>46306.5</v>
      </c>
      <c r="R2579" s="6"/>
      <c r="S2579" s="6"/>
      <c r="T2579" s="6"/>
      <c r="U2579" s="5">
        <f>MATCH(B2579,Manual_Review!$A$6:$A$238,0)</f>
        <v>161</v>
      </c>
      <c r="V2579" s="5" t="str">
        <f>IF(INDEX(Manual_Review!$G$6:$G$238,U2579)="","",INDEX(Manual_Review!$G$6:$G$238,U2579))</f>
        <v/>
      </c>
      <c r="W2579" s="11" t="str">
        <f>IF(INDEX(Manual_Review!$H$6:$H$238,U2579)="","",INDEX(Manual_Review!$H$6:$H$238,U2579))</f>
        <v/>
      </c>
      <c r="X2579" s="5" t="str">
        <f>IF(INDEX(Manual_Review!$I$6:$I$238,U2579)="","",INDEX(Manual_Review!$I$6:$I$238,U2579))</f>
        <v/>
      </c>
      <c r="Y2579" s="5" t="s">
        <v>2859</v>
      </c>
    </row>
    <row r="2580" spans="1:25" ht="25.5">
      <c r="A2580" s="5" t="s">
        <v>8149</v>
      </c>
      <c r="B2580" s="5" t="s">
        <v>1821</v>
      </c>
      <c r="C2580" s="5" t="s">
        <v>1822</v>
      </c>
      <c r="D2580" s="5" t="s">
        <v>118</v>
      </c>
      <c r="E2580" s="5" t="s">
        <v>2795</v>
      </c>
      <c r="F2580" s="5" t="s">
        <v>2764</v>
      </c>
      <c r="G2580" s="5">
        <v>1</v>
      </c>
      <c r="H2580" s="5" t="s">
        <v>2864</v>
      </c>
      <c r="I2580" s="5" t="str">
        <f>IF(INDEX(Manual_Review!$Y$6:$Y$238,U2580)="","",INDEX(Manual_Review!$Y$6:$Y$238,U2580))</f>
        <v/>
      </c>
      <c r="J2580" s="5" t="str">
        <f t="shared" si="80"/>
        <v>AI provisional</v>
      </c>
      <c r="K2580" s="5" t="str">
        <f t="shared" si="81"/>
        <v>U</v>
      </c>
      <c r="L2580" s="5" t="s">
        <v>1829</v>
      </c>
      <c r="M2580" s="5" t="s">
        <v>8134</v>
      </c>
      <c r="N2580" s="5" t="s">
        <v>8124</v>
      </c>
      <c r="O2580" s="5" t="s">
        <v>2897</v>
      </c>
      <c r="P2580" s="5" t="s">
        <v>2858</v>
      </c>
      <c r="Q2580" s="11">
        <v>46306.5</v>
      </c>
      <c r="R2580" s="6"/>
      <c r="S2580" s="6"/>
      <c r="T2580" s="6"/>
      <c r="U2580" s="5">
        <f>MATCH(B2580,Manual_Review!$A$6:$A$238,0)</f>
        <v>161</v>
      </c>
      <c r="V2580" s="5" t="str">
        <f>IF(INDEX(Manual_Review!$G$6:$G$238,U2580)="","",INDEX(Manual_Review!$G$6:$G$238,U2580))</f>
        <v/>
      </c>
      <c r="W2580" s="11" t="str">
        <f>IF(INDEX(Manual_Review!$H$6:$H$238,U2580)="","",INDEX(Manual_Review!$H$6:$H$238,U2580))</f>
        <v/>
      </c>
      <c r="X2580" s="5" t="str">
        <f>IF(INDEX(Manual_Review!$I$6:$I$238,U2580)="","",INDEX(Manual_Review!$I$6:$I$238,U2580))</f>
        <v/>
      </c>
      <c r="Y2580" s="5" t="s">
        <v>2859</v>
      </c>
    </row>
    <row r="2581" spans="1:25" ht="25.5">
      <c r="A2581" s="5" t="s">
        <v>8150</v>
      </c>
      <c r="B2581" s="5" t="s">
        <v>1821</v>
      </c>
      <c r="C2581" s="5" t="s">
        <v>1822</v>
      </c>
      <c r="D2581" s="5" t="s">
        <v>118</v>
      </c>
      <c r="E2581" s="5" t="s">
        <v>2796</v>
      </c>
      <c r="F2581" s="5" t="s">
        <v>2764</v>
      </c>
      <c r="G2581" s="5">
        <v>1</v>
      </c>
      <c r="H2581" s="5" t="s">
        <v>2864</v>
      </c>
      <c r="I2581" s="5" t="str">
        <f>IF(INDEX(Manual_Review!$Z$6:$Z$238,U2581)="","",INDEX(Manual_Review!$Z$6:$Z$238,U2581))</f>
        <v/>
      </c>
      <c r="J2581" s="5" t="str">
        <f t="shared" si="80"/>
        <v>AI provisional</v>
      </c>
      <c r="K2581" s="5" t="str">
        <f t="shared" si="81"/>
        <v>U</v>
      </c>
      <c r="L2581" s="5" t="s">
        <v>1829</v>
      </c>
      <c r="M2581" s="5" t="s">
        <v>8139</v>
      </c>
      <c r="N2581" s="5" t="s">
        <v>8124</v>
      </c>
      <c r="O2581" s="5" t="s">
        <v>2899</v>
      </c>
      <c r="P2581" s="5" t="s">
        <v>2858</v>
      </c>
      <c r="Q2581" s="11">
        <v>46306.5</v>
      </c>
      <c r="R2581" s="6"/>
      <c r="S2581" s="6"/>
      <c r="T2581" s="6"/>
      <c r="U2581" s="5">
        <f>MATCH(B2581,Manual_Review!$A$6:$A$238,0)</f>
        <v>161</v>
      </c>
      <c r="V2581" s="5" t="str">
        <f>IF(INDEX(Manual_Review!$G$6:$G$238,U2581)="","",INDEX(Manual_Review!$G$6:$G$238,U2581))</f>
        <v/>
      </c>
      <c r="W2581" s="11" t="str">
        <f>IF(INDEX(Manual_Review!$H$6:$H$238,U2581)="","",INDEX(Manual_Review!$H$6:$H$238,U2581))</f>
        <v/>
      </c>
      <c r="X2581" s="5" t="str">
        <f>IF(INDEX(Manual_Review!$I$6:$I$238,U2581)="","",INDEX(Manual_Review!$I$6:$I$238,U2581))</f>
        <v/>
      </c>
      <c r="Y2581" s="5" t="s">
        <v>2859</v>
      </c>
    </row>
    <row r="2582" spans="1:25" ht="38.25">
      <c r="A2582" s="5" t="s">
        <v>8151</v>
      </c>
      <c r="B2582" s="5" t="s">
        <v>1831</v>
      </c>
      <c r="C2582" s="5" t="s">
        <v>1832</v>
      </c>
      <c r="D2582" s="5" t="s">
        <v>118</v>
      </c>
      <c r="E2582" s="5" t="s">
        <v>2781</v>
      </c>
      <c r="F2582" s="5" t="s">
        <v>2754</v>
      </c>
      <c r="G2582" s="5">
        <v>1</v>
      </c>
      <c r="H2582" s="5" t="s">
        <v>2854</v>
      </c>
      <c r="I2582" s="5" t="str">
        <f>IF(INDEX(Manual_Review!$K$6:$K$238,U2582)="","",INDEX(Manual_Review!$K$6:$K$238,U2582))</f>
        <v/>
      </c>
      <c r="J2582" s="5" t="str">
        <f t="shared" si="80"/>
        <v>AI provisional</v>
      </c>
      <c r="K2582" s="5" t="str">
        <f t="shared" si="81"/>
        <v>Y</v>
      </c>
      <c r="L2582" s="5" t="s">
        <v>1835</v>
      </c>
      <c r="M2582" s="5" t="s">
        <v>8152</v>
      </c>
      <c r="N2582" s="5" t="s">
        <v>8153</v>
      </c>
      <c r="O2582" s="5" t="s">
        <v>2857</v>
      </c>
      <c r="P2582" s="5" t="s">
        <v>2858</v>
      </c>
      <c r="Q2582" s="11">
        <v>46306.5</v>
      </c>
      <c r="R2582" s="6"/>
      <c r="S2582" s="6"/>
      <c r="T2582" s="6"/>
      <c r="U2582" s="5">
        <f>MATCH(B2582,Manual_Review!$A$6:$A$238,0)</f>
        <v>162</v>
      </c>
      <c r="V2582" s="5" t="str">
        <f>IF(INDEX(Manual_Review!$G$6:$G$238,U2582)="","",INDEX(Manual_Review!$G$6:$G$238,U2582))</f>
        <v/>
      </c>
      <c r="W2582" s="11" t="str">
        <f>IF(INDEX(Manual_Review!$H$6:$H$238,U2582)="","",INDEX(Manual_Review!$H$6:$H$238,U2582))</f>
        <v/>
      </c>
      <c r="X2582" s="5" t="str">
        <f>IF(INDEX(Manual_Review!$I$6:$I$238,U2582)="","",INDEX(Manual_Review!$I$6:$I$238,U2582))</f>
        <v/>
      </c>
      <c r="Y2582" s="5" t="s">
        <v>2859</v>
      </c>
    </row>
    <row r="2583" spans="1:25" ht="38.25">
      <c r="A2583" s="5" t="s">
        <v>8154</v>
      </c>
      <c r="B2583" s="5" t="s">
        <v>1831</v>
      </c>
      <c r="C2583" s="5" t="s">
        <v>1832</v>
      </c>
      <c r="D2583" s="5" t="s">
        <v>118</v>
      </c>
      <c r="E2583" s="5" t="s">
        <v>2782</v>
      </c>
      <c r="F2583" s="5" t="s">
        <v>2754</v>
      </c>
      <c r="G2583" s="5">
        <v>1</v>
      </c>
      <c r="H2583" s="5" t="s">
        <v>2854</v>
      </c>
      <c r="I2583" s="5" t="str">
        <f>IF(INDEX(Manual_Review!$L$6:$L$238,U2583)="","",INDEX(Manual_Review!$L$6:$L$238,U2583))</f>
        <v/>
      </c>
      <c r="J2583" s="5" t="str">
        <f t="shared" si="80"/>
        <v>AI provisional</v>
      </c>
      <c r="K2583" s="5" t="str">
        <f t="shared" si="81"/>
        <v>Y</v>
      </c>
      <c r="L2583" s="5" t="s">
        <v>1835</v>
      </c>
      <c r="M2583" s="5" t="s">
        <v>8155</v>
      </c>
      <c r="N2583" s="5" t="s">
        <v>8153</v>
      </c>
      <c r="O2583" s="5" t="s">
        <v>2862</v>
      </c>
      <c r="P2583" s="5" t="s">
        <v>2858</v>
      </c>
      <c r="Q2583" s="11">
        <v>46306.5</v>
      </c>
      <c r="R2583" s="6"/>
      <c r="S2583" s="6"/>
      <c r="T2583" s="6"/>
      <c r="U2583" s="5">
        <f>MATCH(B2583,Manual_Review!$A$6:$A$238,0)</f>
        <v>162</v>
      </c>
      <c r="V2583" s="5" t="str">
        <f>IF(INDEX(Manual_Review!$G$6:$G$238,U2583)="","",INDEX(Manual_Review!$G$6:$G$238,U2583))</f>
        <v/>
      </c>
      <c r="W2583" s="11" t="str">
        <f>IF(INDEX(Manual_Review!$H$6:$H$238,U2583)="","",INDEX(Manual_Review!$H$6:$H$238,U2583))</f>
        <v/>
      </c>
      <c r="X2583" s="5" t="str">
        <f>IF(INDEX(Manual_Review!$I$6:$I$238,U2583)="","",INDEX(Manual_Review!$I$6:$I$238,U2583))</f>
        <v/>
      </c>
      <c r="Y2583" s="5" t="s">
        <v>2859</v>
      </c>
    </row>
    <row r="2584" spans="1:25" ht="38.25">
      <c r="A2584" s="5" t="s">
        <v>8156</v>
      </c>
      <c r="B2584" s="5" t="s">
        <v>1831</v>
      </c>
      <c r="C2584" s="5" t="s">
        <v>1832</v>
      </c>
      <c r="D2584" s="5" t="s">
        <v>118</v>
      </c>
      <c r="E2584" s="5" t="s">
        <v>2783</v>
      </c>
      <c r="F2584" s="5" t="s">
        <v>2754</v>
      </c>
      <c r="G2584" s="5">
        <v>1</v>
      </c>
      <c r="H2584" s="5" t="s">
        <v>2908</v>
      </c>
      <c r="I2584" s="5" t="str">
        <f>IF(INDEX(Manual_Review!$M$6:$M$238,U2584)="","",INDEX(Manual_Review!$M$6:$M$238,U2584))</f>
        <v/>
      </c>
      <c r="J2584" s="5" t="str">
        <f t="shared" si="80"/>
        <v>AI provisional</v>
      </c>
      <c r="K2584" s="5" t="str">
        <f t="shared" si="81"/>
        <v>X</v>
      </c>
      <c r="L2584" s="5" t="s">
        <v>1835</v>
      </c>
      <c r="M2584" s="5" t="s">
        <v>8157</v>
      </c>
      <c r="N2584" s="5" t="s">
        <v>8153</v>
      </c>
      <c r="O2584" s="5" t="s">
        <v>8158</v>
      </c>
      <c r="P2584" s="5" t="s">
        <v>2858</v>
      </c>
      <c r="Q2584" s="11">
        <v>46306.5</v>
      </c>
      <c r="R2584" s="6"/>
      <c r="S2584" s="6"/>
      <c r="T2584" s="6"/>
      <c r="U2584" s="5">
        <f>MATCH(B2584,Manual_Review!$A$6:$A$238,0)</f>
        <v>162</v>
      </c>
      <c r="V2584" s="5" t="str">
        <f>IF(INDEX(Manual_Review!$G$6:$G$238,U2584)="","",INDEX(Manual_Review!$G$6:$G$238,U2584))</f>
        <v/>
      </c>
      <c r="W2584" s="11" t="str">
        <f>IF(INDEX(Manual_Review!$H$6:$H$238,U2584)="","",INDEX(Manual_Review!$H$6:$H$238,U2584))</f>
        <v/>
      </c>
      <c r="X2584" s="5" t="str">
        <f>IF(INDEX(Manual_Review!$I$6:$I$238,U2584)="","",INDEX(Manual_Review!$I$6:$I$238,U2584))</f>
        <v/>
      </c>
      <c r="Y2584" s="5" t="s">
        <v>2859</v>
      </c>
    </row>
    <row r="2585" spans="1:25" ht="38.25">
      <c r="A2585" s="5" t="s">
        <v>8159</v>
      </c>
      <c r="B2585" s="5" t="s">
        <v>1831</v>
      </c>
      <c r="C2585" s="5" t="s">
        <v>1832</v>
      </c>
      <c r="D2585" s="5" t="s">
        <v>118</v>
      </c>
      <c r="E2585" s="5" t="s">
        <v>2784</v>
      </c>
      <c r="F2585" s="5" t="s">
        <v>2756</v>
      </c>
      <c r="G2585" s="5">
        <v>1</v>
      </c>
      <c r="H2585" s="5" t="s">
        <v>2854</v>
      </c>
      <c r="I2585" s="5" t="str">
        <f>IF(INDEX(Manual_Review!$N$6:$N$238,U2585)="","",INDEX(Manual_Review!$N$6:$N$238,U2585))</f>
        <v/>
      </c>
      <c r="J2585" s="5" t="str">
        <f t="shared" si="80"/>
        <v>AI provisional</v>
      </c>
      <c r="K2585" s="5" t="str">
        <f t="shared" si="81"/>
        <v>Y</v>
      </c>
      <c r="L2585" s="5" t="s">
        <v>1835</v>
      </c>
      <c r="M2585" s="5" t="s">
        <v>8160</v>
      </c>
      <c r="N2585" s="5" t="s">
        <v>8153</v>
      </c>
      <c r="O2585" s="5" t="s">
        <v>2963</v>
      </c>
      <c r="P2585" s="5" t="s">
        <v>2858</v>
      </c>
      <c r="Q2585" s="11">
        <v>46306.5</v>
      </c>
      <c r="R2585" s="6"/>
      <c r="S2585" s="6"/>
      <c r="T2585" s="6"/>
      <c r="U2585" s="5">
        <f>MATCH(B2585,Manual_Review!$A$6:$A$238,0)</f>
        <v>162</v>
      </c>
      <c r="V2585" s="5" t="str">
        <f>IF(INDEX(Manual_Review!$G$6:$G$238,U2585)="","",INDEX(Manual_Review!$G$6:$G$238,U2585))</f>
        <v/>
      </c>
      <c r="W2585" s="11" t="str">
        <f>IF(INDEX(Manual_Review!$H$6:$H$238,U2585)="","",INDEX(Manual_Review!$H$6:$H$238,U2585))</f>
        <v/>
      </c>
      <c r="X2585" s="5" t="str">
        <f>IF(INDEX(Manual_Review!$I$6:$I$238,U2585)="","",INDEX(Manual_Review!$I$6:$I$238,U2585))</f>
        <v/>
      </c>
      <c r="Y2585" s="5" t="s">
        <v>2859</v>
      </c>
    </row>
    <row r="2586" spans="1:25" ht="38.25">
      <c r="A2586" s="5" t="s">
        <v>8161</v>
      </c>
      <c r="B2586" s="5" t="s">
        <v>1831</v>
      </c>
      <c r="C2586" s="5" t="s">
        <v>1832</v>
      </c>
      <c r="D2586" s="5" t="s">
        <v>118</v>
      </c>
      <c r="E2586" s="5" t="s">
        <v>2785</v>
      </c>
      <c r="F2586" s="5" t="s">
        <v>2756</v>
      </c>
      <c r="G2586" s="5">
        <v>1</v>
      </c>
      <c r="H2586" s="5" t="s">
        <v>2864</v>
      </c>
      <c r="I2586" s="5" t="str">
        <f>IF(INDEX(Manual_Review!$O$6:$O$238,U2586)="","",INDEX(Manual_Review!$O$6:$O$238,U2586))</f>
        <v/>
      </c>
      <c r="J2586" s="5" t="str">
        <f t="shared" si="80"/>
        <v>AI provisional</v>
      </c>
      <c r="K2586" s="5" t="str">
        <f t="shared" si="81"/>
        <v>U</v>
      </c>
      <c r="L2586" s="5" t="s">
        <v>1835</v>
      </c>
      <c r="M2586" s="5" t="s">
        <v>8162</v>
      </c>
      <c r="N2586" s="5" t="s">
        <v>8153</v>
      </c>
      <c r="O2586" s="5" t="s">
        <v>2872</v>
      </c>
      <c r="P2586" s="5" t="s">
        <v>2858</v>
      </c>
      <c r="Q2586" s="11">
        <v>46306.5</v>
      </c>
      <c r="R2586" s="6"/>
      <c r="S2586" s="6"/>
      <c r="T2586" s="6"/>
      <c r="U2586" s="5">
        <f>MATCH(B2586,Manual_Review!$A$6:$A$238,0)</f>
        <v>162</v>
      </c>
      <c r="V2586" s="5" t="str">
        <f>IF(INDEX(Manual_Review!$G$6:$G$238,U2586)="","",INDEX(Manual_Review!$G$6:$G$238,U2586))</f>
        <v/>
      </c>
      <c r="W2586" s="11" t="str">
        <f>IF(INDEX(Manual_Review!$H$6:$H$238,U2586)="","",INDEX(Manual_Review!$H$6:$H$238,U2586))</f>
        <v/>
      </c>
      <c r="X2586" s="5" t="str">
        <f>IF(INDEX(Manual_Review!$I$6:$I$238,U2586)="","",INDEX(Manual_Review!$I$6:$I$238,U2586))</f>
        <v/>
      </c>
      <c r="Y2586" s="5" t="s">
        <v>2859</v>
      </c>
    </row>
    <row r="2587" spans="1:25" ht="38.25">
      <c r="A2587" s="5" t="s">
        <v>8163</v>
      </c>
      <c r="B2587" s="5" t="s">
        <v>1831</v>
      </c>
      <c r="C2587" s="5" t="s">
        <v>1832</v>
      </c>
      <c r="D2587" s="5" t="s">
        <v>118</v>
      </c>
      <c r="E2587" s="5" t="s">
        <v>2786</v>
      </c>
      <c r="F2587" s="5" t="s">
        <v>2756</v>
      </c>
      <c r="G2587" s="5">
        <v>1</v>
      </c>
      <c r="H2587" s="5" t="s">
        <v>2854</v>
      </c>
      <c r="I2587" s="5" t="str">
        <f>IF(INDEX(Manual_Review!$P$6:$P$238,U2587)="","",INDEX(Manual_Review!$P$6:$P$238,U2587))</f>
        <v/>
      </c>
      <c r="J2587" s="5" t="str">
        <f t="shared" si="80"/>
        <v>AI provisional</v>
      </c>
      <c r="K2587" s="5" t="str">
        <f t="shared" si="81"/>
        <v>Y</v>
      </c>
      <c r="L2587" s="5" t="s">
        <v>1835</v>
      </c>
      <c r="M2587" s="5" t="s">
        <v>8164</v>
      </c>
      <c r="N2587" s="5" t="s">
        <v>8153</v>
      </c>
      <c r="O2587" s="5" t="s">
        <v>5106</v>
      </c>
      <c r="P2587" s="5" t="s">
        <v>2858</v>
      </c>
      <c r="Q2587" s="11">
        <v>46306.5</v>
      </c>
      <c r="R2587" s="6"/>
      <c r="S2587" s="6"/>
      <c r="T2587" s="6"/>
      <c r="U2587" s="5">
        <f>MATCH(B2587,Manual_Review!$A$6:$A$238,0)</f>
        <v>162</v>
      </c>
      <c r="V2587" s="5" t="str">
        <f>IF(INDEX(Manual_Review!$G$6:$G$238,U2587)="","",INDEX(Manual_Review!$G$6:$G$238,U2587))</f>
        <v/>
      </c>
      <c r="W2587" s="11" t="str">
        <f>IF(INDEX(Manual_Review!$H$6:$H$238,U2587)="","",INDEX(Manual_Review!$H$6:$H$238,U2587))</f>
        <v/>
      </c>
      <c r="X2587" s="5" t="str">
        <f>IF(INDEX(Manual_Review!$I$6:$I$238,U2587)="","",INDEX(Manual_Review!$I$6:$I$238,U2587))</f>
        <v/>
      </c>
      <c r="Y2587" s="5" t="s">
        <v>2859</v>
      </c>
    </row>
    <row r="2588" spans="1:25" ht="38.25">
      <c r="A2588" s="5" t="s">
        <v>8165</v>
      </c>
      <c r="B2588" s="5" t="s">
        <v>1831</v>
      </c>
      <c r="C2588" s="5" t="s">
        <v>1832</v>
      </c>
      <c r="D2588" s="5" t="s">
        <v>118</v>
      </c>
      <c r="E2588" s="5" t="s">
        <v>2787</v>
      </c>
      <c r="F2588" s="5" t="s">
        <v>2758</v>
      </c>
      <c r="G2588" s="5">
        <v>1</v>
      </c>
      <c r="H2588" s="5" t="s">
        <v>2864</v>
      </c>
      <c r="I2588" s="5" t="str">
        <f>IF(INDEX(Manual_Review!$Q$6:$Q$238,U2588)="","",INDEX(Manual_Review!$Q$6:$Q$238,U2588))</f>
        <v/>
      </c>
      <c r="J2588" s="5" t="str">
        <f t="shared" si="80"/>
        <v>AI provisional</v>
      </c>
      <c r="K2588" s="5" t="str">
        <f t="shared" si="81"/>
        <v>U</v>
      </c>
      <c r="L2588" s="5" t="s">
        <v>1835</v>
      </c>
      <c r="M2588" s="5" t="s">
        <v>8166</v>
      </c>
      <c r="N2588" s="5" t="s">
        <v>8153</v>
      </c>
      <c r="O2588" s="5" t="s">
        <v>2877</v>
      </c>
      <c r="P2588" s="5" t="s">
        <v>2858</v>
      </c>
      <c r="Q2588" s="11">
        <v>46306.5</v>
      </c>
      <c r="R2588" s="6"/>
      <c r="S2588" s="6"/>
      <c r="T2588" s="6"/>
      <c r="U2588" s="5">
        <f>MATCH(B2588,Manual_Review!$A$6:$A$238,0)</f>
        <v>162</v>
      </c>
      <c r="V2588" s="5" t="str">
        <f>IF(INDEX(Manual_Review!$G$6:$G$238,U2588)="","",INDEX(Manual_Review!$G$6:$G$238,U2588))</f>
        <v/>
      </c>
      <c r="W2588" s="11" t="str">
        <f>IF(INDEX(Manual_Review!$H$6:$H$238,U2588)="","",INDEX(Manual_Review!$H$6:$H$238,U2588))</f>
        <v/>
      </c>
      <c r="X2588" s="5" t="str">
        <f>IF(INDEX(Manual_Review!$I$6:$I$238,U2588)="","",INDEX(Manual_Review!$I$6:$I$238,U2588))</f>
        <v/>
      </c>
      <c r="Y2588" s="5" t="s">
        <v>2859</v>
      </c>
    </row>
    <row r="2589" spans="1:25" ht="38.25">
      <c r="A2589" s="5" t="s">
        <v>8167</v>
      </c>
      <c r="B2589" s="5" t="s">
        <v>1831</v>
      </c>
      <c r="C2589" s="5" t="s">
        <v>1832</v>
      </c>
      <c r="D2589" s="5" t="s">
        <v>118</v>
      </c>
      <c r="E2589" s="5" t="s">
        <v>2788</v>
      </c>
      <c r="F2589" s="5" t="s">
        <v>2758</v>
      </c>
      <c r="G2589" s="5">
        <v>1</v>
      </c>
      <c r="H2589" s="5" t="s">
        <v>2854</v>
      </c>
      <c r="I2589" s="5" t="str">
        <f>IF(INDEX(Manual_Review!$R$6:$R$238,U2589)="","",INDEX(Manual_Review!$R$6:$R$238,U2589))</f>
        <v/>
      </c>
      <c r="J2589" s="5" t="str">
        <f t="shared" si="80"/>
        <v>AI provisional</v>
      </c>
      <c r="K2589" s="5" t="str">
        <f t="shared" si="81"/>
        <v>Y</v>
      </c>
      <c r="L2589" s="5" t="s">
        <v>1835</v>
      </c>
      <c r="M2589" s="5" t="s">
        <v>8168</v>
      </c>
      <c r="N2589" s="5" t="s">
        <v>8153</v>
      </c>
      <c r="O2589" s="5" t="s">
        <v>3067</v>
      </c>
      <c r="P2589" s="5" t="s">
        <v>2858</v>
      </c>
      <c r="Q2589" s="11">
        <v>46306.5</v>
      </c>
      <c r="R2589" s="6"/>
      <c r="S2589" s="6"/>
      <c r="T2589" s="6"/>
      <c r="U2589" s="5">
        <f>MATCH(B2589,Manual_Review!$A$6:$A$238,0)</f>
        <v>162</v>
      </c>
      <c r="V2589" s="5" t="str">
        <f>IF(INDEX(Manual_Review!$G$6:$G$238,U2589)="","",INDEX(Manual_Review!$G$6:$G$238,U2589))</f>
        <v/>
      </c>
      <c r="W2589" s="11" t="str">
        <f>IF(INDEX(Manual_Review!$H$6:$H$238,U2589)="","",INDEX(Manual_Review!$H$6:$H$238,U2589))</f>
        <v/>
      </c>
      <c r="X2589" s="5" t="str">
        <f>IF(INDEX(Manual_Review!$I$6:$I$238,U2589)="","",INDEX(Manual_Review!$I$6:$I$238,U2589))</f>
        <v/>
      </c>
      <c r="Y2589" s="5" t="s">
        <v>2859</v>
      </c>
    </row>
    <row r="2590" spans="1:25" ht="38.25">
      <c r="A2590" s="5" t="s">
        <v>8169</v>
      </c>
      <c r="B2590" s="5" t="s">
        <v>1831</v>
      </c>
      <c r="C2590" s="5" t="s">
        <v>1832</v>
      </c>
      <c r="D2590" s="5" t="s">
        <v>118</v>
      </c>
      <c r="E2590" s="5" t="s">
        <v>2789</v>
      </c>
      <c r="F2590" s="5" t="s">
        <v>2758</v>
      </c>
      <c r="G2590" s="5">
        <v>1</v>
      </c>
      <c r="H2590" s="5" t="s">
        <v>2854</v>
      </c>
      <c r="I2590" s="5" t="str">
        <f>IF(INDEX(Manual_Review!$S$6:$S$238,U2590)="","",INDEX(Manual_Review!$S$6:$S$238,U2590))</f>
        <v/>
      </c>
      <c r="J2590" s="5" t="str">
        <f t="shared" si="80"/>
        <v>AI provisional</v>
      </c>
      <c r="K2590" s="5" t="str">
        <f t="shared" si="81"/>
        <v>Y</v>
      </c>
      <c r="L2590" s="5" t="s">
        <v>1835</v>
      </c>
      <c r="M2590" s="5" t="s">
        <v>8170</v>
      </c>
      <c r="N2590" s="5" t="s">
        <v>8153</v>
      </c>
      <c r="O2590" s="5" t="s">
        <v>3178</v>
      </c>
      <c r="P2590" s="5" t="s">
        <v>2858</v>
      </c>
      <c r="Q2590" s="11">
        <v>46306.5</v>
      </c>
      <c r="R2590" s="6"/>
      <c r="S2590" s="6"/>
      <c r="T2590" s="6"/>
      <c r="U2590" s="5">
        <f>MATCH(B2590,Manual_Review!$A$6:$A$238,0)</f>
        <v>162</v>
      </c>
      <c r="V2590" s="5" t="str">
        <f>IF(INDEX(Manual_Review!$G$6:$G$238,U2590)="","",INDEX(Manual_Review!$G$6:$G$238,U2590))</f>
        <v/>
      </c>
      <c r="W2590" s="11" t="str">
        <f>IF(INDEX(Manual_Review!$H$6:$H$238,U2590)="","",INDEX(Manual_Review!$H$6:$H$238,U2590))</f>
        <v/>
      </c>
      <c r="X2590" s="5" t="str">
        <f>IF(INDEX(Manual_Review!$I$6:$I$238,U2590)="","",INDEX(Manual_Review!$I$6:$I$238,U2590))</f>
        <v/>
      </c>
      <c r="Y2590" s="5" t="s">
        <v>2859</v>
      </c>
    </row>
    <row r="2591" spans="1:25" ht="38.25">
      <c r="A2591" s="5" t="s">
        <v>8171</v>
      </c>
      <c r="B2591" s="5" t="s">
        <v>1831</v>
      </c>
      <c r="C2591" s="5" t="s">
        <v>1832</v>
      </c>
      <c r="D2591" s="5" t="s">
        <v>118</v>
      </c>
      <c r="E2591" s="5" t="s">
        <v>2790</v>
      </c>
      <c r="F2591" s="5" t="s">
        <v>2760</v>
      </c>
      <c r="G2591" s="5">
        <v>1</v>
      </c>
      <c r="H2591" s="5" t="s">
        <v>2864</v>
      </c>
      <c r="I2591" s="5" t="str">
        <f>IF(INDEX(Manual_Review!$T$6:$T$238,U2591)="","",INDEX(Manual_Review!$T$6:$T$238,U2591))</f>
        <v/>
      </c>
      <c r="J2591" s="5" t="str">
        <f t="shared" si="80"/>
        <v>AI provisional</v>
      </c>
      <c r="K2591" s="5" t="str">
        <f t="shared" si="81"/>
        <v>U</v>
      </c>
      <c r="L2591" s="5" t="s">
        <v>1835</v>
      </c>
      <c r="M2591" s="5" t="s">
        <v>8164</v>
      </c>
      <c r="N2591" s="5" t="s">
        <v>8153</v>
      </c>
      <c r="O2591" s="5" t="s">
        <v>2885</v>
      </c>
      <c r="P2591" s="5" t="s">
        <v>2858</v>
      </c>
      <c r="Q2591" s="11">
        <v>46306.5</v>
      </c>
      <c r="R2591" s="6"/>
      <c r="S2591" s="6"/>
      <c r="T2591" s="6"/>
      <c r="U2591" s="5">
        <f>MATCH(B2591,Manual_Review!$A$6:$A$238,0)</f>
        <v>162</v>
      </c>
      <c r="V2591" s="5" t="str">
        <f>IF(INDEX(Manual_Review!$G$6:$G$238,U2591)="","",INDEX(Manual_Review!$G$6:$G$238,U2591))</f>
        <v/>
      </c>
      <c r="W2591" s="11" t="str">
        <f>IF(INDEX(Manual_Review!$H$6:$H$238,U2591)="","",INDEX(Manual_Review!$H$6:$H$238,U2591))</f>
        <v/>
      </c>
      <c r="X2591" s="5" t="str">
        <f>IF(INDEX(Manual_Review!$I$6:$I$238,U2591)="","",INDEX(Manual_Review!$I$6:$I$238,U2591))</f>
        <v/>
      </c>
      <c r="Y2591" s="5" t="s">
        <v>2859</v>
      </c>
    </row>
    <row r="2592" spans="1:25" ht="38.25">
      <c r="A2592" s="5" t="s">
        <v>8172</v>
      </c>
      <c r="B2592" s="5" t="s">
        <v>1831</v>
      </c>
      <c r="C2592" s="5" t="s">
        <v>1832</v>
      </c>
      <c r="D2592" s="5" t="s">
        <v>118</v>
      </c>
      <c r="E2592" s="5" t="s">
        <v>2791</v>
      </c>
      <c r="F2592" s="5" t="s">
        <v>2760</v>
      </c>
      <c r="G2592" s="5">
        <v>1</v>
      </c>
      <c r="H2592" s="5" t="s">
        <v>2864</v>
      </c>
      <c r="I2592" s="5" t="str">
        <f>IF(INDEX(Manual_Review!$U$6:$U$238,U2592)="","",INDEX(Manual_Review!$U$6:$U$238,U2592))</f>
        <v/>
      </c>
      <c r="J2592" s="5" t="str">
        <f t="shared" si="80"/>
        <v>AI provisional</v>
      </c>
      <c r="K2592" s="5" t="str">
        <f t="shared" si="81"/>
        <v>U</v>
      </c>
      <c r="L2592" s="5" t="s">
        <v>1835</v>
      </c>
      <c r="M2592" s="5" t="s">
        <v>8166</v>
      </c>
      <c r="N2592" s="5" t="s">
        <v>8153</v>
      </c>
      <c r="O2592" s="5" t="s">
        <v>2888</v>
      </c>
      <c r="P2592" s="5" t="s">
        <v>2858</v>
      </c>
      <c r="Q2592" s="11">
        <v>46306.5</v>
      </c>
      <c r="R2592" s="6"/>
      <c r="S2592" s="6"/>
      <c r="T2592" s="6"/>
      <c r="U2592" s="5">
        <f>MATCH(B2592,Manual_Review!$A$6:$A$238,0)</f>
        <v>162</v>
      </c>
      <c r="V2592" s="5" t="str">
        <f>IF(INDEX(Manual_Review!$G$6:$G$238,U2592)="","",INDEX(Manual_Review!$G$6:$G$238,U2592))</f>
        <v/>
      </c>
      <c r="W2592" s="11" t="str">
        <f>IF(INDEX(Manual_Review!$H$6:$H$238,U2592)="","",INDEX(Manual_Review!$H$6:$H$238,U2592))</f>
        <v/>
      </c>
      <c r="X2592" s="5" t="str">
        <f>IF(INDEX(Manual_Review!$I$6:$I$238,U2592)="","",INDEX(Manual_Review!$I$6:$I$238,U2592))</f>
        <v/>
      </c>
      <c r="Y2592" s="5" t="s">
        <v>2859</v>
      </c>
    </row>
    <row r="2593" spans="1:25" ht="38.25">
      <c r="A2593" s="5" t="s">
        <v>8173</v>
      </c>
      <c r="B2593" s="5" t="s">
        <v>1831</v>
      </c>
      <c r="C2593" s="5" t="s">
        <v>1832</v>
      </c>
      <c r="D2593" s="5" t="s">
        <v>118</v>
      </c>
      <c r="E2593" s="5" t="s">
        <v>2792</v>
      </c>
      <c r="F2593" s="5" t="s">
        <v>2762</v>
      </c>
      <c r="G2593" s="5">
        <v>1</v>
      </c>
      <c r="H2593" s="5" t="s">
        <v>2864</v>
      </c>
      <c r="I2593" s="5" t="str">
        <f>IF(INDEX(Manual_Review!$V$6:$V$238,U2593)="","",INDEX(Manual_Review!$V$6:$V$238,U2593))</f>
        <v/>
      </c>
      <c r="J2593" s="5" t="str">
        <f t="shared" si="80"/>
        <v>AI provisional</v>
      </c>
      <c r="K2593" s="5" t="str">
        <f t="shared" si="81"/>
        <v>U</v>
      </c>
      <c r="L2593" s="5" t="s">
        <v>1835</v>
      </c>
      <c r="M2593" s="5" t="s">
        <v>8164</v>
      </c>
      <c r="N2593" s="5" t="s">
        <v>8153</v>
      </c>
      <c r="O2593" s="5" t="s">
        <v>2891</v>
      </c>
      <c r="P2593" s="5" t="s">
        <v>2858</v>
      </c>
      <c r="Q2593" s="11">
        <v>46306.5</v>
      </c>
      <c r="R2593" s="6"/>
      <c r="S2593" s="6"/>
      <c r="T2593" s="6"/>
      <c r="U2593" s="5">
        <f>MATCH(B2593,Manual_Review!$A$6:$A$238,0)</f>
        <v>162</v>
      </c>
      <c r="V2593" s="5" t="str">
        <f>IF(INDEX(Manual_Review!$G$6:$G$238,U2593)="","",INDEX(Manual_Review!$G$6:$G$238,U2593))</f>
        <v/>
      </c>
      <c r="W2593" s="11" t="str">
        <f>IF(INDEX(Manual_Review!$H$6:$H$238,U2593)="","",INDEX(Manual_Review!$H$6:$H$238,U2593))</f>
        <v/>
      </c>
      <c r="X2593" s="5" t="str">
        <f>IF(INDEX(Manual_Review!$I$6:$I$238,U2593)="","",INDEX(Manual_Review!$I$6:$I$238,U2593))</f>
        <v/>
      </c>
      <c r="Y2593" s="5" t="s">
        <v>2859</v>
      </c>
    </row>
    <row r="2594" spans="1:25" ht="38.25">
      <c r="A2594" s="5" t="s">
        <v>8174</v>
      </c>
      <c r="B2594" s="5" t="s">
        <v>1831</v>
      </c>
      <c r="C2594" s="5" t="s">
        <v>1832</v>
      </c>
      <c r="D2594" s="5" t="s">
        <v>118</v>
      </c>
      <c r="E2594" s="5" t="s">
        <v>2793</v>
      </c>
      <c r="F2594" s="5" t="s">
        <v>2762</v>
      </c>
      <c r="G2594" s="5">
        <v>1</v>
      </c>
      <c r="H2594" s="5" t="s">
        <v>2864</v>
      </c>
      <c r="I2594" s="5" t="str">
        <f>IF(INDEX(Manual_Review!$W$6:$W$238,U2594)="","",INDEX(Manual_Review!$W$6:$W$238,U2594))</f>
        <v/>
      </c>
      <c r="J2594" s="5" t="str">
        <f t="shared" si="80"/>
        <v>AI provisional</v>
      </c>
      <c r="K2594" s="5" t="str">
        <f t="shared" si="81"/>
        <v>U</v>
      </c>
      <c r="L2594" s="5" t="s">
        <v>1835</v>
      </c>
      <c r="M2594" s="5" t="s">
        <v>8164</v>
      </c>
      <c r="N2594" s="5" t="s">
        <v>8153</v>
      </c>
      <c r="O2594" s="5" t="s">
        <v>2893</v>
      </c>
      <c r="P2594" s="5" t="s">
        <v>2858</v>
      </c>
      <c r="Q2594" s="11">
        <v>46306.5</v>
      </c>
      <c r="R2594" s="6"/>
      <c r="S2594" s="6"/>
      <c r="T2594" s="6"/>
      <c r="U2594" s="5">
        <f>MATCH(B2594,Manual_Review!$A$6:$A$238,0)</f>
        <v>162</v>
      </c>
      <c r="V2594" s="5" t="str">
        <f>IF(INDEX(Manual_Review!$G$6:$G$238,U2594)="","",INDEX(Manual_Review!$G$6:$G$238,U2594))</f>
        <v/>
      </c>
      <c r="W2594" s="11" t="str">
        <f>IF(INDEX(Manual_Review!$H$6:$H$238,U2594)="","",INDEX(Manual_Review!$H$6:$H$238,U2594))</f>
        <v/>
      </c>
      <c r="X2594" s="5" t="str">
        <f>IF(INDEX(Manual_Review!$I$6:$I$238,U2594)="","",INDEX(Manual_Review!$I$6:$I$238,U2594))</f>
        <v/>
      </c>
      <c r="Y2594" s="5" t="s">
        <v>2859</v>
      </c>
    </row>
    <row r="2595" spans="1:25" ht="38.25">
      <c r="A2595" s="5" t="s">
        <v>8175</v>
      </c>
      <c r="B2595" s="5" t="s">
        <v>1831</v>
      </c>
      <c r="C2595" s="5" t="s">
        <v>1832</v>
      </c>
      <c r="D2595" s="5" t="s">
        <v>118</v>
      </c>
      <c r="E2595" s="5" t="s">
        <v>2794</v>
      </c>
      <c r="F2595" s="5" t="s">
        <v>2764</v>
      </c>
      <c r="G2595" s="5">
        <v>1</v>
      </c>
      <c r="H2595" s="5" t="s">
        <v>2864</v>
      </c>
      <c r="I2595" s="5" t="str">
        <f>IF(INDEX(Manual_Review!$X$6:$X$238,U2595)="","",INDEX(Manual_Review!$X$6:$X$238,U2595))</f>
        <v/>
      </c>
      <c r="J2595" s="5" t="str">
        <f t="shared" si="80"/>
        <v>AI provisional</v>
      </c>
      <c r="K2595" s="5" t="str">
        <f t="shared" si="81"/>
        <v>U</v>
      </c>
      <c r="L2595" s="5" t="s">
        <v>1835</v>
      </c>
      <c r="M2595" s="5" t="s">
        <v>8164</v>
      </c>
      <c r="N2595" s="5" t="s">
        <v>8153</v>
      </c>
      <c r="O2595" s="5" t="s">
        <v>2895</v>
      </c>
      <c r="P2595" s="5" t="s">
        <v>2858</v>
      </c>
      <c r="Q2595" s="11">
        <v>46306.5</v>
      </c>
      <c r="R2595" s="6"/>
      <c r="S2595" s="6"/>
      <c r="T2595" s="6"/>
      <c r="U2595" s="5">
        <f>MATCH(B2595,Manual_Review!$A$6:$A$238,0)</f>
        <v>162</v>
      </c>
      <c r="V2595" s="5" t="str">
        <f>IF(INDEX(Manual_Review!$G$6:$G$238,U2595)="","",INDEX(Manual_Review!$G$6:$G$238,U2595))</f>
        <v/>
      </c>
      <c r="W2595" s="11" t="str">
        <f>IF(INDEX(Manual_Review!$H$6:$H$238,U2595)="","",INDEX(Manual_Review!$H$6:$H$238,U2595))</f>
        <v/>
      </c>
      <c r="X2595" s="5" t="str">
        <f>IF(INDEX(Manual_Review!$I$6:$I$238,U2595)="","",INDEX(Manual_Review!$I$6:$I$238,U2595))</f>
        <v/>
      </c>
      <c r="Y2595" s="5" t="s">
        <v>2859</v>
      </c>
    </row>
    <row r="2596" spans="1:25" ht="38.25">
      <c r="A2596" s="5" t="s">
        <v>8176</v>
      </c>
      <c r="B2596" s="5" t="s">
        <v>1831</v>
      </c>
      <c r="C2596" s="5" t="s">
        <v>1832</v>
      </c>
      <c r="D2596" s="5" t="s">
        <v>118</v>
      </c>
      <c r="E2596" s="5" t="s">
        <v>2795</v>
      </c>
      <c r="F2596" s="5" t="s">
        <v>2764</v>
      </c>
      <c r="G2596" s="5">
        <v>1</v>
      </c>
      <c r="H2596" s="5" t="s">
        <v>2864</v>
      </c>
      <c r="I2596" s="5" t="str">
        <f>IF(INDEX(Manual_Review!$Y$6:$Y$238,U2596)="","",INDEX(Manual_Review!$Y$6:$Y$238,U2596))</f>
        <v/>
      </c>
      <c r="J2596" s="5" t="str">
        <f t="shared" si="80"/>
        <v>AI provisional</v>
      </c>
      <c r="K2596" s="5" t="str">
        <f t="shared" si="81"/>
        <v>U</v>
      </c>
      <c r="L2596" s="5" t="s">
        <v>1835</v>
      </c>
      <c r="M2596" s="5" t="s">
        <v>8164</v>
      </c>
      <c r="N2596" s="5" t="s">
        <v>8153</v>
      </c>
      <c r="O2596" s="5" t="s">
        <v>2897</v>
      </c>
      <c r="P2596" s="5" t="s">
        <v>2858</v>
      </c>
      <c r="Q2596" s="11">
        <v>46306.5</v>
      </c>
      <c r="R2596" s="6"/>
      <c r="S2596" s="6"/>
      <c r="T2596" s="6"/>
      <c r="U2596" s="5">
        <f>MATCH(B2596,Manual_Review!$A$6:$A$238,0)</f>
        <v>162</v>
      </c>
      <c r="V2596" s="5" t="str">
        <f>IF(INDEX(Manual_Review!$G$6:$G$238,U2596)="","",INDEX(Manual_Review!$G$6:$G$238,U2596))</f>
        <v/>
      </c>
      <c r="W2596" s="11" t="str">
        <f>IF(INDEX(Manual_Review!$H$6:$H$238,U2596)="","",INDEX(Manual_Review!$H$6:$H$238,U2596))</f>
        <v/>
      </c>
      <c r="X2596" s="5" t="str">
        <f>IF(INDEX(Manual_Review!$I$6:$I$238,U2596)="","",INDEX(Manual_Review!$I$6:$I$238,U2596))</f>
        <v/>
      </c>
      <c r="Y2596" s="5" t="s">
        <v>2859</v>
      </c>
    </row>
    <row r="2597" spans="1:25" ht="38.25">
      <c r="A2597" s="5" t="s">
        <v>8177</v>
      </c>
      <c r="B2597" s="5" t="s">
        <v>1831</v>
      </c>
      <c r="C2597" s="5" t="s">
        <v>1832</v>
      </c>
      <c r="D2597" s="5" t="s">
        <v>118</v>
      </c>
      <c r="E2597" s="5" t="s">
        <v>2796</v>
      </c>
      <c r="F2597" s="5" t="s">
        <v>2764</v>
      </c>
      <c r="G2597" s="5">
        <v>1</v>
      </c>
      <c r="H2597" s="5" t="s">
        <v>2854</v>
      </c>
      <c r="I2597" s="5" t="str">
        <f>IF(INDEX(Manual_Review!$Z$6:$Z$238,U2597)="","",INDEX(Manual_Review!$Z$6:$Z$238,U2597))</f>
        <v/>
      </c>
      <c r="J2597" s="5" t="str">
        <f t="shared" si="80"/>
        <v>AI provisional</v>
      </c>
      <c r="K2597" s="5" t="str">
        <f t="shared" si="81"/>
        <v>Y</v>
      </c>
      <c r="L2597" s="5" t="s">
        <v>1835</v>
      </c>
      <c r="M2597" s="5" t="s">
        <v>8178</v>
      </c>
      <c r="N2597" s="5" t="s">
        <v>8153</v>
      </c>
      <c r="O2597" s="5" t="s">
        <v>3085</v>
      </c>
      <c r="P2597" s="5" t="s">
        <v>2858</v>
      </c>
      <c r="Q2597" s="11">
        <v>46306.5</v>
      </c>
      <c r="R2597" s="6"/>
      <c r="S2597" s="6"/>
      <c r="T2597" s="6"/>
      <c r="U2597" s="5">
        <f>MATCH(B2597,Manual_Review!$A$6:$A$238,0)</f>
        <v>162</v>
      </c>
      <c r="V2597" s="5" t="str">
        <f>IF(INDEX(Manual_Review!$G$6:$G$238,U2597)="","",INDEX(Manual_Review!$G$6:$G$238,U2597))</f>
        <v/>
      </c>
      <c r="W2597" s="11" t="str">
        <f>IF(INDEX(Manual_Review!$H$6:$H$238,U2597)="","",INDEX(Manual_Review!$H$6:$H$238,U2597))</f>
        <v/>
      </c>
      <c r="X2597" s="5" t="str">
        <f>IF(INDEX(Manual_Review!$I$6:$I$238,U2597)="","",INDEX(Manual_Review!$I$6:$I$238,U2597))</f>
        <v/>
      </c>
      <c r="Y2597" s="5" t="s">
        <v>2859</v>
      </c>
    </row>
    <row r="2598" spans="1:25" ht="25.5">
      <c r="A2598" s="5" t="s">
        <v>8179</v>
      </c>
      <c r="B2598" s="5" t="s">
        <v>1837</v>
      </c>
      <c r="C2598" s="5" t="s">
        <v>1838</v>
      </c>
      <c r="D2598" s="5" t="s">
        <v>118</v>
      </c>
      <c r="E2598" s="5" t="s">
        <v>2781</v>
      </c>
      <c r="F2598" s="5" t="s">
        <v>2754</v>
      </c>
      <c r="G2598" s="5">
        <v>1</v>
      </c>
      <c r="H2598" s="5" t="s">
        <v>2854</v>
      </c>
      <c r="I2598" s="5" t="str">
        <f>IF(INDEX(Manual_Review!$K$6:$K$238,U2598)="","",INDEX(Manual_Review!$K$6:$K$238,U2598))</f>
        <v/>
      </c>
      <c r="J2598" s="5" t="str">
        <f t="shared" si="80"/>
        <v>AI provisional</v>
      </c>
      <c r="K2598" s="5" t="str">
        <f t="shared" si="81"/>
        <v>Y</v>
      </c>
      <c r="L2598" s="5" t="s">
        <v>1842</v>
      </c>
      <c r="M2598" s="5" t="s">
        <v>8180</v>
      </c>
      <c r="N2598" s="5" t="s">
        <v>8181</v>
      </c>
      <c r="O2598" s="5" t="s">
        <v>2857</v>
      </c>
      <c r="P2598" s="5" t="s">
        <v>2858</v>
      </c>
      <c r="Q2598" s="11">
        <v>46306.5</v>
      </c>
      <c r="R2598" s="6"/>
      <c r="S2598" s="6"/>
      <c r="T2598" s="6"/>
      <c r="U2598" s="5">
        <f>MATCH(B2598,Manual_Review!$A$6:$A$238,0)</f>
        <v>163</v>
      </c>
      <c r="V2598" s="5" t="str">
        <f>IF(INDEX(Manual_Review!$G$6:$G$238,U2598)="","",INDEX(Manual_Review!$G$6:$G$238,U2598))</f>
        <v/>
      </c>
      <c r="W2598" s="11" t="str">
        <f>IF(INDEX(Manual_Review!$H$6:$H$238,U2598)="","",INDEX(Manual_Review!$H$6:$H$238,U2598))</f>
        <v/>
      </c>
      <c r="X2598" s="5" t="str">
        <f>IF(INDEX(Manual_Review!$I$6:$I$238,U2598)="","",INDEX(Manual_Review!$I$6:$I$238,U2598))</f>
        <v/>
      </c>
      <c r="Y2598" s="5" t="s">
        <v>2859</v>
      </c>
    </row>
    <row r="2599" spans="1:25" ht="25.5">
      <c r="A2599" s="5" t="s">
        <v>8182</v>
      </c>
      <c r="B2599" s="5" t="s">
        <v>1837</v>
      </c>
      <c r="C2599" s="5" t="s">
        <v>1838</v>
      </c>
      <c r="D2599" s="5" t="s">
        <v>118</v>
      </c>
      <c r="E2599" s="5" t="s">
        <v>2782</v>
      </c>
      <c r="F2599" s="5" t="s">
        <v>2754</v>
      </c>
      <c r="G2599" s="5">
        <v>1</v>
      </c>
      <c r="H2599" s="5" t="s">
        <v>2854</v>
      </c>
      <c r="I2599" s="5" t="str">
        <f>IF(INDEX(Manual_Review!$L$6:$L$238,U2599)="","",INDEX(Manual_Review!$L$6:$L$238,U2599))</f>
        <v/>
      </c>
      <c r="J2599" s="5" t="str">
        <f t="shared" si="80"/>
        <v>AI provisional</v>
      </c>
      <c r="K2599" s="5" t="str">
        <f t="shared" si="81"/>
        <v>Y</v>
      </c>
      <c r="L2599" s="5" t="s">
        <v>1842</v>
      </c>
      <c r="M2599" s="5" t="s">
        <v>8183</v>
      </c>
      <c r="N2599" s="5" t="s">
        <v>8181</v>
      </c>
      <c r="O2599" s="5" t="s">
        <v>2862</v>
      </c>
      <c r="P2599" s="5" t="s">
        <v>2858</v>
      </c>
      <c r="Q2599" s="11">
        <v>46306.5</v>
      </c>
      <c r="R2599" s="6"/>
      <c r="S2599" s="6"/>
      <c r="T2599" s="6"/>
      <c r="U2599" s="5">
        <f>MATCH(B2599,Manual_Review!$A$6:$A$238,0)</f>
        <v>163</v>
      </c>
      <c r="V2599" s="5" t="str">
        <f>IF(INDEX(Manual_Review!$G$6:$G$238,U2599)="","",INDEX(Manual_Review!$G$6:$G$238,U2599))</f>
        <v/>
      </c>
      <c r="W2599" s="11" t="str">
        <f>IF(INDEX(Manual_Review!$H$6:$H$238,U2599)="","",INDEX(Manual_Review!$H$6:$H$238,U2599))</f>
        <v/>
      </c>
      <c r="X2599" s="5" t="str">
        <f>IF(INDEX(Manual_Review!$I$6:$I$238,U2599)="","",INDEX(Manual_Review!$I$6:$I$238,U2599))</f>
        <v/>
      </c>
      <c r="Y2599" s="5" t="s">
        <v>2859</v>
      </c>
    </row>
    <row r="2600" spans="1:25" ht="25.5">
      <c r="A2600" s="5" t="s">
        <v>8184</v>
      </c>
      <c r="B2600" s="5" t="s">
        <v>1837</v>
      </c>
      <c r="C2600" s="5" t="s">
        <v>1838</v>
      </c>
      <c r="D2600" s="5" t="s">
        <v>118</v>
      </c>
      <c r="E2600" s="5" t="s">
        <v>2783</v>
      </c>
      <c r="F2600" s="5" t="s">
        <v>2754</v>
      </c>
      <c r="G2600" s="5">
        <v>1</v>
      </c>
      <c r="H2600" s="5" t="s">
        <v>2854</v>
      </c>
      <c r="I2600" s="5" t="str">
        <f>IF(INDEX(Manual_Review!$M$6:$M$238,U2600)="","",INDEX(Manual_Review!$M$6:$M$238,U2600))</f>
        <v/>
      </c>
      <c r="J2600" s="5" t="str">
        <f t="shared" si="80"/>
        <v>AI provisional</v>
      </c>
      <c r="K2600" s="5" t="str">
        <f t="shared" si="81"/>
        <v>Y</v>
      </c>
      <c r="L2600" s="5" t="s">
        <v>1842</v>
      </c>
      <c r="M2600" s="5" t="s">
        <v>8185</v>
      </c>
      <c r="N2600" s="5" t="s">
        <v>8181</v>
      </c>
      <c r="O2600" s="5" t="s">
        <v>3133</v>
      </c>
      <c r="P2600" s="5" t="s">
        <v>2858</v>
      </c>
      <c r="Q2600" s="11">
        <v>46306.5</v>
      </c>
      <c r="R2600" s="6"/>
      <c r="S2600" s="6"/>
      <c r="T2600" s="6"/>
      <c r="U2600" s="5">
        <f>MATCH(B2600,Manual_Review!$A$6:$A$238,0)</f>
        <v>163</v>
      </c>
      <c r="V2600" s="5" t="str">
        <f>IF(INDEX(Manual_Review!$G$6:$G$238,U2600)="","",INDEX(Manual_Review!$G$6:$G$238,U2600))</f>
        <v/>
      </c>
      <c r="W2600" s="11" t="str">
        <f>IF(INDEX(Manual_Review!$H$6:$H$238,U2600)="","",INDEX(Manual_Review!$H$6:$H$238,U2600))</f>
        <v/>
      </c>
      <c r="X2600" s="5" t="str">
        <f>IF(INDEX(Manual_Review!$I$6:$I$238,U2600)="","",INDEX(Manual_Review!$I$6:$I$238,U2600))</f>
        <v/>
      </c>
      <c r="Y2600" s="5" t="s">
        <v>2859</v>
      </c>
    </row>
    <row r="2601" spans="1:25" ht="25.5">
      <c r="A2601" s="5" t="s">
        <v>8186</v>
      </c>
      <c r="B2601" s="5" t="s">
        <v>1837</v>
      </c>
      <c r="C2601" s="5" t="s">
        <v>1838</v>
      </c>
      <c r="D2601" s="5" t="s">
        <v>118</v>
      </c>
      <c r="E2601" s="5" t="s">
        <v>2784</v>
      </c>
      <c r="F2601" s="5" t="s">
        <v>2756</v>
      </c>
      <c r="G2601" s="5">
        <v>1</v>
      </c>
      <c r="H2601" s="5" t="s">
        <v>2854</v>
      </c>
      <c r="I2601" s="5" t="str">
        <f>IF(INDEX(Manual_Review!$N$6:$N$238,U2601)="","",INDEX(Manual_Review!$N$6:$N$238,U2601))</f>
        <v/>
      </c>
      <c r="J2601" s="5" t="str">
        <f t="shared" si="80"/>
        <v>AI provisional</v>
      </c>
      <c r="K2601" s="5" t="str">
        <f t="shared" si="81"/>
        <v>Y</v>
      </c>
      <c r="L2601" s="5" t="s">
        <v>1842</v>
      </c>
      <c r="M2601" s="5" t="s">
        <v>8187</v>
      </c>
      <c r="N2601" s="5" t="s">
        <v>8181</v>
      </c>
      <c r="O2601" s="5" t="s">
        <v>2963</v>
      </c>
      <c r="P2601" s="5" t="s">
        <v>2858</v>
      </c>
      <c r="Q2601" s="11">
        <v>46306.5</v>
      </c>
      <c r="R2601" s="6"/>
      <c r="S2601" s="6"/>
      <c r="T2601" s="6"/>
      <c r="U2601" s="5">
        <f>MATCH(B2601,Manual_Review!$A$6:$A$238,0)</f>
        <v>163</v>
      </c>
      <c r="V2601" s="5" t="str">
        <f>IF(INDEX(Manual_Review!$G$6:$G$238,U2601)="","",INDEX(Manual_Review!$G$6:$G$238,U2601))</f>
        <v/>
      </c>
      <c r="W2601" s="11" t="str">
        <f>IF(INDEX(Manual_Review!$H$6:$H$238,U2601)="","",INDEX(Manual_Review!$H$6:$H$238,U2601))</f>
        <v/>
      </c>
      <c r="X2601" s="5" t="str">
        <f>IF(INDEX(Manual_Review!$I$6:$I$238,U2601)="","",INDEX(Manual_Review!$I$6:$I$238,U2601))</f>
        <v/>
      </c>
      <c r="Y2601" s="5" t="s">
        <v>2859</v>
      </c>
    </row>
    <row r="2602" spans="1:25" ht="25.5">
      <c r="A2602" s="5" t="s">
        <v>8188</v>
      </c>
      <c r="B2602" s="5" t="s">
        <v>1837</v>
      </c>
      <c r="C2602" s="5" t="s">
        <v>1838</v>
      </c>
      <c r="D2602" s="5" t="s">
        <v>118</v>
      </c>
      <c r="E2602" s="5" t="s">
        <v>2785</v>
      </c>
      <c r="F2602" s="5" t="s">
        <v>2756</v>
      </c>
      <c r="G2602" s="5">
        <v>1</v>
      </c>
      <c r="H2602" s="5" t="s">
        <v>2864</v>
      </c>
      <c r="I2602" s="5" t="str">
        <f>IF(INDEX(Manual_Review!$O$6:$O$238,U2602)="","",INDEX(Manual_Review!$O$6:$O$238,U2602))</f>
        <v/>
      </c>
      <c r="J2602" s="5" t="str">
        <f t="shared" si="80"/>
        <v>AI provisional</v>
      </c>
      <c r="K2602" s="5" t="str">
        <f t="shared" si="81"/>
        <v>U</v>
      </c>
      <c r="L2602" s="5" t="s">
        <v>1842</v>
      </c>
      <c r="M2602" s="5" t="s">
        <v>8189</v>
      </c>
      <c r="N2602" s="5" t="s">
        <v>8181</v>
      </c>
      <c r="O2602" s="5" t="s">
        <v>2872</v>
      </c>
      <c r="P2602" s="5" t="s">
        <v>2858</v>
      </c>
      <c r="Q2602" s="11">
        <v>46306.5</v>
      </c>
      <c r="R2602" s="6"/>
      <c r="S2602" s="6"/>
      <c r="T2602" s="6"/>
      <c r="U2602" s="5">
        <f>MATCH(B2602,Manual_Review!$A$6:$A$238,0)</f>
        <v>163</v>
      </c>
      <c r="V2602" s="5" t="str">
        <f>IF(INDEX(Manual_Review!$G$6:$G$238,U2602)="","",INDEX(Manual_Review!$G$6:$G$238,U2602))</f>
        <v/>
      </c>
      <c r="W2602" s="11" t="str">
        <f>IF(INDEX(Manual_Review!$H$6:$H$238,U2602)="","",INDEX(Manual_Review!$H$6:$H$238,U2602))</f>
        <v/>
      </c>
      <c r="X2602" s="5" t="str">
        <f>IF(INDEX(Manual_Review!$I$6:$I$238,U2602)="","",INDEX(Manual_Review!$I$6:$I$238,U2602))</f>
        <v/>
      </c>
      <c r="Y2602" s="5" t="s">
        <v>2859</v>
      </c>
    </row>
    <row r="2603" spans="1:25" ht="25.5">
      <c r="A2603" s="5" t="s">
        <v>8190</v>
      </c>
      <c r="B2603" s="5" t="s">
        <v>1837</v>
      </c>
      <c r="C2603" s="5" t="s">
        <v>1838</v>
      </c>
      <c r="D2603" s="5" t="s">
        <v>118</v>
      </c>
      <c r="E2603" s="5" t="s">
        <v>2786</v>
      </c>
      <c r="F2603" s="5" t="s">
        <v>2756</v>
      </c>
      <c r="G2603" s="5">
        <v>1</v>
      </c>
      <c r="H2603" s="5" t="s">
        <v>2864</v>
      </c>
      <c r="I2603" s="5" t="str">
        <f>IF(INDEX(Manual_Review!$P$6:$P$238,U2603)="","",INDEX(Manual_Review!$P$6:$P$238,U2603))</f>
        <v/>
      </c>
      <c r="J2603" s="5" t="str">
        <f t="shared" si="80"/>
        <v>AI provisional</v>
      </c>
      <c r="K2603" s="5" t="str">
        <f t="shared" si="81"/>
        <v>U</v>
      </c>
      <c r="L2603" s="5" t="s">
        <v>1842</v>
      </c>
      <c r="M2603" s="5" t="s">
        <v>8191</v>
      </c>
      <c r="N2603" s="5" t="s">
        <v>8181</v>
      </c>
      <c r="O2603" s="5" t="s">
        <v>2874</v>
      </c>
      <c r="P2603" s="5" t="s">
        <v>2858</v>
      </c>
      <c r="Q2603" s="11">
        <v>46306.5</v>
      </c>
      <c r="R2603" s="6"/>
      <c r="S2603" s="6"/>
      <c r="T2603" s="6"/>
      <c r="U2603" s="5">
        <f>MATCH(B2603,Manual_Review!$A$6:$A$238,0)</f>
        <v>163</v>
      </c>
      <c r="V2603" s="5" t="str">
        <f>IF(INDEX(Manual_Review!$G$6:$G$238,U2603)="","",INDEX(Manual_Review!$G$6:$G$238,U2603))</f>
        <v/>
      </c>
      <c r="W2603" s="11" t="str">
        <f>IF(INDEX(Manual_Review!$H$6:$H$238,U2603)="","",INDEX(Manual_Review!$H$6:$H$238,U2603))</f>
        <v/>
      </c>
      <c r="X2603" s="5" t="str">
        <f>IF(INDEX(Manual_Review!$I$6:$I$238,U2603)="","",INDEX(Manual_Review!$I$6:$I$238,U2603))</f>
        <v/>
      </c>
      <c r="Y2603" s="5" t="s">
        <v>2859</v>
      </c>
    </row>
    <row r="2604" spans="1:25" ht="25.5">
      <c r="A2604" s="5" t="s">
        <v>8192</v>
      </c>
      <c r="B2604" s="5" t="s">
        <v>1837</v>
      </c>
      <c r="C2604" s="5" t="s">
        <v>1838</v>
      </c>
      <c r="D2604" s="5" t="s">
        <v>118</v>
      </c>
      <c r="E2604" s="5" t="s">
        <v>2787</v>
      </c>
      <c r="F2604" s="5" t="s">
        <v>2758</v>
      </c>
      <c r="G2604" s="5">
        <v>1</v>
      </c>
      <c r="H2604" s="5" t="s">
        <v>2864</v>
      </c>
      <c r="I2604" s="5" t="str">
        <f>IF(INDEX(Manual_Review!$Q$6:$Q$238,U2604)="","",INDEX(Manual_Review!$Q$6:$Q$238,U2604))</f>
        <v/>
      </c>
      <c r="J2604" s="5" t="str">
        <f t="shared" si="80"/>
        <v>AI provisional</v>
      </c>
      <c r="K2604" s="5" t="str">
        <f t="shared" si="81"/>
        <v>U</v>
      </c>
      <c r="L2604" s="5" t="s">
        <v>1842</v>
      </c>
      <c r="M2604" s="5" t="s">
        <v>8189</v>
      </c>
      <c r="N2604" s="5" t="s">
        <v>8181</v>
      </c>
      <c r="O2604" s="5" t="s">
        <v>2877</v>
      </c>
      <c r="P2604" s="5" t="s">
        <v>2858</v>
      </c>
      <c r="Q2604" s="11">
        <v>46306.5</v>
      </c>
      <c r="R2604" s="6"/>
      <c r="S2604" s="6"/>
      <c r="T2604" s="6"/>
      <c r="U2604" s="5">
        <f>MATCH(B2604,Manual_Review!$A$6:$A$238,0)</f>
        <v>163</v>
      </c>
      <c r="V2604" s="5" t="str">
        <f>IF(INDEX(Manual_Review!$G$6:$G$238,U2604)="","",INDEX(Manual_Review!$G$6:$G$238,U2604))</f>
        <v/>
      </c>
      <c r="W2604" s="11" t="str">
        <f>IF(INDEX(Manual_Review!$H$6:$H$238,U2604)="","",INDEX(Manual_Review!$H$6:$H$238,U2604))</f>
        <v/>
      </c>
      <c r="X2604" s="5" t="str">
        <f>IF(INDEX(Manual_Review!$I$6:$I$238,U2604)="","",INDEX(Manual_Review!$I$6:$I$238,U2604))</f>
        <v/>
      </c>
      <c r="Y2604" s="5" t="s">
        <v>2859</v>
      </c>
    </row>
    <row r="2605" spans="1:25" ht="25.5">
      <c r="A2605" s="5" t="s">
        <v>8193</v>
      </c>
      <c r="B2605" s="5" t="s">
        <v>1837</v>
      </c>
      <c r="C2605" s="5" t="s">
        <v>1838</v>
      </c>
      <c r="D2605" s="5" t="s">
        <v>118</v>
      </c>
      <c r="E2605" s="5" t="s">
        <v>2788</v>
      </c>
      <c r="F2605" s="5" t="s">
        <v>2758</v>
      </c>
      <c r="G2605" s="5">
        <v>1</v>
      </c>
      <c r="H2605" s="5" t="s">
        <v>2864</v>
      </c>
      <c r="I2605" s="5" t="str">
        <f>IF(INDEX(Manual_Review!$R$6:$R$238,U2605)="","",INDEX(Manual_Review!$R$6:$R$238,U2605))</f>
        <v/>
      </c>
      <c r="J2605" s="5" t="str">
        <f t="shared" si="80"/>
        <v>AI provisional</v>
      </c>
      <c r="K2605" s="5" t="str">
        <f t="shared" si="81"/>
        <v>U</v>
      </c>
      <c r="L2605" s="5" t="s">
        <v>1842</v>
      </c>
      <c r="M2605" s="5" t="s">
        <v>8194</v>
      </c>
      <c r="N2605" s="5" t="s">
        <v>8181</v>
      </c>
      <c r="O2605" s="5" t="s">
        <v>2880</v>
      </c>
      <c r="P2605" s="5" t="s">
        <v>2858</v>
      </c>
      <c r="Q2605" s="11">
        <v>46306.5</v>
      </c>
      <c r="R2605" s="6"/>
      <c r="S2605" s="6"/>
      <c r="T2605" s="6"/>
      <c r="U2605" s="5">
        <f>MATCH(B2605,Manual_Review!$A$6:$A$238,0)</f>
        <v>163</v>
      </c>
      <c r="V2605" s="5" t="str">
        <f>IF(INDEX(Manual_Review!$G$6:$G$238,U2605)="","",INDEX(Manual_Review!$G$6:$G$238,U2605))</f>
        <v/>
      </c>
      <c r="W2605" s="11" t="str">
        <f>IF(INDEX(Manual_Review!$H$6:$H$238,U2605)="","",INDEX(Manual_Review!$H$6:$H$238,U2605))</f>
        <v/>
      </c>
      <c r="X2605" s="5" t="str">
        <f>IF(INDEX(Manual_Review!$I$6:$I$238,U2605)="","",INDEX(Manual_Review!$I$6:$I$238,U2605))</f>
        <v/>
      </c>
      <c r="Y2605" s="5" t="s">
        <v>2859</v>
      </c>
    </row>
    <row r="2606" spans="1:25" ht="25.5">
      <c r="A2606" s="5" t="s">
        <v>8195</v>
      </c>
      <c r="B2606" s="5" t="s">
        <v>1837</v>
      </c>
      <c r="C2606" s="5" t="s">
        <v>1838</v>
      </c>
      <c r="D2606" s="5" t="s">
        <v>118</v>
      </c>
      <c r="E2606" s="5" t="s">
        <v>2789</v>
      </c>
      <c r="F2606" s="5" t="s">
        <v>2758</v>
      </c>
      <c r="G2606" s="5">
        <v>1</v>
      </c>
      <c r="H2606" s="5" t="s">
        <v>2864</v>
      </c>
      <c r="I2606" s="5" t="str">
        <f>IF(INDEX(Manual_Review!$S$6:$S$238,U2606)="","",INDEX(Manual_Review!$S$6:$S$238,U2606))</f>
        <v/>
      </c>
      <c r="J2606" s="5" t="str">
        <f t="shared" si="80"/>
        <v>AI provisional</v>
      </c>
      <c r="K2606" s="5" t="str">
        <f t="shared" si="81"/>
        <v>U</v>
      </c>
      <c r="L2606" s="5" t="s">
        <v>1842</v>
      </c>
      <c r="M2606" s="5" t="s">
        <v>8196</v>
      </c>
      <c r="N2606" s="5" t="s">
        <v>8181</v>
      </c>
      <c r="O2606" s="5" t="s">
        <v>2883</v>
      </c>
      <c r="P2606" s="5" t="s">
        <v>2858</v>
      </c>
      <c r="Q2606" s="11">
        <v>46306.5</v>
      </c>
      <c r="R2606" s="6"/>
      <c r="S2606" s="6"/>
      <c r="T2606" s="6"/>
      <c r="U2606" s="5">
        <f>MATCH(B2606,Manual_Review!$A$6:$A$238,0)</f>
        <v>163</v>
      </c>
      <c r="V2606" s="5" t="str">
        <f>IF(INDEX(Manual_Review!$G$6:$G$238,U2606)="","",INDEX(Manual_Review!$G$6:$G$238,U2606))</f>
        <v/>
      </c>
      <c r="W2606" s="11" t="str">
        <f>IF(INDEX(Manual_Review!$H$6:$H$238,U2606)="","",INDEX(Manual_Review!$H$6:$H$238,U2606))</f>
        <v/>
      </c>
      <c r="X2606" s="5" t="str">
        <f>IF(INDEX(Manual_Review!$I$6:$I$238,U2606)="","",INDEX(Manual_Review!$I$6:$I$238,U2606))</f>
        <v/>
      </c>
      <c r="Y2606" s="5" t="s">
        <v>2859</v>
      </c>
    </row>
    <row r="2607" spans="1:25" ht="25.5">
      <c r="A2607" s="5" t="s">
        <v>8197</v>
      </c>
      <c r="B2607" s="5" t="s">
        <v>1837</v>
      </c>
      <c r="C2607" s="5" t="s">
        <v>1838</v>
      </c>
      <c r="D2607" s="5" t="s">
        <v>118</v>
      </c>
      <c r="E2607" s="5" t="s">
        <v>2790</v>
      </c>
      <c r="F2607" s="5" t="s">
        <v>2760</v>
      </c>
      <c r="G2607" s="5">
        <v>1</v>
      </c>
      <c r="H2607" s="5" t="s">
        <v>2864</v>
      </c>
      <c r="I2607" s="5" t="str">
        <f>IF(INDEX(Manual_Review!$T$6:$T$238,U2607)="","",INDEX(Manual_Review!$T$6:$T$238,U2607))</f>
        <v/>
      </c>
      <c r="J2607" s="5" t="str">
        <f t="shared" si="80"/>
        <v>AI provisional</v>
      </c>
      <c r="K2607" s="5" t="str">
        <f t="shared" si="81"/>
        <v>U</v>
      </c>
      <c r="L2607" s="5" t="s">
        <v>1842</v>
      </c>
      <c r="M2607" s="5" t="s">
        <v>8191</v>
      </c>
      <c r="N2607" s="5" t="s">
        <v>8181</v>
      </c>
      <c r="O2607" s="5" t="s">
        <v>2885</v>
      </c>
      <c r="P2607" s="5" t="s">
        <v>2858</v>
      </c>
      <c r="Q2607" s="11">
        <v>46306.5</v>
      </c>
      <c r="R2607" s="6"/>
      <c r="S2607" s="6"/>
      <c r="T2607" s="6"/>
      <c r="U2607" s="5">
        <f>MATCH(B2607,Manual_Review!$A$6:$A$238,0)</f>
        <v>163</v>
      </c>
      <c r="V2607" s="5" t="str">
        <f>IF(INDEX(Manual_Review!$G$6:$G$238,U2607)="","",INDEX(Manual_Review!$G$6:$G$238,U2607))</f>
        <v/>
      </c>
      <c r="W2607" s="11" t="str">
        <f>IF(INDEX(Manual_Review!$H$6:$H$238,U2607)="","",INDEX(Manual_Review!$H$6:$H$238,U2607))</f>
        <v/>
      </c>
      <c r="X2607" s="5" t="str">
        <f>IF(INDEX(Manual_Review!$I$6:$I$238,U2607)="","",INDEX(Manual_Review!$I$6:$I$238,U2607))</f>
        <v/>
      </c>
      <c r="Y2607" s="5" t="s">
        <v>2859</v>
      </c>
    </row>
    <row r="2608" spans="1:25" ht="25.5">
      <c r="A2608" s="5" t="s">
        <v>8198</v>
      </c>
      <c r="B2608" s="5" t="s">
        <v>1837</v>
      </c>
      <c r="C2608" s="5" t="s">
        <v>1838</v>
      </c>
      <c r="D2608" s="5" t="s">
        <v>118</v>
      </c>
      <c r="E2608" s="5" t="s">
        <v>2791</v>
      </c>
      <c r="F2608" s="5" t="s">
        <v>2760</v>
      </c>
      <c r="G2608" s="5">
        <v>1</v>
      </c>
      <c r="H2608" s="5" t="s">
        <v>2864</v>
      </c>
      <c r="I2608" s="5" t="str">
        <f>IF(INDEX(Manual_Review!$U$6:$U$238,U2608)="","",INDEX(Manual_Review!$U$6:$U$238,U2608))</f>
        <v/>
      </c>
      <c r="J2608" s="5" t="str">
        <f t="shared" si="80"/>
        <v>AI provisional</v>
      </c>
      <c r="K2608" s="5" t="str">
        <f t="shared" si="81"/>
        <v>U</v>
      </c>
      <c r="L2608" s="5" t="s">
        <v>1842</v>
      </c>
      <c r="M2608" s="5" t="s">
        <v>8189</v>
      </c>
      <c r="N2608" s="5" t="s">
        <v>8181</v>
      </c>
      <c r="O2608" s="5" t="s">
        <v>2888</v>
      </c>
      <c r="P2608" s="5" t="s">
        <v>2858</v>
      </c>
      <c r="Q2608" s="11">
        <v>46306.5</v>
      </c>
      <c r="R2608" s="6"/>
      <c r="S2608" s="6"/>
      <c r="T2608" s="6"/>
      <c r="U2608" s="5">
        <f>MATCH(B2608,Manual_Review!$A$6:$A$238,0)</f>
        <v>163</v>
      </c>
      <c r="V2608" s="5" t="str">
        <f>IF(INDEX(Manual_Review!$G$6:$G$238,U2608)="","",INDEX(Manual_Review!$G$6:$G$238,U2608))</f>
        <v/>
      </c>
      <c r="W2608" s="11" t="str">
        <f>IF(INDEX(Manual_Review!$H$6:$H$238,U2608)="","",INDEX(Manual_Review!$H$6:$H$238,U2608))</f>
        <v/>
      </c>
      <c r="X2608" s="5" t="str">
        <f>IF(INDEX(Manual_Review!$I$6:$I$238,U2608)="","",INDEX(Manual_Review!$I$6:$I$238,U2608))</f>
        <v/>
      </c>
      <c r="Y2608" s="5" t="s">
        <v>2859</v>
      </c>
    </row>
    <row r="2609" spans="1:25" ht="25.5">
      <c r="A2609" s="5" t="s">
        <v>8199</v>
      </c>
      <c r="B2609" s="5" t="s">
        <v>1837</v>
      </c>
      <c r="C2609" s="5" t="s">
        <v>1838</v>
      </c>
      <c r="D2609" s="5" t="s">
        <v>118</v>
      </c>
      <c r="E2609" s="5" t="s">
        <v>2792</v>
      </c>
      <c r="F2609" s="5" t="s">
        <v>2762</v>
      </c>
      <c r="G2609" s="5">
        <v>1</v>
      </c>
      <c r="H2609" s="5" t="s">
        <v>2864</v>
      </c>
      <c r="I2609" s="5" t="str">
        <f>IF(INDEX(Manual_Review!$V$6:$V$238,U2609)="","",INDEX(Manual_Review!$V$6:$V$238,U2609))</f>
        <v/>
      </c>
      <c r="J2609" s="5" t="str">
        <f t="shared" si="80"/>
        <v>AI provisional</v>
      </c>
      <c r="K2609" s="5" t="str">
        <f t="shared" si="81"/>
        <v>U</v>
      </c>
      <c r="L2609" s="5" t="s">
        <v>1842</v>
      </c>
      <c r="M2609" s="5" t="s">
        <v>8191</v>
      </c>
      <c r="N2609" s="5" t="s">
        <v>8181</v>
      </c>
      <c r="O2609" s="5" t="s">
        <v>2891</v>
      </c>
      <c r="P2609" s="5" t="s">
        <v>2858</v>
      </c>
      <c r="Q2609" s="11">
        <v>46306.5</v>
      </c>
      <c r="R2609" s="6"/>
      <c r="S2609" s="6"/>
      <c r="T2609" s="6"/>
      <c r="U2609" s="5">
        <f>MATCH(B2609,Manual_Review!$A$6:$A$238,0)</f>
        <v>163</v>
      </c>
      <c r="V2609" s="5" t="str">
        <f>IF(INDEX(Manual_Review!$G$6:$G$238,U2609)="","",INDEX(Manual_Review!$G$6:$G$238,U2609))</f>
        <v/>
      </c>
      <c r="W2609" s="11" t="str">
        <f>IF(INDEX(Manual_Review!$H$6:$H$238,U2609)="","",INDEX(Manual_Review!$H$6:$H$238,U2609))</f>
        <v/>
      </c>
      <c r="X2609" s="5" t="str">
        <f>IF(INDEX(Manual_Review!$I$6:$I$238,U2609)="","",INDEX(Manual_Review!$I$6:$I$238,U2609))</f>
        <v/>
      </c>
      <c r="Y2609" s="5" t="s">
        <v>2859</v>
      </c>
    </row>
    <row r="2610" spans="1:25" ht="25.5">
      <c r="A2610" s="5" t="s">
        <v>8200</v>
      </c>
      <c r="B2610" s="5" t="s">
        <v>1837</v>
      </c>
      <c r="C2610" s="5" t="s">
        <v>1838</v>
      </c>
      <c r="D2610" s="5" t="s">
        <v>118</v>
      </c>
      <c r="E2610" s="5" t="s">
        <v>2793</v>
      </c>
      <c r="F2610" s="5" t="s">
        <v>2762</v>
      </c>
      <c r="G2610" s="5">
        <v>1</v>
      </c>
      <c r="H2610" s="5" t="s">
        <v>2864</v>
      </c>
      <c r="I2610" s="5" t="str">
        <f>IF(INDEX(Manual_Review!$W$6:$W$238,U2610)="","",INDEX(Manual_Review!$W$6:$W$238,U2610))</f>
        <v/>
      </c>
      <c r="J2610" s="5" t="str">
        <f t="shared" si="80"/>
        <v>AI provisional</v>
      </c>
      <c r="K2610" s="5" t="str">
        <f t="shared" si="81"/>
        <v>U</v>
      </c>
      <c r="L2610" s="5" t="s">
        <v>1842</v>
      </c>
      <c r="M2610" s="5" t="s">
        <v>8191</v>
      </c>
      <c r="N2610" s="5" t="s">
        <v>8181</v>
      </c>
      <c r="O2610" s="5" t="s">
        <v>2893</v>
      </c>
      <c r="P2610" s="5" t="s">
        <v>2858</v>
      </c>
      <c r="Q2610" s="11">
        <v>46306.5</v>
      </c>
      <c r="R2610" s="6"/>
      <c r="S2610" s="6"/>
      <c r="T2610" s="6"/>
      <c r="U2610" s="5">
        <f>MATCH(B2610,Manual_Review!$A$6:$A$238,0)</f>
        <v>163</v>
      </c>
      <c r="V2610" s="5" t="str">
        <f>IF(INDEX(Manual_Review!$G$6:$G$238,U2610)="","",INDEX(Manual_Review!$G$6:$G$238,U2610))</f>
        <v/>
      </c>
      <c r="W2610" s="11" t="str">
        <f>IF(INDEX(Manual_Review!$H$6:$H$238,U2610)="","",INDEX(Manual_Review!$H$6:$H$238,U2610))</f>
        <v/>
      </c>
      <c r="X2610" s="5" t="str">
        <f>IF(INDEX(Manual_Review!$I$6:$I$238,U2610)="","",INDEX(Manual_Review!$I$6:$I$238,U2610))</f>
        <v/>
      </c>
      <c r="Y2610" s="5" t="s">
        <v>2859</v>
      </c>
    </row>
    <row r="2611" spans="1:25" ht="25.5">
      <c r="A2611" s="5" t="s">
        <v>8201</v>
      </c>
      <c r="B2611" s="5" t="s">
        <v>1837</v>
      </c>
      <c r="C2611" s="5" t="s">
        <v>1838</v>
      </c>
      <c r="D2611" s="5" t="s">
        <v>118</v>
      </c>
      <c r="E2611" s="5" t="s">
        <v>2794</v>
      </c>
      <c r="F2611" s="5" t="s">
        <v>2764</v>
      </c>
      <c r="G2611" s="5">
        <v>1</v>
      </c>
      <c r="H2611" s="5" t="s">
        <v>2864</v>
      </c>
      <c r="I2611" s="5" t="str">
        <f>IF(INDEX(Manual_Review!$X$6:$X$238,U2611)="","",INDEX(Manual_Review!$X$6:$X$238,U2611))</f>
        <v/>
      </c>
      <c r="J2611" s="5" t="str">
        <f t="shared" si="80"/>
        <v>AI provisional</v>
      </c>
      <c r="K2611" s="5" t="str">
        <f t="shared" si="81"/>
        <v>U</v>
      </c>
      <c r="L2611" s="5" t="s">
        <v>1842</v>
      </c>
      <c r="M2611" s="5" t="s">
        <v>8191</v>
      </c>
      <c r="N2611" s="5" t="s">
        <v>8181</v>
      </c>
      <c r="O2611" s="5" t="s">
        <v>2895</v>
      </c>
      <c r="P2611" s="5" t="s">
        <v>2858</v>
      </c>
      <c r="Q2611" s="11">
        <v>46306.5</v>
      </c>
      <c r="R2611" s="6"/>
      <c r="S2611" s="6"/>
      <c r="T2611" s="6"/>
      <c r="U2611" s="5">
        <f>MATCH(B2611,Manual_Review!$A$6:$A$238,0)</f>
        <v>163</v>
      </c>
      <c r="V2611" s="5" t="str">
        <f>IF(INDEX(Manual_Review!$G$6:$G$238,U2611)="","",INDEX(Manual_Review!$G$6:$G$238,U2611))</f>
        <v/>
      </c>
      <c r="W2611" s="11" t="str">
        <f>IF(INDEX(Manual_Review!$H$6:$H$238,U2611)="","",INDEX(Manual_Review!$H$6:$H$238,U2611))</f>
        <v/>
      </c>
      <c r="X2611" s="5" t="str">
        <f>IF(INDEX(Manual_Review!$I$6:$I$238,U2611)="","",INDEX(Manual_Review!$I$6:$I$238,U2611))</f>
        <v/>
      </c>
      <c r="Y2611" s="5" t="s">
        <v>2859</v>
      </c>
    </row>
    <row r="2612" spans="1:25" ht="25.5">
      <c r="A2612" s="5" t="s">
        <v>8202</v>
      </c>
      <c r="B2612" s="5" t="s">
        <v>1837</v>
      </c>
      <c r="C2612" s="5" t="s">
        <v>1838</v>
      </c>
      <c r="D2612" s="5" t="s">
        <v>118</v>
      </c>
      <c r="E2612" s="5" t="s">
        <v>2795</v>
      </c>
      <c r="F2612" s="5" t="s">
        <v>2764</v>
      </c>
      <c r="G2612" s="5">
        <v>1</v>
      </c>
      <c r="H2612" s="5" t="s">
        <v>2864</v>
      </c>
      <c r="I2612" s="5" t="str">
        <f>IF(INDEX(Manual_Review!$Y$6:$Y$238,U2612)="","",INDEX(Manual_Review!$Y$6:$Y$238,U2612))</f>
        <v/>
      </c>
      <c r="J2612" s="5" t="str">
        <f t="shared" si="80"/>
        <v>AI provisional</v>
      </c>
      <c r="K2612" s="5" t="str">
        <f t="shared" si="81"/>
        <v>U</v>
      </c>
      <c r="L2612" s="5" t="s">
        <v>1842</v>
      </c>
      <c r="M2612" s="5" t="s">
        <v>8191</v>
      </c>
      <c r="N2612" s="5" t="s">
        <v>8181</v>
      </c>
      <c r="O2612" s="5" t="s">
        <v>2897</v>
      </c>
      <c r="P2612" s="5" t="s">
        <v>2858</v>
      </c>
      <c r="Q2612" s="11">
        <v>46306.5</v>
      </c>
      <c r="R2612" s="6"/>
      <c r="S2612" s="6"/>
      <c r="T2612" s="6"/>
      <c r="U2612" s="5">
        <f>MATCH(B2612,Manual_Review!$A$6:$A$238,0)</f>
        <v>163</v>
      </c>
      <c r="V2612" s="5" t="str">
        <f>IF(INDEX(Manual_Review!$G$6:$G$238,U2612)="","",INDEX(Manual_Review!$G$6:$G$238,U2612))</f>
        <v/>
      </c>
      <c r="W2612" s="11" t="str">
        <f>IF(INDEX(Manual_Review!$H$6:$H$238,U2612)="","",INDEX(Manual_Review!$H$6:$H$238,U2612))</f>
        <v/>
      </c>
      <c r="X2612" s="5" t="str">
        <f>IF(INDEX(Manual_Review!$I$6:$I$238,U2612)="","",INDEX(Manual_Review!$I$6:$I$238,U2612))</f>
        <v/>
      </c>
      <c r="Y2612" s="5" t="s">
        <v>2859</v>
      </c>
    </row>
    <row r="2613" spans="1:25" ht="25.5">
      <c r="A2613" s="5" t="s">
        <v>8203</v>
      </c>
      <c r="B2613" s="5" t="s">
        <v>1837</v>
      </c>
      <c r="C2613" s="5" t="s">
        <v>1838</v>
      </c>
      <c r="D2613" s="5" t="s">
        <v>118</v>
      </c>
      <c r="E2613" s="5" t="s">
        <v>2796</v>
      </c>
      <c r="F2613" s="5" t="s">
        <v>2764</v>
      </c>
      <c r="G2613" s="5">
        <v>1</v>
      </c>
      <c r="H2613" s="5" t="s">
        <v>2864</v>
      </c>
      <c r="I2613" s="5" t="str">
        <f>IF(INDEX(Manual_Review!$Z$6:$Z$238,U2613)="","",INDEX(Manual_Review!$Z$6:$Z$238,U2613))</f>
        <v/>
      </c>
      <c r="J2613" s="5" t="str">
        <f t="shared" si="80"/>
        <v>AI provisional</v>
      </c>
      <c r="K2613" s="5" t="str">
        <f t="shared" si="81"/>
        <v>U</v>
      </c>
      <c r="L2613" s="5" t="s">
        <v>1842</v>
      </c>
      <c r="M2613" s="5" t="s">
        <v>8196</v>
      </c>
      <c r="N2613" s="5" t="s">
        <v>8181</v>
      </c>
      <c r="O2613" s="5" t="s">
        <v>2899</v>
      </c>
      <c r="P2613" s="5" t="s">
        <v>2858</v>
      </c>
      <c r="Q2613" s="11">
        <v>46306.5</v>
      </c>
      <c r="R2613" s="6"/>
      <c r="S2613" s="6"/>
      <c r="T2613" s="6"/>
      <c r="U2613" s="5">
        <f>MATCH(B2613,Manual_Review!$A$6:$A$238,0)</f>
        <v>163</v>
      </c>
      <c r="V2613" s="5" t="str">
        <f>IF(INDEX(Manual_Review!$G$6:$G$238,U2613)="","",INDEX(Manual_Review!$G$6:$G$238,U2613))</f>
        <v/>
      </c>
      <c r="W2613" s="11" t="str">
        <f>IF(INDEX(Manual_Review!$H$6:$H$238,U2613)="","",INDEX(Manual_Review!$H$6:$H$238,U2613))</f>
        <v/>
      </c>
      <c r="X2613" s="5" t="str">
        <f>IF(INDEX(Manual_Review!$I$6:$I$238,U2613)="","",INDEX(Manual_Review!$I$6:$I$238,U2613))</f>
        <v/>
      </c>
      <c r="Y2613" s="5" t="s">
        <v>2859</v>
      </c>
    </row>
    <row r="2614" spans="1:25" ht="25.5">
      <c r="A2614" s="5" t="s">
        <v>8204</v>
      </c>
      <c r="B2614" s="5" t="s">
        <v>1844</v>
      </c>
      <c r="C2614" s="5" t="s">
        <v>1845</v>
      </c>
      <c r="D2614" s="5" t="s">
        <v>118</v>
      </c>
      <c r="E2614" s="5" t="s">
        <v>2781</v>
      </c>
      <c r="F2614" s="5" t="s">
        <v>2754</v>
      </c>
      <c r="G2614" s="5">
        <v>1</v>
      </c>
      <c r="H2614" s="5" t="s">
        <v>2854</v>
      </c>
      <c r="I2614" s="5" t="str">
        <f>IF(INDEX(Manual_Review!$K$6:$K$238,U2614)="","",INDEX(Manual_Review!$K$6:$K$238,U2614))</f>
        <v/>
      </c>
      <c r="J2614" s="5" t="str">
        <f t="shared" si="80"/>
        <v>AI provisional</v>
      </c>
      <c r="K2614" s="5" t="str">
        <f t="shared" si="81"/>
        <v>Y</v>
      </c>
      <c r="L2614" s="5" t="s">
        <v>1853</v>
      </c>
      <c r="M2614" s="5" t="s">
        <v>8205</v>
      </c>
      <c r="N2614" s="5" t="s">
        <v>8206</v>
      </c>
      <c r="O2614" s="5" t="s">
        <v>2857</v>
      </c>
      <c r="P2614" s="5" t="s">
        <v>2858</v>
      </c>
      <c r="Q2614" s="11">
        <v>46306.5</v>
      </c>
      <c r="R2614" s="6"/>
      <c r="S2614" s="6"/>
      <c r="T2614" s="6"/>
      <c r="U2614" s="5">
        <f>MATCH(B2614,Manual_Review!$A$6:$A$238,0)</f>
        <v>164</v>
      </c>
      <c r="V2614" s="5" t="str">
        <f>IF(INDEX(Manual_Review!$G$6:$G$238,U2614)="","",INDEX(Manual_Review!$G$6:$G$238,U2614))</f>
        <v/>
      </c>
      <c r="W2614" s="11" t="str">
        <f>IF(INDEX(Manual_Review!$H$6:$H$238,U2614)="","",INDEX(Manual_Review!$H$6:$H$238,U2614))</f>
        <v/>
      </c>
      <c r="X2614" s="5" t="str">
        <f>IF(INDEX(Manual_Review!$I$6:$I$238,U2614)="","",INDEX(Manual_Review!$I$6:$I$238,U2614))</f>
        <v/>
      </c>
      <c r="Y2614" s="5" t="s">
        <v>2859</v>
      </c>
    </row>
    <row r="2615" spans="1:25" ht="25.5">
      <c r="A2615" s="5" t="s">
        <v>8207</v>
      </c>
      <c r="B2615" s="5" t="s">
        <v>1844</v>
      </c>
      <c r="C2615" s="5" t="s">
        <v>1845</v>
      </c>
      <c r="D2615" s="5" t="s">
        <v>118</v>
      </c>
      <c r="E2615" s="5" t="s">
        <v>2782</v>
      </c>
      <c r="F2615" s="5" t="s">
        <v>2754</v>
      </c>
      <c r="G2615" s="5">
        <v>1</v>
      </c>
      <c r="H2615" s="5" t="s">
        <v>2854</v>
      </c>
      <c r="I2615" s="5" t="str">
        <f>IF(INDEX(Manual_Review!$L$6:$L$238,U2615)="","",INDEX(Manual_Review!$L$6:$L$238,U2615))</f>
        <v/>
      </c>
      <c r="J2615" s="5" t="str">
        <f t="shared" si="80"/>
        <v>AI provisional</v>
      </c>
      <c r="K2615" s="5" t="str">
        <f t="shared" si="81"/>
        <v>Y</v>
      </c>
      <c r="L2615" s="5" t="s">
        <v>1853</v>
      </c>
      <c r="M2615" s="5" t="s">
        <v>8208</v>
      </c>
      <c r="N2615" s="5" t="s">
        <v>8206</v>
      </c>
      <c r="O2615" s="5" t="s">
        <v>2862</v>
      </c>
      <c r="P2615" s="5" t="s">
        <v>2858</v>
      </c>
      <c r="Q2615" s="11">
        <v>46306.5</v>
      </c>
      <c r="R2615" s="6"/>
      <c r="S2615" s="6"/>
      <c r="T2615" s="6"/>
      <c r="U2615" s="5">
        <f>MATCH(B2615,Manual_Review!$A$6:$A$238,0)</f>
        <v>164</v>
      </c>
      <c r="V2615" s="5" t="str">
        <f>IF(INDEX(Manual_Review!$G$6:$G$238,U2615)="","",INDEX(Manual_Review!$G$6:$G$238,U2615))</f>
        <v/>
      </c>
      <c r="W2615" s="11" t="str">
        <f>IF(INDEX(Manual_Review!$H$6:$H$238,U2615)="","",INDEX(Manual_Review!$H$6:$H$238,U2615))</f>
        <v/>
      </c>
      <c r="X2615" s="5" t="str">
        <f>IF(INDEX(Manual_Review!$I$6:$I$238,U2615)="","",INDEX(Manual_Review!$I$6:$I$238,U2615))</f>
        <v/>
      </c>
      <c r="Y2615" s="5" t="s">
        <v>2859</v>
      </c>
    </row>
    <row r="2616" spans="1:25" ht="25.5">
      <c r="A2616" s="5" t="s">
        <v>8209</v>
      </c>
      <c r="B2616" s="5" t="s">
        <v>1844</v>
      </c>
      <c r="C2616" s="5" t="s">
        <v>1845</v>
      </c>
      <c r="D2616" s="5" t="s">
        <v>118</v>
      </c>
      <c r="E2616" s="5" t="s">
        <v>2783</v>
      </c>
      <c r="F2616" s="5" t="s">
        <v>2754</v>
      </c>
      <c r="G2616" s="5">
        <v>1</v>
      </c>
      <c r="H2616" s="5" t="s">
        <v>2854</v>
      </c>
      <c r="I2616" s="5" t="str">
        <f>IF(INDEX(Manual_Review!$M$6:$M$238,U2616)="","",INDEX(Manual_Review!$M$6:$M$238,U2616))</f>
        <v/>
      </c>
      <c r="J2616" s="5" t="str">
        <f t="shared" si="80"/>
        <v>AI provisional</v>
      </c>
      <c r="K2616" s="5" t="str">
        <f t="shared" si="81"/>
        <v>Y</v>
      </c>
      <c r="L2616" s="5" t="s">
        <v>1853</v>
      </c>
      <c r="M2616" s="5" t="s">
        <v>8210</v>
      </c>
      <c r="N2616" s="5" t="s">
        <v>8206</v>
      </c>
      <c r="O2616" s="5" t="s">
        <v>3133</v>
      </c>
      <c r="P2616" s="5" t="s">
        <v>2858</v>
      </c>
      <c r="Q2616" s="11">
        <v>46306.5</v>
      </c>
      <c r="R2616" s="6"/>
      <c r="S2616" s="6"/>
      <c r="T2616" s="6"/>
      <c r="U2616" s="5">
        <f>MATCH(B2616,Manual_Review!$A$6:$A$238,0)</f>
        <v>164</v>
      </c>
      <c r="V2616" s="5" t="str">
        <f>IF(INDEX(Manual_Review!$G$6:$G$238,U2616)="","",INDEX(Manual_Review!$G$6:$G$238,U2616))</f>
        <v/>
      </c>
      <c r="W2616" s="11" t="str">
        <f>IF(INDEX(Manual_Review!$H$6:$H$238,U2616)="","",INDEX(Manual_Review!$H$6:$H$238,U2616))</f>
        <v/>
      </c>
      <c r="X2616" s="5" t="str">
        <f>IF(INDEX(Manual_Review!$I$6:$I$238,U2616)="","",INDEX(Manual_Review!$I$6:$I$238,U2616))</f>
        <v/>
      </c>
      <c r="Y2616" s="5" t="s">
        <v>2859</v>
      </c>
    </row>
    <row r="2617" spans="1:25" ht="25.5">
      <c r="A2617" s="5" t="s">
        <v>8211</v>
      </c>
      <c r="B2617" s="5" t="s">
        <v>1844</v>
      </c>
      <c r="C2617" s="5" t="s">
        <v>1845</v>
      </c>
      <c r="D2617" s="5" t="s">
        <v>118</v>
      </c>
      <c r="E2617" s="5" t="s">
        <v>2784</v>
      </c>
      <c r="F2617" s="5" t="s">
        <v>2756</v>
      </c>
      <c r="G2617" s="5">
        <v>1</v>
      </c>
      <c r="H2617" s="5" t="s">
        <v>2864</v>
      </c>
      <c r="I2617" s="5" t="str">
        <f>IF(INDEX(Manual_Review!$N$6:$N$238,U2617)="","",INDEX(Manual_Review!$N$6:$N$238,U2617))</f>
        <v/>
      </c>
      <c r="J2617" s="5" t="str">
        <f t="shared" si="80"/>
        <v>AI provisional</v>
      </c>
      <c r="K2617" s="5" t="str">
        <f t="shared" si="81"/>
        <v>U</v>
      </c>
      <c r="L2617" s="5" t="s">
        <v>1853</v>
      </c>
      <c r="M2617" s="5" t="s">
        <v>8212</v>
      </c>
      <c r="N2617" s="5" t="s">
        <v>8206</v>
      </c>
      <c r="O2617" s="5" t="s">
        <v>2869</v>
      </c>
      <c r="P2617" s="5" t="s">
        <v>2858</v>
      </c>
      <c r="Q2617" s="11">
        <v>46306.5</v>
      </c>
      <c r="R2617" s="6"/>
      <c r="S2617" s="6"/>
      <c r="T2617" s="6"/>
      <c r="U2617" s="5">
        <f>MATCH(B2617,Manual_Review!$A$6:$A$238,0)</f>
        <v>164</v>
      </c>
      <c r="V2617" s="5" t="str">
        <f>IF(INDEX(Manual_Review!$G$6:$G$238,U2617)="","",INDEX(Manual_Review!$G$6:$G$238,U2617))</f>
        <v/>
      </c>
      <c r="W2617" s="11" t="str">
        <f>IF(INDEX(Manual_Review!$H$6:$H$238,U2617)="","",INDEX(Manual_Review!$H$6:$H$238,U2617))</f>
        <v/>
      </c>
      <c r="X2617" s="5" t="str">
        <f>IF(INDEX(Manual_Review!$I$6:$I$238,U2617)="","",INDEX(Manual_Review!$I$6:$I$238,U2617))</f>
        <v/>
      </c>
      <c r="Y2617" s="5" t="s">
        <v>2859</v>
      </c>
    </row>
    <row r="2618" spans="1:25" ht="25.5">
      <c r="A2618" s="5" t="s">
        <v>8213</v>
      </c>
      <c r="B2618" s="5" t="s">
        <v>1844</v>
      </c>
      <c r="C2618" s="5" t="s">
        <v>1845</v>
      </c>
      <c r="D2618" s="5" t="s">
        <v>118</v>
      </c>
      <c r="E2618" s="5" t="s">
        <v>2785</v>
      </c>
      <c r="F2618" s="5" t="s">
        <v>2756</v>
      </c>
      <c r="G2618" s="5">
        <v>1</v>
      </c>
      <c r="H2618" s="5" t="s">
        <v>2864</v>
      </c>
      <c r="I2618" s="5" t="str">
        <f>IF(INDEX(Manual_Review!$O$6:$O$238,U2618)="","",INDEX(Manual_Review!$O$6:$O$238,U2618))</f>
        <v/>
      </c>
      <c r="J2618" s="5" t="str">
        <f t="shared" si="80"/>
        <v>AI provisional</v>
      </c>
      <c r="K2618" s="5" t="str">
        <f t="shared" si="81"/>
        <v>U</v>
      </c>
      <c r="L2618" s="5" t="s">
        <v>1853</v>
      </c>
      <c r="M2618" s="5" t="s">
        <v>8214</v>
      </c>
      <c r="N2618" s="5" t="s">
        <v>8206</v>
      </c>
      <c r="O2618" s="5" t="s">
        <v>2872</v>
      </c>
      <c r="P2618" s="5" t="s">
        <v>2858</v>
      </c>
      <c r="Q2618" s="11">
        <v>46306.5</v>
      </c>
      <c r="R2618" s="6"/>
      <c r="S2618" s="6"/>
      <c r="T2618" s="6"/>
      <c r="U2618" s="5">
        <f>MATCH(B2618,Manual_Review!$A$6:$A$238,0)</f>
        <v>164</v>
      </c>
      <c r="V2618" s="5" t="str">
        <f>IF(INDEX(Manual_Review!$G$6:$G$238,U2618)="","",INDEX(Manual_Review!$G$6:$G$238,U2618))</f>
        <v/>
      </c>
      <c r="W2618" s="11" t="str">
        <f>IF(INDEX(Manual_Review!$H$6:$H$238,U2618)="","",INDEX(Manual_Review!$H$6:$H$238,U2618))</f>
        <v/>
      </c>
      <c r="X2618" s="5" t="str">
        <f>IF(INDEX(Manual_Review!$I$6:$I$238,U2618)="","",INDEX(Manual_Review!$I$6:$I$238,U2618))</f>
        <v/>
      </c>
      <c r="Y2618" s="5" t="s">
        <v>2859</v>
      </c>
    </row>
    <row r="2619" spans="1:25" ht="25.5">
      <c r="A2619" s="5" t="s">
        <v>8215</v>
      </c>
      <c r="B2619" s="5" t="s">
        <v>1844</v>
      </c>
      <c r="C2619" s="5" t="s">
        <v>1845</v>
      </c>
      <c r="D2619" s="5" t="s">
        <v>118</v>
      </c>
      <c r="E2619" s="5" t="s">
        <v>2786</v>
      </c>
      <c r="F2619" s="5" t="s">
        <v>2756</v>
      </c>
      <c r="G2619" s="5">
        <v>1</v>
      </c>
      <c r="H2619" s="5" t="s">
        <v>2864</v>
      </c>
      <c r="I2619" s="5" t="str">
        <f>IF(INDEX(Manual_Review!$P$6:$P$238,U2619)="","",INDEX(Manual_Review!$P$6:$P$238,U2619))</f>
        <v/>
      </c>
      <c r="J2619" s="5" t="str">
        <f t="shared" si="80"/>
        <v>AI provisional</v>
      </c>
      <c r="K2619" s="5" t="str">
        <f t="shared" si="81"/>
        <v>U</v>
      </c>
      <c r="L2619" s="5" t="s">
        <v>1853</v>
      </c>
      <c r="M2619" s="5" t="s">
        <v>8216</v>
      </c>
      <c r="N2619" s="5" t="s">
        <v>8206</v>
      </c>
      <c r="O2619" s="5" t="s">
        <v>2874</v>
      </c>
      <c r="P2619" s="5" t="s">
        <v>2858</v>
      </c>
      <c r="Q2619" s="11">
        <v>46306.5</v>
      </c>
      <c r="R2619" s="6"/>
      <c r="S2619" s="6"/>
      <c r="T2619" s="6"/>
      <c r="U2619" s="5">
        <f>MATCH(B2619,Manual_Review!$A$6:$A$238,0)</f>
        <v>164</v>
      </c>
      <c r="V2619" s="5" t="str">
        <f>IF(INDEX(Manual_Review!$G$6:$G$238,U2619)="","",INDEX(Manual_Review!$G$6:$G$238,U2619))</f>
        <v/>
      </c>
      <c r="W2619" s="11" t="str">
        <f>IF(INDEX(Manual_Review!$H$6:$H$238,U2619)="","",INDEX(Manual_Review!$H$6:$H$238,U2619))</f>
        <v/>
      </c>
      <c r="X2619" s="5" t="str">
        <f>IF(INDEX(Manual_Review!$I$6:$I$238,U2619)="","",INDEX(Manual_Review!$I$6:$I$238,U2619))</f>
        <v/>
      </c>
      <c r="Y2619" s="5" t="s">
        <v>2859</v>
      </c>
    </row>
    <row r="2620" spans="1:25" ht="25.5">
      <c r="A2620" s="5" t="s">
        <v>8217</v>
      </c>
      <c r="B2620" s="5" t="s">
        <v>1844</v>
      </c>
      <c r="C2620" s="5" t="s">
        <v>1845</v>
      </c>
      <c r="D2620" s="5" t="s">
        <v>118</v>
      </c>
      <c r="E2620" s="5" t="s">
        <v>2787</v>
      </c>
      <c r="F2620" s="5" t="s">
        <v>2758</v>
      </c>
      <c r="G2620" s="5">
        <v>1</v>
      </c>
      <c r="H2620" s="5" t="s">
        <v>2864</v>
      </c>
      <c r="I2620" s="5" t="str">
        <f>IF(INDEX(Manual_Review!$Q$6:$Q$238,U2620)="","",INDEX(Manual_Review!$Q$6:$Q$238,U2620))</f>
        <v/>
      </c>
      <c r="J2620" s="5" t="str">
        <f t="shared" si="80"/>
        <v>AI provisional</v>
      </c>
      <c r="K2620" s="5" t="str">
        <f t="shared" si="81"/>
        <v>U</v>
      </c>
      <c r="L2620" s="5" t="s">
        <v>1853</v>
      </c>
      <c r="M2620" s="5" t="s">
        <v>8218</v>
      </c>
      <c r="N2620" s="5" t="s">
        <v>8206</v>
      </c>
      <c r="O2620" s="5" t="s">
        <v>2877</v>
      </c>
      <c r="P2620" s="5" t="s">
        <v>2858</v>
      </c>
      <c r="Q2620" s="11">
        <v>46306.5</v>
      </c>
      <c r="R2620" s="6"/>
      <c r="S2620" s="6"/>
      <c r="T2620" s="6"/>
      <c r="U2620" s="5">
        <f>MATCH(B2620,Manual_Review!$A$6:$A$238,0)</f>
        <v>164</v>
      </c>
      <c r="V2620" s="5" t="str">
        <f>IF(INDEX(Manual_Review!$G$6:$G$238,U2620)="","",INDEX(Manual_Review!$G$6:$G$238,U2620))</f>
        <v/>
      </c>
      <c r="W2620" s="11" t="str">
        <f>IF(INDEX(Manual_Review!$H$6:$H$238,U2620)="","",INDEX(Manual_Review!$H$6:$H$238,U2620))</f>
        <v/>
      </c>
      <c r="X2620" s="5" t="str">
        <f>IF(INDEX(Manual_Review!$I$6:$I$238,U2620)="","",INDEX(Manual_Review!$I$6:$I$238,U2620))</f>
        <v/>
      </c>
      <c r="Y2620" s="5" t="s">
        <v>2859</v>
      </c>
    </row>
    <row r="2621" spans="1:25" ht="25.5">
      <c r="A2621" s="5" t="s">
        <v>8219</v>
      </c>
      <c r="B2621" s="5" t="s">
        <v>1844</v>
      </c>
      <c r="C2621" s="5" t="s">
        <v>1845</v>
      </c>
      <c r="D2621" s="5" t="s">
        <v>118</v>
      </c>
      <c r="E2621" s="5" t="s">
        <v>2788</v>
      </c>
      <c r="F2621" s="5" t="s">
        <v>2758</v>
      </c>
      <c r="G2621" s="5">
        <v>1</v>
      </c>
      <c r="H2621" s="5" t="s">
        <v>2854</v>
      </c>
      <c r="I2621" s="5" t="str">
        <f>IF(INDEX(Manual_Review!$R$6:$R$238,U2621)="","",INDEX(Manual_Review!$R$6:$R$238,U2621))</f>
        <v/>
      </c>
      <c r="J2621" s="5" t="str">
        <f t="shared" si="80"/>
        <v>AI provisional</v>
      </c>
      <c r="K2621" s="5" t="str">
        <f t="shared" si="81"/>
        <v>Y</v>
      </c>
      <c r="L2621" s="5" t="s">
        <v>1853</v>
      </c>
      <c r="M2621" s="5" t="s">
        <v>8220</v>
      </c>
      <c r="N2621" s="5" t="s">
        <v>8206</v>
      </c>
      <c r="O2621" s="5" t="s">
        <v>3067</v>
      </c>
      <c r="P2621" s="5" t="s">
        <v>2858</v>
      </c>
      <c r="Q2621" s="11">
        <v>46306.5</v>
      </c>
      <c r="R2621" s="6"/>
      <c r="S2621" s="6"/>
      <c r="T2621" s="6"/>
      <c r="U2621" s="5">
        <f>MATCH(B2621,Manual_Review!$A$6:$A$238,0)</f>
        <v>164</v>
      </c>
      <c r="V2621" s="5" t="str">
        <f>IF(INDEX(Manual_Review!$G$6:$G$238,U2621)="","",INDEX(Manual_Review!$G$6:$G$238,U2621))</f>
        <v/>
      </c>
      <c r="W2621" s="11" t="str">
        <f>IF(INDEX(Manual_Review!$H$6:$H$238,U2621)="","",INDEX(Manual_Review!$H$6:$H$238,U2621))</f>
        <v/>
      </c>
      <c r="X2621" s="5" t="str">
        <f>IF(INDEX(Manual_Review!$I$6:$I$238,U2621)="","",INDEX(Manual_Review!$I$6:$I$238,U2621))</f>
        <v/>
      </c>
      <c r="Y2621" s="5" t="s">
        <v>2859</v>
      </c>
    </row>
    <row r="2622" spans="1:25" ht="25.5">
      <c r="A2622" s="5" t="s">
        <v>8221</v>
      </c>
      <c r="B2622" s="5" t="s">
        <v>1844</v>
      </c>
      <c r="C2622" s="5" t="s">
        <v>1845</v>
      </c>
      <c r="D2622" s="5" t="s">
        <v>118</v>
      </c>
      <c r="E2622" s="5" t="s">
        <v>2789</v>
      </c>
      <c r="F2622" s="5" t="s">
        <v>2758</v>
      </c>
      <c r="G2622" s="5">
        <v>1</v>
      </c>
      <c r="H2622" s="5" t="s">
        <v>2864</v>
      </c>
      <c r="I2622" s="5" t="str">
        <f>IF(INDEX(Manual_Review!$S$6:$S$238,U2622)="","",INDEX(Manual_Review!$S$6:$S$238,U2622))</f>
        <v/>
      </c>
      <c r="J2622" s="5" t="str">
        <f t="shared" si="80"/>
        <v>AI provisional</v>
      </c>
      <c r="K2622" s="5" t="str">
        <f t="shared" si="81"/>
        <v>U</v>
      </c>
      <c r="L2622" s="5" t="s">
        <v>1853</v>
      </c>
      <c r="M2622" s="5" t="s">
        <v>8222</v>
      </c>
      <c r="N2622" s="5" t="s">
        <v>8206</v>
      </c>
      <c r="O2622" s="5" t="s">
        <v>2883</v>
      </c>
      <c r="P2622" s="5" t="s">
        <v>2858</v>
      </c>
      <c r="Q2622" s="11">
        <v>46306.5</v>
      </c>
      <c r="R2622" s="6"/>
      <c r="S2622" s="6"/>
      <c r="T2622" s="6"/>
      <c r="U2622" s="5">
        <f>MATCH(B2622,Manual_Review!$A$6:$A$238,0)</f>
        <v>164</v>
      </c>
      <c r="V2622" s="5" t="str">
        <f>IF(INDEX(Manual_Review!$G$6:$G$238,U2622)="","",INDEX(Manual_Review!$G$6:$G$238,U2622))</f>
        <v/>
      </c>
      <c r="W2622" s="11" t="str">
        <f>IF(INDEX(Manual_Review!$H$6:$H$238,U2622)="","",INDEX(Manual_Review!$H$6:$H$238,U2622))</f>
        <v/>
      </c>
      <c r="X2622" s="5" t="str">
        <f>IF(INDEX(Manual_Review!$I$6:$I$238,U2622)="","",INDEX(Manual_Review!$I$6:$I$238,U2622))</f>
        <v/>
      </c>
      <c r="Y2622" s="5" t="s">
        <v>2859</v>
      </c>
    </row>
    <row r="2623" spans="1:25" ht="25.5">
      <c r="A2623" s="5" t="s">
        <v>8223</v>
      </c>
      <c r="B2623" s="5" t="s">
        <v>1844</v>
      </c>
      <c r="C2623" s="5" t="s">
        <v>1845</v>
      </c>
      <c r="D2623" s="5" t="s">
        <v>118</v>
      </c>
      <c r="E2623" s="5" t="s">
        <v>2790</v>
      </c>
      <c r="F2623" s="5" t="s">
        <v>2760</v>
      </c>
      <c r="G2623" s="5">
        <v>1</v>
      </c>
      <c r="H2623" s="5" t="s">
        <v>2864</v>
      </c>
      <c r="I2623" s="5" t="str">
        <f>IF(INDEX(Manual_Review!$T$6:$T$238,U2623)="","",INDEX(Manual_Review!$T$6:$T$238,U2623))</f>
        <v/>
      </c>
      <c r="J2623" s="5" t="str">
        <f t="shared" si="80"/>
        <v>AI provisional</v>
      </c>
      <c r="K2623" s="5" t="str">
        <f t="shared" si="81"/>
        <v>U</v>
      </c>
      <c r="L2623" s="5" t="s">
        <v>1853</v>
      </c>
      <c r="M2623" s="5" t="s">
        <v>8224</v>
      </c>
      <c r="N2623" s="5" t="s">
        <v>8206</v>
      </c>
      <c r="O2623" s="5" t="s">
        <v>2885</v>
      </c>
      <c r="P2623" s="5" t="s">
        <v>2858</v>
      </c>
      <c r="Q2623" s="11">
        <v>46306.5</v>
      </c>
      <c r="R2623" s="6"/>
      <c r="S2623" s="6"/>
      <c r="T2623" s="6"/>
      <c r="U2623" s="5">
        <f>MATCH(B2623,Manual_Review!$A$6:$A$238,0)</f>
        <v>164</v>
      </c>
      <c r="V2623" s="5" t="str">
        <f>IF(INDEX(Manual_Review!$G$6:$G$238,U2623)="","",INDEX(Manual_Review!$G$6:$G$238,U2623))</f>
        <v/>
      </c>
      <c r="W2623" s="11" t="str">
        <f>IF(INDEX(Manual_Review!$H$6:$H$238,U2623)="","",INDEX(Manual_Review!$H$6:$H$238,U2623))</f>
        <v/>
      </c>
      <c r="X2623" s="5" t="str">
        <f>IF(INDEX(Manual_Review!$I$6:$I$238,U2623)="","",INDEX(Manual_Review!$I$6:$I$238,U2623))</f>
        <v/>
      </c>
      <c r="Y2623" s="5" t="s">
        <v>2859</v>
      </c>
    </row>
    <row r="2624" spans="1:25" ht="25.5">
      <c r="A2624" s="5" t="s">
        <v>8225</v>
      </c>
      <c r="B2624" s="5" t="s">
        <v>1844</v>
      </c>
      <c r="C2624" s="5" t="s">
        <v>1845</v>
      </c>
      <c r="D2624" s="5" t="s">
        <v>118</v>
      </c>
      <c r="E2624" s="5" t="s">
        <v>2791</v>
      </c>
      <c r="F2624" s="5" t="s">
        <v>2760</v>
      </c>
      <c r="G2624" s="5">
        <v>1</v>
      </c>
      <c r="H2624" s="5" t="s">
        <v>2864</v>
      </c>
      <c r="I2624" s="5" t="str">
        <f>IF(INDEX(Manual_Review!$U$6:$U$238,U2624)="","",INDEX(Manual_Review!$U$6:$U$238,U2624))</f>
        <v/>
      </c>
      <c r="J2624" s="5" t="str">
        <f t="shared" si="80"/>
        <v>AI provisional</v>
      </c>
      <c r="K2624" s="5" t="str">
        <f t="shared" si="81"/>
        <v>U</v>
      </c>
      <c r="L2624" s="5" t="s">
        <v>1853</v>
      </c>
      <c r="M2624" s="5" t="s">
        <v>8226</v>
      </c>
      <c r="N2624" s="5" t="s">
        <v>8206</v>
      </c>
      <c r="O2624" s="5" t="s">
        <v>2888</v>
      </c>
      <c r="P2624" s="5" t="s">
        <v>2858</v>
      </c>
      <c r="Q2624" s="11">
        <v>46306.5</v>
      </c>
      <c r="R2624" s="6"/>
      <c r="S2624" s="6"/>
      <c r="T2624" s="6"/>
      <c r="U2624" s="5">
        <f>MATCH(B2624,Manual_Review!$A$6:$A$238,0)</f>
        <v>164</v>
      </c>
      <c r="V2624" s="5" t="str">
        <f>IF(INDEX(Manual_Review!$G$6:$G$238,U2624)="","",INDEX(Manual_Review!$G$6:$G$238,U2624))</f>
        <v/>
      </c>
      <c r="W2624" s="11" t="str">
        <f>IF(INDEX(Manual_Review!$H$6:$H$238,U2624)="","",INDEX(Manual_Review!$H$6:$H$238,U2624))</f>
        <v/>
      </c>
      <c r="X2624" s="5" t="str">
        <f>IF(INDEX(Manual_Review!$I$6:$I$238,U2624)="","",INDEX(Manual_Review!$I$6:$I$238,U2624))</f>
        <v/>
      </c>
      <c r="Y2624" s="5" t="s">
        <v>2859</v>
      </c>
    </row>
    <row r="2625" spans="1:25" ht="25.5">
      <c r="A2625" s="5" t="s">
        <v>8227</v>
      </c>
      <c r="B2625" s="5" t="s">
        <v>1844</v>
      </c>
      <c r="C2625" s="5" t="s">
        <v>1845</v>
      </c>
      <c r="D2625" s="5" t="s">
        <v>118</v>
      </c>
      <c r="E2625" s="5" t="s">
        <v>2792</v>
      </c>
      <c r="F2625" s="5" t="s">
        <v>2762</v>
      </c>
      <c r="G2625" s="5">
        <v>1</v>
      </c>
      <c r="H2625" s="5" t="s">
        <v>2864</v>
      </c>
      <c r="I2625" s="5" t="str">
        <f>IF(INDEX(Manual_Review!$V$6:$V$238,U2625)="","",INDEX(Manual_Review!$V$6:$V$238,U2625))</f>
        <v/>
      </c>
      <c r="J2625" s="5" t="str">
        <f t="shared" si="80"/>
        <v>AI provisional</v>
      </c>
      <c r="K2625" s="5" t="str">
        <f t="shared" si="81"/>
        <v>U</v>
      </c>
      <c r="L2625" s="5" t="s">
        <v>1853</v>
      </c>
      <c r="M2625" s="5" t="s">
        <v>8228</v>
      </c>
      <c r="N2625" s="5" t="s">
        <v>8206</v>
      </c>
      <c r="O2625" s="5" t="s">
        <v>2891</v>
      </c>
      <c r="P2625" s="5" t="s">
        <v>2858</v>
      </c>
      <c r="Q2625" s="11">
        <v>46306.5</v>
      </c>
      <c r="R2625" s="6"/>
      <c r="S2625" s="6"/>
      <c r="T2625" s="6"/>
      <c r="U2625" s="5">
        <f>MATCH(B2625,Manual_Review!$A$6:$A$238,0)</f>
        <v>164</v>
      </c>
      <c r="V2625" s="5" t="str">
        <f>IF(INDEX(Manual_Review!$G$6:$G$238,U2625)="","",INDEX(Manual_Review!$G$6:$G$238,U2625))</f>
        <v/>
      </c>
      <c r="W2625" s="11" t="str">
        <f>IF(INDEX(Manual_Review!$H$6:$H$238,U2625)="","",INDEX(Manual_Review!$H$6:$H$238,U2625))</f>
        <v/>
      </c>
      <c r="X2625" s="5" t="str">
        <f>IF(INDEX(Manual_Review!$I$6:$I$238,U2625)="","",INDEX(Manual_Review!$I$6:$I$238,U2625))</f>
        <v/>
      </c>
      <c r="Y2625" s="5" t="s">
        <v>2859</v>
      </c>
    </row>
    <row r="2626" spans="1:25" ht="25.5">
      <c r="A2626" s="5" t="s">
        <v>8229</v>
      </c>
      <c r="B2626" s="5" t="s">
        <v>1844</v>
      </c>
      <c r="C2626" s="5" t="s">
        <v>1845</v>
      </c>
      <c r="D2626" s="5" t="s">
        <v>118</v>
      </c>
      <c r="E2626" s="5" t="s">
        <v>2793</v>
      </c>
      <c r="F2626" s="5" t="s">
        <v>2762</v>
      </c>
      <c r="G2626" s="5">
        <v>1</v>
      </c>
      <c r="H2626" s="5" t="s">
        <v>2854</v>
      </c>
      <c r="I2626" s="5" t="str">
        <f>IF(INDEX(Manual_Review!$W$6:$W$238,U2626)="","",INDEX(Manual_Review!$W$6:$W$238,U2626))</f>
        <v/>
      </c>
      <c r="J2626" s="5" t="str">
        <f t="shared" si="80"/>
        <v>AI provisional</v>
      </c>
      <c r="K2626" s="5" t="str">
        <f t="shared" si="81"/>
        <v>Y</v>
      </c>
      <c r="L2626" s="5" t="s">
        <v>1853</v>
      </c>
      <c r="M2626" s="5" t="s">
        <v>8228</v>
      </c>
      <c r="N2626" s="5" t="s">
        <v>8206</v>
      </c>
      <c r="O2626" s="5" t="s">
        <v>3077</v>
      </c>
      <c r="P2626" s="5" t="s">
        <v>2858</v>
      </c>
      <c r="Q2626" s="11">
        <v>46306.5</v>
      </c>
      <c r="R2626" s="6"/>
      <c r="S2626" s="6"/>
      <c r="T2626" s="6"/>
      <c r="U2626" s="5">
        <f>MATCH(B2626,Manual_Review!$A$6:$A$238,0)</f>
        <v>164</v>
      </c>
      <c r="V2626" s="5" t="str">
        <f>IF(INDEX(Manual_Review!$G$6:$G$238,U2626)="","",INDEX(Manual_Review!$G$6:$G$238,U2626))</f>
        <v/>
      </c>
      <c r="W2626" s="11" t="str">
        <f>IF(INDEX(Manual_Review!$H$6:$H$238,U2626)="","",INDEX(Manual_Review!$H$6:$H$238,U2626))</f>
        <v/>
      </c>
      <c r="X2626" s="5" t="str">
        <f>IF(INDEX(Manual_Review!$I$6:$I$238,U2626)="","",INDEX(Manual_Review!$I$6:$I$238,U2626))</f>
        <v/>
      </c>
      <c r="Y2626" s="5" t="s">
        <v>2859</v>
      </c>
    </row>
    <row r="2627" spans="1:25" ht="25.5">
      <c r="A2627" s="5" t="s">
        <v>8230</v>
      </c>
      <c r="B2627" s="5" t="s">
        <v>1844</v>
      </c>
      <c r="C2627" s="5" t="s">
        <v>1845</v>
      </c>
      <c r="D2627" s="5" t="s">
        <v>118</v>
      </c>
      <c r="E2627" s="5" t="s">
        <v>2794</v>
      </c>
      <c r="F2627" s="5" t="s">
        <v>2764</v>
      </c>
      <c r="G2627" s="5">
        <v>1</v>
      </c>
      <c r="H2627" s="5" t="s">
        <v>2854</v>
      </c>
      <c r="I2627" s="5" t="str">
        <f>IF(INDEX(Manual_Review!$X$6:$X$238,U2627)="","",INDEX(Manual_Review!$X$6:$X$238,U2627))</f>
        <v/>
      </c>
      <c r="J2627" s="5" t="str">
        <f t="shared" si="80"/>
        <v>AI provisional</v>
      </c>
      <c r="K2627" s="5" t="str">
        <f t="shared" si="81"/>
        <v>Y</v>
      </c>
      <c r="L2627" s="5" t="s">
        <v>1853</v>
      </c>
      <c r="M2627" s="5" t="s">
        <v>8231</v>
      </c>
      <c r="N2627" s="5" t="s">
        <v>8206</v>
      </c>
      <c r="O2627" s="5" t="s">
        <v>2984</v>
      </c>
      <c r="P2627" s="5" t="s">
        <v>2858</v>
      </c>
      <c r="Q2627" s="11">
        <v>46306.5</v>
      </c>
      <c r="R2627" s="6"/>
      <c r="S2627" s="6"/>
      <c r="T2627" s="6"/>
      <c r="U2627" s="5">
        <f>MATCH(B2627,Manual_Review!$A$6:$A$238,0)</f>
        <v>164</v>
      </c>
      <c r="V2627" s="5" t="str">
        <f>IF(INDEX(Manual_Review!$G$6:$G$238,U2627)="","",INDEX(Manual_Review!$G$6:$G$238,U2627))</f>
        <v/>
      </c>
      <c r="W2627" s="11" t="str">
        <f>IF(INDEX(Manual_Review!$H$6:$H$238,U2627)="","",INDEX(Manual_Review!$H$6:$H$238,U2627))</f>
        <v/>
      </c>
      <c r="X2627" s="5" t="str">
        <f>IF(INDEX(Manual_Review!$I$6:$I$238,U2627)="","",INDEX(Manual_Review!$I$6:$I$238,U2627))</f>
        <v/>
      </c>
      <c r="Y2627" s="5" t="s">
        <v>2859</v>
      </c>
    </row>
    <row r="2628" spans="1:25" ht="25.5">
      <c r="A2628" s="5" t="s">
        <v>8232</v>
      </c>
      <c r="B2628" s="5" t="s">
        <v>1844</v>
      </c>
      <c r="C2628" s="5" t="s">
        <v>1845</v>
      </c>
      <c r="D2628" s="5" t="s">
        <v>118</v>
      </c>
      <c r="E2628" s="5" t="s">
        <v>2795</v>
      </c>
      <c r="F2628" s="5" t="s">
        <v>2764</v>
      </c>
      <c r="G2628" s="5">
        <v>1</v>
      </c>
      <c r="H2628" s="5" t="s">
        <v>2854</v>
      </c>
      <c r="I2628" s="5" t="str">
        <f>IF(INDEX(Manual_Review!$Y$6:$Y$238,U2628)="","",INDEX(Manual_Review!$Y$6:$Y$238,U2628))</f>
        <v/>
      </c>
      <c r="J2628" s="5" t="str">
        <f t="shared" si="80"/>
        <v>AI provisional</v>
      </c>
      <c r="K2628" s="5" t="str">
        <f t="shared" si="81"/>
        <v>Y</v>
      </c>
      <c r="L2628" s="5" t="s">
        <v>1853</v>
      </c>
      <c r="M2628" s="5" t="s">
        <v>8233</v>
      </c>
      <c r="N2628" s="5" t="s">
        <v>8206</v>
      </c>
      <c r="O2628" s="5" t="s">
        <v>3082</v>
      </c>
      <c r="P2628" s="5" t="s">
        <v>2858</v>
      </c>
      <c r="Q2628" s="11">
        <v>46306.5</v>
      </c>
      <c r="R2628" s="6"/>
      <c r="S2628" s="6"/>
      <c r="T2628" s="6"/>
      <c r="U2628" s="5">
        <f>MATCH(B2628,Manual_Review!$A$6:$A$238,0)</f>
        <v>164</v>
      </c>
      <c r="V2628" s="5" t="str">
        <f>IF(INDEX(Manual_Review!$G$6:$G$238,U2628)="","",INDEX(Manual_Review!$G$6:$G$238,U2628))</f>
        <v/>
      </c>
      <c r="W2628" s="11" t="str">
        <f>IF(INDEX(Manual_Review!$H$6:$H$238,U2628)="","",INDEX(Manual_Review!$H$6:$H$238,U2628))</f>
        <v/>
      </c>
      <c r="X2628" s="5" t="str">
        <f>IF(INDEX(Manual_Review!$I$6:$I$238,U2628)="","",INDEX(Manual_Review!$I$6:$I$238,U2628))</f>
        <v/>
      </c>
      <c r="Y2628" s="5" t="s">
        <v>2859</v>
      </c>
    </row>
    <row r="2629" spans="1:25" ht="25.5">
      <c r="A2629" s="5" t="s">
        <v>8234</v>
      </c>
      <c r="B2629" s="5" t="s">
        <v>1844</v>
      </c>
      <c r="C2629" s="5" t="s">
        <v>1845</v>
      </c>
      <c r="D2629" s="5" t="s">
        <v>118</v>
      </c>
      <c r="E2629" s="5" t="s">
        <v>2796</v>
      </c>
      <c r="F2629" s="5" t="s">
        <v>2764</v>
      </c>
      <c r="G2629" s="5">
        <v>1</v>
      </c>
      <c r="H2629" s="5" t="s">
        <v>2864</v>
      </c>
      <c r="I2629" s="5" t="str">
        <f>IF(INDEX(Manual_Review!$Z$6:$Z$238,U2629)="","",INDEX(Manual_Review!$Z$6:$Z$238,U2629))</f>
        <v/>
      </c>
      <c r="J2629" s="5" t="str">
        <f t="shared" si="80"/>
        <v>AI provisional</v>
      </c>
      <c r="K2629" s="5" t="str">
        <f t="shared" si="81"/>
        <v>U</v>
      </c>
      <c r="L2629" s="5" t="s">
        <v>1853</v>
      </c>
      <c r="M2629" s="5" t="s">
        <v>8235</v>
      </c>
      <c r="N2629" s="5" t="s">
        <v>8206</v>
      </c>
      <c r="O2629" s="5" t="s">
        <v>2899</v>
      </c>
      <c r="P2629" s="5" t="s">
        <v>2858</v>
      </c>
      <c r="Q2629" s="11">
        <v>46306.5</v>
      </c>
      <c r="R2629" s="6"/>
      <c r="S2629" s="6"/>
      <c r="T2629" s="6"/>
      <c r="U2629" s="5">
        <f>MATCH(B2629,Manual_Review!$A$6:$A$238,0)</f>
        <v>164</v>
      </c>
      <c r="V2629" s="5" t="str">
        <f>IF(INDEX(Manual_Review!$G$6:$G$238,U2629)="","",INDEX(Manual_Review!$G$6:$G$238,U2629))</f>
        <v/>
      </c>
      <c r="W2629" s="11" t="str">
        <f>IF(INDEX(Manual_Review!$H$6:$H$238,U2629)="","",INDEX(Manual_Review!$H$6:$H$238,U2629))</f>
        <v/>
      </c>
      <c r="X2629" s="5" t="str">
        <f>IF(INDEX(Manual_Review!$I$6:$I$238,U2629)="","",INDEX(Manual_Review!$I$6:$I$238,U2629))</f>
        <v/>
      </c>
      <c r="Y2629" s="5" t="s">
        <v>2859</v>
      </c>
    </row>
    <row r="2630" spans="1:25" ht="25.5">
      <c r="A2630" s="5" t="s">
        <v>8236</v>
      </c>
      <c r="B2630" s="5" t="s">
        <v>1855</v>
      </c>
      <c r="C2630" s="5" t="s">
        <v>1856</v>
      </c>
      <c r="D2630" s="5" t="s">
        <v>118</v>
      </c>
      <c r="E2630" s="5" t="s">
        <v>2781</v>
      </c>
      <c r="F2630" s="5" t="s">
        <v>2754</v>
      </c>
      <c r="G2630" s="5">
        <v>1</v>
      </c>
      <c r="H2630" s="5" t="s">
        <v>2854</v>
      </c>
      <c r="I2630" s="5" t="str">
        <f>IF(INDEX(Manual_Review!$K$6:$K$238,U2630)="","",INDEX(Manual_Review!$K$6:$K$238,U2630))</f>
        <v/>
      </c>
      <c r="J2630" s="5" t="str">
        <f t="shared" ref="J2630:J2693" si="82">IF(G2630=0,"Not applicable",IF(I2630="","AI provisional",IF(AND(OR(I2630="Y",I2630="N",I2630="U",I2630="X"),V2630&lt;&gt;"",ISNUMBER(W2630),W2630&gt;0,X2630="Confirmed",R2630&lt;&gt;"",S2630&lt;&gt;"",T2630&lt;&gt;""),"Human valid","Evidence needed")))</f>
        <v>AI provisional</v>
      </c>
      <c r="K2630" s="5" t="str">
        <f t="shared" ref="K2630:K2693" si="83">IF(G2630=0,"N/A",IF(I2630="",H2630,IF(J2630="Human valid",I2630,"U")))</f>
        <v>Y</v>
      </c>
      <c r="L2630" s="5" t="s">
        <v>1858</v>
      </c>
      <c r="M2630" s="5" t="s">
        <v>8237</v>
      </c>
      <c r="N2630" s="5" t="s">
        <v>8238</v>
      </c>
      <c r="O2630" s="5" t="s">
        <v>2857</v>
      </c>
      <c r="P2630" s="5" t="s">
        <v>2858</v>
      </c>
      <c r="Q2630" s="11">
        <v>46306.5</v>
      </c>
      <c r="R2630" s="6"/>
      <c r="S2630" s="6"/>
      <c r="T2630" s="6"/>
      <c r="U2630" s="5">
        <f>MATCH(B2630,Manual_Review!$A$6:$A$238,0)</f>
        <v>165</v>
      </c>
      <c r="V2630" s="5" t="str">
        <f>IF(INDEX(Manual_Review!$G$6:$G$238,U2630)="","",INDEX(Manual_Review!$G$6:$G$238,U2630))</f>
        <v/>
      </c>
      <c r="W2630" s="11" t="str">
        <f>IF(INDEX(Manual_Review!$H$6:$H$238,U2630)="","",INDEX(Manual_Review!$H$6:$H$238,U2630))</f>
        <v/>
      </c>
      <c r="X2630" s="5" t="str">
        <f>IF(INDEX(Manual_Review!$I$6:$I$238,U2630)="","",INDEX(Manual_Review!$I$6:$I$238,U2630))</f>
        <v/>
      </c>
      <c r="Y2630" s="5" t="s">
        <v>2859</v>
      </c>
    </row>
    <row r="2631" spans="1:25" ht="25.5">
      <c r="A2631" s="5" t="s">
        <v>8239</v>
      </c>
      <c r="B2631" s="5" t="s">
        <v>1855</v>
      </c>
      <c r="C2631" s="5" t="s">
        <v>1856</v>
      </c>
      <c r="D2631" s="5" t="s">
        <v>118</v>
      </c>
      <c r="E2631" s="5" t="s">
        <v>2782</v>
      </c>
      <c r="F2631" s="5" t="s">
        <v>2754</v>
      </c>
      <c r="G2631" s="5">
        <v>1</v>
      </c>
      <c r="H2631" s="5" t="s">
        <v>2854</v>
      </c>
      <c r="I2631" s="5" t="str">
        <f>IF(INDEX(Manual_Review!$L$6:$L$238,U2631)="","",INDEX(Manual_Review!$L$6:$L$238,U2631))</f>
        <v/>
      </c>
      <c r="J2631" s="5" t="str">
        <f t="shared" si="82"/>
        <v>AI provisional</v>
      </c>
      <c r="K2631" s="5" t="str">
        <f t="shared" si="83"/>
        <v>Y</v>
      </c>
      <c r="L2631" s="5" t="s">
        <v>1858</v>
      </c>
      <c r="M2631" s="5" t="s">
        <v>8240</v>
      </c>
      <c r="N2631" s="5" t="s">
        <v>8238</v>
      </c>
      <c r="O2631" s="5" t="s">
        <v>2862</v>
      </c>
      <c r="P2631" s="5" t="s">
        <v>2858</v>
      </c>
      <c r="Q2631" s="11">
        <v>46306.5</v>
      </c>
      <c r="R2631" s="6"/>
      <c r="S2631" s="6"/>
      <c r="T2631" s="6"/>
      <c r="U2631" s="5">
        <f>MATCH(B2631,Manual_Review!$A$6:$A$238,0)</f>
        <v>165</v>
      </c>
      <c r="V2631" s="5" t="str">
        <f>IF(INDEX(Manual_Review!$G$6:$G$238,U2631)="","",INDEX(Manual_Review!$G$6:$G$238,U2631))</f>
        <v/>
      </c>
      <c r="W2631" s="11" t="str">
        <f>IF(INDEX(Manual_Review!$H$6:$H$238,U2631)="","",INDEX(Manual_Review!$H$6:$H$238,U2631))</f>
        <v/>
      </c>
      <c r="X2631" s="5" t="str">
        <f>IF(INDEX(Manual_Review!$I$6:$I$238,U2631)="","",INDEX(Manual_Review!$I$6:$I$238,U2631))</f>
        <v/>
      </c>
      <c r="Y2631" s="5" t="s">
        <v>2859</v>
      </c>
    </row>
    <row r="2632" spans="1:25" ht="25.5">
      <c r="A2632" s="5" t="s">
        <v>8241</v>
      </c>
      <c r="B2632" s="5" t="s">
        <v>1855</v>
      </c>
      <c r="C2632" s="5" t="s">
        <v>1856</v>
      </c>
      <c r="D2632" s="5" t="s">
        <v>118</v>
      </c>
      <c r="E2632" s="5" t="s">
        <v>2783</v>
      </c>
      <c r="F2632" s="5" t="s">
        <v>2754</v>
      </c>
      <c r="G2632" s="5">
        <v>1</v>
      </c>
      <c r="H2632" s="5" t="s">
        <v>2854</v>
      </c>
      <c r="I2632" s="5" t="str">
        <f>IF(INDEX(Manual_Review!$M$6:$M$238,U2632)="","",INDEX(Manual_Review!$M$6:$M$238,U2632))</f>
        <v/>
      </c>
      <c r="J2632" s="5" t="str">
        <f t="shared" si="82"/>
        <v>AI provisional</v>
      </c>
      <c r="K2632" s="5" t="str">
        <f t="shared" si="83"/>
        <v>Y</v>
      </c>
      <c r="L2632" s="5" t="s">
        <v>1858</v>
      </c>
      <c r="M2632" s="5" t="s">
        <v>8242</v>
      </c>
      <c r="N2632" s="5" t="s">
        <v>8238</v>
      </c>
      <c r="O2632" s="5" t="s">
        <v>3133</v>
      </c>
      <c r="P2632" s="5" t="s">
        <v>2858</v>
      </c>
      <c r="Q2632" s="11">
        <v>46306.5</v>
      </c>
      <c r="R2632" s="6"/>
      <c r="S2632" s="6"/>
      <c r="T2632" s="6"/>
      <c r="U2632" s="5">
        <f>MATCH(B2632,Manual_Review!$A$6:$A$238,0)</f>
        <v>165</v>
      </c>
      <c r="V2632" s="5" t="str">
        <f>IF(INDEX(Manual_Review!$G$6:$G$238,U2632)="","",INDEX(Manual_Review!$G$6:$G$238,U2632))</f>
        <v/>
      </c>
      <c r="W2632" s="11" t="str">
        <f>IF(INDEX(Manual_Review!$H$6:$H$238,U2632)="","",INDEX(Manual_Review!$H$6:$H$238,U2632))</f>
        <v/>
      </c>
      <c r="X2632" s="5" t="str">
        <f>IF(INDEX(Manual_Review!$I$6:$I$238,U2632)="","",INDEX(Manual_Review!$I$6:$I$238,U2632))</f>
        <v/>
      </c>
      <c r="Y2632" s="5" t="s">
        <v>2859</v>
      </c>
    </row>
    <row r="2633" spans="1:25" ht="25.5">
      <c r="A2633" s="5" t="s">
        <v>8243</v>
      </c>
      <c r="B2633" s="5" t="s">
        <v>1855</v>
      </c>
      <c r="C2633" s="5" t="s">
        <v>1856</v>
      </c>
      <c r="D2633" s="5" t="s">
        <v>118</v>
      </c>
      <c r="E2633" s="5" t="s">
        <v>2784</v>
      </c>
      <c r="F2633" s="5" t="s">
        <v>2756</v>
      </c>
      <c r="G2633" s="5">
        <v>1</v>
      </c>
      <c r="H2633" s="5" t="s">
        <v>2864</v>
      </c>
      <c r="I2633" s="5" t="str">
        <f>IF(INDEX(Manual_Review!$N$6:$N$238,U2633)="","",INDEX(Manual_Review!$N$6:$N$238,U2633))</f>
        <v/>
      </c>
      <c r="J2633" s="5" t="str">
        <f t="shared" si="82"/>
        <v>AI provisional</v>
      </c>
      <c r="K2633" s="5" t="str">
        <f t="shared" si="83"/>
        <v>U</v>
      </c>
      <c r="L2633" s="5" t="s">
        <v>1858</v>
      </c>
      <c r="M2633" s="5" t="s">
        <v>8244</v>
      </c>
      <c r="N2633" s="5" t="s">
        <v>8238</v>
      </c>
      <c r="O2633" s="5" t="s">
        <v>2869</v>
      </c>
      <c r="P2633" s="5" t="s">
        <v>2858</v>
      </c>
      <c r="Q2633" s="11">
        <v>46306.5</v>
      </c>
      <c r="R2633" s="6"/>
      <c r="S2633" s="6"/>
      <c r="T2633" s="6"/>
      <c r="U2633" s="5">
        <f>MATCH(B2633,Manual_Review!$A$6:$A$238,0)</f>
        <v>165</v>
      </c>
      <c r="V2633" s="5" t="str">
        <f>IF(INDEX(Manual_Review!$G$6:$G$238,U2633)="","",INDEX(Manual_Review!$G$6:$G$238,U2633))</f>
        <v/>
      </c>
      <c r="W2633" s="11" t="str">
        <f>IF(INDEX(Manual_Review!$H$6:$H$238,U2633)="","",INDEX(Manual_Review!$H$6:$H$238,U2633))</f>
        <v/>
      </c>
      <c r="X2633" s="5" t="str">
        <f>IF(INDEX(Manual_Review!$I$6:$I$238,U2633)="","",INDEX(Manual_Review!$I$6:$I$238,U2633))</f>
        <v/>
      </c>
      <c r="Y2633" s="5" t="s">
        <v>2859</v>
      </c>
    </row>
    <row r="2634" spans="1:25" ht="25.5">
      <c r="A2634" s="5" t="s">
        <v>8245</v>
      </c>
      <c r="B2634" s="5" t="s">
        <v>1855</v>
      </c>
      <c r="C2634" s="5" t="s">
        <v>1856</v>
      </c>
      <c r="D2634" s="5" t="s">
        <v>118</v>
      </c>
      <c r="E2634" s="5" t="s">
        <v>2785</v>
      </c>
      <c r="F2634" s="5" t="s">
        <v>2756</v>
      </c>
      <c r="G2634" s="5">
        <v>1</v>
      </c>
      <c r="H2634" s="5" t="s">
        <v>2864</v>
      </c>
      <c r="I2634" s="5" t="str">
        <f>IF(INDEX(Manual_Review!$O$6:$O$238,U2634)="","",INDEX(Manual_Review!$O$6:$O$238,U2634))</f>
        <v/>
      </c>
      <c r="J2634" s="5" t="str">
        <f t="shared" si="82"/>
        <v>AI provisional</v>
      </c>
      <c r="K2634" s="5" t="str">
        <f t="shared" si="83"/>
        <v>U</v>
      </c>
      <c r="L2634" s="5" t="s">
        <v>1858</v>
      </c>
      <c r="M2634" s="5" t="s">
        <v>8244</v>
      </c>
      <c r="N2634" s="5" t="s">
        <v>8238</v>
      </c>
      <c r="O2634" s="5" t="s">
        <v>2872</v>
      </c>
      <c r="P2634" s="5" t="s">
        <v>2858</v>
      </c>
      <c r="Q2634" s="11">
        <v>46306.5</v>
      </c>
      <c r="R2634" s="6"/>
      <c r="S2634" s="6"/>
      <c r="T2634" s="6"/>
      <c r="U2634" s="5">
        <f>MATCH(B2634,Manual_Review!$A$6:$A$238,0)</f>
        <v>165</v>
      </c>
      <c r="V2634" s="5" t="str">
        <f>IF(INDEX(Manual_Review!$G$6:$G$238,U2634)="","",INDEX(Manual_Review!$G$6:$G$238,U2634))</f>
        <v/>
      </c>
      <c r="W2634" s="11" t="str">
        <f>IF(INDEX(Manual_Review!$H$6:$H$238,U2634)="","",INDEX(Manual_Review!$H$6:$H$238,U2634))</f>
        <v/>
      </c>
      <c r="X2634" s="5" t="str">
        <f>IF(INDEX(Manual_Review!$I$6:$I$238,U2634)="","",INDEX(Manual_Review!$I$6:$I$238,U2634))</f>
        <v/>
      </c>
      <c r="Y2634" s="5" t="s">
        <v>2859</v>
      </c>
    </row>
    <row r="2635" spans="1:25" ht="25.5">
      <c r="A2635" s="5" t="s">
        <v>8246</v>
      </c>
      <c r="B2635" s="5" t="s">
        <v>1855</v>
      </c>
      <c r="C2635" s="5" t="s">
        <v>1856</v>
      </c>
      <c r="D2635" s="5" t="s">
        <v>118</v>
      </c>
      <c r="E2635" s="5" t="s">
        <v>2786</v>
      </c>
      <c r="F2635" s="5" t="s">
        <v>2756</v>
      </c>
      <c r="G2635" s="5">
        <v>1</v>
      </c>
      <c r="H2635" s="5" t="s">
        <v>2864</v>
      </c>
      <c r="I2635" s="5" t="str">
        <f>IF(INDEX(Manual_Review!$P$6:$P$238,U2635)="","",INDEX(Manual_Review!$P$6:$P$238,U2635))</f>
        <v/>
      </c>
      <c r="J2635" s="5" t="str">
        <f t="shared" si="82"/>
        <v>AI provisional</v>
      </c>
      <c r="K2635" s="5" t="str">
        <f t="shared" si="83"/>
        <v>U</v>
      </c>
      <c r="L2635" s="5" t="s">
        <v>1858</v>
      </c>
      <c r="M2635" s="5" t="s">
        <v>8244</v>
      </c>
      <c r="N2635" s="5" t="s">
        <v>8238</v>
      </c>
      <c r="O2635" s="5" t="s">
        <v>2874</v>
      </c>
      <c r="P2635" s="5" t="s">
        <v>2858</v>
      </c>
      <c r="Q2635" s="11">
        <v>46306.5</v>
      </c>
      <c r="R2635" s="6"/>
      <c r="S2635" s="6"/>
      <c r="T2635" s="6"/>
      <c r="U2635" s="5">
        <f>MATCH(B2635,Manual_Review!$A$6:$A$238,0)</f>
        <v>165</v>
      </c>
      <c r="V2635" s="5" t="str">
        <f>IF(INDEX(Manual_Review!$G$6:$G$238,U2635)="","",INDEX(Manual_Review!$G$6:$G$238,U2635))</f>
        <v/>
      </c>
      <c r="W2635" s="11" t="str">
        <f>IF(INDEX(Manual_Review!$H$6:$H$238,U2635)="","",INDEX(Manual_Review!$H$6:$H$238,U2635))</f>
        <v/>
      </c>
      <c r="X2635" s="5" t="str">
        <f>IF(INDEX(Manual_Review!$I$6:$I$238,U2635)="","",INDEX(Manual_Review!$I$6:$I$238,U2635))</f>
        <v/>
      </c>
      <c r="Y2635" s="5" t="s">
        <v>2859</v>
      </c>
    </row>
    <row r="2636" spans="1:25" ht="25.5">
      <c r="A2636" s="5" t="s">
        <v>8247</v>
      </c>
      <c r="B2636" s="5" t="s">
        <v>1855</v>
      </c>
      <c r="C2636" s="5" t="s">
        <v>1856</v>
      </c>
      <c r="D2636" s="5" t="s">
        <v>118</v>
      </c>
      <c r="E2636" s="5" t="s">
        <v>2787</v>
      </c>
      <c r="F2636" s="5" t="s">
        <v>2758</v>
      </c>
      <c r="G2636" s="5">
        <v>1</v>
      </c>
      <c r="H2636" s="5" t="s">
        <v>2864</v>
      </c>
      <c r="I2636" s="5" t="str">
        <f>IF(INDEX(Manual_Review!$Q$6:$Q$238,U2636)="","",INDEX(Manual_Review!$Q$6:$Q$238,U2636))</f>
        <v/>
      </c>
      <c r="J2636" s="5" t="str">
        <f t="shared" si="82"/>
        <v>AI provisional</v>
      </c>
      <c r="K2636" s="5" t="str">
        <f t="shared" si="83"/>
        <v>U</v>
      </c>
      <c r="L2636" s="5" t="s">
        <v>1858</v>
      </c>
      <c r="M2636" s="5" t="s">
        <v>8244</v>
      </c>
      <c r="N2636" s="5" t="s">
        <v>8238</v>
      </c>
      <c r="O2636" s="5" t="s">
        <v>2877</v>
      </c>
      <c r="P2636" s="5" t="s">
        <v>2858</v>
      </c>
      <c r="Q2636" s="11">
        <v>46306.5</v>
      </c>
      <c r="R2636" s="6"/>
      <c r="S2636" s="6"/>
      <c r="T2636" s="6"/>
      <c r="U2636" s="5">
        <f>MATCH(B2636,Manual_Review!$A$6:$A$238,0)</f>
        <v>165</v>
      </c>
      <c r="V2636" s="5" t="str">
        <f>IF(INDEX(Manual_Review!$G$6:$G$238,U2636)="","",INDEX(Manual_Review!$G$6:$G$238,U2636))</f>
        <v/>
      </c>
      <c r="W2636" s="11" t="str">
        <f>IF(INDEX(Manual_Review!$H$6:$H$238,U2636)="","",INDEX(Manual_Review!$H$6:$H$238,U2636))</f>
        <v/>
      </c>
      <c r="X2636" s="5" t="str">
        <f>IF(INDEX(Manual_Review!$I$6:$I$238,U2636)="","",INDEX(Manual_Review!$I$6:$I$238,U2636))</f>
        <v/>
      </c>
      <c r="Y2636" s="5" t="s">
        <v>2859</v>
      </c>
    </row>
    <row r="2637" spans="1:25" ht="25.5">
      <c r="A2637" s="5" t="s">
        <v>8248</v>
      </c>
      <c r="B2637" s="5" t="s">
        <v>1855</v>
      </c>
      <c r="C2637" s="5" t="s">
        <v>1856</v>
      </c>
      <c r="D2637" s="5" t="s">
        <v>118</v>
      </c>
      <c r="E2637" s="5" t="s">
        <v>2788</v>
      </c>
      <c r="F2637" s="5" t="s">
        <v>2758</v>
      </c>
      <c r="G2637" s="5">
        <v>1</v>
      </c>
      <c r="H2637" s="5" t="s">
        <v>2864</v>
      </c>
      <c r="I2637" s="5" t="str">
        <f>IF(INDEX(Manual_Review!$R$6:$R$238,U2637)="","",INDEX(Manual_Review!$R$6:$R$238,U2637))</f>
        <v/>
      </c>
      <c r="J2637" s="5" t="str">
        <f t="shared" si="82"/>
        <v>AI provisional</v>
      </c>
      <c r="K2637" s="5" t="str">
        <f t="shared" si="83"/>
        <v>U</v>
      </c>
      <c r="L2637" s="5" t="s">
        <v>1858</v>
      </c>
      <c r="M2637" s="5" t="s">
        <v>8249</v>
      </c>
      <c r="N2637" s="5" t="s">
        <v>8238</v>
      </c>
      <c r="O2637" s="5" t="s">
        <v>2880</v>
      </c>
      <c r="P2637" s="5" t="s">
        <v>2858</v>
      </c>
      <c r="Q2637" s="11">
        <v>46306.5</v>
      </c>
      <c r="R2637" s="6"/>
      <c r="S2637" s="6"/>
      <c r="T2637" s="6"/>
      <c r="U2637" s="5">
        <f>MATCH(B2637,Manual_Review!$A$6:$A$238,0)</f>
        <v>165</v>
      </c>
      <c r="V2637" s="5" t="str">
        <f>IF(INDEX(Manual_Review!$G$6:$G$238,U2637)="","",INDEX(Manual_Review!$G$6:$G$238,U2637))</f>
        <v/>
      </c>
      <c r="W2637" s="11" t="str">
        <f>IF(INDEX(Manual_Review!$H$6:$H$238,U2637)="","",INDEX(Manual_Review!$H$6:$H$238,U2637))</f>
        <v/>
      </c>
      <c r="X2637" s="5" t="str">
        <f>IF(INDEX(Manual_Review!$I$6:$I$238,U2637)="","",INDEX(Manual_Review!$I$6:$I$238,U2637))</f>
        <v/>
      </c>
      <c r="Y2637" s="5" t="s">
        <v>2859</v>
      </c>
    </row>
    <row r="2638" spans="1:25" ht="25.5">
      <c r="A2638" s="5" t="s">
        <v>8250</v>
      </c>
      <c r="B2638" s="5" t="s">
        <v>1855</v>
      </c>
      <c r="C2638" s="5" t="s">
        <v>1856</v>
      </c>
      <c r="D2638" s="5" t="s">
        <v>118</v>
      </c>
      <c r="E2638" s="5" t="s">
        <v>2789</v>
      </c>
      <c r="F2638" s="5" t="s">
        <v>2758</v>
      </c>
      <c r="G2638" s="5">
        <v>1</v>
      </c>
      <c r="H2638" s="5" t="s">
        <v>2864</v>
      </c>
      <c r="I2638" s="5" t="str">
        <f>IF(INDEX(Manual_Review!$S$6:$S$238,U2638)="","",INDEX(Manual_Review!$S$6:$S$238,U2638))</f>
        <v/>
      </c>
      <c r="J2638" s="5" t="str">
        <f t="shared" si="82"/>
        <v>AI provisional</v>
      </c>
      <c r="K2638" s="5" t="str">
        <f t="shared" si="83"/>
        <v>U</v>
      </c>
      <c r="L2638" s="5" t="s">
        <v>1858</v>
      </c>
      <c r="M2638" s="5" t="s">
        <v>8251</v>
      </c>
      <c r="N2638" s="5" t="s">
        <v>8238</v>
      </c>
      <c r="O2638" s="5" t="s">
        <v>2883</v>
      </c>
      <c r="P2638" s="5" t="s">
        <v>2858</v>
      </c>
      <c r="Q2638" s="11">
        <v>46306.5</v>
      </c>
      <c r="R2638" s="6"/>
      <c r="S2638" s="6"/>
      <c r="T2638" s="6"/>
      <c r="U2638" s="5">
        <f>MATCH(B2638,Manual_Review!$A$6:$A$238,0)</f>
        <v>165</v>
      </c>
      <c r="V2638" s="5" t="str">
        <f>IF(INDEX(Manual_Review!$G$6:$G$238,U2638)="","",INDEX(Manual_Review!$G$6:$G$238,U2638))</f>
        <v/>
      </c>
      <c r="W2638" s="11" t="str">
        <f>IF(INDEX(Manual_Review!$H$6:$H$238,U2638)="","",INDEX(Manual_Review!$H$6:$H$238,U2638))</f>
        <v/>
      </c>
      <c r="X2638" s="5" t="str">
        <f>IF(INDEX(Manual_Review!$I$6:$I$238,U2638)="","",INDEX(Manual_Review!$I$6:$I$238,U2638))</f>
        <v/>
      </c>
      <c r="Y2638" s="5" t="s">
        <v>2859</v>
      </c>
    </row>
    <row r="2639" spans="1:25" ht="25.5">
      <c r="A2639" s="5" t="s">
        <v>8252</v>
      </c>
      <c r="B2639" s="5" t="s">
        <v>1855</v>
      </c>
      <c r="C2639" s="5" t="s">
        <v>1856</v>
      </c>
      <c r="D2639" s="5" t="s">
        <v>118</v>
      </c>
      <c r="E2639" s="5" t="s">
        <v>2790</v>
      </c>
      <c r="F2639" s="5" t="s">
        <v>2760</v>
      </c>
      <c r="G2639" s="5">
        <v>1</v>
      </c>
      <c r="H2639" s="5" t="s">
        <v>2864</v>
      </c>
      <c r="I2639" s="5" t="str">
        <f>IF(INDEX(Manual_Review!$T$6:$T$238,U2639)="","",INDEX(Manual_Review!$T$6:$T$238,U2639))</f>
        <v/>
      </c>
      <c r="J2639" s="5" t="str">
        <f t="shared" si="82"/>
        <v>AI provisional</v>
      </c>
      <c r="K2639" s="5" t="str">
        <f t="shared" si="83"/>
        <v>U</v>
      </c>
      <c r="L2639" s="5" t="s">
        <v>1858</v>
      </c>
      <c r="M2639" s="5" t="s">
        <v>8244</v>
      </c>
      <c r="N2639" s="5" t="s">
        <v>8238</v>
      </c>
      <c r="O2639" s="5" t="s">
        <v>2885</v>
      </c>
      <c r="P2639" s="5" t="s">
        <v>2858</v>
      </c>
      <c r="Q2639" s="11">
        <v>46306.5</v>
      </c>
      <c r="R2639" s="6"/>
      <c r="S2639" s="6"/>
      <c r="T2639" s="6"/>
      <c r="U2639" s="5">
        <f>MATCH(B2639,Manual_Review!$A$6:$A$238,0)</f>
        <v>165</v>
      </c>
      <c r="V2639" s="5" t="str">
        <f>IF(INDEX(Manual_Review!$G$6:$G$238,U2639)="","",INDEX(Manual_Review!$G$6:$G$238,U2639))</f>
        <v/>
      </c>
      <c r="W2639" s="11" t="str">
        <f>IF(INDEX(Manual_Review!$H$6:$H$238,U2639)="","",INDEX(Manual_Review!$H$6:$H$238,U2639))</f>
        <v/>
      </c>
      <c r="X2639" s="5" t="str">
        <f>IF(INDEX(Manual_Review!$I$6:$I$238,U2639)="","",INDEX(Manual_Review!$I$6:$I$238,U2639))</f>
        <v/>
      </c>
      <c r="Y2639" s="5" t="s">
        <v>2859</v>
      </c>
    </row>
    <row r="2640" spans="1:25" ht="25.5">
      <c r="A2640" s="5" t="s">
        <v>8253</v>
      </c>
      <c r="B2640" s="5" t="s">
        <v>1855</v>
      </c>
      <c r="C2640" s="5" t="s">
        <v>1856</v>
      </c>
      <c r="D2640" s="5" t="s">
        <v>118</v>
      </c>
      <c r="E2640" s="5" t="s">
        <v>2791</v>
      </c>
      <c r="F2640" s="5" t="s">
        <v>2760</v>
      </c>
      <c r="G2640" s="5">
        <v>1</v>
      </c>
      <c r="H2640" s="5" t="s">
        <v>2864</v>
      </c>
      <c r="I2640" s="5" t="str">
        <f>IF(INDEX(Manual_Review!$U$6:$U$238,U2640)="","",INDEX(Manual_Review!$U$6:$U$238,U2640))</f>
        <v/>
      </c>
      <c r="J2640" s="5" t="str">
        <f t="shared" si="82"/>
        <v>AI provisional</v>
      </c>
      <c r="K2640" s="5" t="str">
        <f t="shared" si="83"/>
        <v>U</v>
      </c>
      <c r="L2640" s="5" t="s">
        <v>1858</v>
      </c>
      <c r="M2640" s="5" t="s">
        <v>8244</v>
      </c>
      <c r="N2640" s="5" t="s">
        <v>8238</v>
      </c>
      <c r="O2640" s="5" t="s">
        <v>2888</v>
      </c>
      <c r="P2640" s="5" t="s">
        <v>2858</v>
      </c>
      <c r="Q2640" s="11">
        <v>46306.5</v>
      </c>
      <c r="R2640" s="6"/>
      <c r="S2640" s="6"/>
      <c r="T2640" s="6"/>
      <c r="U2640" s="5">
        <f>MATCH(B2640,Manual_Review!$A$6:$A$238,0)</f>
        <v>165</v>
      </c>
      <c r="V2640" s="5" t="str">
        <f>IF(INDEX(Manual_Review!$G$6:$G$238,U2640)="","",INDEX(Manual_Review!$G$6:$G$238,U2640))</f>
        <v/>
      </c>
      <c r="W2640" s="11" t="str">
        <f>IF(INDEX(Manual_Review!$H$6:$H$238,U2640)="","",INDEX(Manual_Review!$H$6:$H$238,U2640))</f>
        <v/>
      </c>
      <c r="X2640" s="5" t="str">
        <f>IF(INDEX(Manual_Review!$I$6:$I$238,U2640)="","",INDEX(Manual_Review!$I$6:$I$238,U2640))</f>
        <v/>
      </c>
      <c r="Y2640" s="5" t="s">
        <v>2859</v>
      </c>
    </row>
    <row r="2641" spans="1:25" ht="25.5">
      <c r="A2641" s="5" t="s">
        <v>8254</v>
      </c>
      <c r="B2641" s="5" t="s">
        <v>1855</v>
      </c>
      <c r="C2641" s="5" t="s">
        <v>1856</v>
      </c>
      <c r="D2641" s="5" t="s">
        <v>118</v>
      </c>
      <c r="E2641" s="5" t="s">
        <v>2792</v>
      </c>
      <c r="F2641" s="5" t="s">
        <v>2762</v>
      </c>
      <c r="G2641" s="5">
        <v>1</v>
      </c>
      <c r="H2641" s="5" t="s">
        <v>2864</v>
      </c>
      <c r="I2641" s="5" t="str">
        <f>IF(INDEX(Manual_Review!$V$6:$V$238,U2641)="","",INDEX(Manual_Review!$V$6:$V$238,U2641))</f>
        <v/>
      </c>
      <c r="J2641" s="5" t="str">
        <f t="shared" si="82"/>
        <v>AI provisional</v>
      </c>
      <c r="K2641" s="5" t="str">
        <f t="shared" si="83"/>
        <v>U</v>
      </c>
      <c r="L2641" s="5" t="s">
        <v>1858</v>
      </c>
      <c r="M2641" s="5" t="s">
        <v>8244</v>
      </c>
      <c r="N2641" s="5" t="s">
        <v>8238</v>
      </c>
      <c r="O2641" s="5" t="s">
        <v>2891</v>
      </c>
      <c r="P2641" s="5" t="s">
        <v>2858</v>
      </c>
      <c r="Q2641" s="11">
        <v>46306.5</v>
      </c>
      <c r="R2641" s="6"/>
      <c r="S2641" s="6"/>
      <c r="T2641" s="6"/>
      <c r="U2641" s="5">
        <f>MATCH(B2641,Manual_Review!$A$6:$A$238,0)</f>
        <v>165</v>
      </c>
      <c r="V2641" s="5" t="str">
        <f>IF(INDEX(Manual_Review!$G$6:$G$238,U2641)="","",INDEX(Manual_Review!$G$6:$G$238,U2641))</f>
        <v/>
      </c>
      <c r="W2641" s="11" t="str">
        <f>IF(INDEX(Manual_Review!$H$6:$H$238,U2641)="","",INDEX(Manual_Review!$H$6:$H$238,U2641))</f>
        <v/>
      </c>
      <c r="X2641" s="5" t="str">
        <f>IF(INDEX(Manual_Review!$I$6:$I$238,U2641)="","",INDEX(Manual_Review!$I$6:$I$238,U2641))</f>
        <v/>
      </c>
      <c r="Y2641" s="5" t="s">
        <v>2859</v>
      </c>
    </row>
    <row r="2642" spans="1:25" ht="25.5">
      <c r="A2642" s="5" t="s">
        <v>8255</v>
      </c>
      <c r="B2642" s="5" t="s">
        <v>1855</v>
      </c>
      <c r="C2642" s="5" t="s">
        <v>1856</v>
      </c>
      <c r="D2642" s="5" t="s">
        <v>118</v>
      </c>
      <c r="E2642" s="5" t="s">
        <v>2793</v>
      </c>
      <c r="F2642" s="5" t="s">
        <v>2762</v>
      </c>
      <c r="G2642" s="5">
        <v>1</v>
      </c>
      <c r="H2642" s="5" t="s">
        <v>2864</v>
      </c>
      <c r="I2642" s="5" t="str">
        <f>IF(INDEX(Manual_Review!$W$6:$W$238,U2642)="","",INDEX(Manual_Review!$W$6:$W$238,U2642))</f>
        <v/>
      </c>
      <c r="J2642" s="5" t="str">
        <f t="shared" si="82"/>
        <v>AI provisional</v>
      </c>
      <c r="K2642" s="5" t="str">
        <f t="shared" si="83"/>
        <v>U</v>
      </c>
      <c r="L2642" s="5" t="s">
        <v>1858</v>
      </c>
      <c r="M2642" s="5" t="s">
        <v>8244</v>
      </c>
      <c r="N2642" s="5" t="s">
        <v>8238</v>
      </c>
      <c r="O2642" s="5" t="s">
        <v>2893</v>
      </c>
      <c r="P2642" s="5" t="s">
        <v>2858</v>
      </c>
      <c r="Q2642" s="11">
        <v>46306.5</v>
      </c>
      <c r="R2642" s="6"/>
      <c r="S2642" s="6"/>
      <c r="T2642" s="6"/>
      <c r="U2642" s="5">
        <f>MATCH(B2642,Manual_Review!$A$6:$A$238,0)</f>
        <v>165</v>
      </c>
      <c r="V2642" s="5" t="str">
        <f>IF(INDEX(Manual_Review!$G$6:$G$238,U2642)="","",INDEX(Manual_Review!$G$6:$G$238,U2642))</f>
        <v/>
      </c>
      <c r="W2642" s="11" t="str">
        <f>IF(INDEX(Manual_Review!$H$6:$H$238,U2642)="","",INDEX(Manual_Review!$H$6:$H$238,U2642))</f>
        <v/>
      </c>
      <c r="X2642" s="5" t="str">
        <f>IF(INDEX(Manual_Review!$I$6:$I$238,U2642)="","",INDEX(Manual_Review!$I$6:$I$238,U2642))</f>
        <v/>
      </c>
      <c r="Y2642" s="5" t="s">
        <v>2859</v>
      </c>
    </row>
    <row r="2643" spans="1:25" ht="25.5">
      <c r="A2643" s="5" t="s">
        <v>8256</v>
      </c>
      <c r="B2643" s="5" t="s">
        <v>1855</v>
      </c>
      <c r="C2643" s="5" t="s">
        <v>1856</v>
      </c>
      <c r="D2643" s="5" t="s">
        <v>118</v>
      </c>
      <c r="E2643" s="5" t="s">
        <v>2794</v>
      </c>
      <c r="F2643" s="5" t="s">
        <v>2764</v>
      </c>
      <c r="G2643" s="5">
        <v>1</v>
      </c>
      <c r="H2643" s="5" t="s">
        <v>2864</v>
      </c>
      <c r="I2643" s="5" t="str">
        <f>IF(INDEX(Manual_Review!$X$6:$X$238,U2643)="","",INDEX(Manual_Review!$X$6:$X$238,U2643))</f>
        <v/>
      </c>
      <c r="J2643" s="5" t="str">
        <f t="shared" si="82"/>
        <v>AI provisional</v>
      </c>
      <c r="K2643" s="5" t="str">
        <f t="shared" si="83"/>
        <v>U</v>
      </c>
      <c r="L2643" s="5" t="s">
        <v>1858</v>
      </c>
      <c r="M2643" s="5" t="s">
        <v>8244</v>
      </c>
      <c r="N2643" s="5" t="s">
        <v>8238</v>
      </c>
      <c r="O2643" s="5" t="s">
        <v>2895</v>
      </c>
      <c r="P2643" s="5" t="s">
        <v>2858</v>
      </c>
      <c r="Q2643" s="11">
        <v>46306.5</v>
      </c>
      <c r="R2643" s="6"/>
      <c r="S2643" s="6"/>
      <c r="T2643" s="6"/>
      <c r="U2643" s="5">
        <f>MATCH(B2643,Manual_Review!$A$6:$A$238,0)</f>
        <v>165</v>
      </c>
      <c r="V2643" s="5" t="str">
        <f>IF(INDEX(Manual_Review!$G$6:$G$238,U2643)="","",INDEX(Manual_Review!$G$6:$G$238,U2643))</f>
        <v/>
      </c>
      <c r="W2643" s="11" t="str">
        <f>IF(INDEX(Manual_Review!$H$6:$H$238,U2643)="","",INDEX(Manual_Review!$H$6:$H$238,U2643))</f>
        <v/>
      </c>
      <c r="X2643" s="5" t="str">
        <f>IF(INDEX(Manual_Review!$I$6:$I$238,U2643)="","",INDEX(Manual_Review!$I$6:$I$238,U2643))</f>
        <v/>
      </c>
      <c r="Y2643" s="5" t="s">
        <v>2859</v>
      </c>
    </row>
    <row r="2644" spans="1:25" ht="25.5">
      <c r="A2644" s="5" t="s">
        <v>8257</v>
      </c>
      <c r="B2644" s="5" t="s">
        <v>1855</v>
      </c>
      <c r="C2644" s="5" t="s">
        <v>1856</v>
      </c>
      <c r="D2644" s="5" t="s">
        <v>118</v>
      </c>
      <c r="E2644" s="5" t="s">
        <v>2795</v>
      </c>
      <c r="F2644" s="5" t="s">
        <v>2764</v>
      </c>
      <c r="G2644" s="5">
        <v>1</v>
      </c>
      <c r="H2644" s="5" t="s">
        <v>2864</v>
      </c>
      <c r="I2644" s="5" t="str">
        <f>IF(INDEX(Manual_Review!$Y$6:$Y$238,U2644)="","",INDEX(Manual_Review!$Y$6:$Y$238,U2644))</f>
        <v/>
      </c>
      <c r="J2644" s="5" t="str">
        <f t="shared" si="82"/>
        <v>AI provisional</v>
      </c>
      <c r="K2644" s="5" t="str">
        <f t="shared" si="83"/>
        <v>U</v>
      </c>
      <c r="L2644" s="5" t="s">
        <v>1858</v>
      </c>
      <c r="M2644" s="5" t="s">
        <v>8244</v>
      </c>
      <c r="N2644" s="5" t="s">
        <v>8238</v>
      </c>
      <c r="O2644" s="5" t="s">
        <v>2897</v>
      </c>
      <c r="P2644" s="5" t="s">
        <v>2858</v>
      </c>
      <c r="Q2644" s="11">
        <v>46306.5</v>
      </c>
      <c r="R2644" s="6"/>
      <c r="S2644" s="6"/>
      <c r="T2644" s="6"/>
      <c r="U2644" s="5">
        <f>MATCH(B2644,Manual_Review!$A$6:$A$238,0)</f>
        <v>165</v>
      </c>
      <c r="V2644" s="5" t="str">
        <f>IF(INDEX(Manual_Review!$G$6:$G$238,U2644)="","",INDEX(Manual_Review!$G$6:$G$238,U2644))</f>
        <v/>
      </c>
      <c r="W2644" s="11" t="str">
        <f>IF(INDEX(Manual_Review!$H$6:$H$238,U2644)="","",INDEX(Manual_Review!$H$6:$H$238,U2644))</f>
        <v/>
      </c>
      <c r="X2644" s="5" t="str">
        <f>IF(INDEX(Manual_Review!$I$6:$I$238,U2644)="","",INDEX(Manual_Review!$I$6:$I$238,U2644))</f>
        <v/>
      </c>
      <c r="Y2644" s="5" t="s">
        <v>2859</v>
      </c>
    </row>
    <row r="2645" spans="1:25" ht="25.5">
      <c r="A2645" s="5" t="s">
        <v>8258</v>
      </c>
      <c r="B2645" s="5" t="s">
        <v>1855</v>
      </c>
      <c r="C2645" s="5" t="s">
        <v>1856</v>
      </c>
      <c r="D2645" s="5" t="s">
        <v>118</v>
      </c>
      <c r="E2645" s="5" t="s">
        <v>2796</v>
      </c>
      <c r="F2645" s="5" t="s">
        <v>2764</v>
      </c>
      <c r="G2645" s="5">
        <v>1</v>
      </c>
      <c r="H2645" s="5" t="s">
        <v>2864</v>
      </c>
      <c r="I2645" s="5" t="str">
        <f>IF(INDEX(Manual_Review!$Z$6:$Z$238,U2645)="","",INDEX(Manual_Review!$Z$6:$Z$238,U2645))</f>
        <v/>
      </c>
      <c r="J2645" s="5" t="str">
        <f t="shared" si="82"/>
        <v>AI provisional</v>
      </c>
      <c r="K2645" s="5" t="str">
        <f t="shared" si="83"/>
        <v>U</v>
      </c>
      <c r="L2645" s="5" t="s">
        <v>1858</v>
      </c>
      <c r="M2645" s="5" t="s">
        <v>8251</v>
      </c>
      <c r="N2645" s="5" t="s">
        <v>8238</v>
      </c>
      <c r="O2645" s="5" t="s">
        <v>2899</v>
      </c>
      <c r="P2645" s="5" t="s">
        <v>2858</v>
      </c>
      <c r="Q2645" s="11">
        <v>46306.5</v>
      </c>
      <c r="R2645" s="6"/>
      <c r="S2645" s="6"/>
      <c r="T2645" s="6"/>
      <c r="U2645" s="5">
        <f>MATCH(B2645,Manual_Review!$A$6:$A$238,0)</f>
        <v>165</v>
      </c>
      <c r="V2645" s="5" t="str">
        <f>IF(INDEX(Manual_Review!$G$6:$G$238,U2645)="","",INDEX(Manual_Review!$G$6:$G$238,U2645))</f>
        <v/>
      </c>
      <c r="W2645" s="11" t="str">
        <f>IF(INDEX(Manual_Review!$H$6:$H$238,U2645)="","",INDEX(Manual_Review!$H$6:$H$238,U2645))</f>
        <v/>
      </c>
      <c r="X2645" s="5" t="str">
        <f>IF(INDEX(Manual_Review!$I$6:$I$238,U2645)="","",INDEX(Manual_Review!$I$6:$I$238,U2645))</f>
        <v/>
      </c>
      <c r="Y2645" s="5" t="s">
        <v>2859</v>
      </c>
    </row>
    <row r="2646" spans="1:25" ht="38.25">
      <c r="A2646" s="5" t="s">
        <v>8259</v>
      </c>
      <c r="B2646" s="5" t="s">
        <v>1860</v>
      </c>
      <c r="C2646" s="5" t="s">
        <v>1861</v>
      </c>
      <c r="D2646" s="5" t="s">
        <v>118</v>
      </c>
      <c r="E2646" s="5" t="s">
        <v>2781</v>
      </c>
      <c r="F2646" s="5" t="s">
        <v>2754</v>
      </c>
      <c r="G2646" s="5">
        <v>1</v>
      </c>
      <c r="H2646" s="5" t="s">
        <v>2854</v>
      </c>
      <c r="I2646" s="5" t="str">
        <f>IF(INDEX(Manual_Review!$K$6:$K$238,U2646)="","",INDEX(Manual_Review!$K$6:$K$238,U2646))</f>
        <v/>
      </c>
      <c r="J2646" s="5" t="str">
        <f t="shared" si="82"/>
        <v>AI provisional</v>
      </c>
      <c r="K2646" s="5" t="str">
        <f t="shared" si="83"/>
        <v>Y</v>
      </c>
      <c r="L2646" s="5" t="s">
        <v>1866</v>
      </c>
      <c r="M2646" s="5" t="s">
        <v>8260</v>
      </c>
      <c r="N2646" s="5" t="s">
        <v>8261</v>
      </c>
      <c r="O2646" s="5" t="s">
        <v>2857</v>
      </c>
      <c r="P2646" s="5" t="s">
        <v>2858</v>
      </c>
      <c r="Q2646" s="11">
        <v>46306.5</v>
      </c>
      <c r="R2646" s="6"/>
      <c r="S2646" s="6"/>
      <c r="T2646" s="6"/>
      <c r="U2646" s="5">
        <f>MATCH(B2646,Manual_Review!$A$6:$A$238,0)</f>
        <v>166</v>
      </c>
      <c r="V2646" s="5" t="str">
        <f>IF(INDEX(Manual_Review!$G$6:$G$238,U2646)="","",INDEX(Manual_Review!$G$6:$G$238,U2646))</f>
        <v/>
      </c>
      <c r="W2646" s="11" t="str">
        <f>IF(INDEX(Manual_Review!$H$6:$H$238,U2646)="","",INDEX(Manual_Review!$H$6:$H$238,U2646))</f>
        <v/>
      </c>
      <c r="X2646" s="5" t="str">
        <f>IF(INDEX(Manual_Review!$I$6:$I$238,U2646)="","",INDEX(Manual_Review!$I$6:$I$238,U2646))</f>
        <v/>
      </c>
      <c r="Y2646" s="5" t="s">
        <v>2859</v>
      </c>
    </row>
    <row r="2647" spans="1:25" ht="38.25">
      <c r="A2647" s="5" t="s">
        <v>8262</v>
      </c>
      <c r="B2647" s="5" t="s">
        <v>1860</v>
      </c>
      <c r="C2647" s="5" t="s">
        <v>1861</v>
      </c>
      <c r="D2647" s="5" t="s">
        <v>118</v>
      </c>
      <c r="E2647" s="5" t="s">
        <v>2782</v>
      </c>
      <c r="F2647" s="5" t="s">
        <v>2754</v>
      </c>
      <c r="G2647" s="5">
        <v>1</v>
      </c>
      <c r="H2647" s="5" t="s">
        <v>2854</v>
      </c>
      <c r="I2647" s="5" t="str">
        <f>IF(INDEX(Manual_Review!$L$6:$L$238,U2647)="","",INDEX(Manual_Review!$L$6:$L$238,U2647))</f>
        <v/>
      </c>
      <c r="J2647" s="5" t="str">
        <f t="shared" si="82"/>
        <v>AI provisional</v>
      </c>
      <c r="K2647" s="5" t="str">
        <f t="shared" si="83"/>
        <v>Y</v>
      </c>
      <c r="L2647" s="5" t="s">
        <v>1866</v>
      </c>
      <c r="M2647" s="5" t="s">
        <v>8263</v>
      </c>
      <c r="N2647" s="5" t="s">
        <v>8261</v>
      </c>
      <c r="O2647" s="5" t="s">
        <v>2862</v>
      </c>
      <c r="P2647" s="5" t="s">
        <v>2858</v>
      </c>
      <c r="Q2647" s="11">
        <v>46306.5</v>
      </c>
      <c r="R2647" s="6"/>
      <c r="S2647" s="6"/>
      <c r="T2647" s="6"/>
      <c r="U2647" s="5">
        <f>MATCH(B2647,Manual_Review!$A$6:$A$238,0)</f>
        <v>166</v>
      </c>
      <c r="V2647" s="5" t="str">
        <f>IF(INDEX(Manual_Review!$G$6:$G$238,U2647)="","",INDEX(Manual_Review!$G$6:$G$238,U2647))</f>
        <v/>
      </c>
      <c r="W2647" s="11" t="str">
        <f>IF(INDEX(Manual_Review!$H$6:$H$238,U2647)="","",INDEX(Manual_Review!$H$6:$H$238,U2647))</f>
        <v/>
      </c>
      <c r="X2647" s="5" t="str">
        <f>IF(INDEX(Manual_Review!$I$6:$I$238,U2647)="","",INDEX(Manual_Review!$I$6:$I$238,U2647))</f>
        <v/>
      </c>
      <c r="Y2647" s="5" t="s">
        <v>2859</v>
      </c>
    </row>
    <row r="2648" spans="1:25" ht="38.25">
      <c r="A2648" s="5" t="s">
        <v>8264</v>
      </c>
      <c r="B2648" s="5" t="s">
        <v>1860</v>
      </c>
      <c r="C2648" s="5" t="s">
        <v>1861</v>
      </c>
      <c r="D2648" s="5" t="s">
        <v>118</v>
      </c>
      <c r="E2648" s="5" t="s">
        <v>2783</v>
      </c>
      <c r="F2648" s="5" t="s">
        <v>2754</v>
      </c>
      <c r="G2648" s="5">
        <v>1</v>
      </c>
      <c r="H2648" s="5" t="s">
        <v>2854</v>
      </c>
      <c r="I2648" s="5" t="str">
        <f>IF(INDEX(Manual_Review!$M$6:$M$238,U2648)="","",INDEX(Manual_Review!$M$6:$M$238,U2648))</f>
        <v/>
      </c>
      <c r="J2648" s="5" t="str">
        <f t="shared" si="82"/>
        <v>AI provisional</v>
      </c>
      <c r="K2648" s="5" t="str">
        <f t="shared" si="83"/>
        <v>Y</v>
      </c>
      <c r="L2648" s="5" t="s">
        <v>1866</v>
      </c>
      <c r="M2648" s="5" t="s">
        <v>8265</v>
      </c>
      <c r="N2648" s="5" t="s">
        <v>8261</v>
      </c>
      <c r="O2648" s="5" t="s">
        <v>3133</v>
      </c>
      <c r="P2648" s="5" t="s">
        <v>2858</v>
      </c>
      <c r="Q2648" s="11">
        <v>46306.5</v>
      </c>
      <c r="R2648" s="6"/>
      <c r="S2648" s="6"/>
      <c r="T2648" s="6"/>
      <c r="U2648" s="5">
        <f>MATCH(B2648,Manual_Review!$A$6:$A$238,0)</f>
        <v>166</v>
      </c>
      <c r="V2648" s="5" t="str">
        <f>IF(INDEX(Manual_Review!$G$6:$G$238,U2648)="","",INDEX(Manual_Review!$G$6:$G$238,U2648))</f>
        <v/>
      </c>
      <c r="W2648" s="11" t="str">
        <f>IF(INDEX(Manual_Review!$H$6:$H$238,U2648)="","",INDEX(Manual_Review!$H$6:$H$238,U2648))</f>
        <v/>
      </c>
      <c r="X2648" s="5" t="str">
        <f>IF(INDEX(Manual_Review!$I$6:$I$238,U2648)="","",INDEX(Manual_Review!$I$6:$I$238,U2648))</f>
        <v/>
      </c>
      <c r="Y2648" s="5" t="s">
        <v>2859</v>
      </c>
    </row>
    <row r="2649" spans="1:25" ht="38.25">
      <c r="A2649" s="5" t="s">
        <v>8266</v>
      </c>
      <c r="B2649" s="5" t="s">
        <v>1860</v>
      </c>
      <c r="C2649" s="5" t="s">
        <v>1861</v>
      </c>
      <c r="D2649" s="5" t="s">
        <v>118</v>
      </c>
      <c r="E2649" s="5" t="s">
        <v>2784</v>
      </c>
      <c r="F2649" s="5" t="s">
        <v>2756</v>
      </c>
      <c r="G2649" s="5">
        <v>1</v>
      </c>
      <c r="H2649" s="5" t="s">
        <v>2908</v>
      </c>
      <c r="I2649" s="5" t="str">
        <f>IF(INDEX(Manual_Review!$N$6:$N$238,U2649)="","",INDEX(Manual_Review!$N$6:$N$238,U2649))</f>
        <v/>
      </c>
      <c r="J2649" s="5" t="str">
        <f t="shared" si="82"/>
        <v>AI provisional</v>
      </c>
      <c r="K2649" s="5" t="str">
        <f t="shared" si="83"/>
        <v>X</v>
      </c>
      <c r="L2649" s="5" t="s">
        <v>1866</v>
      </c>
      <c r="M2649" s="5" t="s">
        <v>8267</v>
      </c>
      <c r="N2649" s="5" t="s">
        <v>8261</v>
      </c>
      <c r="O2649" s="5" t="s">
        <v>8268</v>
      </c>
      <c r="P2649" s="5" t="s">
        <v>2858</v>
      </c>
      <c r="Q2649" s="11">
        <v>46306.5</v>
      </c>
      <c r="R2649" s="6"/>
      <c r="S2649" s="6"/>
      <c r="T2649" s="6"/>
      <c r="U2649" s="5">
        <f>MATCH(B2649,Manual_Review!$A$6:$A$238,0)</f>
        <v>166</v>
      </c>
      <c r="V2649" s="5" t="str">
        <f>IF(INDEX(Manual_Review!$G$6:$G$238,U2649)="","",INDEX(Manual_Review!$G$6:$G$238,U2649))</f>
        <v/>
      </c>
      <c r="W2649" s="11" t="str">
        <f>IF(INDEX(Manual_Review!$H$6:$H$238,U2649)="","",INDEX(Manual_Review!$H$6:$H$238,U2649))</f>
        <v/>
      </c>
      <c r="X2649" s="5" t="str">
        <f>IF(INDEX(Manual_Review!$I$6:$I$238,U2649)="","",INDEX(Manual_Review!$I$6:$I$238,U2649))</f>
        <v/>
      </c>
      <c r="Y2649" s="5" t="s">
        <v>2859</v>
      </c>
    </row>
    <row r="2650" spans="1:25" ht="38.25">
      <c r="A2650" s="5" t="s">
        <v>8269</v>
      </c>
      <c r="B2650" s="5" t="s">
        <v>1860</v>
      </c>
      <c r="C2650" s="5" t="s">
        <v>1861</v>
      </c>
      <c r="D2650" s="5" t="s">
        <v>118</v>
      </c>
      <c r="E2650" s="5" t="s">
        <v>2785</v>
      </c>
      <c r="F2650" s="5" t="s">
        <v>2756</v>
      </c>
      <c r="G2650" s="5">
        <v>1</v>
      </c>
      <c r="H2650" s="5" t="s">
        <v>2864</v>
      </c>
      <c r="I2650" s="5" t="str">
        <f>IF(INDEX(Manual_Review!$O$6:$O$238,U2650)="","",INDEX(Manual_Review!$O$6:$O$238,U2650))</f>
        <v/>
      </c>
      <c r="J2650" s="5" t="str">
        <f t="shared" si="82"/>
        <v>AI provisional</v>
      </c>
      <c r="K2650" s="5" t="str">
        <f t="shared" si="83"/>
        <v>U</v>
      </c>
      <c r="L2650" s="5" t="s">
        <v>1866</v>
      </c>
      <c r="M2650" s="5" t="s">
        <v>8270</v>
      </c>
      <c r="N2650" s="5" t="s">
        <v>8261</v>
      </c>
      <c r="O2650" s="5" t="s">
        <v>2872</v>
      </c>
      <c r="P2650" s="5" t="s">
        <v>2858</v>
      </c>
      <c r="Q2650" s="11">
        <v>46306.5</v>
      </c>
      <c r="R2650" s="6"/>
      <c r="S2650" s="6"/>
      <c r="T2650" s="6"/>
      <c r="U2650" s="5">
        <f>MATCH(B2650,Manual_Review!$A$6:$A$238,0)</f>
        <v>166</v>
      </c>
      <c r="V2650" s="5" t="str">
        <f>IF(INDEX(Manual_Review!$G$6:$G$238,U2650)="","",INDEX(Manual_Review!$G$6:$G$238,U2650))</f>
        <v/>
      </c>
      <c r="W2650" s="11" t="str">
        <f>IF(INDEX(Manual_Review!$H$6:$H$238,U2650)="","",INDEX(Manual_Review!$H$6:$H$238,U2650))</f>
        <v/>
      </c>
      <c r="X2650" s="5" t="str">
        <f>IF(INDEX(Manual_Review!$I$6:$I$238,U2650)="","",INDEX(Manual_Review!$I$6:$I$238,U2650))</f>
        <v/>
      </c>
      <c r="Y2650" s="5" t="s">
        <v>2859</v>
      </c>
    </row>
    <row r="2651" spans="1:25" ht="38.25">
      <c r="A2651" s="5" t="s">
        <v>8271</v>
      </c>
      <c r="B2651" s="5" t="s">
        <v>1860</v>
      </c>
      <c r="C2651" s="5" t="s">
        <v>1861</v>
      </c>
      <c r="D2651" s="5" t="s">
        <v>118</v>
      </c>
      <c r="E2651" s="5" t="s">
        <v>2786</v>
      </c>
      <c r="F2651" s="5" t="s">
        <v>2756</v>
      </c>
      <c r="G2651" s="5">
        <v>1</v>
      </c>
      <c r="H2651" s="5" t="s">
        <v>2864</v>
      </c>
      <c r="I2651" s="5" t="str">
        <f>IF(INDEX(Manual_Review!$P$6:$P$238,U2651)="","",INDEX(Manual_Review!$P$6:$P$238,U2651))</f>
        <v/>
      </c>
      <c r="J2651" s="5" t="str">
        <f t="shared" si="82"/>
        <v>AI provisional</v>
      </c>
      <c r="K2651" s="5" t="str">
        <f t="shared" si="83"/>
        <v>U</v>
      </c>
      <c r="L2651" s="5" t="s">
        <v>1866</v>
      </c>
      <c r="M2651" s="5" t="s">
        <v>8270</v>
      </c>
      <c r="N2651" s="5" t="s">
        <v>8261</v>
      </c>
      <c r="O2651" s="5" t="s">
        <v>2874</v>
      </c>
      <c r="P2651" s="5" t="s">
        <v>2858</v>
      </c>
      <c r="Q2651" s="11">
        <v>46306.5</v>
      </c>
      <c r="R2651" s="6"/>
      <c r="S2651" s="6"/>
      <c r="T2651" s="6"/>
      <c r="U2651" s="5">
        <f>MATCH(B2651,Manual_Review!$A$6:$A$238,0)</f>
        <v>166</v>
      </c>
      <c r="V2651" s="5" t="str">
        <f>IF(INDEX(Manual_Review!$G$6:$G$238,U2651)="","",INDEX(Manual_Review!$G$6:$G$238,U2651))</f>
        <v/>
      </c>
      <c r="W2651" s="11" t="str">
        <f>IF(INDEX(Manual_Review!$H$6:$H$238,U2651)="","",INDEX(Manual_Review!$H$6:$H$238,U2651))</f>
        <v/>
      </c>
      <c r="X2651" s="5" t="str">
        <f>IF(INDEX(Manual_Review!$I$6:$I$238,U2651)="","",INDEX(Manual_Review!$I$6:$I$238,U2651))</f>
        <v/>
      </c>
      <c r="Y2651" s="5" t="s">
        <v>2859</v>
      </c>
    </row>
    <row r="2652" spans="1:25" ht="38.25">
      <c r="A2652" s="5" t="s">
        <v>8272</v>
      </c>
      <c r="B2652" s="5" t="s">
        <v>1860</v>
      </c>
      <c r="C2652" s="5" t="s">
        <v>1861</v>
      </c>
      <c r="D2652" s="5" t="s">
        <v>118</v>
      </c>
      <c r="E2652" s="5" t="s">
        <v>2787</v>
      </c>
      <c r="F2652" s="5" t="s">
        <v>2758</v>
      </c>
      <c r="G2652" s="5">
        <v>1</v>
      </c>
      <c r="H2652" s="5" t="s">
        <v>2864</v>
      </c>
      <c r="I2652" s="5" t="str">
        <f>IF(INDEX(Manual_Review!$Q$6:$Q$238,U2652)="","",INDEX(Manual_Review!$Q$6:$Q$238,U2652))</f>
        <v/>
      </c>
      <c r="J2652" s="5" t="str">
        <f t="shared" si="82"/>
        <v>AI provisional</v>
      </c>
      <c r="K2652" s="5" t="str">
        <f t="shared" si="83"/>
        <v>U</v>
      </c>
      <c r="L2652" s="5" t="s">
        <v>1866</v>
      </c>
      <c r="M2652" s="5" t="s">
        <v>8270</v>
      </c>
      <c r="N2652" s="5" t="s">
        <v>8261</v>
      </c>
      <c r="O2652" s="5" t="s">
        <v>2877</v>
      </c>
      <c r="P2652" s="5" t="s">
        <v>2858</v>
      </c>
      <c r="Q2652" s="11">
        <v>46306.5</v>
      </c>
      <c r="R2652" s="6"/>
      <c r="S2652" s="6"/>
      <c r="T2652" s="6"/>
      <c r="U2652" s="5">
        <f>MATCH(B2652,Manual_Review!$A$6:$A$238,0)</f>
        <v>166</v>
      </c>
      <c r="V2652" s="5" t="str">
        <f>IF(INDEX(Manual_Review!$G$6:$G$238,U2652)="","",INDEX(Manual_Review!$G$6:$G$238,U2652))</f>
        <v/>
      </c>
      <c r="W2652" s="11" t="str">
        <f>IF(INDEX(Manual_Review!$H$6:$H$238,U2652)="","",INDEX(Manual_Review!$H$6:$H$238,U2652))</f>
        <v/>
      </c>
      <c r="X2652" s="5" t="str">
        <f>IF(INDEX(Manual_Review!$I$6:$I$238,U2652)="","",INDEX(Manual_Review!$I$6:$I$238,U2652))</f>
        <v/>
      </c>
      <c r="Y2652" s="5" t="s">
        <v>2859</v>
      </c>
    </row>
    <row r="2653" spans="1:25" ht="38.25">
      <c r="A2653" s="5" t="s">
        <v>8273</v>
      </c>
      <c r="B2653" s="5" t="s">
        <v>1860</v>
      </c>
      <c r="C2653" s="5" t="s">
        <v>1861</v>
      </c>
      <c r="D2653" s="5" t="s">
        <v>118</v>
      </c>
      <c r="E2653" s="5" t="s">
        <v>2788</v>
      </c>
      <c r="F2653" s="5" t="s">
        <v>2758</v>
      </c>
      <c r="G2653" s="5">
        <v>1</v>
      </c>
      <c r="H2653" s="5" t="s">
        <v>2864</v>
      </c>
      <c r="I2653" s="5" t="str">
        <f>IF(INDEX(Manual_Review!$R$6:$R$238,U2653)="","",INDEX(Manual_Review!$R$6:$R$238,U2653))</f>
        <v/>
      </c>
      <c r="J2653" s="5" t="str">
        <f t="shared" si="82"/>
        <v>AI provisional</v>
      </c>
      <c r="K2653" s="5" t="str">
        <f t="shared" si="83"/>
        <v>U</v>
      </c>
      <c r="L2653" s="5" t="s">
        <v>1866</v>
      </c>
      <c r="M2653" s="5" t="s">
        <v>8274</v>
      </c>
      <c r="N2653" s="5" t="s">
        <v>8261</v>
      </c>
      <c r="O2653" s="5" t="s">
        <v>2880</v>
      </c>
      <c r="P2653" s="5" t="s">
        <v>2858</v>
      </c>
      <c r="Q2653" s="11">
        <v>46306.5</v>
      </c>
      <c r="R2653" s="6"/>
      <c r="S2653" s="6"/>
      <c r="T2653" s="6"/>
      <c r="U2653" s="5">
        <f>MATCH(B2653,Manual_Review!$A$6:$A$238,0)</f>
        <v>166</v>
      </c>
      <c r="V2653" s="5" t="str">
        <f>IF(INDEX(Manual_Review!$G$6:$G$238,U2653)="","",INDEX(Manual_Review!$G$6:$G$238,U2653))</f>
        <v/>
      </c>
      <c r="W2653" s="11" t="str">
        <f>IF(INDEX(Manual_Review!$H$6:$H$238,U2653)="","",INDEX(Manual_Review!$H$6:$H$238,U2653))</f>
        <v/>
      </c>
      <c r="X2653" s="5" t="str">
        <f>IF(INDEX(Manual_Review!$I$6:$I$238,U2653)="","",INDEX(Manual_Review!$I$6:$I$238,U2653))</f>
        <v/>
      </c>
      <c r="Y2653" s="5" t="s">
        <v>2859</v>
      </c>
    </row>
    <row r="2654" spans="1:25" ht="38.25">
      <c r="A2654" s="5" t="s">
        <v>8275</v>
      </c>
      <c r="B2654" s="5" t="s">
        <v>1860</v>
      </c>
      <c r="C2654" s="5" t="s">
        <v>1861</v>
      </c>
      <c r="D2654" s="5" t="s">
        <v>118</v>
      </c>
      <c r="E2654" s="5" t="s">
        <v>2789</v>
      </c>
      <c r="F2654" s="5" t="s">
        <v>2758</v>
      </c>
      <c r="G2654" s="5">
        <v>1</v>
      </c>
      <c r="H2654" s="5" t="s">
        <v>2864</v>
      </c>
      <c r="I2654" s="5" t="str">
        <f>IF(INDEX(Manual_Review!$S$6:$S$238,U2654)="","",INDEX(Manual_Review!$S$6:$S$238,U2654))</f>
        <v/>
      </c>
      <c r="J2654" s="5" t="str">
        <f t="shared" si="82"/>
        <v>AI provisional</v>
      </c>
      <c r="K2654" s="5" t="str">
        <f t="shared" si="83"/>
        <v>U</v>
      </c>
      <c r="L2654" s="5" t="s">
        <v>1866</v>
      </c>
      <c r="M2654" s="5" t="s">
        <v>8276</v>
      </c>
      <c r="N2654" s="5" t="s">
        <v>8261</v>
      </c>
      <c r="O2654" s="5" t="s">
        <v>2883</v>
      </c>
      <c r="P2654" s="5" t="s">
        <v>2858</v>
      </c>
      <c r="Q2654" s="11">
        <v>46306.5</v>
      </c>
      <c r="R2654" s="6"/>
      <c r="S2654" s="6"/>
      <c r="T2654" s="6"/>
      <c r="U2654" s="5">
        <f>MATCH(B2654,Manual_Review!$A$6:$A$238,0)</f>
        <v>166</v>
      </c>
      <c r="V2654" s="5" t="str">
        <f>IF(INDEX(Manual_Review!$G$6:$G$238,U2654)="","",INDEX(Manual_Review!$G$6:$G$238,U2654))</f>
        <v/>
      </c>
      <c r="W2654" s="11" t="str">
        <f>IF(INDEX(Manual_Review!$H$6:$H$238,U2654)="","",INDEX(Manual_Review!$H$6:$H$238,U2654))</f>
        <v/>
      </c>
      <c r="X2654" s="5" t="str">
        <f>IF(INDEX(Manual_Review!$I$6:$I$238,U2654)="","",INDEX(Manual_Review!$I$6:$I$238,U2654))</f>
        <v/>
      </c>
      <c r="Y2654" s="5" t="s">
        <v>2859</v>
      </c>
    </row>
    <row r="2655" spans="1:25" ht="38.25">
      <c r="A2655" s="5" t="s">
        <v>8277</v>
      </c>
      <c r="B2655" s="5" t="s">
        <v>1860</v>
      </c>
      <c r="C2655" s="5" t="s">
        <v>1861</v>
      </c>
      <c r="D2655" s="5" t="s">
        <v>118</v>
      </c>
      <c r="E2655" s="5" t="s">
        <v>2790</v>
      </c>
      <c r="F2655" s="5" t="s">
        <v>2760</v>
      </c>
      <c r="G2655" s="5">
        <v>1</v>
      </c>
      <c r="H2655" s="5" t="s">
        <v>2908</v>
      </c>
      <c r="I2655" s="5" t="str">
        <f>IF(INDEX(Manual_Review!$T$6:$T$238,U2655)="","",INDEX(Manual_Review!$T$6:$T$238,U2655))</f>
        <v/>
      </c>
      <c r="J2655" s="5" t="str">
        <f t="shared" si="82"/>
        <v>AI provisional</v>
      </c>
      <c r="K2655" s="5" t="str">
        <f t="shared" si="83"/>
        <v>X</v>
      </c>
      <c r="L2655" s="5" t="s">
        <v>1866</v>
      </c>
      <c r="M2655" s="5" t="s">
        <v>8270</v>
      </c>
      <c r="N2655" s="5" t="s">
        <v>8261</v>
      </c>
      <c r="O2655" s="5" t="s">
        <v>8278</v>
      </c>
      <c r="P2655" s="5" t="s">
        <v>2858</v>
      </c>
      <c r="Q2655" s="11">
        <v>46306.5</v>
      </c>
      <c r="R2655" s="6"/>
      <c r="S2655" s="6"/>
      <c r="T2655" s="6"/>
      <c r="U2655" s="5">
        <f>MATCH(B2655,Manual_Review!$A$6:$A$238,0)</f>
        <v>166</v>
      </c>
      <c r="V2655" s="5" t="str">
        <f>IF(INDEX(Manual_Review!$G$6:$G$238,U2655)="","",INDEX(Manual_Review!$G$6:$G$238,U2655))</f>
        <v/>
      </c>
      <c r="W2655" s="11" t="str">
        <f>IF(INDEX(Manual_Review!$H$6:$H$238,U2655)="","",INDEX(Manual_Review!$H$6:$H$238,U2655))</f>
        <v/>
      </c>
      <c r="X2655" s="5" t="str">
        <f>IF(INDEX(Manual_Review!$I$6:$I$238,U2655)="","",INDEX(Manual_Review!$I$6:$I$238,U2655))</f>
        <v/>
      </c>
      <c r="Y2655" s="5" t="s">
        <v>2859</v>
      </c>
    </row>
    <row r="2656" spans="1:25" ht="38.25">
      <c r="A2656" s="5" t="s">
        <v>8279</v>
      </c>
      <c r="B2656" s="5" t="s">
        <v>1860</v>
      </c>
      <c r="C2656" s="5" t="s">
        <v>1861</v>
      </c>
      <c r="D2656" s="5" t="s">
        <v>118</v>
      </c>
      <c r="E2656" s="5" t="s">
        <v>2791</v>
      </c>
      <c r="F2656" s="5" t="s">
        <v>2760</v>
      </c>
      <c r="G2656" s="5">
        <v>1</v>
      </c>
      <c r="H2656" s="5" t="s">
        <v>2864</v>
      </c>
      <c r="I2656" s="5" t="str">
        <f>IF(INDEX(Manual_Review!$U$6:$U$238,U2656)="","",INDEX(Manual_Review!$U$6:$U$238,U2656))</f>
        <v/>
      </c>
      <c r="J2656" s="5" t="str">
        <f t="shared" si="82"/>
        <v>AI provisional</v>
      </c>
      <c r="K2656" s="5" t="str">
        <f t="shared" si="83"/>
        <v>U</v>
      </c>
      <c r="L2656" s="5" t="s">
        <v>1866</v>
      </c>
      <c r="M2656" s="5" t="s">
        <v>8270</v>
      </c>
      <c r="N2656" s="5" t="s">
        <v>8261</v>
      </c>
      <c r="O2656" s="5" t="s">
        <v>2888</v>
      </c>
      <c r="P2656" s="5" t="s">
        <v>2858</v>
      </c>
      <c r="Q2656" s="11">
        <v>46306.5</v>
      </c>
      <c r="R2656" s="6"/>
      <c r="S2656" s="6"/>
      <c r="T2656" s="6"/>
      <c r="U2656" s="5">
        <f>MATCH(B2656,Manual_Review!$A$6:$A$238,0)</f>
        <v>166</v>
      </c>
      <c r="V2656" s="5" t="str">
        <f>IF(INDEX(Manual_Review!$G$6:$G$238,U2656)="","",INDEX(Manual_Review!$G$6:$G$238,U2656))</f>
        <v/>
      </c>
      <c r="W2656" s="11" t="str">
        <f>IF(INDEX(Manual_Review!$H$6:$H$238,U2656)="","",INDEX(Manual_Review!$H$6:$H$238,U2656))</f>
        <v/>
      </c>
      <c r="X2656" s="5" t="str">
        <f>IF(INDEX(Manual_Review!$I$6:$I$238,U2656)="","",INDEX(Manual_Review!$I$6:$I$238,U2656))</f>
        <v/>
      </c>
      <c r="Y2656" s="5" t="s">
        <v>2859</v>
      </c>
    </row>
    <row r="2657" spans="1:25" ht="38.25">
      <c r="A2657" s="5" t="s">
        <v>8280</v>
      </c>
      <c r="B2657" s="5" t="s">
        <v>1860</v>
      </c>
      <c r="C2657" s="5" t="s">
        <v>1861</v>
      </c>
      <c r="D2657" s="5" t="s">
        <v>118</v>
      </c>
      <c r="E2657" s="5" t="s">
        <v>2792</v>
      </c>
      <c r="F2657" s="5" t="s">
        <v>2762</v>
      </c>
      <c r="G2657" s="5">
        <v>1</v>
      </c>
      <c r="H2657" s="5" t="s">
        <v>2864</v>
      </c>
      <c r="I2657" s="5" t="str">
        <f>IF(INDEX(Manual_Review!$V$6:$V$238,U2657)="","",INDEX(Manual_Review!$V$6:$V$238,U2657))</f>
        <v/>
      </c>
      <c r="J2657" s="5" t="str">
        <f t="shared" si="82"/>
        <v>AI provisional</v>
      </c>
      <c r="K2657" s="5" t="str">
        <f t="shared" si="83"/>
        <v>U</v>
      </c>
      <c r="L2657" s="5" t="s">
        <v>1866</v>
      </c>
      <c r="M2657" s="5" t="s">
        <v>8281</v>
      </c>
      <c r="N2657" s="5" t="s">
        <v>8261</v>
      </c>
      <c r="O2657" s="5" t="s">
        <v>2891</v>
      </c>
      <c r="P2657" s="5" t="s">
        <v>2858</v>
      </c>
      <c r="Q2657" s="11">
        <v>46306.5</v>
      </c>
      <c r="R2657" s="6"/>
      <c r="S2657" s="6"/>
      <c r="T2657" s="6"/>
      <c r="U2657" s="5">
        <f>MATCH(B2657,Manual_Review!$A$6:$A$238,0)</f>
        <v>166</v>
      </c>
      <c r="V2657" s="5" t="str">
        <f>IF(INDEX(Manual_Review!$G$6:$G$238,U2657)="","",INDEX(Manual_Review!$G$6:$G$238,U2657))</f>
        <v/>
      </c>
      <c r="W2657" s="11" t="str">
        <f>IF(INDEX(Manual_Review!$H$6:$H$238,U2657)="","",INDEX(Manual_Review!$H$6:$H$238,U2657))</f>
        <v/>
      </c>
      <c r="X2657" s="5" t="str">
        <f>IF(INDEX(Manual_Review!$I$6:$I$238,U2657)="","",INDEX(Manual_Review!$I$6:$I$238,U2657))</f>
        <v/>
      </c>
      <c r="Y2657" s="5" t="s">
        <v>2859</v>
      </c>
    </row>
    <row r="2658" spans="1:25" ht="38.25">
      <c r="A2658" s="5" t="s">
        <v>8282</v>
      </c>
      <c r="B2658" s="5" t="s">
        <v>1860</v>
      </c>
      <c r="C2658" s="5" t="s">
        <v>1861</v>
      </c>
      <c r="D2658" s="5" t="s">
        <v>118</v>
      </c>
      <c r="E2658" s="5" t="s">
        <v>2793</v>
      </c>
      <c r="F2658" s="5" t="s">
        <v>2762</v>
      </c>
      <c r="G2658" s="5">
        <v>1</v>
      </c>
      <c r="H2658" s="5" t="s">
        <v>2864</v>
      </c>
      <c r="I2658" s="5" t="str">
        <f>IF(INDEX(Manual_Review!$W$6:$W$238,U2658)="","",INDEX(Manual_Review!$W$6:$W$238,U2658))</f>
        <v/>
      </c>
      <c r="J2658" s="5" t="str">
        <f t="shared" si="82"/>
        <v>AI provisional</v>
      </c>
      <c r="K2658" s="5" t="str">
        <f t="shared" si="83"/>
        <v>U</v>
      </c>
      <c r="L2658" s="5" t="s">
        <v>1866</v>
      </c>
      <c r="M2658" s="5" t="s">
        <v>8281</v>
      </c>
      <c r="N2658" s="5" t="s">
        <v>8261</v>
      </c>
      <c r="O2658" s="5" t="s">
        <v>2893</v>
      </c>
      <c r="P2658" s="5" t="s">
        <v>2858</v>
      </c>
      <c r="Q2658" s="11">
        <v>46306.5</v>
      </c>
      <c r="R2658" s="6"/>
      <c r="S2658" s="6"/>
      <c r="T2658" s="6"/>
      <c r="U2658" s="5">
        <f>MATCH(B2658,Manual_Review!$A$6:$A$238,0)</f>
        <v>166</v>
      </c>
      <c r="V2658" s="5" t="str">
        <f>IF(INDEX(Manual_Review!$G$6:$G$238,U2658)="","",INDEX(Manual_Review!$G$6:$G$238,U2658))</f>
        <v/>
      </c>
      <c r="W2658" s="11" t="str">
        <f>IF(INDEX(Manual_Review!$H$6:$H$238,U2658)="","",INDEX(Manual_Review!$H$6:$H$238,U2658))</f>
        <v/>
      </c>
      <c r="X2658" s="5" t="str">
        <f>IF(INDEX(Manual_Review!$I$6:$I$238,U2658)="","",INDEX(Manual_Review!$I$6:$I$238,U2658))</f>
        <v/>
      </c>
      <c r="Y2658" s="5" t="s">
        <v>2859</v>
      </c>
    </row>
    <row r="2659" spans="1:25" ht="38.25">
      <c r="A2659" s="5" t="s">
        <v>8283</v>
      </c>
      <c r="B2659" s="5" t="s">
        <v>1860</v>
      </c>
      <c r="C2659" s="5" t="s">
        <v>1861</v>
      </c>
      <c r="D2659" s="5" t="s">
        <v>118</v>
      </c>
      <c r="E2659" s="5" t="s">
        <v>2794</v>
      </c>
      <c r="F2659" s="5" t="s">
        <v>2764</v>
      </c>
      <c r="G2659" s="5">
        <v>1</v>
      </c>
      <c r="H2659" s="5" t="s">
        <v>2854</v>
      </c>
      <c r="I2659" s="5" t="str">
        <f>IF(INDEX(Manual_Review!$X$6:$X$238,U2659)="","",INDEX(Manual_Review!$X$6:$X$238,U2659))</f>
        <v/>
      </c>
      <c r="J2659" s="5" t="str">
        <f t="shared" si="82"/>
        <v>AI provisional</v>
      </c>
      <c r="K2659" s="5" t="str">
        <f t="shared" si="83"/>
        <v>Y</v>
      </c>
      <c r="L2659" s="5" t="s">
        <v>1866</v>
      </c>
      <c r="M2659" s="5" t="s">
        <v>8284</v>
      </c>
      <c r="N2659" s="5" t="s">
        <v>8261</v>
      </c>
      <c r="O2659" s="5" t="s">
        <v>2984</v>
      </c>
      <c r="P2659" s="5" t="s">
        <v>2858</v>
      </c>
      <c r="Q2659" s="11">
        <v>46306.5</v>
      </c>
      <c r="R2659" s="6"/>
      <c r="S2659" s="6"/>
      <c r="T2659" s="6"/>
      <c r="U2659" s="5">
        <f>MATCH(B2659,Manual_Review!$A$6:$A$238,0)</f>
        <v>166</v>
      </c>
      <c r="V2659" s="5" t="str">
        <f>IF(INDEX(Manual_Review!$G$6:$G$238,U2659)="","",INDEX(Manual_Review!$G$6:$G$238,U2659))</f>
        <v/>
      </c>
      <c r="W2659" s="11" t="str">
        <f>IF(INDEX(Manual_Review!$H$6:$H$238,U2659)="","",INDEX(Manual_Review!$H$6:$H$238,U2659))</f>
        <v/>
      </c>
      <c r="X2659" s="5" t="str">
        <f>IF(INDEX(Manual_Review!$I$6:$I$238,U2659)="","",INDEX(Manual_Review!$I$6:$I$238,U2659))</f>
        <v/>
      </c>
      <c r="Y2659" s="5" t="s">
        <v>2859</v>
      </c>
    </row>
    <row r="2660" spans="1:25" ht="38.25">
      <c r="A2660" s="5" t="s">
        <v>8285</v>
      </c>
      <c r="B2660" s="5" t="s">
        <v>1860</v>
      </c>
      <c r="C2660" s="5" t="s">
        <v>1861</v>
      </c>
      <c r="D2660" s="5" t="s">
        <v>118</v>
      </c>
      <c r="E2660" s="5" t="s">
        <v>2795</v>
      </c>
      <c r="F2660" s="5" t="s">
        <v>2764</v>
      </c>
      <c r="G2660" s="5">
        <v>1</v>
      </c>
      <c r="H2660" s="5" t="s">
        <v>2864</v>
      </c>
      <c r="I2660" s="5" t="str">
        <f>IF(INDEX(Manual_Review!$Y$6:$Y$238,U2660)="","",INDEX(Manual_Review!$Y$6:$Y$238,U2660))</f>
        <v/>
      </c>
      <c r="J2660" s="5" t="str">
        <f t="shared" si="82"/>
        <v>AI provisional</v>
      </c>
      <c r="K2660" s="5" t="str">
        <f t="shared" si="83"/>
        <v>U</v>
      </c>
      <c r="L2660" s="5" t="s">
        <v>1866</v>
      </c>
      <c r="M2660" s="5" t="s">
        <v>8270</v>
      </c>
      <c r="N2660" s="5" t="s">
        <v>8261</v>
      </c>
      <c r="O2660" s="5" t="s">
        <v>2897</v>
      </c>
      <c r="P2660" s="5" t="s">
        <v>2858</v>
      </c>
      <c r="Q2660" s="11">
        <v>46306.5</v>
      </c>
      <c r="R2660" s="6"/>
      <c r="S2660" s="6"/>
      <c r="T2660" s="6"/>
      <c r="U2660" s="5">
        <f>MATCH(B2660,Manual_Review!$A$6:$A$238,0)</f>
        <v>166</v>
      </c>
      <c r="V2660" s="5" t="str">
        <f>IF(INDEX(Manual_Review!$G$6:$G$238,U2660)="","",INDEX(Manual_Review!$G$6:$G$238,U2660))</f>
        <v/>
      </c>
      <c r="W2660" s="11" t="str">
        <f>IF(INDEX(Manual_Review!$H$6:$H$238,U2660)="","",INDEX(Manual_Review!$H$6:$H$238,U2660))</f>
        <v/>
      </c>
      <c r="X2660" s="5" t="str">
        <f>IF(INDEX(Manual_Review!$I$6:$I$238,U2660)="","",INDEX(Manual_Review!$I$6:$I$238,U2660))</f>
        <v/>
      </c>
      <c r="Y2660" s="5" t="s">
        <v>2859</v>
      </c>
    </row>
    <row r="2661" spans="1:25" ht="38.25">
      <c r="A2661" s="5" t="s">
        <v>8286</v>
      </c>
      <c r="B2661" s="5" t="s">
        <v>1860</v>
      </c>
      <c r="C2661" s="5" t="s">
        <v>1861</v>
      </c>
      <c r="D2661" s="5" t="s">
        <v>118</v>
      </c>
      <c r="E2661" s="5" t="s">
        <v>2796</v>
      </c>
      <c r="F2661" s="5" t="s">
        <v>2764</v>
      </c>
      <c r="G2661" s="5">
        <v>1</v>
      </c>
      <c r="H2661" s="5" t="s">
        <v>2864</v>
      </c>
      <c r="I2661" s="5" t="str">
        <f>IF(INDEX(Manual_Review!$Z$6:$Z$238,U2661)="","",INDEX(Manual_Review!$Z$6:$Z$238,U2661))</f>
        <v/>
      </c>
      <c r="J2661" s="5" t="str">
        <f t="shared" si="82"/>
        <v>AI provisional</v>
      </c>
      <c r="K2661" s="5" t="str">
        <f t="shared" si="83"/>
        <v>U</v>
      </c>
      <c r="L2661" s="5" t="s">
        <v>1866</v>
      </c>
      <c r="M2661" s="5" t="s">
        <v>8276</v>
      </c>
      <c r="N2661" s="5" t="s">
        <v>8261</v>
      </c>
      <c r="O2661" s="5" t="s">
        <v>2899</v>
      </c>
      <c r="P2661" s="5" t="s">
        <v>2858</v>
      </c>
      <c r="Q2661" s="11">
        <v>46306.5</v>
      </c>
      <c r="R2661" s="6"/>
      <c r="S2661" s="6"/>
      <c r="T2661" s="6"/>
      <c r="U2661" s="5">
        <f>MATCH(B2661,Manual_Review!$A$6:$A$238,0)</f>
        <v>166</v>
      </c>
      <c r="V2661" s="5" t="str">
        <f>IF(INDEX(Manual_Review!$G$6:$G$238,U2661)="","",INDEX(Manual_Review!$G$6:$G$238,U2661))</f>
        <v/>
      </c>
      <c r="W2661" s="11" t="str">
        <f>IF(INDEX(Manual_Review!$H$6:$H$238,U2661)="","",INDEX(Manual_Review!$H$6:$H$238,U2661))</f>
        <v/>
      </c>
      <c r="X2661" s="5" t="str">
        <f>IF(INDEX(Manual_Review!$I$6:$I$238,U2661)="","",INDEX(Manual_Review!$I$6:$I$238,U2661))</f>
        <v/>
      </c>
      <c r="Y2661" s="5" t="s">
        <v>2859</v>
      </c>
    </row>
    <row r="2662" spans="1:25" ht="38.25">
      <c r="A2662" s="5" t="s">
        <v>8287</v>
      </c>
      <c r="B2662" s="5" t="s">
        <v>1868</v>
      </c>
      <c r="C2662" s="5" t="s">
        <v>1869</v>
      </c>
      <c r="D2662" s="5" t="s">
        <v>118</v>
      </c>
      <c r="E2662" s="5" t="s">
        <v>2781</v>
      </c>
      <c r="F2662" s="5" t="s">
        <v>2754</v>
      </c>
      <c r="G2662" s="5">
        <v>1</v>
      </c>
      <c r="H2662" s="5" t="s">
        <v>2854</v>
      </c>
      <c r="I2662" s="5" t="str">
        <f>IF(INDEX(Manual_Review!$K$6:$K$238,U2662)="","",INDEX(Manual_Review!$K$6:$K$238,U2662))</f>
        <v/>
      </c>
      <c r="J2662" s="5" t="str">
        <f t="shared" si="82"/>
        <v>AI provisional</v>
      </c>
      <c r="K2662" s="5" t="str">
        <f t="shared" si="83"/>
        <v>Y</v>
      </c>
      <c r="L2662" s="5" t="s">
        <v>1875</v>
      </c>
      <c r="M2662" s="5" t="s">
        <v>8288</v>
      </c>
      <c r="N2662" s="5" t="s">
        <v>8289</v>
      </c>
      <c r="O2662" s="5" t="s">
        <v>2857</v>
      </c>
      <c r="P2662" s="5" t="s">
        <v>2858</v>
      </c>
      <c r="Q2662" s="11">
        <v>46306.5</v>
      </c>
      <c r="R2662" s="6"/>
      <c r="S2662" s="6"/>
      <c r="T2662" s="6"/>
      <c r="U2662" s="5">
        <f>MATCH(B2662,Manual_Review!$A$6:$A$238,0)</f>
        <v>167</v>
      </c>
      <c r="V2662" s="5" t="str">
        <f>IF(INDEX(Manual_Review!$G$6:$G$238,U2662)="","",INDEX(Manual_Review!$G$6:$G$238,U2662))</f>
        <v/>
      </c>
      <c r="W2662" s="11" t="str">
        <f>IF(INDEX(Manual_Review!$H$6:$H$238,U2662)="","",INDEX(Manual_Review!$H$6:$H$238,U2662))</f>
        <v/>
      </c>
      <c r="X2662" s="5" t="str">
        <f>IF(INDEX(Manual_Review!$I$6:$I$238,U2662)="","",INDEX(Manual_Review!$I$6:$I$238,U2662))</f>
        <v/>
      </c>
      <c r="Y2662" s="5" t="s">
        <v>2859</v>
      </c>
    </row>
    <row r="2663" spans="1:25" ht="38.25">
      <c r="A2663" s="5" t="s">
        <v>8290</v>
      </c>
      <c r="B2663" s="5" t="s">
        <v>1868</v>
      </c>
      <c r="C2663" s="5" t="s">
        <v>1869</v>
      </c>
      <c r="D2663" s="5" t="s">
        <v>118</v>
      </c>
      <c r="E2663" s="5" t="s">
        <v>2782</v>
      </c>
      <c r="F2663" s="5" t="s">
        <v>2754</v>
      </c>
      <c r="G2663" s="5">
        <v>1</v>
      </c>
      <c r="H2663" s="5" t="s">
        <v>2854</v>
      </c>
      <c r="I2663" s="5" t="str">
        <f>IF(INDEX(Manual_Review!$L$6:$L$238,U2663)="","",INDEX(Manual_Review!$L$6:$L$238,U2663))</f>
        <v/>
      </c>
      <c r="J2663" s="5" t="str">
        <f t="shared" si="82"/>
        <v>AI provisional</v>
      </c>
      <c r="K2663" s="5" t="str">
        <f t="shared" si="83"/>
        <v>Y</v>
      </c>
      <c r="L2663" s="5" t="s">
        <v>1875</v>
      </c>
      <c r="M2663" s="5" t="s">
        <v>8291</v>
      </c>
      <c r="N2663" s="5" t="s">
        <v>8289</v>
      </c>
      <c r="O2663" s="5" t="s">
        <v>2862</v>
      </c>
      <c r="P2663" s="5" t="s">
        <v>2858</v>
      </c>
      <c r="Q2663" s="11">
        <v>46306.5</v>
      </c>
      <c r="R2663" s="6"/>
      <c r="S2663" s="6"/>
      <c r="T2663" s="6"/>
      <c r="U2663" s="5">
        <f>MATCH(B2663,Manual_Review!$A$6:$A$238,0)</f>
        <v>167</v>
      </c>
      <c r="V2663" s="5" t="str">
        <f>IF(INDEX(Manual_Review!$G$6:$G$238,U2663)="","",INDEX(Manual_Review!$G$6:$G$238,U2663))</f>
        <v/>
      </c>
      <c r="W2663" s="11" t="str">
        <f>IF(INDEX(Manual_Review!$H$6:$H$238,U2663)="","",INDEX(Manual_Review!$H$6:$H$238,U2663))</f>
        <v/>
      </c>
      <c r="X2663" s="5" t="str">
        <f>IF(INDEX(Manual_Review!$I$6:$I$238,U2663)="","",INDEX(Manual_Review!$I$6:$I$238,U2663))</f>
        <v/>
      </c>
      <c r="Y2663" s="5" t="s">
        <v>2859</v>
      </c>
    </row>
    <row r="2664" spans="1:25" ht="38.25">
      <c r="A2664" s="5" t="s">
        <v>8292</v>
      </c>
      <c r="B2664" s="5" t="s">
        <v>1868</v>
      </c>
      <c r="C2664" s="5" t="s">
        <v>1869</v>
      </c>
      <c r="D2664" s="5" t="s">
        <v>118</v>
      </c>
      <c r="E2664" s="5" t="s">
        <v>2783</v>
      </c>
      <c r="F2664" s="5" t="s">
        <v>2754</v>
      </c>
      <c r="G2664" s="5">
        <v>1</v>
      </c>
      <c r="H2664" s="5" t="s">
        <v>2854</v>
      </c>
      <c r="I2664" s="5" t="str">
        <f>IF(INDEX(Manual_Review!$M$6:$M$238,U2664)="","",INDEX(Manual_Review!$M$6:$M$238,U2664))</f>
        <v/>
      </c>
      <c r="J2664" s="5" t="str">
        <f t="shared" si="82"/>
        <v>AI provisional</v>
      </c>
      <c r="K2664" s="5" t="str">
        <f t="shared" si="83"/>
        <v>Y</v>
      </c>
      <c r="L2664" s="5" t="s">
        <v>1875</v>
      </c>
      <c r="M2664" s="5" t="s">
        <v>8293</v>
      </c>
      <c r="N2664" s="5" t="s">
        <v>8289</v>
      </c>
      <c r="O2664" s="5" t="s">
        <v>3133</v>
      </c>
      <c r="P2664" s="5" t="s">
        <v>2858</v>
      </c>
      <c r="Q2664" s="11">
        <v>46306.5</v>
      </c>
      <c r="R2664" s="6"/>
      <c r="S2664" s="6"/>
      <c r="T2664" s="6"/>
      <c r="U2664" s="5">
        <f>MATCH(B2664,Manual_Review!$A$6:$A$238,0)</f>
        <v>167</v>
      </c>
      <c r="V2664" s="5" t="str">
        <f>IF(INDEX(Manual_Review!$G$6:$G$238,U2664)="","",INDEX(Manual_Review!$G$6:$G$238,U2664))</f>
        <v/>
      </c>
      <c r="W2664" s="11" t="str">
        <f>IF(INDEX(Manual_Review!$H$6:$H$238,U2664)="","",INDEX(Manual_Review!$H$6:$H$238,U2664))</f>
        <v/>
      </c>
      <c r="X2664" s="5" t="str">
        <f>IF(INDEX(Manual_Review!$I$6:$I$238,U2664)="","",INDEX(Manual_Review!$I$6:$I$238,U2664))</f>
        <v/>
      </c>
      <c r="Y2664" s="5" t="s">
        <v>2859</v>
      </c>
    </row>
    <row r="2665" spans="1:25" ht="38.25">
      <c r="A2665" s="5" t="s">
        <v>8294</v>
      </c>
      <c r="B2665" s="5" t="s">
        <v>1868</v>
      </c>
      <c r="C2665" s="5" t="s">
        <v>1869</v>
      </c>
      <c r="D2665" s="5" t="s">
        <v>118</v>
      </c>
      <c r="E2665" s="5" t="s">
        <v>2784</v>
      </c>
      <c r="F2665" s="5" t="s">
        <v>2756</v>
      </c>
      <c r="G2665" s="5">
        <v>1</v>
      </c>
      <c r="H2665" s="5" t="s">
        <v>2854</v>
      </c>
      <c r="I2665" s="5" t="str">
        <f>IF(INDEX(Manual_Review!$N$6:$N$238,U2665)="","",INDEX(Manual_Review!$N$6:$N$238,U2665))</f>
        <v/>
      </c>
      <c r="J2665" s="5" t="str">
        <f t="shared" si="82"/>
        <v>AI provisional</v>
      </c>
      <c r="K2665" s="5" t="str">
        <f t="shared" si="83"/>
        <v>Y</v>
      </c>
      <c r="L2665" s="5" t="s">
        <v>1875</v>
      </c>
      <c r="M2665" s="5" t="s">
        <v>8295</v>
      </c>
      <c r="N2665" s="5" t="s">
        <v>8289</v>
      </c>
      <c r="O2665" s="5" t="s">
        <v>2963</v>
      </c>
      <c r="P2665" s="5" t="s">
        <v>2858</v>
      </c>
      <c r="Q2665" s="11">
        <v>46306.5</v>
      </c>
      <c r="R2665" s="6"/>
      <c r="S2665" s="6"/>
      <c r="T2665" s="6"/>
      <c r="U2665" s="5">
        <f>MATCH(B2665,Manual_Review!$A$6:$A$238,0)</f>
        <v>167</v>
      </c>
      <c r="V2665" s="5" t="str">
        <f>IF(INDEX(Manual_Review!$G$6:$G$238,U2665)="","",INDEX(Manual_Review!$G$6:$G$238,U2665))</f>
        <v/>
      </c>
      <c r="W2665" s="11" t="str">
        <f>IF(INDEX(Manual_Review!$H$6:$H$238,U2665)="","",INDEX(Manual_Review!$H$6:$H$238,U2665))</f>
        <v/>
      </c>
      <c r="X2665" s="5" t="str">
        <f>IF(INDEX(Manual_Review!$I$6:$I$238,U2665)="","",INDEX(Manual_Review!$I$6:$I$238,U2665))</f>
        <v/>
      </c>
      <c r="Y2665" s="5" t="s">
        <v>2859</v>
      </c>
    </row>
    <row r="2666" spans="1:25" ht="38.25">
      <c r="A2666" s="5" t="s">
        <v>8296</v>
      </c>
      <c r="B2666" s="5" t="s">
        <v>1868</v>
      </c>
      <c r="C2666" s="5" t="s">
        <v>1869</v>
      </c>
      <c r="D2666" s="5" t="s">
        <v>118</v>
      </c>
      <c r="E2666" s="5" t="s">
        <v>2785</v>
      </c>
      <c r="F2666" s="5" t="s">
        <v>2756</v>
      </c>
      <c r="G2666" s="5">
        <v>1</v>
      </c>
      <c r="H2666" s="5" t="s">
        <v>2864</v>
      </c>
      <c r="I2666" s="5" t="str">
        <f>IF(INDEX(Manual_Review!$O$6:$O$238,U2666)="","",INDEX(Manual_Review!$O$6:$O$238,U2666))</f>
        <v/>
      </c>
      <c r="J2666" s="5" t="str">
        <f t="shared" si="82"/>
        <v>AI provisional</v>
      </c>
      <c r="K2666" s="5" t="str">
        <f t="shared" si="83"/>
        <v>U</v>
      </c>
      <c r="L2666" s="5" t="s">
        <v>1875</v>
      </c>
      <c r="M2666" s="5" t="s">
        <v>8297</v>
      </c>
      <c r="N2666" s="5" t="s">
        <v>8289</v>
      </c>
      <c r="O2666" s="5" t="s">
        <v>2872</v>
      </c>
      <c r="P2666" s="5" t="s">
        <v>2858</v>
      </c>
      <c r="Q2666" s="11">
        <v>46306.5</v>
      </c>
      <c r="R2666" s="6"/>
      <c r="S2666" s="6"/>
      <c r="T2666" s="6"/>
      <c r="U2666" s="5">
        <f>MATCH(B2666,Manual_Review!$A$6:$A$238,0)</f>
        <v>167</v>
      </c>
      <c r="V2666" s="5" t="str">
        <f>IF(INDEX(Manual_Review!$G$6:$G$238,U2666)="","",INDEX(Manual_Review!$G$6:$G$238,U2666))</f>
        <v/>
      </c>
      <c r="W2666" s="11" t="str">
        <f>IF(INDEX(Manual_Review!$H$6:$H$238,U2666)="","",INDEX(Manual_Review!$H$6:$H$238,U2666))</f>
        <v/>
      </c>
      <c r="X2666" s="5" t="str">
        <f>IF(INDEX(Manual_Review!$I$6:$I$238,U2666)="","",INDEX(Manual_Review!$I$6:$I$238,U2666))</f>
        <v/>
      </c>
      <c r="Y2666" s="5" t="s">
        <v>2859</v>
      </c>
    </row>
    <row r="2667" spans="1:25" ht="38.25">
      <c r="A2667" s="5" t="s">
        <v>8298</v>
      </c>
      <c r="B2667" s="5" t="s">
        <v>1868</v>
      </c>
      <c r="C2667" s="5" t="s">
        <v>1869</v>
      </c>
      <c r="D2667" s="5" t="s">
        <v>118</v>
      </c>
      <c r="E2667" s="5" t="s">
        <v>2786</v>
      </c>
      <c r="F2667" s="5" t="s">
        <v>2756</v>
      </c>
      <c r="G2667" s="5">
        <v>1</v>
      </c>
      <c r="H2667" s="5" t="s">
        <v>2864</v>
      </c>
      <c r="I2667" s="5" t="str">
        <f>IF(INDEX(Manual_Review!$P$6:$P$238,U2667)="","",INDEX(Manual_Review!$P$6:$P$238,U2667))</f>
        <v/>
      </c>
      <c r="J2667" s="5" t="str">
        <f t="shared" si="82"/>
        <v>AI provisional</v>
      </c>
      <c r="K2667" s="5" t="str">
        <f t="shared" si="83"/>
        <v>U</v>
      </c>
      <c r="L2667" s="5" t="s">
        <v>1875</v>
      </c>
      <c r="M2667" s="5" t="s">
        <v>8299</v>
      </c>
      <c r="N2667" s="5" t="s">
        <v>8289</v>
      </c>
      <c r="O2667" s="5" t="s">
        <v>2874</v>
      </c>
      <c r="P2667" s="5" t="s">
        <v>2858</v>
      </c>
      <c r="Q2667" s="11">
        <v>46306.5</v>
      </c>
      <c r="R2667" s="6"/>
      <c r="S2667" s="6"/>
      <c r="T2667" s="6"/>
      <c r="U2667" s="5">
        <f>MATCH(B2667,Manual_Review!$A$6:$A$238,0)</f>
        <v>167</v>
      </c>
      <c r="V2667" s="5" t="str">
        <f>IF(INDEX(Manual_Review!$G$6:$G$238,U2667)="","",INDEX(Manual_Review!$G$6:$G$238,U2667))</f>
        <v/>
      </c>
      <c r="W2667" s="11" t="str">
        <f>IF(INDEX(Manual_Review!$H$6:$H$238,U2667)="","",INDEX(Manual_Review!$H$6:$H$238,U2667))</f>
        <v/>
      </c>
      <c r="X2667" s="5" t="str">
        <f>IF(INDEX(Manual_Review!$I$6:$I$238,U2667)="","",INDEX(Manual_Review!$I$6:$I$238,U2667))</f>
        <v/>
      </c>
      <c r="Y2667" s="5" t="s">
        <v>2859</v>
      </c>
    </row>
    <row r="2668" spans="1:25" ht="38.25">
      <c r="A2668" s="5" t="s">
        <v>8300</v>
      </c>
      <c r="B2668" s="5" t="s">
        <v>1868</v>
      </c>
      <c r="C2668" s="5" t="s">
        <v>1869</v>
      </c>
      <c r="D2668" s="5" t="s">
        <v>118</v>
      </c>
      <c r="E2668" s="5" t="s">
        <v>2787</v>
      </c>
      <c r="F2668" s="5" t="s">
        <v>2758</v>
      </c>
      <c r="G2668" s="5">
        <v>1</v>
      </c>
      <c r="H2668" s="5" t="s">
        <v>2854</v>
      </c>
      <c r="I2668" s="5" t="str">
        <f>IF(INDEX(Manual_Review!$Q$6:$Q$238,U2668)="","",INDEX(Manual_Review!$Q$6:$Q$238,U2668))</f>
        <v/>
      </c>
      <c r="J2668" s="5" t="str">
        <f t="shared" si="82"/>
        <v>AI provisional</v>
      </c>
      <c r="K2668" s="5" t="str">
        <f t="shared" si="83"/>
        <v>Y</v>
      </c>
      <c r="L2668" s="5" t="s">
        <v>1875</v>
      </c>
      <c r="M2668" s="5" t="s">
        <v>8301</v>
      </c>
      <c r="N2668" s="5" t="s">
        <v>8289</v>
      </c>
      <c r="O2668" s="5" t="s">
        <v>2969</v>
      </c>
      <c r="P2668" s="5" t="s">
        <v>2858</v>
      </c>
      <c r="Q2668" s="11">
        <v>46306.5</v>
      </c>
      <c r="R2668" s="6"/>
      <c r="S2668" s="6"/>
      <c r="T2668" s="6"/>
      <c r="U2668" s="5">
        <f>MATCH(B2668,Manual_Review!$A$6:$A$238,0)</f>
        <v>167</v>
      </c>
      <c r="V2668" s="5" t="str">
        <f>IF(INDEX(Manual_Review!$G$6:$G$238,U2668)="","",INDEX(Manual_Review!$G$6:$G$238,U2668))</f>
        <v/>
      </c>
      <c r="W2668" s="11" t="str">
        <f>IF(INDEX(Manual_Review!$H$6:$H$238,U2668)="","",INDEX(Manual_Review!$H$6:$H$238,U2668))</f>
        <v/>
      </c>
      <c r="X2668" s="5" t="str">
        <f>IF(INDEX(Manual_Review!$I$6:$I$238,U2668)="","",INDEX(Manual_Review!$I$6:$I$238,U2668))</f>
        <v/>
      </c>
      <c r="Y2668" s="5" t="s">
        <v>2859</v>
      </c>
    </row>
    <row r="2669" spans="1:25" ht="38.25">
      <c r="A2669" s="5" t="s">
        <v>8302</v>
      </c>
      <c r="B2669" s="5" t="s">
        <v>1868</v>
      </c>
      <c r="C2669" s="5" t="s">
        <v>1869</v>
      </c>
      <c r="D2669" s="5" t="s">
        <v>118</v>
      </c>
      <c r="E2669" s="5" t="s">
        <v>2788</v>
      </c>
      <c r="F2669" s="5" t="s">
        <v>2758</v>
      </c>
      <c r="G2669" s="5">
        <v>1</v>
      </c>
      <c r="H2669" s="5" t="s">
        <v>2854</v>
      </c>
      <c r="I2669" s="5" t="str">
        <f>IF(INDEX(Manual_Review!$R$6:$R$238,U2669)="","",INDEX(Manual_Review!$R$6:$R$238,U2669))</f>
        <v/>
      </c>
      <c r="J2669" s="5" t="str">
        <f t="shared" si="82"/>
        <v>AI provisional</v>
      </c>
      <c r="K2669" s="5" t="str">
        <f t="shared" si="83"/>
        <v>Y</v>
      </c>
      <c r="L2669" s="5" t="s">
        <v>1875</v>
      </c>
      <c r="M2669" s="5" t="s">
        <v>8303</v>
      </c>
      <c r="N2669" s="5" t="s">
        <v>8289</v>
      </c>
      <c r="O2669" s="5" t="s">
        <v>3067</v>
      </c>
      <c r="P2669" s="5" t="s">
        <v>2858</v>
      </c>
      <c r="Q2669" s="11">
        <v>46306.5</v>
      </c>
      <c r="R2669" s="6"/>
      <c r="S2669" s="6"/>
      <c r="T2669" s="6"/>
      <c r="U2669" s="5">
        <f>MATCH(B2669,Manual_Review!$A$6:$A$238,0)</f>
        <v>167</v>
      </c>
      <c r="V2669" s="5" t="str">
        <f>IF(INDEX(Manual_Review!$G$6:$G$238,U2669)="","",INDEX(Manual_Review!$G$6:$G$238,U2669))</f>
        <v/>
      </c>
      <c r="W2669" s="11" t="str">
        <f>IF(INDEX(Manual_Review!$H$6:$H$238,U2669)="","",INDEX(Manual_Review!$H$6:$H$238,U2669))</f>
        <v/>
      </c>
      <c r="X2669" s="5" t="str">
        <f>IF(INDEX(Manual_Review!$I$6:$I$238,U2669)="","",INDEX(Manual_Review!$I$6:$I$238,U2669))</f>
        <v/>
      </c>
      <c r="Y2669" s="5" t="s">
        <v>2859</v>
      </c>
    </row>
    <row r="2670" spans="1:25" ht="38.25">
      <c r="A2670" s="5" t="s">
        <v>8304</v>
      </c>
      <c r="B2670" s="5" t="s">
        <v>1868</v>
      </c>
      <c r="C2670" s="5" t="s">
        <v>1869</v>
      </c>
      <c r="D2670" s="5" t="s">
        <v>118</v>
      </c>
      <c r="E2670" s="5" t="s">
        <v>2789</v>
      </c>
      <c r="F2670" s="5" t="s">
        <v>2758</v>
      </c>
      <c r="G2670" s="5">
        <v>1</v>
      </c>
      <c r="H2670" s="5" t="s">
        <v>2854</v>
      </c>
      <c r="I2670" s="5" t="str">
        <f>IF(INDEX(Manual_Review!$S$6:$S$238,U2670)="","",INDEX(Manual_Review!$S$6:$S$238,U2670))</f>
        <v/>
      </c>
      <c r="J2670" s="5" t="str">
        <f t="shared" si="82"/>
        <v>AI provisional</v>
      </c>
      <c r="K2670" s="5" t="str">
        <f t="shared" si="83"/>
        <v>Y</v>
      </c>
      <c r="L2670" s="5" t="s">
        <v>1875</v>
      </c>
      <c r="M2670" s="5" t="s">
        <v>8305</v>
      </c>
      <c r="N2670" s="5" t="s">
        <v>8289</v>
      </c>
      <c r="O2670" s="5" t="s">
        <v>3178</v>
      </c>
      <c r="P2670" s="5" t="s">
        <v>2858</v>
      </c>
      <c r="Q2670" s="11">
        <v>46306.5</v>
      </c>
      <c r="R2670" s="6"/>
      <c r="S2670" s="6"/>
      <c r="T2670" s="6"/>
      <c r="U2670" s="5">
        <f>MATCH(B2670,Manual_Review!$A$6:$A$238,0)</f>
        <v>167</v>
      </c>
      <c r="V2670" s="5" t="str">
        <f>IF(INDEX(Manual_Review!$G$6:$G$238,U2670)="","",INDEX(Manual_Review!$G$6:$G$238,U2670))</f>
        <v/>
      </c>
      <c r="W2670" s="11" t="str">
        <f>IF(INDEX(Manual_Review!$H$6:$H$238,U2670)="","",INDEX(Manual_Review!$H$6:$H$238,U2670))</f>
        <v/>
      </c>
      <c r="X2670" s="5" t="str">
        <f>IF(INDEX(Manual_Review!$I$6:$I$238,U2670)="","",INDEX(Manual_Review!$I$6:$I$238,U2670))</f>
        <v/>
      </c>
      <c r="Y2670" s="5" t="s">
        <v>2859</v>
      </c>
    </row>
    <row r="2671" spans="1:25" ht="38.25">
      <c r="A2671" s="5" t="s">
        <v>8306</v>
      </c>
      <c r="B2671" s="5" t="s">
        <v>1868</v>
      </c>
      <c r="C2671" s="5" t="s">
        <v>1869</v>
      </c>
      <c r="D2671" s="5" t="s">
        <v>118</v>
      </c>
      <c r="E2671" s="5" t="s">
        <v>2790</v>
      </c>
      <c r="F2671" s="5" t="s">
        <v>2760</v>
      </c>
      <c r="G2671" s="5">
        <v>1</v>
      </c>
      <c r="H2671" s="5" t="s">
        <v>2864</v>
      </c>
      <c r="I2671" s="5" t="str">
        <f>IF(INDEX(Manual_Review!$T$6:$T$238,U2671)="","",INDEX(Manual_Review!$T$6:$T$238,U2671))</f>
        <v/>
      </c>
      <c r="J2671" s="5" t="str">
        <f t="shared" si="82"/>
        <v>AI provisional</v>
      </c>
      <c r="K2671" s="5" t="str">
        <f t="shared" si="83"/>
        <v>U</v>
      </c>
      <c r="L2671" s="5" t="s">
        <v>1875</v>
      </c>
      <c r="M2671" s="5" t="s">
        <v>8299</v>
      </c>
      <c r="N2671" s="5" t="s">
        <v>8289</v>
      </c>
      <c r="O2671" s="5" t="s">
        <v>2885</v>
      </c>
      <c r="P2671" s="5" t="s">
        <v>2858</v>
      </c>
      <c r="Q2671" s="11">
        <v>46306.5</v>
      </c>
      <c r="R2671" s="6"/>
      <c r="S2671" s="6"/>
      <c r="T2671" s="6"/>
      <c r="U2671" s="5">
        <f>MATCH(B2671,Manual_Review!$A$6:$A$238,0)</f>
        <v>167</v>
      </c>
      <c r="V2671" s="5" t="str">
        <f>IF(INDEX(Manual_Review!$G$6:$G$238,U2671)="","",INDEX(Manual_Review!$G$6:$G$238,U2671))</f>
        <v/>
      </c>
      <c r="W2671" s="11" t="str">
        <f>IF(INDEX(Manual_Review!$H$6:$H$238,U2671)="","",INDEX(Manual_Review!$H$6:$H$238,U2671))</f>
        <v/>
      </c>
      <c r="X2671" s="5" t="str">
        <f>IF(INDEX(Manual_Review!$I$6:$I$238,U2671)="","",INDEX(Manual_Review!$I$6:$I$238,U2671))</f>
        <v/>
      </c>
      <c r="Y2671" s="5" t="s">
        <v>2859</v>
      </c>
    </row>
    <row r="2672" spans="1:25" ht="38.25">
      <c r="A2672" s="5" t="s">
        <v>8307</v>
      </c>
      <c r="B2672" s="5" t="s">
        <v>1868</v>
      </c>
      <c r="C2672" s="5" t="s">
        <v>1869</v>
      </c>
      <c r="D2672" s="5" t="s">
        <v>118</v>
      </c>
      <c r="E2672" s="5" t="s">
        <v>2791</v>
      </c>
      <c r="F2672" s="5" t="s">
        <v>2760</v>
      </c>
      <c r="G2672" s="5">
        <v>1</v>
      </c>
      <c r="H2672" s="5" t="s">
        <v>2864</v>
      </c>
      <c r="I2672" s="5" t="str">
        <f>IF(INDEX(Manual_Review!$U$6:$U$238,U2672)="","",INDEX(Manual_Review!$U$6:$U$238,U2672))</f>
        <v/>
      </c>
      <c r="J2672" s="5" t="str">
        <f t="shared" si="82"/>
        <v>AI provisional</v>
      </c>
      <c r="K2672" s="5" t="str">
        <f t="shared" si="83"/>
        <v>U</v>
      </c>
      <c r="L2672" s="5" t="s">
        <v>1875</v>
      </c>
      <c r="M2672" s="5" t="s">
        <v>8308</v>
      </c>
      <c r="N2672" s="5" t="s">
        <v>8289</v>
      </c>
      <c r="O2672" s="5" t="s">
        <v>2888</v>
      </c>
      <c r="P2672" s="5" t="s">
        <v>2858</v>
      </c>
      <c r="Q2672" s="11">
        <v>46306.5</v>
      </c>
      <c r="R2672" s="6"/>
      <c r="S2672" s="6"/>
      <c r="T2672" s="6"/>
      <c r="U2672" s="5">
        <f>MATCH(B2672,Manual_Review!$A$6:$A$238,0)</f>
        <v>167</v>
      </c>
      <c r="V2672" s="5" t="str">
        <f>IF(INDEX(Manual_Review!$G$6:$G$238,U2672)="","",INDEX(Manual_Review!$G$6:$G$238,U2672))</f>
        <v/>
      </c>
      <c r="W2672" s="11" t="str">
        <f>IF(INDEX(Manual_Review!$H$6:$H$238,U2672)="","",INDEX(Manual_Review!$H$6:$H$238,U2672))</f>
        <v/>
      </c>
      <c r="X2672" s="5" t="str">
        <f>IF(INDEX(Manual_Review!$I$6:$I$238,U2672)="","",INDEX(Manual_Review!$I$6:$I$238,U2672))</f>
        <v/>
      </c>
      <c r="Y2672" s="5" t="s">
        <v>2859</v>
      </c>
    </row>
    <row r="2673" spans="1:25" ht="38.25">
      <c r="A2673" s="5" t="s">
        <v>8309</v>
      </c>
      <c r="B2673" s="5" t="s">
        <v>1868</v>
      </c>
      <c r="C2673" s="5" t="s">
        <v>1869</v>
      </c>
      <c r="D2673" s="5" t="s">
        <v>118</v>
      </c>
      <c r="E2673" s="5" t="s">
        <v>2792</v>
      </c>
      <c r="F2673" s="5" t="s">
        <v>2762</v>
      </c>
      <c r="G2673" s="5">
        <v>1</v>
      </c>
      <c r="H2673" s="5" t="s">
        <v>2854</v>
      </c>
      <c r="I2673" s="5" t="str">
        <f>IF(INDEX(Manual_Review!$V$6:$V$238,U2673)="","",INDEX(Manual_Review!$V$6:$V$238,U2673))</f>
        <v/>
      </c>
      <c r="J2673" s="5" t="str">
        <f t="shared" si="82"/>
        <v>AI provisional</v>
      </c>
      <c r="K2673" s="5" t="str">
        <f t="shared" si="83"/>
        <v>Y</v>
      </c>
      <c r="L2673" s="5" t="s">
        <v>1875</v>
      </c>
      <c r="M2673" s="5" t="s">
        <v>8310</v>
      </c>
      <c r="N2673" s="5" t="s">
        <v>8289</v>
      </c>
      <c r="O2673" s="5" t="s">
        <v>3152</v>
      </c>
      <c r="P2673" s="5" t="s">
        <v>2858</v>
      </c>
      <c r="Q2673" s="11">
        <v>46306.5</v>
      </c>
      <c r="R2673" s="6"/>
      <c r="S2673" s="6"/>
      <c r="T2673" s="6"/>
      <c r="U2673" s="5">
        <f>MATCH(B2673,Manual_Review!$A$6:$A$238,0)</f>
        <v>167</v>
      </c>
      <c r="V2673" s="5" t="str">
        <f>IF(INDEX(Manual_Review!$G$6:$G$238,U2673)="","",INDEX(Manual_Review!$G$6:$G$238,U2673))</f>
        <v/>
      </c>
      <c r="W2673" s="11" t="str">
        <f>IF(INDEX(Manual_Review!$H$6:$H$238,U2673)="","",INDEX(Manual_Review!$H$6:$H$238,U2673))</f>
        <v/>
      </c>
      <c r="X2673" s="5" t="str">
        <f>IF(INDEX(Manual_Review!$I$6:$I$238,U2673)="","",INDEX(Manual_Review!$I$6:$I$238,U2673))</f>
        <v/>
      </c>
      <c r="Y2673" s="5" t="s">
        <v>2859</v>
      </c>
    </row>
    <row r="2674" spans="1:25" ht="38.25">
      <c r="A2674" s="5" t="s">
        <v>8311</v>
      </c>
      <c r="B2674" s="5" t="s">
        <v>1868</v>
      </c>
      <c r="C2674" s="5" t="s">
        <v>1869</v>
      </c>
      <c r="D2674" s="5" t="s">
        <v>118</v>
      </c>
      <c r="E2674" s="5" t="s">
        <v>2793</v>
      </c>
      <c r="F2674" s="5" t="s">
        <v>2762</v>
      </c>
      <c r="G2674" s="5">
        <v>1</v>
      </c>
      <c r="H2674" s="5" t="s">
        <v>2854</v>
      </c>
      <c r="I2674" s="5" t="str">
        <f>IF(INDEX(Manual_Review!$W$6:$W$238,U2674)="","",INDEX(Manual_Review!$W$6:$W$238,U2674))</f>
        <v/>
      </c>
      <c r="J2674" s="5" t="str">
        <f t="shared" si="82"/>
        <v>AI provisional</v>
      </c>
      <c r="K2674" s="5" t="str">
        <f t="shared" si="83"/>
        <v>Y</v>
      </c>
      <c r="L2674" s="5" t="s">
        <v>1875</v>
      </c>
      <c r="M2674" s="5" t="s">
        <v>8312</v>
      </c>
      <c r="N2674" s="5" t="s">
        <v>8289</v>
      </c>
      <c r="O2674" s="5" t="s">
        <v>3077</v>
      </c>
      <c r="P2674" s="5" t="s">
        <v>2858</v>
      </c>
      <c r="Q2674" s="11">
        <v>46306.5</v>
      </c>
      <c r="R2674" s="6"/>
      <c r="S2674" s="6"/>
      <c r="T2674" s="6"/>
      <c r="U2674" s="5">
        <f>MATCH(B2674,Manual_Review!$A$6:$A$238,0)</f>
        <v>167</v>
      </c>
      <c r="V2674" s="5" t="str">
        <f>IF(INDEX(Manual_Review!$G$6:$G$238,U2674)="","",INDEX(Manual_Review!$G$6:$G$238,U2674))</f>
        <v/>
      </c>
      <c r="W2674" s="11" t="str">
        <f>IF(INDEX(Manual_Review!$H$6:$H$238,U2674)="","",INDEX(Manual_Review!$H$6:$H$238,U2674))</f>
        <v/>
      </c>
      <c r="X2674" s="5" t="str">
        <f>IF(INDEX(Manual_Review!$I$6:$I$238,U2674)="","",INDEX(Manual_Review!$I$6:$I$238,U2674))</f>
        <v/>
      </c>
      <c r="Y2674" s="5" t="s">
        <v>2859</v>
      </c>
    </row>
    <row r="2675" spans="1:25" ht="38.25">
      <c r="A2675" s="5" t="s">
        <v>8313</v>
      </c>
      <c r="B2675" s="5" t="s">
        <v>1868</v>
      </c>
      <c r="C2675" s="5" t="s">
        <v>1869</v>
      </c>
      <c r="D2675" s="5" t="s">
        <v>118</v>
      </c>
      <c r="E2675" s="5" t="s">
        <v>2794</v>
      </c>
      <c r="F2675" s="5" t="s">
        <v>2764</v>
      </c>
      <c r="G2675" s="5">
        <v>1</v>
      </c>
      <c r="H2675" s="5" t="s">
        <v>2854</v>
      </c>
      <c r="I2675" s="5" t="str">
        <f>IF(INDEX(Manual_Review!$X$6:$X$238,U2675)="","",INDEX(Manual_Review!$X$6:$X$238,U2675))</f>
        <v/>
      </c>
      <c r="J2675" s="5" t="str">
        <f t="shared" si="82"/>
        <v>AI provisional</v>
      </c>
      <c r="K2675" s="5" t="str">
        <f t="shared" si="83"/>
        <v>Y</v>
      </c>
      <c r="L2675" s="5" t="s">
        <v>1875</v>
      </c>
      <c r="M2675" s="5" t="s">
        <v>8314</v>
      </c>
      <c r="N2675" s="5" t="s">
        <v>8289</v>
      </c>
      <c r="O2675" s="5" t="s">
        <v>2984</v>
      </c>
      <c r="P2675" s="5" t="s">
        <v>2858</v>
      </c>
      <c r="Q2675" s="11">
        <v>46306.5</v>
      </c>
      <c r="R2675" s="6"/>
      <c r="S2675" s="6"/>
      <c r="T2675" s="6"/>
      <c r="U2675" s="5">
        <f>MATCH(B2675,Manual_Review!$A$6:$A$238,0)</f>
        <v>167</v>
      </c>
      <c r="V2675" s="5" t="str">
        <f>IF(INDEX(Manual_Review!$G$6:$G$238,U2675)="","",INDEX(Manual_Review!$G$6:$G$238,U2675))</f>
        <v/>
      </c>
      <c r="W2675" s="11" t="str">
        <f>IF(INDEX(Manual_Review!$H$6:$H$238,U2675)="","",INDEX(Manual_Review!$H$6:$H$238,U2675))</f>
        <v/>
      </c>
      <c r="X2675" s="5" t="str">
        <f>IF(INDEX(Manual_Review!$I$6:$I$238,U2675)="","",INDEX(Manual_Review!$I$6:$I$238,U2675))</f>
        <v/>
      </c>
      <c r="Y2675" s="5" t="s">
        <v>2859</v>
      </c>
    </row>
    <row r="2676" spans="1:25" ht="38.25">
      <c r="A2676" s="5" t="s">
        <v>8315</v>
      </c>
      <c r="B2676" s="5" t="s">
        <v>1868</v>
      </c>
      <c r="C2676" s="5" t="s">
        <v>1869</v>
      </c>
      <c r="D2676" s="5" t="s">
        <v>118</v>
      </c>
      <c r="E2676" s="5" t="s">
        <v>2795</v>
      </c>
      <c r="F2676" s="5" t="s">
        <v>2764</v>
      </c>
      <c r="G2676" s="5">
        <v>1</v>
      </c>
      <c r="H2676" s="5" t="s">
        <v>2864</v>
      </c>
      <c r="I2676" s="5" t="str">
        <f>IF(INDEX(Manual_Review!$Y$6:$Y$238,U2676)="","",INDEX(Manual_Review!$Y$6:$Y$238,U2676))</f>
        <v/>
      </c>
      <c r="J2676" s="5" t="str">
        <f t="shared" si="82"/>
        <v>AI provisional</v>
      </c>
      <c r="K2676" s="5" t="str">
        <f t="shared" si="83"/>
        <v>U</v>
      </c>
      <c r="L2676" s="5" t="s">
        <v>1875</v>
      </c>
      <c r="M2676" s="5" t="s">
        <v>8299</v>
      </c>
      <c r="N2676" s="5" t="s">
        <v>8289</v>
      </c>
      <c r="O2676" s="5" t="s">
        <v>2897</v>
      </c>
      <c r="P2676" s="5" t="s">
        <v>2858</v>
      </c>
      <c r="Q2676" s="11">
        <v>46306.5</v>
      </c>
      <c r="R2676" s="6"/>
      <c r="S2676" s="6"/>
      <c r="T2676" s="6"/>
      <c r="U2676" s="5">
        <f>MATCH(B2676,Manual_Review!$A$6:$A$238,0)</f>
        <v>167</v>
      </c>
      <c r="V2676" s="5" t="str">
        <f>IF(INDEX(Manual_Review!$G$6:$G$238,U2676)="","",INDEX(Manual_Review!$G$6:$G$238,U2676))</f>
        <v/>
      </c>
      <c r="W2676" s="11" t="str">
        <f>IF(INDEX(Manual_Review!$H$6:$H$238,U2676)="","",INDEX(Manual_Review!$H$6:$H$238,U2676))</f>
        <v/>
      </c>
      <c r="X2676" s="5" t="str">
        <f>IF(INDEX(Manual_Review!$I$6:$I$238,U2676)="","",INDEX(Manual_Review!$I$6:$I$238,U2676))</f>
        <v/>
      </c>
      <c r="Y2676" s="5" t="s">
        <v>2859</v>
      </c>
    </row>
    <row r="2677" spans="1:25" ht="38.25">
      <c r="A2677" s="5" t="s">
        <v>8316</v>
      </c>
      <c r="B2677" s="5" t="s">
        <v>1868</v>
      </c>
      <c r="C2677" s="5" t="s">
        <v>1869</v>
      </c>
      <c r="D2677" s="5" t="s">
        <v>118</v>
      </c>
      <c r="E2677" s="5" t="s">
        <v>2796</v>
      </c>
      <c r="F2677" s="5" t="s">
        <v>2764</v>
      </c>
      <c r="G2677" s="5">
        <v>1</v>
      </c>
      <c r="H2677" s="5" t="s">
        <v>2864</v>
      </c>
      <c r="I2677" s="5" t="str">
        <f>IF(INDEX(Manual_Review!$Z$6:$Z$238,U2677)="","",INDEX(Manual_Review!$Z$6:$Z$238,U2677))</f>
        <v/>
      </c>
      <c r="J2677" s="5" t="str">
        <f t="shared" si="82"/>
        <v>AI provisional</v>
      </c>
      <c r="K2677" s="5" t="str">
        <f t="shared" si="83"/>
        <v>U</v>
      </c>
      <c r="L2677" s="5" t="s">
        <v>1875</v>
      </c>
      <c r="M2677" s="5" t="s">
        <v>8305</v>
      </c>
      <c r="N2677" s="5" t="s">
        <v>8289</v>
      </c>
      <c r="O2677" s="5" t="s">
        <v>2899</v>
      </c>
      <c r="P2677" s="5" t="s">
        <v>2858</v>
      </c>
      <c r="Q2677" s="11">
        <v>46306.5</v>
      </c>
      <c r="R2677" s="6"/>
      <c r="S2677" s="6"/>
      <c r="T2677" s="6"/>
      <c r="U2677" s="5">
        <f>MATCH(B2677,Manual_Review!$A$6:$A$238,0)</f>
        <v>167</v>
      </c>
      <c r="V2677" s="5" t="str">
        <f>IF(INDEX(Manual_Review!$G$6:$G$238,U2677)="","",INDEX(Manual_Review!$G$6:$G$238,U2677))</f>
        <v/>
      </c>
      <c r="W2677" s="11" t="str">
        <f>IF(INDEX(Manual_Review!$H$6:$H$238,U2677)="","",INDEX(Manual_Review!$H$6:$H$238,U2677))</f>
        <v/>
      </c>
      <c r="X2677" s="5" t="str">
        <f>IF(INDEX(Manual_Review!$I$6:$I$238,U2677)="","",INDEX(Manual_Review!$I$6:$I$238,U2677))</f>
        <v/>
      </c>
      <c r="Y2677" s="5" t="s">
        <v>2859</v>
      </c>
    </row>
    <row r="2678" spans="1:25" ht="38.25">
      <c r="A2678" s="5" t="s">
        <v>8317</v>
      </c>
      <c r="B2678" s="5" t="s">
        <v>1877</v>
      </c>
      <c r="C2678" s="5" t="s">
        <v>1878</v>
      </c>
      <c r="D2678" s="5" t="s">
        <v>118</v>
      </c>
      <c r="E2678" s="5" t="s">
        <v>2781</v>
      </c>
      <c r="F2678" s="5" t="s">
        <v>2754</v>
      </c>
      <c r="G2678" s="5">
        <v>1</v>
      </c>
      <c r="H2678" s="5" t="s">
        <v>2854</v>
      </c>
      <c r="I2678" s="5" t="str">
        <f>IF(INDEX(Manual_Review!$K$6:$K$238,U2678)="","",INDEX(Manual_Review!$K$6:$K$238,U2678))</f>
        <v/>
      </c>
      <c r="J2678" s="5" t="str">
        <f t="shared" si="82"/>
        <v>AI provisional</v>
      </c>
      <c r="K2678" s="5" t="str">
        <f t="shared" si="83"/>
        <v>Y</v>
      </c>
      <c r="L2678" s="5" t="s">
        <v>1886</v>
      </c>
      <c r="M2678" s="5" t="s">
        <v>8318</v>
      </c>
      <c r="N2678" s="5" t="s">
        <v>8319</v>
      </c>
      <c r="O2678" s="5" t="s">
        <v>2857</v>
      </c>
      <c r="P2678" s="5" t="s">
        <v>2858</v>
      </c>
      <c r="Q2678" s="11">
        <v>46306.5</v>
      </c>
      <c r="R2678" s="6"/>
      <c r="S2678" s="6"/>
      <c r="T2678" s="6"/>
      <c r="U2678" s="5">
        <f>MATCH(B2678,Manual_Review!$A$6:$A$238,0)</f>
        <v>168</v>
      </c>
      <c r="V2678" s="5" t="str">
        <f>IF(INDEX(Manual_Review!$G$6:$G$238,U2678)="","",INDEX(Manual_Review!$G$6:$G$238,U2678))</f>
        <v/>
      </c>
      <c r="W2678" s="11" t="str">
        <f>IF(INDEX(Manual_Review!$H$6:$H$238,U2678)="","",INDEX(Manual_Review!$H$6:$H$238,U2678))</f>
        <v/>
      </c>
      <c r="X2678" s="5" t="str">
        <f>IF(INDEX(Manual_Review!$I$6:$I$238,U2678)="","",INDEX(Manual_Review!$I$6:$I$238,U2678))</f>
        <v/>
      </c>
      <c r="Y2678" s="5" t="s">
        <v>2859</v>
      </c>
    </row>
    <row r="2679" spans="1:25" ht="38.25">
      <c r="A2679" s="5" t="s">
        <v>8320</v>
      </c>
      <c r="B2679" s="5" t="s">
        <v>1877</v>
      </c>
      <c r="C2679" s="5" t="s">
        <v>1878</v>
      </c>
      <c r="D2679" s="5" t="s">
        <v>118</v>
      </c>
      <c r="E2679" s="5" t="s">
        <v>2782</v>
      </c>
      <c r="F2679" s="5" t="s">
        <v>2754</v>
      </c>
      <c r="G2679" s="5">
        <v>1</v>
      </c>
      <c r="H2679" s="5" t="s">
        <v>2854</v>
      </c>
      <c r="I2679" s="5" t="str">
        <f>IF(INDEX(Manual_Review!$L$6:$L$238,U2679)="","",INDEX(Manual_Review!$L$6:$L$238,U2679))</f>
        <v/>
      </c>
      <c r="J2679" s="5" t="str">
        <f t="shared" si="82"/>
        <v>AI provisional</v>
      </c>
      <c r="K2679" s="5" t="str">
        <f t="shared" si="83"/>
        <v>Y</v>
      </c>
      <c r="L2679" s="5" t="s">
        <v>1886</v>
      </c>
      <c r="M2679" s="5" t="s">
        <v>8321</v>
      </c>
      <c r="N2679" s="5" t="s">
        <v>8319</v>
      </c>
      <c r="O2679" s="5" t="s">
        <v>2862</v>
      </c>
      <c r="P2679" s="5" t="s">
        <v>2858</v>
      </c>
      <c r="Q2679" s="11">
        <v>46306.5</v>
      </c>
      <c r="R2679" s="6"/>
      <c r="S2679" s="6"/>
      <c r="T2679" s="6"/>
      <c r="U2679" s="5">
        <f>MATCH(B2679,Manual_Review!$A$6:$A$238,0)</f>
        <v>168</v>
      </c>
      <c r="V2679" s="5" t="str">
        <f>IF(INDEX(Manual_Review!$G$6:$G$238,U2679)="","",INDEX(Manual_Review!$G$6:$G$238,U2679))</f>
        <v/>
      </c>
      <c r="W2679" s="11" t="str">
        <f>IF(INDEX(Manual_Review!$H$6:$H$238,U2679)="","",INDEX(Manual_Review!$H$6:$H$238,U2679))</f>
        <v/>
      </c>
      <c r="X2679" s="5" t="str">
        <f>IF(INDEX(Manual_Review!$I$6:$I$238,U2679)="","",INDEX(Manual_Review!$I$6:$I$238,U2679))</f>
        <v/>
      </c>
      <c r="Y2679" s="5" t="s">
        <v>2859</v>
      </c>
    </row>
    <row r="2680" spans="1:25" ht="38.25">
      <c r="A2680" s="5" t="s">
        <v>8322</v>
      </c>
      <c r="B2680" s="5" t="s">
        <v>1877</v>
      </c>
      <c r="C2680" s="5" t="s">
        <v>1878</v>
      </c>
      <c r="D2680" s="5" t="s">
        <v>118</v>
      </c>
      <c r="E2680" s="5" t="s">
        <v>2783</v>
      </c>
      <c r="F2680" s="5" t="s">
        <v>2754</v>
      </c>
      <c r="G2680" s="5">
        <v>1</v>
      </c>
      <c r="H2680" s="5" t="s">
        <v>2854</v>
      </c>
      <c r="I2680" s="5" t="str">
        <f>IF(INDEX(Manual_Review!$M$6:$M$238,U2680)="","",INDEX(Manual_Review!$M$6:$M$238,U2680))</f>
        <v/>
      </c>
      <c r="J2680" s="5" t="str">
        <f t="shared" si="82"/>
        <v>AI provisional</v>
      </c>
      <c r="K2680" s="5" t="str">
        <f t="shared" si="83"/>
        <v>Y</v>
      </c>
      <c r="L2680" s="5" t="s">
        <v>1886</v>
      </c>
      <c r="M2680" s="5" t="s">
        <v>8323</v>
      </c>
      <c r="N2680" s="5" t="s">
        <v>8319</v>
      </c>
      <c r="O2680" s="5" t="s">
        <v>3133</v>
      </c>
      <c r="P2680" s="5" t="s">
        <v>2858</v>
      </c>
      <c r="Q2680" s="11">
        <v>46306.5</v>
      </c>
      <c r="R2680" s="6"/>
      <c r="S2680" s="6"/>
      <c r="T2680" s="6"/>
      <c r="U2680" s="5">
        <f>MATCH(B2680,Manual_Review!$A$6:$A$238,0)</f>
        <v>168</v>
      </c>
      <c r="V2680" s="5" t="str">
        <f>IF(INDEX(Manual_Review!$G$6:$G$238,U2680)="","",INDEX(Manual_Review!$G$6:$G$238,U2680))</f>
        <v/>
      </c>
      <c r="W2680" s="11" t="str">
        <f>IF(INDEX(Manual_Review!$H$6:$H$238,U2680)="","",INDEX(Manual_Review!$H$6:$H$238,U2680))</f>
        <v/>
      </c>
      <c r="X2680" s="5" t="str">
        <f>IF(INDEX(Manual_Review!$I$6:$I$238,U2680)="","",INDEX(Manual_Review!$I$6:$I$238,U2680))</f>
        <v/>
      </c>
      <c r="Y2680" s="5" t="s">
        <v>2859</v>
      </c>
    </row>
    <row r="2681" spans="1:25" ht="38.25">
      <c r="A2681" s="5" t="s">
        <v>8324</v>
      </c>
      <c r="B2681" s="5" t="s">
        <v>1877</v>
      </c>
      <c r="C2681" s="5" t="s">
        <v>1878</v>
      </c>
      <c r="D2681" s="5" t="s">
        <v>118</v>
      </c>
      <c r="E2681" s="5" t="s">
        <v>2784</v>
      </c>
      <c r="F2681" s="5" t="s">
        <v>2756</v>
      </c>
      <c r="G2681" s="5">
        <v>1</v>
      </c>
      <c r="H2681" s="5" t="s">
        <v>2864</v>
      </c>
      <c r="I2681" s="5" t="str">
        <f>IF(INDEX(Manual_Review!$N$6:$N$238,U2681)="","",INDEX(Manual_Review!$N$6:$N$238,U2681))</f>
        <v/>
      </c>
      <c r="J2681" s="5" t="str">
        <f t="shared" si="82"/>
        <v>AI provisional</v>
      </c>
      <c r="K2681" s="5" t="str">
        <f t="shared" si="83"/>
        <v>U</v>
      </c>
      <c r="L2681" s="5" t="s">
        <v>1886</v>
      </c>
      <c r="M2681" s="5" t="s">
        <v>8325</v>
      </c>
      <c r="N2681" s="5" t="s">
        <v>8319</v>
      </c>
      <c r="O2681" s="5" t="s">
        <v>2869</v>
      </c>
      <c r="P2681" s="5" t="s">
        <v>2858</v>
      </c>
      <c r="Q2681" s="11">
        <v>46306.5</v>
      </c>
      <c r="R2681" s="6"/>
      <c r="S2681" s="6"/>
      <c r="T2681" s="6"/>
      <c r="U2681" s="5">
        <f>MATCH(B2681,Manual_Review!$A$6:$A$238,0)</f>
        <v>168</v>
      </c>
      <c r="V2681" s="5" t="str">
        <f>IF(INDEX(Manual_Review!$G$6:$G$238,U2681)="","",INDEX(Manual_Review!$G$6:$G$238,U2681))</f>
        <v/>
      </c>
      <c r="W2681" s="11" t="str">
        <f>IF(INDEX(Manual_Review!$H$6:$H$238,U2681)="","",INDEX(Manual_Review!$H$6:$H$238,U2681))</f>
        <v/>
      </c>
      <c r="X2681" s="5" t="str">
        <f>IF(INDEX(Manual_Review!$I$6:$I$238,U2681)="","",INDEX(Manual_Review!$I$6:$I$238,U2681))</f>
        <v/>
      </c>
      <c r="Y2681" s="5" t="s">
        <v>2859</v>
      </c>
    </row>
    <row r="2682" spans="1:25" ht="38.25">
      <c r="A2682" s="5" t="s">
        <v>8326</v>
      </c>
      <c r="B2682" s="5" t="s">
        <v>1877</v>
      </c>
      <c r="C2682" s="5" t="s">
        <v>1878</v>
      </c>
      <c r="D2682" s="5" t="s">
        <v>118</v>
      </c>
      <c r="E2682" s="5" t="s">
        <v>2785</v>
      </c>
      <c r="F2682" s="5" t="s">
        <v>2756</v>
      </c>
      <c r="G2682" s="5">
        <v>1</v>
      </c>
      <c r="H2682" s="5" t="s">
        <v>2864</v>
      </c>
      <c r="I2682" s="5" t="str">
        <f>IF(INDEX(Manual_Review!$O$6:$O$238,U2682)="","",INDEX(Manual_Review!$O$6:$O$238,U2682))</f>
        <v/>
      </c>
      <c r="J2682" s="5" t="str">
        <f t="shared" si="82"/>
        <v>AI provisional</v>
      </c>
      <c r="K2682" s="5" t="str">
        <f t="shared" si="83"/>
        <v>U</v>
      </c>
      <c r="L2682" s="5" t="s">
        <v>1886</v>
      </c>
      <c r="M2682" s="5" t="s">
        <v>8327</v>
      </c>
      <c r="N2682" s="5" t="s">
        <v>8319</v>
      </c>
      <c r="O2682" s="5" t="s">
        <v>2872</v>
      </c>
      <c r="P2682" s="5" t="s">
        <v>2858</v>
      </c>
      <c r="Q2682" s="11">
        <v>46306.5</v>
      </c>
      <c r="R2682" s="6"/>
      <c r="S2682" s="6"/>
      <c r="T2682" s="6"/>
      <c r="U2682" s="5">
        <f>MATCH(B2682,Manual_Review!$A$6:$A$238,0)</f>
        <v>168</v>
      </c>
      <c r="V2682" s="5" t="str">
        <f>IF(INDEX(Manual_Review!$G$6:$G$238,U2682)="","",INDEX(Manual_Review!$G$6:$G$238,U2682))</f>
        <v/>
      </c>
      <c r="W2682" s="11" t="str">
        <f>IF(INDEX(Manual_Review!$H$6:$H$238,U2682)="","",INDEX(Manual_Review!$H$6:$H$238,U2682))</f>
        <v/>
      </c>
      <c r="X2682" s="5" t="str">
        <f>IF(INDEX(Manual_Review!$I$6:$I$238,U2682)="","",INDEX(Manual_Review!$I$6:$I$238,U2682))</f>
        <v/>
      </c>
      <c r="Y2682" s="5" t="s">
        <v>2859</v>
      </c>
    </row>
    <row r="2683" spans="1:25" ht="38.25">
      <c r="A2683" s="5" t="s">
        <v>8328</v>
      </c>
      <c r="B2683" s="5" t="s">
        <v>1877</v>
      </c>
      <c r="C2683" s="5" t="s">
        <v>1878</v>
      </c>
      <c r="D2683" s="5" t="s">
        <v>118</v>
      </c>
      <c r="E2683" s="5" t="s">
        <v>2786</v>
      </c>
      <c r="F2683" s="5" t="s">
        <v>2756</v>
      </c>
      <c r="G2683" s="5">
        <v>1</v>
      </c>
      <c r="H2683" s="5" t="s">
        <v>2864</v>
      </c>
      <c r="I2683" s="5" t="str">
        <f>IF(INDEX(Manual_Review!$P$6:$P$238,U2683)="","",INDEX(Manual_Review!$P$6:$P$238,U2683))</f>
        <v/>
      </c>
      <c r="J2683" s="5" t="str">
        <f t="shared" si="82"/>
        <v>AI provisional</v>
      </c>
      <c r="K2683" s="5" t="str">
        <f t="shared" si="83"/>
        <v>U</v>
      </c>
      <c r="L2683" s="5" t="s">
        <v>1886</v>
      </c>
      <c r="M2683" s="5" t="s">
        <v>8329</v>
      </c>
      <c r="N2683" s="5" t="s">
        <v>8319</v>
      </c>
      <c r="O2683" s="5" t="s">
        <v>2874</v>
      </c>
      <c r="P2683" s="5" t="s">
        <v>2858</v>
      </c>
      <c r="Q2683" s="11">
        <v>46306.5</v>
      </c>
      <c r="R2683" s="6"/>
      <c r="S2683" s="6"/>
      <c r="T2683" s="6"/>
      <c r="U2683" s="5">
        <f>MATCH(B2683,Manual_Review!$A$6:$A$238,0)</f>
        <v>168</v>
      </c>
      <c r="V2683" s="5" t="str">
        <f>IF(INDEX(Manual_Review!$G$6:$G$238,U2683)="","",INDEX(Manual_Review!$G$6:$G$238,U2683))</f>
        <v/>
      </c>
      <c r="W2683" s="11" t="str">
        <f>IF(INDEX(Manual_Review!$H$6:$H$238,U2683)="","",INDEX(Manual_Review!$H$6:$H$238,U2683))</f>
        <v/>
      </c>
      <c r="X2683" s="5" t="str">
        <f>IF(INDEX(Manual_Review!$I$6:$I$238,U2683)="","",INDEX(Manual_Review!$I$6:$I$238,U2683))</f>
        <v/>
      </c>
      <c r="Y2683" s="5" t="s">
        <v>2859</v>
      </c>
    </row>
    <row r="2684" spans="1:25" ht="38.25">
      <c r="A2684" s="5" t="s">
        <v>8330</v>
      </c>
      <c r="B2684" s="5" t="s">
        <v>1877</v>
      </c>
      <c r="C2684" s="5" t="s">
        <v>1878</v>
      </c>
      <c r="D2684" s="5" t="s">
        <v>118</v>
      </c>
      <c r="E2684" s="5" t="s">
        <v>2787</v>
      </c>
      <c r="F2684" s="5" t="s">
        <v>2758</v>
      </c>
      <c r="G2684" s="5">
        <v>1</v>
      </c>
      <c r="H2684" s="5" t="s">
        <v>2864</v>
      </c>
      <c r="I2684" s="5" t="str">
        <f>IF(INDEX(Manual_Review!$Q$6:$Q$238,U2684)="","",INDEX(Manual_Review!$Q$6:$Q$238,U2684))</f>
        <v/>
      </c>
      <c r="J2684" s="5" t="str">
        <f t="shared" si="82"/>
        <v>AI provisional</v>
      </c>
      <c r="K2684" s="5" t="str">
        <f t="shared" si="83"/>
        <v>U</v>
      </c>
      <c r="L2684" s="5" t="s">
        <v>1886</v>
      </c>
      <c r="M2684" s="5" t="s">
        <v>8331</v>
      </c>
      <c r="N2684" s="5" t="s">
        <v>8319</v>
      </c>
      <c r="O2684" s="5" t="s">
        <v>2877</v>
      </c>
      <c r="P2684" s="5" t="s">
        <v>2858</v>
      </c>
      <c r="Q2684" s="11">
        <v>46306.5</v>
      </c>
      <c r="R2684" s="6"/>
      <c r="S2684" s="6"/>
      <c r="T2684" s="6"/>
      <c r="U2684" s="5">
        <f>MATCH(B2684,Manual_Review!$A$6:$A$238,0)</f>
        <v>168</v>
      </c>
      <c r="V2684" s="5" t="str">
        <f>IF(INDEX(Manual_Review!$G$6:$G$238,U2684)="","",INDEX(Manual_Review!$G$6:$G$238,U2684))</f>
        <v/>
      </c>
      <c r="W2684" s="11" t="str">
        <f>IF(INDEX(Manual_Review!$H$6:$H$238,U2684)="","",INDEX(Manual_Review!$H$6:$H$238,U2684))</f>
        <v/>
      </c>
      <c r="X2684" s="5" t="str">
        <f>IF(INDEX(Manual_Review!$I$6:$I$238,U2684)="","",INDEX(Manual_Review!$I$6:$I$238,U2684))</f>
        <v/>
      </c>
      <c r="Y2684" s="5" t="s">
        <v>2859</v>
      </c>
    </row>
    <row r="2685" spans="1:25" ht="38.25">
      <c r="A2685" s="5" t="s">
        <v>8332</v>
      </c>
      <c r="B2685" s="5" t="s">
        <v>1877</v>
      </c>
      <c r="C2685" s="5" t="s">
        <v>1878</v>
      </c>
      <c r="D2685" s="5" t="s">
        <v>118</v>
      </c>
      <c r="E2685" s="5" t="s">
        <v>2788</v>
      </c>
      <c r="F2685" s="5" t="s">
        <v>2758</v>
      </c>
      <c r="G2685" s="5">
        <v>1</v>
      </c>
      <c r="H2685" s="5" t="s">
        <v>2864</v>
      </c>
      <c r="I2685" s="5" t="str">
        <f>IF(INDEX(Manual_Review!$R$6:$R$238,U2685)="","",INDEX(Manual_Review!$R$6:$R$238,U2685))</f>
        <v/>
      </c>
      <c r="J2685" s="5" t="str">
        <f t="shared" si="82"/>
        <v>AI provisional</v>
      </c>
      <c r="K2685" s="5" t="str">
        <f t="shared" si="83"/>
        <v>U</v>
      </c>
      <c r="L2685" s="5" t="s">
        <v>1886</v>
      </c>
      <c r="M2685" s="5" t="s">
        <v>8333</v>
      </c>
      <c r="N2685" s="5" t="s">
        <v>8319</v>
      </c>
      <c r="O2685" s="5" t="s">
        <v>2880</v>
      </c>
      <c r="P2685" s="5" t="s">
        <v>2858</v>
      </c>
      <c r="Q2685" s="11">
        <v>46306.5</v>
      </c>
      <c r="R2685" s="6"/>
      <c r="S2685" s="6"/>
      <c r="T2685" s="6"/>
      <c r="U2685" s="5">
        <f>MATCH(B2685,Manual_Review!$A$6:$A$238,0)</f>
        <v>168</v>
      </c>
      <c r="V2685" s="5" t="str">
        <f>IF(INDEX(Manual_Review!$G$6:$G$238,U2685)="","",INDEX(Manual_Review!$G$6:$G$238,U2685))</f>
        <v/>
      </c>
      <c r="W2685" s="11" t="str">
        <f>IF(INDEX(Manual_Review!$H$6:$H$238,U2685)="","",INDEX(Manual_Review!$H$6:$H$238,U2685))</f>
        <v/>
      </c>
      <c r="X2685" s="5" t="str">
        <f>IF(INDEX(Manual_Review!$I$6:$I$238,U2685)="","",INDEX(Manual_Review!$I$6:$I$238,U2685))</f>
        <v/>
      </c>
      <c r="Y2685" s="5" t="s">
        <v>2859</v>
      </c>
    </row>
    <row r="2686" spans="1:25" ht="38.25">
      <c r="A2686" s="5" t="s">
        <v>8334</v>
      </c>
      <c r="B2686" s="5" t="s">
        <v>1877</v>
      </c>
      <c r="C2686" s="5" t="s">
        <v>1878</v>
      </c>
      <c r="D2686" s="5" t="s">
        <v>118</v>
      </c>
      <c r="E2686" s="5" t="s">
        <v>2789</v>
      </c>
      <c r="F2686" s="5" t="s">
        <v>2758</v>
      </c>
      <c r="G2686" s="5">
        <v>1</v>
      </c>
      <c r="H2686" s="5" t="s">
        <v>2864</v>
      </c>
      <c r="I2686" s="5" t="str">
        <f>IF(INDEX(Manual_Review!$S$6:$S$238,U2686)="","",INDEX(Manual_Review!$S$6:$S$238,U2686))</f>
        <v/>
      </c>
      <c r="J2686" s="5" t="str">
        <f t="shared" si="82"/>
        <v>AI provisional</v>
      </c>
      <c r="K2686" s="5" t="str">
        <f t="shared" si="83"/>
        <v>U</v>
      </c>
      <c r="L2686" s="5" t="s">
        <v>1886</v>
      </c>
      <c r="M2686" s="5" t="s">
        <v>8335</v>
      </c>
      <c r="N2686" s="5" t="s">
        <v>8319</v>
      </c>
      <c r="O2686" s="5" t="s">
        <v>2883</v>
      </c>
      <c r="P2686" s="5" t="s">
        <v>2858</v>
      </c>
      <c r="Q2686" s="11">
        <v>46306.5</v>
      </c>
      <c r="R2686" s="6"/>
      <c r="S2686" s="6"/>
      <c r="T2686" s="6"/>
      <c r="U2686" s="5">
        <f>MATCH(B2686,Manual_Review!$A$6:$A$238,0)</f>
        <v>168</v>
      </c>
      <c r="V2686" s="5" t="str">
        <f>IF(INDEX(Manual_Review!$G$6:$G$238,U2686)="","",INDEX(Manual_Review!$G$6:$G$238,U2686))</f>
        <v/>
      </c>
      <c r="W2686" s="11" t="str">
        <f>IF(INDEX(Manual_Review!$H$6:$H$238,U2686)="","",INDEX(Manual_Review!$H$6:$H$238,U2686))</f>
        <v/>
      </c>
      <c r="X2686" s="5" t="str">
        <f>IF(INDEX(Manual_Review!$I$6:$I$238,U2686)="","",INDEX(Manual_Review!$I$6:$I$238,U2686))</f>
        <v/>
      </c>
      <c r="Y2686" s="5" t="s">
        <v>2859</v>
      </c>
    </row>
    <row r="2687" spans="1:25" ht="38.25">
      <c r="A2687" s="5" t="s">
        <v>8336</v>
      </c>
      <c r="B2687" s="5" t="s">
        <v>1877</v>
      </c>
      <c r="C2687" s="5" t="s">
        <v>1878</v>
      </c>
      <c r="D2687" s="5" t="s">
        <v>118</v>
      </c>
      <c r="E2687" s="5" t="s">
        <v>2790</v>
      </c>
      <c r="F2687" s="5" t="s">
        <v>2760</v>
      </c>
      <c r="G2687" s="5">
        <v>1</v>
      </c>
      <c r="H2687" s="5" t="s">
        <v>2864</v>
      </c>
      <c r="I2687" s="5" t="str">
        <f>IF(INDEX(Manual_Review!$T$6:$T$238,U2687)="","",INDEX(Manual_Review!$T$6:$T$238,U2687))</f>
        <v/>
      </c>
      <c r="J2687" s="5" t="str">
        <f t="shared" si="82"/>
        <v>AI provisional</v>
      </c>
      <c r="K2687" s="5" t="str">
        <f t="shared" si="83"/>
        <v>U</v>
      </c>
      <c r="L2687" s="5" t="s">
        <v>1886</v>
      </c>
      <c r="M2687" s="5" t="s">
        <v>8337</v>
      </c>
      <c r="N2687" s="5" t="s">
        <v>8319</v>
      </c>
      <c r="O2687" s="5" t="s">
        <v>2885</v>
      </c>
      <c r="P2687" s="5" t="s">
        <v>2858</v>
      </c>
      <c r="Q2687" s="11">
        <v>46306.5</v>
      </c>
      <c r="R2687" s="6"/>
      <c r="S2687" s="6"/>
      <c r="T2687" s="6"/>
      <c r="U2687" s="5">
        <f>MATCH(B2687,Manual_Review!$A$6:$A$238,0)</f>
        <v>168</v>
      </c>
      <c r="V2687" s="5" t="str">
        <f>IF(INDEX(Manual_Review!$G$6:$G$238,U2687)="","",INDEX(Manual_Review!$G$6:$G$238,U2687))</f>
        <v/>
      </c>
      <c r="W2687" s="11" t="str">
        <f>IF(INDEX(Manual_Review!$H$6:$H$238,U2687)="","",INDEX(Manual_Review!$H$6:$H$238,U2687))</f>
        <v/>
      </c>
      <c r="X2687" s="5" t="str">
        <f>IF(INDEX(Manual_Review!$I$6:$I$238,U2687)="","",INDEX(Manual_Review!$I$6:$I$238,U2687))</f>
        <v/>
      </c>
      <c r="Y2687" s="5" t="s">
        <v>2859</v>
      </c>
    </row>
    <row r="2688" spans="1:25" ht="38.25">
      <c r="A2688" s="5" t="s">
        <v>8338</v>
      </c>
      <c r="B2688" s="5" t="s">
        <v>1877</v>
      </c>
      <c r="C2688" s="5" t="s">
        <v>1878</v>
      </c>
      <c r="D2688" s="5" t="s">
        <v>118</v>
      </c>
      <c r="E2688" s="5" t="s">
        <v>2791</v>
      </c>
      <c r="F2688" s="5" t="s">
        <v>2760</v>
      </c>
      <c r="G2688" s="5">
        <v>1</v>
      </c>
      <c r="H2688" s="5" t="s">
        <v>2864</v>
      </c>
      <c r="I2688" s="5" t="str">
        <f>IF(INDEX(Manual_Review!$U$6:$U$238,U2688)="","",INDEX(Manual_Review!$U$6:$U$238,U2688))</f>
        <v/>
      </c>
      <c r="J2688" s="5" t="str">
        <f t="shared" si="82"/>
        <v>AI provisional</v>
      </c>
      <c r="K2688" s="5" t="str">
        <f t="shared" si="83"/>
        <v>U</v>
      </c>
      <c r="L2688" s="5" t="s">
        <v>1886</v>
      </c>
      <c r="M2688" s="5" t="s">
        <v>8339</v>
      </c>
      <c r="N2688" s="5" t="s">
        <v>8319</v>
      </c>
      <c r="O2688" s="5" t="s">
        <v>2888</v>
      </c>
      <c r="P2688" s="5" t="s">
        <v>2858</v>
      </c>
      <c r="Q2688" s="11">
        <v>46306.5</v>
      </c>
      <c r="R2688" s="6"/>
      <c r="S2688" s="6"/>
      <c r="T2688" s="6"/>
      <c r="U2688" s="5">
        <f>MATCH(B2688,Manual_Review!$A$6:$A$238,0)</f>
        <v>168</v>
      </c>
      <c r="V2688" s="5" t="str">
        <f>IF(INDEX(Manual_Review!$G$6:$G$238,U2688)="","",INDEX(Manual_Review!$G$6:$G$238,U2688))</f>
        <v/>
      </c>
      <c r="W2688" s="11" t="str">
        <f>IF(INDEX(Manual_Review!$H$6:$H$238,U2688)="","",INDEX(Manual_Review!$H$6:$H$238,U2688))</f>
        <v/>
      </c>
      <c r="X2688" s="5" t="str">
        <f>IF(INDEX(Manual_Review!$I$6:$I$238,U2688)="","",INDEX(Manual_Review!$I$6:$I$238,U2688))</f>
        <v/>
      </c>
      <c r="Y2688" s="5" t="s">
        <v>2859</v>
      </c>
    </row>
    <row r="2689" spans="1:25" ht="38.25">
      <c r="A2689" s="5" t="s">
        <v>8340</v>
      </c>
      <c r="B2689" s="5" t="s">
        <v>1877</v>
      </c>
      <c r="C2689" s="5" t="s">
        <v>1878</v>
      </c>
      <c r="D2689" s="5" t="s">
        <v>118</v>
      </c>
      <c r="E2689" s="5" t="s">
        <v>2792</v>
      </c>
      <c r="F2689" s="5" t="s">
        <v>2762</v>
      </c>
      <c r="G2689" s="5">
        <v>1</v>
      </c>
      <c r="H2689" s="5" t="s">
        <v>2864</v>
      </c>
      <c r="I2689" s="5" t="str">
        <f>IF(INDEX(Manual_Review!$V$6:$V$238,U2689)="","",INDEX(Manual_Review!$V$6:$V$238,U2689))</f>
        <v/>
      </c>
      <c r="J2689" s="5" t="str">
        <f t="shared" si="82"/>
        <v>AI provisional</v>
      </c>
      <c r="K2689" s="5" t="str">
        <f t="shared" si="83"/>
        <v>U</v>
      </c>
      <c r="L2689" s="5" t="s">
        <v>1886</v>
      </c>
      <c r="M2689" s="5" t="s">
        <v>8341</v>
      </c>
      <c r="N2689" s="5" t="s">
        <v>8319</v>
      </c>
      <c r="O2689" s="5" t="s">
        <v>2891</v>
      </c>
      <c r="P2689" s="5" t="s">
        <v>2858</v>
      </c>
      <c r="Q2689" s="11">
        <v>46306.5</v>
      </c>
      <c r="R2689" s="6"/>
      <c r="S2689" s="6"/>
      <c r="T2689" s="6"/>
      <c r="U2689" s="5">
        <f>MATCH(B2689,Manual_Review!$A$6:$A$238,0)</f>
        <v>168</v>
      </c>
      <c r="V2689" s="5" t="str">
        <f>IF(INDEX(Manual_Review!$G$6:$G$238,U2689)="","",INDEX(Manual_Review!$G$6:$G$238,U2689))</f>
        <v/>
      </c>
      <c r="W2689" s="11" t="str">
        <f>IF(INDEX(Manual_Review!$H$6:$H$238,U2689)="","",INDEX(Manual_Review!$H$6:$H$238,U2689))</f>
        <v/>
      </c>
      <c r="X2689" s="5" t="str">
        <f>IF(INDEX(Manual_Review!$I$6:$I$238,U2689)="","",INDEX(Manual_Review!$I$6:$I$238,U2689))</f>
        <v/>
      </c>
      <c r="Y2689" s="5" t="s">
        <v>2859</v>
      </c>
    </row>
    <row r="2690" spans="1:25" ht="38.25">
      <c r="A2690" s="5" t="s">
        <v>8342</v>
      </c>
      <c r="B2690" s="5" t="s">
        <v>1877</v>
      </c>
      <c r="C2690" s="5" t="s">
        <v>1878</v>
      </c>
      <c r="D2690" s="5" t="s">
        <v>118</v>
      </c>
      <c r="E2690" s="5" t="s">
        <v>2793</v>
      </c>
      <c r="F2690" s="5" t="s">
        <v>2762</v>
      </c>
      <c r="G2690" s="5">
        <v>1</v>
      </c>
      <c r="H2690" s="5" t="s">
        <v>2854</v>
      </c>
      <c r="I2690" s="5" t="str">
        <f>IF(INDEX(Manual_Review!$W$6:$W$238,U2690)="","",INDEX(Manual_Review!$W$6:$W$238,U2690))</f>
        <v/>
      </c>
      <c r="J2690" s="5" t="str">
        <f t="shared" si="82"/>
        <v>AI provisional</v>
      </c>
      <c r="K2690" s="5" t="str">
        <f t="shared" si="83"/>
        <v>Y</v>
      </c>
      <c r="L2690" s="5" t="s">
        <v>1886</v>
      </c>
      <c r="M2690" s="5" t="s">
        <v>8341</v>
      </c>
      <c r="N2690" s="5" t="s">
        <v>8319</v>
      </c>
      <c r="O2690" s="5" t="s">
        <v>3077</v>
      </c>
      <c r="P2690" s="5" t="s">
        <v>2858</v>
      </c>
      <c r="Q2690" s="11">
        <v>46306.5</v>
      </c>
      <c r="R2690" s="6"/>
      <c r="S2690" s="6"/>
      <c r="T2690" s="6"/>
      <c r="U2690" s="5">
        <f>MATCH(B2690,Manual_Review!$A$6:$A$238,0)</f>
        <v>168</v>
      </c>
      <c r="V2690" s="5" t="str">
        <f>IF(INDEX(Manual_Review!$G$6:$G$238,U2690)="","",INDEX(Manual_Review!$G$6:$G$238,U2690))</f>
        <v/>
      </c>
      <c r="W2690" s="11" t="str">
        <f>IF(INDEX(Manual_Review!$H$6:$H$238,U2690)="","",INDEX(Manual_Review!$H$6:$H$238,U2690))</f>
        <v/>
      </c>
      <c r="X2690" s="5" t="str">
        <f>IF(INDEX(Manual_Review!$I$6:$I$238,U2690)="","",INDEX(Manual_Review!$I$6:$I$238,U2690))</f>
        <v/>
      </c>
      <c r="Y2690" s="5" t="s">
        <v>2859</v>
      </c>
    </row>
    <row r="2691" spans="1:25" ht="38.25">
      <c r="A2691" s="5" t="s">
        <v>8343</v>
      </c>
      <c r="B2691" s="5" t="s">
        <v>1877</v>
      </c>
      <c r="C2691" s="5" t="s">
        <v>1878</v>
      </c>
      <c r="D2691" s="5" t="s">
        <v>118</v>
      </c>
      <c r="E2691" s="5" t="s">
        <v>2794</v>
      </c>
      <c r="F2691" s="5" t="s">
        <v>2764</v>
      </c>
      <c r="G2691" s="5">
        <v>1</v>
      </c>
      <c r="H2691" s="5" t="s">
        <v>2854</v>
      </c>
      <c r="I2691" s="5" t="str">
        <f>IF(INDEX(Manual_Review!$X$6:$X$238,U2691)="","",INDEX(Manual_Review!$X$6:$X$238,U2691))</f>
        <v/>
      </c>
      <c r="J2691" s="5" t="str">
        <f t="shared" si="82"/>
        <v>AI provisional</v>
      </c>
      <c r="K2691" s="5" t="str">
        <f t="shared" si="83"/>
        <v>Y</v>
      </c>
      <c r="L2691" s="5" t="s">
        <v>1886</v>
      </c>
      <c r="M2691" s="5" t="s">
        <v>8344</v>
      </c>
      <c r="N2691" s="5" t="s">
        <v>8319</v>
      </c>
      <c r="O2691" s="5" t="s">
        <v>2984</v>
      </c>
      <c r="P2691" s="5" t="s">
        <v>2858</v>
      </c>
      <c r="Q2691" s="11">
        <v>46306.5</v>
      </c>
      <c r="R2691" s="6"/>
      <c r="S2691" s="6"/>
      <c r="T2691" s="6"/>
      <c r="U2691" s="5">
        <f>MATCH(B2691,Manual_Review!$A$6:$A$238,0)</f>
        <v>168</v>
      </c>
      <c r="V2691" s="5" t="str">
        <f>IF(INDEX(Manual_Review!$G$6:$G$238,U2691)="","",INDEX(Manual_Review!$G$6:$G$238,U2691))</f>
        <v/>
      </c>
      <c r="W2691" s="11" t="str">
        <f>IF(INDEX(Manual_Review!$H$6:$H$238,U2691)="","",INDEX(Manual_Review!$H$6:$H$238,U2691))</f>
        <v/>
      </c>
      <c r="X2691" s="5" t="str">
        <f>IF(INDEX(Manual_Review!$I$6:$I$238,U2691)="","",INDEX(Manual_Review!$I$6:$I$238,U2691))</f>
        <v/>
      </c>
      <c r="Y2691" s="5" t="s">
        <v>2859</v>
      </c>
    </row>
    <row r="2692" spans="1:25" ht="38.25">
      <c r="A2692" s="5" t="s">
        <v>8345</v>
      </c>
      <c r="B2692" s="5" t="s">
        <v>1877</v>
      </c>
      <c r="C2692" s="5" t="s">
        <v>1878</v>
      </c>
      <c r="D2692" s="5" t="s">
        <v>118</v>
      </c>
      <c r="E2692" s="5" t="s">
        <v>2795</v>
      </c>
      <c r="F2692" s="5" t="s">
        <v>2764</v>
      </c>
      <c r="G2692" s="5">
        <v>1</v>
      </c>
      <c r="H2692" s="5" t="s">
        <v>2854</v>
      </c>
      <c r="I2692" s="5" t="str">
        <f>IF(INDEX(Manual_Review!$Y$6:$Y$238,U2692)="","",INDEX(Manual_Review!$Y$6:$Y$238,U2692))</f>
        <v/>
      </c>
      <c r="J2692" s="5" t="str">
        <f t="shared" si="82"/>
        <v>AI provisional</v>
      </c>
      <c r="K2692" s="5" t="str">
        <f t="shared" si="83"/>
        <v>Y</v>
      </c>
      <c r="L2692" s="5" t="s">
        <v>1886</v>
      </c>
      <c r="M2692" s="5" t="s">
        <v>8346</v>
      </c>
      <c r="N2692" s="5" t="s">
        <v>8319</v>
      </c>
      <c r="O2692" s="5" t="s">
        <v>3082</v>
      </c>
      <c r="P2692" s="5" t="s">
        <v>2858</v>
      </c>
      <c r="Q2692" s="11">
        <v>46306.5</v>
      </c>
      <c r="R2692" s="6"/>
      <c r="S2692" s="6"/>
      <c r="T2692" s="6"/>
      <c r="U2692" s="5">
        <f>MATCH(B2692,Manual_Review!$A$6:$A$238,0)</f>
        <v>168</v>
      </c>
      <c r="V2692" s="5" t="str">
        <f>IF(INDEX(Manual_Review!$G$6:$G$238,U2692)="","",INDEX(Manual_Review!$G$6:$G$238,U2692))</f>
        <v/>
      </c>
      <c r="W2692" s="11" t="str">
        <f>IF(INDEX(Manual_Review!$H$6:$H$238,U2692)="","",INDEX(Manual_Review!$H$6:$H$238,U2692))</f>
        <v/>
      </c>
      <c r="X2692" s="5" t="str">
        <f>IF(INDEX(Manual_Review!$I$6:$I$238,U2692)="","",INDEX(Manual_Review!$I$6:$I$238,U2692))</f>
        <v/>
      </c>
      <c r="Y2692" s="5" t="s">
        <v>2859</v>
      </c>
    </row>
    <row r="2693" spans="1:25" ht="38.25">
      <c r="A2693" s="5" t="s">
        <v>8347</v>
      </c>
      <c r="B2693" s="5" t="s">
        <v>1877</v>
      </c>
      <c r="C2693" s="5" t="s">
        <v>1878</v>
      </c>
      <c r="D2693" s="5" t="s">
        <v>118</v>
      </c>
      <c r="E2693" s="5" t="s">
        <v>2796</v>
      </c>
      <c r="F2693" s="5" t="s">
        <v>2764</v>
      </c>
      <c r="G2693" s="5">
        <v>1</v>
      </c>
      <c r="H2693" s="5" t="s">
        <v>2864</v>
      </c>
      <c r="I2693" s="5" t="str">
        <f>IF(INDEX(Manual_Review!$Z$6:$Z$238,U2693)="","",INDEX(Manual_Review!$Z$6:$Z$238,U2693))</f>
        <v/>
      </c>
      <c r="J2693" s="5" t="str">
        <f t="shared" si="82"/>
        <v>AI provisional</v>
      </c>
      <c r="K2693" s="5" t="str">
        <f t="shared" si="83"/>
        <v>U</v>
      </c>
      <c r="L2693" s="5" t="s">
        <v>1886</v>
      </c>
      <c r="M2693" s="5" t="s">
        <v>8348</v>
      </c>
      <c r="N2693" s="5" t="s">
        <v>8319</v>
      </c>
      <c r="O2693" s="5" t="s">
        <v>2899</v>
      </c>
      <c r="P2693" s="5" t="s">
        <v>2858</v>
      </c>
      <c r="Q2693" s="11">
        <v>46306.5</v>
      </c>
      <c r="R2693" s="6"/>
      <c r="S2693" s="6"/>
      <c r="T2693" s="6"/>
      <c r="U2693" s="5">
        <f>MATCH(B2693,Manual_Review!$A$6:$A$238,0)</f>
        <v>168</v>
      </c>
      <c r="V2693" s="5" t="str">
        <f>IF(INDEX(Manual_Review!$G$6:$G$238,U2693)="","",INDEX(Manual_Review!$G$6:$G$238,U2693))</f>
        <v/>
      </c>
      <c r="W2693" s="11" t="str">
        <f>IF(INDEX(Manual_Review!$H$6:$H$238,U2693)="","",INDEX(Manual_Review!$H$6:$H$238,U2693))</f>
        <v/>
      </c>
      <c r="X2693" s="5" t="str">
        <f>IF(INDEX(Manual_Review!$I$6:$I$238,U2693)="","",INDEX(Manual_Review!$I$6:$I$238,U2693))</f>
        <v/>
      </c>
      <c r="Y2693" s="5" t="s">
        <v>2859</v>
      </c>
    </row>
    <row r="2694" spans="1:25" ht="25.5">
      <c r="A2694" s="5" t="s">
        <v>8349</v>
      </c>
      <c r="B2694" s="5" t="s">
        <v>1888</v>
      </c>
      <c r="C2694" s="5" t="s">
        <v>1889</v>
      </c>
      <c r="D2694" s="5" t="s">
        <v>118</v>
      </c>
      <c r="E2694" s="5" t="s">
        <v>2781</v>
      </c>
      <c r="F2694" s="5" t="s">
        <v>2754</v>
      </c>
      <c r="G2694" s="5">
        <v>1</v>
      </c>
      <c r="H2694" s="5" t="s">
        <v>2854</v>
      </c>
      <c r="I2694" s="5" t="str">
        <f>IF(INDEX(Manual_Review!$K$6:$K$238,U2694)="","",INDEX(Manual_Review!$K$6:$K$238,U2694))</f>
        <v/>
      </c>
      <c r="J2694" s="5" t="str">
        <f t="shared" ref="J2694:J2757" si="84">IF(G2694=0,"Not applicable",IF(I2694="","AI provisional",IF(AND(OR(I2694="Y",I2694="N",I2694="U",I2694="X"),V2694&lt;&gt;"",ISNUMBER(W2694),W2694&gt;0,X2694="Confirmed",R2694&lt;&gt;"",S2694&lt;&gt;"",T2694&lt;&gt;""),"Human valid","Evidence needed")))</f>
        <v>AI provisional</v>
      </c>
      <c r="K2694" s="5" t="str">
        <f t="shared" ref="K2694:K2757" si="85">IF(G2694=0,"N/A",IF(I2694="",H2694,IF(J2694="Human valid",I2694,"U")))</f>
        <v>Y</v>
      </c>
      <c r="L2694" s="5" t="s">
        <v>1893</v>
      </c>
      <c r="M2694" s="5" t="s">
        <v>8350</v>
      </c>
      <c r="N2694" s="5" t="s">
        <v>8351</v>
      </c>
      <c r="O2694" s="5" t="s">
        <v>2857</v>
      </c>
      <c r="P2694" s="5" t="s">
        <v>2858</v>
      </c>
      <c r="Q2694" s="11">
        <v>46306.5</v>
      </c>
      <c r="R2694" s="6"/>
      <c r="S2694" s="6"/>
      <c r="T2694" s="6"/>
      <c r="U2694" s="5">
        <f>MATCH(B2694,Manual_Review!$A$6:$A$238,0)</f>
        <v>169</v>
      </c>
      <c r="V2694" s="5" t="str">
        <f>IF(INDEX(Manual_Review!$G$6:$G$238,U2694)="","",INDEX(Manual_Review!$G$6:$G$238,U2694))</f>
        <v/>
      </c>
      <c r="W2694" s="11" t="str">
        <f>IF(INDEX(Manual_Review!$H$6:$H$238,U2694)="","",INDEX(Manual_Review!$H$6:$H$238,U2694))</f>
        <v/>
      </c>
      <c r="X2694" s="5" t="str">
        <f>IF(INDEX(Manual_Review!$I$6:$I$238,U2694)="","",INDEX(Manual_Review!$I$6:$I$238,U2694))</f>
        <v/>
      </c>
      <c r="Y2694" s="5" t="s">
        <v>2859</v>
      </c>
    </row>
    <row r="2695" spans="1:25" ht="25.5">
      <c r="A2695" s="5" t="s">
        <v>8352</v>
      </c>
      <c r="B2695" s="5" t="s">
        <v>1888</v>
      </c>
      <c r="C2695" s="5" t="s">
        <v>1889</v>
      </c>
      <c r="D2695" s="5" t="s">
        <v>118</v>
      </c>
      <c r="E2695" s="5" t="s">
        <v>2782</v>
      </c>
      <c r="F2695" s="5" t="s">
        <v>2754</v>
      </c>
      <c r="G2695" s="5">
        <v>1</v>
      </c>
      <c r="H2695" s="5" t="s">
        <v>2854</v>
      </c>
      <c r="I2695" s="5" t="str">
        <f>IF(INDEX(Manual_Review!$L$6:$L$238,U2695)="","",INDEX(Manual_Review!$L$6:$L$238,U2695))</f>
        <v/>
      </c>
      <c r="J2695" s="5" t="str">
        <f t="shared" si="84"/>
        <v>AI provisional</v>
      </c>
      <c r="K2695" s="5" t="str">
        <f t="shared" si="85"/>
        <v>Y</v>
      </c>
      <c r="L2695" s="5" t="s">
        <v>1893</v>
      </c>
      <c r="M2695" s="5" t="s">
        <v>8353</v>
      </c>
      <c r="N2695" s="5" t="s">
        <v>8351</v>
      </c>
      <c r="O2695" s="5" t="s">
        <v>2862</v>
      </c>
      <c r="P2695" s="5" t="s">
        <v>2858</v>
      </c>
      <c r="Q2695" s="11">
        <v>46306.5</v>
      </c>
      <c r="R2695" s="6"/>
      <c r="S2695" s="6"/>
      <c r="T2695" s="6"/>
      <c r="U2695" s="5">
        <f>MATCH(B2695,Manual_Review!$A$6:$A$238,0)</f>
        <v>169</v>
      </c>
      <c r="V2695" s="5" t="str">
        <f>IF(INDEX(Manual_Review!$G$6:$G$238,U2695)="","",INDEX(Manual_Review!$G$6:$G$238,U2695))</f>
        <v/>
      </c>
      <c r="W2695" s="11" t="str">
        <f>IF(INDEX(Manual_Review!$H$6:$H$238,U2695)="","",INDEX(Manual_Review!$H$6:$H$238,U2695))</f>
        <v/>
      </c>
      <c r="X2695" s="5" t="str">
        <f>IF(INDEX(Manual_Review!$I$6:$I$238,U2695)="","",INDEX(Manual_Review!$I$6:$I$238,U2695))</f>
        <v/>
      </c>
      <c r="Y2695" s="5" t="s">
        <v>2859</v>
      </c>
    </row>
    <row r="2696" spans="1:25" ht="25.5">
      <c r="A2696" s="5" t="s">
        <v>8354</v>
      </c>
      <c r="B2696" s="5" t="s">
        <v>1888</v>
      </c>
      <c r="C2696" s="5" t="s">
        <v>1889</v>
      </c>
      <c r="D2696" s="5" t="s">
        <v>118</v>
      </c>
      <c r="E2696" s="5" t="s">
        <v>2783</v>
      </c>
      <c r="F2696" s="5" t="s">
        <v>2754</v>
      </c>
      <c r="G2696" s="5">
        <v>1</v>
      </c>
      <c r="H2696" s="5" t="s">
        <v>2854</v>
      </c>
      <c r="I2696" s="5" t="str">
        <f>IF(INDEX(Manual_Review!$M$6:$M$238,U2696)="","",INDEX(Manual_Review!$M$6:$M$238,U2696))</f>
        <v/>
      </c>
      <c r="J2696" s="5" t="str">
        <f t="shared" si="84"/>
        <v>AI provisional</v>
      </c>
      <c r="K2696" s="5" t="str">
        <f t="shared" si="85"/>
        <v>Y</v>
      </c>
      <c r="L2696" s="5" t="s">
        <v>1893</v>
      </c>
      <c r="M2696" s="5" t="s">
        <v>8355</v>
      </c>
      <c r="N2696" s="5" t="s">
        <v>8351</v>
      </c>
      <c r="O2696" s="5" t="s">
        <v>3133</v>
      </c>
      <c r="P2696" s="5" t="s">
        <v>2858</v>
      </c>
      <c r="Q2696" s="11">
        <v>46306.5</v>
      </c>
      <c r="R2696" s="6"/>
      <c r="S2696" s="6"/>
      <c r="T2696" s="6"/>
      <c r="U2696" s="5">
        <f>MATCH(B2696,Manual_Review!$A$6:$A$238,0)</f>
        <v>169</v>
      </c>
      <c r="V2696" s="5" t="str">
        <f>IF(INDEX(Manual_Review!$G$6:$G$238,U2696)="","",INDEX(Manual_Review!$G$6:$G$238,U2696))</f>
        <v/>
      </c>
      <c r="W2696" s="11" t="str">
        <f>IF(INDEX(Manual_Review!$H$6:$H$238,U2696)="","",INDEX(Manual_Review!$H$6:$H$238,U2696))</f>
        <v/>
      </c>
      <c r="X2696" s="5" t="str">
        <f>IF(INDEX(Manual_Review!$I$6:$I$238,U2696)="","",INDEX(Manual_Review!$I$6:$I$238,U2696))</f>
        <v/>
      </c>
      <c r="Y2696" s="5" t="s">
        <v>2859</v>
      </c>
    </row>
    <row r="2697" spans="1:25" ht="25.5">
      <c r="A2697" s="5" t="s">
        <v>8356</v>
      </c>
      <c r="B2697" s="5" t="s">
        <v>1888</v>
      </c>
      <c r="C2697" s="5" t="s">
        <v>1889</v>
      </c>
      <c r="D2697" s="5" t="s">
        <v>118</v>
      </c>
      <c r="E2697" s="5" t="s">
        <v>2784</v>
      </c>
      <c r="F2697" s="5" t="s">
        <v>2756</v>
      </c>
      <c r="G2697" s="5">
        <v>1</v>
      </c>
      <c r="H2697" s="5" t="s">
        <v>2864</v>
      </c>
      <c r="I2697" s="5" t="str">
        <f>IF(INDEX(Manual_Review!$N$6:$N$238,U2697)="","",INDEX(Manual_Review!$N$6:$N$238,U2697))</f>
        <v/>
      </c>
      <c r="J2697" s="5" t="str">
        <f t="shared" si="84"/>
        <v>AI provisional</v>
      </c>
      <c r="K2697" s="5" t="str">
        <f t="shared" si="85"/>
        <v>U</v>
      </c>
      <c r="L2697" s="5" t="s">
        <v>1893</v>
      </c>
      <c r="M2697" s="5" t="s">
        <v>8357</v>
      </c>
      <c r="N2697" s="5" t="s">
        <v>8351</v>
      </c>
      <c r="O2697" s="5" t="s">
        <v>2869</v>
      </c>
      <c r="P2697" s="5" t="s">
        <v>2858</v>
      </c>
      <c r="Q2697" s="11">
        <v>46306.5</v>
      </c>
      <c r="R2697" s="6"/>
      <c r="S2697" s="6"/>
      <c r="T2697" s="6"/>
      <c r="U2697" s="5">
        <f>MATCH(B2697,Manual_Review!$A$6:$A$238,0)</f>
        <v>169</v>
      </c>
      <c r="V2697" s="5" t="str">
        <f>IF(INDEX(Manual_Review!$G$6:$G$238,U2697)="","",INDEX(Manual_Review!$G$6:$G$238,U2697))</f>
        <v/>
      </c>
      <c r="W2697" s="11" t="str">
        <f>IF(INDEX(Manual_Review!$H$6:$H$238,U2697)="","",INDEX(Manual_Review!$H$6:$H$238,U2697))</f>
        <v/>
      </c>
      <c r="X2697" s="5" t="str">
        <f>IF(INDEX(Manual_Review!$I$6:$I$238,U2697)="","",INDEX(Manual_Review!$I$6:$I$238,U2697))</f>
        <v/>
      </c>
      <c r="Y2697" s="5" t="s">
        <v>2859</v>
      </c>
    </row>
    <row r="2698" spans="1:25" ht="25.5">
      <c r="A2698" s="5" t="s">
        <v>8358</v>
      </c>
      <c r="B2698" s="5" t="s">
        <v>1888</v>
      </c>
      <c r="C2698" s="5" t="s">
        <v>1889</v>
      </c>
      <c r="D2698" s="5" t="s">
        <v>118</v>
      </c>
      <c r="E2698" s="5" t="s">
        <v>2785</v>
      </c>
      <c r="F2698" s="5" t="s">
        <v>2756</v>
      </c>
      <c r="G2698" s="5">
        <v>1</v>
      </c>
      <c r="H2698" s="5" t="s">
        <v>2864</v>
      </c>
      <c r="I2698" s="5" t="str">
        <f>IF(INDEX(Manual_Review!$O$6:$O$238,U2698)="","",INDEX(Manual_Review!$O$6:$O$238,U2698))</f>
        <v/>
      </c>
      <c r="J2698" s="5" t="str">
        <f t="shared" si="84"/>
        <v>AI provisional</v>
      </c>
      <c r="K2698" s="5" t="str">
        <f t="shared" si="85"/>
        <v>U</v>
      </c>
      <c r="L2698" s="5" t="s">
        <v>1893</v>
      </c>
      <c r="M2698" s="5" t="s">
        <v>8357</v>
      </c>
      <c r="N2698" s="5" t="s">
        <v>8351</v>
      </c>
      <c r="O2698" s="5" t="s">
        <v>2872</v>
      </c>
      <c r="P2698" s="5" t="s">
        <v>2858</v>
      </c>
      <c r="Q2698" s="11">
        <v>46306.5</v>
      </c>
      <c r="R2698" s="6"/>
      <c r="S2698" s="6"/>
      <c r="T2698" s="6"/>
      <c r="U2698" s="5">
        <f>MATCH(B2698,Manual_Review!$A$6:$A$238,0)</f>
        <v>169</v>
      </c>
      <c r="V2698" s="5" t="str">
        <f>IF(INDEX(Manual_Review!$G$6:$G$238,U2698)="","",INDEX(Manual_Review!$G$6:$G$238,U2698))</f>
        <v/>
      </c>
      <c r="W2698" s="11" t="str">
        <f>IF(INDEX(Manual_Review!$H$6:$H$238,U2698)="","",INDEX(Manual_Review!$H$6:$H$238,U2698))</f>
        <v/>
      </c>
      <c r="X2698" s="5" t="str">
        <f>IF(INDEX(Manual_Review!$I$6:$I$238,U2698)="","",INDEX(Manual_Review!$I$6:$I$238,U2698))</f>
        <v/>
      </c>
      <c r="Y2698" s="5" t="s">
        <v>2859</v>
      </c>
    </row>
    <row r="2699" spans="1:25" ht="25.5">
      <c r="A2699" s="5" t="s">
        <v>8359</v>
      </c>
      <c r="B2699" s="5" t="s">
        <v>1888</v>
      </c>
      <c r="C2699" s="5" t="s">
        <v>1889</v>
      </c>
      <c r="D2699" s="5" t="s">
        <v>118</v>
      </c>
      <c r="E2699" s="5" t="s">
        <v>2786</v>
      </c>
      <c r="F2699" s="5" t="s">
        <v>2756</v>
      </c>
      <c r="G2699" s="5">
        <v>1</v>
      </c>
      <c r="H2699" s="5" t="s">
        <v>2864</v>
      </c>
      <c r="I2699" s="5" t="str">
        <f>IF(INDEX(Manual_Review!$P$6:$P$238,U2699)="","",INDEX(Manual_Review!$P$6:$P$238,U2699))</f>
        <v/>
      </c>
      <c r="J2699" s="5" t="str">
        <f t="shared" si="84"/>
        <v>AI provisional</v>
      </c>
      <c r="K2699" s="5" t="str">
        <f t="shared" si="85"/>
        <v>U</v>
      </c>
      <c r="L2699" s="5" t="s">
        <v>1893</v>
      </c>
      <c r="M2699" s="5" t="s">
        <v>8360</v>
      </c>
      <c r="N2699" s="5" t="s">
        <v>8351</v>
      </c>
      <c r="O2699" s="5" t="s">
        <v>2874</v>
      </c>
      <c r="P2699" s="5" t="s">
        <v>2858</v>
      </c>
      <c r="Q2699" s="11">
        <v>46306.5</v>
      </c>
      <c r="R2699" s="6"/>
      <c r="S2699" s="6"/>
      <c r="T2699" s="6"/>
      <c r="U2699" s="5">
        <f>MATCH(B2699,Manual_Review!$A$6:$A$238,0)</f>
        <v>169</v>
      </c>
      <c r="V2699" s="5" t="str">
        <f>IF(INDEX(Manual_Review!$G$6:$G$238,U2699)="","",INDEX(Manual_Review!$G$6:$G$238,U2699))</f>
        <v/>
      </c>
      <c r="W2699" s="11" t="str">
        <f>IF(INDEX(Manual_Review!$H$6:$H$238,U2699)="","",INDEX(Manual_Review!$H$6:$H$238,U2699))</f>
        <v/>
      </c>
      <c r="X2699" s="5" t="str">
        <f>IF(INDEX(Manual_Review!$I$6:$I$238,U2699)="","",INDEX(Manual_Review!$I$6:$I$238,U2699))</f>
        <v/>
      </c>
      <c r="Y2699" s="5" t="s">
        <v>2859</v>
      </c>
    </row>
    <row r="2700" spans="1:25" ht="25.5">
      <c r="A2700" s="5" t="s">
        <v>8361</v>
      </c>
      <c r="B2700" s="5" t="s">
        <v>1888</v>
      </c>
      <c r="C2700" s="5" t="s">
        <v>1889</v>
      </c>
      <c r="D2700" s="5" t="s">
        <v>118</v>
      </c>
      <c r="E2700" s="5" t="s">
        <v>2787</v>
      </c>
      <c r="F2700" s="5" t="s">
        <v>2758</v>
      </c>
      <c r="G2700" s="5">
        <v>1</v>
      </c>
      <c r="H2700" s="5" t="s">
        <v>2864</v>
      </c>
      <c r="I2700" s="5" t="str">
        <f>IF(INDEX(Manual_Review!$Q$6:$Q$238,U2700)="","",INDEX(Manual_Review!$Q$6:$Q$238,U2700))</f>
        <v/>
      </c>
      <c r="J2700" s="5" t="str">
        <f t="shared" si="84"/>
        <v>AI provisional</v>
      </c>
      <c r="K2700" s="5" t="str">
        <f t="shared" si="85"/>
        <v>U</v>
      </c>
      <c r="L2700" s="5" t="s">
        <v>1893</v>
      </c>
      <c r="M2700" s="5" t="s">
        <v>8357</v>
      </c>
      <c r="N2700" s="5" t="s">
        <v>8351</v>
      </c>
      <c r="O2700" s="5" t="s">
        <v>2877</v>
      </c>
      <c r="P2700" s="5" t="s">
        <v>2858</v>
      </c>
      <c r="Q2700" s="11">
        <v>46306.5</v>
      </c>
      <c r="R2700" s="6"/>
      <c r="S2700" s="6"/>
      <c r="T2700" s="6"/>
      <c r="U2700" s="5">
        <f>MATCH(B2700,Manual_Review!$A$6:$A$238,0)</f>
        <v>169</v>
      </c>
      <c r="V2700" s="5" t="str">
        <f>IF(INDEX(Manual_Review!$G$6:$G$238,U2700)="","",INDEX(Manual_Review!$G$6:$G$238,U2700))</f>
        <v/>
      </c>
      <c r="W2700" s="11" t="str">
        <f>IF(INDEX(Manual_Review!$H$6:$H$238,U2700)="","",INDEX(Manual_Review!$H$6:$H$238,U2700))</f>
        <v/>
      </c>
      <c r="X2700" s="5" t="str">
        <f>IF(INDEX(Manual_Review!$I$6:$I$238,U2700)="","",INDEX(Manual_Review!$I$6:$I$238,U2700))</f>
        <v/>
      </c>
      <c r="Y2700" s="5" t="s">
        <v>2859</v>
      </c>
    </row>
    <row r="2701" spans="1:25" ht="25.5">
      <c r="A2701" s="5" t="s">
        <v>8362</v>
      </c>
      <c r="B2701" s="5" t="s">
        <v>1888</v>
      </c>
      <c r="C2701" s="5" t="s">
        <v>1889</v>
      </c>
      <c r="D2701" s="5" t="s">
        <v>118</v>
      </c>
      <c r="E2701" s="5" t="s">
        <v>2788</v>
      </c>
      <c r="F2701" s="5" t="s">
        <v>2758</v>
      </c>
      <c r="G2701" s="5">
        <v>1</v>
      </c>
      <c r="H2701" s="5" t="s">
        <v>2864</v>
      </c>
      <c r="I2701" s="5" t="str">
        <f>IF(INDEX(Manual_Review!$R$6:$R$238,U2701)="","",INDEX(Manual_Review!$R$6:$R$238,U2701))</f>
        <v/>
      </c>
      <c r="J2701" s="5" t="str">
        <f t="shared" si="84"/>
        <v>AI provisional</v>
      </c>
      <c r="K2701" s="5" t="str">
        <f t="shared" si="85"/>
        <v>U</v>
      </c>
      <c r="L2701" s="5" t="s">
        <v>1893</v>
      </c>
      <c r="M2701" s="5" t="s">
        <v>8363</v>
      </c>
      <c r="N2701" s="5" t="s">
        <v>8351</v>
      </c>
      <c r="O2701" s="5" t="s">
        <v>2880</v>
      </c>
      <c r="P2701" s="5" t="s">
        <v>2858</v>
      </c>
      <c r="Q2701" s="11">
        <v>46306.5</v>
      </c>
      <c r="R2701" s="6"/>
      <c r="S2701" s="6"/>
      <c r="T2701" s="6"/>
      <c r="U2701" s="5">
        <f>MATCH(B2701,Manual_Review!$A$6:$A$238,0)</f>
        <v>169</v>
      </c>
      <c r="V2701" s="5" t="str">
        <f>IF(INDEX(Manual_Review!$G$6:$G$238,U2701)="","",INDEX(Manual_Review!$G$6:$G$238,U2701))</f>
        <v/>
      </c>
      <c r="W2701" s="11" t="str">
        <f>IF(INDEX(Manual_Review!$H$6:$H$238,U2701)="","",INDEX(Manual_Review!$H$6:$H$238,U2701))</f>
        <v/>
      </c>
      <c r="X2701" s="5" t="str">
        <f>IF(INDEX(Manual_Review!$I$6:$I$238,U2701)="","",INDEX(Manual_Review!$I$6:$I$238,U2701))</f>
        <v/>
      </c>
      <c r="Y2701" s="5" t="s">
        <v>2859</v>
      </c>
    </row>
    <row r="2702" spans="1:25" ht="25.5">
      <c r="A2702" s="5" t="s">
        <v>8364</v>
      </c>
      <c r="B2702" s="5" t="s">
        <v>1888</v>
      </c>
      <c r="C2702" s="5" t="s">
        <v>1889</v>
      </c>
      <c r="D2702" s="5" t="s">
        <v>118</v>
      </c>
      <c r="E2702" s="5" t="s">
        <v>2789</v>
      </c>
      <c r="F2702" s="5" t="s">
        <v>2758</v>
      </c>
      <c r="G2702" s="5">
        <v>1</v>
      </c>
      <c r="H2702" s="5" t="s">
        <v>2864</v>
      </c>
      <c r="I2702" s="5" t="str">
        <f>IF(INDEX(Manual_Review!$S$6:$S$238,U2702)="","",INDEX(Manual_Review!$S$6:$S$238,U2702))</f>
        <v/>
      </c>
      <c r="J2702" s="5" t="str">
        <f t="shared" si="84"/>
        <v>AI provisional</v>
      </c>
      <c r="K2702" s="5" t="str">
        <f t="shared" si="85"/>
        <v>U</v>
      </c>
      <c r="L2702" s="5" t="s">
        <v>1893</v>
      </c>
      <c r="M2702" s="5" t="s">
        <v>8365</v>
      </c>
      <c r="N2702" s="5" t="s">
        <v>8351</v>
      </c>
      <c r="O2702" s="5" t="s">
        <v>2883</v>
      </c>
      <c r="P2702" s="5" t="s">
        <v>2858</v>
      </c>
      <c r="Q2702" s="11">
        <v>46306.5</v>
      </c>
      <c r="R2702" s="6"/>
      <c r="S2702" s="6"/>
      <c r="T2702" s="6"/>
      <c r="U2702" s="5">
        <f>MATCH(B2702,Manual_Review!$A$6:$A$238,0)</f>
        <v>169</v>
      </c>
      <c r="V2702" s="5" t="str">
        <f>IF(INDEX(Manual_Review!$G$6:$G$238,U2702)="","",INDEX(Manual_Review!$G$6:$G$238,U2702))</f>
        <v/>
      </c>
      <c r="W2702" s="11" t="str">
        <f>IF(INDEX(Manual_Review!$H$6:$H$238,U2702)="","",INDEX(Manual_Review!$H$6:$H$238,U2702))</f>
        <v/>
      </c>
      <c r="X2702" s="5" t="str">
        <f>IF(INDEX(Manual_Review!$I$6:$I$238,U2702)="","",INDEX(Manual_Review!$I$6:$I$238,U2702))</f>
        <v/>
      </c>
      <c r="Y2702" s="5" t="s">
        <v>2859</v>
      </c>
    </row>
    <row r="2703" spans="1:25" ht="25.5">
      <c r="A2703" s="5" t="s">
        <v>8366</v>
      </c>
      <c r="B2703" s="5" t="s">
        <v>1888</v>
      </c>
      <c r="C2703" s="5" t="s">
        <v>1889</v>
      </c>
      <c r="D2703" s="5" t="s">
        <v>118</v>
      </c>
      <c r="E2703" s="5" t="s">
        <v>2790</v>
      </c>
      <c r="F2703" s="5" t="s">
        <v>2760</v>
      </c>
      <c r="G2703" s="5">
        <v>1</v>
      </c>
      <c r="H2703" s="5" t="s">
        <v>2864</v>
      </c>
      <c r="I2703" s="5" t="str">
        <f>IF(INDEX(Manual_Review!$T$6:$T$238,U2703)="","",INDEX(Manual_Review!$T$6:$T$238,U2703))</f>
        <v/>
      </c>
      <c r="J2703" s="5" t="str">
        <f t="shared" si="84"/>
        <v>AI provisional</v>
      </c>
      <c r="K2703" s="5" t="str">
        <f t="shared" si="85"/>
        <v>U</v>
      </c>
      <c r="L2703" s="5" t="s">
        <v>1893</v>
      </c>
      <c r="M2703" s="5" t="s">
        <v>8360</v>
      </c>
      <c r="N2703" s="5" t="s">
        <v>8351</v>
      </c>
      <c r="O2703" s="5" t="s">
        <v>2885</v>
      </c>
      <c r="P2703" s="5" t="s">
        <v>2858</v>
      </c>
      <c r="Q2703" s="11">
        <v>46306.5</v>
      </c>
      <c r="R2703" s="6"/>
      <c r="S2703" s="6"/>
      <c r="T2703" s="6"/>
      <c r="U2703" s="5">
        <f>MATCH(B2703,Manual_Review!$A$6:$A$238,0)</f>
        <v>169</v>
      </c>
      <c r="V2703" s="5" t="str">
        <f>IF(INDEX(Manual_Review!$G$6:$G$238,U2703)="","",INDEX(Manual_Review!$G$6:$G$238,U2703))</f>
        <v/>
      </c>
      <c r="W2703" s="11" t="str">
        <f>IF(INDEX(Manual_Review!$H$6:$H$238,U2703)="","",INDEX(Manual_Review!$H$6:$H$238,U2703))</f>
        <v/>
      </c>
      <c r="X2703" s="5" t="str">
        <f>IF(INDEX(Manual_Review!$I$6:$I$238,U2703)="","",INDEX(Manual_Review!$I$6:$I$238,U2703))</f>
        <v/>
      </c>
      <c r="Y2703" s="5" t="s">
        <v>2859</v>
      </c>
    </row>
    <row r="2704" spans="1:25" ht="25.5">
      <c r="A2704" s="5" t="s">
        <v>8367</v>
      </c>
      <c r="B2704" s="5" t="s">
        <v>1888</v>
      </c>
      <c r="C2704" s="5" t="s">
        <v>1889</v>
      </c>
      <c r="D2704" s="5" t="s">
        <v>118</v>
      </c>
      <c r="E2704" s="5" t="s">
        <v>2791</v>
      </c>
      <c r="F2704" s="5" t="s">
        <v>2760</v>
      </c>
      <c r="G2704" s="5">
        <v>1</v>
      </c>
      <c r="H2704" s="5" t="s">
        <v>2864</v>
      </c>
      <c r="I2704" s="5" t="str">
        <f>IF(INDEX(Manual_Review!$U$6:$U$238,U2704)="","",INDEX(Manual_Review!$U$6:$U$238,U2704))</f>
        <v/>
      </c>
      <c r="J2704" s="5" t="str">
        <f t="shared" si="84"/>
        <v>AI provisional</v>
      </c>
      <c r="K2704" s="5" t="str">
        <f t="shared" si="85"/>
        <v>U</v>
      </c>
      <c r="L2704" s="5" t="s">
        <v>1893</v>
      </c>
      <c r="M2704" s="5" t="s">
        <v>8357</v>
      </c>
      <c r="N2704" s="5" t="s">
        <v>8351</v>
      </c>
      <c r="O2704" s="5" t="s">
        <v>2888</v>
      </c>
      <c r="P2704" s="5" t="s">
        <v>2858</v>
      </c>
      <c r="Q2704" s="11">
        <v>46306.5</v>
      </c>
      <c r="R2704" s="6"/>
      <c r="S2704" s="6"/>
      <c r="T2704" s="6"/>
      <c r="U2704" s="5">
        <f>MATCH(B2704,Manual_Review!$A$6:$A$238,0)</f>
        <v>169</v>
      </c>
      <c r="V2704" s="5" t="str">
        <f>IF(INDEX(Manual_Review!$G$6:$G$238,U2704)="","",INDEX(Manual_Review!$G$6:$G$238,U2704))</f>
        <v/>
      </c>
      <c r="W2704" s="11" t="str">
        <f>IF(INDEX(Manual_Review!$H$6:$H$238,U2704)="","",INDEX(Manual_Review!$H$6:$H$238,U2704))</f>
        <v/>
      </c>
      <c r="X2704" s="5" t="str">
        <f>IF(INDEX(Manual_Review!$I$6:$I$238,U2704)="","",INDEX(Manual_Review!$I$6:$I$238,U2704))</f>
        <v/>
      </c>
      <c r="Y2704" s="5" t="s">
        <v>2859</v>
      </c>
    </row>
    <row r="2705" spans="1:25" ht="25.5">
      <c r="A2705" s="5" t="s">
        <v>8368</v>
      </c>
      <c r="B2705" s="5" t="s">
        <v>1888</v>
      </c>
      <c r="C2705" s="5" t="s">
        <v>1889</v>
      </c>
      <c r="D2705" s="5" t="s">
        <v>118</v>
      </c>
      <c r="E2705" s="5" t="s">
        <v>2792</v>
      </c>
      <c r="F2705" s="5" t="s">
        <v>2762</v>
      </c>
      <c r="G2705" s="5">
        <v>1</v>
      </c>
      <c r="H2705" s="5" t="s">
        <v>2864</v>
      </c>
      <c r="I2705" s="5" t="str">
        <f>IF(INDEX(Manual_Review!$V$6:$V$238,U2705)="","",INDEX(Manual_Review!$V$6:$V$238,U2705))</f>
        <v/>
      </c>
      <c r="J2705" s="5" t="str">
        <f t="shared" si="84"/>
        <v>AI provisional</v>
      </c>
      <c r="K2705" s="5" t="str">
        <f t="shared" si="85"/>
        <v>U</v>
      </c>
      <c r="L2705" s="5" t="s">
        <v>1893</v>
      </c>
      <c r="M2705" s="5" t="s">
        <v>8369</v>
      </c>
      <c r="N2705" s="5" t="s">
        <v>8351</v>
      </c>
      <c r="O2705" s="5" t="s">
        <v>8370</v>
      </c>
      <c r="P2705" s="5" t="s">
        <v>2858</v>
      </c>
      <c r="Q2705" s="11">
        <v>46306.5</v>
      </c>
      <c r="R2705" s="6"/>
      <c r="S2705" s="6"/>
      <c r="T2705" s="6"/>
      <c r="U2705" s="5">
        <f>MATCH(B2705,Manual_Review!$A$6:$A$238,0)</f>
        <v>169</v>
      </c>
      <c r="V2705" s="5" t="str">
        <f>IF(INDEX(Manual_Review!$G$6:$G$238,U2705)="","",INDEX(Manual_Review!$G$6:$G$238,U2705))</f>
        <v/>
      </c>
      <c r="W2705" s="11" t="str">
        <f>IF(INDEX(Manual_Review!$H$6:$H$238,U2705)="","",INDEX(Manual_Review!$H$6:$H$238,U2705))</f>
        <v/>
      </c>
      <c r="X2705" s="5" t="str">
        <f>IF(INDEX(Manual_Review!$I$6:$I$238,U2705)="","",INDEX(Manual_Review!$I$6:$I$238,U2705))</f>
        <v/>
      </c>
      <c r="Y2705" s="5" t="s">
        <v>2859</v>
      </c>
    </row>
    <row r="2706" spans="1:25" ht="25.5">
      <c r="A2706" s="5" t="s">
        <v>8371</v>
      </c>
      <c r="B2706" s="5" t="s">
        <v>1888</v>
      </c>
      <c r="C2706" s="5" t="s">
        <v>1889</v>
      </c>
      <c r="D2706" s="5" t="s">
        <v>118</v>
      </c>
      <c r="E2706" s="5" t="s">
        <v>2793</v>
      </c>
      <c r="F2706" s="5" t="s">
        <v>2762</v>
      </c>
      <c r="G2706" s="5">
        <v>1</v>
      </c>
      <c r="H2706" s="5" t="s">
        <v>2864</v>
      </c>
      <c r="I2706" s="5" t="str">
        <f>IF(INDEX(Manual_Review!$W$6:$W$238,U2706)="","",INDEX(Manual_Review!$W$6:$W$238,U2706))</f>
        <v/>
      </c>
      <c r="J2706" s="5" t="str">
        <f t="shared" si="84"/>
        <v>AI provisional</v>
      </c>
      <c r="K2706" s="5" t="str">
        <f t="shared" si="85"/>
        <v>U</v>
      </c>
      <c r="L2706" s="5" t="s">
        <v>1893</v>
      </c>
      <c r="M2706" s="5" t="s">
        <v>8372</v>
      </c>
      <c r="N2706" s="5" t="s">
        <v>8351</v>
      </c>
      <c r="O2706" s="5" t="s">
        <v>2893</v>
      </c>
      <c r="P2706" s="5" t="s">
        <v>2858</v>
      </c>
      <c r="Q2706" s="11">
        <v>46306.5</v>
      </c>
      <c r="R2706" s="6"/>
      <c r="S2706" s="6"/>
      <c r="T2706" s="6"/>
      <c r="U2706" s="5">
        <f>MATCH(B2706,Manual_Review!$A$6:$A$238,0)</f>
        <v>169</v>
      </c>
      <c r="V2706" s="5" t="str">
        <f>IF(INDEX(Manual_Review!$G$6:$G$238,U2706)="","",INDEX(Manual_Review!$G$6:$G$238,U2706))</f>
        <v/>
      </c>
      <c r="W2706" s="11" t="str">
        <f>IF(INDEX(Manual_Review!$H$6:$H$238,U2706)="","",INDEX(Manual_Review!$H$6:$H$238,U2706))</f>
        <v/>
      </c>
      <c r="X2706" s="5" t="str">
        <f>IF(INDEX(Manual_Review!$I$6:$I$238,U2706)="","",INDEX(Manual_Review!$I$6:$I$238,U2706))</f>
        <v/>
      </c>
      <c r="Y2706" s="5" t="s">
        <v>2859</v>
      </c>
    </row>
    <row r="2707" spans="1:25" ht="25.5">
      <c r="A2707" s="5" t="s">
        <v>8373</v>
      </c>
      <c r="B2707" s="5" t="s">
        <v>1888</v>
      </c>
      <c r="C2707" s="5" t="s">
        <v>1889</v>
      </c>
      <c r="D2707" s="5" t="s">
        <v>118</v>
      </c>
      <c r="E2707" s="5" t="s">
        <v>2794</v>
      </c>
      <c r="F2707" s="5" t="s">
        <v>2764</v>
      </c>
      <c r="G2707" s="5">
        <v>1</v>
      </c>
      <c r="H2707" s="5" t="s">
        <v>2864</v>
      </c>
      <c r="I2707" s="5" t="str">
        <f>IF(INDEX(Manual_Review!$X$6:$X$238,U2707)="","",INDEX(Manual_Review!$X$6:$X$238,U2707))</f>
        <v/>
      </c>
      <c r="J2707" s="5" t="str">
        <f t="shared" si="84"/>
        <v>AI provisional</v>
      </c>
      <c r="K2707" s="5" t="str">
        <f t="shared" si="85"/>
        <v>U</v>
      </c>
      <c r="L2707" s="5" t="s">
        <v>1893</v>
      </c>
      <c r="M2707" s="5" t="s">
        <v>8360</v>
      </c>
      <c r="N2707" s="5" t="s">
        <v>8351</v>
      </c>
      <c r="O2707" s="5" t="s">
        <v>2895</v>
      </c>
      <c r="P2707" s="5" t="s">
        <v>2858</v>
      </c>
      <c r="Q2707" s="11">
        <v>46306.5</v>
      </c>
      <c r="R2707" s="6"/>
      <c r="S2707" s="6"/>
      <c r="T2707" s="6"/>
      <c r="U2707" s="5">
        <f>MATCH(B2707,Manual_Review!$A$6:$A$238,0)</f>
        <v>169</v>
      </c>
      <c r="V2707" s="5" t="str">
        <f>IF(INDEX(Manual_Review!$G$6:$G$238,U2707)="","",INDEX(Manual_Review!$G$6:$G$238,U2707))</f>
        <v/>
      </c>
      <c r="W2707" s="11" t="str">
        <f>IF(INDEX(Manual_Review!$H$6:$H$238,U2707)="","",INDEX(Manual_Review!$H$6:$H$238,U2707))</f>
        <v/>
      </c>
      <c r="X2707" s="5" t="str">
        <f>IF(INDEX(Manual_Review!$I$6:$I$238,U2707)="","",INDEX(Manual_Review!$I$6:$I$238,U2707))</f>
        <v/>
      </c>
      <c r="Y2707" s="5" t="s">
        <v>2859</v>
      </c>
    </row>
    <row r="2708" spans="1:25" ht="25.5">
      <c r="A2708" s="5" t="s">
        <v>8374</v>
      </c>
      <c r="B2708" s="5" t="s">
        <v>1888</v>
      </c>
      <c r="C2708" s="5" t="s">
        <v>1889</v>
      </c>
      <c r="D2708" s="5" t="s">
        <v>118</v>
      </c>
      <c r="E2708" s="5" t="s">
        <v>2795</v>
      </c>
      <c r="F2708" s="5" t="s">
        <v>2764</v>
      </c>
      <c r="G2708" s="5">
        <v>1</v>
      </c>
      <c r="H2708" s="5" t="s">
        <v>2864</v>
      </c>
      <c r="I2708" s="5" t="str">
        <f>IF(INDEX(Manual_Review!$Y$6:$Y$238,U2708)="","",INDEX(Manual_Review!$Y$6:$Y$238,U2708))</f>
        <v/>
      </c>
      <c r="J2708" s="5" t="str">
        <f t="shared" si="84"/>
        <v>AI provisional</v>
      </c>
      <c r="K2708" s="5" t="str">
        <f t="shared" si="85"/>
        <v>U</v>
      </c>
      <c r="L2708" s="5" t="s">
        <v>1893</v>
      </c>
      <c r="M2708" s="5" t="s">
        <v>8360</v>
      </c>
      <c r="N2708" s="5" t="s">
        <v>8351</v>
      </c>
      <c r="O2708" s="5" t="s">
        <v>2897</v>
      </c>
      <c r="P2708" s="5" t="s">
        <v>2858</v>
      </c>
      <c r="Q2708" s="11">
        <v>46306.5</v>
      </c>
      <c r="R2708" s="6"/>
      <c r="S2708" s="6"/>
      <c r="T2708" s="6"/>
      <c r="U2708" s="5">
        <f>MATCH(B2708,Manual_Review!$A$6:$A$238,0)</f>
        <v>169</v>
      </c>
      <c r="V2708" s="5" t="str">
        <f>IF(INDEX(Manual_Review!$G$6:$G$238,U2708)="","",INDEX(Manual_Review!$G$6:$G$238,U2708))</f>
        <v/>
      </c>
      <c r="W2708" s="11" t="str">
        <f>IF(INDEX(Manual_Review!$H$6:$H$238,U2708)="","",INDEX(Manual_Review!$H$6:$H$238,U2708))</f>
        <v/>
      </c>
      <c r="X2708" s="5" t="str">
        <f>IF(INDEX(Manual_Review!$I$6:$I$238,U2708)="","",INDEX(Manual_Review!$I$6:$I$238,U2708))</f>
        <v/>
      </c>
      <c r="Y2708" s="5" t="s">
        <v>2859</v>
      </c>
    </row>
    <row r="2709" spans="1:25" ht="25.5">
      <c r="A2709" s="5" t="s">
        <v>8375</v>
      </c>
      <c r="B2709" s="5" t="s">
        <v>1888</v>
      </c>
      <c r="C2709" s="5" t="s">
        <v>1889</v>
      </c>
      <c r="D2709" s="5" t="s">
        <v>118</v>
      </c>
      <c r="E2709" s="5" t="s">
        <v>2796</v>
      </c>
      <c r="F2709" s="5" t="s">
        <v>2764</v>
      </c>
      <c r="G2709" s="5">
        <v>1</v>
      </c>
      <c r="H2709" s="5" t="s">
        <v>2864</v>
      </c>
      <c r="I2709" s="5" t="str">
        <f>IF(INDEX(Manual_Review!$Z$6:$Z$238,U2709)="","",INDEX(Manual_Review!$Z$6:$Z$238,U2709))</f>
        <v/>
      </c>
      <c r="J2709" s="5" t="str">
        <f t="shared" si="84"/>
        <v>AI provisional</v>
      </c>
      <c r="K2709" s="5" t="str">
        <f t="shared" si="85"/>
        <v>U</v>
      </c>
      <c r="L2709" s="5" t="s">
        <v>1893</v>
      </c>
      <c r="M2709" s="5" t="s">
        <v>8365</v>
      </c>
      <c r="N2709" s="5" t="s">
        <v>8351</v>
      </c>
      <c r="O2709" s="5" t="s">
        <v>2899</v>
      </c>
      <c r="P2709" s="5" t="s">
        <v>2858</v>
      </c>
      <c r="Q2709" s="11">
        <v>46306.5</v>
      </c>
      <c r="R2709" s="6"/>
      <c r="S2709" s="6"/>
      <c r="T2709" s="6"/>
      <c r="U2709" s="5">
        <f>MATCH(B2709,Manual_Review!$A$6:$A$238,0)</f>
        <v>169</v>
      </c>
      <c r="V2709" s="5" t="str">
        <f>IF(INDEX(Manual_Review!$G$6:$G$238,U2709)="","",INDEX(Manual_Review!$G$6:$G$238,U2709))</f>
        <v/>
      </c>
      <c r="W2709" s="11" t="str">
        <f>IF(INDEX(Manual_Review!$H$6:$H$238,U2709)="","",INDEX(Manual_Review!$H$6:$H$238,U2709))</f>
        <v/>
      </c>
      <c r="X2709" s="5" t="str">
        <f>IF(INDEX(Manual_Review!$I$6:$I$238,U2709)="","",INDEX(Manual_Review!$I$6:$I$238,U2709))</f>
        <v/>
      </c>
      <c r="Y2709" s="5" t="s">
        <v>2859</v>
      </c>
    </row>
    <row r="2710" spans="1:25" ht="38.25">
      <c r="A2710" s="5" t="s">
        <v>8376</v>
      </c>
      <c r="B2710" s="5" t="s">
        <v>1895</v>
      </c>
      <c r="C2710" s="5" t="s">
        <v>1896</v>
      </c>
      <c r="D2710" s="5" t="s">
        <v>118</v>
      </c>
      <c r="E2710" s="5" t="s">
        <v>2781</v>
      </c>
      <c r="F2710" s="5" t="s">
        <v>2754</v>
      </c>
      <c r="G2710" s="5">
        <v>1</v>
      </c>
      <c r="H2710" s="5" t="s">
        <v>2854</v>
      </c>
      <c r="I2710" s="5" t="str">
        <f>IF(INDEX(Manual_Review!$K$6:$K$238,U2710)="","",INDEX(Manual_Review!$K$6:$K$238,U2710))</f>
        <v/>
      </c>
      <c r="J2710" s="5" t="str">
        <f t="shared" si="84"/>
        <v>AI provisional</v>
      </c>
      <c r="K2710" s="5" t="str">
        <f t="shared" si="85"/>
        <v>Y</v>
      </c>
      <c r="L2710" s="5" t="s">
        <v>1903</v>
      </c>
      <c r="M2710" s="5" t="s">
        <v>8377</v>
      </c>
      <c r="N2710" s="5" t="s">
        <v>8378</v>
      </c>
      <c r="O2710" s="5" t="s">
        <v>2857</v>
      </c>
      <c r="P2710" s="5" t="s">
        <v>2858</v>
      </c>
      <c r="Q2710" s="11">
        <v>46306.5</v>
      </c>
      <c r="R2710" s="6"/>
      <c r="S2710" s="6"/>
      <c r="T2710" s="6"/>
      <c r="U2710" s="5">
        <f>MATCH(B2710,Manual_Review!$A$6:$A$238,0)</f>
        <v>170</v>
      </c>
      <c r="V2710" s="5" t="str">
        <f>IF(INDEX(Manual_Review!$G$6:$G$238,U2710)="","",INDEX(Manual_Review!$G$6:$G$238,U2710))</f>
        <v/>
      </c>
      <c r="W2710" s="11" t="str">
        <f>IF(INDEX(Manual_Review!$H$6:$H$238,U2710)="","",INDEX(Manual_Review!$H$6:$H$238,U2710))</f>
        <v/>
      </c>
      <c r="X2710" s="5" t="str">
        <f>IF(INDEX(Manual_Review!$I$6:$I$238,U2710)="","",INDEX(Manual_Review!$I$6:$I$238,U2710))</f>
        <v/>
      </c>
      <c r="Y2710" s="5" t="s">
        <v>2859</v>
      </c>
    </row>
    <row r="2711" spans="1:25" ht="38.25">
      <c r="A2711" s="5" t="s">
        <v>8379</v>
      </c>
      <c r="B2711" s="5" t="s">
        <v>1895</v>
      </c>
      <c r="C2711" s="5" t="s">
        <v>1896</v>
      </c>
      <c r="D2711" s="5" t="s">
        <v>118</v>
      </c>
      <c r="E2711" s="5" t="s">
        <v>2782</v>
      </c>
      <c r="F2711" s="5" t="s">
        <v>2754</v>
      </c>
      <c r="G2711" s="5">
        <v>1</v>
      </c>
      <c r="H2711" s="5" t="s">
        <v>2854</v>
      </c>
      <c r="I2711" s="5" t="str">
        <f>IF(INDEX(Manual_Review!$L$6:$L$238,U2711)="","",INDEX(Manual_Review!$L$6:$L$238,U2711))</f>
        <v/>
      </c>
      <c r="J2711" s="5" t="str">
        <f t="shared" si="84"/>
        <v>AI provisional</v>
      </c>
      <c r="K2711" s="5" t="str">
        <f t="shared" si="85"/>
        <v>Y</v>
      </c>
      <c r="L2711" s="5" t="s">
        <v>1903</v>
      </c>
      <c r="M2711" s="5" t="s">
        <v>8380</v>
      </c>
      <c r="N2711" s="5" t="s">
        <v>8378</v>
      </c>
      <c r="O2711" s="5" t="s">
        <v>2862</v>
      </c>
      <c r="P2711" s="5" t="s">
        <v>2858</v>
      </c>
      <c r="Q2711" s="11">
        <v>46306.5</v>
      </c>
      <c r="R2711" s="6"/>
      <c r="S2711" s="6"/>
      <c r="T2711" s="6"/>
      <c r="U2711" s="5">
        <f>MATCH(B2711,Manual_Review!$A$6:$A$238,0)</f>
        <v>170</v>
      </c>
      <c r="V2711" s="5" t="str">
        <f>IF(INDEX(Manual_Review!$G$6:$G$238,U2711)="","",INDEX(Manual_Review!$G$6:$G$238,U2711))</f>
        <v/>
      </c>
      <c r="W2711" s="11" t="str">
        <f>IF(INDEX(Manual_Review!$H$6:$H$238,U2711)="","",INDEX(Manual_Review!$H$6:$H$238,U2711))</f>
        <v/>
      </c>
      <c r="X2711" s="5" t="str">
        <f>IF(INDEX(Manual_Review!$I$6:$I$238,U2711)="","",INDEX(Manual_Review!$I$6:$I$238,U2711))</f>
        <v/>
      </c>
      <c r="Y2711" s="5" t="s">
        <v>2859</v>
      </c>
    </row>
    <row r="2712" spans="1:25" ht="38.25">
      <c r="A2712" s="5" t="s">
        <v>8381</v>
      </c>
      <c r="B2712" s="5" t="s">
        <v>1895</v>
      </c>
      <c r="C2712" s="5" t="s">
        <v>1896</v>
      </c>
      <c r="D2712" s="5" t="s">
        <v>118</v>
      </c>
      <c r="E2712" s="5" t="s">
        <v>2783</v>
      </c>
      <c r="F2712" s="5" t="s">
        <v>2754</v>
      </c>
      <c r="G2712" s="5">
        <v>1</v>
      </c>
      <c r="H2712" s="5" t="s">
        <v>2854</v>
      </c>
      <c r="I2712" s="5" t="str">
        <f>IF(INDEX(Manual_Review!$M$6:$M$238,U2712)="","",INDEX(Manual_Review!$M$6:$M$238,U2712))</f>
        <v/>
      </c>
      <c r="J2712" s="5" t="str">
        <f t="shared" si="84"/>
        <v>AI provisional</v>
      </c>
      <c r="K2712" s="5" t="str">
        <f t="shared" si="85"/>
        <v>Y</v>
      </c>
      <c r="L2712" s="5" t="s">
        <v>1903</v>
      </c>
      <c r="M2712" s="5" t="s">
        <v>8382</v>
      </c>
      <c r="N2712" s="5" t="s">
        <v>8378</v>
      </c>
      <c r="O2712" s="5" t="s">
        <v>3133</v>
      </c>
      <c r="P2712" s="5" t="s">
        <v>2858</v>
      </c>
      <c r="Q2712" s="11">
        <v>46306.5</v>
      </c>
      <c r="R2712" s="6"/>
      <c r="S2712" s="6"/>
      <c r="T2712" s="6"/>
      <c r="U2712" s="5">
        <f>MATCH(B2712,Manual_Review!$A$6:$A$238,0)</f>
        <v>170</v>
      </c>
      <c r="V2712" s="5" t="str">
        <f>IF(INDEX(Manual_Review!$G$6:$G$238,U2712)="","",INDEX(Manual_Review!$G$6:$G$238,U2712))</f>
        <v/>
      </c>
      <c r="W2712" s="11" t="str">
        <f>IF(INDEX(Manual_Review!$H$6:$H$238,U2712)="","",INDEX(Manual_Review!$H$6:$H$238,U2712))</f>
        <v/>
      </c>
      <c r="X2712" s="5" t="str">
        <f>IF(INDEX(Manual_Review!$I$6:$I$238,U2712)="","",INDEX(Manual_Review!$I$6:$I$238,U2712))</f>
        <v/>
      </c>
      <c r="Y2712" s="5" t="s">
        <v>2859</v>
      </c>
    </row>
    <row r="2713" spans="1:25" ht="38.25">
      <c r="A2713" s="5" t="s">
        <v>8383</v>
      </c>
      <c r="B2713" s="5" t="s">
        <v>1895</v>
      </c>
      <c r="C2713" s="5" t="s">
        <v>1896</v>
      </c>
      <c r="D2713" s="5" t="s">
        <v>118</v>
      </c>
      <c r="E2713" s="5" t="s">
        <v>2784</v>
      </c>
      <c r="F2713" s="5" t="s">
        <v>2756</v>
      </c>
      <c r="G2713" s="5">
        <v>1</v>
      </c>
      <c r="H2713" s="5" t="s">
        <v>2854</v>
      </c>
      <c r="I2713" s="5" t="str">
        <f>IF(INDEX(Manual_Review!$N$6:$N$238,U2713)="","",INDEX(Manual_Review!$N$6:$N$238,U2713))</f>
        <v/>
      </c>
      <c r="J2713" s="5" t="str">
        <f t="shared" si="84"/>
        <v>AI provisional</v>
      </c>
      <c r="K2713" s="5" t="str">
        <f t="shared" si="85"/>
        <v>Y</v>
      </c>
      <c r="L2713" s="5" t="s">
        <v>1903</v>
      </c>
      <c r="M2713" s="5" t="s">
        <v>8384</v>
      </c>
      <c r="N2713" s="5" t="s">
        <v>8378</v>
      </c>
      <c r="O2713" s="5" t="s">
        <v>2963</v>
      </c>
      <c r="P2713" s="5" t="s">
        <v>2858</v>
      </c>
      <c r="Q2713" s="11">
        <v>46306.5</v>
      </c>
      <c r="R2713" s="6"/>
      <c r="S2713" s="6"/>
      <c r="T2713" s="6"/>
      <c r="U2713" s="5">
        <f>MATCH(B2713,Manual_Review!$A$6:$A$238,0)</f>
        <v>170</v>
      </c>
      <c r="V2713" s="5" t="str">
        <f>IF(INDEX(Manual_Review!$G$6:$G$238,U2713)="","",INDEX(Manual_Review!$G$6:$G$238,U2713))</f>
        <v/>
      </c>
      <c r="W2713" s="11" t="str">
        <f>IF(INDEX(Manual_Review!$H$6:$H$238,U2713)="","",INDEX(Manual_Review!$H$6:$H$238,U2713))</f>
        <v/>
      </c>
      <c r="X2713" s="5" t="str">
        <f>IF(INDEX(Manual_Review!$I$6:$I$238,U2713)="","",INDEX(Manual_Review!$I$6:$I$238,U2713))</f>
        <v/>
      </c>
      <c r="Y2713" s="5" t="s">
        <v>2859</v>
      </c>
    </row>
    <row r="2714" spans="1:25" ht="38.25">
      <c r="A2714" s="5" t="s">
        <v>8385</v>
      </c>
      <c r="B2714" s="5" t="s">
        <v>1895</v>
      </c>
      <c r="C2714" s="5" t="s">
        <v>1896</v>
      </c>
      <c r="D2714" s="5" t="s">
        <v>118</v>
      </c>
      <c r="E2714" s="5" t="s">
        <v>2785</v>
      </c>
      <c r="F2714" s="5" t="s">
        <v>2756</v>
      </c>
      <c r="G2714" s="5">
        <v>1</v>
      </c>
      <c r="H2714" s="5" t="s">
        <v>2864</v>
      </c>
      <c r="I2714" s="5" t="str">
        <f>IF(INDEX(Manual_Review!$O$6:$O$238,U2714)="","",INDEX(Manual_Review!$O$6:$O$238,U2714))</f>
        <v/>
      </c>
      <c r="J2714" s="5" t="str">
        <f t="shared" si="84"/>
        <v>AI provisional</v>
      </c>
      <c r="K2714" s="5" t="str">
        <f t="shared" si="85"/>
        <v>U</v>
      </c>
      <c r="L2714" s="5" t="s">
        <v>1903</v>
      </c>
      <c r="M2714" s="5" t="s">
        <v>8386</v>
      </c>
      <c r="N2714" s="5" t="s">
        <v>8378</v>
      </c>
      <c r="O2714" s="5" t="s">
        <v>2872</v>
      </c>
      <c r="P2714" s="5" t="s">
        <v>2858</v>
      </c>
      <c r="Q2714" s="11">
        <v>46306.5</v>
      </c>
      <c r="R2714" s="6"/>
      <c r="S2714" s="6"/>
      <c r="T2714" s="6"/>
      <c r="U2714" s="5">
        <f>MATCH(B2714,Manual_Review!$A$6:$A$238,0)</f>
        <v>170</v>
      </c>
      <c r="V2714" s="5" t="str">
        <f>IF(INDEX(Manual_Review!$G$6:$G$238,U2714)="","",INDEX(Manual_Review!$G$6:$G$238,U2714))</f>
        <v/>
      </c>
      <c r="W2714" s="11" t="str">
        <f>IF(INDEX(Manual_Review!$H$6:$H$238,U2714)="","",INDEX(Manual_Review!$H$6:$H$238,U2714))</f>
        <v/>
      </c>
      <c r="X2714" s="5" t="str">
        <f>IF(INDEX(Manual_Review!$I$6:$I$238,U2714)="","",INDEX(Manual_Review!$I$6:$I$238,U2714))</f>
        <v/>
      </c>
      <c r="Y2714" s="5" t="s">
        <v>2859</v>
      </c>
    </row>
    <row r="2715" spans="1:25" ht="38.25">
      <c r="A2715" s="5" t="s">
        <v>8387</v>
      </c>
      <c r="B2715" s="5" t="s">
        <v>1895</v>
      </c>
      <c r="C2715" s="5" t="s">
        <v>1896</v>
      </c>
      <c r="D2715" s="5" t="s">
        <v>118</v>
      </c>
      <c r="E2715" s="5" t="s">
        <v>2786</v>
      </c>
      <c r="F2715" s="5" t="s">
        <v>2756</v>
      </c>
      <c r="G2715" s="5">
        <v>1</v>
      </c>
      <c r="H2715" s="5" t="s">
        <v>2864</v>
      </c>
      <c r="I2715" s="5" t="str">
        <f>IF(INDEX(Manual_Review!$P$6:$P$238,U2715)="","",INDEX(Manual_Review!$P$6:$P$238,U2715))</f>
        <v/>
      </c>
      <c r="J2715" s="5" t="str">
        <f t="shared" si="84"/>
        <v>AI provisional</v>
      </c>
      <c r="K2715" s="5" t="str">
        <f t="shared" si="85"/>
        <v>U</v>
      </c>
      <c r="L2715" s="5" t="s">
        <v>1903</v>
      </c>
      <c r="M2715" s="5" t="s">
        <v>8388</v>
      </c>
      <c r="N2715" s="5" t="s">
        <v>8378</v>
      </c>
      <c r="O2715" s="5" t="s">
        <v>2874</v>
      </c>
      <c r="P2715" s="5" t="s">
        <v>2858</v>
      </c>
      <c r="Q2715" s="11">
        <v>46306.5</v>
      </c>
      <c r="R2715" s="6"/>
      <c r="S2715" s="6"/>
      <c r="T2715" s="6"/>
      <c r="U2715" s="5">
        <f>MATCH(B2715,Manual_Review!$A$6:$A$238,0)</f>
        <v>170</v>
      </c>
      <c r="V2715" s="5" t="str">
        <f>IF(INDEX(Manual_Review!$G$6:$G$238,U2715)="","",INDEX(Manual_Review!$G$6:$G$238,U2715))</f>
        <v/>
      </c>
      <c r="W2715" s="11" t="str">
        <f>IF(INDEX(Manual_Review!$H$6:$H$238,U2715)="","",INDEX(Manual_Review!$H$6:$H$238,U2715))</f>
        <v/>
      </c>
      <c r="X2715" s="5" t="str">
        <f>IF(INDEX(Manual_Review!$I$6:$I$238,U2715)="","",INDEX(Manual_Review!$I$6:$I$238,U2715))</f>
        <v/>
      </c>
      <c r="Y2715" s="5" t="s">
        <v>2859</v>
      </c>
    </row>
    <row r="2716" spans="1:25" ht="38.25">
      <c r="A2716" s="5" t="s">
        <v>8389</v>
      </c>
      <c r="B2716" s="5" t="s">
        <v>1895</v>
      </c>
      <c r="C2716" s="5" t="s">
        <v>1896</v>
      </c>
      <c r="D2716" s="5" t="s">
        <v>118</v>
      </c>
      <c r="E2716" s="5" t="s">
        <v>2787</v>
      </c>
      <c r="F2716" s="5" t="s">
        <v>2758</v>
      </c>
      <c r="G2716" s="5">
        <v>1</v>
      </c>
      <c r="H2716" s="5" t="s">
        <v>2864</v>
      </c>
      <c r="I2716" s="5" t="str">
        <f>IF(INDEX(Manual_Review!$Q$6:$Q$238,U2716)="","",INDEX(Manual_Review!$Q$6:$Q$238,U2716))</f>
        <v/>
      </c>
      <c r="J2716" s="5" t="str">
        <f t="shared" si="84"/>
        <v>AI provisional</v>
      </c>
      <c r="K2716" s="5" t="str">
        <f t="shared" si="85"/>
        <v>U</v>
      </c>
      <c r="L2716" s="5" t="s">
        <v>1903</v>
      </c>
      <c r="M2716" s="5" t="s">
        <v>8390</v>
      </c>
      <c r="N2716" s="5" t="s">
        <v>8378</v>
      </c>
      <c r="O2716" s="5" t="s">
        <v>2877</v>
      </c>
      <c r="P2716" s="5" t="s">
        <v>2858</v>
      </c>
      <c r="Q2716" s="11">
        <v>46306.5</v>
      </c>
      <c r="R2716" s="6"/>
      <c r="S2716" s="6"/>
      <c r="T2716" s="6"/>
      <c r="U2716" s="5">
        <f>MATCH(B2716,Manual_Review!$A$6:$A$238,0)</f>
        <v>170</v>
      </c>
      <c r="V2716" s="5" t="str">
        <f>IF(INDEX(Manual_Review!$G$6:$G$238,U2716)="","",INDEX(Manual_Review!$G$6:$G$238,U2716))</f>
        <v/>
      </c>
      <c r="W2716" s="11" t="str">
        <f>IF(INDEX(Manual_Review!$H$6:$H$238,U2716)="","",INDEX(Manual_Review!$H$6:$H$238,U2716))</f>
        <v/>
      </c>
      <c r="X2716" s="5" t="str">
        <f>IF(INDEX(Manual_Review!$I$6:$I$238,U2716)="","",INDEX(Manual_Review!$I$6:$I$238,U2716))</f>
        <v/>
      </c>
      <c r="Y2716" s="5" t="s">
        <v>2859</v>
      </c>
    </row>
    <row r="2717" spans="1:25" ht="38.25">
      <c r="A2717" s="5" t="s">
        <v>8391</v>
      </c>
      <c r="B2717" s="5" t="s">
        <v>1895</v>
      </c>
      <c r="C2717" s="5" t="s">
        <v>1896</v>
      </c>
      <c r="D2717" s="5" t="s">
        <v>118</v>
      </c>
      <c r="E2717" s="5" t="s">
        <v>2788</v>
      </c>
      <c r="F2717" s="5" t="s">
        <v>2758</v>
      </c>
      <c r="G2717" s="5">
        <v>1</v>
      </c>
      <c r="H2717" s="5" t="s">
        <v>2854</v>
      </c>
      <c r="I2717" s="5" t="str">
        <f>IF(INDEX(Manual_Review!$R$6:$R$238,U2717)="","",INDEX(Manual_Review!$R$6:$R$238,U2717))</f>
        <v/>
      </c>
      <c r="J2717" s="5" t="str">
        <f t="shared" si="84"/>
        <v>AI provisional</v>
      </c>
      <c r="K2717" s="5" t="str">
        <f t="shared" si="85"/>
        <v>Y</v>
      </c>
      <c r="L2717" s="5" t="s">
        <v>1903</v>
      </c>
      <c r="M2717" s="5" t="s">
        <v>8392</v>
      </c>
      <c r="N2717" s="5" t="s">
        <v>8378</v>
      </c>
      <c r="O2717" s="5" t="s">
        <v>3067</v>
      </c>
      <c r="P2717" s="5" t="s">
        <v>2858</v>
      </c>
      <c r="Q2717" s="11">
        <v>46306.5</v>
      </c>
      <c r="R2717" s="6"/>
      <c r="S2717" s="6"/>
      <c r="T2717" s="6"/>
      <c r="U2717" s="5">
        <f>MATCH(B2717,Manual_Review!$A$6:$A$238,0)</f>
        <v>170</v>
      </c>
      <c r="V2717" s="5" t="str">
        <f>IF(INDEX(Manual_Review!$G$6:$G$238,U2717)="","",INDEX(Manual_Review!$G$6:$G$238,U2717))</f>
        <v/>
      </c>
      <c r="W2717" s="11" t="str">
        <f>IF(INDEX(Manual_Review!$H$6:$H$238,U2717)="","",INDEX(Manual_Review!$H$6:$H$238,U2717))</f>
        <v/>
      </c>
      <c r="X2717" s="5" t="str">
        <f>IF(INDEX(Manual_Review!$I$6:$I$238,U2717)="","",INDEX(Manual_Review!$I$6:$I$238,U2717))</f>
        <v/>
      </c>
      <c r="Y2717" s="5" t="s">
        <v>2859</v>
      </c>
    </row>
    <row r="2718" spans="1:25" ht="38.25">
      <c r="A2718" s="5" t="s">
        <v>8393</v>
      </c>
      <c r="B2718" s="5" t="s">
        <v>1895</v>
      </c>
      <c r="C2718" s="5" t="s">
        <v>1896</v>
      </c>
      <c r="D2718" s="5" t="s">
        <v>118</v>
      </c>
      <c r="E2718" s="5" t="s">
        <v>2789</v>
      </c>
      <c r="F2718" s="5" t="s">
        <v>2758</v>
      </c>
      <c r="G2718" s="5">
        <v>1</v>
      </c>
      <c r="H2718" s="5" t="s">
        <v>2864</v>
      </c>
      <c r="I2718" s="5" t="str">
        <f>IF(INDEX(Manual_Review!$S$6:$S$238,U2718)="","",INDEX(Manual_Review!$S$6:$S$238,U2718))</f>
        <v/>
      </c>
      <c r="J2718" s="5" t="str">
        <f t="shared" si="84"/>
        <v>AI provisional</v>
      </c>
      <c r="K2718" s="5" t="str">
        <f t="shared" si="85"/>
        <v>U</v>
      </c>
      <c r="L2718" s="5" t="s">
        <v>1903</v>
      </c>
      <c r="M2718" s="5" t="s">
        <v>8394</v>
      </c>
      <c r="N2718" s="5" t="s">
        <v>8378</v>
      </c>
      <c r="O2718" s="5" t="s">
        <v>2883</v>
      </c>
      <c r="P2718" s="5" t="s">
        <v>2858</v>
      </c>
      <c r="Q2718" s="11">
        <v>46306.5</v>
      </c>
      <c r="R2718" s="6"/>
      <c r="S2718" s="6"/>
      <c r="T2718" s="6"/>
      <c r="U2718" s="5">
        <f>MATCH(B2718,Manual_Review!$A$6:$A$238,0)</f>
        <v>170</v>
      </c>
      <c r="V2718" s="5" t="str">
        <f>IF(INDEX(Manual_Review!$G$6:$G$238,U2718)="","",INDEX(Manual_Review!$G$6:$G$238,U2718))</f>
        <v/>
      </c>
      <c r="W2718" s="11" t="str">
        <f>IF(INDEX(Manual_Review!$H$6:$H$238,U2718)="","",INDEX(Manual_Review!$H$6:$H$238,U2718))</f>
        <v/>
      </c>
      <c r="X2718" s="5" t="str">
        <f>IF(INDEX(Manual_Review!$I$6:$I$238,U2718)="","",INDEX(Manual_Review!$I$6:$I$238,U2718))</f>
        <v/>
      </c>
      <c r="Y2718" s="5" t="s">
        <v>2859</v>
      </c>
    </row>
    <row r="2719" spans="1:25" ht="38.25">
      <c r="A2719" s="5" t="s">
        <v>8395</v>
      </c>
      <c r="B2719" s="5" t="s">
        <v>1895</v>
      </c>
      <c r="C2719" s="5" t="s">
        <v>1896</v>
      </c>
      <c r="D2719" s="5" t="s">
        <v>118</v>
      </c>
      <c r="E2719" s="5" t="s">
        <v>2790</v>
      </c>
      <c r="F2719" s="5" t="s">
        <v>2760</v>
      </c>
      <c r="G2719" s="5">
        <v>1</v>
      </c>
      <c r="H2719" s="5" t="s">
        <v>2864</v>
      </c>
      <c r="I2719" s="5" t="str">
        <f>IF(INDEX(Manual_Review!$T$6:$T$238,U2719)="","",INDEX(Manual_Review!$T$6:$T$238,U2719))</f>
        <v/>
      </c>
      <c r="J2719" s="5" t="str">
        <f t="shared" si="84"/>
        <v>AI provisional</v>
      </c>
      <c r="K2719" s="5" t="str">
        <f t="shared" si="85"/>
        <v>U</v>
      </c>
      <c r="L2719" s="5" t="s">
        <v>1903</v>
      </c>
      <c r="M2719" s="5" t="s">
        <v>8396</v>
      </c>
      <c r="N2719" s="5" t="s">
        <v>8378</v>
      </c>
      <c r="O2719" s="5" t="s">
        <v>2885</v>
      </c>
      <c r="P2719" s="5" t="s">
        <v>2858</v>
      </c>
      <c r="Q2719" s="11">
        <v>46306.5</v>
      </c>
      <c r="R2719" s="6"/>
      <c r="S2719" s="6"/>
      <c r="T2719" s="6"/>
      <c r="U2719" s="5">
        <f>MATCH(B2719,Manual_Review!$A$6:$A$238,0)</f>
        <v>170</v>
      </c>
      <c r="V2719" s="5" t="str">
        <f>IF(INDEX(Manual_Review!$G$6:$G$238,U2719)="","",INDEX(Manual_Review!$G$6:$G$238,U2719))</f>
        <v/>
      </c>
      <c r="W2719" s="11" t="str">
        <f>IF(INDEX(Manual_Review!$H$6:$H$238,U2719)="","",INDEX(Manual_Review!$H$6:$H$238,U2719))</f>
        <v/>
      </c>
      <c r="X2719" s="5" t="str">
        <f>IF(INDEX(Manual_Review!$I$6:$I$238,U2719)="","",INDEX(Manual_Review!$I$6:$I$238,U2719))</f>
        <v/>
      </c>
      <c r="Y2719" s="5" t="s">
        <v>2859</v>
      </c>
    </row>
    <row r="2720" spans="1:25" ht="38.25">
      <c r="A2720" s="5" t="s">
        <v>8397</v>
      </c>
      <c r="B2720" s="5" t="s">
        <v>1895</v>
      </c>
      <c r="C2720" s="5" t="s">
        <v>1896</v>
      </c>
      <c r="D2720" s="5" t="s">
        <v>118</v>
      </c>
      <c r="E2720" s="5" t="s">
        <v>2791</v>
      </c>
      <c r="F2720" s="5" t="s">
        <v>2760</v>
      </c>
      <c r="G2720" s="5">
        <v>1</v>
      </c>
      <c r="H2720" s="5" t="s">
        <v>2864</v>
      </c>
      <c r="I2720" s="5" t="str">
        <f>IF(INDEX(Manual_Review!$U$6:$U$238,U2720)="","",INDEX(Manual_Review!$U$6:$U$238,U2720))</f>
        <v/>
      </c>
      <c r="J2720" s="5" t="str">
        <f t="shared" si="84"/>
        <v>AI provisional</v>
      </c>
      <c r="K2720" s="5" t="str">
        <f t="shared" si="85"/>
        <v>U</v>
      </c>
      <c r="L2720" s="5" t="s">
        <v>1903</v>
      </c>
      <c r="M2720" s="5" t="s">
        <v>8398</v>
      </c>
      <c r="N2720" s="5" t="s">
        <v>8378</v>
      </c>
      <c r="O2720" s="5" t="s">
        <v>2888</v>
      </c>
      <c r="P2720" s="5" t="s">
        <v>2858</v>
      </c>
      <c r="Q2720" s="11">
        <v>46306.5</v>
      </c>
      <c r="R2720" s="6"/>
      <c r="S2720" s="6"/>
      <c r="T2720" s="6"/>
      <c r="U2720" s="5">
        <f>MATCH(B2720,Manual_Review!$A$6:$A$238,0)</f>
        <v>170</v>
      </c>
      <c r="V2720" s="5" t="str">
        <f>IF(INDEX(Manual_Review!$G$6:$G$238,U2720)="","",INDEX(Manual_Review!$G$6:$G$238,U2720))</f>
        <v/>
      </c>
      <c r="W2720" s="11" t="str">
        <f>IF(INDEX(Manual_Review!$H$6:$H$238,U2720)="","",INDEX(Manual_Review!$H$6:$H$238,U2720))</f>
        <v/>
      </c>
      <c r="X2720" s="5" t="str">
        <f>IF(INDEX(Manual_Review!$I$6:$I$238,U2720)="","",INDEX(Manual_Review!$I$6:$I$238,U2720))</f>
        <v/>
      </c>
      <c r="Y2720" s="5" t="s">
        <v>2859</v>
      </c>
    </row>
    <row r="2721" spans="1:25" ht="38.25">
      <c r="A2721" s="5" t="s">
        <v>8399</v>
      </c>
      <c r="B2721" s="5" t="s">
        <v>1895</v>
      </c>
      <c r="C2721" s="5" t="s">
        <v>1896</v>
      </c>
      <c r="D2721" s="5" t="s">
        <v>118</v>
      </c>
      <c r="E2721" s="5" t="s">
        <v>2792</v>
      </c>
      <c r="F2721" s="5" t="s">
        <v>2762</v>
      </c>
      <c r="G2721" s="5">
        <v>1</v>
      </c>
      <c r="H2721" s="5" t="s">
        <v>2864</v>
      </c>
      <c r="I2721" s="5" t="str">
        <f>IF(INDEX(Manual_Review!$V$6:$V$238,U2721)="","",INDEX(Manual_Review!$V$6:$V$238,U2721))</f>
        <v/>
      </c>
      <c r="J2721" s="5" t="str">
        <f t="shared" si="84"/>
        <v>AI provisional</v>
      </c>
      <c r="K2721" s="5" t="str">
        <f t="shared" si="85"/>
        <v>U</v>
      </c>
      <c r="L2721" s="5" t="s">
        <v>1903</v>
      </c>
      <c r="M2721" s="5" t="s">
        <v>8400</v>
      </c>
      <c r="N2721" s="5" t="s">
        <v>8378</v>
      </c>
      <c r="O2721" s="5" t="s">
        <v>2891</v>
      </c>
      <c r="P2721" s="5" t="s">
        <v>2858</v>
      </c>
      <c r="Q2721" s="11">
        <v>46306.5</v>
      </c>
      <c r="R2721" s="6"/>
      <c r="S2721" s="6"/>
      <c r="T2721" s="6"/>
      <c r="U2721" s="5">
        <f>MATCH(B2721,Manual_Review!$A$6:$A$238,0)</f>
        <v>170</v>
      </c>
      <c r="V2721" s="5" t="str">
        <f>IF(INDEX(Manual_Review!$G$6:$G$238,U2721)="","",INDEX(Manual_Review!$G$6:$G$238,U2721))</f>
        <v/>
      </c>
      <c r="W2721" s="11" t="str">
        <f>IF(INDEX(Manual_Review!$H$6:$H$238,U2721)="","",INDEX(Manual_Review!$H$6:$H$238,U2721))</f>
        <v/>
      </c>
      <c r="X2721" s="5" t="str">
        <f>IF(INDEX(Manual_Review!$I$6:$I$238,U2721)="","",INDEX(Manual_Review!$I$6:$I$238,U2721))</f>
        <v/>
      </c>
      <c r="Y2721" s="5" t="s">
        <v>2859</v>
      </c>
    </row>
    <row r="2722" spans="1:25" ht="38.25">
      <c r="A2722" s="5" t="s">
        <v>8401</v>
      </c>
      <c r="B2722" s="5" t="s">
        <v>1895</v>
      </c>
      <c r="C2722" s="5" t="s">
        <v>1896</v>
      </c>
      <c r="D2722" s="5" t="s">
        <v>118</v>
      </c>
      <c r="E2722" s="5" t="s">
        <v>2793</v>
      </c>
      <c r="F2722" s="5" t="s">
        <v>2762</v>
      </c>
      <c r="G2722" s="5">
        <v>1</v>
      </c>
      <c r="H2722" s="5" t="s">
        <v>2854</v>
      </c>
      <c r="I2722" s="5" t="str">
        <f>IF(INDEX(Manual_Review!$W$6:$W$238,U2722)="","",INDEX(Manual_Review!$W$6:$W$238,U2722))</f>
        <v/>
      </c>
      <c r="J2722" s="5" t="str">
        <f t="shared" si="84"/>
        <v>AI provisional</v>
      </c>
      <c r="K2722" s="5" t="str">
        <f t="shared" si="85"/>
        <v>Y</v>
      </c>
      <c r="L2722" s="5" t="s">
        <v>1903</v>
      </c>
      <c r="M2722" s="5" t="s">
        <v>8402</v>
      </c>
      <c r="N2722" s="5" t="s">
        <v>8378</v>
      </c>
      <c r="O2722" s="5" t="s">
        <v>3077</v>
      </c>
      <c r="P2722" s="5" t="s">
        <v>2858</v>
      </c>
      <c r="Q2722" s="11">
        <v>46306.5</v>
      </c>
      <c r="R2722" s="6"/>
      <c r="S2722" s="6"/>
      <c r="T2722" s="6"/>
      <c r="U2722" s="5">
        <f>MATCH(B2722,Manual_Review!$A$6:$A$238,0)</f>
        <v>170</v>
      </c>
      <c r="V2722" s="5" t="str">
        <f>IF(INDEX(Manual_Review!$G$6:$G$238,U2722)="","",INDEX(Manual_Review!$G$6:$G$238,U2722))</f>
        <v/>
      </c>
      <c r="W2722" s="11" t="str">
        <f>IF(INDEX(Manual_Review!$H$6:$H$238,U2722)="","",INDEX(Manual_Review!$H$6:$H$238,U2722))</f>
        <v/>
      </c>
      <c r="X2722" s="5" t="str">
        <f>IF(INDEX(Manual_Review!$I$6:$I$238,U2722)="","",INDEX(Manual_Review!$I$6:$I$238,U2722))</f>
        <v/>
      </c>
      <c r="Y2722" s="5" t="s">
        <v>2859</v>
      </c>
    </row>
    <row r="2723" spans="1:25" ht="38.25">
      <c r="A2723" s="5" t="s">
        <v>8403</v>
      </c>
      <c r="B2723" s="5" t="s">
        <v>1895</v>
      </c>
      <c r="C2723" s="5" t="s">
        <v>1896</v>
      </c>
      <c r="D2723" s="5" t="s">
        <v>118</v>
      </c>
      <c r="E2723" s="5" t="s">
        <v>2794</v>
      </c>
      <c r="F2723" s="5" t="s">
        <v>2764</v>
      </c>
      <c r="G2723" s="5">
        <v>1</v>
      </c>
      <c r="H2723" s="5" t="s">
        <v>2854</v>
      </c>
      <c r="I2723" s="5" t="str">
        <f>IF(INDEX(Manual_Review!$X$6:$X$238,U2723)="","",INDEX(Manual_Review!$X$6:$X$238,U2723))</f>
        <v/>
      </c>
      <c r="J2723" s="5" t="str">
        <f t="shared" si="84"/>
        <v>AI provisional</v>
      </c>
      <c r="K2723" s="5" t="str">
        <f t="shared" si="85"/>
        <v>Y</v>
      </c>
      <c r="L2723" s="5" t="s">
        <v>1903</v>
      </c>
      <c r="M2723" s="5" t="s">
        <v>8404</v>
      </c>
      <c r="N2723" s="5" t="s">
        <v>8378</v>
      </c>
      <c r="O2723" s="5" t="s">
        <v>2984</v>
      </c>
      <c r="P2723" s="5" t="s">
        <v>2858</v>
      </c>
      <c r="Q2723" s="11">
        <v>46306.5</v>
      </c>
      <c r="R2723" s="6"/>
      <c r="S2723" s="6"/>
      <c r="T2723" s="6"/>
      <c r="U2723" s="5">
        <f>MATCH(B2723,Manual_Review!$A$6:$A$238,0)</f>
        <v>170</v>
      </c>
      <c r="V2723" s="5" t="str">
        <f>IF(INDEX(Manual_Review!$G$6:$G$238,U2723)="","",INDEX(Manual_Review!$G$6:$G$238,U2723))</f>
        <v/>
      </c>
      <c r="W2723" s="11" t="str">
        <f>IF(INDEX(Manual_Review!$H$6:$H$238,U2723)="","",INDEX(Manual_Review!$H$6:$H$238,U2723))</f>
        <v/>
      </c>
      <c r="X2723" s="5" t="str">
        <f>IF(INDEX(Manual_Review!$I$6:$I$238,U2723)="","",INDEX(Manual_Review!$I$6:$I$238,U2723))</f>
        <v/>
      </c>
      <c r="Y2723" s="5" t="s">
        <v>2859</v>
      </c>
    </row>
    <row r="2724" spans="1:25" ht="38.25">
      <c r="A2724" s="5" t="s">
        <v>8405</v>
      </c>
      <c r="B2724" s="5" t="s">
        <v>1895</v>
      </c>
      <c r="C2724" s="5" t="s">
        <v>1896</v>
      </c>
      <c r="D2724" s="5" t="s">
        <v>118</v>
      </c>
      <c r="E2724" s="5" t="s">
        <v>2795</v>
      </c>
      <c r="F2724" s="5" t="s">
        <v>2764</v>
      </c>
      <c r="G2724" s="5">
        <v>1</v>
      </c>
      <c r="H2724" s="5" t="s">
        <v>2854</v>
      </c>
      <c r="I2724" s="5" t="str">
        <f>IF(INDEX(Manual_Review!$Y$6:$Y$238,U2724)="","",INDEX(Manual_Review!$Y$6:$Y$238,U2724))</f>
        <v/>
      </c>
      <c r="J2724" s="5" t="str">
        <f t="shared" si="84"/>
        <v>AI provisional</v>
      </c>
      <c r="K2724" s="5" t="str">
        <f t="shared" si="85"/>
        <v>Y</v>
      </c>
      <c r="L2724" s="5" t="s">
        <v>1903</v>
      </c>
      <c r="M2724" s="5" t="s">
        <v>8406</v>
      </c>
      <c r="N2724" s="5" t="s">
        <v>8378</v>
      </c>
      <c r="O2724" s="5" t="s">
        <v>3082</v>
      </c>
      <c r="P2724" s="5" t="s">
        <v>2858</v>
      </c>
      <c r="Q2724" s="11">
        <v>46306.5</v>
      </c>
      <c r="R2724" s="6"/>
      <c r="S2724" s="6"/>
      <c r="T2724" s="6"/>
      <c r="U2724" s="5">
        <f>MATCH(B2724,Manual_Review!$A$6:$A$238,0)</f>
        <v>170</v>
      </c>
      <c r="V2724" s="5" t="str">
        <f>IF(INDEX(Manual_Review!$G$6:$G$238,U2724)="","",INDEX(Manual_Review!$G$6:$G$238,U2724))</f>
        <v/>
      </c>
      <c r="W2724" s="11" t="str">
        <f>IF(INDEX(Manual_Review!$H$6:$H$238,U2724)="","",INDEX(Manual_Review!$H$6:$H$238,U2724))</f>
        <v/>
      </c>
      <c r="X2724" s="5" t="str">
        <f>IF(INDEX(Manual_Review!$I$6:$I$238,U2724)="","",INDEX(Manual_Review!$I$6:$I$238,U2724))</f>
        <v/>
      </c>
      <c r="Y2724" s="5" t="s">
        <v>2859</v>
      </c>
    </row>
    <row r="2725" spans="1:25" ht="38.25">
      <c r="A2725" s="5" t="s">
        <v>8407</v>
      </c>
      <c r="B2725" s="5" t="s">
        <v>1895</v>
      </c>
      <c r="C2725" s="5" t="s">
        <v>1896</v>
      </c>
      <c r="D2725" s="5" t="s">
        <v>118</v>
      </c>
      <c r="E2725" s="5" t="s">
        <v>2796</v>
      </c>
      <c r="F2725" s="5" t="s">
        <v>2764</v>
      </c>
      <c r="G2725" s="5">
        <v>1</v>
      </c>
      <c r="H2725" s="5" t="s">
        <v>2864</v>
      </c>
      <c r="I2725" s="5" t="str">
        <f>IF(INDEX(Manual_Review!$Z$6:$Z$238,U2725)="","",INDEX(Manual_Review!$Z$6:$Z$238,U2725))</f>
        <v/>
      </c>
      <c r="J2725" s="5" t="str">
        <f t="shared" si="84"/>
        <v>AI provisional</v>
      </c>
      <c r="K2725" s="5" t="str">
        <f t="shared" si="85"/>
        <v>U</v>
      </c>
      <c r="L2725" s="5" t="s">
        <v>1903</v>
      </c>
      <c r="M2725" s="5" t="s">
        <v>8408</v>
      </c>
      <c r="N2725" s="5" t="s">
        <v>8378</v>
      </c>
      <c r="O2725" s="5" t="s">
        <v>2899</v>
      </c>
      <c r="P2725" s="5" t="s">
        <v>2858</v>
      </c>
      <c r="Q2725" s="11">
        <v>46306.5</v>
      </c>
      <c r="R2725" s="6"/>
      <c r="S2725" s="6"/>
      <c r="T2725" s="6"/>
      <c r="U2725" s="5">
        <f>MATCH(B2725,Manual_Review!$A$6:$A$238,0)</f>
        <v>170</v>
      </c>
      <c r="V2725" s="5" t="str">
        <f>IF(INDEX(Manual_Review!$G$6:$G$238,U2725)="","",INDEX(Manual_Review!$G$6:$G$238,U2725))</f>
        <v/>
      </c>
      <c r="W2725" s="11" t="str">
        <f>IF(INDEX(Manual_Review!$H$6:$H$238,U2725)="","",INDEX(Manual_Review!$H$6:$H$238,U2725))</f>
        <v/>
      </c>
      <c r="X2725" s="5" t="str">
        <f>IF(INDEX(Manual_Review!$I$6:$I$238,U2725)="","",INDEX(Manual_Review!$I$6:$I$238,U2725))</f>
        <v/>
      </c>
      <c r="Y2725" s="5" t="s">
        <v>2859</v>
      </c>
    </row>
    <row r="2726" spans="1:25" ht="25.5">
      <c r="A2726" s="5" t="s">
        <v>8409</v>
      </c>
      <c r="B2726" s="5" t="s">
        <v>1905</v>
      </c>
      <c r="C2726" s="5" t="s">
        <v>1906</v>
      </c>
      <c r="D2726" s="5" t="s">
        <v>118</v>
      </c>
      <c r="E2726" s="5" t="s">
        <v>2781</v>
      </c>
      <c r="F2726" s="5" t="s">
        <v>2754</v>
      </c>
      <c r="G2726" s="5">
        <v>1</v>
      </c>
      <c r="H2726" s="5" t="s">
        <v>2854</v>
      </c>
      <c r="I2726" s="5" t="str">
        <f>IF(INDEX(Manual_Review!$K$6:$K$238,U2726)="","",INDEX(Manual_Review!$K$6:$K$238,U2726))</f>
        <v/>
      </c>
      <c r="J2726" s="5" t="str">
        <f t="shared" si="84"/>
        <v>AI provisional</v>
      </c>
      <c r="K2726" s="5" t="str">
        <f t="shared" si="85"/>
        <v>Y</v>
      </c>
      <c r="L2726" s="5" t="s">
        <v>1911</v>
      </c>
      <c r="M2726" s="5" t="s">
        <v>8410</v>
      </c>
      <c r="N2726" s="5" t="s">
        <v>8411</v>
      </c>
      <c r="O2726" s="5" t="s">
        <v>2857</v>
      </c>
      <c r="P2726" s="5" t="s">
        <v>2858</v>
      </c>
      <c r="Q2726" s="11">
        <v>46306.5</v>
      </c>
      <c r="R2726" s="6"/>
      <c r="S2726" s="6"/>
      <c r="T2726" s="6"/>
      <c r="U2726" s="5">
        <f>MATCH(B2726,Manual_Review!$A$6:$A$238,0)</f>
        <v>171</v>
      </c>
      <c r="V2726" s="5" t="str">
        <f>IF(INDEX(Manual_Review!$G$6:$G$238,U2726)="","",INDEX(Manual_Review!$G$6:$G$238,U2726))</f>
        <v/>
      </c>
      <c r="W2726" s="11" t="str">
        <f>IF(INDEX(Manual_Review!$H$6:$H$238,U2726)="","",INDEX(Manual_Review!$H$6:$H$238,U2726))</f>
        <v/>
      </c>
      <c r="X2726" s="5" t="str">
        <f>IF(INDEX(Manual_Review!$I$6:$I$238,U2726)="","",INDEX(Manual_Review!$I$6:$I$238,U2726))</f>
        <v/>
      </c>
      <c r="Y2726" s="5" t="s">
        <v>2859</v>
      </c>
    </row>
    <row r="2727" spans="1:25" ht="25.5">
      <c r="A2727" s="5" t="s">
        <v>8412</v>
      </c>
      <c r="B2727" s="5" t="s">
        <v>1905</v>
      </c>
      <c r="C2727" s="5" t="s">
        <v>1906</v>
      </c>
      <c r="D2727" s="5" t="s">
        <v>118</v>
      </c>
      <c r="E2727" s="5" t="s">
        <v>2782</v>
      </c>
      <c r="F2727" s="5" t="s">
        <v>2754</v>
      </c>
      <c r="G2727" s="5">
        <v>1</v>
      </c>
      <c r="H2727" s="5" t="s">
        <v>2854</v>
      </c>
      <c r="I2727" s="5" t="str">
        <f>IF(INDEX(Manual_Review!$L$6:$L$238,U2727)="","",INDEX(Manual_Review!$L$6:$L$238,U2727))</f>
        <v/>
      </c>
      <c r="J2727" s="5" t="str">
        <f t="shared" si="84"/>
        <v>AI provisional</v>
      </c>
      <c r="K2727" s="5" t="str">
        <f t="shared" si="85"/>
        <v>Y</v>
      </c>
      <c r="L2727" s="5" t="s">
        <v>1911</v>
      </c>
      <c r="M2727" s="5" t="s">
        <v>8413</v>
      </c>
      <c r="N2727" s="5" t="s">
        <v>8411</v>
      </c>
      <c r="O2727" s="5" t="s">
        <v>2862</v>
      </c>
      <c r="P2727" s="5" t="s">
        <v>2858</v>
      </c>
      <c r="Q2727" s="11">
        <v>46306.5</v>
      </c>
      <c r="R2727" s="6"/>
      <c r="S2727" s="6"/>
      <c r="T2727" s="6"/>
      <c r="U2727" s="5">
        <f>MATCH(B2727,Manual_Review!$A$6:$A$238,0)</f>
        <v>171</v>
      </c>
      <c r="V2727" s="5" t="str">
        <f>IF(INDEX(Manual_Review!$G$6:$G$238,U2727)="","",INDEX(Manual_Review!$G$6:$G$238,U2727))</f>
        <v/>
      </c>
      <c r="W2727" s="11" t="str">
        <f>IF(INDEX(Manual_Review!$H$6:$H$238,U2727)="","",INDEX(Manual_Review!$H$6:$H$238,U2727))</f>
        <v/>
      </c>
      <c r="X2727" s="5" t="str">
        <f>IF(INDEX(Manual_Review!$I$6:$I$238,U2727)="","",INDEX(Manual_Review!$I$6:$I$238,U2727))</f>
        <v/>
      </c>
      <c r="Y2727" s="5" t="s">
        <v>2859</v>
      </c>
    </row>
    <row r="2728" spans="1:25" ht="25.5">
      <c r="A2728" s="5" t="s">
        <v>8414</v>
      </c>
      <c r="B2728" s="5" t="s">
        <v>1905</v>
      </c>
      <c r="C2728" s="5" t="s">
        <v>1906</v>
      </c>
      <c r="D2728" s="5" t="s">
        <v>118</v>
      </c>
      <c r="E2728" s="5" t="s">
        <v>2783</v>
      </c>
      <c r="F2728" s="5" t="s">
        <v>2754</v>
      </c>
      <c r="G2728" s="5">
        <v>1</v>
      </c>
      <c r="H2728" s="5" t="s">
        <v>2854</v>
      </c>
      <c r="I2728" s="5" t="str">
        <f>IF(INDEX(Manual_Review!$M$6:$M$238,U2728)="","",INDEX(Manual_Review!$M$6:$M$238,U2728))</f>
        <v/>
      </c>
      <c r="J2728" s="5" t="str">
        <f t="shared" si="84"/>
        <v>AI provisional</v>
      </c>
      <c r="K2728" s="5" t="str">
        <f t="shared" si="85"/>
        <v>Y</v>
      </c>
      <c r="L2728" s="5" t="s">
        <v>1911</v>
      </c>
      <c r="M2728" s="5" t="s">
        <v>8415</v>
      </c>
      <c r="N2728" s="5" t="s">
        <v>8411</v>
      </c>
      <c r="O2728" s="5" t="s">
        <v>3133</v>
      </c>
      <c r="P2728" s="5" t="s">
        <v>2858</v>
      </c>
      <c r="Q2728" s="11">
        <v>46306.5</v>
      </c>
      <c r="R2728" s="6"/>
      <c r="S2728" s="6"/>
      <c r="T2728" s="6"/>
      <c r="U2728" s="5">
        <f>MATCH(B2728,Manual_Review!$A$6:$A$238,0)</f>
        <v>171</v>
      </c>
      <c r="V2728" s="5" t="str">
        <f>IF(INDEX(Manual_Review!$G$6:$G$238,U2728)="","",INDEX(Manual_Review!$G$6:$G$238,U2728))</f>
        <v/>
      </c>
      <c r="W2728" s="11" t="str">
        <f>IF(INDEX(Manual_Review!$H$6:$H$238,U2728)="","",INDEX(Manual_Review!$H$6:$H$238,U2728))</f>
        <v/>
      </c>
      <c r="X2728" s="5" t="str">
        <f>IF(INDEX(Manual_Review!$I$6:$I$238,U2728)="","",INDEX(Manual_Review!$I$6:$I$238,U2728))</f>
        <v/>
      </c>
      <c r="Y2728" s="5" t="s">
        <v>2859</v>
      </c>
    </row>
    <row r="2729" spans="1:25" ht="25.5">
      <c r="A2729" s="5" t="s">
        <v>8416</v>
      </c>
      <c r="B2729" s="5" t="s">
        <v>1905</v>
      </c>
      <c r="C2729" s="5" t="s">
        <v>1906</v>
      </c>
      <c r="D2729" s="5" t="s">
        <v>118</v>
      </c>
      <c r="E2729" s="5" t="s">
        <v>2784</v>
      </c>
      <c r="F2729" s="5" t="s">
        <v>2756</v>
      </c>
      <c r="G2729" s="5">
        <v>1</v>
      </c>
      <c r="H2729" s="5" t="s">
        <v>2854</v>
      </c>
      <c r="I2729" s="5" t="str">
        <f>IF(INDEX(Manual_Review!$N$6:$N$238,U2729)="","",INDEX(Manual_Review!$N$6:$N$238,U2729))</f>
        <v/>
      </c>
      <c r="J2729" s="5" t="str">
        <f t="shared" si="84"/>
        <v>AI provisional</v>
      </c>
      <c r="K2729" s="5" t="str">
        <f t="shared" si="85"/>
        <v>Y</v>
      </c>
      <c r="L2729" s="5" t="s">
        <v>1911</v>
      </c>
      <c r="M2729" s="5" t="s">
        <v>8417</v>
      </c>
      <c r="N2729" s="5" t="s">
        <v>8411</v>
      </c>
      <c r="O2729" s="5" t="s">
        <v>2963</v>
      </c>
      <c r="P2729" s="5" t="s">
        <v>2858</v>
      </c>
      <c r="Q2729" s="11">
        <v>46306.5</v>
      </c>
      <c r="R2729" s="6"/>
      <c r="S2729" s="6"/>
      <c r="T2729" s="6"/>
      <c r="U2729" s="5">
        <f>MATCH(B2729,Manual_Review!$A$6:$A$238,0)</f>
        <v>171</v>
      </c>
      <c r="V2729" s="5" t="str">
        <f>IF(INDEX(Manual_Review!$G$6:$G$238,U2729)="","",INDEX(Manual_Review!$G$6:$G$238,U2729))</f>
        <v/>
      </c>
      <c r="W2729" s="11" t="str">
        <f>IF(INDEX(Manual_Review!$H$6:$H$238,U2729)="","",INDEX(Manual_Review!$H$6:$H$238,U2729))</f>
        <v/>
      </c>
      <c r="X2729" s="5" t="str">
        <f>IF(INDEX(Manual_Review!$I$6:$I$238,U2729)="","",INDEX(Manual_Review!$I$6:$I$238,U2729))</f>
        <v/>
      </c>
      <c r="Y2729" s="5" t="s">
        <v>2859</v>
      </c>
    </row>
    <row r="2730" spans="1:25" ht="25.5">
      <c r="A2730" s="5" t="s">
        <v>8418</v>
      </c>
      <c r="B2730" s="5" t="s">
        <v>1905</v>
      </c>
      <c r="C2730" s="5" t="s">
        <v>1906</v>
      </c>
      <c r="D2730" s="5" t="s">
        <v>118</v>
      </c>
      <c r="E2730" s="5" t="s">
        <v>2785</v>
      </c>
      <c r="F2730" s="5" t="s">
        <v>2756</v>
      </c>
      <c r="G2730" s="5">
        <v>1</v>
      </c>
      <c r="H2730" s="5" t="s">
        <v>2864</v>
      </c>
      <c r="I2730" s="5" t="str">
        <f>IF(INDEX(Manual_Review!$O$6:$O$238,U2730)="","",INDEX(Manual_Review!$O$6:$O$238,U2730))</f>
        <v/>
      </c>
      <c r="J2730" s="5" t="str">
        <f t="shared" si="84"/>
        <v>AI provisional</v>
      </c>
      <c r="K2730" s="5" t="str">
        <f t="shared" si="85"/>
        <v>U</v>
      </c>
      <c r="L2730" s="5" t="s">
        <v>1911</v>
      </c>
      <c r="M2730" s="5" t="s">
        <v>8419</v>
      </c>
      <c r="N2730" s="5" t="s">
        <v>8411</v>
      </c>
      <c r="O2730" s="5" t="s">
        <v>2872</v>
      </c>
      <c r="P2730" s="5" t="s">
        <v>2858</v>
      </c>
      <c r="Q2730" s="11">
        <v>46306.5</v>
      </c>
      <c r="R2730" s="6"/>
      <c r="S2730" s="6"/>
      <c r="T2730" s="6"/>
      <c r="U2730" s="5">
        <f>MATCH(B2730,Manual_Review!$A$6:$A$238,0)</f>
        <v>171</v>
      </c>
      <c r="V2730" s="5" t="str">
        <f>IF(INDEX(Manual_Review!$G$6:$G$238,U2730)="","",INDEX(Manual_Review!$G$6:$G$238,U2730))</f>
        <v/>
      </c>
      <c r="W2730" s="11" t="str">
        <f>IF(INDEX(Manual_Review!$H$6:$H$238,U2730)="","",INDEX(Manual_Review!$H$6:$H$238,U2730))</f>
        <v/>
      </c>
      <c r="X2730" s="5" t="str">
        <f>IF(INDEX(Manual_Review!$I$6:$I$238,U2730)="","",INDEX(Manual_Review!$I$6:$I$238,U2730))</f>
        <v/>
      </c>
      <c r="Y2730" s="5" t="s">
        <v>2859</v>
      </c>
    </row>
    <row r="2731" spans="1:25" ht="25.5">
      <c r="A2731" s="5" t="s">
        <v>8420</v>
      </c>
      <c r="B2731" s="5" t="s">
        <v>1905</v>
      </c>
      <c r="C2731" s="5" t="s">
        <v>1906</v>
      </c>
      <c r="D2731" s="5" t="s">
        <v>118</v>
      </c>
      <c r="E2731" s="5" t="s">
        <v>2786</v>
      </c>
      <c r="F2731" s="5" t="s">
        <v>2756</v>
      </c>
      <c r="G2731" s="5">
        <v>1</v>
      </c>
      <c r="H2731" s="5" t="s">
        <v>2864</v>
      </c>
      <c r="I2731" s="5" t="str">
        <f>IF(INDEX(Manual_Review!$P$6:$P$238,U2731)="","",INDEX(Manual_Review!$P$6:$P$238,U2731))</f>
        <v/>
      </c>
      <c r="J2731" s="5" t="str">
        <f t="shared" si="84"/>
        <v>AI provisional</v>
      </c>
      <c r="K2731" s="5" t="str">
        <f t="shared" si="85"/>
        <v>U</v>
      </c>
      <c r="L2731" s="5" t="s">
        <v>1911</v>
      </c>
      <c r="M2731" s="5" t="s">
        <v>8421</v>
      </c>
      <c r="N2731" s="5" t="s">
        <v>8411</v>
      </c>
      <c r="O2731" s="5" t="s">
        <v>2874</v>
      </c>
      <c r="P2731" s="5" t="s">
        <v>2858</v>
      </c>
      <c r="Q2731" s="11">
        <v>46306.5</v>
      </c>
      <c r="R2731" s="6"/>
      <c r="S2731" s="6"/>
      <c r="T2731" s="6"/>
      <c r="U2731" s="5">
        <f>MATCH(B2731,Manual_Review!$A$6:$A$238,0)</f>
        <v>171</v>
      </c>
      <c r="V2731" s="5" t="str">
        <f>IF(INDEX(Manual_Review!$G$6:$G$238,U2731)="","",INDEX(Manual_Review!$G$6:$G$238,U2731))</f>
        <v/>
      </c>
      <c r="W2731" s="11" t="str">
        <f>IF(INDEX(Manual_Review!$H$6:$H$238,U2731)="","",INDEX(Manual_Review!$H$6:$H$238,U2731))</f>
        <v/>
      </c>
      <c r="X2731" s="5" t="str">
        <f>IF(INDEX(Manual_Review!$I$6:$I$238,U2731)="","",INDEX(Manual_Review!$I$6:$I$238,U2731))</f>
        <v/>
      </c>
      <c r="Y2731" s="5" t="s">
        <v>2859</v>
      </c>
    </row>
    <row r="2732" spans="1:25" ht="25.5">
      <c r="A2732" s="5" t="s">
        <v>8422</v>
      </c>
      <c r="B2732" s="5" t="s">
        <v>1905</v>
      </c>
      <c r="C2732" s="5" t="s">
        <v>1906</v>
      </c>
      <c r="D2732" s="5" t="s">
        <v>118</v>
      </c>
      <c r="E2732" s="5" t="s">
        <v>2787</v>
      </c>
      <c r="F2732" s="5" t="s">
        <v>2758</v>
      </c>
      <c r="G2732" s="5">
        <v>1</v>
      </c>
      <c r="H2732" s="5" t="s">
        <v>2854</v>
      </c>
      <c r="I2732" s="5" t="str">
        <f>IF(INDEX(Manual_Review!$Q$6:$Q$238,U2732)="","",INDEX(Manual_Review!$Q$6:$Q$238,U2732))</f>
        <v/>
      </c>
      <c r="J2732" s="5" t="str">
        <f t="shared" si="84"/>
        <v>AI provisional</v>
      </c>
      <c r="K2732" s="5" t="str">
        <f t="shared" si="85"/>
        <v>Y</v>
      </c>
      <c r="L2732" s="5" t="s">
        <v>1911</v>
      </c>
      <c r="M2732" s="5" t="s">
        <v>8423</v>
      </c>
      <c r="N2732" s="5" t="s">
        <v>8411</v>
      </c>
      <c r="O2732" s="5" t="s">
        <v>2969</v>
      </c>
      <c r="P2732" s="5" t="s">
        <v>2858</v>
      </c>
      <c r="Q2732" s="11">
        <v>46306.5</v>
      </c>
      <c r="R2732" s="6"/>
      <c r="S2732" s="6"/>
      <c r="T2732" s="6"/>
      <c r="U2732" s="5">
        <f>MATCH(B2732,Manual_Review!$A$6:$A$238,0)</f>
        <v>171</v>
      </c>
      <c r="V2732" s="5" t="str">
        <f>IF(INDEX(Manual_Review!$G$6:$G$238,U2732)="","",INDEX(Manual_Review!$G$6:$G$238,U2732))</f>
        <v/>
      </c>
      <c r="W2732" s="11" t="str">
        <f>IF(INDEX(Manual_Review!$H$6:$H$238,U2732)="","",INDEX(Manual_Review!$H$6:$H$238,U2732))</f>
        <v/>
      </c>
      <c r="X2732" s="5" t="str">
        <f>IF(INDEX(Manual_Review!$I$6:$I$238,U2732)="","",INDEX(Manual_Review!$I$6:$I$238,U2732))</f>
        <v/>
      </c>
      <c r="Y2732" s="5" t="s">
        <v>2859</v>
      </c>
    </row>
    <row r="2733" spans="1:25" ht="25.5">
      <c r="A2733" s="5" t="s">
        <v>8424</v>
      </c>
      <c r="B2733" s="5" t="s">
        <v>1905</v>
      </c>
      <c r="C2733" s="5" t="s">
        <v>1906</v>
      </c>
      <c r="D2733" s="5" t="s">
        <v>118</v>
      </c>
      <c r="E2733" s="5" t="s">
        <v>2788</v>
      </c>
      <c r="F2733" s="5" t="s">
        <v>2758</v>
      </c>
      <c r="G2733" s="5">
        <v>1</v>
      </c>
      <c r="H2733" s="5" t="s">
        <v>2854</v>
      </c>
      <c r="I2733" s="5" t="str">
        <f>IF(INDEX(Manual_Review!$R$6:$R$238,U2733)="","",INDEX(Manual_Review!$R$6:$R$238,U2733))</f>
        <v/>
      </c>
      <c r="J2733" s="5" t="str">
        <f t="shared" si="84"/>
        <v>AI provisional</v>
      </c>
      <c r="K2733" s="5" t="str">
        <f t="shared" si="85"/>
        <v>Y</v>
      </c>
      <c r="L2733" s="5" t="s">
        <v>1911</v>
      </c>
      <c r="M2733" s="5" t="s">
        <v>8425</v>
      </c>
      <c r="N2733" s="5" t="s">
        <v>8411</v>
      </c>
      <c r="O2733" s="5" t="s">
        <v>3067</v>
      </c>
      <c r="P2733" s="5" t="s">
        <v>2858</v>
      </c>
      <c r="Q2733" s="11">
        <v>46306.5</v>
      </c>
      <c r="R2733" s="6"/>
      <c r="S2733" s="6"/>
      <c r="T2733" s="6"/>
      <c r="U2733" s="5">
        <f>MATCH(B2733,Manual_Review!$A$6:$A$238,0)</f>
        <v>171</v>
      </c>
      <c r="V2733" s="5" t="str">
        <f>IF(INDEX(Manual_Review!$G$6:$G$238,U2733)="","",INDEX(Manual_Review!$G$6:$G$238,U2733))</f>
        <v/>
      </c>
      <c r="W2733" s="11" t="str">
        <f>IF(INDEX(Manual_Review!$H$6:$H$238,U2733)="","",INDEX(Manual_Review!$H$6:$H$238,U2733))</f>
        <v/>
      </c>
      <c r="X2733" s="5" t="str">
        <f>IF(INDEX(Manual_Review!$I$6:$I$238,U2733)="","",INDEX(Manual_Review!$I$6:$I$238,U2733))</f>
        <v/>
      </c>
      <c r="Y2733" s="5" t="s">
        <v>2859</v>
      </c>
    </row>
    <row r="2734" spans="1:25" ht="25.5">
      <c r="A2734" s="5" t="s">
        <v>8426</v>
      </c>
      <c r="B2734" s="5" t="s">
        <v>1905</v>
      </c>
      <c r="C2734" s="5" t="s">
        <v>1906</v>
      </c>
      <c r="D2734" s="5" t="s">
        <v>118</v>
      </c>
      <c r="E2734" s="5" t="s">
        <v>2789</v>
      </c>
      <c r="F2734" s="5" t="s">
        <v>2758</v>
      </c>
      <c r="G2734" s="5">
        <v>1</v>
      </c>
      <c r="H2734" s="5" t="s">
        <v>2854</v>
      </c>
      <c r="I2734" s="5" t="str">
        <f>IF(INDEX(Manual_Review!$S$6:$S$238,U2734)="","",INDEX(Manual_Review!$S$6:$S$238,U2734))</f>
        <v/>
      </c>
      <c r="J2734" s="5" t="str">
        <f t="shared" si="84"/>
        <v>AI provisional</v>
      </c>
      <c r="K2734" s="5" t="str">
        <f t="shared" si="85"/>
        <v>Y</v>
      </c>
      <c r="L2734" s="5" t="s">
        <v>1911</v>
      </c>
      <c r="M2734" s="5" t="s">
        <v>8427</v>
      </c>
      <c r="N2734" s="5" t="s">
        <v>8411</v>
      </c>
      <c r="O2734" s="5" t="s">
        <v>3178</v>
      </c>
      <c r="P2734" s="5" t="s">
        <v>2858</v>
      </c>
      <c r="Q2734" s="11">
        <v>46306.5</v>
      </c>
      <c r="R2734" s="6"/>
      <c r="S2734" s="6"/>
      <c r="T2734" s="6"/>
      <c r="U2734" s="5">
        <f>MATCH(B2734,Manual_Review!$A$6:$A$238,0)</f>
        <v>171</v>
      </c>
      <c r="V2734" s="5" t="str">
        <f>IF(INDEX(Manual_Review!$G$6:$G$238,U2734)="","",INDEX(Manual_Review!$G$6:$G$238,U2734))</f>
        <v/>
      </c>
      <c r="W2734" s="11" t="str">
        <f>IF(INDEX(Manual_Review!$H$6:$H$238,U2734)="","",INDEX(Manual_Review!$H$6:$H$238,U2734))</f>
        <v/>
      </c>
      <c r="X2734" s="5" t="str">
        <f>IF(INDEX(Manual_Review!$I$6:$I$238,U2734)="","",INDEX(Manual_Review!$I$6:$I$238,U2734))</f>
        <v/>
      </c>
      <c r="Y2734" s="5" t="s">
        <v>2859</v>
      </c>
    </row>
    <row r="2735" spans="1:25" ht="25.5">
      <c r="A2735" s="5" t="s">
        <v>8428</v>
      </c>
      <c r="B2735" s="5" t="s">
        <v>1905</v>
      </c>
      <c r="C2735" s="5" t="s">
        <v>1906</v>
      </c>
      <c r="D2735" s="5" t="s">
        <v>118</v>
      </c>
      <c r="E2735" s="5" t="s">
        <v>2790</v>
      </c>
      <c r="F2735" s="5" t="s">
        <v>2760</v>
      </c>
      <c r="G2735" s="5">
        <v>1</v>
      </c>
      <c r="H2735" s="5" t="s">
        <v>2864</v>
      </c>
      <c r="I2735" s="5" t="str">
        <f>IF(INDEX(Manual_Review!$T$6:$T$238,U2735)="","",INDEX(Manual_Review!$T$6:$T$238,U2735))</f>
        <v/>
      </c>
      <c r="J2735" s="5" t="str">
        <f t="shared" si="84"/>
        <v>AI provisional</v>
      </c>
      <c r="K2735" s="5" t="str">
        <f t="shared" si="85"/>
        <v>U</v>
      </c>
      <c r="L2735" s="5" t="s">
        <v>1911</v>
      </c>
      <c r="M2735" s="5" t="s">
        <v>8429</v>
      </c>
      <c r="N2735" s="5" t="s">
        <v>8411</v>
      </c>
      <c r="O2735" s="5" t="s">
        <v>2885</v>
      </c>
      <c r="P2735" s="5" t="s">
        <v>2858</v>
      </c>
      <c r="Q2735" s="11">
        <v>46306.5</v>
      </c>
      <c r="R2735" s="6"/>
      <c r="S2735" s="6"/>
      <c r="T2735" s="6"/>
      <c r="U2735" s="5">
        <f>MATCH(B2735,Manual_Review!$A$6:$A$238,0)</f>
        <v>171</v>
      </c>
      <c r="V2735" s="5" t="str">
        <f>IF(INDEX(Manual_Review!$G$6:$G$238,U2735)="","",INDEX(Manual_Review!$G$6:$G$238,U2735))</f>
        <v/>
      </c>
      <c r="W2735" s="11" t="str">
        <f>IF(INDEX(Manual_Review!$H$6:$H$238,U2735)="","",INDEX(Manual_Review!$H$6:$H$238,U2735))</f>
        <v/>
      </c>
      <c r="X2735" s="5" t="str">
        <f>IF(INDEX(Manual_Review!$I$6:$I$238,U2735)="","",INDEX(Manual_Review!$I$6:$I$238,U2735))</f>
        <v/>
      </c>
      <c r="Y2735" s="5" t="s">
        <v>2859</v>
      </c>
    </row>
    <row r="2736" spans="1:25" ht="25.5">
      <c r="A2736" s="5" t="s">
        <v>8430</v>
      </c>
      <c r="B2736" s="5" t="s">
        <v>1905</v>
      </c>
      <c r="C2736" s="5" t="s">
        <v>1906</v>
      </c>
      <c r="D2736" s="5" t="s">
        <v>118</v>
      </c>
      <c r="E2736" s="5" t="s">
        <v>2791</v>
      </c>
      <c r="F2736" s="5" t="s">
        <v>2760</v>
      </c>
      <c r="G2736" s="5">
        <v>1</v>
      </c>
      <c r="H2736" s="5" t="s">
        <v>2864</v>
      </c>
      <c r="I2736" s="5" t="str">
        <f>IF(INDEX(Manual_Review!$U$6:$U$238,U2736)="","",INDEX(Manual_Review!$U$6:$U$238,U2736))</f>
        <v/>
      </c>
      <c r="J2736" s="5" t="str">
        <f t="shared" si="84"/>
        <v>AI provisional</v>
      </c>
      <c r="K2736" s="5" t="str">
        <f t="shared" si="85"/>
        <v>U</v>
      </c>
      <c r="L2736" s="5" t="s">
        <v>1911</v>
      </c>
      <c r="M2736" s="5" t="s">
        <v>8431</v>
      </c>
      <c r="N2736" s="5" t="s">
        <v>8411</v>
      </c>
      <c r="O2736" s="5" t="s">
        <v>2888</v>
      </c>
      <c r="P2736" s="5" t="s">
        <v>2858</v>
      </c>
      <c r="Q2736" s="11">
        <v>46306.5</v>
      </c>
      <c r="R2736" s="6"/>
      <c r="S2736" s="6"/>
      <c r="T2736" s="6"/>
      <c r="U2736" s="5">
        <f>MATCH(B2736,Manual_Review!$A$6:$A$238,0)</f>
        <v>171</v>
      </c>
      <c r="V2736" s="5" t="str">
        <f>IF(INDEX(Manual_Review!$G$6:$G$238,U2736)="","",INDEX(Manual_Review!$G$6:$G$238,U2736))</f>
        <v/>
      </c>
      <c r="W2736" s="11" t="str">
        <f>IF(INDEX(Manual_Review!$H$6:$H$238,U2736)="","",INDEX(Manual_Review!$H$6:$H$238,U2736))</f>
        <v/>
      </c>
      <c r="X2736" s="5" t="str">
        <f>IF(INDEX(Manual_Review!$I$6:$I$238,U2736)="","",INDEX(Manual_Review!$I$6:$I$238,U2736))</f>
        <v/>
      </c>
      <c r="Y2736" s="5" t="s">
        <v>2859</v>
      </c>
    </row>
    <row r="2737" spans="1:25" ht="25.5">
      <c r="A2737" s="5" t="s">
        <v>8432</v>
      </c>
      <c r="B2737" s="5" t="s">
        <v>1905</v>
      </c>
      <c r="C2737" s="5" t="s">
        <v>1906</v>
      </c>
      <c r="D2737" s="5" t="s">
        <v>118</v>
      </c>
      <c r="E2737" s="5" t="s">
        <v>2792</v>
      </c>
      <c r="F2737" s="5" t="s">
        <v>2762</v>
      </c>
      <c r="G2737" s="5">
        <v>1</v>
      </c>
      <c r="H2737" s="5" t="s">
        <v>2864</v>
      </c>
      <c r="I2737" s="5" t="str">
        <f>IF(INDEX(Manual_Review!$V$6:$V$238,U2737)="","",INDEX(Manual_Review!$V$6:$V$238,U2737))</f>
        <v/>
      </c>
      <c r="J2737" s="5" t="str">
        <f t="shared" si="84"/>
        <v>AI provisional</v>
      </c>
      <c r="K2737" s="5" t="str">
        <f t="shared" si="85"/>
        <v>U</v>
      </c>
      <c r="L2737" s="5" t="s">
        <v>1911</v>
      </c>
      <c r="M2737" s="5" t="s">
        <v>8433</v>
      </c>
      <c r="N2737" s="5" t="s">
        <v>8411</v>
      </c>
      <c r="O2737" s="5" t="s">
        <v>2891</v>
      </c>
      <c r="P2737" s="5" t="s">
        <v>2858</v>
      </c>
      <c r="Q2737" s="11">
        <v>46306.5</v>
      </c>
      <c r="R2737" s="6"/>
      <c r="S2737" s="6"/>
      <c r="T2737" s="6"/>
      <c r="U2737" s="5">
        <f>MATCH(B2737,Manual_Review!$A$6:$A$238,0)</f>
        <v>171</v>
      </c>
      <c r="V2737" s="5" t="str">
        <f>IF(INDEX(Manual_Review!$G$6:$G$238,U2737)="","",INDEX(Manual_Review!$G$6:$G$238,U2737))</f>
        <v/>
      </c>
      <c r="W2737" s="11" t="str">
        <f>IF(INDEX(Manual_Review!$H$6:$H$238,U2737)="","",INDEX(Manual_Review!$H$6:$H$238,U2737))</f>
        <v/>
      </c>
      <c r="X2737" s="5" t="str">
        <f>IF(INDEX(Manual_Review!$I$6:$I$238,U2737)="","",INDEX(Manual_Review!$I$6:$I$238,U2737))</f>
        <v/>
      </c>
      <c r="Y2737" s="5" t="s">
        <v>2859</v>
      </c>
    </row>
    <row r="2738" spans="1:25" ht="25.5">
      <c r="A2738" s="5" t="s">
        <v>8434</v>
      </c>
      <c r="B2738" s="5" t="s">
        <v>1905</v>
      </c>
      <c r="C2738" s="5" t="s">
        <v>1906</v>
      </c>
      <c r="D2738" s="5" t="s">
        <v>118</v>
      </c>
      <c r="E2738" s="5" t="s">
        <v>2793</v>
      </c>
      <c r="F2738" s="5" t="s">
        <v>2762</v>
      </c>
      <c r="G2738" s="5">
        <v>1</v>
      </c>
      <c r="H2738" s="5" t="s">
        <v>2854</v>
      </c>
      <c r="I2738" s="5" t="str">
        <f>IF(INDEX(Manual_Review!$W$6:$W$238,U2738)="","",INDEX(Manual_Review!$W$6:$W$238,U2738))</f>
        <v/>
      </c>
      <c r="J2738" s="5" t="str">
        <f t="shared" si="84"/>
        <v>AI provisional</v>
      </c>
      <c r="K2738" s="5" t="str">
        <f t="shared" si="85"/>
        <v>Y</v>
      </c>
      <c r="L2738" s="5" t="s">
        <v>1911</v>
      </c>
      <c r="M2738" s="5" t="s">
        <v>8433</v>
      </c>
      <c r="N2738" s="5" t="s">
        <v>8411</v>
      </c>
      <c r="O2738" s="5" t="s">
        <v>3077</v>
      </c>
      <c r="P2738" s="5" t="s">
        <v>2858</v>
      </c>
      <c r="Q2738" s="11">
        <v>46306.5</v>
      </c>
      <c r="R2738" s="6"/>
      <c r="S2738" s="6"/>
      <c r="T2738" s="6"/>
      <c r="U2738" s="5">
        <f>MATCH(B2738,Manual_Review!$A$6:$A$238,0)</f>
        <v>171</v>
      </c>
      <c r="V2738" s="5" t="str">
        <f>IF(INDEX(Manual_Review!$G$6:$G$238,U2738)="","",INDEX(Manual_Review!$G$6:$G$238,U2738))</f>
        <v/>
      </c>
      <c r="W2738" s="11" t="str">
        <f>IF(INDEX(Manual_Review!$H$6:$H$238,U2738)="","",INDEX(Manual_Review!$H$6:$H$238,U2738))</f>
        <v/>
      </c>
      <c r="X2738" s="5" t="str">
        <f>IF(INDEX(Manual_Review!$I$6:$I$238,U2738)="","",INDEX(Manual_Review!$I$6:$I$238,U2738))</f>
        <v/>
      </c>
      <c r="Y2738" s="5" t="s">
        <v>2859</v>
      </c>
    </row>
    <row r="2739" spans="1:25" ht="25.5">
      <c r="A2739" s="5" t="s">
        <v>8435</v>
      </c>
      <c r="B2739" s="5" t="s">
        <v>1905</v>
      </c>
      <c r="C2739" s="5" t="s">
        <v>1906</v>
      </c>
      <c r="D2739" s="5" t="s">
        <v>118</v>
      </c>
      <c r="E2739" s="5" t="s">
        <v>2794</v>
      </c>
      <c r="F2739" s="5" t="s">
        <v>2764</v>
      </c>
      <c r="G2739" s="5">
        <v>1</v>
      </c>
      <c r="H2739" s="5" t="s">
        <v>2854</v>
      </c>
      <c r="I2739" s="5" t="str">
        <f>IF(INDEX(Manual_Review!$X$6:$X$238,U2739)="","",INDEX(Manual_Review!$X$6:$X$238,U2739))</f>
        <v/>
      </c>
      <c r="J2739" s="5" t="str">
        <f t="shared" si="84"/>
        <v>AI provisional</v>
      </c>
      <c r="K2739" s="5" t="str">
        <f t="shared" si="85"/>
        <v>Y</v>
      </c>
      <c r="L2739" s="5" t="s">
        <v>1911</v>
      </c>
      <c r="M2739" s="5" t="s">
        <v>8433</v>
      </c>
      <c r="N2739" s="5" t="s">
        <v>8411</v>
      </c>
      <c r="O2739" s="5" t="s">
        <v>2984</v>
      </c>
      <c r="P2739" s="5" t="s">
        <v>2858</v>
      </c>
      <c r="Q2739" s="11">
        <v>46306.5</v>
      </c>
      <c r="R2739" s="6"/>
      <c r="S2739" s="6"/>
      <c r="T2739" s="6"/>
      <c r="U2739" s="5">
        <f>MATCH(B2739,Manual_Review!$A$6:$A$238,0)</f>
        <v>171</v>
      </c>
      <c r="V2739" s="5" t="str">
        <f>IF(INDEX(Manual_Review!$G$6:$G$238,U2739)="","",INDEX(Manual_Review!$G$6:$G$238,U2739))</f>
        <v/>
      </c>
      <c r="W2739" s="11" t="str">
        <f>IF(INDEX(Manual_Review!$H$6:$H$238,U2739)="","",INDEX(Manual_Review!$H$6:$H$238,U2739))</f>
        <v/>
      </c>
      <c r="X2739" s="5" t="str">
        <f>IF(INDEX(Manual_Review!$I$6:$I$238,U2739)="","",INDEX(Manual_Review!$I$6:$I$238,U2739))</f>
        <v/>
      </c>
      <c r="Y2739" s="5" t="s">
        <v>2859</v>
      </c>
    </row>
    <row r="2740" spans="1:25" ht="25.5">
      <c r="A2740" s="5" t="s">
        <v>8436</v>
      </c>
      <c r="B2740" s="5" t="s">
        <v>1905</v>
      </c>
      <c r="C2740" s="5" t="s">
        <v>1906</v>
      </c>
      <c r="D2740" s="5" t="s">
        <v>118</v>
      </c>
      <c r="E2740" s="5" t="s">
        <v>2795</v>
      </c>
      <c r="F2740" s="5" t="s">
        <v>2764</v>
      </c>
      <c r="G2740" s="5">
        <v>1</v>
      </c>
      <c r="H2740" s="5" t="s">
        <v>2854</v>
      </c>
      <c r="I2740" s="5" t="str">
        <f>IF(INDEX(Manual_Review!$Y$6:$Y$238,U2740)="","",INDEX(Manual_Review!$Y$6:$Y$238,U2740))</f>
        <v/>
      </c>
      <c r="J2740" s="5" t="str">
        <f t="shared" si="84"/>
        <v>AI provisional</v>
      </c>
      <c r="K2740" s="5" t="str">
        <f t="shared" si="85"/>
        <v>Y</v>
      </c>
      <c r="L2740" s="5" t="s">
        <v>1911</v>
      </c>
      <c r="M2740" s="5" t="s">
        <v>8437</v>
      </c>
      <c r="N2740" s="5" t="s">
        <v>8411</v>
      </c>
      <c r="O2740" s="5" t="s">
        <v>3082</v>
      </c>
      <c r="P2740" s="5" t="s">
        <v>2858</v>
      </c>
      <c r="Q2740" s="11">
        <v>46306.5</v>
      </c>
      <c r="R2740" s="6"/>
      <c r="S2740" s="6"/>
      <c r="T2740" s="6"/>
      <c r="U2740" s="5">
        <f>MATCH(B2740,Manual_Review!$A$6:$A$238,0)</f>
        <v>171</v>
      </c>
      <c r="V2740" s="5" t="str">
        <f>IF(INDEX(Manual_Review!$G$6:$G$238,U2740)="","",INDEX(Manual_Review!$G$6:$G$238,U2740))</f>
        <v/>
      </c>
      <c r="W2740" s="11" t="str">
        <f>IF(INDEX(Manual_Review!$H$6:$H$238,U2740)="","",INDEX(Manual_Review!$H$6:$H$238,U2740))</f>
        <v/>
      </c>
      <c r="X2740" s="5" t="str">
        <f>IF(INDEX(Manual_Review!$I$6:$I$238,U2740)="","",INDEX(Manual_Review!$I$6:$I$238,U2740))</f>
        <v/>
      </c>
      <c r="Y2740" s="5" t="s">
        <v>2859</v>
      </c>
    </row>
    <row r="2741" spans="1:25" ht="25.5">
      <c r="A2741" s="5" t="s">
        <v>8438</v>
      </c>
      <c r="B2741" s="5" t="s">
        <v>1905</v>
      </c>
      <c r="C2741" s="5" t="s">
        <v>1906</v>
      </c>
      <c r="D2741" s="5" t="s">
        <v>118</v>
      </c>
      <c r="E2741" s="5" t="s">
        <v>2796</v>
      </c>
      <c r="F2741" s="5" t="s">
        <v>2764</v>
      </c>
      <c r="G2741" s="5">
        <v>1</v>
      </c>
      <c r="H2741" s="5" t="s">
        <v>2854</v>
      </c>
      <c r="I2741" s="5" t="str">
        <f>IF(INDEX(Manual_Review!$Z$6:$Z$238,U2741)="","",INDEX(Manual_Review!$Z$6:$Z$238,U2741))</f>
        <v/>
      </c>
      <c r="J2741" s="5" t="str">
        <f t="shared" si="84"/>
        <v>AI provisional</v>
      </c>
      <c r="K2741" s="5" t="str">
        <f t="shared" si="85"/>
        <v>Y</v>
      </c>
      <c r="L2741" s="5" t="s">
        <v>1911</v>
      </c>
      <c r="M2741" s="5" t="s">
        <v>8439</v>
      </c>
      <c r="N2741" s="5" t="s">
        <v>8411</v>
      </c>
      <c r="O2741" s="5" t="s">
        <v>3085</v>
      </c>
      <c r="P2741" s="5" t="s">
        <v>2858</v>
      </c>
      <c r="Q2741" s="11">
        <v>46306.5</v>
      </c>
      <c r="R2741" s="6"/>
      <c r="S2741" s="6"/>
      <c r="T2741" s="6"/>
      <c r="U2741" s="5">
        <f>MATCH(B2741,Manual_Review!$A$6:$A$238,0)</f>
        <v>171</v>
      </c>
      <c r="V2741" s="5" t="str">
        <f>IF(INDEX(Manual_Review!$G$6:$G$238,U2741)="","",INDEX(Manual_Review!$G$6:$G$238,U2741))</f>
        <v/>
      </c>
      <c r="W2741" s="11" t="str">
        <f>IF(INDEX(Manual_Review!$H$6:$H$238,U2741)="","",INDEX(Manual_Review!$H$6:$H$238,U2741))</f>
        <v/>
      </c>
      <c r="X2741" s="5" t="str">
        <f>IF(INDEX(Manual_Review!$I$6:$I$238,U2741)="","",INDEX(Manual_Review!$I$6:$I$238,U2741))</f>
        <v/>
      </c>
      <c r="Y2741" s="5" t="s">
        <v>2859</v>
      </c>
    </row>
    <row r="2742" spans="1:25" ht="25.5">
      <c r="A2742" s="5" t="s">
        <v>8440</v>
      </c>
      <c r="B2742" s="5" t="s">
        <v>1913</v>
      </c>
      <c r="C2742" s="5" t="s">
        <v>1914</v>
      </c>
      <c r="D2742" s="5" t="s">
        <v>118</v>
      </c>
      <c r="E2742" s="5" t="s">
        <v>2781</v>
      </c>
      <c r="F2742" s="5" t="s">
        <v>2754</v>
      </c>
      <c r="G2742" s="5">
        <v>1</v>
      </c>
      <c r="H2742" s="5" t="s">
        <v>2854</v>
      </c>
      <c r="I2742" s="5" t="str">
        <f>IF(INDEX(Manual_Review!$K$6:$K$238,U2742)="","",INDEX(Manual_Review!$K$6:$K$238,U2742))</f>
        <v/>
      </c>
      <c r="J2742" s="5" t="str">
        <f t="shared" si="84"/>
        <v>AI provisional</v>
      </c>
      <c r="K2742" s="5" t="str">
        <f t="shared" si="85"/>
        <v>Y</v>
      </c>
      <c r="L2742" s="5" t="s">
        <v>1920</v>
      </c>
      <c r="M2742" s="5" t="s">
        <v>8441</v>
      </c>
      <c r="N2742" s="5" t="s">
        <v>8442</v>
      </c>
      <c r="O2742" s="5" t="s">
        <v>2857</v>
      </c>
      <c r="P2742" s="5" t="s">
        <v>2858</v>
      </c>
      <c r="Q2742" s="11">
        <v>46306.5</v>
      </c>
      <c r="R2742" s="6"/>
      <c r="S2742" s="6"/>
      <c r="T2742" s="6"/>
      <c r="U2742" s="5">
        <f>MATCH(B2742,Manual_Review!$A$6:$A$238,0)</f>
        <v>172</v>
      </c>
      <c r="V2742" s="5" t="str">
        <f>IF(INDEX(Manual_Review!$G$6:$G$238,U2742)="","",INDEX(Manual_Review!$G$6:$G$238,U2742))</f>
        <v/>
      </c>
      <c r="W2742" s="11" t="str">
        <f>IF(INDEX(Manual_Review!$H$6:$H$238,U2742)="","",INDEX(Manual_Review!$H$6:$H$238,U2742))</f>
        <v/>
      </c>
      <c r="X2742" s="5" t="str">
        <f>IF(INDEX(Manual_Review!$I$6:$I$238,U2742)="","",INDEX(Manual_Review!$I$6:$I$238,U2742))</f>
        <v/>
      </c>
      <c r="Y2742" s="5" t="s">
        <v>2859</v>
      </c>
    </row>
    <row r="2743" spans="1:25" ht="25.5">
      <c r="A2743" s="5" t="s">
        <v>8443</v>
      </c>
      <c r="B2743" s="5" t="s">
        <v>1913</v>
      </c>
      <c r="C2743" s="5" t="s">
        <v>1914</v>
      </c>
      <c r="D2743" s="5" t="s">
        <v>118</v>
      </c>
      <c r="E2743" s="5" t="s">
        <v>2782</v>
      </c>
      <c r="F2743" s="5" t="s">
        <v>2754</v>
      </c>
      <c r="G2743" s="5">
        <v>1</v>
      </c>
      <c r="H2743" s="5" t="s">
        <v>2854</v>
      </c>
      <c r="I2743" s="5" t="str">
        <f>IF(INDEX(Manual_Review!$L$6:$L$238,U2743)="","",INDEX(Manual_Review!$L$6:$L$238,U2743))</f>
        <v/>
      </c>
      <c r="J2743" s="5" t="str">
        <f t="shared" si="84"/>
        <v>AI provisional</v>
      </c>
      <c r="K2743" s="5" t="str">
        <f t="shared" si="85"/>
        <v>Y</v>
      </c>
      <c r="L2743" s="5" t="s">
        <v>1920</v>
      </c>
      <c r="M2743" s="5" t="s">
        <v>8444</v>
      </c>
      <c r="N2743" s="5" t="s">
        <v>8442</v>
      </c>
      <c r="O2743" s="5" t="s">
        <v>2862</v>
      </c>
      <c r="P2743" s="5" t="s">
        <v>2858</v>
      </c>
      <c r="Q2743" s="11">
        <v>46306.5</v>
      </c>
      <c r="R2743" s="6"/>
      <c r="S2743" s="6"/>
      <c r="T2743" s="6"/>
      <c r="U2743" s="5">
        <f>MATCH(B2743,Manual_Review!$A$6:$A$238,0)</f>
        <v>172</v>
      </c>
      <c r="V2743" s="5" t="str">
        <f>IF(INDEX(Manual_Review!$G$6:$G$238,U2743)="","",INDEX(Manual_Review!$G$6:$G$238,U2743))</f>
        <v/>
      </c>
      <c r="W2743" s="11" t="str">
        <f>IF(INDEX(Manual_Review!$H$6:$H$238,U2743)="","",INDEX(Manual_Review!$H$6:$H$238,U2743))</f>
        <v/>
      </c>
      <c r="X2743" s="5" t="str">
        <f>IF(INDEX(Manual_Review!$I$6:$I$238,U2743)="","",INDEX(Manual_Review!$I$6:$I$238,U2743))</f>
        <v/>
      </c>
      <c r="Y2743" s="5" t="s">
        <v>2859</v>
      </c>
    </row>
    <row r="2744" spans="1:25" ht="25.5">
      <c r="A2744" s="5" t="s">
        <v>8445</v>
      </c>
      <c r="B2744" s="5" t="s">
        <v>1913</v>
      </c>
      <c r="C2744" s="5" t="s">
        <v>1914</v>
      </c>
      <c r="D2744" s="5" t="s">
        <v>118</v>
      </c>
      <c r="E2744" s="5" t="s">
        <v>2783</v>
      </c>
      <c r="F2744" s="5" t="s">
        <v>2754</v>
      </c>
      <c r="G2744" s="5">
        <v>1</v>
      </c>
      <c r="H2744" s="5" t="s">
        <v>2854</v>
      </c>
      <c r="I2744" s="5" t="str">
        <f>IF(INDEX(Manual_Review!$M$6:$M$238,U2744)="","",INDEX(Manual_Review!$M$6:$M$238,U2744))</f>
        <v/>
      </c>
      <c r="J2744" s="5" t="str">
        <f t="shared" si="84"/>
        <v>AI provisional</v>
      </c>
      <c r="K2744" s="5" t="str">
        <f t="shared" si="85"/>
        <v>Y</v>
      </c>
      <c r="L2744" s="5" t="s">
        <v>1920</v>
      </c>
      <c r="M2744" s="5" t="s">
        <v>8446</v>
      </c>
      <c r="N2744" s="5" t="s">
        <v>8442</v>
      </c>
      <c r="O2744" s="5" t="s">
        <v>3133</v>
      </c>
      <c r="P2744" s="5" t="s">
        <v>2858</v>
      </c>
      <c r="Q2744" s="11">
        <v>46306.5</v>
      </c>
      <c r="R2744" s="6"/>
      <c r="S2744" s="6"/>
      <c r="T2744" s="6"/>
      <c r="U2744" s="5">
        <f>MATCH(B2744,Manual_Review!$A$6:$A$238,0)</f>
        <v>172</v>
      </c>
      <c r="V2744" s="5" t="str">
        <f>IF(INDEX(Manual_Review!$G$6:$G$238,U2744)="","",INDEX(Manual_Review!$G$6:$G$238,U2744))</f>
        <v/>
      </c>
      <c r="W2744" s="11" t="str">
        <f>IF(INDEX(Manual_Review!$H$6:$H$238,U2744)="","",INDEX(Manual_Review!$H$6:$H$238,U2744))</f>
        <v/>
      </c>
      <c r="X2744" s="5" t="str">
        <f>IF(INDEX(Manual_Review!$I$6:$I$238,U2744)="","",INDEX(Manual_Review!$I$6:$I$238,U2744))</f>
        <v/>
      </c>
      <c r="Y2744" s="5" t="s">
        <v>2859</v>
      </c>
    </row>
    <row r="2745" spans="1:25" ht="25.5">
      <c r="A2745" s="5" t="s">
        <v>8447</v>
      </c>
      <c r="B2745" s="5" t="s">
        <v>1913</v>
      </c>
      <c r="C2745" s="5" t="s">
        <v>1914</v>
      </c>
      <c r="D2745" s="5" t="s">
        <v>118</v>
      </c>
      <c r="E2745" s="5" t="s">
        <v>2784</v>
      </c>
      <c r="F2745" s="5" t="s">
        <v>2756</v>
      </c>
      <c r="G2745" s="5">
        <v>1</v>
      </c>
      <c r="H2745" s="5" t="s">
        <v>2854</v>
      </c>
      <c r="I2745" s="5" t="str">
        <f>IF(INDEX(Manual_Review!$N$6:$N$238,U2745)="","",INDEX(Manual_Review!$N$6:$N$238,U2745))</f>
        <v/>
      </c>
      <c r="J2745" s="5" t="str">
        <f t="shared" si="84"/>
        <v>AI provisional</v>
      </c>
      <c r="K2745" s="5" t="str">
        <f t="shared" si="85"/>
        <v>Y</v>
      </c>
      <c r="L2745" s="5" t="s">
        <v>1920</v>
      </c>
      <c r="M2745" s="5" t="s">
        <v>8448</v>
      </c>
      <c r="N2745" s="5" t="s">
        <v>8442</v>
      </c>
      <c r="O2745" s="5" t="s">
        <v>2963</v>
      </c>
      <c r="P2745" s="5" t="s">
        <v>2858</v>
      </c>
      <c r="Q2745" s="11">
        <v>46306.5</v>
      </c>
      <c r="R2745" s="6"/>
      <c r="S2745" s="6"/>
      <c r="T2745" s="6"/>
      <c r="U2745" s="5">
        <f>MATCH(B2745,Manual_Review!$A$6:$A$238,0)</f>
        <v>172</v>
      </c>
      <c r="V2745" s="5" t="str">
        <f>IF(INDEX(Manual_Review!$G$6:$G$238,U2745)="","",INDEX(Manual_Review!$G$6:$G$238,U2745))</f>
        <v/>
      </c>
      <c r="W2745" s="11" t="str">
        <f>IF(INDEX(Manual_Review!$H$6:$H$238,U2745)="","",INDEX(Manual_Review!$H$6:$H$238,U2745))</f>
        <v/>
      </c>
      <c r="X2745" s="5" t="str">
        <f>IF(INDEX(Manual_Review!$I$6:$I$238,U2745)="","",INDEX(Manual_Review!$I$6:$I$238,U2745))</f>
        <v/>
      </c>
      <c r="Y2745" s="5" t="s">
        <v>2859</v>
      </c>
    </row>
    <row r="2746" spans="1:25" ht="25.5">
      <c r="A2746" s="5" t="s">
        <v>8449</v>
      </c>
      <c r="B2746" s="5" t="s">
        <v>1913</v>
      </c>
      <c r="C2746" s="5" t="s">
        <v>1914</v>
      </c>
      <c r="D2746" s="5" t="s">
        <v>118</v>
      </c>
      <c r="E2746" s="5" t="s">
        <v>2785</v>
      </c>
      <c r="F2746" s="5" t="s">
        <v>2756</v>
      </c>
      <c r="G2746" s="5">
        <v>1</v>
      </c>
      <c r="H2746" s="5" t="s">
        <v>2864</v>
      </c>
      <c r="I2746" s="5" t="str">
        <f>IF(INDEX(Manual_Review!$O$6:$O$238,U2746)="","",INDEX(Manual_Review!$O$6:$O$238,U2746))</f>
        <v/>
      </c>
      <c r="J2746" s="5" t="str">
        <f t="shared" si="84"/>
        <v>AI provisional</v>
      </c>
      <c r="K2746" s="5" t="str">
        <f t="shared" si="85"/>
        <v>U</v>
      </c>
      <c r="L2746" s="5" t="s">
        <v>1920</v>
      </c>
      <c r="M2746" s="5" t="s">
        <v>8450</v>
      </c>
      <c r="N2746" s="5" t="s">
        <v>8442</v>
      </c>
      <c r="O2746" s="5" t="s">
        <v>2872</v>
      </c>
      <c r="P2746" s="5" t="s">
        <v>2858</v>
      </c>
      <c r="Q2746" s="11">
        <v>46306.5</v>
      </c>
      <c r="R2746" s="6"/>
      <c r="S2746" s="6"/>
      <c r="T2746" s="6"/>
      <c r="U2746" s="5">
        <f>MATCH(B2746,Manual_Review!$A$6:$A$238,0)</f>
        <v>172</v>
      </c>
      <c r="V2746" s="5" t="str">
        <f>IF(INDEX(Manual_Review!$G$6:$G$238,U2746)="","",INDEX(Manual_Review!$G$6:$G$238,U2746))</f>
        <v/>
      </c>
      <c r="W2746" s="11" t="str">
        <f>IF(INDEX(Manual_Review!$H$6:$H$238,U2746)="","",INDEX(Manual_Review!$H$6:$H$238,U2746))</f>
        <v/>
      </c>
      <c r="X2746" s="5" t="str">
        <f>IF(INDEX(Manual_Review!$I$6:$I$238,U2746)="","",INDEX(Manual_Review!$I$6:$I$238,U2746))</f>
        <v/>
      </c>
      <c r="Y2746" s="5" t="s">
        <v>2859</v>
      </c>
    </row>
    <row r="2747" spans="1:25" ht="25.5">
      <c r="A2747" s="5" t="s">
        <v>8451</v>
      </c>
      <c r="B2747" s="5" t="s">
        <v>1913</v>
      </c>
      <c r="C2747" s="5" t="s">
        <v>1914</v>
      </c>
      <c r="D2747" s="5" t="s">
        <v>118</v>
      </c>
      <c r="E2747" s="5" t="s">
        <v>2786</v>
      </c>
      <c r="F2747" s="5" t="s">
        <v>2756</v>
      </c>
      <c r="G2747" s="5">
        <v>1</v>
      </c>
      <c r="H2747" s="5" t="s">
        <v>2864</v>
      </c>
      <c r="I2747" s="5" t="str">
        <f>IF(INDEX(Manual_Review!$P$6:$P$238,U2747)="","",INDEX(Manual_Review!$P$6:$P$238,U2747))</f>
        <v/>
      </c>
      <c r="J2747" s="5" t="str">
        <f t="shared" si="84"/>
        <v>AI provisional</v>
      </c>
      <c r="K2747" s="5" t="str">
        <f t="shared" si="85"/>
        <v>U</v>
      </c>
      <c r="L2747" s="5" t="s">
        <v>1920</v>
      </c>
      <c r="M2747" s="5" t="s">
        <v>8452</v>
      </c>
      <c r="N2747" s="5" t="s">
        <v>8442</v>
      </c>
      <c r="O2747" s="5" t="s">
        <v>2874</v>
      </c>
      <c r="P2747" s="5" t="s">
        <v>2858</v>
      </c>
      <c r="Q2747" s="11">
        <v>46306.5</v>
      </c>
      <c r="R2747" s="6"/>
      <c r="S2747" s="6"/>
      <c r="T2747" s="6"/>
      <c r="U2747" s="5">
        <f>MATCH(B2747,Manual_Review!$A$6:$A$238,0)</f>
        <v>172</v>
      </c>
      <c r="V2747" s="5" t="str">
        <f>IF(INDEX(Manual_Review!$G$6:$G$238,U2747)="","",INDEX(Manual_Review!$G$6:$G$238,U2747))</f>
        <v/>
      </c>
      <c r="W2747" s="11" t="str">
        <f>IF(INDEX(Manual_Review!$H$6:$H$238,U2747)="","",INDEX(Manual_Review!$H$6:$H$238,U2747))</f>
        <v/>
      </c>
      <c r="X2747" s="5" t="str">
        <f>IF(INDEX(Manual_Review!$I$6:$I$238,U2747)="","",INDEX(Manual_Review!$I$6:$I$238,U2747))</f>
        <v/>
      </c>
      <c r="Y2747" s="5" t="s">
        <v>2859</v>
      </c>
    </row>
    <row r="2748" spans="1:25" ht="25.5">
      <c r="A2748" s="5" t="s">
        <v>8453</v>
      </c>
      <c r="B2748" s="5" t="s">
        <v>1913</v>
      </c>
      <c r="C2748" s="5" t="s">
        <v>1914</v>
      </c>
      <c r="D2748" s="5" t="s">
        <v>118</v>
      </c>
      <c r="E2748" s="5" t="s">
        <v>2787</v>
      </c>
      <c r="F2748" s="5" t="s">
        <v>2758</v>
      </c>
      <c r="G2748" s="5">
        <v>1</v>
      </c>
      <c r="H2748" s="5" t="s">
        <v>2864</v>
      </c>
      <c r="I2748" s="5" t="str">
        <f>IF(INDEX(Manual_Review!$Q$6:$Q$238,U2748)="","",INDEX(Manual_Review!$Q$6:$Q$238,U2748))</f>
        <v/>
      </c>
      <c r="J2748" s="5" t="str">
        <f t="shared" si="84"/>
        <v>AI provisional</v>
      </c>
      <c r="K2748" s="5" t="str">
        <f t="shared" si="85"/>
        <v>U</v>
      </c>
      <c r="L2748" s="5" t="s">
        <v>1920</v>
      </c>
      <c r="M2748" s="5" t="s">
        <v>8454</v>
      </c>
      <c r="N2748" s="5" t="s">
        <v>8442</v>
      </c>
      <c r="O2748" s="5" t="s">
        <v>2877</v>
      </c>
      <c r="P2748" s="5" t="s">
        <v>2858</v>
      </c>
      <c r="Q2748" s="11">
        <v>46306.5</v>
      </c>
      <c r="R2748" s="6"/>
      <c r="S2748" s="6"/>
      <c r="T2748" s="6"/>
      <c r="U2748" s="5">
        <f>MATCH(B2748,Manual_Review!$A$6:$A$238,0)</f>
        <v>172</v>
      </c>
      <c r="V2748" s="5" t="str">
        <f>IF(INDEX(Manual_Review!$G$6:$G$238,U2748)="","",INDEX(Manual_Review!$G$6:$G$238,U2748))</f>
        <v/>
      </c>
      <c r="W2748" s="11" t="str">
        <f>IF(INDEX(Manual_Review!$H$6:$H$238,U2748)="","",INDEX(Manual_Review!$H$6:$H$238,U2748))</f>
        <v/>
      </c>
      <c r="X2748" s="5" t="str">
        <f>IF(INDEX(Manual_Review!$I$6:$I$238,U2748)="","",INDEX(Manual_Review!$I$6:$I$238,U2748))</f>
        <v/>
      </c>
      <c r="Y2748" s="5" t="s">
        <v>2859</v>
      </c>
    </row>
    <row r="2749" spans="1:25" ht="25.5">
      <c r="A2749" s="5" t="s">
        <v>8455</v>
      </c>
      <c r="B2749" s="5" t="s">
        <v>1913</v>
      </c>
      <c r="C2749" s="5" t="s">
        <v>1914</v>
      </c>
      <c r="D2749" s="5" t="s">
        <v>118</v>
      </c>
      <c r="E2749" s="5" t="s">
        <v>2788</v>
      </c>
      <c r="F2749" s="5" t="s">
        <v>2758</v>
      </c>
      <c r="G2749" s="5">
        <v>1</v>
      </c>
      <c r="H2749" s="5" t="s">
        <v>2864</v>
      </c>
      <c r="I2749" s="5" t="str">
        <f>IF(INDEX(Manual_Review!$R$6:$R$238,U2749)="","",INDEX(Manual_Review!$R$6:$R$238,U2749))</f>
        <v/>
      </c>
      <c r="J2749" s="5" t="str">
        <f t="shared" si="84"/>
        <v>AI provisional</v>
      </c>
      <c r="K2749" s="5" t="str">
        <f t="shared" si="85"/>
        <v>U</v>
      </c>
      <c r="L2749" s="5" t="s">
        <v>1920</v>
      </c>
      <c r="M2749" s="5" t="s">
        <v>8456</v>
      </c>
      <c r="N2749" s="5" t="s">
        <v>8442</v>
      </c>
      <c r="O2749" s="5" t="s">
        <v>2880</v>
      </c>
      <c r="P2749" s="5" t="s">
        <v>2858</v>
      </c>
      <c r="Q2749" s="11">
        <v>46306.5</v>
      </c>
      <c r="R2749" s="6"/>
      <c r="S2749" s="6"/>
      <c r="T2749" s="6"/>
      <c r="U2749" s="5">
        <f>MATCH(B2749,Manual_Review!$A$6:$A$238,0)</f>
        <v>172</v>
      </c>
      <c r="V2749" s="5" t="str">
        <f>IF(INDEX(Manual_Review!$G$6:$G$238,U2749)="","",INDEX(Manual_Review!$G$6:$G$238,U2749))</f>
        <v/>
      </c>
      <c r="W2749" s="11" t="str">
        <f>IF(INDEX(Manual_Review!$H$6:$H$238,U2749)="","",INDEX(Manual_Review!$H$6:$H$238,U2749))</f>
        <v/>
      </c>
      <c r="X2749" s="5" t="str">
        <f>IF(INDEX(Manual_Review!$I$6:$I$238,U2749)="","",INDEX(Manual_Review!$I$6:$I$238,U2749))</f>
        <v/>
      </c>
      <c r="Y2749" s="5" t="s">
        <v>2859</v>
      </c>
    </row>
    <row r="2750" spans="1:25" ht="25.5">
      <c r="A2750" s="5" t="s">
        <v>8457</v>
      </c>
      <c r="B2750" s="5" t="s">
        <v>1913</v>
      </c>
      <c r="C2750" s="5" t="s">
        <v>1914</v>
      </c>
      <c r="D2750" s="5" t="s">
        <v>118</v>
      </c>
      <c r="E2750" s="5" t="s">
        <v>2789</v>
      </c>
      <c r="F2750" s="5" t="s">
        <v>2758</v>
      </c>
      <c r="G2750" s="5">
        <v>1</v>
      </c>
      <c r="H2750" s="5" t="s">
        <v>2854</v>
      </c>
      <c r="I2750" s="5" t="str">
        <f>IF(INDEX(Manual_Review!$S$6:$S$238,U2750)="","",INDEX(Manual_Review!$S$6:$S$238,U2750))</f>
        <v/>
      </c>
      <c r="J2750" s="5" t="str">
        <f t="shared" si="84"/>
        <v>AI provisional</v>
      </c>
      <c r="K2750" s="5" t="str">
        <f t="shared" si="85"/>
        <v>Y</v>
      </c>
      <c r="L2750" s="5" t="s">
        <v>1920</v>
      </c>
      <c r="M2750" s="5" t="s">
        <v>8458</v>
      </c>
      <c r="N2750" s="5" t="s">
        <v>8442</v>
      </c>
      <c r="O2750" s="5" t="s">
        <v>3178</v>
      </c>
      <c r="P2750" s="5" t="s">
        <v>2858</v>
      </c>
      <c r="Q2750" s="11">
        <v>46306.5</v>
      </c>
      <c r="R2750" s="6"/>
      <c r="S2750" s="6"/>
      <c r="T2750" s="6"/>
      <c r="U2750" s="5">
        <f>MATCH(B2750,Manual_Review!$A$6:$A$238,0)</f>
        <v>172</v>
      </c>
      <c r="V2750" s="5" t="str">
        <f>IF(INDEX(Manual_Review!$G$6:$G$238,U2750)="","",INDEX(Manual_Review!$G$6:$G$238,U2750))</f>
        <v/>
      </c>
      <c r="W2750" s="11" t="str">
        <f>IF(INDEX(Manual_Review!$H$6:$H$238,U2750)="","",INDEX(Manual_Review!$H$6:$H$238,U2750))</f>
        <v/>
      </c>
      <c r="X2750" s="5" t="str">
        <f>IF(INDEX(Manual_Review!$I$6:$I$238,U2750)="","",INDEX(Manual_Review!$I$6:$I$238,U2750))</f>
        <v/>
      </c>
      <c r="Y2750" s="5" t="s">
        <v>2859</v>
      </c>
    </row>
    <row r="2751" spans="1:25" ht="25.5">
      <c r="A2751" s="5" t="s">
        <v>8459</v>
      </c>
      <c r="B2751" s="5" t="s">
        <v>1913</v>
      </c>
      <c r="C2751" s="5" t="s">
        <v>1914</v>
      </c>
      <c r="D2751" s="5" t="s">
        <v>118</v>
      </c>
      <c r="E2751" s="5" t="s">
        <v>2790</v>
      </c>
      <c r="F2751" s="5" t="s">
        <v>2760</v>
      </c>
      <c r="G2751" s="5">
        <v>1</v>
      </c>
      <c r="H2751" s="5" t="s">
        <v>2864</v>
      </c>
      <c r="I2751" s="5" t="str">
        <f>IF(INDEX(Manual_Review!$T$6:$T$238,U2751)="","",INDEX(Manual_Review!$T$6:$T$238,U2751))</f>
        <v/>
      </c>
      <c r="J2751" s="5" t="str">
        <f t="shared" si="84"/>
        <v>AI provisional</v>
      </c>
      <c r="K2751" s="5" t="str">
        <f t="shared" si="85"/>
        <v>U</v>
      </c>
      <c r="L2751" s="5" t="s">
        <v>1920</v>
      </c>
      <c r="M2751" s="5" t="s">
        <v>8452</v>
      </c>
      <c r="N2751" s="5" t="s">
        <v>8442</v>
      </c>
      <c r="O2751" s="5" t="s">
        <v>2885</v>
      </c>
      <c r="P2751" s="5" t="s">
        <v>2858</v>
      </c>
      <c r="Q2751" s="11">
        <v>46306.5</v>
      </c>
      <c r="R2751" s="6"/>
      <c r="S2751" s="6"/>
      <c r="T2751" s="6"/>
      <c r="U2751" s="5">
        <f>MATCH(B2751,Manual_Review!$A$6:$A$238,0)</f>
        <v>172</v>
      </c>
      <c r="V2751" s="5" t="str">
        <f>IF(INDEX(Manual_Review!$G$6:$G$238,U2751)="","",INDEX(Manual_Review!$G$6:$G$238,U2751))</f>
        <v/>
      </c>
      <c r="W2751" s="11" t="str">
        <f>IF(INDEX(Manual_Review!$H$6:$H$238,U2751)="","",INDEX(Manual_Review!$H$6:$H$238,U2751))</f>
        <v/>
      </c>
      <c r="X2751" s="5" t="str">
        <f>IF(INDEX(Manual_Review!$I$6:$I$238,U2751)="","",INDEX(Manual_Review!$I$6:$I$238,U2751))</f>
        <v/>
      </c>
      <c r="Y2751" s="5" t="s">
        <v>2859</v>
      </c>
    </row>
    <row r="2752" spans="1:25" ht="25.5">
      <c r="A2752" s="5" t="s">
        <v>8460</v>
      </c>
      <c r="B2752" s="5" t="s">
        <v>1913</v>
      </c>
      <c r="C2752" s="5" t="s">
        <v>1914</v>
      </c>
      <c r="D2752" s="5" t="s">
        <v>118</v>
      </c>
      <c r="E2752" s="5" t="s">
        <v>2791</v>
      </c>
      <c r="F2752" s="5" t="s">
        <v>2760</v>
      </c>
      <c r="G2752" s="5">
        <v>1</v>
      </c>
      <c r="H2752" s="5" t="s">
        <v>2864</v>
      </c>
      <c r="I2752" s="5" t="str">
        <f>IF(INDEX(Manual_Review!$U$6:$U$238,U2752)="","",INDEX(Manual_Review!$U$6:$U$238,U2752))</f>
        <v/>
      </c>
      <c r="J2752" s="5" t="str">
        <f t="shared" si="84"/>
        <v>AI provisional</v>
      </c>
      <c r="K2752" s="5" t="str">
        <f t="shared" si="85"/>
        <v>U</v>
      </c>
      <c r="L2752" s="5" t="s">
        <v>1920</v>
      </c>
      <c r="M2752" s="5" t="s">
        <v>8461</v>
      </c>
      <c r="N2752" s="5" t="s">
        <v>8442</v>
      </c>
      <c r="O2752" s="5" t="s">
        <v>2888</v>
      </c>
      <c r="P2752" s="5" t="s">
        <v>2858</v>
      </c>
      <c r="Q2752" s="11">
        <v>46306.5</v>
      </c>
      <c r="R2752" s="6"/>
      <c r="S2752" s="6"/>
      <c r="T2752" s="6"/>
      <c r="U2752" s="5">
        <f>MATCH(B2752,Manual_Review!$A$6:$A$238,0)</f>
        <v>172</v>
      </c>
      <c r="V2752" s="5" t="str">
        <f>IF(INDEX(Manual_Review!$G$6:$G$238,U2752)="","",INDEX(Manual_Review!$G$6:$G$238,U2752))</f>
        <v/>
      </c>
      <c r="W2752" s="11" t="str">
        <f>IF(INDEX(Manual_Review!$H$6:$H$238,U2752)="","",INDEX(Manual_Review!$H$6:$H$238,U2752))</f>
        <v/>
      </c>
      <c r="X2752" s="5" t="str">
        <f>IF(INDEX(Manual_Review!$I$6:$I$238,U2752)="","",INDEX(Manual_Review!$I$6:$I$238,U2752))</f>
        <v/>
      </c>
      <c r="Y2752" s="5" t="s">
        <v>2859</v>
      </c>
    </row>
    <row r="2753" spans="1:25" ht="25.5">
      <c r="A2753" s="5" t="s">
        <v>8462</v>
      </c>
      <c r="B2753" s="5" t="s">
        <v>1913</v>
      </c>
      <c r="C2753" s="5" t="s">
        <v>1914</v>
      </c>
      <c r="D2753" s="5" t="s">
        <v>118</v>
      </c>
      <c r="E2753" s="5" t="s">
        <v>2792</v>
      </c>
      <c r="F2753" s="5" t="s">
        <v>2762</v>
      </c>
      <c r="G2753" s="5">
        <v>1</v>
      </c>
      <c r="H2753" s="5" t="s">
        <v>2864</v>
      </c>
      <c r="I2753" s="5" t="str">
        <f>IF(INDEX(Manual_Review!$V$6:$V$238,U2753)="","",INDEX(Manual_Review!$V$6:$V$238,U2753))</f>
        <v/>
      </c>
      <c r="J2753" s="5" t="str">
        <f t="shared" si="84"/>
        <v>AI provisional</v>
      </c>
      <c r="K2753" s="5" t="str">
        <f t="shared" si="85"/>
        <v>U</v>
      </c>
      <c r="L2753" s="5" t="s">
        <v>1920</v>
      </c>
      <c r="M2753" s="5" t="s">
        <v>8463</v>
      </c>
      <c r="N2753" s="5" t="s">
        <v>8442</v>
      </c>
      <c r="O2753" s="5" t="s">
        <v>2891</v>
      </c>
      <c r="P2753" s="5" t="s">
        <v>2858</v>
      </c>
      <c r="Q2753" s="11">
        <v>46306.5</v>
      </c>
      <c r="R2753" s="6"/>
      <c r="S2753" s="6"/>
      <c r="T2753" s="6"/>
      <c r="U2753" s="5">
        <f>MATCH(B2753,Manual_Review!$A$6:$A$238,0)</f>
        <v>172</v>
      </c>
      <c r="V2753" s="5" t="str">
        <f>IF(INDEX(Manual_Review!$G$6:$G$238,U2753)="","",INDEX(Manual_Review!$G$6:$G$238,U2753))</f>
        <v/>
      </c>
      <c r="W2753" s="11" t="str">
        <f>IF(INDEX(Manual_Review!$H$6:$H$238,U2753)="","",INDEX(Manual_Review!$H$6:$H$238,U2753))</f>
        <v/>
      </c>
      <c r="X2753" s="5" t="str">
        <f>IF(INDEX(Manual_Review!$I$6:$I$238,U2753)="","",INDEX(Manual_Review!$I$6:$I$238,U2753))</f>
        <v/>
      </c>
      <c r="Y2753" s="5" t="s">
        <v>2859</v>
      </c>
    </row>
    <row r="2754" spans="1:25" ht="25.5">
      <c r="A2754" s="5" t="s">
        <v>8464</v>
      </c>
      <c r="B2754" s="5" t="s">
        <v>1913</v>
      </c>
      <c r="C2754" s="5" t="s">
        <v>1914</v>
      </c>
      <c r="D2754" s="5" t="s">
        <v>118</v>
      </c>
      <c r="E2754" s="5" t="s">
        <v>2793</v>
      </c>
      <c r="F2754" s="5" t="s">
        <v>2762</v>
      </c>
      <c r="G2754" s="5">
        <v>1</v>
      </c>
      <c r="H2754" s="5" t="s">
        <v>2854</v>
      </c>
      <c r="I2754" s="5" t="str">
        <f>IF(INDEX(Manual_Review!$W$6:$W$238,U2754)="","",INDEX(Manual_Review!$W$6:$W$238,U2754))</f>
        <v/>
      </c>
      <c r="J2754" s="5" t="str">
        <f t="shared" si="84"/>
        <v>AI provisional</v>
      </c>
      <c r="K2754" s="5" t="str">
        <f t="shared" si="85"/>
        <v>Y</v>
      </c>
      <c r="L2754" s="5" t="s">
        <v>1920</v>
      </c>
      <c r="M2754" s="5" t="s">
        <v>8463</v>
      </c>
      <c r="N2754" s="5" t="s">
        <v>8442</v>
      </c>
      <c r="O2754" s="5" t="s">
        <v>3077</v>
      </c>
      <c r="P2754" s="5" t="s">
        <v>2858</v>
      </c>
      <c r="Q2754" s="11">
        <v>46306.5</v>
      </c>
      <c r="R2754" s="6"/>
      <c r="S2754" s="6"/>
      <c r="T2754" s="6"/>
      <c r="U2754" s="5">
        <f>MATCH(B2754,Manual_Review!$A$6:$A$238,0)</f>
        <v>172</v>
      </c>
      <c r="V2754" s="5" t="str">
        <f>IF(INDEX(Manual_Review!$G$6:$G$238,U2754)="","",INDEX(Manual_Review!$G$6:$G$238,U2754))</f>
        <v/>
      </c>
      <c r="W2754" s="11" t="str">
        <f>IF(INDEX(Manual_Review!$H$6:$H$238,U2754)="","",INDEX(Manual_Review!$H$6:$H$238,U2754))</f>
        <v/>
      </c>
      <c r="X2754" s="5" t="str">
        <f>IF(INDEX(Manual_Review!$I$6:$I$238,U2754)="","",INDEX(Manual_Review!$I$6:$I$238,U2754))</f>
        <v/>
      </c>
      <c r="Y2754" s="5" t="s">
        <v>2859</v>
      </c>
    </row>
    <row r="2755" spans="1:25" ht="25.5">
      <c r="A2755" s="5" t="s">
        <v>8465</v>
      </c>
      <c r="B2755" s="5" t="s">
        <v>1913</v>
      </c>
      <c r="C2755" s="5" t="s">
        <v>1914</v>
      </c>
      <c r="D2755" s="5" t="s">
        <v>118</v>
      </c>
      <c r="E2755" s="5" t="s">
        <v>2794</v>
      </c>
      <c r="F2755" s="5" t="s">
        <v>2764</v>
      </c>
      <c r="G2755" s="5">
        <v>1</v>
      </c>
      <c r="H2755" s="5" t="s">
        <v>2864</v>
      </c>
      <c r="I2755" s="5" t="str">
        <f>IF(INDEX(Manual_Review!$X$6:$X$238,U2755)="","",INDEX(Manual_Review!$X$6:$X$238,U2755))</f>
        <v/>
      </c>
      <c r="J2755" s="5" t="str">
        <f t="shared" si="84"/>
        <v>AI provisional</v>
      </c>
      <c r="K2755" s="5" t="str">
        <f t="shared" si="85"/>
        <v>U</v>
      </c>
      <c r="L2755" s="5" t="s">
        <v>1920</v>
      </c>
      <c r="M2755" s="5" t="s">
        <v>8452</v>
      </c>
      <c r="N2755" s="5" t="s">
        <v>8442</v>
      </c>
      <c r="O2755" s="5" t="s">
        <v>2895</v>
      </c>
      <c r="P2755" s="5" t="s">
        <v>2858</v>
      </c>
      <c r="Q2755" s="11">
        <v>46306.5</v>
      </c>
      <c r="R2755" s="6"/>
      <c r="S2755" s="6"/>
      <c r="T2755" s="6"/>
      <c r="U2755" s="5">
        <f>MATCH(B2755,Manual_Review!$A$6:$A$238,0)</f>
        <v>172</v>
      </c>
      <c r="V2755" s="5" t="str">
        <f>IF(INDEX(Manual_Review!$G$6:$G$238,U2755)="","",INDEX(Manual_Review!$G$6:$G$238,U2755))</f>
        <v/>
      </c>
      <c r="W2755" s="11" t="str">
        <f>IF(INDEX(Manual_Review!$H$6:$H$238,U2755)="","",INDEX(Manual_Review!$H$6:$H$238,U2755))</f>
        <v/>
      </c>
      <c r="X2755" s="5" t="str">
        <f>IF(INDEX(Manual_Review!$I$6:$I$238,U2755)="","",INDEX(Manual_Review!$I$6:$I$238,U2755))</f>
        <v/>
      </c>
      <c r="Y2755" s="5" t="s">
        <v>2859</v>
      </c>
    </row>
    <row r="2756" spans="1:25" ht="25.5">
      <c r="A2756" s="5" t="s">
        <v>8466</v>
      </c>
      <c r="B2756" s="5" t="s">
        <v>1913</v>
      </c>
      <c r="C2756" s="5" t="s">
        <v>1914</v>
      </c>
      <c r="D2756" s="5" t="s">
        <v>118</v>
      </c>
      <c r="E2756" s="5" t="s">
        <v>2795</v>
      </c>
      <c r="F2756" s="5" t="s">
        <v>2764</v>
      </c>
      <c r="G2756" s="5">
        <v>1</v>
      </c>
      <c r="H2756" s="5" t="s">
        <v>2864</v>
      </c>
      <c r="I2756" s="5" t="str">
        <f>IF(INDEX(Manual_Review!$Y$6:$Y$238,U2756)="","",INDEX(Manual_Review!$Y$6:$Y$238,U2756))</f>
        <v/>
      </c>
      <c r="J2756" s="5" t="str">
        <f t="shared" si="84"/>
        <v>AI provisional</v>
      </c>
      <c r="K2756" s="5" t="str">
        <f t="shared" si="85"/>
        <v>U</v>
      </c>
      <c r="L2756" s="5" t="s">
        <v>1920</v>
      </c>
      <c r="M2756" s="5" t="s">
        <v>8452</v>
      </c>
      <c r="N2756" s="5" t="s">
        <v>8442</v>
      </c>
      <c r="O2756" s="5" t="s">
        <v>2897</v>
      </c>
      <c r="P2756" s="5" t="s">
        <v>2858</v>
      </c>
      <c r="Q2756" s="11">
        <v>46306.5</v>
      </c>
      <c r="R2756" s="6"/>
      <c r="S2756" s="6"/>
      <c r="T2756" s="6"/>
      <c r="U2756" s="5">
        <f>MATCH(B2756,Manual_Review!$A$6:$A$238,0)</f>
        <v>172</v>
      </c>
      <c r="V2756" s="5" t="str">
        <f>IF(INDEX(Manual_Review!$G$6:$G$238,U2756)="","",INDEX(Manual_Review!$G$6:$G$238,U2756))</f>
        <v/>
      </c>
      <c r="W2756" s="11" t="str">
        <f>IF(INDEX(Manual_Review!$H$6:$H$238,U2756)="","",INDEX(Manual_Review!$H$6:$H$238,U2756))</f>
        <v/>
      </c>
      <c r="X2756" s="5" t="str">
        <f>IF(INDEX(Manual_Review!$I$6:$I$238,U2756)="","",INDEX(Manual_Review!$I$6:$I$238,U2756))</f>
        <v/>
      </c>
      <c r="Y2756" s="5" t="s">
        <v>2859</v>
      </c>
    </row>
    <row r="2757" spans="1:25" ht="25.5">
      <c r="A2757" s="5" t="s">
        <v>8467</v>
      </c>
      <c r="B2757" s="5" t="s">
        <v>1913</v>
      </c>
      <c r="C2757" s="5" t="s">
        <v>1914</v>
      </c>
      <c r="D2757" s="5" t="s">
        <v>118</v>
      </c>
      <c r="E2757" s="5" t="s">
        <v>2796</v>
      </c>
      <c r="F2757" s="5" t="s">
        <v>2764</v>
      </c>
      <c r="G2757" s="5">
        <v>1</v>
      </c>
      <c r="H2757" s="5" t="s">
        <v>2864</v>
      </c>
      <c r="I2757" s="5" t="str">
        <f>IF(INDEX(Manual_Review!$Z$6:$Z$238,U2757)="","",INDEX(Manual_Review!$Z$6:$Z$238,U2757))</f>
        <v/>
      </c>
      <c r="J2757" s="5" t="str">
        <f t="shared" si="84"/>
        <v>AI provisional</v>
      </c>
      <c r="K2757" s="5" t="str">
        <f t="shared" si="85"/>
        <v>U</v>
      </c>
      <c r="L2757" s="5" t="s">
        <v>1920</v>
      </c>
      <c r="M2757" s="5" t="s">
        <v>8458</v>
      </c>
      <c r="N2757" s="5" t="s">
        <v>8442</v>
      </c>
      <c r="O2757" s="5" t="s">
        <v>2899</v>
      </c>
      <c r="P2757" s="5" t="s">
        <v>2858</v>
      </c>
      <c r="Q2757" s="11">
        <v>46306.5</v>
      </c>
      <c r="R2757" s="6"/>
      <c r="S2757" s="6"/>
      <c r="T2757" s="6"/>
      <c r="U2757" s="5">
        <f>MATCH(B2757,Manual_Review!$A$6:$A$238,0)</f>
        <v>172</v>
      </c>
      <c r="V2757" s="5" t="str">
        <f>IF(INDEX(Manual_Review!$G$6:$G$238,U2757)="","",INDEX(Manual_Review!$G$6:$G$238,U2757))</f>
        <v/>
      </c>
      <c r="W2757" s="11" t="str">
        <f>IF(INDEX(Manual_Review!$H$6:$H$238,U2757)="","",INDEX(Manual_Review!$H$6:$H$238,U2757))</f>
        <v/>
      </c>
      <c r="X2757" s="5" t="str">
        <f>IF(INDEX(Manual_Review!$I$6:$I$238,U2757)="","",INDEX(Manual_Review!$I$6:$I$238,U2757))</f>
        <v/>
      </c>
      <c r="Y2757" s="5" t="s">
        <v>2859</v>
      </c>
    </row>
    <row r="2758" spans="1:25" ht="38.25">
      <c r="A2758" s="5" t="s">
        <v>8468</v>
      </c>
      <c r="B2758" s="5" t="s">
        <v>1922</v>
      </c>
      <c r="C2758" s="5" t="s">
        <v>1923</v>
      </c>
      <c r="D2758" s="5" t="s">
        <v>118</v>
      </c>
      <c r="E2758" s="5" t="s">
        <v>2781</v>
      </c>
      <c r="F2758" s="5" t="s">
        <v>2754</v>
      </c>
      <c r="G2758" s="5">
        <v>1</v>
      </c>
      <c r="H2758" s="5" t="s">
        <v>2854</v>
      </c>
      <c r="I2758" s="5" t="str">
        <f>IF(INDEX(Manual_Review!$K$6:$K$238,U2758)="","",INDEX(Manual_Review!$K$6:$K$238,U2758))</f>
        <v/>
      </c>
      <c r="J2758" s="5" t="str">
        <f t="shared" ref="J2758:J2821" si="86">IF(G2758=0,"Not applicable",IF(I2758="","AI provisional",IF(AND(OR(I2758="Y",I2758="N",I2758="U",I2758="X"),V2758&lt;&gt;"",ISNUMBER(W2758),W2758&gt;0,X2758="Confirmed",R2758&lt;&gt;"",S2758&lt;&gt;"",T2758&lt;&gt;""),"Human valid","Evidence needed")))</f>
        <v>AI provisional</v>
      </c>
      <c r="K2758" s="5" t="str">
        <f t="shared" ref="K2758:K2821" si="87">IF(G2758=0,"N/A",IF(I2758="",H2758,IF(J2758="Human valid",I2758,"U")))</f>
        <v>Y</v>
      </c>
      <c r="L2758" s="5" t="s">
        <v>1928</v>
      </c>
      <c r="M2758" s="5" t="s">
        <v>8469</v>
      </c>
      <c r="N2758" s="5" t="s">
        <v>8470</v>
      </c>
      <c r="O2758" s="5" t="s">
        <v>2857</v>
      </c>
      <c r="P2758" s="5" t="s">
        <v>2858</v>
      </c>
      <c r="Q2758" s="11">
        <v>46306.5</v>
      </c>
      <c r="R2758" s="6"/>
      <c r="S2758" s="6"/>
      <c r="T2758" s="6"/>
      <c r="U2758" s="5">
        <f>MATCH(B2758,Manual_Review!$A$6:$A$238,0)</f>
        <v>173</v>
      </c>
      <c r="V2758" s="5" t="str">
        <f>IF(INDEX(Manual_Review!$G$6:$G$238,U2758)="","",INDEX(Manual_Review!$G$6:$G$238,U2758))</f>
        <v/>
      </c>
      <c r="W2758" s="11" t="str">
        <f>IF(INDEX(Manual_Review!$H$6:$H$238,U2758)="","",INDEX(Manual_Review!$H$6:$H$238,U2758))</f>
        <v/>
      </c>
      <c r="X2758" s="5" t="str">
        <f>IF(INDEX(Manual_Review!$I$6:$I$238,U2758)="","",INDEX(Manual_Review!$I$6:$I$238,U2758))</f>
        <v/>
      </c>
      <c r="Y2758" s="5" t="s">
        <v>2859</v>
      </c>
    </row>
    <row r="2759" spans="1:25" ht="38.25">
      <c r="A2759" s="5" t="s">
        <v>8471</v>
      </c>
      <c r="B2759" s="5" t="s">
        <v>1922</v>
      </c>
      <c r="C2759" s="5" t="s">
        <v>1923</v>
      </c>
      <c r="D2759" s="5" t="s">
        <v>118</v>
      </c>
      <c r="E2759" s="5" t="s">
        <v>2782</v>
      </c>
      <c r="F2759" s="5" t="s">
        <v>2754</v>
      </c>
      <c r="G2759" s="5">
        <v>1</v>
      </c>
      <c r="H2759" s="5" t="s">
        <v>2854</v>
      </c>
      <c r="I2759" s="5" t="str">
        <f>IF(INDEX(Manual_Review!$L$6:$L$238,U2759)="","",INDEX(Manual_Review!$L$6:$L$238,U2759))</f>
        <v/>
      </c>
      <c r="J2759" s="5" t="str">
        <f t="shared" si="86"/>
        <v>AI provisional</v>
      </c>
      <c r="K2759" s="5" t="str">
        <f t="shared" si="87"/>
        <v>Y</v>
      </c>
      <c r="L2759" s="5" t="s">
        <v>1928</v>
      </c>
      <c r="M2759" s="5" t="s">
        <v>8472</v>
      </c>
      <c r="N2759" s="5" t="s">
        <v>8470</v>
      </c>
      <c r="O2759" s="5" t="s">
        <v>2862</v>
      </c>
      <c r="P2759" s="5" t="s">
        <v>2858</v>
      </c>
      <c r="Q2759" s="11">
        <v>46306.5</v>
      </c>
      <c r="R2759" s="6"/>
      <c r="S2759" s="6"/>
      <c r="T2759" s="6"/>
      <c r="U2759" s="5">
        <f>MATCH(B2759,Manual_Review!$A$6:$A$238,0)</f>
        <v>173</v>
      </c>
      <c r="V2759" s="5" t="str">
        <f>IF(INDEX(Manual_Review!$G$6:$G$238,U2759)="","",INDEX(Manual_Review!$G$6:$G$238,U2759))</f>
        <v/>
      </c>
      <c r="W2759" s="11" t="str">
        <f>IF(INDEX(Manual_Review!$H$6:$H$238,U2759)="","",INDEX(Manual_Review!$H$6:$H$238,U2759))</f>
        <v/>
      </c>
      <c r="X2759" s="5" t="str">
        <f>IF(INDEX(Manual_Review!$I$6:$I$238,U2759)="","",INDEX(Manual_Review!$I$6:$I$238,U2759))</f>
        <v/>
      </c>
      <c r="Y2759" s="5" t="s">
        <v>2859</v>
      </c>
    </row>
    <row r="2760" spans="1:25" ht="38.25">
      <c r="A2760" s="5" t="s">
        <v>8473</v>
      </c>
      <c r="B2760" s="5" t="s">
        <v>1922</v>
      </c>
      <c r="C2760" s="5" t="s">
        <v>1923</v>
      </c>
      <c r="D2760" s="5" t="s">
        <v>118</v>
      </c>
      <c r="E2760" s="5" t="s">
        <v>2783</v>
      </c>
      <c r="F2760" s="5" t="s">
        <v>2754</v>
      </c>
      <c r="G2760" s="5">
        <v>1</v>
      </c>
      <c r="H2760" s="5" t="s">
        <v>2854</v>
      </c>
      <c r="I2760" s="5" t="str">
        <f>IF(INDEX(Manual_Review!$M$6:$M$238,U2760)="","",INDEX(Manual_Review!$M$6:$M$238,U2760))</f>
        <v/>
      </c>
      <c r="J2760" s="5" t="str">
        <f t="shared" si="86"/>
        <v>AI provisional</v>
      </c>
      <c r="K2760" s="5" t="str">
        <f t="shared" si="87"/>
        <v>Y</v>
      </c>
      <c r="L2760" s="5" t="s">
        <v>1928</v>
      </c>
      <c r="M2760" s="5" t="s">
        <v>8474</v>
      </c>
      <c r="N2760" s="5" t="s">
        <v>8470</v>
      </c>
      <c r="O2760" s="5" t="s">
        <v>3133</v>
      </c>
      <c r="P2760" s="5" t="s">
        <v>2858</v>
      </c>
      <c r="Q2760" s="11">
        <v>46306.5</v>
      </c>
      <c r="R2760" s="6"/>
      <c r="S2760" s="6"/>
      <c r="T2760" s="6"/>
      <c r="U2760" s="5">
        <f>MATCH(B2760,Manual_Review!$A$6:$A$238,0)</f>
        <v>173</v>
      </c>
      <c r="V2760" s="5" t="str">
        <f>IF(INDEX(Manual_Review!$G$6:$G$238,U2760)="","",INDEX(Manual_Review!$G$6:$G$238,U2760))</f>
        <v/>
      </c>
      <c r="W2760" s="11" t="str">
        <f>IF(INDEX(Manual_Review!$H$6:$H$238,U2760)="","",INDEX(Manual_Review!$H$6:$H$238,U2760))</f>
        <v/>
      </c>
      <c r="X2760" s="5" t="str">
        <f>IF(INDEX(Manual_Review!$I$6:$I$238,U2760)="","",INDEX(Manual_Review!$I$6:$I$238,U2760))</f>
        <v/>
      </c>
      <c r="Y2760" s="5" t="s">
        <v>2859</v>
      </c>
    </row>
    <row r="2761" spans="1:25" ht="38.25">
      <c r="A2761" s="5" t="s">
        <v>8475</v>
      </c>
      <c r="B2761" s="5" t="s">
        <v>1922</v>
      </c>
      <c r="C2761" s="5" t="s">
        <v>1923</v>
      </c>
      <c r="D2761" s="5" t="s">
        <v>118</v>
      </c>
      <c r="E2761" s="5" t="s">
        <v>2784</v>
      </c>
      <c r="F2761" s="5" t="s">
        <v>2756</v>
      </c>
      <c r="G2761" s="5">
        <v>1</v>
      </c>
      <c r="H2761" s="5" t="s">
        <v>2854</v>
      </c>
      <c r="I2761" s="5" t="str">
        <f>IF(INDEX(Manual_Review!$N$6:$N$238,U2761)="","",INDEX(Manual_Review!$N$6:$N$238,U2761))</f>
        <v/>
      </c>
      <c r="J2761" s="5" t="str">
        <f t="shared" si="86"/>
        <v>AI provisional</v>
      </c>
      <c r="K2761" s="5" t="str">
        <f t="shared" si="87"/>
        <v>Y</v>
      </c>
      <c r="L2761" s="5" t="s">
        <v>1928</v>
      </c>
      <c r="M2761" s="5" t="s">
        <v>8476</v>
      </c>
      <c r="N2761" s="5" t="s">
        <v>8470</v>
      </c>
      <c r="O2761" s="5" t="s">
        <v>2963</v>
      </c>
      <c r="P2761" s="5" t="s">
        <v>2858</v>
      </c>
      <c r="Q2761" s="11">
        <v>46306.5</v>
      </c>
      <c r="R2761" s="6"/>
      <c r="S2761" s="6"/>
      <c r="T2761" s="6"/>
      <c r="U2761" s="5">
        <f>MATCH(B2761,Manual_Review!$A$6:$A$238,0)</f>
        <v>173</v>
      </c>
      <c r="V2761" s="5" t="str">
        <f>IF(INDEX(Manual_Review!$G$6:$G$238,U2761)="","",INDEX(Manual_Review!$G$6:$G$238,U2761))</f>
        <v/>
      </c>
      <c r="W2761" s="11" t="str">
        <f>IF(INDEX(Manual_Review!$H$6:$H$238,U2761)="","",INDEX(Manual_Review!$H$6:$H$238,U2761))</f>
        <v/>
      </c>
      <c r="X2761" s="5" t="str">
        <f>IF(INDEX(Manual_Review!$I$6:$I$238,U2761)="","",INDEX(Manual_Review!$I$6:$I$238,U2761))</f>
        <v/>
      </c>
      <c r="Y2761" s="5" t="s">
        <v>2859</v>
      </c>
    </row>
    <row r="2762" spans="1:25" ht="38.25">
      <c r="A2762" s="5" t="s">
        <v>8477</v>
      </c>
      <c r="B2762" s="5" t="s">
        <v>1922</v>
      </c>
      <c r="C2762" s="5" t="s">
        <v>1923</v>
      </c>
      <c r="D2762" s="5" t="s">
        <v>118</v>
      </c>
      <c r="E2762" s="5" t="s">
        <v>2785</v>
      </c>
      <c r="F2762" s="5" t="s">
        <v>2756</v>
      </c>
      <c r="G2762" s="5">
        <v>1</v>
      </c>
      <c r="H2762" s="5" t="s">
        <v>2854</v>
      </c>
      <c r="I2762" s="5" t="str">
        <f>IF(INDEX(Manual_Review!$O$6:$O$238,U2762)="","",INDEX(Manual_Review!$O$6:$O$238,U2762))</f>
        <v/>
      </c>
      <c r="J2762" s="5" t="str">
        <f t="shared" si="86"/>
        <v>AI provisional</v>
      </c>
      <c r="K2762" s="5" t="str">
        <f t="shared" si="87"/>
        <v>Y</v>
      </c>
      <c r="L2762" s="5" t="s">
        <v>1928</v>
      </c>
      <c r="M2762" s="5" t="s">
        <v>8478</v>
      </c>
      <c r="N2762" s="5" t="s">
        <v>8470</v>
      </c>
      <c r="O2762" s="5" t="s">
        <v>3138</v>
      </c>
      <c r="P2762" s="5" t="s">
        <v>2858</v>
      </c>
      <c r="Q2762" s="11">
        <v>46306.5</v>
      </c>
      <c r="R2762" s="6"/>
      <c r="S2762" s="6"/>
      <c r="T2762" s="6"/>
      <c r="U2762" s="5">
        <f>MATCH(B2762,Manual_Review!$A$6:$A$238,0)</f>
        <v>173</v>
      </c>
      <c r="V2762" s="5" t="str">
        <f>IF(INDEX(Manual_Review!$G$6:$G$238,U2762)="","",INDEX(Manual_Review!$G$6:$G$238,U2762))</f>
        <v/>
      </c>
      <c r="W2762" s="11" t="str">
        <f>IF(INDEX(Manual_Review!$H$6:$H$238,U2762)="","",INDEX(Manual_Review!$H$6:$H$238,U2762))</f>
        <v/>
      </c>
      <c r="X2762" s="5" t="str">
        <f>IF(INDEX(Manual_Review!$I$6:$I$238,U2762)="","",INDEX(Manual_Review!$I$6:$I$238,U2762))</f>
        <v/>
      </c>
      <c r="Y2762" s="5" t="s">
        <v>2859</v>
      </c>
    </row>
    <row r="2763" spans="1:25" ht="38.25">
      <c r="A2763" s="5" t="s">
        <v>8479</v>
      </c>
      <c r="B2763" s="5" t="s">
        <v>1922</v>
      </c>
      <c r="C2763" s="5" t="s">
        <v>1923</v>
      </c>
      <c r="D2763" s="5" t="s">
        <v>118</v>
      </c>
      <c r="E2763" s="5" t="s">
        <v>2786</v>
      </c>
      <c r="F2763" s="5" t="s">
        <v>2756</v>
      </c>
      <c r="G2763" s="5">
        <v>1</v>
      </c>
      <c r="H2763" s="5" t="s">
        <v>2864</v>
      </c>
      <c r="I2763" s="5" t="str">
        <f>IF(INDEX(Manual_Review!$P$6:$P$238,U2763)="","",INDEX(Manual_Review!$P$6:$P$238,U2763))</f>
        <v/>
      </c>
      <c r="J2763" s="5" t="str">
        <f t="shared" si="86"/>
        <v>AI provisional</v>
      </c>
      <c r="K2763" s="5" t="str">
        <f t="shared" si="87"/>
        <v>U</v>
      </c>
      <c r="L2763" s="5" t="s">
        <v>1928</v>
      </c>
      <c r="M2763" s="5" t="s">
        <v>8474</v>
      </c>
      <c r="N2763" s="5" t="s">
        <v>8470</v>
      </c>
      <c r="O2763" s="5" t="s">
        <v>2874</v>
      </c>
      <c r="P2763" s="5" t="s">
        <v>2858</v>
      </c>
      <c r="Q2763" s="11">
        <v>46306.5</v>
      </c>
      <c r="R2763" s="6"/>
      <c r="S2763" s="6"/>
      <c r="T2763" s="6"/>
      <c r="U2763" s="5">
        <f>MATCH(B2763,Manual_Review!$A$6:$A$238,0)</f>
        <v>173</v>
      </c>
      <c r="V2763" s="5" t="str">
        <f>IF(INDEX(Manual_Review!$G$6:$G$238,U2763)="","",INDEX(Manual_Review!$G$6:$G$238,U2763))</f>
        <v/>
      </c>
      <c r="W2763" s="11" t="str">
        <f>IF(INDEX(Manual_Review!$H$6:$H$238,U2763)="","",INDEX(Manual_Review!$H$6:$H$238,U2763))</f>
        <v/>
      </c>
      <c r="X2763" s="5" t="str">
        <f>IF(INDEX(Manual_Review!$I$6:$I$238,U2763)="","",INDEX(Manual_Review!$I$6:$I$238,U2763))</f>
        <v/>
      </c>
      <c r="Y2763" s="5" t="s">
        <v>2859</v>
      </c>
    </row>
    <row r="2764" spans="1:25" ht="38.25">
      <c r="A2764" s="5" t="s">
        <v>8480</v>
      </c>
      <c r="B2764" s="5" t="s">
        <v>1922</v>
      </c>
      <c r="C2764" s="5" t="s">
        <v>1923</v>
      </c>
      <c r="D2764" s="5" t="s">
        <v>118</v>
      </c>
      <c r="E2764" s="5" t="s">
        <v>2787</v>
      </c>
      <c r="F2764" s="5" t="s">
        <v>2758</v>
      </c>
      <c r="G2764" s="5">
        <v>1</v>
      </c>
      <c r="H2764" s="5" t="s">
        <v>2864</v>
      </c>
      <c r="I2764" s="5" t="str">
        <f>IF(INDEX(Manual_Review!$Q$6:$Q$238,U2764)="","",INDEX(Manual_Review!$Q$6:$Q$238,U2764))</f>
        <v/>
      </c>
      <c r="J2764" s="5" t="str">
        <f t="shared" si="86"/>
        <v>AI provisional</v>
      </c>
      <c r="K2764" s="5" t="str">
        <f t="shared" si="87"/>
        <v>U</v>
      </c>
      <c r="L2764" s="5" t="s">
        <v>1928</v>
      </c>
      <c r="M2764" s="5" t="s">
        <v>8481</v>
      </c>
      <c r="N2764" s="5" t="s">
        <v>8470</v>
      </c>
      <c r="O2764" s="5" t="s">
        <v>2877</v>
      </c>
      <c r="P2764" s="5" t="s">
        <v>2858</v>
      </c>
      <c r="Q2764" s="11">
        <v>46306.5</v>
      </c>
      <c r="R2764" s="6"/>
      <c r="S2764" s="6"/>
      <c r="T2764" s="6"/>
      <c r="U2764" s="5">
        <f>MATCH(B2764,Manual_Review!$A$6:$A$238,0)</f>
        <v>173</v>
      </c>
      <c r="V2764" s="5" t="str">
        <f>IF(INDEX(Manual_Review!$G$6:$G$238,U2764)="","",INDEX(Manual_Review!$G$6:$G$238,U2764))</f>
        <v/>
      </c>
      <c r="W2764" s="11" t="str">
        <f>IF(INDEX(Manual_Review!$H$6:$H$238,U2764)="","",INDEX(Manual_Review!$H$6:$H$238,U2764))</f>
        <v/>
      </c>
      <c r="X2764" s="5" t="str">
        <f>IF(INDEX(Manual_Review!$I$6:$I$238,U2764)="","",INDEX(Manual_Review!$I$6:$I$238,U2764))</f>
        <v/>
      </c>
      <c r="Y2764" s="5" t="s">
        <v>2859</v>
      </c>
    </row>
    <row r="2765" spans="1:25" ht="38.25">
      <c r="A2765" s="5" t="s">
        <v>8482</v>
      </c>
      <c r="B2765" s="5" t="s">
        <v>1922</v>
      </c>
      <c r="C2765" s="5" t="s">
        <v>1923</v>
      </c>
      <c r="D2765" s="5" t="s">
        <v>118</v>
      </c>
      <c r="E2765" s="5" t="s">
        <v>2788</v>
      </c>
      <c r="F2765" s="5" t="s">
        <v>2758</v>
      </c>
      <c r="G2765" s="5">
        <v>1</v>
      </c>
      <c r="H2765" s="5" t="s">
        <v>2854</v>
      </c>
      <c r="I2765" s="5" t="str">
        <f>IF(INDEX(Manual_Review!$R$6:$R$238,U2765)="","",INDEX(Manual_Review!$R$6:$R$238,U2765))</f>
        <v/>
      </c>
      <c r="J2765" s="5" t="str">
        <f t="shared" si="86"/>
        <v>AI provisional</v>
      </c>
      <c r="K2765" s="5" t="str">
        <f t="shared" si="87"/>
        <v>Y</v>
      </c>
      <c r="L2765" s="5" t="s">
        <v>1928</v>
      </c>
      <c r="M2765" s="5" t="s">
        <v>8483</v>
      </c>
      <c r="N2765" s="5" t="s">
        <v>8470</v>
      </c>
      <c r="O2765" s="5" t="s">
        <v>3067</v>
      </c>
      <c r="P2765" s="5" t="s">
        <v>2858</v>
      </c>
      <c r="Q2765" s="11">
        <v>46306.5</v>
      </c>
      <c r="R2765" s="6"/>
      <c r="S2765" s="6"/>
      <c r="T2765" s="6"/>
      <c r="U2765" s="5">
        <f>MATCH(B2765,Manual_Review!$A$6:$A$238,0)</f>
        <v>173</v>
      </c>
      <c r="V2765" s="5" t="str">
        <f>IF(INDEX(Manual_Review!$G$6:$G$238,U2765)="","",INDEX(Manual_Review!$G$6:$G$238,U2765))</f>
        <v/>
      </c>
      <c r="W2765" s="11" t="str">
        <f>IF(INDEX(Manual_Review!$H$6:$H$238,U2765)="","",INDEX(Manual_Review!$H$6:$H$238,U2765))</f>
        <v/>
      </c>
      <c r="X2765" s="5" t="str">
        <f>IF(INDEX(Manual_Review!$I$6:$I$238,U2765)="","",INDEX(Manual_Review!$I$6:$I$238,U2765))</f>
        <v/>
      </c>
      <c r="Y2765" s="5" t="s">
        <v>2859</v>
      </c>
    </row>
    <row r="2766" spans="1:25" ht="38.25">
      <c r="A2766" s="5" t="s">
        <v>8484</v>
      </c>
      <c r="B2766" s="5" t="s">
        <v>1922</v>
      </c>
      <c r="C2766" s="5" t="s">
        <v>1923</v>
      </c>
      <c r="D2766" s="5" t="s">
        <v>118</v>
      </c>
      <c r="E2766" s="5" t="s">
        <v>2789</v>
      </c>
      <c r="F2766" s="5" t="s">
        <v>2758</v>
      </c>
      <c r="G2766" s="5">
        <v>1</v>
      </c>
      <c r="H2766" s="5" t="s">
        <v>2864</v>
      </c>
      <c r="I2766" s="5" t="str">
        <f>IF(INDEX(Manual_Review!$S$6:$S$238,U2766)="","",INDEX(Manual_Review!$S$6:$S$238,U2766))</f>
        <v/>
      </c>
      <c r="J2766" s="5" t="str">
        <f t="shared" si="86"/>
        <v>AI provisional</v>
      </c>
      <c r="K2766" s="5" t="str">
        <f t="shared" si="87"/>
        <v>U</v>
      </c>
      <c r="L2766" s="5" t="s">
        <v>1928</v>
      </c>
      <c r="M2766" s="5" t="s">
        <v>8485</v>
      </c>
      <c r="N2766" s="5" t="s">
        <v>8470</v>
      </c>
      <c r="O2766" s="5" t="s">
        <v>2883</v>
      </c>
      <c r="P2766" s="5" t="s">
        <v>2858</v>
      </c>
      <c r="Q2766" s="11">
        <v>46306.5</v>
      </c>
      <c r="R2766" s="6"/>
      <c r="S2766" s="6"/>
      <c r="T2766" s="6"/>
      <c r="U2766" s="5">
        <f>MATCH(B2766,Manual_Review!$A$6:$A$238,0)</f>
        <v>173</v>
      </c>
      <c r="V2766" s="5" t="str">
        <f>IF(INDEX(Manual_Review!$G$6:$G$238,U2766)="","",INDEX(Manual_Review!$G$6:$G$238,U2766))</f>
        <v/>
      </c>
      <c r="W2766" s="11" t="str">
        <f>IF(INDEX(Manual_Review!$H$6:$H$238,U2766)="","",INDEX(Manual_Review!$H$6:$H$238,U2766))</f>
        <v/>
      </c>
      <c r="X2766" s="5" t="str">
        <f>IF(INDEX(Manual_Review!$I$6:$I$238,U2766)="","",INDEX(Manual_Review!$I$6:$I$238,U2766))</f>
        <v/>
      </c>
      <c r="Y2766" s="5" t="s">
        <v>2859</v>
      </c>
    </row>
    <row r="2767" spans="1:25" ht="38.25">
      <c r="A2767" s="5" t="s">
        <v>8486</v>
      </c>
      <c r="B2767" s="5" t="s">
        <v>1922</v>
      </c>
      <c r="C2767" s="5" t="s">
        <v>1923</v>
      </c>
      <c r="D2767" s="5" t="s">
        <v>118</v>
      </c>
      <c r="E2767" s="5" t="s">
        <v>2790</v>
      </c>
      <c r="F2767" s="5" t="s">
        <v>2760</v>
      </c>
      <c r="G2767" s="5">
        <v>1</v>
      </c>
      <c r="H2767" s="5" t="s">
        <v>2864</v>
      </c>
      <c r="I2767" s="5" t="str">
        <f>IF(INDEX(Manual_Review!$T$6:$T$238,U2767)="","",INDEX(Manual_Review!$T$6:$T$238,U2767))</f>
        <v/>
      </c>
      <c r="J2767" s="5" t="str">
        <f t="shared" si="86"/>
        <v>AI provisional</v>
      </c>
      <c r="K2767" s="5" t="str">
        <f t="shared" si="87"/>
        <v>U</v>
      </c>
      <c r="L2767" s="5" t="s">
        <v>1928</v>
      </c>
      <c r="M2767" s="5" t="s">
        <v>8474</v>
      </c>
      <c r="N2767" s="5" t="s">
        <v>8470</v>
      </c>
      <c r="O2767" s="5" t="s">
        <v>2885</v>
      </c>
      <c r="P2767" s="5" t="s">
        <v>2858</v>
      </c>
      <c r="Q2767" s="11">
        <v>46306.5</v>
      </c>
      <c r="R2767" s="6"/>
      <c r="S2767" s="6"/>
      <c r="T2767" s="6"/>
      <c r="U2767" s="5">
        <f>MATCH(B2767,Manual_Review!$A$6:$A$238,0)</f>
        <v>173</v>
      </c>
      <c r="V2767" s="5" t="str">
        <f>IF(INDEX(Manual_Review!$G$6:$G$238,U2767)="","",INDEX(Manual_Review!$G$6:$G$238,U2767))</f>
        <v/>
      </c>
      <c r="W2767" s="11" t="str">
        <f>IF(INDEX(Manual_Review!$H$6:$H$238,U2767)="","",INDEX(Manual_Review!$H$6:$H$238,U2767))</f>
        <v/>
      </c>
      <c r="X2767" s="5" t="str">
        <f>IF(INDEX(Manual_Review!$I$6:$I$238,U2767)="","",INDEX(Manual_Review!$I$6:$I$238,U2767))</f>
        <v/>
      </c>
      <c r="Y2767" s="5" t="s">
        <v>2859</v>
      </c>
    </row>
    <row r="2768" spans="1:25" ht="38.25">
      <c r="A2768" s="5" t="s">
        <v>8487</v>
      </c>
      <c r="B2768" s="5" t="s">
        <v>1922</v>
      </c>
      <c r="C2768" s="5" t="s">
        <v>1923</v>
      </c>
      <c r="D2768" s="5" t="s">
        <v>118</v>
      </c>
      <c r="E2768" s="5" t="s">
        <v>2791</v>
      </c>
      <c r="F2768" s="5" t="s">
        <v>2760</v>
      </c>
      <c r="G2768" s="5">
        <v>1</v>
      </c>
      <c r="H2768" s="5" t="s">
        <v>2864</v>
      </c>
      <c r="I2768" s="5" t="str">
        <f>IF(INDEX(Manual_Review!$U$6:$U$238,U2768)="","",INDEX(Manual_Review!$U$6:$U$238,U2768))</f>
        <v/>
      </c>
      <c r="J2768" s="5" t="str">
        <f t="shared" si="86"/>
        <v>AI provisional</v>
      </c>
      <c r="K2768" s="5" t="str">
        <f t="shared" si="87"/>
        <v>U</v>
      </c>
      <c r="L2768" s="5" t="s">
        <v>1928</v>
      </c>
      <c r="M2768" s="5" t="s">
        <v>8488</v>
      </c>
      <c r="N2768" s="5" t="s">
        <v>8470</v>
      </c>
      <c r="O2768" s="5" t="s">
        <v>2888</v>
      </c>
      <c r="P2768" s="5" t="s">
        <v>2858</v>
      </c>
      <c r="Q2768" s="11">
        <v>46306.5</v>
      </c>
      <c r="R2768" s="6"/>
      <c r="S2768" s="6"/>
      <c r="T2768" s="6"/>
      <c r="U2768" s="5">
        <f>MATCH(B2768,Manual_Review!$A$6:$A$238,0)</f>
        <v>173</v>
      </c>
      <c r="V2768" s="5" t="str">
        <f>IF(INDEX(Manual_Review!$G$6:$G$238,U2768)="","",INDEX(Manual_Review!$G$6:$G$238,U2768))</f>
        <v/>
      </c>
      <c r="W2768" s="11" t="str">
        <f>IF(INDEX(Manual_Review!$H$6:$H$238,U2768)="","",INDEX(Manual_Review!$H$6:$H$238,U2768))</f>
        <v/>
      </c>
      <c r="X2768" s="5" t="str">
        <f>IF(INDEX(Manual_Review!$I$6:$I$238,U2768)="","",INDEX(Manual_Review!$I$6:$I$238,U2768))</f>
        <v/>
      </c>
      <c r="Y2768" s="5" t="s">
        <v>2859</v>
      </c>
    </row>
    <row r="2769" spans="1:25" ht="38.25">
      <c r="A2769" s="5" t="s">
        <v>8489</v>
      </c>
      <c r="B2769" s="5" t="s">
        <v>1922</v>
      </c>
      <c r="C2769" s="5" t="s">
        <v>1923</v>
      </c>
      <c r="D2769" s="5" t="s">
        <v>118</v>
      </c>
      <c r="E2769" s="5" t="s">
        <v>2792</v>
      </c>
      <c r="F2769" s="5" t="s">
        <v>2762</v>
      </c>
      <c r="G2769" s="5">
        <v>1</v>
      </c>
      <c r="H2769" s="5" t="s">
        <v>2854</v>
      </c>
      <c r="I2769" s="5" t="str">
        <f>IF(INDEX(Manual_Review!$V$6:$V$238,U2769)="","",INDEX(Manual_Review!$V$6:$V$238,U2769))</f>
        <v/>
      </c>
      <c r="J2769" s="5" t="str">
        <f t="shared" si="86"/>
        <v>AI provisional</v>
      </c>
      <c r="K2769" s="5" t="str">
        <f t="shared" si="87"/>
        <v>Y</v>
      </c>
      <c r="L2769" s="5" t="s">
        <v>1928</v>
      </c>
      <c r="M2769" s="5" t="s">
        <v>8490</v>
      </c>
      <c r="N2769" s="5" t="s">
        <v>8470</v>
      </c>
      <c r="O2769" s="5" t="s">
        <v>3152</v>
      </c>
      <c r="P2769" s="5" t="s">
        <v>2858</v>
      </c>
      <c r="Q2769" s="11">
        <v>46306.5</v>
      </c>
      <c r="R2769" s="6"/>
      <c r="S2769" s="6"/>
      <c r="T2769" s="6"/>
      <c r="U2769" s="5">
        <f>MATCH(B2769,Manual_Review!$A$6:$A$238,0)</f>
        <v>173</v>
      </c>
      <c r="V2769" s="5" t="str">
        <f>IF(INDEX(Manual_Review!$G$6:$G$238,U2769)="","",INDEX(Manual_Review!$G$6:$G$238,U2769))</f>
        <v/>
      </c>
      <c r="W2769" s="11" t="str">
        <f>IF(INDEX(Manual_Review!$H$6:$H$238,U2769)="","",INDEX(Manual_Review!$H$6:$H$238,U2769))</f>
        <v/>
      </c>
      <c r="X2769" s="5" t="str">
        <f>IF(INDEX(Manual_Review!$I$6:$I$238,U2769)="","",INDEX(Manual_Review!$I$6:$I$238,U2769))</f>
        <v/>
      </c>
      <c r="Y2769" s="5" t="s">
        <v>2859</v>
      </c>
    </row>
    <row r="2770" spans="1:25" ht="38.25">
      <c r="A2770" s="5" t="s">
        <v>8491</v>
      </c>
      <c r="B2770" s="5" t="s">
        <v>1922</v>
      </c>
      <c r="C2770" s="5" t="s">
        <v>1923</v>
      </c>
      <c r="D2770" s="5" t="s">
        <v>118</v>
      </c>
      <c r="E2770" s="5" t="s">
        <v>2793</v>
      </c>
      <c r="F2770" s="5" t="s">
        <v>2762</v>
      </c>
      <c r="G2770" s="5">
        <v>1</v>
      </c>
      <c r="H2770" s="5" t="s">
        <v>2854</v>
      </c>
      <c r="I2770" s="5" t="str">
        <f>IF(INDEX(Manual_Review!$W$6:$W$238,U2770)="","",INDEX(Manual_Review!$W$6:$W$238,U2770))</f>
        <v/>
      </c>
      <c r="J2770" s="5" t="str">
        <f t="shared" si="86"/>
        <v>AI provisional</v>
      </c>
      <c r="K2770" s="5" t="str">
        <f t="shared" si="87"/>
        <v>Y</v>
      </c>
      <c r="L2770" s="5" t="s">
        <v>1928</v>
      </c>
      <c r="M2770" s="5" t="s">
        <v>8492</v>
      </c>
      <c r="N2770" s="5" t="s">
        <v>8470</v>
      </c>
      <c r="O2770" s="5" t="s">
        <v>3077</v>
      </c>
      <c r="P2770" s="5" t="s">
        <v>2858</v>
      </c>
      <c r="Q2770" s="11">
        <v>46306.5</v>
      </c>
      <c r="R2770" s="6"/>
      <c r="S2770" s="6"/>
      <c r="T2770" s="6"/>
      <c r="U2770" s="5">
        <f>MATCH(B2770,Manual_Review!$A$6:$A$238,0)</f>
        <v>173</v>
      </c>
      <c r="V2770" s="5" t="str">
        <f>IF(INDEX(Manual_Review!$G$6:$G$238,U2770)="","",INDEX(Manual_Review!$G$6:$G$238,U2770))</f>
        <v/>
      </c>
      <c r="W2770" s="11" t="str">
        <f>IF(INDEX(Manual_Review!$H$6:$H$238,U2770)="","",INDEX(Manual_Review!$H$6:$H$238,U2770))</f>
        <v/>
      </c>
      <c r="X2770" s="5" t="str">
        <f>IF(INDEX(Manual_Review!$I$6:$I$238,U2770)="","",INDEX(Manual_Review!$I$6:$I$238,U2770))</f>
        <v/>
      </c>
      <c r="Y2770" s="5" t="s">
        <v>2859</v>
      </c>
    </row>
    <row r="2771" spans="1:25" ht="38.25">
      <c r="A2771" s="5" t="s">
        <v>8493</v>
      </c>
      <c r="B2771" s="5" t="s">
        <v>1922</v>
      </c>
      <c r="C2771" s="5" t="s">
        <v>1923</v>
      </c>
      <c r="D2771" s="5" t="s">
        <v>118</v>
      </c>
      <c r="E2771" s="5" t="s">
        <v>2794</v>
      </c>
      <c r="F2771" s="5" t="s">
        <v>2764</v>
      </c>
      <c r="G2771" s="5">
        <v>1</v>
      </c>
      <c r="H2771" s="5" t="s">
        <v>2854</v>
      </c>
      <c r="I2771" s="5" t="str">
        <f>IF(INDEX(Manual_Review!$X$6:$X$238,U2771)="","",INDEX(Manual_Review!$X$6:$X$238,U2771))</f>
        <v/>
      </c>
      <c r="J2771" s="5" t="str">
        <f t="shared" si="86"/>
        <v>AI provisional</v>
      </c>
      <c r="K2771" s="5" t="str">
        <f t="shared" si="87"/>
        <v>Y</v>
      </c>
      <c r="L2771" s="5" t="s">
        <v>1928</v>
      </c>
      <c r="M2771" s="5" t="s">
        <v>8494</v>
      </c>
      <c r="N2771" s="5" t="s">
        <v>8470</v>
      </c>
      <c r="O2771" s="5" t="s">
        <v>2984</v>
      </c>
      <c r="P2771" s="5" t="s">
        <v>2858</v>
      </c>
      <c r="Q2771" s="11">
        <v>46306.5</v>
      </c>
      <c r="R2771" s="6"/>
      <c r="S2771" s="6"/>
      <c r="T2771" s="6"/>
      <c r="U2771" s="5">
        <f>MATCH(B2771,Manual_Review!$A$6:$A$238,0)</f>
        <v>173</v>
      </c>
      <c r="V2771" s="5" t="str">
        <f>IF(INDEX(Manual_Review!$G$6:$G$238,U2771)="","",INDEX(Manual_Review!$G$6:$G$238,U2771))</f>
        <v/>
      </c>
      <c r="W2771" s="11" t="str">
        <f>IF(INDEX(Manual_Review!$H$6:$H$238,U2771)="","",INDEX(Manual_Review!$H$6:$H$238,U2771))</f>
        <v/>
      </c>
      <c r="X2771" s="5" t="str">
        <f>IF(INDEX(Manual_Review!$I$6:$I$238,U2771)="","",INDEX(Manual_Review!$I$6:$I$238,U2771))</f>
        <v/>
      </c>
      <c r="Y2771" s="5" t="s">
        <v>2859</v>
      </c>
    </row>
    <row r="2772" spans="1:25" ht="38.25">
      <c r="A2772" s="5" t="s">
        <v>8495</v>
      </c>
      <c r="B2772" s="5" t="s">
        <v>1922</v>
      </c>
      <c r="C2772" s="5" t="s">
        <v>1923</v>
      </c>
      <c r="D2772" s="5" t="s">
        <v>118</v>
      </c>
      <c r="E2772" s="5" t="s">
        <v>2795</v>
      </c>
      <c r="F2772" s="5" t="s">
        <v>2764</v>
      </c>
      <c r="G2772" s="5">
        <v>1</v>
      </c>
      <c r="H2772" s="5" t="s">
        <v>2864</v>
      </c>
      <c r="I2772" s="5" t="str">
        <f>IF(INDEX(Manual_Review!$Y$6:$Y$238,U2772)="","",INDEX(Manual_Review!$Y$6:$Y$238,U2772))</f>
        <v/>
      </c>
      <c r="J2772" s="5" t="str">
        <f t="shared" si="86"/>
        <v>AI provisional</v>
      </c>
      <c r="K2772" s="5" t="str">
        <f t="shared" si="87"/>
        <v>U</v>
      </c>
      <c r="L2772" s="5" t="s">
        <v>1928</v>
      </c>
      <c r="M2772" s="5" t="s">
        <v>8474</v>
      </c>
      <c r="N2772" s="5" t="s">
        <v>8470</v>
      </c>
      <c r="O2772" s="5" t="s">
        <v>2897</v>
      </c>
      <c r="P2772" s="5" t="s">
        <v>2858</v>
      </c>
      <c r="Q2772" s="11">
        <v>46306.5</v>
      </c>
      <c r="R2772" s="6"/>
      <c r="S2772" s="6"/>
      <c r="T2772" s="6"/>
      <c r="U2772" s="5">
        <f>MATCH(B2772,Manual_Review!$A$6:$A$238,0)</f>
        <v>173</v>
      </c>
      <c r="V2772" s="5" t="str">
        <f>IF(INDEX(Manual_Review!$G$6:$G$238,U2772)="","",INDEX(Manual_Review!$G$6:$G$238,U2772))</f>
        <v/>
      </c>
      <c r="W2772" s="11" t="str">
        <f>IF(INDEX(Manual_Review!$H$6:$H$238,U2772)="","",INDEX(Manual_Review!$H$6:$H$238,U2772))</f>
        <v/>
      </c>
      <c r="X2772" s="5" t="str">
        <f>IF(INDEX(Manual_Review!$I$6:$I$238,U2772)="","",INDEX(Manual_Review!$I$6:$I$238,U2772))</f>
        <v/>
      </c>
      <c r="Y2772" s="5" t="s">
        <v>2859</v>
      </c>
    </row>
    <row r="2773" spans="1:25" ht="38.25">
      <c r="A2773" s="5" t="s">
        <v>8496</v>
      </c>
      <c r="B2773" s="5" t="s">
        <v>1922</v>
      </c>
      <c r="C2773" s="5" t="s">
        <v>1923</v>
      </c>
      <c r="D2773" s="5" t="s">
        <v>118</v>
      </c>
      <c r="E2773" s="5" t="s">
        <v>2796</v>
      </c>
      <c r="F2773" s="5" t="s">
        <v>2764</v>
      </c>
      <c r="G2773" s="5">
        <v>1</v>
      </c>
      <c r="H2773" s="5" t="s">
        <v>2854</v>
      </c>
      <c r="I2773" s="5" t="str">
        <f>IF(INDEX(Manual_Review!$Z$6:$Z$238,U2773)="","",INDEX(Manual_Review!$Z$6:$Z$238,U2773))</f>
        <v/>
      </c>
      <c r="J2773" s="5" t="str">
        <f t="shared" si="86"/>
        <v>AI provisional</v>
      </c>
      <c r="K2773" s="5" t="str">
        <f t="shared" si="87"/>
        <v>Y</v>
      </c>
      <c r="L2773" s="5" t="s">
        <v>1928</v>
      </c>
      <c r="M2773" s="5" t="s">
        <v>8497</v>
      </c>
      <c r="N2773" s="5" t="s">
        <v>8470</v>
      </c>
      <c r="O2773" s="5" t="s">
        <v>3085</v>
      </c>
      <c r="P2773" s="5" t="s">
        <v>2858</v>
      </c>
      <c r="Q2773" s="11">
        <v>46306.5</v>
      </c>
      <c r="R2773" s="6"/>
      <c r="S2773" s="6"/>
      <c r="T2773" s="6"/>
      <c r="U2773" s="5">
        <f>MATCH(B2773,Manual_Review!$A$6:$A$238,0)</f>
        <v>173</v>
      </c>
      <c r="V2773" s="5" t="str">
        <f>IF(INDEX(Manual_Review!$G$6:$G$238,U2773)="","",INDEX(Manual_Review!$G$6:$G$238,U2773))</f>
        <v/>
      </c>
      <c r="W2773" s="11" t="str">
        <f>IF(INDEX(Manual_Review!$H$6:$H$238,U2773)="","",INDEX(Manual_Review!$H$6:$H$238,U2773))</f>
        <v/>
      </c>
      <c r="X2773" s="5" t="str">
        <f>IF(INDEX(Manual_Review!$I$6:$I$238,U2773)="","",INDEX(Manual_Review!$I$6:$I$238,U2773))</f>
        <v/>
      </c>
      <c r="Y2773" s="5" t="s">
        <v>2859</v>
      </c>
    </row>
    <row r="2774" spans="1:25" ht="38.25">
      <c r="A2774" s="5" t="s">
        <v>8498</v>
      </c>
      <c r="B2774" s="5" t="s">
        <v>1930</v>
      </c>
      <c r="C2774" s="5" t="s">
        <v>1931</v>
      </c>
      <c r="D2774" s="5" t="s">
        <v>118</v>
      </c>
      <c r="E2774" s="5" t="s">
        <v>2781</v>
      </c>
      <c r="F2774" s="5" t="s">
        <v>2754</v>
      </c>
      <c r="G2774" s="5">
        <v>1</v>
      </c>
      <c r="H2774" s="5" t="s">
        <v>2854</v>
      </c>
      <c r="I2774" s="5" t="str">
        <f>IF(INDEX(Manual_Review!$K$6:$K$238,U2774)="","",INDEX(Manual_Review!$K$6:$K$238,U2774))</f>
        <v/>
      </c>
      <c r="J2774" s="5" t="str">
        <f t="shared" si="86"/>
        <v>AI provisional</v>
      </c>
      <c r="K2774" s="5" t="str">
        <f t="shared" si="87"/>
        <v>Y</v>
      </c>
      <c r="L2774" s="5" t="s">
        <v>1939</v>
      </c>
      <c r="M2774" s="5" t="s">
        <v>8499</v>
      </c>
      <c r="N2774" s="5" t="s">
        <v>8500</v>
      </c>
      <c r="O2774" s="5" t="s">
        <v>2857</v>
      </c>
      <c r="P2774" s="5" t="s">
        <v>2858</v>
      </c>
      <c r="Q2774" s="11">
        <v>46306.5</v>
      </c>
      <c r="R2774" s="6"/>
      <c r="S2774" s="6"/>
      <c r="T2774" s="6"/>
      <c r="U2774" s="5">
        <f>MATCH(B2774,Manual_Review!$A$6:$A$238,0)</f>
        <v>174</v>
      </c>
      <c r="V2774" s="5" t="str">
        <f>IF(INDEX(Manual_Review!$G$6:$G$238,U2774)="","",INDEX(Manual_Review!$G$6:$G$238,U2774))</f>
        <v/>
      </c>
      <c r="W2774" s="11" t="str">
        <f>IF(INDEX(Manual_Review!$H$6:$H$238,U2774)="","",INDEX(Manual_Review!$H$6:$H$238,U2774))</f>
        <v/>
      </c>
      <c r="X2774" s="5" t="str">
        <f>IF(INDEX(Manual_Review!$I$6:$I$238,U2774)="","",INDEX(Manual_Review!$I$6:$I$238,U2774))</f>
        <v/>
      </c>
      <c r="Y2774" s="5" t="s">
        <v>2859</v>
      </c>
    </row>
    <row r="2775" spans="1:25" ht="38.25">
      <c r="A2775" s="5" t="s">
        <v>8501</v>
      </c>
      <c r="B2775" s="5" t="s">
        <v>1930</v>
      </c>
      <c r="C2775" s="5" t="s">
        <v>1931</v>
      </c>
      <c r="D2775" s="5" t="s">
        <v>118</v>
      </c>
      <c r="E2775" s="5" t="s">
        <v>2782</v>
      </c>
      <c r="F2775" s="5" t="s">
        <v>2754</v>
      </c>
      <c r="G2775" s="5">
        <v>1</v>
      </c>
      <c r="H2775" s="5" t="s">
        <v>2854</v>
      </c>
      <c r="I2775" s="5" t="str">
        <f>IF(INDEX(Manual_Review!$L$6:$L$238,U2775)="","",INDEX(Manual_Review!$L$6:$L$238,U2775))</f>
        <v/>
      </c>
      <c r="J2775" s="5" t="str">
        <f t="shared" si="86"/>
        <v>AI provisional</v>
      </c>
      <c r="K2775" s="5" t="str">
        <f t="shared" si="87"/>
        <v>Y</v>
      </c>
      <c r="L2775" s="5" t="s">
        <v>1939</v>
      </c>
      <c r="M2775" s="5" t="s">
        <v>8502</v>
      </c>
      <c r="N2775" s="5" t="s">
        <v>8500</v>
      </c>
      <c r="O2775" s="5" t="s">
        <v>2862</v>
      </c>
      <c r="P2775" s="5" t="s">
        <v>2858</v>
      </c>
      <c r="Q2775" s="11">
        <v>46306.5</v>
      </c>
      <c r="R2775" s="6"/>
      <c r="S2775" s="6"/>
      <c r="T2775" s="6"/>
      <c r="U2775" s="5">
        <f>MATCH(B2775,Manual_Review!$A$6:$A$238,0)</f>
        <v>174</v>
      </c>
      <c r="V2775" s="5" t="str">
        <f>IF(INDEX(Manual_Review!$G$6:$G$238,U2775)="","",INDEX(Manual_Review!$G$6:$G$238,U2775))</f>
        <v/>
      </c>
      <c r="W2775" s="11" t="str">
        <f>IF(INDEX(Manual_Review!$H$6:$H$238,U2775)="","",INDEX(Manual_Review!$H$6:$H$238,U2775))</f>
        <v/>
      </c>
      <c r="X2775" s="5" t="str">
        <f>IF(INDEX(Manual_Review!$I$6:$I$238,U2775)="","",INDEX(Manual_Review!$I$6:$I$238,U2775))</f>
        <v/>
      </c>
      <c r="Y2775" s="5" t="s">
        <v>2859</v>
      </c>
    </row>
    <row r="2776" spans="1:25" ht="38.25">
      <c r="A2776" s="5" t="s">
        <v>8503</v>
      </c>
      <c r="B2776" s="5" t="s">
        <v>1930</v>
      </c>
      <c r="C2776" s="5" t="s">
        <v>1931</v>
      </c>
      <c r="D2776" s="5" t="s">
        <v>118</v>
      </c>
      <c r="E2776" s="5" t="s">
        <v>2783</v>
      </c>
      <c r="F2776" s="5" t="s">
        <v>2754</v>
      </c>
      <c r="G2776" s="5">
        <v>1</v>
      </c>
      <c r="H2776" s="5" t="s">
        <v>2854</v>
      </c>
      <c r="I2776" s="5" t="str">
        <f>IF(INDEX(Manual_Review!$M$6:$M$238,U2776)="","",INDEX(Manual_Review!$M$6:$M$238,U2776))</f>
        <v/>
      </c>
      <c r="J2776" s="5" t="str">
        <f t="shared" si="86"/>
        <v>AI provisional</v>
      </c>
      <c r="K2776" s="5" t="str">
        <f t="shared" si="87"/>
        <v>Y</v>
      </c>
      <c r="L2776" s="5" t="s">
        <v>1939</v>
      </c>
      <c r="M2776" s="5" t="s">
        <v>8504</v>
      </c>
      <c r="N2776" s="5" t="s">
        <v>8500</v>
      </c>
      <c r="O2776" s="5" t="s">
        <v>3133</v>
      </c>
      <c r="P2776" s="5" t="s">
        <v>2858</v>
      </c>
      <c r="Q2776" s="11">
        <v>46306.5</v>
      </c>
      <c r="R2776" s="6"/>
      <c r="S2776" s="6"/>
      <c r="T2776" s="6"/>
      <c r="U2776" s="5">
        <f>MATCH(B2776,Manual_Review!$A$6:$A$238,0)</f>
        <v>174</v>
      </c>
      <c r="V2776" s="5" t="str">
        <f>IF(INDEX(Manual_Review!$G$6:$G$238,U2776)="","",INDEX(Manual_Review!$G$6:$G$238,U2776))</f>
        <v/>
      </c>
      <c r="W2776" s="11" t="str">
        <f>IF(INDEX(Manual_Review!$H$6:$H$238,U2776)="","",INDEX(Manual_Review!$H$6:$H$238,U2776))</f>
        <v/>
      </c>
      <c r="X2776" s="5" t="str">
        <f>IF(INDEX(Manual_Review!$I$6:$I$238,U2776)="","",INDEX(Manual_Review!$I$6:$I$238,U2776))</f>
        <v/>
      </c>
      <c r="Y2776" s="5" t="s">
        <v>2859</v>
      </c>
    </row>
    <row r="2777" spans="1:25" ht="38.25">
      <c r="A2777" s="5" t="s">
        <v>8505</v>
      </c>
      <c r="B2777" s="5" t="s">
        <v>1930</v>
      </c>
      <c r="C2777" s="5" t="s">
        <v>1931</v>
      </c>
      <c r="D2777" s="5" t="s">
        <v>118</v>
      </c>
      <c r="E2777" s="5" t="s">
        <v>2784</v>
      </c>
      <c r="F2777" s="5" t="s">
        <v>2756</v>
      </c>
      <c r="G2777" s="5">
        <v>1</v>
      </c>
      <c r="H2777" s="5" t="s">
        <v>2854</v>
      </c>
      <c r="I2777" s="5" t="str">
        <f>IF(INDEX(Manual_Review!$N$6:$N$238,U2777)="","",INDEX(Manual_Review!$N$6:$N$238,U2777))</f>
        <v/>
      </c>
      <c r="J2777" s="5" t="str">
        <f t="shared" si="86"/>
        <v>AI provisional</v>
      </c>
      <c r="K2777" s="5" t="str">
        <f t="shared" si="87"/>
        <v>Y</v>
      </c>
      <c r="L2777" s="5" t="s">
        <v>1939</v>
      </c>
      <c r="M2777" s="5" t="s">
        <v>8506</v>
      </c>
      <c r="N2777" s="5" t="s">
        <v>8500</v>
      </c>
      <c r="O2777" s="5" t="s">
        <v>2963</v>
      </c>
      <c r="P2777" s="5" t="s">
        <v>2858</v>
      </c>
      <c r="Q2777" s="11">
        <v>46306.5</v>
      </c>
      <c r="R2777" s="6"/>
      <c r="S2777" s="6"/>
      <c r="T2777" s="6"/>
      <c r="U2777" s="5">
        <f>MATCH(B2777,Manual_Review!$A$6:$A$238,0)</f>
        <v>174</v>
      </c>
      <c r="V2777" s="5" t="str">
        <f>IF(INDEX(Manual_Review!$G$6:$G$238,U2777)="","",INDEX(Manual_Review!$G$6:$G$238,U2777))</f>
        <v/>
      </c>
      <c r="W2777" s="11" t="str">
        <f>IF(INDEX(Manual_Review!$H$6:$H$238,U2777)="","",INDEX(Manual_Review!$H$6:$H$238,U2777))</f>
        <v/>
      </c>
      <c r="X2777" s="5" t="str">
        <f>IF(INDEX(Manual_Review!$I$6:$I$238,U2777)="","",INDEX(Manual_Review!$I$6:$I$238,U2777))</f>
        <v/>
      </c>
      <c r="Y2777" s="5" t="s">
        <v>2859</v>
      </c>
    </row>
    <row r="2778" spans="1:25" ht="38.25">
      <c r="A2778" s="5" t="s">
        <v>8507</v>
      </c>
      <c r="B2778" s="5" t="s">
        <v>1930</v>
      </c>
      <c r="C2778" s="5" t="s">
        <v>1931</v>
      </c>
      <c r="D2778" s="5" t="s">
        <v>118</v>
      </c>
      <c r="E2778" s="5" t="s">
        <v>2785</v>
      </c>
      <c r="F2778" s="5" t="s">
        <v>2756</v>
      </c>
      <c r="G2778" s="5">
        <v>1</v>
      </c>
      <c r="H2778" s="5" t="s">
        <v>2854</v>
      </c>
      <c r="I2778" s="5" t="str">
        <f>IF(INDEX(Manual_Review!$O$6:$O$238,U2778)="","",INDEX(Manual_Review!$O$6:$O$238,U2778))</f>
        <v/>
      </c>
      <c r="J2778" s="5" t="str">
        <f t="shared" si="86"/>
        <v>AI provisional</v>
      </c>
      <c r="K2778" s="5" t="str">
        <f t="shared" si="87"/>
        <v>Y</v>
      </c>
      <c r="L2778" s="5" t="s">
        <v>1939</v>
      </c>
      <c r="M2778" s="5" t="s">
        <v>8508</v>
      </c>
      <c r="N2778" s="5" t="s">
        <v>8500</v>
      </c>
      <c r="O2778" s="5" t="s">
        <v>3138</v>
      </c>
      <c r="P2778" s="5" t="s">
        <v>2858</v>
      </c>
      <c r="Q2778" s="11">
        <v>46306.5</v>
      </c>
      <c r="R2778" s="6"/>
      <c r="S2778" s="6"/>
      <c r="T2778" s="6"/>
      <c r="U2778" s="5">
        <f>MATCH(B2778,Manual_Review!$A$6:$A$238,0)</f>
        <v>174</v>
      </c>
      <c r="V2778" s="5" t="str">
        <f>IF(INDEX(Manual_Review!$G$6:$G$238,U2778)="","",INDEX(Manual_Review!$G$6:$G$238,U2778))</f>
        <v/>
      </c>
      <c r="W2778" s="11" t="str">
        <f>IF(INDEX(Manual_Review!$H$6:$H$238,U2778)="","",INDEX(Manual_Review!$H$6:$H$238,U2778))</f>
        <v/>
      </c>
      <c r="X2778" s="5" t="str">
        <f>IF(INDEX(Manual_Review!$I$6:$I$238,U2778)="","",INDEX(Manual_Review!$I$6:$I$238,U2778))</f>
        <v/>
      </c>
      <c r="Y2778" s="5" t="s">
        <v>2859</v>
      </c>
    </row>
    <row r="2779" spans="1:25" ht="38.25">
      <c r="A2779" s="5" t="s">
        <v>8509</v>
      </c>
      <c r="B2779" s="5" t="s">
        <v>1930</v>
      </c>
      <c r="C2779" s="5" t="s">
        <v>1931</v>
      </c>
      <c r="D2779" s="5" t="s">
        <v>118</v>
      </c>
      <c r="E2779" s="5" t="s">
        <v>2786</v>
      </c>
      <c r="F2779" s="5" t="s">
        <v>2756</v>
      </c>
      <c r="G2779" s="5">
        <v>1</v>
      </c>
      <c r="H2779" s="5" t="s">
        <v>2864</v>
      </c>
      <c r="I2779" s="5" t="str">
        <f>IF(INDEX(Manual_Review!$P$6:$P$238,U2779)="","",INDEX(Manual_Review!$P$6:$P$238,U2779))</f>
        <v/>
      </c>
      <c r="J2779" s="5" t="str">
        <f t="shared" si="86"/>
        <v>AI provisional</v>
      </c>
      <c r="K2779" s="5" t="str">
        <f t="shared" si="87"/>
        <v>U</v>
      </c>
      <c r="L2779" s="5" t="s">
        <v>1939</v>
      </c>
      <c r="M2779" s="5" t="s">
        <v>8510</v>
      </c>
      <c r="N2779" s="5" t="s">
        <v>8500</v>
      </c>
      <c r="O2779" s="5" t="s">
        <v>2874</v>
      </c>
      <c r="P2779" s="5" t="s">
        <v>2858</v>
      </c>
      <c r="Q2779" s="11">
        <v>46306.5</v>
      </c>
      <c r="R2779" s="6"/>
      <c r="S2779" s="6"/>
      <c r="T2779" s="6"/>
      <c r="U2779" s="5">
        <f>MATCH(B2779,Manual_Review!$A$6:$A$238,0)</f>
        <v>174</v>
      </c>
      <c r="V2779" s="5" t="str">
        <f>IF(INDEX(Manual_Review!$G$6:$G$238,U2779)="","",INDEX(Manual_Review!$G$6:$G$238,U2779))</f>
        <v/>
      </c>
      <c r="W2779" s="11" t="str">
        <f>IF(INDEX(Manual_Review!$H$6:$H$238,U2779)="","",INDEX(Manual_Review!$H$6:$H$238,U2779))</f>
        <v/>
      </c>
      <c r="X2779" s="5" t="str">
        <f>IF(INDEX(Manual_Review!$I$6:$I$238,U2779)="","",INDEX(Manual_Review!$I$6:$I$238,U2779))</f>
        <v/>
      </c>
      <c r="Y2779" s="5" t="s">
        <v>2859</v>
      </c>
    </row>
    <row r="2780" spans="1:25" ht="38.25">
      <c r="A2780" s="5" t="s">
        <v>8511</v>
      </c>
      <c r="B2780" s="5" t="s">
        <v>1930</v>
      </c>
      <c r="C2780" s="5" t="s">
        <v>1931</v>
      </c>
      <c r="D2780" s="5" t="s">
        <v>118</v>
      </c>
      <c r="E2780" s="5" t="s">
        <v>2787</v>
      </c>
      <c r="F2780" s="5" t="s">
        <v>2758</v>
      </c>
      <c r="G2780" s="5">
        <v>1</v>
      </c>
      <c r="H2780" s="5" t="s">
        <v>2854</v>
      </c>
      <c r="I2780" s="5" t="str">
        <f>IF(INDEX(Manual_Review!$Q$6:$Q$238,U2780)="","",INDEX(Manual_Review!$Q$6:$Q$238,U2780))</f>
        <v/>
      </c>
      <c r="J2780" s="5" t="str">
        <f t="shared" si="86"/>
        <v>AI provisional</v>
      </c>
      <c r="K2780" s="5" t="str">
        <f t="shared" si="87"/>
        <v>Y</v>
      </c>
      <c r="L2780" s="5" t="s">
        <v>1939</v>
      </c>
      <c r="M2780" s="5" t="s">
        <v>8512</v>
      </c>
      <c r="N2780" s="5" t="s">
        <v>8500</v>
      </c>
      <c r="O2780" s="5" t="s">
        <v>2969</v>
      </c>
      <c r="P2780" s="5" t="s">
        <v>2858</v>
      </c>
      <c r="Q2780" s="11">
        <v>46306.5</v>
      </c>
      <c r="R2780" s="6"/>
      <c r="S2780" s="6"/>
      <c r="T2780" s="6"/>
      <c r="U2780" s="5">
        <f>MATCH(B2780,Manual_Review!$A$6:$A$238,0)</f>
        <v>174</v>
      </c>
      <c r="V2780" s="5" t="str">
        <f>IF(INDEX(Manual_Review!$G$6:$G$238,U2780)="","",INDEX(Manual_Review!$G$6:$G$238,U2780))</f>
        <v/>
      </c>
      <c r="W2780" s="11" t="str">
        <f>IF(INDEX(Manual_Review!$H$6:$H$238,U2780)="","",INDEX(Manual_Review!$H$6:$H$238,U2780))</f>
        <v/>
      </c>
      <c r="X2780" s="5" t="str">
        <f>IF(INDEX(Manual_Review!$I$6:$I$238,U2780)="","",INDEX(Manual_Review!$I$6:$I$238,U2780))</f>
        <v/>
      </c>
      <c r="Y2780" s="5" t="s">
        <v>2859</v>
      </c>
    </row>
    <row r="2781" spans="1:25" ht="38.25">
      <c r="A2781" s="5" t="s">
        <v>8513</v>
      </c>
      <c r="B2781" s="5" t="s">
        <v>1930</v>
      </c>
      <c r="C2781" s="5" t="s">
        <v>1931</v>
      </c>
      <c r="D2781" s="5" t="s">
        <v>118</v>
      </c>
      <c r="E2781" s="5" t="s">
        <v>2788</v>
      </c>
      <c r="F2781" s="5" t="s">
        <v>2758</v>
      </c>
      <c r="G2781" s="5">
        <v>1</v>
      </c>
      <c r="H2781" s="5" t="s">
        <v>2854</v>
      </c>
      <c r="I2781" s="5" t="str">
        <f>IF(INDEX(Manual_Review!$R$6:$R$238,U2781)="","",INDEX(Manual_Review!$R$6:$R$238,U2781))</f>
        <v/>
      </c>
      <c r="J2781" s="5" t="str">
        <f t="shared" si="86"/>
        <v>AI provisional</v>
      </c>
      <c r="K2781" s="5" t="str">
        <f t="shared" si="87"/>
        <v>Y</v>
      </c>
      <c r="L2781" s="5" t="s">
        <v>1939</v>
      </c>
      <c r="M2781" s="5" t="s">
        <v>8514</v>
      </c>
      <c r="N2781" s="5" t="s">
        <v>8500</v>
      </c>
      <c r="O2781" s="5" t="s">
        <v>3067</v>
      </c>
      <c r="P2781" s="5" t="s">
        <v>2858</v>
      </c>
      <c r="Q2781" s="11">
        <v>46306.5</v>
      </c>
      <c r="R2781" s="6"/>
      <c r="S2781" s="6"/>
      <c r="T2781" s="6"/>
      <c r="U2781" s="5">
        <f>MATCH(B2781,Manual_Review!$A$6:$A$238,0)</f>
        <v>174</v>
      </c>
      <c r="V2781" s="5" t="str">
        <f>IF(INDEX(Manual_Review!$G$6:$G$238,U2781)="","",INDEX(Manual_Review!$G$6:$G$238,U2781))</f>
        <v/>
      </c>
      <c r="W2781" s="11" t="str">
        <f>IF(INDEX(Manual_Review!$H$6:$H$238,U2781)="","",INDEX(Manual_Review!$H$6:$H$238,U2781))</f>
        <v/>
      </c>
      <c r="X2781" s="5" t="str">
        <f>IF(INDEX(Manual_Review!$I$6:$I$238,U2781)="","",INDEX(Manual_Review!$I$6:$I$238,U2781))</f>
        <v/>
      </c>
      <c r="Y2781" s="5" t="s">
        <v>2859</v>
      </c>
    </row>
    <row r="2782" spans="1:25" ht="38.25">
      <c r="A2782" s="5" t="s">
        <v>8515</v>
      </c>
      <c r="B2782" s="5" t="s">
        <v>1930</v>
      </c>
      <c r="C2782" s="5" t="s">
        <v>1931</v>
      </c>
      <c r="D2782" s="5" t="s">
        <v>118</v>
      </c>
      <c r="E2782" s="5" t="s">
        <v>2789</v>
      </c>
      <c r="F2782" s="5" t="s">
        <v>2758</v>
      </c>
      <c r="G2782" s="5">
        <v>1</v>
      </c>
      <c r="H2782" s="5" t="s">
        <v>2864</v>
      </c>
      <c r="I2782" s="5" t="str">
        <f>IF(INDEX(Manual_Review!$S$6:$S$238,U2782)="","",INDEX(Manual_Review!$S$6:$S$238,U2782))</f>
        <v/>
      </c>
      <c r="J2782" s="5" t="str">
        <f t="shared" si="86"/>
        <v>AI provisional</v>
      </c>
      <c r="K2782" s="5" t="str">
        <f t="shared" si="87"/>
        <v>U</v>
      </c>
      <c r="L2782" s="5" t="s">
        <v>1939</v>
      </c>
      <c r="M2782" s="5" t="s">
        <v>8516</v>
      </c>
      <c r="N2782" s="5" t="s">
        <v>8500</v>
      </c>
      <c r="O2782" s="5" t="s">
        <v>2883</v>
      </c>
      <c r="P2782" s="5" t="s">
        <v>2858</v>
      </c>
      <c r="Q2782" s="11">
        <v>46306.5</v>
      </c>
      <c r="R2782" s="6"/>
      <c r="S2782" s="6"/>
      <c r="T2782" s="6"/>
      <c r="U2782" s="5">
        <f>MATCH(B2782,Manual_Review!$A$6:$A$238,0)</f>
        <v>174</v>
      </c>
      <c r="V2782" s="5" t="str">
        <f>IF(INDEX(Manual_Review!$G$6:$G$238,U2782)="","",INDEX(Manual_Review!$G$6:$G$238,U2782))</f>
        <v/>
      </c>
      <c r="W2782" s="11" t="str">
        <f>IF(INDEX(Manual_Review!$H$6:$H$238,U2782)="","",INDEX(Manual_Review!$H$6:$H$238,U2782))</f>
        <v/>
      </c>
      <c r="X2782" s="5" t="str">
        <f>IF(INDEX(Manual_Review!$I$6:$I$238,U2782)="","",INDEX(Manual_Review!$I$6:$I$238,U2782))</f>
        <v/>
      </c>
      <c r="Y2782" s="5" t="s">
        <v>2859</v>
      </c>
    </row>
    <row r="2783" spans="1:25" ht="38.25">
      <c r="A2783" s="5" t="s">
        <v>8517</v>
      </c>
      <c r="B2783" s="5" t="s">
        <v>1930</v>
      </c>
      <c r="C2783" s="5" t="s">
        <v>1931</v>
      </c>
      <c r="D2783" s="5" t="s">
        <v>118</v>
      </c>
      <c r="E2783" s="5" t="s">
        <v>2790</v>
      </c>
      <c r="F2783" s="5" t="s">
        <v>2760</v>
      </c>
      <c r="G2783" s="5">
        <v>1</v>
      </c>
      <c r="H2783" s="5" t="s">
        <v>2854</v>
      </c>
      <c r="I2783" s="5" t="str">
        <f>IF(INDEX(Manual_Review!$T$6:$T$238,U2783)="","",INDEX(Manual_Review!$T$6:$T$238,U2783))</f>
        <v/>
      </c>
      <c r="J2783" s="5" t="str">
        <f t="shared" si="86"/>
        <v>AI provisional</v>
      </c>
      <c r="K2783" s="5" t="str">
        <f t="shared" si="87"/>
        <v>Y</v>
      </c>
      <c r="L2783" s="5" t="s">
        <v>1939</v>
      </c>
      <c r="M2783" s="5" t="s">
        <v>8518</v>
      </c>
      <c r="N2783" s="5" t="s">
        <v>8500</v>
      </c>
      <c r="O2783" s="5" t="s">
        <v>2976</v>
      </c>
      <c r="P2783" s="5" t="s">
        <v>2858</v>
      </c>
      <c r="Q2783" s="11">
        <v>46306.5</v>
      </c>
      <c r="R2783" s="6"/>
      <c r="S2783" s="6"/>
      <c r="T2783" s="6"/>
      <c r="U2783" s="5">
        <f>MATCH(B2783,Manual_Review!$A$6:$A$238,0)</f>
        <v>174</v>
      </c>
      <c r="V2783" s="5" t="str">
        <f>IF(INDEX(Manual_Review!$G$6:$G$238,U2783)="","",INDEX(Manual_Review!$G$6:$G$238,U2783))</f>
        <v/>
      </c>
      <c r="W2783" s="11" t="str">
        <f>IF(INDEX(Manual_Review!$H$6:$H$238,U2783)="","",INDEX(Manual_Review!$H$6:$H$238,U2783))</f>
        <v/>
      </c>
      <c r="X2783" s="5" t="str">
        <f>IF(INDEX(Manual_Review!$I$6:$I$238,U2783)="","",INDEX(Manual_Review!$I$6:$I$238,U2783))</f>
        <v/>
      </c>
      <c r="Y2783" s="5" t="s">
        <v>2859</v>
      </c>
    </row>
    <row r="2784" spans="1:25" ht="38.25">
      <c r="A2784" s="5" t="s">
        <v>8519</v>
      </c>
      <c r="B2784" s="5" t="s">
        <v>1930</v>
      </c>
      <c r="C2784" s="5" t="s">
        <v>1931</v>
      </c>
      <c r="D2784" s="5" t="s">
        <v>118</v>
      </c>
      <c r="E2784" s="5" t="s">
        <v>2791</v>
      </c>
      <c r="F2784" s="5" t="s">
        <v>2760</v>
      </c>
      <c r="G2784" s="5">
        <v>1</v>
      </c>
      <c r="H2784" s="5" t="s">
        <v>2854</v>
      </c>
      <c r="I2784" s="5" t="str">
        <f>IF(INDEX(Manual_Review!$U$6:$U$238,U2784)="","",INDEX(Manual_Review!$U$6:$U$238,U2784))</f>
        <v/>
      </c>
      <c r="J2784" s="5" t="str">
        <f t="shared" si="86"/>
        <v>AI provisional</v>
      </c>
      <c r="K2784" s="5" t="str">
        <f t="shared" si="87"/>
        <v>Y</v>
      </c>
      <c r="L2784" s="5" t="s">
        <v>1939</v>
      </c>
      <c r="M2784" s="5" t="s">
        <v>8520</v>
      </c>
      <c r="N2784" s="5" t="s">
        <v>8500</v>
      </c>
      <c r="O2784" s="5" t="s">
        <v>3380</v>
      </c>
      <c r="P2784" s="5" t="s">
        <v>2858</v>
      </c>
      <c r="Q2784" s="11">
        <v>46306.5</v>
      </c>
      <c r="R2784" s="6"/>
      <c r="S2784" s="6"/>
      <c r="T2784" s="6"/>
      <c r="U2784" s="5">
        <f>MATCH(B2784,Manual_Review!$A$6:$A$238,0)</f>
        <v>174</v>
      </c>
      <c r="V2784" s="5" t="str">
        <f>IF(INDEX(Manual_Review!$G$6:$G$238,U2784)="","",INDEX(Manual_Review!$G$6:$G$238,U2784))</f>
        <v/>
      </c>
      <c r="W2784" s="11" t="str">
        <f>IF(INDEX(Manual_Review!$H$6:$H$238,U2784)="","",INDEX(Manual_Review!$H$6:$H$238,U2784))</f>
        <v/>
      </c>
      <c r="X2784" s="5" t="str">
        <f>IF(INDEX(Manual_Review!$I$6:$I$238,U2784)="","",INDEX(Manual_Review!$I$6:$I$238,U2784))</f>
        <v/>
      </c>
      <c r="Y2784" s="5" t="s">
        <v>2859</v>
      </c>
    </row>
    <row r="2785" spans="1:25" ht="38.25">
      <c r="A2785" s="5" t="s">
        <v>8521</v>
      </c>
      <c r="B2785" s="5" t="s">
        <v>1930</v>
      </c>
      <c r="C2785" s="5" t="s">
        <v>1931</v>
      </c>
      <c r="D2785" s="5" t="s">
        <v>118</v>
      </c>
      <c r="E2785" s="5" t="s">
        <v>2792</v>
      </c>
      <c r="F2785" s="5" t="s">
        <v>2762</v>
      </c>
      <c r="G2785" s="5">
        <v>1</v>
      </c>
      <c r="H2785" s="5" t="s">
        <v>2854</v>
      </c>
      <c r="I2785" s="5" t="str">
        <f>IF(INDEX(Manual_Review!$V$6:$V$238,U2785)="","",INDEX(Manual_Review!$V$6:$V$238,U2785))</f>
        <v/>
      </c>
      <c r="J2785" s="5" t="str">
        <f t="shared" si="86"/>
        <v>AI provisional</v>
      </c>
      <c r="K2785" s="5" t="str">
        <f t="shared" si="87"/>
        <v>Y</v>
      </c>
      <c r="L2785" s="5" t="s">
        <v>1939</v>
      </c>
      <c r="M2785" s="5" t="s">
        <v>8522</v>
      </c>
      <c r="N2785" s="5" t="s">
        <v>8500</v>
      </c>
      <c r="O2785" s="5" t="s">
        <v>3152</v>
      </c>
      <c r="P2785" s="5" t="s">
        <v>2858</v>
      </c>
      <c r="Q2785" s="11">
        <v>46306.5</v>
      </c>
      <c r="R2785" s="6"/>
      <c r="S2785" s="6"/>
      <c r="T2785" s="6"/>
      <c r="U2785" s="5">
        <f>MATCH(B2785,Manual_Review!$A$6:$A$238,0)</f>
        <v>174</v>
      </c>
      <c r="V2785" s="5" t="str">
        <f>IF(INDEX(Manual_Review!$G$6:$G$238,U2785)="","",INDEX(Manual_Review!$G$6:$G$238,U2785))</f>
        <v/>
      </c>
      <c r="W2785" s="11" t="str">
        <f>IF(INDEX(Manual_Review!$H$6:$H$238,U2785)="","",INDEX(Manual_Review!$H$6:$H$238,U2785))</f>
        <v/>
      </c>
      <c r="X2785" s="5" t="str">
        <f>IF(INDEX(Manual_Review!$I$6:$I$238,U2785)="","",INDEX(Manual_Review!$I$6:$I$238,U2785))</f>
        <v/>
      </c>
      <c r="Y2785" s="5" t="s">
        <v>2859</v>
      </c>
    </row>
    <row r="2786" spans="1:25" ht="38.25">
      <c r="A2786" s="5" t="s">
        <v>8523</v>
      </c>
      <c r="B2786" s="5" t="s">
        <v>1930</v>
      </c>
      <c r="C2786" s="5" t="s">
        <v>1931</v>
      </c>
      <c r="D2786" s="5" t="s">
        <v>118</v>
      </c>
      <c r="E2786" s="5" t="s">
        <v>2793</v>
      </c>
      <c r="F2786" s="5" t="s">
        <v>2762</v>
      </c>
      <c r="G2786" s="5">
        <v>1</v>
      </c>
      <c r="H2786" s="5" t="s">
        <v>2854</v>
      </c>
      <c r="I2786" s="5" t="str">
        <f>IF(INDEX(Manual_Review!$W$6:$W$238,U2786)="","",INDEX(Manual_Review!$W$6:$W$238,U2786))</f>
        <v/>
      </c>
      <c r="J2786" s="5" t="str">
        <f t="shared" si="86"/>
        <v>AI provisional</v>
      </c>
      <c r="K2786" s="5" t="str">
        <f t="shared" si="87"/>
        <v>Y</v>
      </c>
      <c r="L2786" s="5" t="s">
        <v>1939</v>
      </c>
      <c r="M2786" s="5" t="s">
        <v>8524</v>
      </c>
      <c r="N2786" s="5" t="s">
        <v>8500</v>
      </c>
      <c r="O2786" s="5" t="s">
        <v>3077</v>
      </c>
      <c r="P2786" s="5" t="s">
        <v>2858</v>
      </c>
      <c r="Q2786" s="11">
        <v>46306.5</v>
      </c>
      <c r="R2786" s="6"/>
      <c r="S2786" s="6"/>
      <c r="T2786" s="6"/>
      <c r="U2786" s="5">
        <f>MATCH(B2786,Manual_Review!$A$6:$A$238,0)</f>
        <v>174</v>
      </c>
      <c r="V2786" s="5" t="str">
        <f>IF(INDEX(Manual_Review!$G$6:$G$238,U2786)="","",INDEX(Manual_Review!$G$6:$G$238,U2786))</f>
        <v/>
      </c>
      <c r="W2786" s="11" t="str">
        <f>IF(INDEX(Manual_Review!$H$6:$H$238,U2786)="","",INDEX(Manual_Review!$H$6:$H$238,U2786))</f>
        <v/>
      </c>
      <c r="X2786" s="5" t="str">
        <f>IF(INDEX(Manual_Review!$I$6:$I$238,U2786)="","",INDEX(Manual_Review!$I$6:$I$238,U2786))</f>
        <v/>
      </c>
      <c r="Y2786" s="5" t="s">
        <v>2859</v>
      </c>
    </row>
    <row r="2787" spans="1:25" ht="38.25">
      <c r="A2787" s="5" t="s">
        <v>8525</v>
      </c>
      <c r="B2787" s="5" t="s">
        <v>1930</v>
      </c>
      <c r="C2787" s="5" t="s">
        <v>1931</v>
      </c>
      <c r="D2787" s="5" t="s">
        <v>118</v>
      </c>
      <c r="E2787" s="5" t="s">
        <v>2794</v>
      </c>
      <c r="F2787" s="5" t="s">
        <v>2764</v>
      </c>
      <c r="G2787" s="5">
        <v>1</v>
      </c>
      <c r="H2787" s="5" t="s">
        <v>2854</v>
      </c>
      <c r="I2787" s="5" t="str">
        <f>IF(INDEX(Manual_Review!$X$6:$X$238,U2787)="","",INDEX(Manual_Review!$X$6:$X$238,U2787))</f>
        <v/>
      </c>
      <c r="J2787" s="5" t="str">
        <f t="shared" si="86"/>
        <v>AI provisional</v>
      </c>
      <c r="K2787" s="5" t="str">
        <f t="shared" si="87"/>
        <v>Y</v>
      </c>
      <c r="L2787" s="5" t="s">
        <v>1939</v>
      </c>
      <c r="M2787" s="5" t="s">
        <v>8526</v>
      </c>
      <c r="N2787" s="5" t="s">
        <v>8500</v>
      </c>
      <c r="O2787" s="5" t="s">
        <v>2984</v>
      </c>
      <c r="P2787" s="5" t="s">
        <v>2858</v>
      </c>
      <c r="Q2787" s="11">
        <v>46306.5</v>
      </c>
      <c r="R2787" s="6"/>
      <c r="S2787" s="6"/>
      <c r="T2787" s="6"/>
      <c r="U2787" s="5">
        <f>MATCH(B2787,Manual_Review!$A$6:$A$238,0)</f>
        <v>174</v>
      </c>
      <c r="V2787" s="5" t="str">
        <f>IF(INDEX(Manual_Review!$G$6:$G$238,U2787)="","",INDEX(Manual_Review!$G$6:$G$238,U2787))</f>
        <v/>
      </c>
      <c r="W2787" s="11" t="str">
        <f>IF(INDEX(Manual_Review!$H$6:$H$238,U2787)="","",INDEX(Manual_Review!$H$6:$H$238,U2787))</f>
        <v/>
      </c>
      <c r="X2787" s="5" t="str">
        <f>IF(INDEX(Manual_Review!$I$6:$I$238,U2787)="","",INDEX(Manual_Review!$I$6:$I$238,U2787))</f>
        <v/>
      </c>
      <c r="Y2787" s="5" t="s">
        <v>2859</v>
      </c>
    </row>
    <row r="2788" spans="1:25" ht="38.25">
      <c r="A2788" s="5" t="s">
        <v>8527</v>
      </c>
      <c r="B2788" s="5" t="s">
        <v>1930</v>
      </c>
      <c r="C2788" s="5" t="s">
        <v>1931</v>
      </c>
      <c r="D2788" s="5" t="s">
        <v>118</v>
      </c>
      <c r="E2788" s="5" t="s">
        <v>2795</v>
      </c>
      <c r="F2788" s="5" t="s">
        <v>2764</v>
      </c>
      <c r="G2788" s="5">
        <v>1</v>
      </c>
      <c r="H2788" s="5" t="s">
        <v>2854</v>
      </c>
      <c r="I2788" s="5" t="str">
        <f>IF(INDEX(Manual_Review!$Y$6:$Y$238,U2788)="","",INDEX(Manual_Review!$Y$6:$Y$238,U2788))</f>
        <v/>
      </c>
      <c r="J2788" s="5" t="str">
        <f t="shared" si="86"/>
        <v>AI provisional</v>
      </c>
      <c r="K2788" s="5" t="str">
        <f t="shared" si="87"/>
        <v>Y</v>
      </c>
      <c r="L2788" s="5" t="s">
        <v>1939</v>
      </c>
      <c r="M2788" s="5" t="s">
        <v>8528</v>
      </c>
      <c r="N2788" s="5" t="s">
        <v>8500</v>
      </c>
      <c r="O2788" s="5" t="s">
        <v>3082</v>
      </c>
      <c r="P2788" s="5" t="s">
        <v>2858</v>
      </c>
      <c r="Q2788" s="11">
        <v>46306.5</v>
      </c>
      <c r="R2788" s="6"/>
      <c r="S2788" s="6"/>
      <c r="T2788" s="6"/>
      <c r="U2788" s="5">
        <f>MATCH(B2788,Manual_Review!$A$6:$A$238,0)</f>
        <v>174</v>
      </c>
      <c r="V2788" s="5" t="str">
        <f>IF(INDEX(Manual_Review!$G$6:$G$238,U2788)="","",INDEX(Manual_Review!$G$6:$G$238,U2788))</f>
        <v/>
      </c>
      <c r="W2788" s="11" t="str">
        <f>IF(INDEX(Manual_Review!$H$6:$H$238,U2788)="","",INDEX(Manual_Review!$H$6:$H$238,U2788))</f>
        <v/>
      </c>
      <c r="X2788" s="5" t="str">
        <f>IF(INDEX(Manual_Review!$I$6:$I$238,U2788)="","",INDEX(Manual_Review!$I$6:$I$238,U2788))</f>
        <v/>
      </c>
      <c r="Y2788" s="5" t="s">
        <v>2859</v>
      </c>
    </row>
    <row r="2789" spans="1:25" ht="38.25">
      <c r="A2789" s="5" t="s">
        <v>8529</v>
      </c>
      <c r="B2789" s="5" t="s">
        <v>1930</v>
      </c>
      <c r="C2789" s="5" t="s">
        <v>1931</v>
      </c>
      <c r="D2789" s="5" t="s">
        <v>118</v>
      </c>
      <c r="E2789" s="5" t="s">
        <v>2796</v>
      </c>
      <c r="F2789" s="5" t="s">
        <v>2764</v>
      </c>
      <c r="G2789" s="5">
        <v>1</v>
      </c>
      <c r="H2789" s="5" t="s">
        <v>2854</v>
      </c>
      <c r="I2789" s="5" t="str">
        <f>IF(INDEX(Manual_Review!$Z$6:$Z$238,U2789)="","",INDEX(Manual_Review!$Z$6:$Z$238,U2789))</f>
        <v/>
      </c>
      <c r="J2789" s="5" t="str">
        <f t="shared" si="86"/>
        <v>AI provisional</v>
      </c>
      <c r="K2789" s="5" t="str">
        <f t="shared" si="87"/>
        <v>Y</v>
      </c>
      <c r="L2789" s="5" t="s">
        <v>1939</v>
      </c>
      <c r="M2789" s="5" t="s">
        <v>8530</v>
      </c>
      <c r="N2789" s="5" t="s">
        <v>8500</v>
      </c>
      <c r="O2789" s="5" t="s">
        <v>3085</v>
      </c>
      <c r="P2789" s="5" t="s">
        <v>2858</v>
      </c>
      <c r="Q2789" s="11">
        <v>46306.5</v>
      </c>
      <c r="R2789" s="6"/>
      <c r="S2789" s="6"/>
      <c r="T2789" s="6"/>
      <c r="U2789" s="5">
        <f>MATCH(B2789,Manual_Review!$A$6:$A$238,0)</f>
        <v>174</v>
      </c>
      <c r="V2789" s="5" t="str">
        <f>IF(INDEX(Manual_Review!$G$6:$G$238,U2789)="","",INDEX(Manual_Review!$G$6:$G$238,U2789))</f>
        <v/>
      </c>
      <c r="W2789" s="11" t="str">
        <f>IF(INDEX(Manual_Review!$H$6:$H$238,U2789)="","",INDEX(Manual_Review!$H$6:$H$238,U2789))</f>
        <v/>
      </c>
      <c r="X2789" s="5" t="str">
        <f>IF(INDEX(Manual_Review!$I$6:$I$238,U2789)="","",INDEX(Manual_Review!$I$6:$I$238,U2789))</f>
        <v/>
      </c>
      <c r="Y2789" s="5" t="s">
        <v>2859</v>
      </c>
    </row>
    <row r="2790" spans="1:25" ht="38.25">
      <c r="A2790" s="5" t="s">
        <v>8531</v>
      </c>
      <c r="B2790" s="5" t="s">
        <v>1941</v>
      </c>
      <c r="C2790" s="5" t="s">
        <v>1942</v>
      </c>
      <c r="D2790" s="5" t="s">
        <v>118</v>
      </c>
      <c r="E2790" s="5" t="s">
        <v>2781</v>
      </c>
      <c r="F2790" s="5" t="s">
        <v>2754</v>
      </c>
      <c r="G2790" s="5">
        <v>1</v>
      </c>
      <c r="H2790" s="5" t="s">
        <v>2854</v>
      </c>
      <c r="I2790" s="5" t="str">
        <f>IF(INDEX(Manual_Review!$K$6:$K$238,U2790)="","",INDEX(Manual_Review!$K$6:$K$238,U2790))</f>
        <v/>
      </c>
      <c r="J2790" s="5" t="str">
        <f t="shared" si="86"/>
        <v>AI provisional</v>
      </c>
      <c r="K2790" s="5" t="str">
        <f t="shared" si="87"/>
        <v>Y</v>
      </c>
      <c r="L2790" s="5" t="s">
        <v>1952</v>
      </c>
      <c r="M2790" s="5" t="s">
        <v>8532</v>
      </c>
      <c r="N2790" s="5" t="s">
        <v>8533</v>
      </c>
      <c r="O2790" s="5" t="s">
        <v>8534</v>
      </c>
      <c r="P2790" s="5" t="s">
        <v>2858</v>
      </c>
      <c r="Q2790" s="11">
        <v>46306.5</v>
      </c>
      <c r="R2790" s="6"/>
      <c r="S2790" s="6"/>
      <c r="T2790" s="6"/>
      <c r="U2790" s="5">
        <f>MATCH(B2790,Manual_Review!$A$6:$A$238,0)</f>
        <v>175</v>
      </c>
      <c r="V2790" s="5" t="str">
        <f>IF(INDEX(Manual_Review!$G$6:$G$238,U2790)="","",INDEX(Manual_Review!$G$6:$G$238,U2790))</f>
        <v/>
      </c>
      <c r="W2790" s="11" t="str">
        <f>IF(INDEX(Manual_Review!$H$6:$H$238,U2790)="","",INDEX(Manual_Review!$H$6:$H$238,U2790))</f>
        <v/>
      </c>
      <c r="X2790" s="5" t="str">
        <f>IF(INDEX(Manual_Review!$I$6:$I$238,U2790)="","",INDEX(Manual_Review!$I$6:$I$238,U2790))</f>
        <v/>
      </c>
      <c r="Y2790" s="5" t="s">
        <v>2859</v>
      </c>
    </row>
    <row r="2791" spans="1:25" ht="38.25">
      <c r="A2791" s="5" t="s">
        <v>8535</v>
      </c>
      <c r="B2791" s="5" t="s">
        <v>1941</v>
      </c>
      <c r="C2791" s="5" t="s">
        <v>1942</v>
      </c>
      <c r="D2791" s="5" t="s">
        <v>118</v>
      </c>
      <c r="E2791" s="5" t="s">
        <v>2782</v>
      </c>
      <c r="F2791" s="5" t="s">
        <v>2754</v>
      </c>
      <c r="G2791" s="5">
        <v>1</v>
      </c>
      <c r="H2791" s="5" t="s">
        <v>2854</v>
      </c>
      <c r="I2791" s="5" t="str">
        <f>IF(INDEX(Manual_Review!$L$6:$L$238,U2791)="","",INDEX(Manual_Review!$L$6:$L$238,U2791))</f>
        <v/>
      </c>
      <c r="J2791" s="5" t="str">
        <f t="shared" si="86"/>
        <v>AI provisional</v>
      </c>
      <c r="K2791" s="5" t="str">
        <f t="shared" si="87"/>
        <v>Y</v>
      </c>
      <c r="L2791" s="5" t="s">
        <v>1952</v>
      </c>
      <c r="M2791" s="5" t="s">
        <v>8536</v>
      </c>
      <c r="N2791" s="5" t="s">
        <v>8533</v>
      </c>
      <c r="O2791" s="5" t="s">
        <v>2862</v>
      </c>
      <c r="P2791" s="5" t="s">
        <v>2858</v>
      </c>
      <c r="Q2791" s="11">
        <v>46306.5</v>
      </c>
      <c r="R2791" s="6"/>
      <c r="S2791" s="6"/>
      <c r="T2791" s="6"/>
      <c r="U2791" s="5">
        <f>MATCH(B2791,Manual_Review!$A$6:$A$238,0)</f>
        <v>175</v>
      </c>
      <c r="V2791" s="5" t="str">
        <f>IF(INDEX(Manual_Review!$G$6:$G$238,U2791)="","",INDEX(Manual_Review!$G$6:$G$238,U2791))</f>
        <v/>
      </c>
      <c r="W2791" s="11" t="str">
        <f>IF(INDEX(Manual_Review!$H$6:$H$238,U2791)="","",INDEX(Manual_Review!$H$6:$H$238,U2791))</f>
        <v/>
      </c>
      <c r="X2791" s="5" t="str">
        <f>IF(INDEX(Manual_Review!$I$6:$I$238,U2791)="","",INDEX(Manual_Review!$I$6:$I$238,U2791))</f>
        <v/>
      </c>
      <c r="Y2791" s="5" t="s">
        <v>2859</v>
      </c>
    </row>
    <row r="2792" spans="1:25" ht="38.25">
      <c r="A2792" s="5" t="s">
        <v>8537</v>
      </c>
      <c r="B2792" s="5" t="s">
        <v>1941</v>
      </c>
      <c r="C2792" s="5" t="s">
        <v>1942</v>
      </c>
      <c r="D2792" s="5" t="s">
        <v>118</v>
      </c>
      <c r="E2792" s="5" t="s">
        <v>2783</v>
      </c>
      <c r="F2792" s="5" t="s">
        <v>2754</v>
      </c>
      <c r="G2792" s="5">
        <v>1</v>
      </c>
      <c r="H2792" s="5" t="s">
        <v>2854</v>
      </c>
      <c r="I2792" s="5" t="str">
        <f>IF(INDEX(Manual_Review!$M$6:$M$238,U2792)="","",INDEX(Manual_Review!$M$6:$M$238,U2792))</f>
        <v/>
      </c>
      <c r="J2792" s="5" t="str">
        <f t="shared" si="86"/>
        <v>AI provisional</v>
      </c>
      <c r="K2792" s="5" t="str">
        <f t="shared" si="87"/>
        <v>Y</v>
      </c>
      <c r="L2792" s="5" t="s">
        <v>1952</v>
      </c>
      <c r="M2792" s="5" t="s">
        <v>8538</v>
      </c>
      <c r="N2792" s="5" t="s">
        <v>8533</v>
      </c>
      <c r="O2792" s="5" t="s">
        <v>3133</v>
      </c>
      <c r="P2792" s="5" t="s">
        <v>2858</v>
      </c>
      <c r="Q2792" s="11">
        <v>46306.5</v>
      </c>
      <c r="R2792" s="6"/>
      <c r="S2792" s="6"/>
      <c r="T2792" s="6"/>
      <c r="U2792" s="5">
        <f>MATCH(B2792,Manual_Review!$A$6:$A$238,0)</f>
        <v>175</v>
      </c>
      <c r="V2792" s="5" t="str">
        <f>IF(INDEX(Manual_Review!$G$6:$G$238,U2792)="","",INDEX(Manual_Review!$G$6:$G$238,U2792))</f>
        <v/>
      </c>
      <c r="W2792" s="11" t="str">
        <f>IF(INDEX(Manual_Review!$H$6:$H$238,U2792)="","",INDEX(Manual_Review!$H$6:$H$238,U2792))</f>
        <v/>
      </c>
      <c r="X2792" s="5" t="str">
        <f>IF(INDEX(Manual_Review!$I$6:$I$238,U2792)="","",INDEX(Manual_Review!$I$6:$I$238,U2792))</f>
        <v/>
      </c>
      <c r="Y2792" s="5" t="s">
        <v>2859</v>
      </c>
    </row>
    <row r="2793" spans="1:25" ht="38.25">
      <c r="A2793" s="5" t="s">
        <v>8539</v>
      </c>
      <c r="B2793" s="5" t="s">
        <v>1941</v>
      </c>
      <c r="C2793" s="5" t="s">
        <v>1942</v>
      </c>
      <c r="D2793" s="5" t="s">
        <v>118</v>
      </c>
      <c r="E2793" s="5" t="s">
        <v>2784</v>
      </c>
      <c r="F2793" s="5" t="s">
        <v>2756</v>
      </c>
      <c r="G2793" s="5">
        <v>1</v>
      </c>
      <c r="H2793" s="5" t="s">
        <v>2864</v>
      </c>
      <c r="I2793" s="5" t="str">
        <f>IF(INDEX(Manual_Review!$N$6:$N$238,U2793)="","",INDEX(Manual_Review!$N$6:$N$238,U2793))</f>
        <v/>
      </c>
      <c r="J2793" s="5" t="str">
        <f t="shared" si="86"/>
        <v>AI provisional</v>
      </c>
      <c r="K2793" s="5" t="str">
        <f t="shared" si="87"/>
        <v>U</v>
      </c>
      <c r="L2793" s="5" t="s">
        <v>1952</v>
      </c>
      <c r="M2793" s="5" t="s">
        <v>8540</v>
      </c>
      <c r="N2793" s="5" t="s">
        <v>8533</v>
      </c>
      <c r="O2793" s="5" t="s">
        <v>2869</v>
      </c>
      <c r="P2793" s="5" t="s">
        <v>2858</v>
      </c>
      <c r="Q2793" s="11">
        <v>46306.5</v>
      </c>
      <c r="R2793" s="6"/>
      <c r="S2793" s="6"/>
      <c r="T2793" s="6"/>
      <c r="U2793" s="5">
        <f>MATCH(B2793,Manual_Review!$A$6:$A$238,0)</f>
        <v>175</v>
      </c>
      <c r="V2793" s="5" t="str">
        <f>IF(INDEX(Manual_Review!$G$6:$G$238,U2793)="","",INDEX(Manual_Review!$G$6:$G$238,U2793))</f>
        <v/>
      </c>
      <c r="W2793" s="11" t="str">
        <f>IF(INDEX(Manual_Review!$H$6:$H$238,U2793)="","",INDEX(Manual_Review!$H$6:$H$238,U2793))</f>
        <v/>
      </c>
      <c r="X2793" s="5" t="str">
        <f>IF(INDEX(Manual_Review!$I$6:$I$238,U2793)="","",INDEX(Manual_Review!$I$6:$I$238,U2793))</f>
        <v/>
      </c>
      <c r="Y2793" s="5" t="s">
        <v>2859</v>
      </c>
    </row>
    <row r="2794" spans="1:25" ht="38.25">
      <c r="A2794" s="5" t="s">
        <v>8541</v>
      </c>
      <c r="B2794" s="5" t="s">
        <v>1941</v>
      </c>
      <c r="C2794" s="5" t="s">
        <v>1942</v>
      </c>
      <c r="D2794" s="5" t="s">
        <v>118</v>
      </c>
      <c r="E2794" s="5" t="s">
        <v>2785</v>
      </c>
      <c r="F2794" s="5" t="s">
        <v>2756</v>
      </c>
      <c r="G2794" s="5">
        <v>1</v>
      </c>
      <c r="H2794" s="5" t="s">
        <v>2864</v>
      </c>
      <c r="I2794" s="5" t="str">
        <f>IF(INDEX(Manual_Review!$O$6:$O$238,U2794)="","",INDEX(Manual_Review!$O$6:$O$238,U2794))</f>
        <v/>
      </c>
      <c r="J2794" s="5" t="str">
        <f t="shared" si="86"/>
        <v>AI provisional</v>
      </c>
      <c r="K2794" s="5" t="str">
        <f t="shared" si="87"/>
        <v>U</v>
      </c>
      <c r="L2794" s="5" t="s">
        <v>1952</v>
      </c>
      <c r="M2794" s="5" t="s">
        <v>8542</v>
      </c>
      <c r="N2794" s="5" t="s">
        <v>8533</v>
      </c>
      <c r="O2794" s="5" t="s">
        <v>2872</v>
      </c>
      <c r="P2794" s="5" t="s">
        <v>2858</v>
      </c>
      <c r="Q2794" s="11">
        <v>46306.5</v>
      </c>
      <c r="R2794" s="6"/>
      <c r="S2794" s="6"/>
      <c r="T2794" s="6"/>
      <c r="U2794" s="5">
        <f>MATCH(B2794,Manual_Review!$A$6:$A$238,0)</f>
        <v>175</v>
      </c>
      <c r="V2794" s="5" t="str">
        <f>IF(INDEX(Manual_Review!$G$6:$G$238,U2794)="","",INDEX(Manual_Review!$G$6:$G$238,U2794))</f>
        <v/>
      </c>
      <c r="W2794" s="11" t="str">
        <f>IF(INDEX(Manual_Review!$H$6:$H$238,U2794)="","",INDEX(Manual_Review!$H$6:$H$238,U2794))</f>
        <v/>
      </c>
      <c r="X2794" s="5" t="str">
        <f>IF(INDEX(Manual_Review!$I$6:$I$238,U2794)="","",INDEX(Manual_Review!$I$6:$I$238,U2794))</f>
        <v/>
      </c>
      <c r="Y2794" s="5" t="s">
        <v>2859</v>
      </c>
    </row>
    <row r="2795" spans="1:25" ht="38.25">
      <c r="A2795" s="5" t="s">
        <v>8543</v>
      </c>
      <c r="B2795" s="5" t="s">
        <v>1941</v>
      </c>
      <c r="C2795" s="5" t="s">
        <v>1942</v>
      </c>
      <c r="D2795" s="5" t="s">
        <v>118</v>
      </c>
      <c r="E2795" s="5" t="s">
        <v>2786</v>
      </c>
      <c r="F2795" s="5" t="s">
        <v>2756</v>
      </c>
      <c r="G2795" s="5">
        <v>1</v>
      </c>
      <c r="H2795" s="5" t="s">
        <v>2864</v>
      </c>
      <c r="I2795" s="5" t="str">
        <f>IF(INDEX(Manual_Review!$P$6:$P$238,U2795)="","",INDEX(Manual_Review!$P$6:$P$238,U2795))</f>
        <v/>
      </c>
      <c r="J2795" s="5" t="str">
        <f t="shared" si="86"/>
        <v>AI provisional</v>
      </c>
      <c r="K2795" s="5" t="str">
        <f t="shared" si="87"/>
        <v>U</v>
      </c>
      <c r="L2795" s="5" t="s">
        <v>1952</v>
      </c>
      <c r="M2795" s="5" t="s">
        <v>8544</v>
      </c>
      <c r="N2795" s="5" t="s">
        <v>8533</v>
      </c>
      <c r="O2795" s="5" t="s">
        <v>2874</v>
      </c>
      <c r="P2795" s="5" t="s">
        <v>2858</v>
      </c>
      <c r="Q2795" s="11">
        <v>46306.5</v>
      </c>
      <c r="R2795" s="6"/>
      <c r="S2795" s="6"/>
      <c r="T2795" s="6"/>
      <c r="U2795" s="5">
        <f>MATCH(B2795,Manual_Review!$A$6:$A$238,0)</f>
        <v>175</v>
      </c>
      <c r="V2795" s="5" t="str">
        <f>IF(INDEX(Manual_Review!$G$6:$G$238,U2795)="","",INDEX(Manual_Review!$G$6:$G$238,U2795))</f>
        <v/>
      </c>
      <c r="W2795" s="11" t="str">
        <f>IF(INDEX(Manual_Review!$H$6:$H$238,U2795)="","",INDEX(Manual_Review!$H$6:$H$238,U2795))</f>
        <v/>
      </c>
      <c r="X2795" s="5" t="str">
        <f>IF(INDEX(Manual_Review!$I$6:$I$238,U2795)="","",INDEX(Manual_Review!$I$6:$I$238,U2795))</f>
        <v/>
      </c>
      <c r="Y2795" s="5" t="s">
        <v>2859</v>
      </c>
    </row>
    <row r="2796" spans="1:25" ht="38.25">
      <c r="A2796" s="5" t="s">
        <v>8545</v>
      </c>
      <c r="B2796" s="5" t="s">
        <v>1941</v>
      </c>
      <c r="C2796" s="5" t="s">
        <v>1942</v>
      </c>
      <c r="D2796" s="5" t="s">
        <v>118</v>
      </c>
      <c r="E2796" s="5" t="s">
        <v>2787</v>
      </c>
      <c r="F2796" s="5" t="s">
        <v>2758</v>
      </c>
      <c r="G2796" s="5">
        <v>1</v>
      </c>
      <c r="H2796" s="5" t="s">
        <v>2864</v>
      </c>
      <c r="I2796" s="5" t="str">
        <f>IF(INDEX(Manual_Review!$Q$6:$Q$238,U2796)="","",INDEX(Manual_Review!$Q$6:$Q$238,U2796))</f>
        <v/>
      </c>
      <c r="J2796" s="5" t="str">
        <f t="shared" si="86"/>
        <v>AI provisional</v>
      </c>
      <c r="K2796" s="5" t="str">
        <f t="shared" si="87"/>
        <v>U</v>
      </c>
      <c r="L2796" s="5" t="s">
        <v>1952</v>
      </c>
      <c r="M2796" s="5" t="s">
        <v>8546</v>
      </c>
      <c r="N2796" s="5" t="s">
        <v>8533</v>
      </c>
      <c r="O2796" s="5" t="s">
        <v>2877</v>
      </c>
      <c r="P2796" s="5" t="s">
        <v>2858</v>
      </c>
      <c r="Q2796" s="11">
        <v>46306.5</v>
      </c>
      <c r="R2796" s="6"/>
      <c r="S2796" s="6"/>
      <c r="T2796" s="6"/>
      <c r="U2796" s="5">
        <f>MATCH(B2796,Manual_Review!$A$6:$A$238,0)</f>
        <v>175</v>
      </c>
      <c r="V2796" s="5" t="str">
        <f>IF(INDEX(Manual_Review!$G$6:$G$238,U2796)="","",INDEX(Manual_Review!$G$6:$G$238,U2796))</f>
        <v/>
      </c>
      <c r="W2796" s="11" t="str">
        <f>IF(INDEX(Manual_Review!$H$6:$H$238,U2796)="","",INDEX(Manual_Review!$H$6:$H$238,U2796))</f>
        <v/>
      </c>
      <c r="X2796" s="5" t="str">
        <f>IF(INDEX(Manual_Review!$I$6:$I$238,U2796)="","",INDEX(Manual_Review!$I$6:$I$238,U2796))</f>
        <v/>
      </c>
      <c r="Y2796" s="5" t="s">
        <v>2859</v>
      </c>
    </row>
    <row r="2797" spans="1:25" ht="38.25">
      <c r="A2797" s="5" t="s">
        <v>8547</v>
      </c>
      <c r="B2797" s="5" t="s">
        <v>1941</v>
      </c>
      <c r="C2797" s="5" t="s">
        <v>1942</v>
      </c>
      <c r="D2797" s="5" t="s">
        <v>118</v>
      </c>
      <c r="E2797" s="5" t="s">
        <v>2788</v>
      </c>
      <c r="F2797" s="5" t="s">
        <v>2758</v>
      </c>
      <c r="G2797" s="5">
        <v>1</v>
      </c>
      <c r="H2797" s="5" t="s">
        <v>2854</v>
      </c>
      <c r="I2797" s="5" t="str">
        <f>IF(INDEX(Manual_Review!$R$6:$R$238,U2797)="","",INDEX(Manual_Review!$R$6:$R$238,U2797))</f>
        <v/>
      </c>
      <c r="J2797" s="5" t="str">
        <f t="shared" si="86"/>
        <v>AI provisional</v>
      </c>
      <c r="K2797" s="5" t="str">
        <f t="shared" si="87"/>
        <v>Y</v>
      </c>
      <c r="L2797" s="5" t="s">
        <v>1952</v>
      </c>
      <c r="M2797" s="5" t="s">
        <v>8548</v>
      </c>
      <c r="N2797" s="5" t="s">
        <v>8533</v>
      </c>
      <c r="O2797" s="5" t="s">
        <v>3067</v>
      </c>
      <c r="P2797" s="5" t="s">
        <v>2858</v>
      </c>
      <c r="Q2797" s="11">
        <v>46306.5</v>
      </c>
      <c r="R2797" s="6"/>
      <c r="S2797" s="6"/>
      <c r="T2797" s="6"/>
      <c r="U2797" s="5">
        <f>MATCH(B2797,Manual_Review!$A$6:$A$238,0)</f>
        <v>175</v>
      </c>
      <c r="V2797" s="5" t="str">
        <f>IF(INDEX(Manual_Review!$G$6:$G$238,U2797)="","",INDEX(Manual_Review!$G$6:$G$238,U2797))</f>
        <v/>
      </c>
      <c r="W2797" s="11" t="str">
        <f>IF(INDEX(Manual_Review!$H$6:$H$238,U2797)="","",INDEX(Manual_Review!$H$6:$H$238,U2797))</f>
        <v/>
      </c>
      <c r="X2797" s="5" t="str">
        <f>IF(INDEX(Manual_Review!$I$6:$I$238,U2797)="","",INDEX(Manual_Review!$I$6:$I$238,U2797))</f>
        <v/>
      </c>
      <c r="Y2797" s="5" t="s">
        <v>2859</v>
      </c>
    </row>
    <row r="2798" spans="1:25" ht="38.25">
      <c r="A2798" s="5" t="s">
        <v>8549</v>
      </c>
      <c r="B2798" s="5" t="s">
        <v>1941</v>
      </c>
      <c r="C2798" s="5" t="s">
        <v>1942</v>
      </c>
      <c r="D2798" s="5" t="s">
        <v>118</v>
      </c>
      <c r="E2798" s="5" t="s">
        <v>2789</v>
      </c>
      <c r="F2798" s="5" t="s">
        <v>2758</v>
      </c>
      <c r="G2798" s="5">
        <v>1</v>
      </c>
      <c r="H2798" s="5" t="s">
        <v>2864</v>
      </c>
      <c r="I2798" s="5" t="str">
        <f>IF(INDEX(Manual_Review!$S$6:$S$238,U2798)="","",INDEX(Manual_Review!$S$6:$S$238,U2798))</f>
        <v/>
      </c>
      <c r="J2798" s="5" t="str">
        <f t="shared" si="86"/>
        <v>AI provisional</v>
      </c>
      <c r="K2798" s="5" t="str">
        <f t="shared" si="87"/>
        <v>U</v>
      </c>
      <c r="L2798" s="5" t="s">
        <v>1952</v>
      </c>
      <c r="M2798" s="5" t="s">
        <v>8550</v>
      </c>
      <c r="N2798" s="5" t="s">
        <v>8533</v>
      </c>
      <c r="O2798" s="5" t="s">
        <v>2883</v>
      </c>
      <c r="P2798" s="5" t="s">
        <v>2858</v>
      </c>
      <c r="Q2798" s="11">
        <v>46306.5</v>
      </c>
      <c r="R2798" s="6"/>
      <c r="S2798" s="6"/>
      <c r="T2798" s="6"/>
      <c r="U2798" s="5">
        <f>MATCH(B2798,Manual_Review!$A$6:$A$238,0)</f>
        <v>175</v>
      </c>
      <c r="V2798" s="5" t="str">
        <f>IF(INDEX(Manual_Review!$G$6:$G$238,U2798)="","",INDEX(Manual_Review!$G$6:$G$238,U2798))</f>
        <v/>
      </c>
      <c r="W2798" s="11" t="str">
        <f>IF(INDEX(Manual_Review!$H$6:$H$238,U2798)="","",INDEX(Manual_Review!$H$6:$H$238,U2798))</f>
        <v/>
      </c>
      <c r="X2798" s="5" t="str">
        <f>IF(INDEX(Manual_Review!$I$6:$I$238,U2798)="","",INDEX(Manual_Review!$I$6:$I$238,U2798))</f>
        <v/>
      </c>
      <c r="Y2798" s="5" t="s">
        <v>2859</v>
      </c>
    </row>
    <row r="2799" spans="1:25" ht="38.25">
      <c r="A2799" s="5" t="s">
        <v>8551</v>
      </c>
      <c r="B2799" s="5" t="s">
        <v>1941</v>
      </c>
      <c r="C2799" s="5" t="s">
        <v>1942</v>
      </c>
      <c r="D2799" s="5" t="s">
        <v>118</v>
      </c>
      <c r="E2799" s="5" t="s">
        <v>2790</v>
      </c>
      <c r="F2799" s="5" t="s">
        <v>2760</v>
      </c>
      <c r="G2799" s="5">
        <v>1</v>
      </c>
      <c r="H2799" s="5" t="s">
        <v>2864</v>
      </c>
      <c r="I2799" s="5" t="str">
        <f>IF(INDEX(Manual_Review!$T$6:$T$238,U2799)="","",INDEX(Manual_Review!$T$6:$T$238,U2799))</f>
        <v/>
      </c>
      <c r="J2799" s="5" t="str">
        <f t="shared" si="86"/>
        <v>AI provisional</v>
      </c>
      <c r="K2799" s="5" t="str">
        <f t="shared" si="87"/>
        <v>U</v>
      </c>
      <c r="L2799" s="5" t="s">
        <v>1952</v>
      </c>
      <c r="M2799" s="5" t="s">
        <v>8552</v>
      </c>
      <c r="N2799" s="5" t="s">
        <v>8533</v>
      </c>
      <c r="O2799" s="5" t="s">
        <v>2885</v>
      </c>
      <c r="P2799" s="5" t="s">
        <v>2858</v>
      </c>
      <c r="Q2799" s="11">
        <v>46306.5</v>
      </c>
      <c r="R2799" s="6"/>
      <c r="S2799" s="6"/>
      <c r="T2799" s="6"/>
      <c r="U2799" s="5">
        <f>MATCH(B2799,Manual_Review!$A$6:$A$238,0)</f>
        <v>175</v>
      </c>
      <c r="V2799" s="5" t="str">
        <f>IF(INDEX(Manual_Review!$G$6:$G$238,U2799)="","",INDEX(Manual_Review!$G$6:$G$238,U2799))</f>
        <v/>
      </c>
      <c r="W2799" s="11" t="str">
        <f>IF(INDEX(Manual_Review!$H$6:$H$238,U2799)="","",INDEX(Manual_Review!$H$6:$H$238,U2799))</f>
        <v/>
      </c>
      <c r="X2799" s="5" t="str">
        <f>IF(INDEX(Manual_Review!$I$6:$I$238,U2799)="","",INDEX(Manual_Review!$I$6:$I$238,U2799))</f>
        <v/>
      </c>
      <c r="Y2799" s="5" t="s">
        <v>2859</v>
      </c>
    </row>
    <row r="2800" spans="1:25" ht="38.25">
      <c r="A2800" s="5" t="s">
        <v>8553</v>
      </c>
      <c r="B2800" s="5" t="s">
        <v>1941</v>
      </c>
      <c r="C2800" s="5" t="s">
        <v>1942</v>
      </c>
      <c r="D2800" s="5" t="s">
        <v>118</v>
      </c>
      <c r="E2800" s="5" t="s">
        <v>2791</v>
      </c>
      <c r="F2800" s="5" t="s">
        <v>2760</v>
      </c>
      <c r="G2800" s="5">
        <v>1</v>
      </c>
      <c r="H2800" s="5" t="s">
        <v>2864</v>
      </c>
      <c r="I2800" s="5" t="str">
        <f>IF(INDEX(Manual_Review!$U$6:$U$238,U2800)="","",INDEX(Manual_Review!$U$6:$U$238,U2800))</f>
        <v/>
      </c>
      <c r="J2800" s="5" t="str">
        <f t="shared" si="86"/>
        <v>AI provisional</v>
      </c>
      <c r="K2800" s="5" t="str">
        <f t="shared" si="87"/>
        <v>U</v>
      </c>
      <c r="L2800" s="5" t="s">
        <v>1952</v>
      </c>
      <c r="M2800" s="5" t="s">
        <v>8554</v>
      </c>
      <c r="N2800" s="5" t="s">
        <v>8533</v>
      </c>
      <c r="O2800" s="5" t="s">
        <v>2888</v>
      </c>
      <c r="P2800" s="5" t="s">
        <v>2858</v>
      </c>
      <c r="Q2800" s="11">
        <v>46306.5</v>
      </c>
      <c r="R2800" s="6"/>
      <c r="S2800" s="6"/>
      <c r="T2800" s="6"/>
      <c r="U2800" s="5">
        <f>MATCH(B2800,Manual_Review!$A$6:$A$238,0)</f>
        <v>175</v>
      </c>
      <c r="V2800" s="5" t="str">
        <f>IF(INDEX(Manual_Review!$G$6:$G$238,U2800)="","",INDEX(Manual_Review!$G$6:$G$238,U2800))</f>
        <v/>
      </c>
      <c r="W2800" s="11" t="str">
        <f>IF(INDEX(Manual_Review!$H$6:$H$238,U2800)="","",INDEX(Manual_Review!$H$6:$H$238,U2800))</f>
        <v/>
      </c>
      <c r="X2800" s="5" t="str">
        <f>IF(INDEX(Manual_Review!$I$6:$I$238,U2800)="","",INDEX(Manual_Review!$I$6:$I$238,U2800))</f>
        <v/>
      </c>
      <c r="Y2800" s="5" t="s">
        <v>2859</v>
      </c>
    </row>
    <row r="2801" spans="1:25" ht="38.25">
      <c r="A2801" s="5" t="s">
        <v>8555</v>
      </c>
      <c r="B2801" s="5" t="s">
        <v>1941</v>
      </c>
      <c r="C2801" s="5" t="s">
        <v>1942</v>
      </c>
      <c r="D2801" s="5" t="s">
        <v>118</v>
      </c>
      <c r="E2801" s="5" t="s">
        <v>2792</v>
      </c>
      <c r="F2801" s="5" t="s">
        <v>2762</v>
      </c>
      <c r="G2801" s="5">
        <v>1</v>
      </c>
      <c r="H2801" s="5" t="s">
        <v>2854</v>
      </c>
      <c r="I2801" s="5" t="str">
        <f>IF(INDEX(Manual_Review!$V$6:$V$238,U2801)="","",INDEX(Manual_Review!$V$6:$V$238,U2801))</f>
        <v/>
      </c>
      <c r="J2801" s="5" t="str">
        <f t="shared" si="86"/>
        <v>AI provisional</v>
      </c>
      <c r="K2801" s="5" t="str">
        <f t="shared" si="87"/>
        <v>Y</v>
      </c>
      <c r="L2801" s="5" t="s">
        <v>1952</v>
      </c>
      <c r="M2801" s="5" t="s">
        <v>8556</v>
      </c>
      <c r="N2801" s="5" t="s">
        <v>8533</v>
      </c>
      <c r="O2801" s="5" t="s">
        <v>8557</v>
      </c>
      <c r="P2801" s="5" t="s">
        <v>2858</v>
      </c>
      <c r="Q2801" s="11">
        <v>46306.5</v>
      </c>
      <c r="R2801" s="6"/>
      <c r="S2801" s="6"/>
      <c r="T2801" s="6"/>
      <c r="U2801" s="5">
        <f>MATCH(B2801,Manual_Review!$A$6:$A$238,0)</f>
        <v>175</v>
      </c>
      <c r="V2801" s="5" t="str">
        <f>IF(INDEX(Manual_Review!$G$6:$G$238,U2801)="","",INDEX(Manual_Review!$G$6:$G$238,U2801))</f>
        <v/>
      </c>
      <c r="W2801" s="11" t="str">
        <f>IF(INDEX(Manual_Review!$H$6:$H$238,U2801)="","",INDEX(Manual_Review!$H$6:$H$238,U2801))</f>
        <v/>
      </c>
      <c r="X2801" s="5" t="str">
        <f>IF(INDEX(Manual_Review!$I$6:$I$238,U2801)="","",INDEX(Manual_Review!$I$6:$I$238,U2801))</f>
        <v/>
      </c>
      <c r="Y2801" s="5" t="s">
        <v>2859</v>
      </c>
    </row>
    <row r="2802" spans="1:25" ht="38.25">
      <c r="A2802" s="5" t="s">
        <v>8558</v>
      </c>
      <c r="B2802" s="5" t="s">
        <v>1941</v>
      </c>
      <c r="C2802" s="5" t="s">
        <v>1942</v>
      </c>
      <c r="D2802" s="5" t="s">
        <v>118</v>
      </c>
      <c r="E2802" s="5" t="s">
        <v>2793</v>
      </c>
      <c r="F2802" s="5" t="s">
        <v>2762</v>
      </c>
      <c r="G2802" s="5">
        <v>1</v>
      </c>
      <c r="H2802" s="5" t="s">
        <v>2864</v>
      </c>
      <c r="I2802" s="5" t="str">
        <f>IF(INDEX(Manual_Review!$W$6:$W$238,U2802)="","",INDEX(Manual_Review!$W$6:$W$238,U2802))</f>
        <v/>
      </c>
      <c r="J2802" s="5" t="str">
        <f t="shared" si="86"/>
        <v>AI provisional</v>
      </c>
      <c r="K2802" s="5" t="str">
        <f t="shared" si="87"/>
        <v>U</v>
      </c>
      <c r="L2802" s="5" t="s">
        <v>1952</v>
      </c>
      <c r="M2802" s="5" t="s">
        <v>8559</v>
      </c>
      <c r="N2802" s="5" t="s">
        <v>8533</v>
      </c>
      <c r="O2802" s="5" t="s">
        <v>2893</v>
      </c>
      <c r="P2802" s="5" t="s">
        <v>2858</v>
      </c>
      <c r="Q2802" s="11">
        <v>46306.5</v>
      </c>
      <c r="R2802" s="6"/>
      <c r="S2802" s="6"/>
      <c r="T2802" s="6"/>
      <c r="U2802" s="5">
        <f>MATCH(B2802,Manual_Review!$A$6:$A$238,0)</f>
        <v>175</v>
      </c>
      <c r="V2802" s="5" t="str">
        <f>IF(INDEX(Manual_Review!$G$6:$G$238,U2802)="","",INDEX(Manual_Review!$G$6:$G$238,U2802))</f>
        <v/>
      </c>
      <c r="W2802" s="11" t="str">
        <f>IF(INDEX(Manual_Review!$H$6:$H$238,U2802)="","",INDEX(Manual_Review!$H$6:$H$238,U2802))</f>
        <v/>
      </c>
      <c r="X2802" s="5" t="str">
        <f>IF(INDEX(Manual_Review!$I$6:$I$238,U2802)="","",INDEX(Manual_Review!$I$6:$I$238,U2802))</f>
        <v/>
      </c>
      <c r="Y2802" s="5" t="s">
        <v>2859</v>
      </c>
    </row>
    <row r="2803" spans="1:25" ht="38.25">
      <c r="A2803" s="5" t="s">
        <v>8560</v>
      </c>
      <c r="B2803" s="5" t="s">
        <v>1941</v>
      </c>
      <c r="C2803" s="5" t="s">
        <v>1942</v>
      </c>
      <c r="D2803" s="5" t="s">
        <v>118</v>
      </c>
      <c r="E2803" s="5" t="s">
        <v>2794</v>
      </c>
      <c r="F2803" s="5" t="s">
        <v>2764</v>
      </c>
      <c r="G2803" s="5">
        <v>1</v>
      </c>
      <c r="H2803" s="5" t="s">
        <v>2854</v>
      </c>
      <c r="I2803" s="5" t="str">
        <f>IF(INDEX(Manual_Review!$X$6:$X$238,U2803)="","",INDEX(Manual_Review!$X$6:$X$238,U2803))</f>
        <v/>
      </c>
      <c r="J2803" s="5" t="str">
        <f t="shared" si="86"/>
        <v>AI provisional</v>
      </c>
      <c r="K2803" s="5" t="str">
        <f t="shared" si="87"/>
        <v>Y</v>
      </c>
      <c r="L2803" s="5" t="s">
        <v>1952</v>
      </c>
      <c r="M2803" s="5" t="s">
        <v>8561</v>
      </c>
      <c r="N2803" s="5" t="s">
        <v>8533</v>
      </c>
      <c r="O2803" s="5" t="s">
        <v>2984</v>
      </c>
      <c r="P2803" s="5" t="s">
        <v>2858</v>
      </c>
      <c r="Q2803" s="11">
        <v>46306.5</v>
      </c>
      <c r="R2803" s="6"/>
      <c r="S2803" s="6"/>
      <c r="T2803" s="6"/>
      <c r="U2803" s="5">
        <f>MATCH(B2803,Manual_Review!$A$6:$A$238,0)</f>
        <v>175</v>
      </c>
      <c r="V2803" s="5" t="str">
        <f>IF(INDEX(Manual_Review!$G$6:$G$238,U2803)="","",INDEX(Manual_Review!$G$6:$G$238,U2803))</f>
        <v/>
      </c>
      <c r="W2803" s="11" t="str">
        <f>IF(INDEX(Manual_Review!$H$6:$H$238,U2803)="","",INDEX(Manual_Review!$H$6:$H$238,U2803))</f>
        <v/>
      </c>
      <c r="X2803" s="5" t="str">
        <f>IF(INDEX(Manual_Review!$I$6:$I$238,U2803)="","",INDEX(Manual_Review!$I$6:$I$238,U2803))</f>
        <v/>
      </c>
      <c r="Y2803" s="5" t="s">
        <v>2859</v>
      </c>
    </row>
    <row r="2804" spans="1:25" ht="38.25">
      <c r="A2804" s="5" t="s">
        <v>8562</v>
      </c>
      <c r="B2804" s="5" t="s">
        <v>1941</v>
      </c>
      <c r="C2804" s="5" t="s">
        <v>1942</v>
      </c>
      <c r="D2804" s="5" t="s">
        <v>118</v>
      </c>
      <c r="E2804" s="5" t="s">
        <v>2795</v>
      </c>
      <c r="F2804" s="5" t="s">
        <v>2764</v>
      </c>
      <c r="G2804" s="5">
        <v>1</v>
      </c>
      <c r="H2804" s="5" t="s">
        <v>2864</v>
      </c>
      <c r="I2804" s="5" t="str">
        <f>IF(INDEX(Manual_Review!$Y$6:$Y$238,U2804)="","",INDEX(Manual_Review!$Y$6:$Y$238,U2804))</f>
        <v/>
      </c>
      <c r="J2804" s="5" t="str">
        <f t="shared" si="86"/>
        <v>AI provisional</v>
      </c>
      <c r="K2804" s="5" t="str">
        <f t="shared" si="87"/>
        <v>U</v>
      </c>
      <c r="L2804" s="5" t="s">
        <v>1952</v>
      </c>
      <c r="M2804" s="5" t="s">
        <v>8544</v>
      </c>
      <c r="N2804" s="5" t="s">
        <v>8533</v>
      </c>
      <c r="O2804" s="5" t="s">
        <v>2897</v>
      </c>
      <c r="P2804" s="5" t="s">
        <v>2858</v>
      </c>
      <c r="Q2804" s="11">
        <v>46306.5</v>
      </c>
      <c r="R2804" s="6"/>
      <c r="S2804" s="6"/>
      <c r="T2804" s="6"/>
      <c r="U2804" s="5">
        <f>MATCH(B2804,Manual_Review!$A$6:$A$238,0)</f>
        <v>175</v>
      </c>
      <c r="V2804" s="5" t="str">
        <f>IF(INDEX(Manual_Review!$G$6:$G$238,U2804)="","",INDEX(Manual_Review!$G$6:$G$238,U2804))</f>
        <v/>
      </c>
      <c r="W2804" s="11" t="str">
        <f>IF(INDEX(Manual_Review!$H$6:$H$238,U2804)="","",INDEX(Manual_Review!$H$6:$H$238,U2804))</f>
        <v/>
      </c>
      <c r="X2804" s="5" t="str">
        <f>IF(INDEX(Manual_Review!$I$6:$I$238,U2804)="","",INDEX(Manual_Review!$I$6:$I$238,U2804))</f>
        <v/>
      </c>
      <c r="Y2804" s="5" t="s">
        <v>2859</v>
      </c>
    </row>
    <row r="2805" spans="1:25" ht="38.25">
      <c r="A2805" s="5" t="s">
        <v>8563</v>
      </c>
      <c r="B2805" s="5" t="s">
        <v>1941</v>
      </c>
      <c r="C2805" s="5" t="s">
        <v>1942</v>
      </c>
      <c r="D2805" s="5" t="s">
        <v>118</v>
      </c>
      <c r="E2805" s="5" t="s">
        <v>2796</v>
      </c>
      <c r="F2805" s="5" t="s">
        <v>2764</v>
      </c>
      <c r="G2805" s="5">
        <v>1</v>
      </c>
      <c r="H2805" s="5" t="s">
        <v>2864</v>
      </c>
      <c r="I2805" s="5" t="str">
        <f>IF(INDEX(Manual_Review!$Z$6:$Z$238,U2805)="","",INDEX(Manual_Review!$Z$6:$Z$238,U2805))</f>
        <v/>
      </c>
      <c r="J2805" s="5" t="str">
        <f t="shared" si="86"/>
        <v>AI provisional</v>
      </c>
      <c r="K2805" s="5" t="str">
        <f t="shared" si="87"/>
        <v>U</v>
      </c>
      <c r="L2805" s="5" t="s">
        <v>1952</v>
      </c>
      <c r="M2805" s="5" t="s">
        <v>8564</v>
      </c>
      <c r="N2805" s="5" t="s">
        <v>8533</v>
      </c>
      <c r="O2805" s="5" t="s">
        <v>2899</v>
      </c>
      <c r="P2805" s="5" t="s">
        <v>2858</v>
      </c>
      <c r="Q2805" s="11">
        <v>46306.5</v>
      </c>
      <c r="R2805" s="6"/>
      <c r="S2805" s="6"/>
      <c r="T2805" s="6"/>
      <c r="U2805" s="5">
        <f>MATCH(B2805,Manual_Review!$A$6:$A$238,0)</f>
        <v>175</v>
      </c>
      <c r="V2805" s="5" t="str">
        <f>IF(INDEX(Manual_Review!$G$6:$G$238,U2805)="","",INDEX(Manual_Review!$G$6:$G$238,U2805))</f>
        <v/>
      </c>
      <c r="W2805" s="11" t="str">
        <f>IF(INDEX(Manual_Review!$H$6:$H$238,U2805)="","",INDEX(Manual_Review!$H$6:$H$238,U2805))</f>
        <v/>
      </c>
      <c r="X2805" s="5" t="str">
        <f>IF(INDEX(Manual_Review!$I$6:$I$238,U2805)="","",INDEX(Manual_Review!$I$6:$I$238,U2805))</f>
        <v/>
      </c>
      <c r="Y2805" s="5" t="s">
        <v>2859</v>
      </c>
    </row>
    <row r="2806" spans="1:25" ht="25.5">
      <c r="A2806" s="5" t="s">
        <v>8565</v>
      </c>
      <c r="B2806" s="5" t="s">
        <v>1954</v>
      </c>
      <c r="C2806" s="5" t="s">
        <v>1955</v>
      </c>
      <c r="D2806" s="5" t="s">
        <v>118</v>
      </c>
      <c r="E2806" s="5" t="s">
        <v>2781</v>
      </c>
      <c r="F2806" s="5" t="s">
        <v>2754</v>
      </c>
      <c r="G2806" s="5">
        <v>1</v>
      </c>
      <c r="H2806" s="5" t="s">
        <v>2854</v>
      </c>
      <c r="I2806" s="5" t="str">
        <f>IF(INDEX(Manual_Review!$K$6:$K$238,U2806)="","",INDEX(Manual_Review!$K$6:$K$238,U2806))</f>
        <v/>
      </c>
      <c r="J2806" s="5" t="str">
        <f t="shared" si="86"/>
        <v>AI provisional</v>
      </c>
      <c r="K2806" s="5" t="str">
        <f t="shared" si="87"/>
        <v>Y</v>
      </c>
      <c r="L2806" s="5" t="s">
        <v>8566</v>
      </c>
      <c r="M2806" s="5" t="s">
        <v>8567</v>
      </c>
      <c r="N2806" s="5" t="s">
        <v>8568</v>
      </c>
      <c r="O2806" s="5" t="s">
        <v>2991</v>
      </c>
      <c r="P2806" s="5" t="s">
        <v>2992</v>
      </c>
      <c r="Q2806" s="11">
        <v>46306.5</v>
      </c>
      <c r="R2806" s="6"/>
      <c r="S2806" s="6"/>
      <c r="T2806" s="6"/>
      <c r="U2806" s="5">
        <f>MATCH(B2806,Manual_Review!$A$6:$A$238,0)</f>
        <v>176</v>
      </c>
      <c r="V2806" s="5" t="str">
        <f>IF(INDEX(Manual_Review!$G$6:$G$238,U2806)="","",INDEX(Manual_Review!$G$6:$G$238,U2806))</f>
        <v/>
      </c>
      <c r="W2806" s="11" t="str">
        <f>IF(INDEX(Manual_Review!$H$6:$H$238,U2806)="","",INDEX(Manual_Review!$H$6:$H$238,U2806))</f>
        <v/>
      </c>
      <c r="X2806" s="5" t="str">
        <f>IF(INDEX(Manual_Review!$I$6:$I$238,U2806)="","",INDEX(Manual_Review!$I$6:$I$238,U2806))</f>
        <v/>
      </c>
      <c r="Y2806" s="5" t="s">
        <v>2859</v>
      </c>
    </row>
    <row r="2807" spans="1:25" ht="25.5">
      <c r="A2807" s="5" t="s">
        <v>8569</v>
      </c>
      <c r="B2807" s="5" t="s">
        <v>1954</v>
      </c>
      <c r="C2807" s="5" t="s">
        <v>1955</v>
      </c>
      <c r="D2807" s="5" t="s">
        <v>118</v>
      </c>
      <c r="E2807" s="5" t="s">
        <v>2782</v>
      </c>
      <c r="F2807" s="5" t="s">
        <v>2754</v>
      </c>
      <c r="G2807" s="5">
        <v>1</v>
      </c>
      <c r="H2807" s="5" t="s">
        <v>2864</v>
      </c>
      <c r="I2807" s="5" t="str">
        <f>IF(INDEX(Manual_Review!$L$6:$L$238,U2807)="","",INDEX(Manual_Review!$L$6:$L$238,U2807))</f>
        <v/>
      </c>
      <c r="J2807" s="5" t="str">
        <f t="shared" si="86"/>
        <v>AI provisional</v>
      </c>
      <c r="K2807" s="5" t="str">
        <f t="shared" si="87"/>
        <v>U</v>
      </c>
      <c r="L2807" s="5" t="s">
        <v>8566</v>
      </c>
      <c r="M2807" s="5" t="s">
        <v>8570</v>
      </c>
      <c r="N2807" s="5" t="s">
        <v>8571</v>
      </c>
      <c r="O2807" s="5" t="s">
        <v>8572</v>
      </c>
      <c r="P2807" s="5" t="s">
        <v>2992</v>
      </c>
      <c r="Q2807" s="11">
        <v>46306.5</v>
      </c>
      <c r="R2807" s="6"/>
      <c r="S2807" s="6"/>
      <c r="T2807" s="6"/>
      <c r="U2807" s="5">
        <f>MATCH(B2807,Manual_Review!$A$6:$A$238,0)</f>
        <v>176</v>
      </c>
      <c r="V2807" s="5" t="str">
        <f>IF(INDEX(Manual_Review!$G$6:$G$238,U2807)="","",INDEX(Manual_Review!$G$6:$G$238,U2807))</f>
        <v/>
      </c>
      <c r="W2807" s="11" t="str">
        <f>IF(INDEX(Manual_Review!$H$6:$H$238,U2807)="","",INDEX(Manual_Review!$H$6:$H$238,U2807))</f>
        <v/>
      </c>
      <c r="X2807" s="5" t="str">
        <f>IF(INDEX(Manual_Review!$I$6:$I$238,U2807)="","",INDEX(Manual_Review!$I$6:$I$238,U2807))</f>
        <v/>
      </c>
      <c r="Y2807" s="5" t="s">
        <v>2859</v>
      </c>
    </row>
    <row r="2808" spans="1:25" ht="25.5">
      <c r="A2808" s="5" t="s">
        <v>8573</v>
      </c>
      <c r="B2808" s="5" t="s">
        <v>1954</v>
      </c>
      <c r="C2808" s="5" t="s">
        <v>1955</v>
      </c>
      <c r="D2808" s="5" t="s">
        <v>118</v>
      </c>
      <c r="E2808" s="5" t="s">
        <v>2783</v>
      </c>
      <c r="F2808" s="5" t="s">
        <v>2754</v>
      </c>
      <c r="G2808" s="5">
        <v>1</v>
      </c>
      <c r="H2808" s="5" t="s">
        <v>2864</v>
      </c>
      <c r="I2808" s="5" t="str">
        <f>IF(INDEX(Manual_Review!$M$6:$M$238,U2808)="","",INDEX(Manual_Review!$M$6:$M$238,U2808))</f>
        <v/>
      </c>
      <c r="J2808" s="5" t="str">
        <f t="shared" si="86"/>
        <v>AI provisional</v>
      </c>
      <c r="K2808" s="5" t="str">
        <f t="shared" si="87"/>
        <v>U</v>
      </c>
      <c r="L2808" s="5" t="s">
        <v>8566</v>
      </c>
      <c r="M2808" s="5" t="s">
        <v>8574</v>
      </c>
      <c r="N2808" s="5" t="s">
        <v>8575</v>
      </c>
      <c r="O2808" s="5" t="s">
        <v>3808</v>
      </c>
      <c r="P2808" s="5" t="s">
        <v>2992</v>
      </c>
      <c r="Q2808" s="11">
        <v>46306.5</v>
      </c>
      <c r="R2808" s="6"/>
      <c r="S2808" s="6"/>
      <c r="T2808" s="6"/>
      <c r="U2808" s="5">
        <f>MATCH(B2808,Manual_Review!$A$6:$A$238,0)</f>
        <v>176</v>
      </c>
      <c r="V2808" s="5" t="str">
        <f>IF(INDEX(Manual_Review!$G$6:$G$238,U2808)="","",INDEX(Manual_Review!$G$6:$G$238,U2808))</f>
        <v/>
      </c>
      <c r="W2808" s="11" t="str">
        <f>IF(INDEX(Manual_Review!$H$6:$H$238,U2808)="","",INDEX(Manual_Review!$H$6:$H$238,U2808))</f>
        <v/>
      </c>
      <c r="X2808" s="5" t="str">
        <f>IF(INDEX(Manual_Review!$I$6:$I$238,U2808)="","",INDEX(Manual_Review!$I$6:$I$238,U2808))</f>
        <v/>
      </c>
      <c r="Y2808" s="5" t="s">
        <v>2859</v>
      </c>
    </row>
    <row r="2809" spans="1:25" ht="25.5">
      <c r="A2809" s="5" t="s">
        <v>8576</v>
      </c>
      <c r="B2809" s="5" t="s">
        <v>1954</v>
      </c>
      <c r="C2809" s="5" t="s">
        <v>1955</v>
      </c>
      <c r="D2809" s="5" t="s">
        <v>118</v>
      </c>
      <c r="E2809" s="5" t="s">
        <v>2784</v>
      </c>
      <c r="F2809" s="5" t="s">
        <v>2756</v>
      </c>
      <c r="G2809" s="5">
        <v>1</v>
      </c>
      <c r="H2809" s="5" t="s">
        <v>2854</v>
      </c>
      <c r="I2809" s="5" t="str">
        <f>IF(INDEX(Manual_Review!$N$6:$N$238,U2809)="","",INDEX(Manual_Review!$N$6:$N$238,U2809))</f>
        <v/>
      </c>
      <c r="J2809" s="5" t="str">
        <f t="shared" si="86"/>
        <v>AI provisional</v>
      </c>
      <c r="K2809" s="5" t="str">
        <f t="shared" si="87"/>
        <v>Y</v>
      </c>
      <c r="L2809" s="5" t="s">
        <v>8566</v>
      </c>
      <c r="M2809" s="5" t="s">
        <v>8577</v>
      </c>
      <c r="N2809" s="5" t="s">
        <v>8578</v>
      </c>
      <c r="O2809" s="5" t="s">
        <v>3004</v>
      </c>
      <c r="P2809" s="5" t="s">
        <v>2992</v>
      </c>
      <c r="Q2809" s="11">
        <v>46306.5</v>
      </c>
      <c r="R2809" s="6"/>
      <c r="S2809" s="6"/>
      <c r="T2809" s="6"/>
      <c r="U2809" s="5">
        <f>MATCH(B2809,Manual_Review!$A$6:$A$238,0)</f>
        <v>176</v>
      </c>
      <c r="V2809" s="5" t="str">
        <f>IF(INDEX(Manual_Review!$G$6:$G$238,U2809)="","",INDEX(Manual_Review!$G$6:$G$238,U2809))</f>
        <v/>
      </c>
      <c r="W2809" s="11" t="str">
        <f>IF(INDEX(Manual_Review!$H$6:$H$238,U2809)="","",INDEX(Manual_Review!$H$6:$H$238,U2809))</f>
        <v/>
      </c>
      <c r="X2809" s="5" t="str">
        <f>IF(INDEX(Manual_Review!$I$6:$I$238,U2809)="","",INDEX(Manual_Review!$I$6:$I$238,U2809))</f>
        <v/>
      </c>
      <c r="Y2809" s="5" t="s">
        <v>2859</v>
      </c>
    </row>
    <row r="2810" spans="1:25" ht="25.5">
      <c r="A2810" s="5" t="s">
        <v>8579</v>
      </c>
      <c r="B2810" s="5" t="s">
        <v>1954</v>
      </c>
      <c r="C2810" s="5" t="s">
        <v>1955</v>
      </c>
      <c r="D2810" s="5" t="s">
        <v>118</v>
      </c>
      <c r="E2810" s="5" t="s">
        <v>2785</v>
      </c>
      <c r="F2810" s="5" t="s">
        <v>2756</v>
      </c>
      <c r="G2810" s="5">
        <v>1</v>
      </c>
      <c r="H2810" s="5" t="s">
        <v>2864</v>
      </c>
      <c r="I2810" s="5" t="str">
        <f>IF(INDEX(Manual_Review!$O$6:$O$238,U2810)="","",INDEX(Manual_Review!$O$6:$O$238,U2810))</f>
        <v/>
      </c>
      <c r="J2810" s="5" t="str">
        <f t="shared" si="86"/>
        <v>AI provisional</v>
      </c>
      <c r="K2810" s="5" t="str">
        <f t="shared" si="87"/>
        <v>U</v>
      </c>
      <c r="L2810" s="5" t="s">
        <v>8566</v>
      </c>
      <c r="M2810" s="5" t="s">
        <v>8577</v>
      </c>
      <c r="N2810" s="5" t="s">
        <v>8578</v>
      </c>
      <c r="O2810" s="5" t="s">
        <v>3006</v>
      </c>
      <c r="P2810" s="5" t="s">
        <v>2992</v>
      </c>
      <c r="Q2810" s="11">
        <v>46306.5</v>
      </c>
      <c r="R2810" s="6"/>
      <c r="S2810" s="6"/>
      <c r="T2810" s="6"/>
      <c r="U2810" s="5">
        <f>MATCH(B2810,Manual_Review!$A$6:$A$238,0)</f>
        <v>176</v>
      </c>
      <c r="V2810" s="5" t="str">
        <f>IF(INDEX(Manual_Review!$G$6:$G$238,U2810)="","",INDEX(Manual_Review!$G$6:$G$238,U2810))</f>
        <v/>
      </c>
      <c r="W2810" s="11" t="str">
        <f>IF(INDEX(Manual_Review!$H$6:$H$238,U2810)="","",INDEX(Manual_Review!$H$6:$H$238,U2810))</f>
        <v/>
      </c>
      <c r="X2810" s="5" t="str">
        <f>IF(INDEX(Manual_Review!$I$6:$I$238,U2810)="","",INDEX(Manual_Review!$I$6:$I$238,U2810))</f>
        <v/>
      </c>
      <c r="Y2810" s="5" t="s">
        <v>2859</v>
      </c>
    </row>
    <row r="2811" spans="1:25" ht="25.5">
      <c r="A2811" s="5" t="s">
        <v>8580</v>
      </c>
      <c r="B2811" s="5" t="s">
        <v>1954</v>
      </c>
      <c r="C2811" s="5" t="s">
        <v>1955</v>
      </c>
      <c r="D2811" s="5" t="s">
        <v>118</v>
      </c>
      <c r="E2811" s="5" t="s">
        <v>2786</v>
      </c>
      <c r="F2811" s="5" t="s">
        <v>2756</v>
      </c>
      <c r="G2811" s="5">
        <v>1</v>
      </c>
      <c r="H2811" s="5" t="s">
        <v>2864</v>
      </c>
      <c r="I2811" s="5" t="str">
        <f>IF(INDEX(Manual_Review!$P$6:$P$238,U2811)="","",INDEX(Manual_Review!$P$6:$P$238,U2811))</f>
        <v/>
      </c>
      <c r="J2811" s="5" t="str">
        <f t="shared" si="86"/>
        <v>AI provisional</v>
      </c>
      <c r="K2811" s="5" t="str">
        <f t="shared" si="87"/>
        <v>U</v>
      </c>
      <c r="L2811" s="5" t="s">
        <v>8566</v>
      </c>
      <c r="M2811" s="5" t="s">
        <v>8581</v>
      </c>
      <c r="N2811" s="5" t="s">
        <v>8582</v>
      </c>
      <c r="O2811" s="5" t="s">
        <v>3010</v>
      </c>
      <c r="P2811" s="5" t="s">
        <v>2992</v>
      </c>
      <c r="Q2811" s="11">
        <v>46306.5</v>
      </c>
      <c r="R2811" s="6"/>
      <c r="S2811" s="6"/>
      <c r="T2811" s="6"/>
      <c r="U2811" s="5">
        <f>MATCH(B2811,Manual_Review!$A$6:$A$238,0)</f>
        <v>176</v>
      </c>
      <c r="V2811" s="5" t="str">
        <f>IF(INDEX(Manual_Review!$G$6:$G$238,U2811)="","",INDEX(Manual_Review!$G$6:$G$238,U2811))</f>
        <v/>
      </c>
      <c r="W2811" s="11" t="str">
        <f>IF(INDEX(Manual_Review!$H$6:$H$238,U2811)="","",INDEX(Manual_Review!$H$6:$H$238,U2811))</f>
        <v/>
      </c>
      <c r="X2811" s="5" t="str">
        <f>IF(INDEX(Manual_Review!$I$6:$I$238,U2811)="","",INDEX(Manual_Review!$I$6:$I$238,U2811))</f>
        <v/>
      </c>
      <c r="Y2811" s="5" t="s">
        <v>2859</v>
      </c>
    </row>
    <row r="2812" spans="1:25" ht="25.5">
      <c r="A2812" s="5" t="s">
        <v>8583</v>
      </c>
      <c r="B2812" s="5" t="s">
        <v>1954</v>
      </c>
      <c r="C2812" s="5" t="s">
        <v>1955</v>
      </c>
      <c r="D2812" s="5" t="s">
        <v>118</v>
      </c>
      <c r="E2812" s="5" t="s">
        <v>2787</v>
      </c>
      <c r="F2812" s="5" t="s">
        <v>2758</v>
      </c>
      <c r="G2812" s="5">
        <v>1</v>
      </c>
      <c r="H2812" s="5" t="s">
        <v>2864</v>
      </c>
      <c r="I2812" s="5" t="str">
        <f>IF(INDEX(Manual_Review!$Q$6:$Q$238,U2812)="","",INDEX(Manual_Review!$Q$6:$Q$238,U2812))</f>
        <v/>
      </c>
      <c r="J2812" s="5" t="str">
        <f t="shared" si="86"/>
        <v>AI provisional</v>
      </c>
      <c r="K2812" s="5" t="str">
        <f t="shared" si="87"/>
        <v>U</v>
      </c>
      <c r="L2812" s="5" t="s">
        <v>8566</v>
      </c>
      <c r="M2812" s="5" t="s">
        <v>8584</v>
      </c>
      <c r="N2812" s="5" t="s">
        <v>8585</v>
      </c>
      <c r="O2812" s="5" t="s">
        <v>3014</v>
      </c>
      <c r="P2812" s="5" t="s">
        <v>2992</v>
      </c>
      <c r="Q2812" s="11">
        <v>46306.5</v>
      </c>
      <c r="R2812" s="6"/>
      <c r="S2812" s="6"/>
      <c r="T2812" s="6"/>
      <c r="U2812" s="5">
        <f>MATCH(B2812,Manual_Review!$A$6:$A$238,0)</f>
        <v>176</v>
      </c>
      <c r="V2812" s="5" t="str">
        <f>IF(INDEX(Manual_Review!$G$6:$G$238,U2812)="","",INDEX(Manual_Review!$G$6:$G$238,U2812))</f>
        <v/>
      </c>
      <c r="W2812" s="11" t="str">
        <f>IF(INDEX(Manual_Review!$H$6:$H$238,U2812)="","",INDEX(Manual_Review!$H$6:$H$238,U2812))</f>
        <v/>
      </c>
      <c r="X2812" s="5" t="str">
        <f>IF(INDEX(Manual_Review!$I$6:$I$238,U2812)="","",INDEX(Manual_Review!$I$6:$I$238,U2812))</f>
        <v/>
      </c>
      <c r="Y2812" s="5" t="s">
        <v>2859</v>
      </c>
    </row>
    <row r="2813" spans="1:25" ht="51">
      <c r="A2813" s="5" t="s">
        <v>8586</v>
      </c>
      <c r="B2813" s="5" t="s">
        <v>1954</v>
      </c>
      <c r="C2813" s="5" t="s">
        <v>1955</v>
      </c>
      <c r="D2813" s="5" t="s">
        <v>118</v>
      </c>
      <c r="E2813" s="5" t="s">
        <v>2788</v>
      </c>
      <c r="F2813" s="5" t="s">
        <v>2758</v>
      </c>
      <c r="G2813" s="5">
        <v>1</v>
      </c>
      <c r="H2813" s="5" t="s">
        <v>2854</v>
      </c>
      <c r="I2813" s="5" t="str">
        <f>IF(INDEX(Manual_Review!$R$6:$R$238,U2813)="","",INDEX(Manual_Review!$R$6:$R$238,U2813))</f>
        <v/>
      </c>
      <c r="J2813" s="5" t="str">
        <f t="shared" si="86"/>
        <v>AI provisional</v>
      </c>
      <c r="K2813" s="5" t="str">
        <f t="shared" si="87"/>
        <v>Y</v>
      </c>
      <c r="L2813" s="5" t="s">
        <v>8566</v>
      </c>
      <c r="M2813" s="5" t="s">
        <v>8587</v>
      </c>
      <c r="N2813" s="5" t="s">
        <v>8588</v>
      </c>
      <c r="O2813" s="5" t="s">
        <v>3018</v>
      </c>
      <c r="P2813" s="5" t="s">
        <v>2992</v>
      </c>
      <c r="Q2813" s="11">
        <v>46306.5</v>
      </c>
      <c r="R2813" s="6"/>
      <c r="S2813" s="6"/>
      <c r="T2813" s="6"/>
      <c r="U2813" s="5">
        <f>MATCH(B2813,Manual_Review!$A$6:$A$238,0)</f>
        <v>176</v>
      </c>
      <c r="V2813" s="5" t="str">
        <f>IF(INDEX(Manual_Review!$G$6:$G$238,U2813)="","",INDEX(Manual_Review!$G$6:$G$238,U2813))</f>
        <v/>
      </c>
      <c r="W2813" s="11" t="str">
        <f>IF(INDEX(Manual_Review!$H$6:$H$238,U2813)="","",INDEX(Manual_Review!$H$6:$H$238,U2813))</f>
        <v/>
      </c>
      <c r="X2813" s="5" t="str">
        <f>IF(INDEX(Manual_Review!$I$6:$I$238,U2813)="","",INDEX(Manual_Review!$I$6:$I$238,U2813))</f>
        <v/>
      </c>
      <c r="Y2813" s="5" t="s">
        <v>2859</v>
      </c>
    </row>
    <row r="2814" spans="1:25" ht="38.25">
      <c r="A2814" s="5" t="s">
        <v>8589</v>
      </c>
      <c r="B2814" s="5" t="s">
        <v>1954</v>
      </c>
      <c r="C2814" s="5" t="s">
        <v>1955</v>
      </c>
      <c r="D2814" s="5" t="s">
        <v>118</v>
      </c>
      <c r="E2814" s="5" t="s">
        <v>2789</v>
      </c>
      <c r="F2814" s="5" t="s">
        <v>2758</v>
      </c>
      <c r="G2814" s="5">
        <v>1</v>
      </c>
      <c r="H2814" s="5" t="s">
        <v>2864</v>
      </c>
      <c r="I2814" s="5" t="str">
        <f>IF(INDEX(Manual_Review!$S$6:$S$238,U2814)="","",INDEX(Manual_Review!$S$6:$S$238,U2814))</f>
        <v/>
      </c>
      <c r="J2814" s="5" t="str">
        <f t="shared" si="86"/>
        <v>AI provisional</v>
      </c>
      <c r="K2814" s="5" t="str">
        <f t="shared" si="87"/>
        <v>U</v>
      </c>
      <c r="L2814" s="5" t="s">
        <v>8566</v>
      </c>
      <c r="M2814" s="5" t="s">
        <v>8590</v>
      </c>
      <c r="N2814" s="5" t="s">
        <v>8591</v>
      </c>
      <c r="O2814" s="5" t="s">
        <v>3447</v>
      </c>
      <c r="P2814" s="5" t="s">
        <v>2992</v>
      </c>
      <c r="Q2814" s="11">
        <v>46306.5</v>
      </c>
      <c r="R2814" s="6"/>
      <c r="S2814" s="6"/>
      <c r="T2814" s="6"/>
      <c r="U2814" s="5">
        <f>MATCH(B2814,Manual_Review!$A$6:$A$238,0)</f>
        <v>176</v>
      </c>
      <c r="V2814" s="5" t="str">
        <f>IF(INDEX(Manual_Review!$G$6:$G$238,U2814)="","",INDEX(Manual_Review!$G$6:$G$238,U2814))</f>
        <v/>
      </c>
      <c r="W2814" s="11" t="str">
        <f>IF(INDEX(Manual_Review!$H$6:$H$238,U2814)="","",INDEX(Manual_Review!$H$6:$H$238,U2814))</f>
        <v/>
      </c>
      <c r="X2814" s="5" t="str">
        <f>IF(INDEX(Manual_Review!$I$6:$I$238,U2814)="","",INDEX(Manual_Review!$I$6:$I$238,U2814))</f>
        <v/>
      </c>
      <c r="Y2814" s="5" t="s">
        <v>2859</v>
      </c>
    </row>
    <row r="2815" spans="1:25" ht="25.5">
      <c r="A2815" s="5" t="s">
        <v>8592</v>
      </c>
      <c r="B2815" s="5" t="s">
        <v>1954</v>
      </c>
      <c r="C2815" s="5" t="s">
        <v>1955</v>
      </c>
      <c r="D2815" s="5" t="s">
        <v>118</v>
      </c>
      <c r="E2815" s="5" t="s">
        <v>2790</v>
      </c>
      <c r="F2815" s="5" t="s">
        <v>2760</v>
      </c>
      <c r="G2815" s="5">
        <v>1</v>
      </c>
      <c r="H2815" s="5" t="s">
        <v>2864</v>
      </c>
      <c r="I2815" s="5" t="str">
        <f>IF(INDEX(Manual_Review!$T$6:$T$238,U2815)="","",INDEX(Manual_Review!$T$6:$T$238,U2815))</f>
        <v/>
      </c>
      <c r="J2815" s="5" t="str">
        <f t="shared" si="86"/>
        <v>AI provisional</v>
      </c>
      <c r="K2815" s="5" t="str">
        <f t="shared" si="87"/>
        <v>U</v>
      </c>
      <c r="L2815" s="5" t="s">
        <v>8566</v>
      </c>
      <c r="M2815" s="5" t="s">
        <v>8593</v>
      </c>
      <c r="N2815" s="5" t="s">
        <v>8594</v>
      </c>
      <c r="O2815" s="5" t="s">
        <v>5273</v>
      </c>
      <c r="P2815" s="5" t="s">
        <v>2992</v>
      </c>
      <c r="Q2815" s="11">
        <v>46306.5</v>
      </c>
      <c r="R2815" s="6"/>
      <c r="S2815" s="6"/>
      <c r="T2815" s="6"/>
      <c r="U2815" s="5">
        <f>MATCH(B2815,Manual_Review!$A$6:$A$238,0)</f>
        <v>176</v>
      </c>
      <c r="V2815" s="5" t="str">
        <f>IF(INDEX(Manual_Review!$G$6:$G$238,U2815)="","",INDEX(Manual_Review!$G$6:$G$238,U2815))</f>
        <v/>
      </c>
      <c r="W2815" s="11" t="str">
        <f>IF(INDEX(Manual_Review!$H$6:$H$238,U2815)="","",INDEX(Manual_Review!$H$6:$H$238,U2815))</f>
        <v/>
      </c>
      <c r="X2815" s="5" t="str">
        <f>IF(INDEX(Manual_Review!$I$6:$I$238,U2815)="","",INDEX(Manual_Review!$I$6:$I$238,U2815))</f>
        <v/>
      </c>
      <c r="Y2815" s="5" t="s">
        <v>2859</v>
      </c>
    </row>
    <row r="2816" spans="1:25" ht="25.5">
      <c r="A2816" s="5" t="s">
        <v>8595</v>
      </c>
      <c r="B2816" s="5" t="s">
        <v>1954</v>
      </c>
      <c r="C2816" s="5" t="s">
        <v>1955</v>
      </c>
      <c r="D2816" s="5" t="s">
        <v>118</v>
      </c>
      <c r="E2816" s="5" t="s">
        <v>2791</v>
      </c>
      <c r="F2816" s="5" t="s">
        <v>2760</v>
      </c>
      <c r="G2816" s="5">
        <v>1</v>
      </c>
      <c r="H2816" s="5" t="s">
        <v>2864</v>
      </c>
      <c r="I2816" s="5" t="str">
        <f>IF(INDEX(Manual_Review!$U$6:$U$238,U2816)="","",INDEX(Manual_Review!$U$6:$U$238,U2816))</f>
        <v/>
      </c>
      <c r="J2816" s="5" t="str">
        <f t="shared" si="86"/>
        <v>AI provisional</v>
      </c>
      <c r="K2816" s="5" t="str">
        <f t="shared" si="87"/>
        <v>U</v>
      </c>
      <c r="L2816" s="5" t="s">
        <v>8566</v>
      </c>
      <c r="M2816" s="5" t="s">
        <v>8596</v>
      </c>
      <c r="N2816" s="5" t="s">
        <v>8597</v>
      </c>
      <c r="O2816" s="5" t="s">
        <v>3030</v>
      </c>
      <c r="P2816" s="5" t="s">
        <v>2992</v>
      </c>
      <c r="Q2816" s="11">
        <v>46306.5</v>
      </c>
      <c r="R2816" s="6"/>
      <c r="S2816" s="6"/>
      <c r="T2816" s="6"/>
      <c r="U2816" s="5">
        <f>MATCH(B2816,Manual_Review!$A$6:$A$238,0)</f>
        <v>176</v>
      </c>
      <c r="V2816" s="5" t="str">
        <f>IF(INDEX(Manual_Review!$G$6:$G$238,U2816)="","",INDEX(Manual_Review!$G$6:$G$238,U2816))</f>
        <v/>
      </c>
      <c r="W2816" s="11" t="str">
        <f>IF(INDEX(Manual_Review!$H$6:$H$238,U2816)="","",INDEX(Manual_Review!$H$6:$H$238,U2816))</f>
        <v/>
      </c>
      <c r="X2816" s="5" t="str">
        <f>IF(INDEX(Manual_Review!$I$6:$I$238,U2816)="","",INDEX(Manual_Review!$I$6:$I$238,U2816))</f>
        <v/>
      </c>
      <c r="Y2816" s="5" t="s">
        <v>2859</v>
      </c>
    </row>
    <row r="2817" spans="1:25" ht="25.5">
      <c r="A2817" s="5" t="s">
        <v>8598</v>
      </c>
      <c r="B2817" s="5" t="s">
        <v>1954</v>
      </c>
      <c r="C2817" s="5" t="s">
        <v>1955</v>
      </c>
      <c r="D2817" s="5" t="s">
        <v>118</v>
      </c>
      <c r="E2817" s="5" t="s">
        <v>2792</v>
      </c>
      <c r="F2817" s="5" t="s">
        <v>2762</v>
      </c>
      <c r="G2817" s="5">
        <v>1</v>
      </c>
      <c r="H2817" s="5" t="s">
        <v>2854</v>
      </c>
      <c r="I2817" s="5" t="str">
        <f>IF(INDEX(Manual_Review!$V$6:$V$238,U2817)="","",INDEX(Manual_Review!$V$6:$V$238,U2817))</f>
        <v/>
      </c>
      <c r="J2817" s="5" t="str">
        <f t="shared" si="86"/>
        <v>AI provisional</v>
      </c>
      <c r="K2817" s="5" t="str">
        <f t="shared" si="87"/>
        <v>Y</v>
      </c>
      <c r="L2817" s="5" t="s">
        <v>8566</v>
      </c>
      <c r="M2817" s="5" t="s">
        <v>8599</v>
      </c>
      <c r="N2817" s="5" t="s">
        <v>8600</v>
      </c>
      <c r="O2817" s="5" t="s">
        <v>3034</v>
      </c>
      <c r="P2817" s="5" t="s">
        <v>2992</v>
      </c>
      <c r="Q2817" s="11">
        <v>46306.5</v>
      </c>
      <c r="R2817" s="6"/>
      <c r="S2817" s="6"/>
      <c r="T2817" s="6"/>
      <c r="U2817" s="5">
        <f>MATCH(B2817,Manual_Review!$A$6:$A$238,0)</f>
        <v>176</v>
      </c>
      <c r="V2817" s="5" t="str">
        <f>IF(INDEX(Manual_Review!$G$6:$G$238,U2817)="","",INDEX(Manual_Review!$G$6:$G$238,U2817))</f>
        <v/>
      </c>
      <c r="W2817" s="11" t="str">
        <f>IF(INDEX(Manual_Review!$H$6:$H$238,U2817)="","",INDEX(Manual_Review!$H$6:$H$238,U2817))</f>
        <v/>
      </c>
      <c r="X2817" s="5" t="str">
        <f>IF(INDEX(Manual_Review!$I$6:$I$238,U2817)="","",INDEX(Manual_Review!$I$6:$I$238,U2817))</f>
        <v/>
      </c>
      <c r="Y2817" s="5" t="s">
        <v>2859</v>
      </c>
    </row>
    <row r="2818" spans="1:25" ht="38.25">
      <c r="A2818" s="5" t="s">
        <v>8601</v>
      </c>
      <c r="B2818" s="5" t="s">
        <v>1954</v>
      </c>
      <c r="C2818" s="5" t="s">
        <v>1955</v>
      </c>
      <c r="D2818" s="5" t="s">
        <v>118</v>
      </c>
      <c r="E2818" s="5" t="s">
        <v>2793</v>
      </c>
      <c r="F2818" s="5" t="s">
        <v>2762</v>
      </c>
      <c r="G2818" s="5">
        <v>1</v>
      </c>
      <c r="H2818" s="5" t="s">
        <v>2864</v>
      </c>
      <c r="I2818" s="5" t="str">
        <f>IF(INDEX(Manual_Review!$W$6:$W$238,U2818)="","",INDEX(Manual_Review!$W$6:$W$238,U2818))</f>
        <v/>
      </c>
      <c r="J2818" s="5" t="str">
        <f t="shared" si="86"/>
        <v>AI provisional</v>
      </c>
      <c r="K2818" s="5" t="str">
        <f t="shared" si="87"/>
        <v>U</v>
      </c>
      <c r="L2818" s="5" t="s">
        <v>8566</v>
      </c>
      <c r="M2818" s="5" t="s">
        <v>8602</v>
      </c>
      <c r="N2818" s="5" t="s">
        <v>8603</v>
      </c>
      <c r="O2818" s="5" t="s">
        <v>3461</v>
      </c>
      <c r="P2818" s="5" t="s">
        <v>2992</v>
      </c>
      <c r="Q2818" s="11">
        <v>46306.5</v>
      </c>
      <c r="R2818" s="6"/>
      <c r="S2818" s="6"/>
      <c r="T2818" s="6"/>
      <c r="U2818" s="5">
        <f>MATCH(B2818,Manual_Review!$A$6:$A$238,0)</f>
        <v>176</v>
      </c>
      <c r="V2818" s="5" t="str">
        <f>IF(INDEX(Manual_Review!$G$6:$G$238,U2818)="","",INDEX(Manual_Review!$G$6:$G$238,U2818))</f>
        <v/>
      </c>
      <c r="W2818" s="11" t="str">
        <f>IF(INDEX(Manual_Review!$H$6:$H$238,U2818)="","",INDEX(Manual_Review!$H$6:$H$238,U2818))</f>
        <v/>
      </c>
      <c r="X2818" s="5" t="str">
        <f>IF(INDEX(Manual_Review!$I$6:$I$238,U2818)="","",INDEX(Manual_Review!$I$6:$I$238,U2818))</f>
        <v/>
      </c>
      <c r="Y2818" s="5" t="s">
        <v>2859</v>
      </c>
    </row>
    <row r="2819" spans="1:25" ht="25.5">
      <c r="A2819" s="5" t="s">
        <v>8604</v>
      </c>
      <c r="B2819" s="5" t="s">
        <v>1954</v>
      </c>
      <c r="C2819" s="5" t="s">
        <v>1955</v>
      </c>
      <c r="D2819" s="5" t="s">
        <v>118</v>
      </c>
      <c r="E2819" s="5" t="s">
        <v>2794</v>
      </c>
      <c r="F2819" s="5" t="s">
        <v>2764</v>
      </c>
      <c r="G2819" s="5">
        <v>1</v>
      </c>
      <c r="H2819" s="5" t="s">
        <v>2854</v>
      </c>
      <c r="I2819" s="5" t="str">
        <f>IF(INDEX(Manual_Review!$X$6:$X$238,U2819)="","",INDEX(Manual_Review!$X$6:$X$238,U2819))</f>
        <v/>
      </c>
      <c r="J2819" s="5" t="str">
        <f t="shared" si="86"/>
        <v>AI provisional</v>
      </c>
      <c r="K2819" s="5" t="str">
        <f t="shared" si="87"/>
        <v>Y</v>
      </c>
      <c r="L2819" s="5" t="s">
        <v>8566</v>
      </c>
      <c r="M2819" s="5" t="s">
        <v>8605</v>
      </c>
      <c r="N2819" s="5" t="s">
        <v>8606</v>
      </c>
      <c r="O2819" s="5" t="s">
        <v>3042</v>
      </c>
      <c r="P2819" s="5" t="s">
        <v>2992</v>
      </c>
      <c r="Q2819" s="11">
        <v>46306.5</v>
      </c>
      <c r="R2819" s="6"/>
      <c r="S2819" s="6"/>
      <c r="T2819" s="6"/>
      <c r="U2819" s="5">
        <f>MATCH(B2819,Manual_Review!$A$6:$A$238,0)</f>
        <v>176</v>
      </c>
      <c r="V2819" s="5" t="str">
        <f>IF(INDEX(Manual_Review!$G$6:$G$238,U2819)="","",INDEX(Manual_Review!$G$6:$G$238,U2819))</f>
        <v/>
      </c>
      <c r="W2819" s="11" t="str">
        <f>IF(INDEX(Manual_Review!$H$6:$H$238,U2819)="","",INDEX(Manual_Review!$H$6:$H$238,U2819))</f>
        <v/>
      </c>
      <c r="X2819" s="5" t="str">
        <f>IF(INDEX(Manual_Review!$I$6:$I$238,U2819)="","",INDEX(Manual_Review!$I$6:$I$238,U2819))</f>
        <v/>
      </c>
      <c r="Y2819" s="5" t="s">
        <v>2859</v>
      </c>
    </row>
    <row r="2820" spans="1:25" ht="25.5">
      <c r="A2820" s="5" t="s">
        <v>8607</v>
      </c>
      <c r="B2820" s="5" t="s">
        <v>1954</v>
      </c>
      <c r="C2820" s="5" t="s">
        <v>1955</v>
      </c>
      <c r="D2820" s="5" t="s">
        <v>118</v>
      </c>
      <c r="E2820" s="5" t="s">
        <v>2795</v>
      </c>
      <c r="F2820" s="5" t="s">
        <v>2764</v>
      </c>
      <c r="G2820" s="5">
        <v>1</v>
      </c>
      <c r="H2820" s="5" t="s">
        <v>2864</v>
      </c>
      <c r="I2820" s="5" t="str">
        <f>IF(INDEX(Manual_Review!$Y$6:$Y$238,U2820)="","",INDEX(Manual_Review!$Y$6:$Y$238,U2820))</f>
        <v/>
      </c>
      <c r="J2820" s="5" t="str">
        <f t="shared" si="86"/>
        <v>AI provisional</v>
      </c>
      <c r="K2820" s="5" t="str">
        <f t="shared" si="87"/>
        <v>U</v>
      </c>
      <c r="L2820" s="5" t="s">
        <v>8566</v>
      </c>
      <c r="M2820" s="5" t="s">
        <v>8608</v>
      </c>
      <c r="N2820" s="5" t="s">
        <v>8609</v>
      </c>
      <c r="O2820" s="5" t="s">
        <v>3469</v>
      </c>
      <c r="P2820" s="5" t="s">
        <v>2992</v>
      </c>
      <c r="Q2820" s="11">
        <v>46306.5</v>
      </c>
      <c r="R2820" s="6"/>
      <c r="S2820" s="6"/>
      <c r="T2820" s="6"/>
      <c r="U2820" s="5">
        <f>MATCH(B2820,Manual_Review!$A$6:$A$238,0)</f>
        <v>176</v>
      </c>
      <c r="V2820" s="5" t="str">
        <f>IF(INDEX(Manual_Review!$G$6:$G$238,U2820)="","",INDEX(Manual_Review!$G$6:$G$238,U2820))</f>
        <v/>
      </c>
      <c r="W2820" s="11" t="str">
        <f>IF(INDEX(Manual_Review!$H$6:$H$238,U2820)="","",INDEX(Manual_Review!$H$6:$H$238,U2820))</f>
        <v/>
      </c>
      <c r="X2820" s="5" t="str">
        <f>IF(INDEX(Manual_Review!$I$6:$I$238,U2820)="","",INDEX(Manual_Review!$I$6:$I$238,U2820))</f>
        <v/>
      </c>
      <c r="Y2820" s="5" t="s">
        <v>2859</v>
      </c>
    </row>
    <row r="2821" spans="1:25" ht="38.25">
      <c r="A2821" s="5" t="s">
        <v>8610</v>
      </c>
      <c r="B2821" s="5" t="s">
        <v>1954</v>
      </c>
      <c r="C2821" s="5" t="s">
        <v>1955</v>
      </c>
      <c r="D2821" s="5" t="s">
        <v>118</v>
      </c>
      <c r="E2821" s="5" t="s">
        <v>2796</v>
      </c>
      <c r="F2821" s="5" t="s">
        <v>2764</v>
      </c>
      <c r="G2821" s="5">
        <v>1</v>
      </c>
      <c r="H2821" s="5" t="s">
        <v>2854</v>
      </c>
      <c r="I2821" s="5" t="str">
        <f>IF(INDEX(Manual_Review!$Z$6:$Z$238,U2821)="","",INDEX(Manual_Review!$Z$6:$Z$238,U2821))</f>
        <v/>
      </c>
      <c r="J2821" s="5" t="str">
        <f t="shared" si="86"/>
        <v>AI provisional</v>
      </c>
      <c r="K2821" s="5" t="str">
        <f t="shared" si="87"/>
        <v>Y</v>
      </c>
      <c r="L2821" s="5" t="s">
        <v>8566</v>
      </c>
      <c r="M2821" s="5" t="s">
        <v>8611</v>
      </c>
      <c r="N2821" s="5" t="s">
        <v>8612</v>
      </c>
      <c r="O2821" s="5" t="s">
        <v>3960</v>
      </c>
      <c r="P2821" s="5" t="s">
        <v>2992</v>
      </c>
      <c r="Q2821" s="11">
        <v>46306.5</v>
      </c>
      <c r="R2821" s="6"/>
      <c r="S2821" s="6"/>
      <c r="T2821" s="6"/>
      <c r="U2821" s="5">
        <f>MATCH(B2821,Manual_Review!$A$6:$A$238,0)</f>
        <v>176</v>
      </c>
      <c r="V2821" s="5" t="str">
        <f>IF(INDEX(Manual_Review!$G$6:$G$238,U2821)="","",INDEX(Manual_Review!$G$6:$G$238,U2821))</f>
        <v/>
      </c>
      <c r="W2821" s="11" t="str">
        <f>IF(INDEX(Manual_Review!$H$6:$H$238,U2821)="","",INDEX(Manual_Review!$H$6:$H$238,U2821))</f>
        <v/>
      </c>
      <c r="X2821" s="5" t="str">
        <f>IF(INDEX(Manual_Review!$I$6:$I$238,U2821)="","",INDEX(Manual_Review!$I$6:$I$238,U2821))</f>
        <v/>
      </c>
      <c r="Y2821" s="5" t="s">
        <v>2859</v>
      </c>
    </row>
    <row r="2822" spans="1:25" ht="38.25">
      <c r="A2822" s="5" t="s">
        <v>8613</v>
      </c>
      <c r="B2822" s="5" t="s">
        <v>1971</v>
      </c>
      <c r="C2822" s="5" t="s">
        <v>1972</v>
      </c>
      <c r="D2822" s="5" t="s">
        <v>118</v>
      </c>
      <c r="E2822" s="5" t="s">
        <v>2781</v>
      </c>
      <c r="F2822" s="5" t="s">
        <v>2754</v>
      </c>
      <c r="G2822" s="5">
        <v>1</v>
      </c>
      <c r="H2822" s="5" t="s">
        <v>2864</v>
      </c>
      <c r="I2822" s="5" t="str">
        <f>IF(INDEX(Manual_Review!$K$6:$K$238,U2822)="","",INDEX(Manual_Review!$K$6:$K$238,U2822))</f>
        <v/>
      </c>
      <c r="J2822" s="5" t="str">
        <f t="shared" ref="J2822:J2885" si="88">IF(G2822=0,"Not applicable",IF(I2822="","AI provisional",IF(AND(OR(I2822="Y",I2822="N",I2822="U",I2822="X"),V2822&lt;&gt;"",ISNUMBER(W2822),W2822&gt;0,X2822="Confirmed",R2822&lt;&gt;"",S2822&lt;&gt;"",T2822&lt;&gt;""),"Human valid","Evidence needed")))</f>
        <v>AI provisional</v>
      </c>
      <c r="K2822" s="5" t="str">
        <f t="shared" ref="K2822:K2885" si="89">IF(G2822=0,"N/A",IF(I2822="",H2822,IF(J2822="Human valid",I2822,"U")))</f>
        <v>U</v>
      </c>
      <c r="L2822" s="5" t="s">
        <v>1979</v>
      </c>
      <c r="M2822" s="5" t="s">
        <v>8614</v>
      </c>
      <c r="N2822" s="5" t="s">
        <v>8615</v>
      </c>
      <c r="O2822" s="5" t="s">
        <v>4469</v>
      </c>
      <c r="P2822" s="5" t="s">
        <v>2858</v>
      </c>
      <c r="Q2822" s="11">
        <v>46306.5</v>
      </c>
      <c r="R2822" s="6"/>
      <c r="S2822" s="6"/>
      <c r="T2822" s="6"/>
      <c r="U2822" s="5">
        <f>MATCH(B2822,Manual_Review!$A$6:$A$238,0)</f>
        <v>177</v>
      </c>
      <c r="V2822" s="5" t="str">
        <f>IF(INDEX(Manual_Review!$G$6:$G$238,U2822)="","",INDEX(Manual_Review!$G$6:$G$238,U2822))</f>
        <v/>
      </c>
      <c r="W2822" s="11" t="str">
        <f>IF(INDEX(Manual_Review!$H$6:$H$238,U2822)="","",INDEX(Manual_Review!$H$6:$H$238,U2822))</f>
        <v/>
      </c>
      <c r="X2822" s="5" t="str">
        <f>IF(INDEX(Manual_Review!$I$6:$I$238,U2822)="","",INDEX(Manual_Review!$I$6:$I$238,U2822))</f>
        <v/>
      </c>
      <c r="Y2822" s="5" t="s">
        <v>2859</v>
      </c>
    </row>
    <row r="2823" spans="1:25" ht="38.25">
      <c r="A2823" s="5" t="s">
        <v>8616</v>
      </c>
      <c r="B2823" s="5" t="s">
        <v>1971</v>
      </c>
      <c r="C2823" s="5" t="s">
        <v>1972</v>
      </c>
      <c r="D2823" s="5" t="s">
        <v>118</v>
      </c>
      <c r="E2823" s="5" t="s">
        <v>2782</v>
      </c>
      <c r="F2823" s="5" t="s">
        <v>2754</v>
      </c>
      <c r="G2823" s="5">
        <v>1</v>
      </c>
      <c r="H2823" s="5" t="s">
        <v>2864</v>
      </c>
      <c r="I2823" s="5" t="str">
        <f>IF(INDEX(Manual_Review!$L$6:$L$238,U2823)="","",INDEX(Manual_Review!$L$6:$L$238,U2823))</f>
        <v/>
      </c>
      <c r="J2823" s="5" t="str">
        <f t="shared" si="88"/>
        <v>AI provisional</v>
      </c>
      <c r="K2823" s="5" t="str">
        <f t="shared" si="89"/>
        <v>U</v>
      </c>
      <c r="L2823" s="5" t="s">
        <v>1979</v>
      </c>
      <c r="M2823" s="5" t="s">
        <v>8617</v>
      </c>
      <c r="N2823" s="5" t="s">
        <v>8615</v>
      </c>
      <c r="O2823" s="5" t="s">
        <v>4472</v>
      </c>
      <c r="P2823" s="5" t="s">
        <v>2858</v>
      </c>
      <c r="Q2823" s="11">
        <v>46306.5</v>
      </c>
      <c r="R2823" s="6"/>
      <c r="S2823" s="6"/>
      <c r="T2823" s="6"/>
      <c r="U2823" s="5">
        <f>MATCH(B2823,Manual_Review!$A$6:$A$238,0)</f>
        <v>177</v>
      </c>
      <c r="V2823" s="5" t="str">
        <f>IF(INDEX(Manual_Review!$G$6:$G$238,U2823)="","",INDEX(Manual_Review!$G$6:$G$238,U2823))</f>
        <v/>
      </c>
      <c r="W2823" s="11" t="str">
        <f>IF(INDEX(Manual_Review!$H$6:$H$238,U2823)="","",INDEX(Manual_Review!$H$6:$H$238,U2823))</f>
        <v/>
      </c>
      <c r="X2823" s="5" t="str">
        <f>IF(INDEX(Manual_Review!$I$6:$I$238,U2823)="","",INDEX(Manual_Review!$I$6:$I$238,U2823))</f>
        <v/>
      </c>
      <c r="Y2823" s="5" t="s">
        <v>2859</v>
      </c>
    </row>
    <row r="2824" spans="1:25" ht="38.25">
      <c r="A2824" s="5" t="s">
        <v>8618</v>
      </c>
      <c r="B2824" s="5" t="s">
        <v>1971</v>
      </c>
      <c r="C2824" s="5" t="s">
        <v>1972</v>
      </c>
      <c r="D2824" s="5" t="s">
        <v>118</v>
      </c>
      <c r="E2824" s="5" t="s">
        <v>2783</v>
      </c>
      <c r="F2824" s="5" t="s">
        <v>2754</v>
      </c>
      <c r="G2824" s="5">
        <v>1</v>
      </c>
      <c r="H2824" s="5" t="s">
        <v>2864</v>
      </c>
      <c r="I2824" s="5" t="str">
        <f>IF(INDEX(Manual_Review!$M$6:$M$238,U2824)="","",INDEX(Manual_Review!$M$6:$M$238,U2824))</f>
        <v/>
      </c>
      <c r="J2824" s="5" t="str">
        <f t="shared" si="88"/>
        <v>AI provisional</v>
      </c>
      <c r="K2824" s="5" t="str">
        <f t="shared" si="89"/>
        <v>U</v>
      </c>
      <c r="L2824" s="5" t="s">
        <v>1979</v>
      </c>
      <c r="M2824" s="5" t="s">
        <v>8619</v>
      </c>
      <c r="N2824" s="5" t="s">
        <v>8615</v>
      </c>
      <c r="O2824" s="5" t="s">
        <v>4474</v>
      </c>
      <c r="P2824" s="5" t="s">
        <v>2858</v>
      </c>
      <c r="Q2824" s="11">
        <v>46306.5</v>
      </c>
      <c r="R2824" s="6"/>
      <c r="S2824" s="6"/>
      <c r="T2824" s="6"/>
      <c r="U2824" s="5">
        <f>MATCH(B2824,Manual_Review!$A$6:$A$238,0)</f>
        <v>177</v>
      </c>
      <c r="V2824" s="5" t="str">
        <f>IF(INDEX(Manual_Review!$G$6:$G$238,U2824)="","",INDEX(Manual_Review!$G$6:$G$238,U2824))</f>
        <v/>
      </c>
      <c r="W2824" s="11" t="str">
        <f>IF(INDEX(Manual_Review!$H$6:$H$238,U2824)="","",INDEX(Manual_Review!$H$6:$H$238,U2824))</f>
        <v/>
      </c>
      <c r="X2824" s="5" t="str">
        <f>IF(INDEX(Manual_Review!$I$6:$I$238,U2824)="","",INDEX(Manual_Review!$I$6:$I$238,U2824))</f>
        <v/>
      </c>
      <c r="Y2824" s="5" t="s">
        <v>2859</v>
      </c>
    </row>
    <row r="2825" spans="1:25" ht="38.25">
      <c r="A2825" s="5" t="s">
        <v>8620</v>
      </c>
      <c r="B2825" s="5" t="s">
        <v>1971</v>
      </c>
      <c r="C2825" s="5" t="s">
        <v>1972</v>
      </c>
      <c r="D2825" s="5" t="s">
        <v>118</v>
      </c>
      <c r="E2825" s="5" t="s">
        <v>2784</v>
      </c>
      <c r="F2825" s="5" t="s">
        <v>2756</v>
      </c>
      <c r="G2825" s="5">
        <v>1</v>
      </c>
      <c r="H2825" s="5" t="s">
        <v>2864</v>
      </c>
      <c r="I2825" s="5" t="str">
        <f>IF(INDEX(Manual_Review!$N$6:$N$238,U2825)="","",INDEX(Manual_Review!$N$6:$N$238,U2825))</f>
        <v/>
      </c>
      <c r="J2825" s="5" t="str">
        <f t="shared" si="88"/>
        <v>AI provisional</v>
      </c>
      <c r="K2825" s="5" t="str">
        <f t="shared" si="89"/>
        <v>U</v>
      </c>
      <c r="L2825" s="5" t="s">
        <v>1979</v>
      </c>
      <c r="M2825" s="5" t="s">
        <v>8621</v>
      </c>
      <c r="N2825" s="5" t="s">
        <v>8615</v>
      </c>
      <c r="O2825" s="5" t="s">
        <v>4476</v>
      </c>
      <c r="P2825" s="5" t="s">
        <v>2858</v>
      </c>
      <c r="Q2825" s="11">
        <v>46306.5</v>
      </c>
      <c r="R2825" s="6"/>
      <c r="S2825" s="6"/>
      <c r="T2825" s="6"/>
      <c r="U2825" s="5">
        <f>MATCH(B2825,Manual_Review!$A$6:$A$238,0)</f>
        <v>177</v>
      </c>
      <c r="V2825" s="5" t="str">
        <f>IF(INDEX(Manual_Review!$G$6:$G$238,U2825)="","",INDEX(Manual_Review!$G$6:$G$238,U2825))</f>
        <v/>
      </c>
      <c r="W2825" s="11" t="str">
        <f>IF(INDEX(Manual_Review!$H$6:$H$238,U2825)="","",INDEX(Manual_Review!$H$6:$H$238,U2825))</f>
        <v/>
      </c>
      <c r="X2825" s="5" t="str">
        <f>IF(INDEX(Manual_Review!$I$6:$I$238,U2825)="","",INDEX(Manual_Review!$I$6:$I$238,U2825))</f>
        <v/>
      </c>
      <c r="Y2825" s="5" t="s">
        <v>2859</v>
      </c>
    </row>
    <row r="2826" spans="1:25" ht="38.25">
      <c r="A2826" s="5" t="s">
        <v>8622</v>
      </c>
      <c r="B2826" s="5" t="s">
        <v>1971</v>
      </c>
      <c r="C2826" s="5" t="s">
        <v>1972</v>
      </c>
      <c r="D2826" s="5" t="s">
        <v>118</v>
      </c>
      <c r="E2826" s="5" t="s">
        <v>2785</v>
      </c>
      <c r="F2826" s="5" t="s">
        <v>2756</v>
      </c>
      <c r="G2826" s="5">
        <v>1</v>
      </c>
      <c r="H2826" s="5" t="s">
        <v>2864</v>
      </c>
      <c r="I2826" s="5" t="str">
        <f>IF(INDEX(Manual_Review!$O$6:$O$238,U2826)="","",INDEX(Manual_Review!$O$6:$O$238,U2826))</f>
        <v/>
      </c>
      <c r="J2826" s="5" t="str">
        <f t="shared" si="88"/>
        <v>AI provisional</v>
      </c>
      <c r="K2826" s="5" t="str">
        <f t="shared" si="89"/>
        <v>U</v>
      </c>
      <c r="L2826" s="5" t="s">
        <v>1979</v>
      </c>
      <c r="M2826" s="5" t="s">
        <v>8623</v>
      </c>
      <c r="N2826" s="5" t="s">
        <v>8615</v>
      </c>
      <c r="O2826" s="5" t="s">
        <v>4479</v>
      </c>
      <c r="P2826" s="5" t="s">
        <v>2858</v>
      </c>
      <c r="Q2826" s="11">
        <v>46306.5</v>
      </c>
      <c r="R2826" s="6"/>
      <c r="S2826" s="6"/>
      <c r="T2826" s="6"/>
      <c r="U2826" s="5">
        <f>MATCH(B2826,Manual_Review!$A$6:$A$238,0)</f>
        <v>177</v>
      </c>
      <c r="V2826" s="5" t="str">
        <f>IF(INDEX(Manual_Review!$G$6:$G$238,U2826)="","",INDEX(Manual_Review!$G$6:$G$238,U2826))</f>
        <v/>
      </c>
      <c r="W2826" s="11" t="str">
        <f>IF(INDEX(Manual_Review!$H$6:$H$238,U2826)="","",INDEX(Manual_Review!$H$6:$H$238,U2826))</f>
        <v/>
      </c>
      <c r="X2826" s="5" t="str">
        <f>IF(INDEX(Manual_Review!$I$6:$I$238,U2826)="","",INDEX(Manual_Review!$I$6:$I$238,U2826))</f>
        <v/>
      </c>
      <c r="Y2826" s="5" t="s">
        <v>2859</v>
      </c>
    </row>
    <row r="2827" spans="1:25" ht="38.25">
      <c r="A2827" s="5" t="s">
        <v>8624</v>
      </c>
      <c r="B2827" s="5" t="s">
        <v>1971</v>
      </c>
      <c r="C2827" s="5" t="s">
        <v>1972</v>
      </c>
      <c r="D2827" s="5" t="s">
        <v>118</v>
      </c>
      <c r="E2827" s="5" t="s">
        <v>2786</v>
      </c>
      <c r="F2827" s="5" t="s">
        <v>2756</v>
      </c>
      <c r="G2827" s="5">
        <v>1</v>
      </c>
      <c r="H2827" s="5" t="s">
        <v>2864</v>
      </c>
      <c r="I2827" s="5" t="str">
        <f>IF(INDEX(Manual_Review!$P$6:$P$238,U2827)="","",INDEX(Manual_Review!$P$6:$P$238,U2827))</f>
        <v/>
      </c>
      <c r="J2827" s="5" t="str">
        <f t="shared" si="88"/>
        <v>AI provisional</v>
      </c>
      <c r="K2827" s="5" t="str">
        <f t="shared" si="89"/>
        <v>U</v>
      </c>
      <c r="L2827" s="5" t="s">
        <v>1979</v>
      </c>
      <c r="M2827" s="5" t="s">
        <v>8619</v>
      </c>
      <c r="N2827" s="5" t="s">
        <v>8615</v>
      </c>
      <c r="O2827" s="5" t="s">
        <v>4481</v>
      </c>
      <c r="P2827" s="5" t="s">
        <v>2858</v>
      </c>
      <c r="Q2827" s="11">
        <v>46306.5</v>
      </c>
      <c r="R2827" s="6"/>
      <c r="S2827" s="6"/>
      <c r="T2827" s="6"/>
      <c r="U2827" s="5">
        <f>MATCH(B2827,Manual_Review!$A$6:$A$238,0)</f>
        <v>177</v>
      </c>
      <c r="V2827" s="5" t="str">
        <f>IF(INDEX(Manual_Review!$G$6:$G$238,U2827)="","",INDEX(Manual_Review!$G$6:$G$238,U2827))</f>
        <v/>
      </c>
      <c r="W2827" s="11" t="str">
        <f>IF(INDEX(Manual_Review!$H$6:$H$238,U2827)="","",INDEX(Manual_Review!$H$6:$H$238,U2827))</f>
        <v/>
      </c>
      <c r="X2827" s="5" t="str">
        <f>IF(INDEX(Manual_Review!$I$6:$I$238,U2827)="","",INDEX(Manual_Review!$I$6:$I$238,U2827))</f>
        <v/>
      </c>
      <c r="Y2827" s="5" t="s">
        <v>2859</v>
      </c>
    </row>
    <row r="2828" spans="1:25" ht="38.25">
      <c r="A2828" s="5" t="s">
        <v>8625</v>
      </c>
      <c r="B2828" s="5" t="s">
        <v>1971</v>
      </c>
      <c r="C2828" s="5" t="s">
        <v>1972</v>
      </c>
      <c r="D2828" s="5" t="s">
        <v>118</v>
      </c>
      <c r="E2828" s="5" t="s">
        <v>2787</v>
      </c>
      <c r="F2828" s="5" t="s">
        <v>2758</v>
      </c>
      <c r="G2828" s="5">
        <v>1</v>
      </c>
      <c r="H2828" s="5" t="s">
        <v>2864</v>
      </c>
      <c r="I2828" s="5" t="str">
        <f>IF(INDEX(Manual_Review!$Q$6:$Q$238,U2828)="","",INDEX(Manual_Review!$Q$6:$Q$238,U2828))</f>
        <v/>
      </c>
      <c r="J2828" s="5" t="str">
        <f t="shared" si="88"/>
        <v>AI provisional</v>
      </c>
      <c r="K2828" s="5" t="str">
        <f t="shared" si="89"/>
        <v>U</v>
      </c>
      <c r="L2828" s="5" t="s">
        <v>1979</v>
      </c>
      <c r="M2828" s="5" t="s">
        <v>8626</v>
      </c>
      <c r="N2828" s="5" t="s">
        <v>8615</v>
      </c>
      <c r="O2828" s="5" t="s">
        <v>4484</v>
      </c>
      <c r="P2828" s="5" t="s">
        <v>2858</v>
      </c>
      <c r="Q2828" s="11">
        <v>46306.5</v>
      </c>
      <c r="R2828" s="6"/>
      <c r="S2828" s="6"/>
      <c r="T2828" s="6"/>
      <c r="U2828" s="5">
        <f>MATCH(B2828,Manual_Review!$A$6:$A$238,0)</f>
        <v>177</v>
      </c>
      <c r="V2828" s="5" t="str">
        <f>IF(INDEX(Manual_Review!$G$6:$G$238,U2828)="","",INDEX(Manual_Review!$G$6:$G$238,U2828))</f>
        <v/>
      </c>
      <c r="W2828" s="11" t="str">
        <f>IF(INDEX(Manual_Review!$H$6:$H$238,U2828)="","",INDEX(Manual_Review!$H$6:$H$238,U2828))</f>
        <v/>
      </c>
      <c r="X2828" s="5" t="str">
        <f>IF(INDEX(Manual_Review!$I$6:$I$238,U2828)="","",INDEX(Manual_Review!$I$6:$I$238,U2828))</f>
        <v/>
      </c>
      <c r="Y2828" s="5" t="s">
        <v>2859</v>
      </c>
    </row>
    <row r="2829" spans="1:25" ht="38.25">
      <c r="A2829" s="5" t="s">
        <v>8627</v>
      </c>
      <c r="B2829" s="5" t="s">
        <v>1971</v>
      </c>
      <c r="C2829" s="5" t="s">
        <v>1972</v>
      </c>
      <c r="D2829" s="5" t="s">
        <v>118</v>
      </c>
      <c r="E2829" s="5" t="s">
        <v>2788</v>
      </c>
      <c r="F2829" s="5" t="s">
        <v>2758</v>
      </c>
      <c r="G2829" s="5">
        <v>1</v>
      </c>
      <c r="H2829" s="5" t="s">
        <v>2864</v>
      </c>
      <c r="I2829" s="5" t="str">
        <f>IF(INDEX(Manual_Review!$R$6:$R$238,U2829)="","",INDEX(Manual_Review!$R$6:$R$238,U2829))</f>
        <v/>
      </c>
      <c r="J2829" s="5" t="str">
        <f t="shared" si="88"/>
        <v>AI provisional</v>
      </c>
      <c r="K2829" s="5" t="str">
        <f t="shared" si="89"/>
        <v>U</v>
      </c>
      <c r="L2829" s="5" t="s">
        <v>1979</v>
      </c>
      <c r="M2829" s="5" t="s">
        <v>8628</v>
      </c>
      <c r="N2829" s="5" t="s">
        <v>8615</v>
      </c>
      <c r="O2829" s="5" t="s">
        <v>4487</v>
      </c>
      <c r="P2829" s="5" t="s">
        <v>2858</v>
      </c>
      <c r="Q2829" s="11">
        <v>46306.5</v>
      </c>
      <c r="R2829" s="6"/>
      <c r="S2829" s="6"/>
      <c r="T2829" s="6"/>
      <c r="U2829" s="5">
        <f>MATCH(B2829,Manual_Review!$A$6:$A$238,0)</f>
        <v>177</v>
      </c>
      <c r="V2829" s="5" t="str">
        <f>IF(INDEX(Manual_Review!$G$6:$G$238,U2829)="","",INDEX(Manual_Review!$G$6:$G$238,U2829))</f>
        <v/>
      </c>
      <c r="W2829" s="11" t="str">
        <f>IF(INDEX(Manual_Review!$H$6:$H$238,U2829)="","",INDEX(Manual_Review!$H$6:$H$238,U2829))</f>
        <v/>
      </c>
      <c r="X2829" s="5" t="str">
        <f>IF(INDEX(Manual_Review!$I$6:$I$238,U2829)="","",INDEX(Manual_Review!$I$6:$I$238,U2829))</f>
        <v/>
      </c>
      <c r="Y2829" s="5" t="s">
        <v>2859</v>
      </c>
    </row>
    <row r="2830" spans="1:25" ht="38.25">
      <c r="A2830" s="5" t="s">
        <v>8629</v>
      </c>
      <c r="B2830" s="5" t="s">
        <v>1971</v>
      </c>
      <c r="C2830" s="5" t="s">
        <v>1972</v>
      </c>
      <c r="D2830" s="5" t="s">
        <v>118</v>
      </c>
      <c r="E2830" s="5" t="s">
        <v>2789</v>
      </c>
      <c r="F2830" s="5" t="s">
        <v>2758</v>
      </c>
      <c r="G2830" s="5">
        <v>1</v>
      </c>
      <c r="H2830" s="5" t="s">
        <v>2864</v>
      </c>
      <c r="I2830" s="5" t="str">
        <f>IF(INDEX(Manual_Review!$S$6:$S$238,U2830)="","",INDEX(Manual_Review!$S$6:$S$238,U2830))</f>
        <v/>
      </c>
      <c r="J2830" s="5" t="str">
        <f t="shared" si="88"/>
        <v>AI provisional</v>
      </c>
      <c r="K2830" s="5" t="str">
        <f t="shared" si="89"/>
        <v>U</v>
      </c>
      <c r="L2830" s="5" t="s">
        <v>1979</v>
      </c>
      <c r="M2830" s="5" t="s">
        <v>8630</v>
      </c>
      <c r="N2830" s="5" t="s">
        <v>8615</v>
      </c>
      <c r="O2830" s="5" t="s">
        <v>4490</v>
      </c>
      <c r="P2830" s="5" t="s">
        <v>2858</v>
      </c>
      <c r="Q2830" s="11">
        <v>46306.5</v>
      </c>
      <c r="R2830" s="6"/>
      <c r="S2830" s="6"/>
      <c r="T2830" s="6"/>
      <c r="U2830" s="5">
        <f>MATCH(B2830,Manual_Review!$A$6:$A$238,0)</f>
        <v>177</v>
      </c>
      <c r="V2830" s="5" t="str">
        <f>IF(INDEX(Manual_Review!$G$6:$G$238,U2830)="","",INDEX(Manual_Review!$G$6:$G$238,U2830))</f>
        <v/>
      </c>
      <c r="W2830" s="11" t="str">
        <f>IF(INDEX(Manual_Review!$H$6:$H$238,U2830)="","",INDEX(Manual_Review!$H$6:$H$238,U2830))</f>
        <v/>
      </c>
      <c r="X2830" s="5" t="str">
        <f>IF(INDEX(Manual_Review!$I$6:$I$238,U2830)="","",INDEX(Manual_Review!$I$6:$I$238,U2830))</f>
        <v/>
      </c>
      <c r="Y2830" s="5" t="s">
        <v>2859</v>
      </c>
    </row>
    <row r="2831" spans="1:25" ht="38.25">
      <c r="A2831" s="5" t="s">
        <v>8631</v>
      </c>
      <c r="B2831" s="5" t="s">
        <v>1971</v>
      </c>
      <c r="C2831" s="5" t="s">
        <v>1972</v>
      </c>
      <c r="D2831" s="5" t="s">
        <v>118</v>
      </c>
      <c r="E2831" s="5" t="s">
        <v>2790</v>
      </c>
      <c r="F2831" s="5" t="s">
        <v>2760</v>
      </c>
      <c r="G2831" s="5">
        <v>1</v>
      </c>
      <c r="H2831" s="5" t="s">
        <v>2864</v>
      </c>
      <c r="I2831" s="5" t="str">
        <f>IF(INDEX(Manual_Review!$T$6:$T$238,U2831)="","",INDEX(Manual_Review!$T$6:$T$238,U2831))</f>
        <v/>
      </c>
      <c r="J2831" s="5" t="str">
        <f t="shared" si="88"/>
        <v>AI provisional</v>
      </c>
      <c r="K2831" s="5" t="str">
        <f t="shared" si="89"/>
        <v>U</v>
      </c>
      <c r="L2831" s="5" t="s">
        <v>1979</v>
      </c>
      <c r="M2831" s="5" t="s">
        <v>8632</v>
      </c>
      <c r="N2831" s="5" t="s">
        <v>8615</v>
      </c>
      <c r="O2831" s="5" t="s">
        <v>4492</v>
      </c>
      <c r="P2831" s="5" t="s">
        <v>2858</v>
      </c>
      <c r="Q2831" s="11">
        <v>46306.5</v>
      </c>
      <c r="R2831" s="6"/>
      <c r="S2831" s="6"/>
      <c r="T2831" s="6"/>
      <c r="U2831" s="5">
        <f>MATCH(B2831,Manual_Review!$A$6:$A$238,0)</f>
        <v>177</v>
      </c>
      <c r="V2831" s="5" t="str">
        <f>IF(INDEX(Manual_Review!$G$6:$G$238,U2831)="","",INDEX(Manual_Review!$G$6:$G$238,U2831))</f>
        <v/>
      </c>
      <c r="W2831" s="11" t="str">
        <f>IF(INDEX(Manual_Review!$H$6:$H$238,U2831)="","",INDEX(Manual_Review!$H$6:$H$238,U2831))</f>
        <v/>
      </c>
      <c r="X2831" s="5" t="str">
        <f>IF(INDEX(Manual_Review!$I$6:$I$238,U2831)="","",INDEX(Manual_Review!$I$6:$I$238,U2831))</f>
        <v/>
      </c>
      <c r="Y2831" s="5" t="s">
        <v>2859</v>
      </c>
    </row>
    <row r="2832" spans="1:25" ht="38.25">
      <c r="A2832" s="5" t="s">
        <v>8633</v>
      </c>
      <c r="B2832" s="5" t="s">
        <v>1971</v>
      </c>
      <c r="C2832" s="5" t="s">
        <v>1972</v>
      </c>
      <c r="D2832" s="5" t="s">
        <v>118</v>
      </c>
      <c r="E2832" s="5" t="s">
        <v>2791</v>
      </c>
      <c r="F2832" s="5" t="s">
        <v>2760</v>
      </c>
      <c r="G2832" s="5">
        <v>1</v>
      </c>
      <c r="H2832" s="5" t="s">
        <v>2864</v>
      </c>
      <c r="I2832" s="5" t="str">
        <f>IF(INDEX(Manual_Review!$U$6:$U$238,U2832)="","",INDEX(Manual_Review!$U$6:$U$238,U2832))</f>
        <v/>
      </c>
      <c r="J2832" s="5" t="str">
        <f t="shared" si="88"/>
        <v>AI provisional</v>
      </c>
      <c r="K2832" s="5" t="str">
        <f t="shared" si="89"/>
        <v>U</v>
      </c>
      <c r="L2832" s="5" t="s">
        <v>1979</v>
      </c>
      <c r="M2832" s="5" t="s">
        <v>8634</v>
      </c>
      <c r="N2832" s="5" t="s">
        <v>8615</v>
      </c>
      <c r="O2832" s="5" t="s">
        <v>4494</v>
      </c>
      <c r="P2832" s="5" t="s">
        <v>2858</v>
      </c>
      <c r="Q2832" s="11">
        <v>46306.5</v>
      </c>
      <c r="R2832" s="6"/>
      <c r="S2832" s="6"/>
      <c r="T2832" s="6"/>
      <c r="U2832" s="5">
        <f>MATCH(B2832,Manual_Review!$A$6:$A$238,0)</f>
        <v>177</v>
      </c>
      <c r="V2832" s="5" t="str">
        <f>IF(INDEX(Manual_Review!$G$6:$G$238,U2832)="","",INDEX(Manual_Review!$G$6:$G$238,U2832))</f>
        <v/>
      </c>
      <c r="W2832" s="11" t="str">
        <f>IF(INDEX(Manual_Review!$H$6:$H$238,U2832)="","",INDEX(Manual_Review!$H$6:$H$238,U2832))</f>
        <v/>
      </c>
      <c r="X2832" s="5" t="str">
        <f>IF(INDEX(Manual_Review!$I$6:$I$238,U2832)="","",INDEX(Manual_Review!$I$6:$I$238,U2832))</f>
        <v/>
      </c>
      <c r="Y2832" s="5" t="s">
        <v>2859</v>
      </c>
    </row>
    <row r="2833" spans="1:25" ht="38.25">
      <c r="A2833" s="5" t="s">
        <v>8635</v>
      </c>
      <c r="B2833" s="5" t="s">
        <v>1971</v>
      </c>
      <c r="C2833" s="5" t="s">
        <v>1972</v>
      </c>
      <c r="D2833" s="5" t="s">
        <v>118</v>
      </c>
      <c r="E2833" s="5" t="s">
        <v>2792</v>
      </c>
      <c r="F2833" s="5" t="s">
        <v>2762</v>
      </c>
      <c r="G2833" s="5">
        <v>1</v>
      </c>
      <c r="H2833" s="5" t="s">
        <v>2864</v>
      </c>
      <c r="I2833" s="5" t="str">
        <f>IF(INDEX(Manual_Review!$V$6:$V$238,U2833)="","",INDEX(Manual_Review!$V$6:$V$238,U2833))</f>
        <v/>
      </c>
      <c r="J2833" s="5" t="str">
        <f t="shared" si="88"/>
        <v>AI provisional</v>
      </c>
      <c r="K2833" s="5" t="str">
        <f t="shared" si="89"/>
        <v>U</v>
      </c>
      <c r="L2833" s="5" t="s">
        <v>1979</v>
      </c>
      <c r="M2833" s="5" t="s">
        <v>8636</v>
      </c>
      <c r="N2833" s="5" t="s">
        <v>8615</v>
      </c>
      <c r="O2833" s="5" t="s">
        <v>4497</v>
      </c>
      <c r="P2833" s="5" t="s">
        <v>2858</v>
      </c>
      <c r="Q2833" s="11">
        <v>46306.5</v>
      </c>
      <c r="R2833" s="6"/>
      <c r="S2833" s="6"/>
      <c r="T2833" s="6"/>
      <c r="U2833" s="5">
        <f>MATCH(B2833,Manual_Review!$A$6:$A$238,0)</f>
        <v>177</v>
      </c>
      <c r="V2833" s="5" t="str">
        <f>IF(INDEX(Manual_Review!$G$6:$G$238,U2833)="","",INDEX(Manual_Review!$G$6:$G$238,U2833))</f>
        <v/>
      </c>
      <c r="W2833" s="11" t="str">
        <f>IF(INDEX(Manual_Review!$H$6:$H$238,U2833)="","",INDEX(Manual_Review!$H$6:$H$238,U2833))</f>
        <v/>
      </c>
      <c r="X2833" s="5" t="str">
        <f>IF(INDEX(Manual_Review!$I$6:$I$238,U2833)="","",INDEX(Manual_Review!$I$6:$I$238,U2833))</f>
        <v/>
      </c>
      <c r="Y2833" s="5" t="s">
        <v>2859</v>
      </c>
    </row>
    <row r="2834" spans="1:25" ht="38.25">
      <c r="A2834" s="5" t="s">
        <v>8637</v>
      </c>
      <c r="B2834" s="5" t="s">
        <v>1971</v>
      </c>
      <c r="C2834" s="5" t="s">
        <v>1972</v>
      </c>
      <c r="D2834" s="5" t="s">
        <v>118</v>
      </c>
      <c r="E2834" s="5" t="s">
        <v>2793</v>
      </c>
      <c r="F2834" s="5" t="s">
        <v>2762</v>
      </c>
      <c r="G2834" s="5">
        <v>1</v>
      </c>
      <c r="H2834" s="5" t="s">
        <v>2864</v>
      </c>
      <c r="I2834" s="5" t="str">
        <f>IF(INDEX(Manual_Review!$W$6:$W$238,U2834)="","",INDEX(Manual_Review!$W$6:$W$238,U2834))</f>
        <v/>
      </c>
      <c r="J2834" s="5" t="str">
        <f t="shared" si="88"/>
        <v>AI provisional</v>
      </c>
      <c r="K2834" s="5" t="str">
        <f t="shared" si="89"/>
        <v>U</v>
      </c>
      <c r="L2834" s="5" t="s">
        <v>1979</v>
      </c>
      <c r="M2834" s="5" t="s">
        <v>8636</v>
      </c>
      <c r="N2834" s="5" t="s">
        <v>8615</v>
      </c>
      <c r="O2834" s="5" t="s">
        <v>4499</v>
      </c>
      <c r="P2834" s="5" t="s">
        <v>2858</v>
      </c>
      <c r="Q2834" s="11">
        <v>46306.5</v>
      </c>
      <c r="R2834" s="6"/>
      <c r="S2834" s="6"/>
      <c r="T2834" s="6"/>
      <c r="U2834" s="5">
        <f>MATCH(B2834,Manual_Review!$A$6:$A$238,0)</f>
        <v>177</v>
      </c>
      <c r="V2834" s="5" t="str">
        <f>IF(INDEX(Manual_Review!$G$6:$G$238,U2834)="","",INDEX(Manual_Review!$G$6:$G$238,U2834))</f>
        <v/>
      </c>
      <c r="W2834" s="11" t="str">
        <f>IF(INDEX(Manual_Review!$H$6:$H$238,U2834)="","",INDEX(Manual_Review!$H$6:$H$238,U2834))</f>
        <v/>
      </c>
      <c r="X2834" s="5" t="str">
        <f>IF(INDEX(Manual_Review!$I$6:$I$238,U2834)="","",INDEX(Manual_Review!$I$6:$I$238,U2834))</f>
        <v/>
      </c>
      <c r="Y2834" s="5" t="s">
        <v>2859</v>
      </c>
    </row>
    <row r="2835" spans="1:25" ht="38.25">
      <c r="A2835" s="5" t="s">
        <v>8638</v>
      </c>
      <c r="B2835" s="5" t="s">
        <v>1971</v>
      </c>
      <c r="C2835" s="5" t="s">
        <v>1972</v>
      </c>
      <c r="D2835" s="5" t="s">
        <v>118</v>
      </c>
      <c r="E2835" s="5" t="s">
        <v>2794</v>
      </c>
      <c r="F2835" s="5" t="s">
        <v>2764</v>
      </c>
      <c r="G2835" s="5">
        <v>1</v>
      </c>
      <c r="H2835" s="5" t="s">
        <v>2864</v>
      </c>
      <c r="I2835" s="5" t="str">
        <f>IF(INDEX(Manual_Review!$X$6:$X$238,U2835)="","",INDEX(Manual_Review!$X$6:$X$238,U2835))</f>
        <v/>
      </c>
      <c r="J2835" s="5" t="str">
        <f t="shared" si="88"/>
        <v>AI provisional</v>
      </c>
      <c r="K2835" s="5" t="str">
        <f t="shared" si="89"/>
        <v>U</v>
      </c>
      <c r="L2835" s="5" t="s">
        <v>1979</v>
      </c>
      <c r="M2835" s="5" t="s">
        <v>8639</v>
      </c>
      <c r="N2835" s="5" t="s">
        <v>8615</v>
      </c>
      <c r="O2835" s="5" t="s">
        <v>4501</v>
      </c>
      <c r="P2835" s="5" t="s">
        <v>2858</v>
      </c>
      <c r="Q2835" s="11">
        <v>46306.5</v>
      </c>
      <c r="R2835" s="6"/>
      <c r="S2835" s="6"/>
      <c r="T2835" s="6"/>
      <c r="U2835" s="5">
        <f>MATCH(B2835,Manual_Review!$A$6:$A$238,0)</f>
        <v>177</v>
      </c>
      <c r="V2835" s="5" t="str">
        <f>IF(INDEX(Manual_Review!$G$6:$G$238,U2835)="","",INDEX(Manual_Review!$G$6:$G$238,U2835))</f>
        <v/>
      </c>
      <c r="W2835" s="11" t="str">
        <f>IF(INDEX(Manual_Review!$H$6:$H$238,U2835)="","",INDEX(Manual_Review!$H$6:$H$238,U2835))</f>
        <v/>
      </c>
      <c r="X2835" s="5" t="str">
        <f>IF(INDEX(Manual_Review!$I$6:$I$238,U2835)="","",INDEX(Manual_Review!$I$6:$I$238,U2835))</f>
        <v/>
      </c>
      <c r="Y2835" s="5" t="s">
        <v>2859</v>
      </c>
    </row>
    <row r="2836" spans="1:25" ht="51">
      <c r="A2836" s="5" t="s">
        <v>8640</v>
      </c>
      <c r="B2836" s="5" t="s">
        <v>1971</v>
      </c>
      <c r="C2836" s="5" t="s">
        <v>1972</v>
      </c>
      <c r="D2836" s="5" t="s">
        <v>118</v>
      </c>
      <c r="E2836" s="5" t="s">
        <v>2795</v>
      </c>
      <c r="F2836" s="5" t="s">
        <v>2764</v>
      </c>
      <c r="G2836" s="5">
        <v>1</v>
      </c>
      <c r="H2836" s="5" t="s">
        <v>2864</v>
      </c>
      <c r="I2836" s="5" t="str">
        <f>IF(INDEX(Manual_Review!$Y$6:$Y$238,U2836)="","",INDEX(Manual_Review!$Y$6:$Y$238,U2836))</f>
        <v/>
      </c>
      <c r="J2836" s="5" t="str">
        <f t="shared" si="88"/>
        <v>AI provisional</v>
      </c>
      <c r="K2836" s="5" t="str">
        <f t="shared" si="89"/>
        <v>U</v>
      </c>
      <c r="L2836" s="5" t="s">
        <v>1979</v>
      </c>
      <c r="M2836" s="5" t="s">
        <v>8619</v>
      </c>
      <c r="N2836" s="5" t="s">
        <v>8615</v>
      </c>
      <c r="O2836" s="5" t="s">
        <v>4503</v>
      </c>
      <c r="P2836" s="5" t="s">
        <v>2858</v>
      </c>
      <c r="Q2836" s="11">
        <v>46306.5</v>
      </c>
      <c r="R2836" s="6"/>
      <c r="S2836" s="6"/>
      <c r="T2836" s="6"/>
      <c r="U2836" s="5">
        <f>MATCH(B2836,Manual_Review!$A$6:$A$238,0)</f>
        <v>177</v>
      </c>
      <c r="V2836" s="5" t="str">
        <f>IF(INDEX(Manual_Review!$G$6:$G$238,U2836)="","",INDEX(Manual_Review!$G$6:$G$238,U2836))</f>
        <v/>
      </c>
      <c r="W2836" s="11" t="str">
        <f>IF(INDEX(Manual_Review!$H$6:$H$238,U2836)="","",INDEX(Manual_Review!$H$6:$H$238,U2836))</f>
        <v/>
      </c>
      <c r="X2836" s="5" t="str">
        <f>IF(INDEX(Manual_Review!$I$6:$I$238,U2836)="","",INDEX(Manual_Review!$I$6:$I$238,U2836))</f>
        <v/>
      </c>
      <c r="Y2836" s="5" t="s">
        <v>2859</v>
      </c>
    </row>
    <row r="2837" spans="1:25" ht="38.25">
      <c r="A2837" s="5" t="s">
        <v>8641</v>
      </c>
      <c r="B2837" s="5" t="s">
        <v>1971</v>
      </c>
      <c r="C2837" s="5" t="s">
        <v>1972</v>
      </c>
      <c r="D2837" s="5" t="s">
        <v>118</v>
      </c>
      <c r="E2837" s="5" t="s">
        <v>2796</v>
      </c>
      <c r="F2837" s="5" t="s">
        <v>2764</v>
      </c>
      <c r="G2837" s="5">
        <v>1</v>
      </c>
      <c r="H2837" s="5" t="s">
        <v>2864</v>
      </c>
      <c r="I2837" s="5" t="str">
        <f>IF(INDEX(Manual_Review!$Z$6:$Z$238,U2837)="","",INDEX(Manual_Review!$Z$6:$Z$238,U2837))</f>
        <v/>
      </c>
      <c r="J2837" s="5" t="str">
        <f t="shared" si="88"/>
        <v>AI provisional</v>
      </c>
      <c r="K2837" s="5" t="str">
        <f t="shared" si="89"/>
        <v>U</v>
      </c>
      <c r="L2837" s="5" t="s">
        <v>1979</v>
      </c>
      <c r="M2837" s="5" t="s">
        <v>8642</v>
      </c>
      <c r="N2837" s="5" t="s">
        <v>8615</v>
      </c>
      <c r="O2837" s="5" t="s">
        <v>4505</v>
      </c>
      <c r="P2837" s="5" t="s">
        <v>2858</v>
      </c>
      <c r="Q2837" s="11">
        <v>46306.5</v>
      </c>
      <c r="R2837" s="6"/>
      <c r="S2837" s="6"/>
      <c r="T2837" s="6"/>
      <c r="U2837" s="5">
        <f>MATCH(B2837,Manual_Review!$A$6:$A$238,0)</f>
        <v>177</v>
      </c>
      <c r="V2837" s="5" t="str">
        <f>IF(INDEX(Manual_Review!$G$6:$G$238,U2837)="","",INDEX(Manual_Review!$G$6:$G$238,U2837))</f>
        <v/>
      </c>
      <c r="W2837" s="11" t="str">
        <f>IF(INDEX(Manual_Review!$H$6:$H$238,U2837)="","",INDEX(Manual_Review!$H$6:$H$238,U2837))</f>
        <v/>
      </c>
      <c r="X2837" s="5" t="str">
        <f>IF(INDEX(Manual_Review!$I$6:$I$238,U2837)="","",INDEX(Manual_Review!$I$6:$I$238,U2837))</f>
        <v/>
      </c>
      <c r="Y2837" s="5" t="s">
        <v>2859</v>
      </c>
    </row>
    <row r="2838" spans="1:25" ht="25.5">
      <c r="A2838" s="5" t="s">
        <v>8643</v>
      </c>
      <c r="B2838" s="5" t="s">
        <v>1981</v>
      </c>
      <c r="C2838" s="5" t="s">
        <v>1982</v>
      </c>
      <c r="D2838" s="5" t="s">
        <v>118</v>
      </c>
      <c r="E2838" s="5" t="s">
        <v>2781</v>
      </c>
      <c r="F2838" s="5" t="s">
        <v>2754</v>
      </c>
      <c r="G2838" s="5">
        <v>1</v>
      </c>
      <c r="H2838" s="5" t="s">
        <v>2854</v>
      </c>
      <c r="I2838" s="5" t="str">
        <f>IF(INDEX(Manual_Review!$K$6:$K$238,U2838)="","",INDEX(Manual_Review!$K$6:$K$238,U2838))</f>
        <v/>
      </c>
      <c r="J2838" s="5" t="str">
        <f t="shared" si="88"/>
        <v>AI provisional</v>
      </c>
      <c r="K2838" s="5" t="str">
        <f t="shared" si="89"/>
        <v>Y</v>
      </c>
      <c r="L2838" s="5" t="s">
        <v>1995</v>
      </c>
      <c r="M2838" s="5" t="s">
        <v>8644</v>
      </c>
      <c r="N2838" s="5" t="s">
        <v>8645</v>
      </c>
      <c r="O2838" s="5" t="s">
        <v>2991</v>
      </c>
      <c r="P2838" s="5" t="s">
        <v>2992</v>
      </c>
      <c r="Q2838" s="11">
        <v>46306.5</v>
      </c>
      <c r="R2838" s="6"/>
      <c r="S2838" s="6"/>
      <c r="T2838" s="6"/>
      <c r="U2838" s="5">
        <f>MATCH(B2838,Manual_Review!$A$6:$A$238,0)</f>
        <v>178</v>
      </c>
      <c r="V2838" s="5" t="str">
        <f>IF(INDEX(Manual_Review!$G$6:$G$238,U2838)="","",INDEX(Manual_Review!$G$6:$G$238,U2838))</f>
        <v/>
      </c>
      <c r="W2838" s="11" t="str">
        <f>IF(INDEX(Manual_Review!$H$6:$H$238,U2838)="","",INDEX(Manual_Review!$H$6:$H$238,U2838))</f>
        <v/>
      </c>
      <c r="X2838" s="5" t="str">
        <f>IF(INDEX(Manual_Review!$I$6:$I$238,U2838)="","",INDEX(Manual_Review!$I$6:$I$238,U2838))</f>
        <v/>
      </c>
      <c r="Y2838" s="5" t="s">
        <v>2859</v>
      </c>
    </row>
    <row r="2839" spans="1:25" ht="25.5">
      <c r="A2839" s="5" t="s">
        <v>8646</v>
      </c>
      <c r="B2839" s="5" t="s">
        <v>1981</v>
      </c>
      <c r="C2839" s="5" t="s">
        <v>1982</v>
      </c>
      <c r="D2839" s="5" t="s">
        <v>118</v>
      </c>
      <c r="E2839" s="5" t="s">
        <v>2782</v>
      </c>
      <c r="F2839" s="5" t="s">
        <v>2754</v>
      </c>
      <c r="G2839" s="5">
        <v>1</v>
      </c>
      <c r="H2839" s="5" t="s">
        <v>2854</v>
      </c>
      <c r="I2839" s="5" t="str">
        <f>IF(INDEX(Manual_Review!$L$6:$L$238,U2839)="","",INDEX(Manual_Review!$L$6:$L$238,U2839))</f>
        <v/>
      </c>
      <c r="J2839" s="5" t="str">
        <f t="shared" si="88"/>
        <v>AI provisional</v>
      </c>
      <c r="K2839" s="5" t="str">
        <f t="shared" si="89"/>
        <v>Y</v>
      </c>
      <c r="L2839" s="5" t="s">
        <v>1995</v>
      </c>
      <c r="M2839" s="5" t="s">
        <v>8647</v>
      </c>
      <c r="N2839" s="5" t="s">
        <v>8648</v>
      </c>
      <c r="O2839" s="5" t="s">
        <v>2996</v>
      </c>
      <c r="P2839" s="5" t="s">
        <v>2992</v>
      </c>
      <c r="Q2839" s="11">
        <v>46306.5</v>
      </c>
      <c r="R2839" s="6"/>
      <c r="S2839" s="6"/>
      <c r="T2839" s="6"/>
      <c r="U2839" s="5">
        <f>MATCH(B2839,Manual_Review!$A$6:$A$238,0)</f>
        <v>178</v>
      </c>
      <c r="V2839" s="5" t="str">
        <f>IF(INDEX(Manual_Review!$G$6:$G$238,U2839)="","",INDEX(Manual_Review!$G$6:$G$238,U2839))</f>
        <v/>
      </c>
      <c r="W2839" s="11" t="str">
        <f>IF(INDEX(Manual_Review!$H$6:$H$238,U2839)="","",INDEX(Manual_Review!$H$6:$H$238,U2839))</f>
        <v/>
      </c>
      <c r="X2839" s="5" t="str">
        <f>IF(INDEX(Manual_Review!$I$6:$I$238,U2839)="","",INDEX(Manual_Review!$I$6:$I$238,U2839))</f>
        <v/>
      </c>
      <c r="Y2839" s="5" t="s">
        <v>2859</v>
      </c>
    </row>
    <row r="2840" spans="1:25" ht="25.5">
      <c r="A2840" s="5" t="s">
        <v>8649</v>
      </c>
      <c r="B2840" s="5" t="s">
        <v>1981</v>
      </c>
      <c r="C2840" s="5" t="s">
        <v>1982</v>
      </c>
      <c r="D2840" s="5" t="s">
        <v>118</v>
      </c>
      <c r="E2840" s="5" t="s">
        <v>2783</v>
      </c>
      <c r="F2840" s="5" t="s">
        <v>2754</v>
      </c>
      <c r="G2840" s="5">
        <v>1</v>
      </c>
      <c r="H2840" s="5" t="s">
        <v>2854</v>
      </c>
      <c r="I2840" s="5" t="str">
        <f>IF(INDEX(Manual_Review!$M$6:$M$238,U2840)="","",INDEX(Manual_Review!$M$6:$M$238,U2840))</f>
        <v/>
      </c>
      <c r="J2840" s="5" t="str">
        <f t="shared" si="88"/>
        <v>AI provisional</v>
      </c>
      <c r="K2840" s="5" t="str">
        <f t="shared" si="89"/>
        <v>Y</v>
      </c>
      <c r="L2840" s="5" t="s">
        <v>1995</v>
      </c>
      <c r="M2840" s="5" t="s">
        <v>8650</v>
      </c>
      <c r="N2840" s="5" t="s">
        <v>8651</v>
      </c>
      <c r="O2840" s="5" t="s">
        <v>3000</v>
      </c>
      <c r="P2840" s="5" t="s">
        <v>2992</v>
      </c>
      <c r="Q2840" s="11">
        <v>46306.5</v>
      </c>
      <c r="R2840" s="6"/>
      <c r="S2840" s="6"/>
      <c r="T2840" s="6"/>
      <c r="U2840" s="5">
        <f>MATCH(B2840,Manual_Review!$A$6:$A$238,0)</f>
        <v>178</v>
      </c>
      <c r="V2840" s="5" t="str">
        <f>IF(INDEX(Manual_Review!$G$6:$G$238,U2840)="","",INDEX(Manual_Review!$G$6:$G$238,U2840))</f>
        <v/>
      </c>
      <c r="W2840" s="11" t="str">
        <f>IF(INDEX(Manual_Review!$H$6:$H$238,U2840)="","",INDEX(Manual_Review!$H$6:$H$238,U2840))</f>
        <v/>
      </c>
      <c r="X2840" s="5" t="str">
        <f>IF(INDEX(Manual_Review!$I$6:$I$238,U2840)="","",INDEX(Manual_Review!$I$6:$I$238,U2840))</f>
        <v/>
      </c>
      <c r="Y2840" s="5" t="s">
        <v>2859</v>
      </c>
    </row>
    <row r="2841" spans="1:25" ht="25.5">
      <c r="A2841" s="5" t="s">
        <v>8652</v>
      </c>
      <c r="B2841" s="5" t="s">
        <v>1981</v>
      </c>
      <c r="C2841" s="5" t="s">
        <v>1982</v>
      </c>
      <c r="D2841" s="5" t="s">
        <v>118</v>
      </c>
      <c r="E2841" s="5" t="s">
        <v>2784</v>
      </c>
      <c r="F2841" s="5" t="s">
        <v>2756</v>
      </c>
      <c r="G2841" s="5">
        <v>1</v>
      </c>
      <c r="H2841" s="5" t="s">
        <v>2854</v>
      </c>
      <c r="I2841" s="5" t="str">
        <f>IF(INDEX(Manual_Review!$N$6:$N$238,U2841)="","",INDEX(Manual_Review!$N$6:$N$238,U2841))</f>
        <v/>
      </c>
      <c r="J2841" s="5" t="str">
        <f t="shared" si="88"/>
        <v>AI provisional</v>
      </c>
      <c r="K2841" s="5" t="str">
        <f t="shared" si="89"/>
        <v>Y</v>
      </c>
      <c r="L2841" s="5" t="s">
        <v>1995</v>
      </c>
      <c r="M2841" s="5" t="s">
        <v>8653</v>
      </c>
      <c r="N2841" s="5" t="s">
        <v>8654</v>
      </c>
      <c r="O2841" s="5" t="s">
        <v>3004</v>
      </c>
      <c r="P2841" s="5" t="s">
        <v>2992</v>
      </c>
      <c r="Q2841" s="11">
        <v>46306.5</v>
      </c>
      <c r="R2841" s="6"/>
      <c r="S2841" s="6"/>
      <c r="T2841" s="6"/>
      <c r="U2841" s="5">
        <f>MATCH(B2841,Manual_Review!$A$6:$A$238,0)</f>
        <v>178</v>
      </c>
      <c r="V2841" s="5" t="str">
        <f>IF(INDEX(Manual_Review!$G$6:$G$238,U2841)="","",INDEX(Manual_Review!$G$6:$G$238,U2841))</f>
        <v/>
      </c>
      <c r="W2841" s="11" t="str">
        <f>IF(INDEX(Manual_Review!$H$6:$H$238,U2841)="","",INDEX(Manual_Review!$H$6:$H$238,U2841))</f>
        <v/>
      </c>
      <c r="X2841" s="5" t="str">
        <f>IF(INDEX(Manual_Review!$I$6:$I$238,U2841)="","",INDEX(Manual_Review!$I$6:$I$238,U2841))</f>
        <v/>
      </c>
      <c r="Y2841" s="5" t="s">
        <v>2859</v>
      </c>
    </row>
    <row r="2842" spans="1:25" ht="25.5">
      <c r="A2842" s="5" t="s">
        <v>8655</v>
      </c>
      <c r="B2842" s="5" t="s">
        <v>1981</v>
      </c>
      <c r="C2842" s="5" t="s">
        <v>1982</v>
      </c>
      <c r="D2842" s="5" t="s">
        <v>118</v>
      </c>
      <c r="E2842" s="5" t="s">
        <v>2785</v>
      </c>
      <c r="F2842" s="5" t="s">
        <v>2756</v>
      </c>
      <c r="G2842" s="5">
        <v>1</v>
      </c>
      <c r="H2842" s="5" t="s">
        <v>2854</v>
      </c>
      <c r="I2842" s="5" t="str">
        <f>IF(INDEX(Manual_Review!$O$6:$O$238,U2842)="","",INDEX(Manual_Review!$O$6:$O$238,U2842))</f>
        <v/>
      </c>
      <c r="J2842" s="5" t="str">
        <f t="shared" si="88"/>
        <v>AI provisional</v>
      </c>
      <c r="K2842" s="5" t="str">
        <f t="shared" si="89"/>
        <v>Y</v>
      </c>
      <c r="L2842" s="5" t="s">
        <v>1995</v>
      </c>
      <c r="M2842" s="5" t="s">
        <v>8653</v>
      </c>
      <c r="N2842" s="5" t="s">
        <v>8654</v>
      </c>
      <c r="O2842" s="5" t="s">
        <v>5541</v>
      </c>
      <c r="P2842" s="5" t="s">
        <v>2992</v>
      </c>
      <c r="Q2842" s="11">
        <v>46306.5</v>
      </c>
      <c r="R2842" s="6"/>
      <c r="S2842" s="6"/>
      <c r="T2842" s="6"/>
      <c r="U2842" s="5">
        <f>MATCH(B2842,Manual_Review!$A$6:$A$238,0)</f>
        <v>178</v>
      </c>
      <c r="V2842" s="5" t="str">
        <f>IF(INDEX(Manual_Review!$G$6:$G$238,U2842)="","",INDEX(Manual_Review!$G$6:$G$238,U2842))</f>
        <v/>
      </c>
      <c r="W2842" s="11" t="str">
        <f>IF(INDEX(Manual_Review!$H$6:$H$238,U2842)="","",INDEX(Manual_Review!$H$6:$H$238,U2842))</f>
        <v/>
      </c>
      <c r="X2842" s="5" t="str">
        <f>IF(INDEX(Manual_Review!$I$6:$I$238,U2842)="","",INDEX(Manual_Review!$I$6:$I$238,U2842))</f>
        <v/>
      </c>
      <c r="Y2842" s="5" t="s">
        <v>2859</v>
      </c>
    </row>
    <row r="2843" spans="1:25" ht="38.25">
      <c r="A2843" s="5" t="s">
        <v>8656</v>
      </c>
      <c r="B2843" s="5" t="s">
        <v>1981</v>
      </c>
      <c r="C2843" s="5" t="s">
        <v>1982</v>
      </c>
      <c r="D2843" s="5" t="s">
        <v>118</v>
      </c>
      <c r="E2843" s="5" t="s">
        <v>2786</v>
      </c>
      <c r="F2843" s="5" t="s">
        <v>2756</v>
      </c>
      <c r="G2843" s="5">
        <v>1</v>
      </c>
      <c r="H2843" s="5" t="s">
        <v>2864</v>
      </c>
      <c r="I2843" s="5" t="str">
        <f>IF(INDEX(Manual_Review!$P$6:$P$238,U2843)="","",INDEX(Manual_Review!$P$6:$P$238,U2843))</f>
        <v/>
      </c>
      <c r="J2843" s="5" t="str">
        <f t="shared" si="88"/>
        <v>AI provisional</v>
      </c>
      <c r="K2843" s="5" t="str">
        <f t="shared" si="89"/>
        <v>U</v>
      </c>
      <c r="L2843" s="5" t="s">
        <v>1995</v>
      </c>
      <c r="M2843" s="5" t="s">
        <v>8657</v>
      </c>
      <c r="N2843" s="5" t="s">
        <v>8658</v>
      </c>
      <c r="O2843" s="5" t="s">
        <v>3010</v>
      </c>
      <c r="P2843" s="5" t="s">
        <v>2992</v>
      </c>
      <c r="Q2843" s="11">
        <v>46306.5</v>
      </c>
      <c r="R2843" s="6"/>
      <c r="S2843" s="6"/>
      <c r="T2843" s="6"/>
      <c r="U2843" s="5">
        <f>MATCH(B2843,Manual_Review!$A$6:$A$238,0)</f>
        <v>178</v>
      </c>
      <c r="V2843" s="5" t="str">
        <f>IF(INDEX(Manual_Review!$G$6:$G$238,U2843)="","",INDEX(Manual_Review!$G$6:$G$238,U2843))</f>
        <v/>
      </c>
      <c r="W2843" s="11" t="str">
        <f>IF(INDEX(Manual_Review!$H$6:$H$238,U2843)="","",INDEX(Manual_Review!$H$6:$H$238,U2843))</f>
        <v/>
      </c>
      <c r="X2843" s="5" t="str">
        <f>IF(INDEX(Manual_Review!$I$6:$I$238,U2843)="","",INDEX(Manual_Review!$I$6:$I$238,U2843))</f>
        <v/>
      </c>
      <c r="Y2843" s="5" t="s">
        <v>2859</v>
      </c>
    </row>
    <row r="2844" spans="1:25" ht="25.5">
      <c r="A2844" s="5" t="s">
        <v>8659</v>
      </c>
      <c r="B2844" s="5" t="s">
        <v>1981</v>
      </c>
      <c r="C2844" s="5" t="s">
        <v>1982</v>
      </c>
      <c r="D2844" s="5" t="s">
        <v>118</v>
      </c>
      <c r="E2844" s="5" t="s">
        <v>2787</v>
      </c>
      <c r="F2844" s="5" t="s">
        <v>2758</v>
      </c>
      <c r="G2844" s="5">
        <v>1</v>
      </c>
      <c r="H2844" s="5" t="s">
        <v>2854</v>
      </c>
      <c r="I2844" s="5" t="str">
        <f>IF(INDEX(Manual_Review!$Q$6:$Q$238,U2844)="","",INDEX(Manual_Review!$Q$6:$Q$238,U2844))</f>
        <v/>
      </c>
      <c r="J2844" s="5" t="str">
        <f t="shared" si="88"/>
        <v>AI provisional</v>
      </c>
      <c r="K2844" s="5" t="str">
        <f t="shared" si="89"/>
        <v>Y</v>
      </c>
      <c r="L2844" s="5" t="s">
        <v>1995</v>
      </c>
      <c r="M2844" s="5" t="s">
        <v>8660</v>
      </c>
      <c r="N2844" s="5" t="s">
        <v>8661</v>
      </c>
      <c r="O2844" s="5" t="s">
        <v>3819</v>
      </c>
      <c r="P2844" s="5" t="s">
        <v>2992</v>
      </c>
      <c r="Q2844" s="11">
        <v>46306.5</v>
      </c>
      <c r="R2844" s="6"/>
      <c r="S2844" s="6"/>
      <c r="T2844" s="6"/>
      <c r="U2844" s="5">
        <f>MATCH(B2844,Manual_Review!$A$6:$A$238,0)</f>
        <v>178</v>
      </c>
      <c r="V2844" s="5" t="str">
        <f>IF(INDEX(Manual_Review!$G$6:$G$238,U2844)="","",INDEX(Manual_Review!$G$6:$G$238,U2844))</f>
        <v/>
      </c>
      <c r="W2844" s="11" t="str">
        <f>IF(INDEX(Manual_Review!$H$6:$H$238,U2844)="","",INDEX(Manual_Review!$H$6:$H$238,U2844))</f>
        <v/>
      </c>
      <c r="X2844" s="5" t="str">
        <f>IF(INDEX(Manual_Review!$I$6:$I$238,U2844)="","",INDEX(Manual_Review!$I$6:$I$238,U2844))</f>
        <v/>
      </c>
      <c r="Y2844" s="5" t="s">
        <v>2859</v>
      </c>
    </row>
    <row r="2845" spans="1:25" ht="51">
      <c r="A2845" s="5" t="s">
        <v>8662</v>
      </c>
      <c r="B2845" s="5" t="s">
        <v>1981</v>
      </c>
      <c r="C2845" s="5" t="s">
        <v>1982</v>
      </c>
      <c r="D2845" s="5" t="s">
        <v>118</v>
      </c>
      <c r="E2845" s="5" t="s">
        <v>2788</v>
      </c>
      <c r="F2845" s="5" t="s">
        <v>2758</v>
      </c>
      <c r="G2845" s="5">
        <v>1</v>
      </c>
      <c r="H2845" s="5" t="s">
        <v>2854</v>
      </c>
      <c r="I2845" s="5" t="str">
        <f>IF(INDEX(Manual_Review!$R$6:$R$238,U2845)="","",INDEX(Manual_Review!$R$6:$R$238,U2845))</f>
        <v/>
      </c>
      <c r="J2845" s="5" t="str">
        <f t="shared" si="88"/>
        <v>AI provisional</v>
      </c>
      <c r="K2845" s="5" t="str">
        <f t="shared" si="89"/>
        <v>Y</v>
      </c>
      <c r="L2845" s="5" t="s">
        <v>1995</v>
      </c>
      <c r="M2845" s="5" t="s">
        <v>8663</v>
      </c>
      <c r="N2845" s="5" t="s">
        <v>8664</v>
      </c>
      <c r="O2845" s="5" t="s">
        <v>3018</v>
      </c>
      <c r="P2845" s="5" t="s">
        <v>2992</v>
      </c>
      <c r="Q2845" s="11">
        <v>46306.5</v>
      </c>
      <c r="R2845" s="6"/>
      <c r="S2845" s="6"/>
      <c r="T2845" s="6"/>
      <c r="U2845" s="5">
        <f>MATCH(B2845,Manual_Review!$A$6:$A$238,0)</f>
        <v>178</v>
      </c>
      <c r="V2845" s="5" t="str">
        <f>IF(INDEX(Manual_Review!$G$6:$G$238,U2845)="","",INDEX(Manual_Review!$G$6:$G$238,U2845))</f>
        <v/>
      </c>
      <c r="W2845" s="11" t="str">
        <f>IF(INDEX(Manual_Review!$H$6:$H$238,U2845)="","",INDEX(Manual_Review!$H$6:$H$238,U2845))</f>
        <v/>
      </c>
      <c r="X2845" s="5" t="str">
        <f>IF(INDEX(Manual_Review!$I$6:$I$238,U2845)="","",INDEX(Manual_Review!$I$6:$I$238,U2845))</f>
        <v/>
      </c>
      <c r="Y2845" s="5" t="s">
        <v>2859</v>
      </c>
    </row>
    <row r="2846" spans="1:25" ht="38.25">
      <c r="A2846" s="5" t="s">
        <v>8665</v>
      </c>
      <c r="B2846" s="5" t="s">
        <v>1981</v>
      </c>
      <c r="C2846" s="5" t="s">
        <v>1982</v>
      </c>
      <c r="D2846" s="5" t="s">
        <v>118</v>
      </c>
      <c r="E2846" s="5" t="s">
        <v>2789</v>
      </c>
      <c r="F2846" s="5" t="s">
        <v>2758</v>
      </c>
      <c r="G2846" s="5">
        <v>1</v>
      </c>
      <c r="H2846" s="5" t="s">
        <v>2854</v>
      </c>
      <c r="I2846" s="5" t="str">
        <f>IF(INDEX(Manual_Review!$S$6:$S$238,U2846)="","",INDEX(Manual_Review!$S$6:$S$238,U2846))</f>
        <v/>
      </c>
      <c r="J2846" s="5" t="str">
        <f t="shared" si="88"/>
        <v>AI provisional</v>
      </c>
      <c r="K2846" s="5" t="str">
        <f t="shared" si="89"/>
        <v>Y</v>
      </c>
      <c r="L2846" s="5" t="s">
        <v>1995</v>
      </c>
      <c r="M2846" s="5" t="s">
        <v>8666</v>
      </c>
      <c r="N2846" s="5" t="s">
        <v>8667</v>
      </c>
      <c r="O2846" s="5" t="s">
        <v>3022</v>
      </c>
      <c r="P2846" s="5" t="s">
        <v>2992</v>
      </c>
      <c r="Q2846" s="11">
        <v>46306.5</v>
      </c>
      <c r="R2846" s="6"/>
      <c r="S2846" s="6"/>
      <c r="T2846" s="6"/>
      <c r="U2846" s="5">
        <f>MATCH(B2846,Manual_Review!$A$6:$A$238,0)</f>
        <v>178</v>
      </c>
      <c r="V2846" s="5" t="str">
        <f>IF(INDEX(Manual_Review!$G$6:$G$238,U2846)="","",INDEX(Manual_Review!$G$6:$G$238,U2846))</f>
        <v/>
      </c>
      <c r="W2846" s="11" t="str">
        <f>IF(INDEX(Manual_Review!$H$6:$H$238,U2846)="","",INDEX(Manual_Review!$H$6:$H$238,U2846))</f>
        <v/>
      </c>
      <c r="X2846" s="5" t="str">
        <f>IF(INDEX(Manual_Review!$I$6:$I$238,U2846)="","",INDEX(Manual_Review!$I$6:$I$238,U2846))</f>
        <v/>
      </c>
      <c r="Y2846" s="5" t="s">
        <v>2859</v>
      </c>
    </row>
    <row r="2847" spans="1:25" ht="25.5">
      <c r="A2847" s="5" t="s">
        <v>8668</v>
      </c>
      <c r="B2847" s="5" t="s">
        <v>1981</v>
      </c>
      <c r="C2847" s="5" t="s">
        <v>1982</v>
      </c>
      <c r="D2847" s="5" t="s">
        <v>118</v>
      </c>
      <c r="E2847" s="5" t="s">
        <v>2790</v>
      </c>
      <c r="F2847" s="5" t="s">
        <v>2760</v>
      </c>
      <c r="G2847" s="5">
        <v>1</v>
      </c>
      <c r="H2847" s="5" t="s">
        <v>2854</v>
      </c>
      <c r="I2847" s="5" t="str">
        <f>IF(INDEX(Manual_Review!$T$6:$T$238,U2847)="","",INDEX(Manual_Review!$T$6:$T$238,U2847))</f>
        <v/>
      </c>
      <c r="J2847" s="5" t="str">
        <f t="shared" si="88"/>
        <v>AI provisional</v>
      </c>
      <c r="K2847" s="5" t="str">
        <f t="shared" si="89"/>
        <v>Y</v>
      </c>
      <c r="L2847" s="5" t="s">
        <v>1995</v>
      </c>
      <c r="M2847" s="5" t="s">
        <v>8669</v>
      </c>
      <c r="N2847" s="5" t="s">
        <v>8670</v>
      </c>
      <c r="O2847" s="5" t="s">
        <v>3451</v>
      </c>
      <c r="P2847" s="5" t="s">
        <v>2992</v>
      </c>
      <c r="Q2847" s="11">
        <v>46306.5</v>
      </c>
      <c r="R2847" s="6"/>
      <c r="S2847" s="6"/>
      <c r="T2847" s="6"/>
      <c r="U2847" s="5">
        <f>MATCH(B2847,Manual_Review!$A$6:$A$238,0)</f>
        <v>178</v>
      </c>
      <c r="V2847" s="5" t="str">
        <f>IF(INDEX(Manual_Review!$G$6:$G$238,U2847)="","",INDEX(Manual_Review!$G$6:$G$238,U2847))</f>
        <v/>
      </c>
      <c r="W2847" s="11" t="str">
        <f>IF(INDEX(Manual_Review!$H$6:$H$238,U2847)="","",INDEX(Manual_Review!$H$6:$H$238,U2847))</f>
        <v/>
      </c>
      <c r="X2847" s="5" t="str">
        <f>IF(INDEX(Manual_Review!$I$6:$I$238,U2847)="","",INDEX(Manual_Review!$I$6:$I$238,U2847))</f>
        <v/>
      </c>
      <c r="Y2847" s="5" t="s">
        <v>2859</v>
      </c>
    </row>
    <row r="2848" spans="1:25" ht="25.5">
      <c r="A2848" s="5" t="s">
        <v>8671</v>
      </c>
      <c r="B2848" s="5" t="s">
        <v>1981</v>
      </c>
      <c r="C2848" s="5" t="s">
        <v>1982</v>
      </c>
      <c r="D2848" s="5" t="s">
        <v>118</v>
      </c>
      <c r="E2848" s="5" t="s">
        <v>2791</v>
      </c>
      <c r="F2848" s="5" t="s">
        <v>2760</v>
      </c>
      <c r="G2848" s="5">
        <v>1</v>
      </c>
      <c r="H2848" s="5" t="s">
        <v>2864</v>
      </c>
      <c r="I2848" s="5" t="str">
        <f>IF(INDEX(Manual_Review!$U$6:$U$238,U2848)="","",INDEX(Manual_Review!$U$6:$U$238,U2848))</f>
        <v/>
      </c>
      <c r="J2848" s="5" t="str">
        <f t="shared" si="88"/>
        <v>AI provisional</v>
      </c>
      <c r="K2848" s="5" t="str">
        <f t="shared" si="89"/>
        <v>U</v>
      </c>
      <c r="L2848" s="5" t="s">
        <v>1995</v>
      </c>
      <c r="M2848" s="5" t="s">
        <v>8672</v>
      </c>
      <c r="N2848" s="5" t="s">
        <v>8673</v>
      </c>
      <c r="O2848" s="5" t="s">
        <v>3030</v>
      </c>
      <c r="P2848" s="5" t="s">
        <v>2992</v>
      </c>
      <c r="Q2848" s="11">
        <v>46306.5</v>
      </c>
      <c r="R2848" s="6"/>
      <c r="S2848" s="6"/>
      <c r="T2848" s="6"/>
      <c r="U2848" s="5">
        <f>MATCH(B2848,Manual_Review!$A$6:$A$238,0)</f>
        <v>178</v>
      </c>
      <c r="V2848" s="5" t="str">
        <f>IF(INDEX(Manual_Review!$G$6:$G$238,U2848)="","",INDEX(Manual_Review!$G$6:$G$238,U2848))</f>
        <v/>
      </c>
      <c r="W2848" s="11" t="str">
        <f>IF(INDEX(Manual_Review!$H$6:$H$238,U2848)="","",INDEX(Manual_Review!$H$6:$H$238,U2848))</f>
        <v/>
      </c>
      <c r="X2848" s="5" t="str">
        <f>IF(INDEX(Manual_Review!$I$6:$I$238,U2848)="","",INDEX(Manual_Review!$I$6:$I$238,U2848))</f>
        <v/>
      </c>
      <c r="Y2848" s="5" t="s">
        <v>2859</v>
      </c>
    </row>
    <row r="2849" spans="1:25" ht="25.5">
      <c r="A2849" s="5" t="s">
        <v>8674</v>
      </c>
      <c r="B2849" s="5" t="s">
        <v>1981</v>
      </c>
      <c r="C2849" s="5" t="s">
        <v>1982</v>
      </c>
      <c r="D2849" s="5" t="s">
        <v>118</v>
      </c>
      <c r="E2849" s="5" t="s">
        <v>2792</v>
      </c>
      <c r="F2849" s="5" t="s">
        <v>2762</v>
      </c>
      <c r="G2849" s="5">
        <v>1</v>
      </c>
      <c r="H2849" s="5" t="s">
        <v>2854</v>
      </c>
      <c r="I2849" s="5" t="str">
        <f>IF(INDEX(Manual_Review!$V$6:$V$238,U2849)="","",INDEX(Manual_Review!$V$6:$V$238,U2849))</f>
        <v/>
      </c>
      <c r="J2849" s="5" t="str">
        <f t="shared" si="88"/>
        <v>AI provisional</v>
      </c>
      <c r="K2849" s="5" t="str">
        <f t="shared" si="89"/>
        <v>Y</v>
      </c>
      <c r="L2849" s="5" t="s">
        <v>1995</v>
      </c>
      <c r="M2849" s="5" t="s">
        <v>8675</v>
      </c>
      <c r="N2849" s="5" t="s">
        <v>8676</v>
      </c>
      <c r="O2849" s="5" t="s">
        <v>3034</v>
      </c>
      <c r="P2849" s="5" t="s">
        <v>2992</v>
      </c>
      <c r="Q2849" s="11">
        <v>46306.5</v>
      </c>
      <c r="R2849" s="6"/>
      <c r="S2849" s="6"/>
      <c r="T2849" s="6"/>
      <c r="U2849" s="5">
        <f>MATCH(B2849,Manual_Review!$A$6:$A$238,0)</f>
        <v>178</v>
      </c>
      <c r="V2849" s="5" t="str">
        <f>IF(INDEX(Manual_Review!$G$6:$G$238,U2849)="","",INDEX(Manual_Review!$G$6:$G$238,U2849))</f>
        <v/>
      </c>
      <c r="W2849" s="11" t="str">
        <f>IF(INDEX(Manual_Review!$H$6:$H$238,U2849)="","",INDEX(Manual_Review!$H$6:$H$238,U2849))</f>
        <v/>
      </c>
      <c r="X2849" s="5" t="str">
        <f>IF(INDEX(Manual_Review!$I$6:$I$238,U2849)="","",INDEX(Manual_Review!$I$6:$I$238,U2849))</f>
        <v/>
      </c>
      <c r="Y2849" s="5" t="s">
        <v>2859</v>
      </c>
    </row>
    <row r="2850" spans="1:25" ht="38.25">
      <c r="A2850" s="5" t="s">
        <v>8677</v>
      </c>
      <c r="B2850" s="5" t="s">
        <v>1981</v>
      </c>
      <c r="C2850" s="5" t="s">
        <v>1982</v>
      </c>
      <c r="D2850" s="5" t="s">
        <v>118</v>
      </c>
      <c r="E2850" s="5" t="s">
        <v>2793</v>
      </c>
      <c r="F2850" s="5" t="s">
        <v>2762</v>
      </c>
      <c r="G2850" s="5">
        <v>1</v>
      </c>
      <c r="H2850" s="5" t="s">
        <v>2854</v>
      </c>
      <c r="I2850" s="5" t="str">
        <f>IF(INDEX(Manual_Review!$W$6:$W$238,U2850)="","",INDEX(Manual_Review!$W$6:$W$238,U2850))</f>
        <v/>
      </c>
      <c r="J2850" s="5" t="str">
        <f t="shared" si="88"/>
        <v>AI provisional</v>
      </c>
      <c r="K2850" s="5" t="str">
        <f t="shared" si="89"/>
        <v>Y</v>
      </c>
      <c r="L2850" s="5" t="s">
        <v>1995</v>
      </c>
      <c r="M2850" s="5" t="s">
        <v>8678</v>
      </c>
      <c r="N2850" s="5" t="s">
        <v>8679</v>
      </c>
      <c r="O2850" s="5" t="s">
        <v>3038</v>
      </c>
      <c r="P2850" s="5" t="s">
        <v>2992</v>
      </c>
      <c r="Q2850" s="11">
        <v>46306.5</v>
      </c>
      <c r="R2850" s="6"/>
      <c r="S2850" s="6"/>
      <c r="T2850" s="6"/>
      <c r="U2850" s="5">
        <f>MATCH(B2850,Manual_Review!$A$6:$A$238,0)</f>
        <v>178</v>
      </c>
      <c r="V2850" s="5" t="str">
        <f>IF(INDEX(Manual_Review!$G$6:$G$238,U2850)="","",INDEX(Manual_Review!$G$6:$G$238,U2850))</f>
        <v/>
      </c>
      <c r="W2850" s="11" t="str">
        <f>IF(INDEX(Manual_Review!$H$6:$H$238,U2850)="","",INDEX(Manual_Review!$H$6:$H$238,U2850))</f>
        <v/>
      </c>
      <c r="X2850" s="5" t="str">
        <f>IF(INDEX(Manual_Review!$I$6:$I$238,U2850)="","",INDEX(Manual_Review!$I$6:$I$238,U2850))</f>
        <v/>
      </c>
      <c r="Y2850" s="5" t="s">
        <v>2859</v>
      </c>
    </row>
    <row r="2851" spans="1:25" ht="25.5">
      <c r="A2851" s="5" t="s">
        <v>8680</v>
      </c>
      <c r="B2851" s="5" t="s">
        <v>1981</v>
      </c>
      <c r="C2851" s="5" t="s">
        <v>1982</v>
      </c>
      <c r="D2851" s="5" t="s">
        <v>118</v>
      </c>
      <c r="E2851" s="5" t="s">
        <v>2794</v>
      </c>
      <c r="F2851" s="5" t="s">
        <v>2764</v>
      </c>
      <c r="G2851" s="5">
        <v>1</v>
      </c>
      <c r="H2851" s="5" t="s">
        <v>2854</v>
      </c>
      <c r="I2851" s="5" t="str">
        <f>IF(INDEX(Manual_Review!$X$6:$X$238,U2851)="","",INDEX(Manual_Review!$X$6:$X$238,U2851))</f>
        <v/>
      </c>
      <c r="J2851" s="5" t="str">
        <f t="shared" si="88"/>
        <v>AI provisional</v>
      </c>
      <c r="K2851" s="5" t="str">
        <f t="shared" si="89"/>
        <v>Y</v>
      </c>
      <c r="L2851" s="5" t="s">
        <v>1995</v>
      </c>
      <c r="M2851" s="5" t="s">
        <v>8681</v>
      </c>
      <c r="N2851" s="5" t="s">
        <v>8682</v>
      </c>
      <c r="O2851" s="5" t="s">
        <v>3042</v>
      </c>
      <c r="P2851" s="5" t="s">
        <v>2992</v>
      </c>
      <c r="Q2851" s="11">
        <v>46306.5</v>
      </c>
      <c r="R2851" s="6"/>
      <c r="S2851" s="6"/>
      <c r="T2851" s="6"/>
      <c r="U2851" s="5">
        <f>MATCH(B2851,Manual_Review!$A$6:$A$238,0)</f>
        <v>178</v>
      </c>
      <c r="V2851" s="5" t="str">
        <f>IF(INDEX(Manual_Review!$G$6:$G$238,U2851)="","",INDEX(Manual_Review!$G$6:$G$238,U2851))</f>
        <v/>
      </c>
      <c r="W2851" s="11" t="str">
        <f>IF(INDEX(Manual_Review!$H$6:$H$238,U2851)="","",INDEX(Manual_Review!$H$6:$H$238,U2851))</f>
        <v/>
      </c>
      <c r="X2851" s="5" t="str">
        <f>IF(INDEX(Manual_Review!$I$6:$I$238,U2851)="","",INDEX(Manual_Review!$I$6:$I$238,U2851))</f>
        <v/>
      </c>
      <c r="Y2851" s="5" t="s">
        <v>2859</v>
      </c>
    </row>
    <row r="2852" spans="1:25" ht="25.5">
      <c r="A2852" s="5" t="s">
        <v>8683</v>
      </c>
      <c r="B2852" s="5" t="s">
        <v>1981</v>
      </c>
      <c r="C2852" s="5" t="s">
        <v>1982</v>
      </c>
      <c r="D2852" s="5" t="s">
        <v>118</v>
      </c>
      <c r="E2852" s="5" t="s">
        <v>2795</v>
      </c>
      <c r="F2852" s="5" t="s">
        <v>2764</v>
      </c>
      <c r="G2852" s="5">
        <v>1</v>
      </c>
      <c r="H2852" s="5" t="s">
        <v>2864</v>
      </c>
      <c r="I2852" s="5" t="str">
        <f>IF(INDEX(Manual_Review!$Y$6:$Y$238,U2852)="","",INDEX(Manual_Review!$Y$6:$Y$238,U2852))</f>
        <v/>
      </c>
      <c r="J2852" s="5" t="str">
        <f t="shared" si="88"/>
        <v>AI provisional</v>
      </c>
      <c r="K2852" s="5" t="str">
        <f t="shared" si="89"/>
        <v>U</v>
      </c>
      <c r="L2852" s="5" t="s">
        <v>1995</v>
      </c>
      <c r="M2852" s="5" t="s">
        <v>8684</v>
      </c>
      <c r="N2852" s="5" t="s">
        <v>8685</v>
      </c>
      <c r="O2852" s="5" t="s">
        <v>3469</v>
      </c>
      <c r="P2852" s="5" t="s">
        <v>2992</v>
      </c>
      <c r="Q2852" s="11">
        <v>46306.5</v>
      </c>
      <c r="R2852" s="6"/>
      <c r="S2852" s="6"/>
      <c r="T2852" s="6"/>
      <c r="U2852" s="5">
        <f>MATCH(B2852,Manual_Review!$A$6:$A$238,0)</f>
        <v>178</v>
      </c>
      <c r="V2852" s="5" t="str">
        <f>IF(INDEX(Manual_Review!$G$6:$G$238,U2852)="","",INDEX(Manual_Review!$G$6:$G$238,U2852))</f>
        <v/>
      </c>
      <c r="W2852" s="11" t="str">
        <f>IF(INDEX(Manual_Review!$H$6:$H$238,U2852)="","",INDEX(Manual_Review!$H$6:$H$238,U2852))</f>
        <v/>
      </c>
      <c r="X2852" s="5" t="str">
        <f>IF(INDEX(Manual_Review!$I$6:$I$238,U2852)="","",INDEX(Manual_Review!$I$6:$I$238,U2852))</f>
        <v/>
      </c>
      <c r="Y2852" s="5" t="s">
        <v>2859</v>
      </c>
    </row>
    <row r="2853" spans="1:25" ht="38.25">
      <c r="A2853" s="5" t="s">
        <v>8686</v>
      </c>
      <c r="B2853" s="5" t="s">
        <v>1981</v>
      </c>
      <c r="C2853" s="5" t="s">
        <v>1982</v>
      </c>
      <c r="D2853" s="5" t="s">
        <v>118</v>
      </c>
      <c r="E2853" s="5" t="s">
        <v>2796</v>
      </c>
      <c r="F2853" s="5" t="s">
        <v>2764</v>
      </c>
      <c r="G2853" s="5">
        <v>1</v>
      </c>
      <c r="H2853" s="5" t="s">
        <v>2864</v>
      </c>
      <c r="I2853" s="5" t="str">
        <f>IF(INDEX(Manual_Review!$Z$6:$Z$238,U2853)="","",INDEX(Manual_Review!$Z$6:$Z$238,U2853))</f>
        <v/>
      </c>
      <c r="J2853" s="5" t="str">
        <f t="shared" si="88"/>
        <v>AI provisional</v>
      </c>
      <c r="K2853" s="5" t="str">
        <f t="shared" si="89"/>
        <v>U</v>
      </c>
      <c r="L2853" s="5" t="s">
        <v>1995</v>
      </c>
      <c r="M2853" s="5" t="s">
        <v>8687</v>
      </c>
      <c r="N2853" s="5" t="s">
        <v>8688</v>
      </c>
      <c r="O2853" s="5" t="s">
        <v>3050</v>
      </c>
      <c r="P2853" s="5" t="s">
        <v>2992</v>
      </c>
      <c r="Q2853" s="11">
        <v>46306.5</v>
      </c>
      <c r="R2853" s="6"/>
      <c r="S2853" s="6"/>
      <c r="T2853" s="6"/>
      <c r="U2853" s="5">
        <f>MATCH(B2853,Manual_Review!$A$6:$A$238,0)</f>
        <v>178</v>
      </c>
      <c r="V2853" s="5" t="str">
        <f>IF(INDEX(Manual_Review!$G$6:$G$238,U2853)="","",INDEX(Manual_Review!$G$6:$G$238,U2853))</f>
        <v/>
      </c>
      <c r="W2853" s="11" t="str">
        <f>IF(INDEX(Manual_Review!$H$6:$H$238,U2853)="","",INDEX(Manual_Review!$H$6:$H$238,U2853))</f>
        <v/>
      </c>
      <c r="X2853" s="5" t="str">
        <f>IF(INDEX(Manual_Review!$I$6:$I$238,U2853)="","",INDEX(Manual_Review!$I$6:$I$238,U2853))</f>
        <v/>
      </c>
      <c r="Y2853" s="5" t="s">
        <v>2859</v>
      </c>
    </row>
    <row r="2854" spans="1:25" ht="25.5">
      <c r="A2854" s="5" t="s">
        <v>8689</v>
      </c>
      <c r="B2854" s="5" t="s">
        <v>1997</v>
      </c>
      <c r="C2854" s="5" t="s">
        <v>1998</v>
      </c>
      <c r="D2854" s="5" t="s">
        <v>118</v>
      </c>
      <c r="E2854" s="5" t="s">
        <v>2781</v>
      </c>
      <c r="F2854" s="5" t="s">
        <v>2754</v>
      </c>
      <c r="G2854" s="5">
        <v>1</v>
      </c>
      <c r="H2854" s="5" t="s">
        <v>2854</v>
      </c>
      <c r="I2854" s="5" t="str">
        <f>IF(INDEX(Manual_Review!$K$6:$K$238,U2854)="","",INDEX(Manual_Review!$K$6:$K$238,U2854))</f>
        <v/>
      </c>
      <c r="J2854" s="5" t="str">
        <f t="shared" si="88"/>
        <v>AI provisional</v>
      </c>
      <c r="K2854" s="5" t="str">
        <f t="shared" si="89"/>
        <v>Y</v>
      </c>
      <c r="L2854" s="5" t="s">
        <v>2009</v>
      </c>
      <c r="M2854" s="5" t="s">
        <v>8690</v>
      </c>
      <c r="N2854" s="5" t="s">
        <v>8691</v>
      </c>
      <c r="O2854" s="5" t="s">
        <v>2991</v>
      </c>
      <c r="P2854" s="5" t="s">
        <v>2992</v>
      </c>
      <c r="Q2854" s="11">
        <v>46306.5</v>
      </c>
      <c r="R2854" s="6"/>
      <c r="S2854" s="6"/>
      <c r="T2854" s="6"/>
      <c r="U2854" s="5">
        <f>MATCH(B2854,Manual_Review!$A$6:$A$238,0)</f>
        <v>179</v>
      </c>
      <c r="V2854" s="5" t="str">
        <f>IF(INDEX(Manual_Review!$G$6:$G$238,U2854)="","",INDEX(Manual_Review!$G$6:$G$238,U2854))</f>
        <v/>
      </c>
      <c r="W2854" s="11" t="str">
        <f>IF(INDEX(Manual_Review!$H$6:$H$238,U2854)="","",INDEX(Manual_Review!$H$6:$H$238,U2854))</f>
        <v/>
      </c>
      <c r="X2854" s="5" t="str">
        <f>IF(INDEX(Manual_Review!$I$6:$I$238,U2854)="","",INDEX(Manual_Review!$I$6:$I$238,U2854))</f>
        <v/>
      </c>
      <c r="Y2854" s="5" t="s">
        <v>2859</v>
      </c>
    </row>
    <row r="2855" spans="1:25" ht="25.5">
      <c r="A2855" s="5" t="s">
        <v>8692</v>
      </c>
      <c r="B2855" s="5" t="s">
        <v>1997</v>
      </c>
      <c r="C2855" s="5" t="s">
        <v>1998</v>
      </c>
      <c r="D2855" s="5" t="s">
        <v>118</v>
      </c>
      <c r="E2855" s="5" t="s">
        <v>2782</v>
      </c>
      <c r="F2855" s="5" t="s">
        <v>2754</v>
      </c>
      <c r="G2855" s="5">
        <v>1</v>
      </c>
      <c r="H2855" s="5" t="s">
        <v>2854</v>
      </c>
      <c r="I2855" s="5" t="str">
        <f>IF(INDEX(Manual_Review!$L$6:$L$238,U2855)="","",INDEX(Manual_Review!$L$6:$L$238,U2855))</f>
        <v/>
      </c>
      <c r="J2855" s="5" t="str">
        <f t="shared" si="88"/>
        <v>AI provisional</v>
      </c>
      <c r="K2855" s="5" t="str">
        <f t="shared" si="89"/>
        <v>Y</v>
      </c>
      <c r="L2855" s="5" t="s">
        <v>2009</v>
      </c>
      <c r="M2855" s="5" t="s">
        <v>8693</v>
      </c>
      <c r="N2855" s="5" t="s">
        <v>8694</v>
      </c>
      <c r="O2855" s="5" t="s">
        <v>2996</v>
      </c>
      <c r="P2855" s="5" t="s">
        <v>2992</v>
      </c>
      <c r="Q2855" s="11">
        <v>46306.5</v>
      </c>
      <c r="R2855" s="6"/>
      <c r="S2855" s="6"/>
      <c r="T2855" s="6"/>
      <c r="U2855" s="5">
        <f>MATCH(B2855,Manual_Review!$A$6:$A$238,0)</f>
        <v>179</v>
      </c>
      <c r="V2855" s="5" t="str">
        <f>IF(INDEX(Manual_Review!$G$6:$G$238,U2855)="","",INDEX(Manual_Review!$G$6:$G$238,U2855))</f>
        <v/>
      </c>
      <c r="W2855" s="11" t="str">
        <f>IF(INDEX(Manual_Review!$H$6:$H$238,U2855)="","",INDEX(Manual_Review!$H$6:$H$238,U2855))</f>
        <v/>
      </c>
      <c r="X2855" s="5" t="str">
        <f>IF(INDEX(Manual_Review!$I$6:$I$238,U2855)="","",INDEX(Manual_Review!$I$6:$I$238,U2855))</f>
        <v/>
      </c>
      <c r="Y2855" s="5" t="s">
        <v>2859</v>
      </c>
    </row>
    <row r="2856" spans="1:25" ht="25.5">
      <c r="A2856" s="5" t="s">
        <v>8695</v>
      </c>
      <c r="B2856" s="5" t="s">
        <v>1997</v>
      </c>
      <c r="C2856" s="5" t="s">
        <v>1998</v>
      </c>
      <c r="D2856" s="5" t="s">
        <v>118</v>
      </c>
      <c r="E2856" s="5" t="s">
        <v>2783</v>
      </c>
      <c r="F2856" s="5" t="s">
        <v>2754</v>
      </c>
      <c r="G2856" s="5">
        <v>1</v>
      </c>
      <c r="H2856" s="5" t="s">
        <v>2854</v>
      </c>
      <c r="I2856" s="5" t="str">
        <f>IF(INDEX(Manual_Review!$M$6:$M$238,U2856)="","",INDEX(Manual_Review!$M$6:$M$238,U2856))</f>
        <v/>
      </c>
      <c r="J2856" s="5" t="str">
        <f t="shared" si="88"/>
        <v>AI provisional</v>
      </c>
      <c r="K2856" s="5" t="str">
        <f t="shared" si="89"/>
        <v>Y</v>
      </c>
      <c r="L2856" s="5" t="s">
        <v>2009</v>
      </c>
      <c r="M2856" s="5" t="s">
        <v>8696</v>
      </c>
      <c r="N2856" s="5" t="s">
        <v>8697</v>
      </c>
      <c r="O2856" s="5" t="s">
        <v>3000</v>
      </c>
      <c r="P2856" s="5" t="s">
        <v>2992</v>
      </c>
      <c r="Q2856" s="11">
        <v>46306.5</v>
      </c>
      <c r="R2856" s="6"/>
      <c r="S2856" s="6"/>
      <c r="T2856" s="6"/>
      <c r="U2856" s="5">
        <f>MATCH(B2856,Manual_Review!$A$6:$A$238,0)</f>
        <v>179</v>
      </c>
      <c r="V2856" s="5" t="str">
        <f>IF(INDEX(Manual_Review!$G$6:$G$238,U2856)="","",INDEX(Manual_Review!$G$6:$G$238,U2856))</f>
        <v/>
      </c>
      <c r="W2856" s="11" t="str">
        <f>IF(INDEX(Manual_Review!$H$6:$H$238,U2856)="","",INDEX(Manual_Review!$H$6:$H$238,U2856))</f>
        <v/>
      </c>
      <c r="X2856" s="5" t="str">
        <f>IF(INDEX(Manual_Review!$I$6:$I$238,U2856)="","",INDEX(Manual_Review!$I$6:$I$238,U2856))</f>
        <v/>
      </c>
      <c r="Y2856" s="5" t="s">
        <v>2859</v>
      </c>
    </row>
    <row r="2857" spans="1:25" ht="25.5">
      <c r="A2857" s="5" t="s">
        <v>8698</v>
      </c>
      <c r="B2857" s="5" t="s">
        <v>1997</v>
      </c>
      <c r="C2857" s="5" t="s">
        <v>1998</v>
      </c>
      <c r="D2857" s="5" t="s">
        <v>118</v>
      </c>
      <c r="E2857" s="5" t="s">
        <v>2784</v>
      </c>
      <c r="F2857" s="5" t="s">
        <v>2756</v>
      </c>
      <c r="G2857" s="5">
        <v>1</v>
      </c>
      <c r="H2857" s="5" t="s">
        <v>2854</v>
      </c>
      <c r="I2857" s="5" t="str">
        <f>IF(INDEX(Manual_Review!$N$6:$N$238,U2857)="","",INDEX(Manual_Review!$N$6:$N$238,U2857))</f>
        <v/>
      </c>
      <c r="J2857" s="5" t="str">
        <f t="shared" si="88"/>
        <v>AI provisional</v>
      </c>
      <c r="K2857" s="5" t="str">
        <f t="shared" si="89"/>
        <v>Y</v>
      </c>
      <c r="L2857" s="5" t="s">
        <v>2009</v>
      </c>
      <c r="M2857" s="5" t="s">
        <v>8699</v>
      </c>
      <c r="N2857" s="5" t="s">
        <v>8700</v>
      </c>
      <c r="O2857" s="5" t="s">
        <v>3004</v>
      </c>
      <c r="P2857" s="5" t="s">
        <v>2992</v>
      </c>
      <c r="Q2857" s="11">
        <v>46306.5</v>
      </c>
      <c r="R2857" s="6"/>
      <c r="S2857" s="6"/>
      <c r="T2857" s="6"/>
      <c r="U2857" s="5">
        <f>MATCH(B2857,Manual_Review!$A$6:$A$238,0)</f>
        <v>179</v>
      </c>
      <c r="V2857" s="5" t="str">
        <f>IF(INDEX(Manual_Review!$G$6:$G$238,U2857)="","",INDEX(Manual_Review!$G$6:$G$238,U2857))</f>
        <v/>
      </c>
      <c r="W2857" s="11" t="str">
        <f>IF(INDEX(Manual_Review!$H$6:$H$238,U2857)="","",INDEX(Manual_Review!$H$6:$H$238,U2857))</f>
        <v/>
      </c>
      <c r="X2857" s="5" t="str">
        <f>IF(INDEX(Manual_Review!$I$6:$I$238,U2857)="","",INDEX(Manual_Review!$I$6:$I$238,U2857))</f>
        <v/>
      </c>
      <c r="Y2857" s="5" t="s">
        <v>2859</v>
      </c>
    </row>
    <row r="2858" spans="1:25" ht="25.5">
      <c r="A2858" s="5" t="s">
        <v>8701</v>
      </c>
      <c r="B2858" s="5" t="s">
        <v>1997</v>
      </c>
      <c r="C2858" s="5" t="s">
        <v>1998</v>
      </c>
      <c r="D2858" s="5" t="s">
        <v>118</v>
      </c>
      <c r="E2858" s="5" t="s">
        <v>2785</v>
      </c>
      <c r="F2858" s="5" t="s">
        <v>2756</v>
      </c>
      <c r="G2858" s="5">
        <v>1</v>
      </c>
      <c r="H2858" s="5" t="s">
        <v>2854</v>
      </c>
      <c r="I2858" s="5" t="str">
        <f>IF(INDEX(Manual_Review!$O$6:$O$238,U2858)="","",INDEX(Manual_Review!$O$6:$O$238,U2858))</f>
        <v/>
      </c>
      <c r="J2858" s="5" t="str">
        <f t="shared" si="88"/>
        <v>AI provisional</v>
      </c>
      <c r="K2858" s="5" t="str">
        <f t="shared" si="89"/>
        <v>Y</v>
      </c>
      <c r="L2858" s="5" t="s">
        <v>2009</v>
      </c>
      <c r="M2858" s="5" t="s">
        <v>8699</v>
      </c>
      <c r="N2858" s="5" t="s">
        <v>8700</v>
      </c>
      <c r="O2858" s="5" t="s">
        <v>5541</v>
      </c>
      <c r="P2858" s="5" t="s">
        <v>2992</v>
      </c>
      <c r="Q2858" s="11">
        <v>46306.5</v>
      </c>
      <c r="R2858" s="6"/>
      <c r="S2858" s="6"/>
      <c r="T2858" s="6"/>
      <c r="U2858" s="5">
        <f>MATCH(B2858,Manual_Review!$A$6:$A$238,0)</f>
        <v>179</v>
      </c>
      <c r="V2858" s="5" t="str">
        <f>IF(INDEX(Manual_Review!$G$6:$G$238,U2858)="","",INDEX(Manual_Review!$G$6:$G$238,U2858))</f>
        <v/>
      </c>
      <c r="W2858" s="11" t="str">
        <f>IF(INDEX(Manual_Review!$H$6:$H$238,U2858)="","",INDEX(Manual_Review!$H$6:$H$238,U2858))</f>
        <v/>
      </c>
      <c r="X2858" s="5" t="str">
        <f>IF(INDEX(Manual_Review!$I$6:$I$238,U2858)="","",INDEX(Manual_Review!$I$6:$I$238,U2858))</f>
        <v/>
      </c>
      <c r="Y2858" s="5" t="s">
        <v>2859</v>
      </c>
    </row>
    <row r="2859" spans="1:25" ht="51">
      <c r="A2859" s="5" t="s">
        <v>8702</v>
      </c>
      <c r="B2859" s="5" t="s">
        <v>1997</v>
      </c>
      <c r="C2859" s="5" t="s">
        <v>1998</v>
      </c>
      <c r="D2859" s="5" t="s">
        <v>118</v>
      </c>
      <c r="E2859" s="5" t="s">
        <v>2786</v>
      </c>
      <c r="F2859" s="5" t="s">
        <v>2756</v>
      </c>
      <c r="G2859" s="5">
        <v>1</v>
      </c>
      <c r="H2859" s="5" t="s">
        <v>2864</v>
      </c>
      <c r="I2859" s="5" t="str">
        <f>IF(INDEX(Manual_Review!$P$6:$P$238,U2859)="","",INDEX(Manual_Review!$P$6:$P$238,U2859))</f>
        <v/>
      </c>
      <c r="J2859" s="5" t="str">
        <f t="shared" si="88"/>
        <v>AI provisional</v>
      </c>
      <c r="K2859" s="5" t="str">
        <f t="shared" si="89"/>
        <v>U</v>
      </c>
      <c r="L2859" s="5" t="s">
        <v>2009</v>
      </c>
      <c r="M2859" s="5" t="s">
        <v>8703</v>
      </c>
      <c r="N2859" s="5" t="s">
        <v>8704</v>
      </c>
      <c r="O2859" s="5" t="s">
        <v>3010</v>
      </c>
      <c r="P2859" s="5" t="s">
        <v>2992</v>
      </c>
      <c r="Q2859" s="11">
        <v>46306.5</v>
      </c>
      <c r="R2859" s="6"/>
      <c r="S2859" s="6"/>
      <c r="T2859" s="6"/>
      <c r="U2859" s="5">
        <f>MATCH(B2859,Manual_Review!$A$6:$A$238,0)</f>
        <v>179</v>
      </c>
      <c r="V2859" s="5" t="str">
        <f>IF(INDEX(Manual_Review!$G$6:$G$238,U2859)="","",INDEX(Manual_Review!$G$6:$G$238,U2859))</f>
        <v/>
      </c>
      <c r="W2859" s="11" t="str">
        <f>IF(INDEX(Manual_Review!$H$6:$H$238,U2859)="","",INDEX(Manual_Review!$H$6:$H$238,U2859))</f>
        <v/>
      </c>
      <c r="X2859" s="5" t="str">
        <f>IF(INDEX(Manual_Review!$I$6:$I$238,U2859)="","",INDEX(Manual_Review!$I$6:$I$238,U2859))</f>
        <v/>
      </c>
      <c r="Y2859" s="5" t="s">
        <v>2859</v>
      </c>
    </row>
    <row r="2860" spans="1:25" ht="38.25">
      <c r="A2860" s="5" t="s">
        <v>8705</v>
      </c>
      <c r="B2860" s="5" t="s">
        <v>1997</v>
      </c>
      <c r="C2860" s="5" t="s">
        <v>1998</v>
      </c>
      <c r="D2860" s="5" t="s">
        <v>118</v>
      </c>
      <c r="E2860" s="5" t="s">
        <v>2787</v>
      </c>
      <c r="F2860" s="5" t="s">
        <v>2758</v>
      </c>
      <c r="G2860" s="5">
        <v>1</v>
      </c>
      <c r="H2860" s="5" t="s">
        <v>2864</v>
      </c>
      <c r="I2860" s="5" t="str">
        <f>IF(INDEX(Manual_Review!$Q$6:$Q$238,U2860)="","",INDEX(Manual_Review!$Q$6:$Q$238,U2860))</f>
        <v/>
      </c>
      <c r="J2860" s="5" t="str">
        <f t="shared" si="88"/>
        <v>AI provisional</v>
      </c>
      <c r="K2860" s="5" t="str">
        <f t="shared" si="89"/>
        <v>U</v>
      </c>
      <c r="L2860" s="5" t="s">
        <v>2009</v>
      </c>
      <c r="M2860" s="5" t="s">
        <v>8706</v>
      </c>
      <c r="N2860" s="5" t="s">
        <v>8707</v>
      </c>
      <c r="O2860" s="5" t="s">
        <v>3014</v>
      </c>
      <c r="P2860" s="5" t="s">
        <v>2992</v>
      </c>
      <c r="Q2860" s="11">
        <v>46306.5</v>
      </c>
      <c r="R2860" s="6"/>
      <c r="S2860" s="6"/>
      <c r="T2860" s="6"/>
      <c r="U2860" s="5">
        <f>MATCH(B2860,Manual_Review!$A$6:$A$238,0)</f>
        <v>179</v>
      </c>
      <c r="V2860" s="5" t="str">
        <f>IF(INDEX(Manual_Review!$G$6:$G$238,U2860)="","",INDEX(Manual_Review!$G$6:$G$238,U2860))</f>
        <v/>
      </c>
      <c r="W2860" s="11" t="str">
        <f>IF(INDEX(Manual_Review!$H$6:$H$238,U2860)="","",INDEX(Manual_Review!$H$6:$H$238,U2860))</f>
        <v/>
      </c>
      <c r="X2860" s="5" t="str">
        <f>IF(INDEX(Manual_Review!$I$6:$I$238,U2860)="","",INDEX(Manual_Review!$I$6:$I$238,U2860))</f>
        <v/>
      </c>
      <c r="Y2860" s="5" t="s">
        <v>2859</v>
      </c>
    </row>
    <row r="2861" spans="1:25" ht="63.75">
      <c r="A2861" s="5" t="s">
        <v>8708</v>
      </c>
      <c r="B2861" s="5" t="s">
        <v>1997</v>
      </c>
      <c r="C2861" s="5" t="s">
        <v>1998</v>
      </c>
      <c r="D2861" s="5" t="s">
        <v>118</v>
      </c>
      <c r="E2861" s="5" t="s">
        <v>2788</v>
      </c>
      <c r="F2861" s="5" t="s">
        <v>2758</v>
      </c>
      <c r="G2861" s="5">
        <v>1</v>
      </c>
      <c r="H2861" s="5" t="s">
        <v>2854</v>
      </c>
      <c r="I2861" s="5" t="str">
        <f>IF(INDEX(Manual_Review!$R$6:$R$238,U2861)="","",INDEX(Manual_Review!$R$6:$R$238,U2861))</f>
        <v/>
      </c>
      <c r="J2861" s="5" t="str">
        <f t="shared" si="88"/>
        <v>AI provisional</v>
      </c>
      <c r="K2861" s="5" t="str">
        <f t="shared" si="89"/>
        <v>Y</v>
      </c>
      <c r="L2861" s="5" t="s">
        <v>2009</v>
      </c>
      <c r="M2861" s="5" t="s">
        <v>8709</v>
      </c>
      <c r="N2861" s="5" t="s">
        <v>8710</v>
      </c>
      <c r="O2861" s="5" t="s">
        <v>3018</v>
      </c>
      <c r="P2861" s="5" t="s">
        <v>2992</v>
      </c>
      <c r="Q2861" s="11">
        <v>46306.5</v>
      </c>
      <c r="R2861" s="6"/>
      <c r="S2861" s="6"/>
      <c r="T2861" s="6"/>
      <c r="U2861" s="5">
        <f>MATCH(B2861,Manual_Review!$A$6:$A$238,0)</f>
        <v>179</v>
      </c>
      <c r="V2861" s="5" t="str">
        <f>IF(INDEX(Manual_Review!$G$6:$G$238,U2861)="","",INDEX(Manual_Review!$G$6:$G$238,U2861))</f>
        <v/>
      </c>
      <c r="W2861" s="11" t="str">
        <f>IF(INDEX(Manual_Review!$H$6:$H$238,U2861)="","",INDEX(Manual_Review!$H$6:$H$238,U2861))</f>
        <v/>
      </c>
      <c r="X2861" s="5" t="str">
        <f>IF(INDEX(Manual_Review!$I$6:$I$238,U2861)="","",INDEX(Manual_Review!$I$6:$I$238,U2861))</f>
        <v/>
      </c>
      <c r="Y2861" s="5" t="s">
        <v>2859</v>
      </c>
    </row>
    <row r="2862" spans="1:25" ht="51">
      <c r="A2862" s="5" t="s">
        <v>8711</v>
      </c>
      <c r="B2862" s="5" t="s">
        <v>1997</v>
      </c>
      <c r="C2862" s="5" t="s">
        <v>1998</v>
      </c>
      <c r="D2862" s="5" t="s">
        <v>118</v>
      </c>
      <c r="E2862" s="5" t="s">
        <v>2789</v>
      </c>
      <c r="F2862" s="5" t="s">
        <v>2758</v>
      </c>
      <c r="G2862" s="5">
        <v>1</v>
      </c>
      <c r="H2862" s="5" t="s">
        <v>2864</v>
      </c>
      <c r="I2862" s="5" t="str">
        <f>IF(INDEX(Manual_Review!$S$6:$S$238,U2862)="","",INDEX(Manual_Review!$S$6:$S$238,U2862))</f>
        <v/>
      </c>
      <c r="J2862" s="5" t="str">
        <f t="shared" si="88"/>
        <v>AI provisional</v>
      </c>
      <c r="K2862" s="5" t="str">
        <f t="shared" si="89"/>
        <v>U</v>
      </c>
      <c r="L2862" s="5" t="s">
        <v>2009</v>
      </c>
      <c r="M2862" s="5" t="s">
        <v>8712</v>
      </c>
      <c r="N2862" s="5" t="s">
        <v>8713</v>
      </c>
      <c r="O2862" s="5" t="s">
        <v>3447</v>
      </c>
      <c r="P2862" s="5" t="s">
        <v>2992</v>
      </c>
      <c r="Q2862" s="11">
        <v>46306.5</v>
      </c>
      <c r="R2862" s="6"/>
      <c r="S2862" s="6"/>
      <c r="T2862" s="6"/>
      <c r="U2862" s="5">
        <f>MATCH(B2862,Manual_Review!$A$6:$A$238,0)</f>
        <v>179</v>
      </c>
      <c r="V2862" s="5" t="str">
        <f>IF(INDEX(Manual_Review!$G$6:$G$238,U2862)="","",INDEX(Manual_Review!$G$6:$G$238,U2862))</f>
        <v/>
      </c>
      <c r="W2862" s="11" t="str">
        <f>IF(INDEX(Manual_Review!$H$6:$H$238,U2862)="","",INDEX(Manual_Review!$H$6:$H$238,U2862))</f>
        <v/>
      </c>
      <c r="X2862" s="5" t="str">
        <f>IF(INDEX(Manual_Review!$I$6:$I$238,U2862)="","",INDEX(Manual_Review!$I$6:$I$238,U2862))</f>
        <v/>
      </c>
      <c r="Y2862" s="5" t="s">
        <v>2859</v>
      </c>
    </row>
    <row r="2863" spans="1:25" ht="25.5">
      <c r="A2863" s="5" t="s">
        <v>8714</v>
      </c>
      <c r="B2863" s="5" t="s">
        <v>1997</v>
      </c>
      <c r="C2863" s="5" t="s">
        <v>1998</v>
      </c>
      <c r="D2863" s="5" t="s">
        <v>118</v>
      </c>
      <c r="E2863" s="5" t="s">
        <v>2790</v>
      </c>
      <c r="F2863" s="5" t="s">
        <v>2760</v>
      </c>
      <c r="G2863" s="5">
        <v>1</v>
      </c>
      <c r="H2863" s="5" t="s">
        <v>2854</v>
      </c>
      <c r="I2863" s="5" t="str">
        <f>IF(INDEX(Manual_Review!$T$6:$T$238,U2863)="","",INDEX(Manual_Review!$T$6:$T$238,U2863))</f>
        <v/>
      </c>
      <c r="J2863" s="5" t="str">
        <f t="shared" si="88"/>
        <v>AI provisional</v>
      </c>
      <c r="K2863" s="5" t="str">
        <f t="shared" si="89"/>
        <v>Y</v>
      </c>
      <c r="L2863" s="5" t="s">
        <v>2009</v>
      </c>
      <c r="M2863" s="5" t="s">
        <v>8715</v>
      </c>
      <c r="N2863" s="5" t="s">
        <v>8716</v>
      </c>
      <c r="O2863" s="5" t="s">
        <v>3451</v>
      </c>
      <c r="P2863" s="5" t="s">
        <v>2992</v>
      </c>
      <c r="Q2863" s="11">
        <v>46306.5</v>
      </c>
      <c r="R2863" s="6"/>
      <c r="S2863" s="6"/>
      <c r="T2863" s="6"/>
      <c r="U2863" s="5">
        <f>MATCH(B2863,Manual_Review!$A$6:$A$238,0)</f>
        <v>179</v>
      </c>
      <c r="V2863" s="5" t="str">
        <f>IF(INDEX(Manual_Review!$G$6:$G$238,U2863)="","",INDEX(Manual_Review!$G$6:$G$238,U2863))</f>
        <v/>
      </c>
      <c r="W2863" s="11" t="str">
        <f>IF(INDEX(Manual_Review!$H$6:$H$238,U2863)="","",INDEX(Manual_Review!$H$6:$H$238,U2863))</f>
        <v/>
      </c>
      <c r="X2863" s="5" t="str">
        <f>IF(INDEX(Manual_Review!$I$6:$I$238,U2863)="","",INDEX(Manual_Review!$I$6:$I$238,U2863))</f>
        <v/>
      </c>
      <c r="Y2863" s="5" t="s">
        <v>2859</v>
      </c>
    </row>
    <row r="2864" spans="1:25" ht="25.5">
      <c r="A2864" s="5" t="s">
        <v>8717</v>
      </c>
      <c r="B2864" s="5" t="s">
        <v>1997</v>
      </c>
      <c r="C2864" s="5" t="s">
        <v>1998</v>
      </c>
      <c r="D2864" s="5" t="s">
        <v>118</v>
      </c>
      <c r="E2864" s="5" t="s">
        <v>2791</v>
      </c>
      <c r="F2864" s="5" t="s">
        <v>2760</v>
      </c>
      <c r="G2864" s="5">
        <v>1</v>
      </c>
      <c r="H2864" s="5" t="s">
        <v>2854</v>
      </c>
      <c r="I2864" s="5" t="str">
        <f>IF(INDEX(Manual_Review!$U$6:$U$238,U2864)="","",INDEX(Manual_Review!$U$6:$U$238,U2864))</f>
        <v/>
      </c>
      <c r="J2864" s="5" t="str">
        <f t="shared" si="88"/>
        <v>AI provisional</v>
      </c>
      <c r="K2864" s="5" t="str">
        <f t="shared" si="89"/>
        <v>Y</v>
      </c>
      <c r="L2864" s="5" t="s">
        <v>2009</v>
      </c>
      <c r="M2864" s="5" t="s">
        <v>8718</v>
      </c>
      <c r="N2864" s="5" t="s">
        <v>8719</v>
      </c>
      <c r="O2864" s="5" t="s">
        <v>3832</v>
      </c>
      <c r="P2864" s="5" t="s">
        <v>2992</v>
      </c>
      <c r="Q2864" s="11">
        <v>46306.5</v>
      </c>
      <c r="R2864" s="6"/>
      <c r="S2864" s="6"/>
      <c r="T2864" s="6"/>
      <c r="U2864" s="5">
        <f>MATCH(B2864,Manual_Review!$A$6:$A$238,0)</f>
        <v>179</v>
      </c>
      <c r="V2864" s="5" t="str">
        <f>IF(INDEX(Manual_Review!$G$6:$G$238,U2864)="","",INDEX(Manual_Review!$G$6:$G$238,U2864))</f>
        <v/>
      </c>
      <c r="W2864" s="11" t="str">
        <f>IF(INDEX(Manual_Review!$H$6:$H$238,U2864)="","",INDEX(Manual_Review!$H$6:$H$238,U2864))</f>
        <v/>
      </c>
      <c r="X2864" s="5" t="str">
        <f>IF(INDEX(Manual_Review!$I$6:$I$238,U2864)="","",INDEX(Manual_Review!$I$6:$I$238,U2864))</f>
        <v/>
      </c>
      <c r="Y2864" s="5" t="s">
        <v>2859</v>
      </c>
    </row>
    <row r="2865" spans="1:25" ht="25.5">
      <c r="A2865" s="5" t="s">
        <v>8720</v>
      </c>
      <c r="B2865" s="5" t="s">
        <v>1997</v>
      </c>
      <c r="C2865" s="5" t="s">
        <v>1998</v>
      </c>
      <c r="D2865" s="5" t="s">
        <v>118</v>
      </c>
      <c r="E2865" s="5" t="s">
        <v>2792</v>
      </c>
      <c r="F2865" s="5" t="s">
        <v>2762</v>
      </c>
      <c r="G2865" s="5">
        <v>1</v>
      </c>
      <c r="H2865" s="5" t="s">
        <v>2854</v>
      </c>
      <c r="I2865" s="5" t="str">
        <f>IF(INDEX(Manual_Review!$V$6:$V$238,U2865)="","",INDEX(Manual_Review!$V$6:$V$238,U2865))</f>
        <v/>
      </c>
      <c r="J2865" s="5" t="str">
        <f t="shared" si="88"/>
        <v>AI provisional</v>
      </c>
      <c r="K2865" s="5" t="str">
        <f t="shared" si="89"/>
        <v>Y</v>
      </c>
      <c r="L2865" s="5" t="s">
        <v>2009</v>
      </c>
      <c r="M2865" s="5" t="s">
        <v>8721</v>
      </c>
      <c r="N2865" s="5" t="s">
        <v>8722</v>
      </c>
      <c r="O2865" s="5" t="s">
        <v>3034</v>
      </c>
      <c r="P2865" s="5" t="s">
        <v>2992</v>
      </c>
      <c r="Q2865" s="11">
        <v>46306.5</v>
      </c>
      <c r="R2865" s="6"/>
      <c r="S2865" s="6"/>
      <c r="T2865" s="6"/>
      <c r="U2865" s="5">
        <f>MATCH(B2865,Manual_Review!$A$6:$A$238,0)</f>
        <v>179</v>
      </c>
      <c r="V2865" s="5" t="str">
        <f>IF(INDEX(Manual_Review!$G$6:$G$238,U2865)="","",INDEX(Manual_Review!$G$6:$G$238,U2865))</f>
        <v/>
      </c>
      <c r="W2865" s="11" t="str">
        <f>IF(INDEX(Manual_Review!$H$6:$H$238,U2865)="","",INDEX(Manual_Review!$H$6:$H$238,U2865))</f>
        <v/>
      </c>
      <c r="X2865" s="5" t="str">
        <f>IF(INDEX(Manual_Review!$I$6:$I$238,U2865)="","",INDEX(Manual_Review!$I$6:$I$238,U2865))</f>
        <v/>
      </c>
      <c r="Y2865" s="5" t="s">
        <v>2859</v>
      </c>
    </row>
    <row r="2866" spans="1:25" ht="63.75">
      <c r="A2866" s="5" t="s">
        <v>8723</v>
      </c>
      <c r="B2866" s="5" t="s">
        <v>1997</v>
      </c>
      <c r="C2866" s="5" t="s">
        <v>1998</v>
      </c>
      <c r="D2866" s="5" t="s">
        <v>118</v>
      </c>
      <c r="E2866" s="5" t="s">
        <v>2793</v>
      </c>
      <c r="F2866" s="5" t="s">
        <v>2762</v>
      </c>
      <c r="G2866" s="5">
        <v>1</v>
      </c>
      <c r="H2866" s="5" t="s">
        <v>2864</v>
      </c>
      <c r="I2866" s="5" t="str">
        <f>IF(INDEX(Manual_Review!$W$6:$W$238,U2866)="","",INDEX(Manual_Review!$W$6:$W$238,U2866))</f>
        <v/>
      </c>
      <c r="J2866" s="5" t="str">
        <f t="shared" si="88"/>
        <v>AI provisional</v>
      </c>
      <c r="K2866" s="5" t="str">
        <f t="shared" si="89"/>
        <v>U</v>
      </c>
      <c r="L2866" s="5" t="s">
        <v>2009</v>
      </c>
      <c r="M2866" s="5" t="s">
        <v>8724</v>
      </c>
      <c r="N2866" s="5" t="s">
        <v>8725</v>
      </c>
      <c r="O2866" s="5" t="s">
        <v>3461</v>
      </c>
      <c r="P2866" s="5" t="s">
        <v>2992</v>
      </c>
      <c r="Q2866" s="11">
        <v>46306.5</v>
      </c>
      <c r="R2866" s="6"/>
      <c r="S2866" s="6"/>
      <c r="T2866" s="6"/>
      <c r="U2866" s="5">
        <f>MATCH(B2866,Manual_Review!$A$6:$A$238,0)</f>
        <v>179</v>
      </c>
      <c r="V2866" s="5" t="str">
        <f>IF(INDEX(Manual_Review!$G$6:$G$238,U2866)="","",INDEX(Manual_Review!$G$6:$G$238,U2866))</f>
        <v/>
      </c>
      <c r="W2866" s="11" t="str">
        <f>IF(INDEX(Manual_Review!$H$6:$H$238,U2866)="","",INDEX(Manual_Review!$H$6:$H$238,U2866))</f>
        <v/>
      </c>
      <c r="X2866" s="5" t="str">
        <f>IF(INDEX(Manual_Review!$I$6:$I$238,U2866)="","",INDEX(Manual_Review!$I$6:$I$238,U2866))</f>
        <v/>
      </c>
      <c r="Y2866" s="5" t="s">
        <v>2859</v>
      </c>
    </row>
    <row r="2867" spans="1:25" ht="38.25">
      <c r="A2867" s="5" t="s">
        <v>8726</v>
      </c>
      <c r="B2867" s="5" t="s">
        <v>1997</v>
      </c>
      <c r="C2867" s="5" t="s">
        <v>1998</v>
      </c>
      <c r="D2867" s="5" t="s">
        <v>118</v>
      </c>
      <c r="E2867" s="5" t="s">
        <v>2794</v>
      </c>
      <c r="F2867" s="5" t="s">
        <v>2764</v>
      </c>
      <c r="G2867" s="5">
        <v>1</v>
      </c>
      <c r="H2867" s="5" t="s">
        <v>2854</v>
      </c>
      <c r="I2867" s="5" t="str">
        <f>IF(INDEX(Manual_Review!$X$6:$X$238,U2867)="","",INDEX(Manual_Review!$X$6:$X$238,U2867))</f>
        <v/>
      </c>
      <c r="J2867" s="5" t="str">
        <f t="shared" si="88"/>
        <v>AI provisional</v>
      </c>
      <c r="K2867" s="5" t="str">
        <f t="shared" si="89"/>
        <v>Y</v>
      </c>
      <c r="L2867" s="5" t="s">
        <v>2009</v>
      </c>
      <c r="M2867" s="5" t="s">
        <v>8727</v>
      </c>
      <c r="N2867" s="5" t="s">
        <v>8728</v>
      </c>
      <c r="O2867" s="5" t="s">
        <v>3042</v>
      </c>
      <c r="P2867" s="5" t="s">
        <v>2992</v>
      </c>
      <c r="Q2867" s="11">
        <v>46306.5</v>
      </c>
      <c r="R2867" s="6"/>
      <c r="S2867" s="6"/>
      <c r="T2867" s="6"/>
      <c r="U2867" s="5">
        <f>MATCH(B2867,Manual_Review!$A$6:$A$238,0)</f>
        <v>179</v>
      </c>
      <c r="V2867" s="5" t="str">
        <f>IF(INDEX(Manual_Review!$G$6:$G$238,U2867)="","",INDEX(Manual_Review!$G$6:$G$238,U2867))</f>
        <v/>
      </c>
      <c r="W2867" s="11" t="str">
        <f>IF(INDEX(Manual_Review!$H$6:$H$238,U2867)="","",INDEX(Manual_Review!$H$6:$H$238,U2867))</f>
        <v/>
      </c>
      <c r="X2867" s="5" t="str">
        <f>IF(INDEX(Manual_Review!$I$6:$I$238,U2867)="","",INDEX(Manual_Review!$I$6:$I$238,U2867))</f>
        <v/>
      </c>
      <c r="Y2867" s="5" t="s">
        <v>2859</v>
      </c>
    </row>
    <row r="2868" spans="1:25" ht="38.25">
      <c r="A2868" s="5" t="s">
        <v>8729</v>
      </c>
      <c r="B2868" s="5" t="s">
        <v>1997</v>
      </c>
      <c r="C2868" s="5" t="s">
        <v>1998</v>
      </c>
      <c r="D2868" s="5" t="s">
        <v>118</v>
      </c>
      <c r="E2868" s="5" t="s">
        <v>2795</v>
      </c>
      <c r="F2868" s="5" t="s">
        <v>2764</v>
      </c>
      <c r="G2868" s="5">
        <v>1</v>
      </c>
      <c r="H2868" s="5" t="s">
        <v>2864</v>
      </c>
      <c r="I2868" s="5" t="str">
        <f>IF(INDEX(Manual_Review!$Y$6:$Y$238,U2868)="","",INDEX(Manual_Review!$Y$6:$Y$238,U2868))</f>
        <v/>
      </c>
      <c r="J2868" s="5" t="str">
        <f t="shared" si="88"/>
        <v>AI provisional</v>
      </c>
      <c r="K2868" s="5" t="str">
        <f t="shared" si="89"/>
        <v>U</v>
      </c>
      <c r="L2868" s="5" t="s">
        <v>2009</v>
      </c>
      <c r="M2868" s="5" t="s">
        <v>8730</v>
      </c>
      <c r="N2868" s="5" t="s">
        <v>8731</v>
      </c>
      <c r="O2868" s="5" t="s">
        <v>3469</v>
      </c>
      <c r="P2868" s="5" t="s">
        <v>2992</v>
      </c>
      <c r="Q2868" s="11">
        <v>46306.5</v>
      </c>
      <c r="R2868" s="6"/>
      <c r="S2868" s="6"/>
      <c r="T2868" s="6"/>
      <c r="U2868" s="5">
        <f>MATCH(B2868,Manual_Review!$A$6:$A$238,0)</f>
        <v>179</v>
      </c>
      <c r="V2868" s="5" t="str">
        <f>IF(INDEX(Manual_Review!$G$6:$G$238,U2868)="","",INDEX(Manual_Review!$G$6:$G$238,U2868))</f>
        <v/>
      </c>
      <c r="W2868" s="11" t="str">
        <f>IF(INDEX(Manual_Review!$H$6:$H$238,U2868)="","",INDEX(Manual_Review!$H$6:$H$238,U2868))</f>
        <v/>
      </c>
      <c r="X2868" s="5" t="str">
        <f>IF(INDEX(Manual_Review!$I$6:$I$238,U2868)="","",INDEX(Manual_Review!$I$6:$I$238,U2868))</f>
        <v/>
      </c>
      <c r="Y2868" s="5" t="s">
        <v>2859</v>
      </c>
    </row>
    <row r="2869" spans="1:25" ht="63.75">
      <c r="A2869" s="5" t="s">
        <v>8732</v>
      </c>
      <c r="B2869" s="5" t="s">
        <v>1997</v>
      </c>
      <c r="C2869" s="5" t="s">
        <v>1998</v>
      </c>
      <c r="D2869" s="5" t="s">
        <v>118</v>
      </c>
      <c r="E2869" s="5" t="s">
        <v>2796</v>
      </c>
      <c r="F2869" s="5" t="s">
        <v>2764</v>
      </c>
      <c r="G2869" s="5">
        <v>1</v>
      </c>
      <c r="H2869" s="5" t="s">
        <v>2854</v>
      </c>
      <c r="I2869" s="5" t="str">
        <f>IF(INDEX(Manual_Review!$Z$6:$Z$238,U2869)="","",INDEX(Manual_Review!$Z$6:$Z$238,U2869))</f>
        <v/>
      </c>
      <c r="J2869" s="5" t="str">
        <f t="shared" si="88"/>
        <v>AI provisional</v>
      </c>
      <c r="K2869" s="5" t="str">
        <f t="shared" si="89"/>
        <v>Y</v>
      </c>
      <c r="L2869" s="5" t="s">
        <v>2009</v>
      </c>
      <c r="M2869" s="5" t="s">
        <v>8733</v>
      </c>
      <c r="N2869" s="5" t="s">
        <v>8734</v>
      </c>
      <c r="O2869" s="5" t="s">
        <v>3960</v>
      </c>
      <c r="P2869" s="5" t="s">
        <v>2992</v>
      </c>
      <c r="Q2869" s="11">
        <v>46306.5</v>
      </c>
      <c r="R2869" s="6"/>
      <c r="S2869" s="6"/>
      <c r="T2869" s="6"/>
      <c r="U2869" s="5">
        <f>MATCH(B2869,Manual_Review!$A$6:$A$238,0)</f>
        <v>179</v>
      </c>
      <c r="V2869" s="5" t="str">
        <f>IF(INDEX(Manual_Review!$G$6:$G$238,U2869)="","",INDEX(Manual_Review!$G$6:$G$238,U2869))</f>
        <v/>
      </c>
      <c r="W2869" s="11" t="str">
        <f>IF(INDEX(Manual_Review!$H$6:$H$238,U2869)="","",INDEX(Manual_Review!$H$6:$H$238,U2869))</f>
        <v/>
      </c>
      <c r="X2869" s="5" t="str">
        <f>IF(INDEX(Manual_Review!$I$6:$I$238,U2869)="","",INDEX(Manual_Review!$I$6:$I$238,U2869))</f>
        <v/>
      </c>
      <c r="Y2869" s="5" t="s">
        <v>2859</v>
      </c>
    </row>
    <row r="2870" spans="1:25" ht="25.5">
      <c r="A2870" s="5" t="s">
        <v>8735</v>
      </c>
      <c r="B2870" s="5" t="s">
        <v>2011</v>
      </c>
      <c r="C2870" s="5" t="s">
        <v>2012</v>
      </c>
      <c r="D2870" s="5" t="s">
        <v>118</v>
      </c>
      <c r="E2870" s="5" t="s">
        <v>2781</v>
      </c>
      <c r="F2870" s="5" t="s">
        <v>2754</v>
      </c>
      <c r="G2870" s="5">
        <v>1</v>
      </c>
      <c r="H2870" s="5" t="s">
        <v>2854</v>
      </c>
      <c r="I2870" s="5" t="str">
        <f>IF(INDEX(Manual_Review!$K$6:$K$238,U2870)="","",INDEX(Manual_Review!$K$6:$K$238,U2870))</f>
        <v/>
      </c>
      <c r="J2870" s="5" t="str">
        <f t="shared" si="88"/>
        <v>AI provisional</v>
      </c>
      <c r="K2870" s="5" t="str">
        <f t="shared" si="89"/>
        <v>Y</v>
      </c>
      <c r="L2870" s="5" t="s">
        <v>2023</v>
      </c>
      <c r="M2870" s="5" t="s">
        <v>8736</v>
      </c>
      <c r="N2870" s="5" t="s">
        <v>8737</v>
      </c>
      <c r="O2870" s="5" t="s">
        <v>2991</v>
      </c>
      <c r="P2870" s="5" t="s">
        <v>2992</v>
      </c>
      <c r="Q2870" s="11">
        <v>46306.5</v>
      </c>
      <c r="R2870" s="6"/>
      <c r="S2870" s="6"/>
      <c r="T2870" s="6"/>
      <c r="U2870" s="5">
        <f>MATCH(B2870,Manual_Review!$A$6:$A$238,0)</f>
        <v>180</v>
      </c>
      <c r="V2870" s="5" t="str">
        <f>IF(INDEX(Manual_Review!$G$6:$G$238,U2870)="","",INDEX(Manual_Review!$G$6:$G$238,U2870))</f>
        <v/>
      </c>
      <c r="W2870" s="11" t="str">
        <f>IF(INDEX(Manual_Review!$H$6:$H$238,U2870)="","",INDEX(Manual_Review!$H$6:$H$238,U2870))</f>
        <v/>
      </c>
      <c r="X2870" s="5" t="str">
        <f>IF(INDEX(Manual_Review!$I$6:$I$238,U2870)="","",INDEX(Manual_Review!$I$6:$I$238,U2870))</f>
        <v/>
      </c>
      <c r="Y2870" s="5" t="s">
        <v>2859</v>
      </c>
    </row>
    <row r="2871" spans="1:25" ht="25.5">
      <c r="A2871" s="5" t="s">
        <v>8738</v>
      </c>
      <c r="B2871" s="5" t="s">
        <v>2011</v>
      </c>
      <c r="C2871" s="5" t="s">
        <v>2012</v>
      </c>
      <c r="D2871" s="5" t="s">
        <v>118</v>
      </c>
      <c r="E2871" s="5" t="s">
        <v>2782</v>
      </c>
      <c r="F2871" s="5" t="s">
        <v>2754</v>
      </c>
      <c r="G2871" s="5">
        <v>1</v>
      </c>
      <c r="H2871" s="5" t="s">
        <v>2854</v>
      </c>
      <c r="I2871" s="5" t="str">
        <f>IF(INDEX(Manual_Review!$L$6:$L$238,U2871)="","",INDEX(Manual_Review!$L$6:$L$238,U2871))</f>
        <v/>
      </c>
      <c r="J2871" s="5" t="str">
        <f t="shared" si="88"/>
        <v>AI provisional</v>
      </c>
      <c r="K2871" s="5" t="str">
        <f t="shared" si="89"/>
        <v>Y</v>
      </c>
      <c r="L2871" s="5" t="s">
        <v>2023</v>
      </c>
      <c r="M2871" s="5" t="s">
        <v>8739</v>
      </c>
      <c r="N2871" s="5" t="s">
        <v>8740</v>
      </c>
      <c r="O2871" s="5" t="s">
        <v>2996</v>
      </c>
      <c r="P2871" s="5" t="s">
        <v>2992</v>
      </c>
      <c r="Q2871" s="11">
        <v>46306.5</v>
      </c>
      <c r="R2871" s="6"/>
      <c r="S2871" s="6"/>
      <c r="T2871" s="6"/>
      <c r="U2871" s="5">
        <f>MATCH(B2871,Manual_Review!$A$6:$A$238,0)</f>
        <v>180</v>
      </c>
      <c r="V2871" s="5" t="str">
        <f>IF(INDEX(Manual_Review!$G$6:$G$238,U2871)="","",INDEX(Manual_Review!$G$6:$G$238,U2871))</f>
        <v/>
      </c>
      <c r="W2871" s="11" t="str">
        <f>IF(INDEX(Manual_Review!$H$6:$H$238,U2871)="","",INDEX(Manual_Review!$H$6:$H$238,U2871))</f>
        <v/>
      </c>
      <c r="X2871" s="5" t="str">
        <f>IF(INDEX(Manual_Review!$I$6:$I$238,U2871)="","",INDEX(Manual_Review!$I$6:$I$238,U2871))</f>
        <v/>
      </c>
      <c r="Y2871" s="5" t="s">
        <v>2859</v>
      </c>
    </row>
    <row r="2872" spans="1:25" ht="25.5">
      <c r="A2872" s="5" t="s">
        <v>8741</v>
      </c>
      <c r="B2872" s="5" t="s">
        <v>2011</v>
      </c>
      <c r="C2872" s="5" t="s">
        <v>2012</v>
      </c>
      <c r="D2872" s="5" t="s">
        <v>118</v>
      </c>
      <c r="E2872" s="5" t="s">
        <v>2783</v>
      </c>
      <c r="F2872" s="5" t="s">
        <v>2754</v>
      </c>
      <c r="G2872" s="5">
        <v>1</v>
      </c>
      <c r="H2872" s="5" t="s">
        <v>2854</v>
      </c>
      <c r="I2872" s="5" t="str">
        <f>IF(INDEX(Manual_Review!$M$6:$M$238,U2872)="","",INDEX(Manual_Review!$M$6:$M$238,U2872))</f>
        <v/>
      </c>
      <c r="J2872" s="5" t="str">
        <f t="shared" si="88"/>
        <v>AI provisional</v>
      </c>
      <c r="K2872" s="5" t="str">
        <f t="shared" si="89"/>
        <v>Y</v>
      </c>
      <c r="L2872" s="5" t="s">
        <v>2023</v>
      </c>
      <c r="M2872" s="5" t="s">
        <v>8742</v>
      </c>
      <c r="N2872" s="5" t="s">
        <v>8743</v>
      </c>
      <c r="O2872" s="5" t="s">
        <v>3000</v>
      </c>
      <c r="P2872" s="5" t="s">
        <v>2992</v>
      </c>
      <c r="Q2872" s="11">
        <v>46306.5</v>
      </c>
      <c r="R2872" s="6"/>
      <c r="S2872" s="6"/>
      <c r="T2872" s="6"/>
      <c r="U2872" s="5">
        <f>MATCH(B2872,Manual_Review!$A$6:$A$238,0)</f>
        <v>180</v>
      </c>
      <c r="V2872" s="5" t="str">
        <f>IF(INDEX(Manual_Review!$G$6:$G$238,U2872)="","",INDEX(Manual_Review!$G$6:$G$238,U2872))</f>
        <v/>
      </c>
      <c r="W2872" s="11" t="str">
        <f>IF(INDEX(Manual_Review!$H$6:$H$238,U2872)="","",INDEX(Manual_Review!$H$6:$H$238,U2872))</f>
        <v/>
      </c>
      <c r="X2872" s="5" t="str">
        <f>IF(INDEX(Manual_Review!$I$6:$I$238,U2872)="","",INDEX(Manual_Review!$I$6:$I$238,U2872))</f>
        <v/>
      </c>
      <c r="Y2872" s="5" t="s">
        <v>2859</v>
      </c>
    </row>
    <row r="2873" spans="1:25" ht="25.5">
      <c r="A2873" s="5" t="s">
        <v>8744</v>
      </c>
      <c r="B2873" s="5" t="s">
        <v>2011</v>
      </c>
      <c r="C2873" s="5" t="s">
        <v>2012</v>
      </c>
      <c r="D2873" s="5" t="s">
        <v>118</v>
      </c>
      <c r="E2873" s="5" t="s">
        <v>2784</v>
      </c>
      <c r="F2873" s="5" t="s">
        <v>2756</v>
      </c>
      <c r="G2873" s="5">
        <v>1</v>
      </c>
      <c r="H2873" s="5" t="s">
        <v>2854</v>
      </c>
      <c r="I2873" s="5" t="str">
        <f>IF(INDEX(Manual_Review!$N$6:$N$238,U2873)="","",INDEX(Manual_Review!$N$6:$N$238,U2873))</f>
        <v/>
      </c>
      <c r="J2873" s="5" t="str">
        <f t="shared" si="88"/>
        <v>AI provisional</v>
      </c>
      <c r="K2873" s="5" t="str">
        <f t="shared" si="89"/>
        <v>Y</v>
      </c>
      <c r="L2873" s="5" t="s">
        <v>2023</v>
      </c>
      <c r="M2873" s="5" t="s">
        <v>8745</v>
      </c>
      <c r="N2873" s="5" t="s">
        <v>8746</v>
      </c>
      <c r="O2873" s="5" t="s">
        <v>3004</v>
      </c>
      <c r="P2873" s="5" t="s">
        <v>2992</v>
      </c>
      <c r="Q2873" s="11">
        <v>46306.5</v>
      </c>
      <c r="R2873" s="6"/>
      <c r="S2873" s="6"/>
      <c r="T2873" s="6"/>
      <c r="U2873" s="5">
        <f>MATCH(B2873,Manual_Review!$A$6:$A$238,0)</f>
        <v>180</v>
      </c>
      <c r="V2873" s="5" t="str">
        <f>IF(INDEX(Manual_Review!$G$6:$G$238,U2873)="","",INDEX(Manual_Review!$G$6:$G$238,U2873))</f>
        <v/>
      </c>
      <c r="W2873" s="11" t="str">
        <f>IF(INDEX(Manual_Review!$H$6:$H$238,U2873)="","",INDEX(Manual_Review!$H$6:$H$238,U2873))</f>
        <v/>
      </c>
      <c r="X2873" s="5" t="str">
        <f>IF(INDEX(Manual_Review!$I$6:$I$238,U2873)="","",INDEX(Manual_Review!$I$6:$I$238,U2873))</f>
        <v/>
      </c>
      <c r="Y2873" s="5" t="s">
        <v>2859</v>
      </c>
    </row>
    <row r="2874" spans="1:25" ht="25.5">
      <c r="A2874" s="5" t="s">
        <v>8747</v>
      </c>
      <c r="B2874" s="5" t="s">
        <v>2011</v>
      </c>
      <c r="C2874" s="5" t="s">
        <v>2012</v>
      </c>
      <c r="D2874" s="5" t="s">
        <v>118</v>
      </c>
      <c r="E2874" s="5" t="s">
        <v>2785</v>
      </c>
      <c r="F2874" s="5" t="s">
        <v>2756</v>
      </c>
      <c r="G2874" s="5">
        <v>1</v>
      </c>
      <c r="H2874" s="5" t="s">
        <v>2854</v>
      </c>
      <c r="I2874" s="5" t="str">
        <f>IF(INDEX(Manual_Review!$O$6:$O$238,U2874)="","",INDEX(Manual_Review!$O$6:$O$238,U2874))</f>
        <v/>
      </c>
      <c r="J2874" s="5" t="str">
        <f t="shared" si="88"/>
        <v>AI provisional</v>
      </c>
      <c r="K2874" s="5" t="str">
        <f t="shared" si="89"/>
        <v>Y</v>
      </c>
      <c r="L2874" s="5" t="s">
        <v>2023</v>
      </c>
      <c r="M2874" s="5" t="s">
        <v>8745</v>
      </c>
      <c r="N2874" s="5" t="s">
        <v>8746</v>
      </c>
      <c r="O2874" s="5" t="s">
        <v>5541</v>
      </c>
      <c r="P2874" s="5" t="s">
        <v>2992</v>
      </c>
      <c r="Q2874" s="11">
        <v>46306.5</v>
      </c>
      <c r="R2874" s="6"/>
      <c r="S2874" s="6"/>
      <c r="T2874" s="6"/>
      <c r="U2874" s="5">
        <f>MATCH(B2874,Manual_Review!$A$6:$A$238,0)</f>
        <v>180</v>
      </c>
      <c r="V2874" s="5" t="str">
        <f>IF(INDEX(Manual_Review!$G$6:$G$238,U2874)="","",INDEX(Manual_Review!$G$6:$G$238,U2874))</f>
        <v/>
      </c>
      <c r="W2874" s="11" t="str">
        <f>IF(INDEX(Manual_Review!$H$6:$H$238,U2874)="","",INDEX(Manual_Review!$H$6:$H$238,U2874))</f>
        <v/>
      </c>
      <c r="X2874" s="5" t="str">
        <f>IF(INDEX(Manual_Review!$I$6:$I$238,U2874)="","",INDEX(Manual_Review!$I$6:$I$238,U2874))</f>
        <v/>
      </c>
      <c r="Y2874" s="5" t="s">
        <v>2859</v>
      </c>
    </row>
    <row r="2875" spans="1:25" ht="51">
      <c r="A2875" s="5" t="s">
        <v>8748</v>
      </c>
      <c r="B2875" s="5" t="s">
        <v>2011</v>
      </c>
      <c r="C2875" s="5" t="s">
        <v>2012</v>
      </c>
      <c r="D2875" s="5" t="s">
        <v>118</v>
      </c>
      <c r="E2875" s="5" t="s">
        <v>2786</v>
      </c>
      <c r="F2875" s="5" t="s">
        <v>2756</v>
      </c>
      <c r="G2875" s="5">
        <v>1</v>
      </c>
      <c r="H2875" s="5" t="s">
        <v>2864</v>
      </c>
      <c r="I2875" s="5" t="str">
        <f>IF(INDEX(Manual_Review!$P$6:$P$238,U2875)="","",INDEX(Manual_Review!$P$6:$P$238,U2875))</f>
        <v/>
      </c>
      <c r="J2875" s="5" t="str">
        <f t="shared" si="88"/>
        <v>AI provisional</v>
      </c>
      <c r="K2875" s="5" t="str">
        <f t="shared" si="89"/>
        <v>U</v>
      </c>
      <c r="L2875" s="5" t="s">
        <v>2023</v>
      </c>
      <c r="M2875" s="5" t="s">
        <v>8749</v>
      </c>
      <c r="N2875" s="5" t="s">
        <v>8750</v>
      </c>
      <c r="O2875" s="5" t="s">
        <v>3010</v>
      </c>
      <c r="P2875" s="5" t="s">
        <v>2992</v>
      </c>
      <c r="Q2875" s="11">
        <v>46306.5</v>
      </c>
      <c r="R2875" s="6"/>
      <c r="S2875" s="6"/>
      <c r="T2875" s="6"/>
      <c r="U2875" s="5">
        <f>MATCH(B2875,Manual_Review!$A$6:$A$238,0)</f>
        <v>180</v>
      </c>
      <c r="V2875" s="5" t="str">
        <f>IF(INDEX(Manual_Review!$G$6:$G$238,U2875)="","",INDEX(Manual_Review!$G$6:$G$238,U2875))</f>
        <v/>
      </c>
      <c r="W2875" s="11" t="str">
        <f>IF(INDEX(Manual_Review!$H$6:$H$238,U2875)="","",INDEX(Manual_Review!$H$6:$H$238,U2875))</f>
        <v/>
      </c>
      <c r="X2875" s="5" t="str">
        <f>IF(INDEX(Manual_Review!$I$6:$I$238,U2875)="","",INDEX(Manual_Review!$I$6:$I$238,U2875))</f>
        <v/>
      </c>
      <c r="Y2875" s="5" t="s">
        <v>2859</v>
      </c>
    </row>
    <row r="2876" spans="1:25" ht="25.5">
      <c r="A2876" s="5" t="s">
        <v>8751</v>
      </c>
      <c r="B2876" s="5" t="s">
        <v>2011</v>
      </c>
      <c r="C2876" s="5" t="s">
        <v>2012</v>
      </c>
      <c r="D2876" s="5" t="s">
        <v>118</v>
      </c>
      <c r="E2876" s="5" t="s">
        <v>2787</v>
      </c>
      <c r="F2876" s="5" t="s">
        <v>2758</v>
      </c>
      <c r="G2876" s="5">
        <v>1</v>
      </c>
      <c r="H2876" s="5" t="s">
        <v>2854</v>
      </c>
      <c r="I2876" s="5" t="str">
        <f>IF(INDEX(Manual_Review!$Q$6:$Q$238,U2876)="","",INDEX(Manual_Review!$Q$6:$Q$238,U2876))</f>
        <v/>
      </c>
      <c r="J2876" s="5" t="str">
        <f t="shared" si="88"/>
        <v>AI provisional</v>
      </c>
      <c r="K2876" s="5" t="str">
        <f t="shared" si="89"/>
        <v>Y</v>
      </c>
      <c r="L2876" s="5" t="s">
        <v>2023</v>
      </c>
      <c r="M2876" s="5" t="s">
        <v>8752</v>
      </c>
      <c r="N2876" s="5" t="s">
        <v>8753</v>
      </c>
      <c r="O2876" s="5" t="s">
        <v>3819</v>
      </c>
      <c r="P2876" s="5" t="s">
        <v>2992</v>
      </c>
      <c r="Q2876" s="11">
        <v>46306.5</v>
      </c>
      <c r="R2876" s="6"/>
      <c r="S2876" s="6"/>
      <c r="T2876" s="6"/>
      <c r="U2876" s="5">
        <f>MATCH(B2876,Manual_Review!$A$6:$A$238,0)</f>
        <v>180</v>
      </c>
      <c r="V2876" s="5" t="str">
        <f>IF(INDEX(Manual_Review!$G$6:$G$238,U2876)="","",INDEX(Manual_Review!$G$6:$G$238,U2876))</f>
        <v/>
      </c>
      <c r="W2876" s="11" t="str">
        <f>IF(INDEX(Manual_Review!$H$6:$H$238,U2876)="","",INDEX(Manual_Review!$H$6:$H$238,U2876))</f>
        <v/>
      </c>
      <c r="X2876" s="5" t="str">
        <f>IF(INDEX(Manual_Review!$I$6:$I$238,U2876)="","",INDEX(Manual_Review!$I$6:$I$238,U2876))</f>
        <v/>
      </c>
      <c r="Y2876" s="5" t="s">
        <v>2859</v>
      </c>
    </row>
    <row r="2877" spans="1:25" ht="51">
      <c r="A2877" s="5" t="s">
        <v>8754</v>
      </c>
      <c r="B2877" s="5" t="s">
        <v>2011</v>
      </c>
      <c r="C2877" s="5" t="s">
        <v>2012</v>
      </c>
      <c r="D2877" s="5" t="s">
        <v>118</v>
      </c>
      <c r="E2877" s="5" t="s">
        <v>2788</v>
      </c>
      <c r="F2877" s="5" t="s">
        <v>2758</v>
      </c>
      <c r="G2877" s="5">
        <v>1</v>
      </c>
      <c r="H2877" s="5" t="s">
        <v>2854</v>
      </c>
      <c r="I2877" s="5" t="str">
        <f>IF(INDEX(Manual_Review!$R$6:$R$238,U2877)="","",INDEX(Manual_Review!$R$6:$R$238,U2877))</f>
        <v/>
      </c>
      <c r="J2877" s="5" t="str">
        <f t="shared" si="88"/>
        <v>AI provisional</v>
      </c>
      <c r="K2877" s="5" t="str">
        <f t="shared" si="89"/>
        <v>Y</v>
      </c>
      <c r="L2877" s="5" t="s">
        <v>2023</v>
      </c>
      <c r="M2877" s="5" t="s">
        <v>8755</v>
      </c>
      <c r="N2877" s="5" t="s">
        <v>8756</v>
      </c>
      <c r="O2877" s="5" t="s">
        <v>3018</v>
      </c>
      <c r="P2877" s="5" t="s">
        <v>2992</v>
      </c>
      <c r="Q2877" s="11">
        <v>46306.5</v>
      </c>
      <c r="R2877" s="6"/>
      <c r="S2877" s="6"/>
      <c r="T2877" s="6"/>
      <c r="U2877" s="5">
        <f>MATCH(B2877,Manual_Review!$A$6:$A$238,0)</f>
        <v>180</v>
      </c>
      <c r="V2877" s="5" t="str">
        <f>IF(INDEX(Manual_Review!$G$6:$G$238,U2877)="","",INDEX(Manual_Review!$G$6:$G$238,U2877))</f>
        <v/>
      </c>
      <c r="W2877" s="11" t="str">
        <f>IF(INDEX(Manual_Review!$H$6:$H$238,U2877)="","",INDEX(Manual_Review!$H$6:$H$238,U2877))</f>
        <v/>
      </c>
      <c r="X2877" s="5" t="str">
        <f>IF(INDEX(Manual_Review!$I$6:$I$238,U2877)="","",INDEX(Manual_Review!$I$6:$I$238,U2877))</f>
        <v/>
      </c>
      <c r="Y2877" s="5" t="s">
        <v>2859</v>
      </c>
    </row>
    <row r="2878" spans="1:25" ht="51">
      <c r="A2878" s="5" t="s">
        <v>8757</v>
      </c>
      <c r="B2878" s="5" t="s">
        <v>2011</v>
      </c>
      <c r="C2878" s="5" t="s">
        <v>2012</v>
      </c>
      <c r="D2878" s="5" t="s">
        <v>118</v>
      </c>
      <c r="E2878" s="5" t="s">
        <v>2789</v>
      </c>
      <c r="F2878" s="5" t="s">
        <v>2758</v>
      </c>
      <c r="G2878" s="5">
        <v>1</v>
      </c>
      <c r="H2878" s="5" t="s">
        <v>2864</v>
      </c>
      <c r="I2878" s="5" t="str">
        <f>IF(INDEX(Manual_Review!$S$6:$S$238,U2878)="","",INDEX(Manual_Review!$S$6:$S$238,U2878))</f>
        <v/>
      </c>
      <c r="J2878" s="5" t="str">
        <f t="shared" si="88"/>
        <v>AI provisional</v>
      </c>
      <c r="K2878" s="5" t="str">
        <f t="shared" si="89"/>
        <v>U</v>
      </c>
      <c r="L2878" s="5" t="s">
        <v>2023</v>
      </c>
      <c r="M2878" s="5" t="s">
        <v>8758</v>
      </c>
      <c r="N2878" s="5" t="s">
        <v>8759</v>
      </c>
      <c r="O2878" s="5" t="s">
        <v>3447</v>
      </c>
      <c r="P2878" s="5" t="s">
        <v>2992</v>
      </c>
      <c r="Q2878" s="11">
        <v>46306.5</v>
      </c>
      <c r="R2878" s="6"/>
      <c r="S2878" s="6"/>
      <c r="T2878" s="6"/>
      <c r="U2878" s="5">
        <f>MATCH(B2878,Manual_Review!$A$6:$A$238,0)</f>
        <v>180</v>
      </c>
      <c r="V2878" s="5" t="str">
        <f>IF(INDEX(Manual_Review!$G$6:$G$238,U2878)="","",INDEX(Manual_Review!$G$6:$G$238,U2878))</f>
        <v/>
      </c>
      <c r="W2878" s="11" t="str">
        <f>IF(INDEX(Manual_Review!$H$6:$H$238,U2878)="","",INDEX(Manual_Review!$H$6:$H$238,U2878))</f>
        <v/>
      </c>
      <c r="X2878" s="5" t="str">
        <f>IF(INDEX(Manual_Review!$I$6:$I$238,U2878)="","",INDEX(Manual_Review!$I$6:$I$238,U2878))</f>
        <v/>
      </c>
      <c r="Y2878" s="5" t="s">
        <v>2859</v>
      </c>
    </row>
    <row r="2879" spans="1:25" ht="25.5">
      <c r="A2879" s="5" t="s">
        <v>8760</v>
      </c>
      <c r="B2879" s="5" t="s">
        <v>2011</v>
      </c>
      <c r="C2879" s="5" t="s">
        <v>2012</v>
      </c>
      <c r="D2879" s="5" t="s">
        <v>118</v>
      </c>
      <c r="E2879" s="5" t="s">
        <v>2790</v>
      </c>
      <c r="F2879" s="5" t="s">
        <v>2760</v>
      </c>
      <c r="G2879" s="5">
        <v>1</v>
      </c>
      <c r="H2879" s="5" t="s">
        <v>2864</v>
      </c>
      <c r="I2879" s="5" t="str">
        <f>IF(INDEX(Manual_Review!$T$6:$T$238,U2879)="","",INDEX(Manual_Review!$T$6:$T$238,U2879))</f>
        <v/>
      </c>
      <c r="J2879" s="5" t="str">
        <f t="shared" si="88"/>
        <v>AI provisional</v>
      </c>
      <c r="K2879" s="5" t="str">
        <f t="shared" si="89"/>
        <v>U</v>
      </c>
      <c r="L2879" s="5" t="s">
        <v>2023</v>
      </c>
      <c r="M2879" s="5" t="s">
        <v>8761</v>
      </c>
      <c r="N2879" s="5" t="s">
        <v>8762</v>
      </c>
      <c r="O2879" s="5" t="s">
        <v>5273</v>
      </c>
      <c r="P2879" s="5" t="s">
        <v>2992</v>
      </c>
      <c r="Q2879" s="11">
        <v>46306.5</v>
      </c>
      <c r="R2879" s="6"/>
      <c r="S2879" s="6"/>
      <c r="T2879" s="6"/>
      <c r="U2879" s="5">
        <f>MATCH(B2879,Manual_Review!$A$6:$A$238,0)</f>
        <v>180</v>
      </c>
      <c r="V2879" s="5" t="str">
        <f>IF(INDEX(Manual_Review!$G$6:$G$238,U2879)="","",INDEX(Manual_Review!$G$6:$G$238,U2879))</f>
        <v/>
      </c>
      <c r="W2879" s="11" t="str">
        <f>IF(INDEX(Manual_Review!$H$6:$H$238,U2879)="","",INDEX(Manual_Review!$H$6:$H$238,U2879))</f>
        <v/>
      </c>
      <c r="X2879" s="5" t="str">
        <f>IF(INDEX(Manual_Review!$I$6:$I$238,U2879)="","",INDEX(Manual_Review!$I$6:$I$238,U2879))</f>
        <v/>
      </c>
      <c r="Y2879" s="5" t="s">
        <v>2859</v>
      </c>
    </row>
    <row r="2880" spans="1:25" ht="25.5">
      <c r="A2880" s="5" t="s">
        <v>8763</v>
      </c>
      <c r="B2880" s="5" t="s">
        <v>2011</v>
      </c>
      <c r="C2880" s="5" t="s">
        <v>2012</v>
      </c>
      <c r="D2880" s="5" t="s">
        <v>118</v>
      </c>
      <c r="E2880" s="5" t="s">
        <v>2791</v>
      </c>
      <c r="F2880" s="5" t="s">
        <v>2760</v>
      </c>
      <c r="G2880" s="5">
        <v>1</v>
      </c>
      <c r="H2880" s="5" t="s">
        <v>2864</v>
      </c>
      <c r="I2880" s="5" t="str">
        <f>IF(INDEX(Manual_Review!$U$6:$U$238,U2880)="","",INDEX(Manual_Review!$U$6:$U$238,U2880))</f>
        <v/>
      </c>
      <c r="J2880" s="5" t="str">
        <f t="shared" si="88"/>
        <v>AI provisional</v>
      </c>
      <c r="K2880" s="5" t="str">
        <f t="shared" si="89"/>
        <v>U</v>
      </c>
      <c r="L2880" s="5" t="s">
        <v>2023</v>
      </c>
      <c r="M2880" s="5" t="s">
        <v>8764</v>
      </c>
      <c r="N2880" s="5" t="s">
        <v>8765</v>
      </c>
      <c r="O2880" s="5" t="s">
        <v>3030</v>
      </c>
      <c r="P2880" s="5" t="s">
        <v>2992</v>
      </c>
      <c r="Q2880" s="11">
        <v>46306.5</v>
      </c>
      <c r="R2880" s="6"/>
      <c r="S2880" s="6"/>
      <c r="T2880" s="6"/>
      <c r="U2880" s="5">
        <f>MATCH(B2880,Manual_Review!$A$6:$A$238,0)</f>
        <v>180</v>
      </c>
      <c r="V2880" s="5" t="str">
        <f>IF(INDEX(Manual_Review!$G$6:$G$238,U2880)="","",INDEX(Manual_Review!$G$6:$G$238,U2880))</f>
        <v/>
      </c>
      <c r="W2880" s="11" t="str">
        <f>IF(INDEX(Manual_Review!$H$6:$H$238,U2880)="","",INDEX(Manual_Review!$H$6:$H$238,U2880))</f>
        <v/>
      </c>
      <c r="X2880" s="5" t="str">
        <f>IF(INDEX(Manual_Review!$I$6:$I$238,U2880)="","",INDEX(Manual_Review!$I$6:$I$238,U2880))</f>
        <v/>
      </c>
      <c r="Y2880" s="5" t="s">
        <v>2859</v>
      </c>
    </row>
    <row r="2881" spans="1:25" ht="25.5">
      <c r="A2881" s="5" t="s">
        <v>8766</v>
      </c>
      <c r="B2881" s="5" t="s">
        <v>2011</v>
      </c>
      <c r="C2881" s="5" t="s">
        <v>2012</v>
      </c>
      <c r="D2881" s="5" t="s">
        <v>118</v>
      </c>
      <c r="E2881" s="5" t="s">
        <v>2792</v>
      </c>
      <c r="F2881" s="5" t="s">
        <v>2762</v>
      </c>
      <c r="G2881" s="5">
        <v>1</v>
      </c>
      <c r="H2881" s="5" t="s">
        <v>2854</v>
      </c>
      <c r="I2881" s="5" t="str">
        <f>IF(INDEX(Manual_Review!$V$6:$V$238,U2881)="","",INDEX(Manual_Review!$V$6:$V$238,U2881))</f>
        <v/>
      </c>
      <c r="J2881" s="5" t="str">
        <f t="shared" si="88"/>
        <v>AI provisional</v>
      </c>
      <c r="K2881" s="5" t="str">
        <f t="shared" si="89"/>
        <v>Y</v>
      </c>
      <c r="L2881" s="5" t="s">
        <v>2023</v>
      </c>
      <c r="M2881" s="5" t="s">
        <v>8767</v>
      </c>
      <c r="N2881" s="5" t="s">
        <v>8768</v>
      </c>
      <c r="O2881" s="5" t="s">
        <v>3034</v>
      </c>
      <c r="P2881" s="5" t="s">
        <v>2992</v>
      </c>
      <c r="Q2881" s="11">
        <v>46306.5</v>
      </c>
      <c r="R2881" s="6"/>
      <c r="S2881" s="6"/>
      <c r="T2881" s="6"/>
      <c r="U2881" s="5">
        <f>MATCH(B2881,Manual_Review!$A$6:$A$238,0)</f>
        <v>180</v>
      </c>
      <c r="V2881" s="5" t="str">
        <f>IF(INDEX(Manual_Review!$G$6:$G$238,U2881)="","",INDEX(Manual_Review!$G$6:$G$238,U2881))</f>
        <v/>
      </c>
      <c r="W2881" s="11" t="str">
        <f>IF(INDEX(Manual_Review!$H$6:$H$238,U2881)="","",INDEX(Manual_Review!$H$6:$H$238,U2881))</f>
        <v/>
      </c>
      <c r="X2881" s="5" t="str">
        <f>IF(INDEX(Manual_Review!$I$6:$I$238,U2881)="","",INDEX(Manual_Review!$I$6:$I$238,U2881))</f>
        <v/>
      </c>
      <c r="Y2881" s="5" t="s">
        <v>2859</v>
      </c>
    </row>
    <row r="2882" spans="1:25" ht="51">
      <c r="A2882" s="5" t="s">
        <v>8769</v>
      </c>
      <c r="B2882" s="5" t="s">
        <v>2011</v>
      </c>
      <c r="C2882" s="5" t="s">
        <v>2012</v>
      </c>
      <c r="D2882" s="5" t="s">
        <v>118</v>
      </c>
      <c r="E2882" s="5" t="s">
        <v>2793</v>
      </c>
      <c r="F2882" s="5" t="s">
        <v>2762</v>
      </c>
      <c r="G2882" s="5">
        <v>1</v>
      </c>
      <c r="H2882" s="5" t="s">
        <v>2854</v>
      </c>
      <c r="I2882" s="5" t="str">
        <f>IF(INDEX(Manual_Review!$W$6:$W$238,U2882)="","",INDEX(Manual_Review!$W$6:$W$238,U2882))</f>
        <v/>
      </c>
      <c r="J2882" s="5" t="str">
        <f t="shared" si="88"/>
        <v>AI provisional</v>
      </c>
      <c r="K2882" s="5" t="str">
        <f t="shared" si="89"/>
        <v>Y</v>
      </c>
      <c r="L2882" s="5" t="s">
        <v>2023</v>
      </c>
      <c r="M2882" s="5" t="s">
        <v>8770</v>
      </c>
      <c r="N2882" s="5" t="s">
        <v>8771</v>
      </c>
      <c r="O2882" s="5" t="s">
        <v>3038</v>
      </c>
      <c r="P2882" s="5" t="s">
        <v>2992</v>
      </c>
      <c r="Q2882" s="11">
        <v>46306.5</v>
      </c>
      <c r="R2882" s="6"/>
      <c r="S2882" s="6"/>
      <c r="T2882" s="6"/>
      <c r="U2882" s="5">
        <f>MATCH(B2882,Manual_Review!$A$6:$A$238,0)</f>
        <v>180</v>
      </c>
      <c r="V2882" s="5" t="str">
        <f>IF(INDEX(Manual_Review!$G$6:$G$238,U2882)="","",INDEX(Manual_Review!$G$6:$G$238,U2882))</f>
        <v/>
      </c>
      <c r="W2882" s="11" t="str">
        <f>IF(INDEX(Manual_Review!$H$6:$H$238,U2882)="","",INDEX(Manual_Review!$H$6:$H$238,U2882))</f>
        <v/>
      </c>
      <c r="X2882" s="5" t="str">
        <f>IF(INDEX(Manual_Review!$I$6:$I$238,U2882)="","",INDEX(Manual_Review!$I$6:$I$238,U2882))</f>
        <v/>
      </c>
      <c r="Y2882" s="5" t="s">
        <v>2859</v>
      </c>
    </row>
    <row r="2883" spans="1:25" ht="25.5">
      <c r="A2883" s="5" t="s">
        <v>8772</v>
      </c>
      <c r="B2883" s="5" t="s">
        <v>2011</v>
      </c>
      <c r="C2883" s="5" t="s">
        <v>2012</v>
      </c>
      <c r="D2883" s="5" t="s">
        <v>118</v>
      </c>
      <c r="E2883" s="5" t="s">
        <v>2794</v>
      </c>
      <c r="F2883" s="5" t="s">
        <v>2764</v>
      </c>
      <c r="G2883" s="5">
        <v>1</v>
      </c>
      <c r="H2883" s="5" t="s">
        <v>2854</v>
      </c>
      <c r="I2883" s="5" t="str">
        <f>IF(INDEX(Manual_Review!$X$6:$X$238,U2883)="","",INDEX(Manual_Review!$X$6:$X$238,U2883))</f>
        <v/>
      </c>
      <c r="J2883" s="5" t="str">
        <f t="shared" si="88"/>
        <v>AI provisional</v>
      </c>
      <c r="K2883" s="5" t="str">
        <f t="shared" si="89"/>
        <v>Y</v>
      </c>
      <c r="L2883" s="5" t="s">
        <v>2023</v>
      </c>
      <c r="M2883" s="5" t="s">
        <v>8773</v>
      </c>
      <c r="N2883" s="5" t="s">
        <v>8774</v>
      </c>
      <c r="O2883" s="5" t="s">
        <v>3042</v>
      </c>
      <c r="P2883" s="5" t="s">
        <v>2992</v>
      </c>
      <c r="Q2883" s="11">
        <v>46306.5</v>
      </c>
      <c r="R2883" s="6"/>
      <c r="S2883" s="6"/>
      <c r="T2883" s="6"/>
      <c r="U2883" s="5">
        <f>MATCH(B2883,Manual_Review!$A$6:$A$238,0)</f>
        <v>180</v>
      </c>
      <c r="V2883" s="5" t="str">
        <f>IF(INDEX(Manual_Review!$G$6:$G$238,U2883)="","",INDEX(Manual_Review!$G$6:$G$238,U2883))</f>
        <v/>
      </c>
      <c r="W2883" s="11" t="str">
        <f>IF(INDEX(Manual_Review!$H$6:$H$238,U2883)="","",INDEX(Manual_Review!$H$6:$H$238,U2883))</f>
        <v/>
      </c>
      <c r="X2883" s="5" t="str">
        <f>IF(INDEX(Manual_Review!$I$6:$I$238,U2883)="","",INDEX(Manual_Review!$I$6:$I$238,U2883))</f>
        <v/>
      </c>
      <c r="Y2883" s="5" t="s">
        <v>2859</v>
      </c>
    </row>
    <row r="2884" spans="1:25" ht="25.5">
      <c r="A2884" s="5" t="s">
        <v>8775</v>
      </c>
      <c r="B2884" s="5" t="s">
        <v>2011</v>
      </c>
      <c r="C2884" s="5" t="s">
        <v>2012</v>
      </c>
      <c r="D2884" s="5" t="s">
        <v>118</v>
      </c>
      <c r="E2884" s="5" t="s">
        <v>2795</v>
      </c>
      <c r="F2884" s="5" t="s">
        <v>2764</v>
      </c>
      <c r="G2884" s="5">
        <v>1</v>
      </c>
      <c r="H2884" s="5" t="s">
        <v>2864</v>
      </c>
      <c r="I2884" s="5" t="str">
        <f>IF(INDEX(Manual_Review!$Y$6:$Y$238,U2884)="","",INDEX(Manual_Review!$Y$6:$Y$238,U2884))</f>
        <v/>
      </c>
      <c r="J2884" s="5" t="str">
        <f t="shared" si="88"/>
        <v>AI provisional</v>
      </c>
      <c r="K2884" s="5" t="str">
        <f t="shared" si="89"/>
        <v>U</v>
      </c>
      <c r="L2884" s="5" t="s">
        <v>2023</v>
      </c>
      <c r="M2884" s="5" t="s">
        <v>8776</v>
      </c>
      <c r="N2884" s="5" t="s">
        <v>8777</v>
      </c>
      <c r="O2884" s="5" t="s">
        <v>8778</v>
      </c>
      <c r="P2884" s="5" t="s">
        <v>2992</v>
      </c>
      <c r="Q2884" s="11">
        <v>46306.5</v>
      </c>
      <c r="R2884" s="6"/>
      <c r="S2884" s="6"/>
      <c r="T2884" s="6"/>
      <c r="U2884" s="5">
        <f>MATCH(B2884,Manual_Review!$A$6:$A$238,0)</f>
        <v>180</v>
      </c>
      <c r="V2884" s="5" t="str">
        <f>IF(INDEX(Manual_Review!$G$6:$G$238,U2884)="","",INDEX(Manual_Review!$G$6:$G$238,U2884))</f>
        <v/>
      </c>
      <c r="W2884" s="11" t="str">
        <f>IF(INDEX(Manual_Review!$H$6:$H$238,U2884)="","",INDEX(Manual_Review!$H$6:$H$238,U2884))</f>
        <v/>
      </c>
      <c r="X2884" s="5" t="str">
        <f>IF(INDEX(Manual_Review!$I$6:$I$238,U2884)="","",INDEX(Manual_Review!$I$6:$I$238,U2884))</f>
        <v/>
      </c>
      <c r="Y2884" s="5" t="s">
        <v>2859</v>
      </c>
    </row>
    <row r="2885" spans="1:25" ht="51">
      <c r="A2885" s="5" t="s">
        <v>8779</v>
      </c>
      <c r="B2885" s="5" t="s">
        <v>2011</v>
      </c>
      <c r="C2885" s="5" t="s">
        <v>2012</v>
      </c>
      <c r="D2885" s="5" t="s">
        <v>118</v>
      </c>
      <c r="E2885" s="5" t="s">
        <v>2796</v>
      </c>
      <c r="F2885" s="5" t="s">
        <v>2764</v>
      </c>
      <c r="G2885" s="5">
        <v>1</v>
      </c>
      <c r="H2885" s="5" t="s">
        <v>2864</v>
      </c>
      <c r="I2885" s="5" t="str">
        <f>IF(INDEX(Manual_Review!$Z$6:$Z$238,U2885)="","",INDEX(Manual_Review!$Z$6:$Z$238,U2885))</f>
        <v/>
      </c>
      <c r="J2885" s="5" t="str">
        <f t="shared" si="88"/>
        <v>AI provisional</v>
      </c>
      <c r="K2885" s="5" t="str">
        <f t="shared" si="89"/>
        <v>U</v>
      </c>
      <c r="L2885" s="5" t="s">
        <v>2023</v>
      </c>
      <c r="M2885" s="5" t="s">
        <v>8780</v>
      </c>
      <c r="N2885" s="5" t="s">
        <v>8781</v>
      </c>
      <c r="O2885" s="5" t="s">
        <v>3050</v>
      </c>
      <c r="P2885" s="5" t="s">
        <v>2992</v>
      </c>
      <c r="Q2885" s="11">
        <v>46306.5</v>
      </c>
      <c r="R2885" s="6"/>
      <c r="S2885" s="6"/>
      <c r="T2885" s="6"/>
      <c r="U2885" s="5">
        <f>MATCH(B2885,Manual_Review!$A$6:$A$238,0)</f>
        <v>180</v>
      </c>
      <c r="V2885" s="5" t="str">
        <f>IF(INDEX(Manual_Review!$G$6:$G$238,U2885)="","",INDEX(Manual_Review!$G$6:$G$238,U2885))</f>
        <v/>
      </c>
      <c r="W2885" s="11" t="str">
        <f>IF(INDEX(Manual_Review!$H$6:$H$238,U2885)="","",INDEX(Manual_Review!$H$6:$H$238,U2885))</f>
        <v/>
      </c>
      <c r="X2885" s="5" t="str">
        <f>IF(INDEX(Manual_Review!$I$6:$I$238,U2885)="","",INDEX(Manual_Review!$I$6:$I$238,U2885))</f>
        <v/>
      </c>
      <c r="Y2885" s="5" t="s">
        <v>2859</v>
      </c>
    </row>
    <row r="2886" spans="1:25" ht="25.5">
      <c r="A2886" s="5" t="s">
        <v>8782</v>
      </c>
      <c r="B2886" s="5" t="s">
        <v>2025</v>
      </c>
      <c r="C2886" s="5" t="s">
        <v>2026</v>
      </c>
      <c r="D2886" s="5" t="s">
        <v>118</v>
      </c>
      <c r="E2886" s="5" t="s">
        <v>2781</v>
      </c>
      <c r="F2886" s="5" t="s">
        <v>2754</v>
      </c>
      <c r="G2886" s="5">
        <v>1</v>
      </c>
      <c r="H2886" s="5" t="s">
        <v>2854</v>
      </c>
      <c r="I2886" s="5" t="str">
        <f>IF(INDEX(Manual_Review!$K$6:$K$238,U2886)="","",INDEX(Manual_Review!$K$6:$K$238,U2886))</f>
        <v/>
      </c>
      <c r="J2886" s="5" t="str">
        <f t="shared" ref="J2886:J2949" si="90">IF(G2886=0,"Not applicable",IF(I2886="","AI provisional",IF(AND(OR(I2886="Y",I2886="N",I2886="U",I2886="X"),V2886&lt;&gt;"",ISNUMBER(W2886),W2886&gt;0,X2886="Confirmed",R2886&lt;&gt;"",S2886&lt;&gt;"",T2886&lt;&gt;""),"Human valid","Evidence needed")))</f>
        <v>AI provisional</v>
      </c>
      <c r="K2886" s="5" t="str">
        <f t="shared" ref="K2886:K2949" si="91">IF(G2886=0,"N/A",IF(I2886="",H2886,IF(J2886="Human valid",I2886,"U")))</f>
        <v>Y</v>
      </c>
      <c r="L2886" s="5" t="s">
        <v>2038</v>
      </c>
      <c r="M2886" s="5" t="s">
        <v>8783</v>
      </c>
      <c r="N2886" s="5" t="s">
        <v>8784</v>
      </c>
      <c r="O2886" s="5" t="s">
        <v>2991</v>
      </c>
      <c r="P2886" s="5" t="s">
        <v>2992</v>
      </c>
      <c r="Q2886" s="11">
        <v>46306.5</v>
      </c>
      <c r="R2886" s="6"/>
      <c r="S2886" s="6"/>
      <c r="T2886" s="6"/>
      <c r="U2886" s="5">
        <f>MATCH(B2886,Manual_Review!$A$6:$A$238,0)</f>
        <v>181</v>
      </c>
      <c r="V2886" s="5" t="str">
        <f>IF(INDEX(Manual_Review!$G$6:$G$238,U2886)="","",INDEX(Manual_Review!$G$6:$G$238,U2886))</f>
        <v/>
      </c>
      <c r="W2886" s="11" t="str">
        <f>IF(INDEX(Manual_Review!$H$6:$H$238,U2886)="","",INDEX(Manual_Review!$H$6:$H$238,U2886))</f>
        <v/>
      </c>
      <c r="X2886" s="5" t="str">
        <f>IF(INDEX(Manual_Review!$I$6:$I$238,U2886)="","",INDEX(Manual_Review!$I$6:$I$238,U2886))</f>
        <v/>
      </c>
      <c r="Y2886" s="5" t="s">
        <v>2859</v>
      </c>
    </row>
    <row r="2887" spans="1:25" ht="25.5">
      <c r="A2887" s="5" t="s">
        <v>8785</v>
      </c>
      <c r="B2887" s="5" t="s">
        <v>2025</v>
      </c>
      <c r="C2887" s="5" t="s">
        <v>2026</v>
      </c>
      <c r="D2887" s="5" t="s">
        <v>118</v>
      </c>
      <c r="E2887" s="5" t="s">
        <v>2782</v>
      </c>
      <c r="F2887" s="5" t="s">
        <v>2754</v>
      </c>
      <c r="G2887" s="5">
        <v>1</v>
      </c>
      <c r="H2887" s="5" t="s">
        <v>2854</v>
      </c>
      <c r="I2887" s="5" t="str">
        <f>IF(INDEX(Manual_Review!$L$6:$L$238,U2887)="","",INDEX(Manual_Review!$L$6:$L$238,U2887))</f>
        <v/>
      </c>
      <c r="J2887" s="5" t="str">
        <f t="shared" si="90"/>
        <v>AI provisional</v>
      </c>
      <c r="K2887" s="5" t="str">
        <f t="shared" si="91"/>
        <v>Y</v>
      </c>
      <c r="L2887" s="5" t="s">
        <v>2038</v>
      </c>
      <c r="M2887" s="5" t="s">
        <v>8786</v>
      </c>
      <c r="N2887" s="5" t="s">
        <v>8787</v>
      </c>
      <c r="O2887" s="5" t="s">
        <v>2996</v>
      </c>
      <c r="P2887" s="5" t="s">
        <v>2992</v>
      </c>
      <c r="Q2887" s="11">
        <v>46306.5</v>
      </c>
      <c r="R2887" s="6"/>
      <c r="S2887" s="6"/>
      <c r="T2887" s="6"/>
      <c r="U2887" s="5">
        <f>MATCH(B2887,Manual_Review!$A$6:$A$238,0)</f>
        <v>181</v>
      </c>
      <c r="V2887" s="5" t="str">
        <f>IF(INDEX(Manual_Review!$G$6:$G$238,U2887)="","",INDEX(Manual_Review!$G$6:$G$238,U2887))</f>
        <v/>
      </c>
      <c r="W2887" s="11" t="str">
        <f>IF(INDEX(Manual_Review!$H$6:$H$238,U2887)="","",INDEX(Manual_Review!$H$6:$H$238,U2887))</f>
        <v/>
      </c>
      <c r="X2887" s="5" t="str">
        <f>IF(INDEX(Manual_Review!$I$6:$I$238,U2887)="","",INDEX(Manual_Review!$I$6:$I$238,U2887))</f>
        <v/>
      </c>
      <c r="Y2887" s="5" t="s">
        <v>2859</v>
      </c>
    </row>
    <row r="2888" spans="1:25" ht="25.5">
      <c r="A2888" s="5" t="s">
        <v>8788</v>
      </c>
      <c r="B2888" s="5" t="s">
        <v>2025</v>
      </c>
      <c r="C2888" s="5" t="s">
        <v>2026</v>
      </c>
      <c r="D2888" s="5" t="s">
        <v>118</v>
      </c>
      <c r="E2888" s="5" t="s">
        <v>2783</v>
      </c>
      <c r="F2888" s="5" t="s">
        <v>2754</v>
      </c>
      <c r="G2888" s="5">
        <v>1</v>
      </c>
      <c r="H2888" s="5" t="s">
        <v>2864</v>
      </c>
      <c r="I2888" s="5" t="str">
        <f>IF(INDEX(Manual_Review!$M$6:$M$238,U2888)="","",INDEX(Manual_Review!$M$6:$M$238,U2888))</f>
        <v/>
      </c>
      <c r="J2888" s="5" t="str">
        <f t="shared" si="90"/>
        <v>AI provisional</v>
      </c>
      <c r="K2888" s="5" t="str">
        <f t="shared" si="91"/>
        <v>U</v>
      </c>
      <c r="L2888" s="5" t="s">
        <v>2038</v>
      </c>
      <c r="M2888" s="5" t="s">
        <v>8789</v>
      </c>
      <c r="N2888" s="5" t="s">
        <v>8790</v>
      </c>
      <c r="O2888" s="5" t="s">
        <v>3808</v>
      </c>
      <c r="P2888" s="5" t="s">
        <v>2992</v>
      </c>
      <c r="Q2888" s="11">
        <v>46306.5</v>
      </c>
      <c r="R2888" s="6"/>
      <c r="S2888" s="6"/>
      <c r="T2888" s="6"/>
      <c r="U2888" s="5">
        <f>MATCH(B2888,Manual_Review!$A$6:$A$238,0)</f>
        <v>181</v>
      </c>
      <c r="V2888" s="5" t="str">
        <f>IF(INDEX(Manual_Review!$G$6:$G$238,U2888)="","",INDEX(Manual_Review!$G$6:$G$238,U2888))</f>
        <v/>
      </c>
      <c r="W2888" s="11" t="str">
        <f>IF(INDEX(Manual_Review!$H$6:$H$238,U2888)="","",INDEX(Manual_Review!$H$6:$H$238,U2888))</f>
        <v/>
      </c>
      <c r="X2888" s="5" t="str">
        <f>IF(INDEX(Manual_Review!$I$6:$I$238,U2888)="","",INDEX(Manual_Review!$I$6:$I$238,U2888))</f>
        <v/>
      </c>
      <c r="Y2888" s="5" t="s">
        <v>2859</v>
      </c>
    </row>
    <row r="2889" spans="1:25" ht="25.5">
      <c r="A2889" s="5" t="s">
        <v>8791</v>
      </c>
      <c r="B2889" s="5" t="s">
        <v>2025</v>
      </c>
      <c r="C2889" s="5" t="s">
        <v>2026</v>
      </c>
      <c r="D2889" s="5" t="s">
        <v>118</v>
      </c>
      <c r="E2889" s="5" t="s">
        <v>2784</v>
      </c>
      <c r="F2889" s="5" t="s">
        <v>2756</v>
      </c>
      <c r="G2889" s="5">
        <v>1</v>
      </c>
      <c r="H2889" s="5" t="s">
        <v>2854</v>
      </c>
      <c r="I2889" s="5" t="str">
        <f>IF(INDEX(Manual_Review!$N$6:$N$238,U2889)="","",INDEX(Manual_Review!$N$6:$N$238,U2889))</f>
        <v/>
      </c>
      <c r="J2889" s="5" t="str">
        <f t="shared" si="90"/>
        <v>AI provisional</v>
      </c>
      <c r="K2889" s="5" t="str">
        <f t="shared" si="91"/>
        <v>Y</v>
      </c>
      <c r="L2889" s="5" t="s">
        <v>2038</v>
      </c>
      <c r="M2889" s="5" t="s">
        <v>8792</v>
      </c>
      <c r="N2889" s="5" t="s">
        <v>8793</v>
      </c>
      <c r="O2889" s="5" t="s">
        <v>3004</v>
      </c>
      <c r="P2889" s="5" t="s">
        <v>2992</v>
      </c>
      <c r="Q2889" s="11">
        <v>46306.5</v>
      </c>
      <c r="R2889" s="6"/>
      <c r="S2889" s="6"/>
      <c r="T2889" s="6"/>
      <c r="U2889" s="5">
        <f>MATCH(B2889,Manual_Review!$A$6:$A$238,0)</f>
        <v>181</v>
      </c>
      <c r="V2889" s="5" t="str">
        <f>IF(INDEX(Manual_Review!$G$6:$G$238,U2889)="","",INDEX(Manual_Review!$G$6:$G$238,U2889))</f>
        <v/>
      </c>
      <c r="W2889" s="11" t="str">
        <f>IF(INDEX(Manual_Review!$H$6:$H$238,U2889)="","",INDEX(Manual_Review!$H$6:$H$238,U2889))</f>
        <v/>
      </c>
      <c r="X2889" s="5" t="str">
        <f>IF(INDEX(Manual_Review!$I$6:$I$238,U2889)="","",INDEX(Manual_Review!$I$6:$I$238,U2889))</f>
        <v/>
      </c>
      <c r="Y2889" s="5" t="s">
        <v>2859</v>
      </c>
    </row>
    <row r="2890" spans="1:25" ht="25.5">
      <c r="A2890" s="5" t="s">
        <v>8794</v>
      </c>
      <c r="B2890" s="5" t="s">
        <v>2025</v>
      </c>
      <c r="C2890" s="5" t="s">
        <v>2026</v>
      </c>
      <c r="D2890" s="5" t="s">
        <v>118</v>
      </c>
      <c r="E2890" s="5" t="s">
        <v>2785</v>
      </c>
      <c r="F2890" s="5" t="s">
        <v>2756</v>
      </c>
      <c r="G2890" s="5">
        <v>1</v>
      </c>
      <c r="H2890" s="5" t="s">
        <v>2864</v>
      </c>
      <c r="I2890" s="5" t="str">
        <f>IF(INDEX(Manual_Review!$O$6:$O$238,U2890)="","",INDEX(Manual_Review!$O$6:$O$238,U2890))</f>
        <v/>
      </c>
      <c r="J2890" s="5" t="str">
        <f t="shared" si="90"/>
        <v>AI provisional</v>
      </c>
      <c r="K2890" s="5" t="str">
        <f t="shared" si="91"/>
        <v>U</v>
      </c>
      <c r="L2890" s="5" t="s">
        <v>2038</v>
      </c>
      <c r="M2890" s="5" t="s">
        <v>8792</v>
      </c>
      <c r="N2890" s="5" t="s">
        <v>8793</v>
      </c>
      <c r="O2890" s="5" t="s">
        <v>3006</v>
      </c>
      <c r="P2890" s="5" t="s">
        <v>2992</v>
      </c>
      <c r="Q2890" s="11">
        <v>46306.5</v>
      </c>
      <c r="R2890" s="6"/>
      <c r="S2890" s="6"/>
      <c r="T2890" s="6"/>
      <c r="U2890" s="5">
        <f>MATCH(B2890,Manual_Review!$A$6:$A$238,0)</f>
        <v>181</v>
      </c>
      <c r="V2890" s="5" t="str">
        <f>IF(INDEX(Manual_Review!$G$6:$G$238,U2890)="","",INDEX(Manual_Review!$G$6:$G$238,U2890))</f>
        <v/>
      </c>
      <c r="W2890" s="11" t="str">
        <f>IF(INDEX(Manual_Review!$H$6:$H$238,U2890)="","",INDEX(Manual_Review!$H$6:$H$238,U2890))</f>
        <v/>
      </c>
      <c r="X2890" s="5" t="str">
        <f>IF(INDEX(Manual_Review!$I$6:$I$238,U2890)="","",INDEX(Manual_Review!$I$6:$I$238,U2890))</f>
        <v/>
      </c>
      <c r="Y2890" s="5" t="s">
        <v>2859</v>
      </c>
    </row>
    <row r="2891" spans="1:25" ht="38.25">
      <c r="A2891" s="5" t="s">
        <v>8795</v>
      </c>
      <c r="B2891" s="5" t="s">
        <v>2025</v>
      </c>
      <c r="C2891" s="5" t="s">
        <v>2026</v>
      </c>
      <c r="D2891" s="5" t="s">
        <v>118</v>
      </c>
      <c r="E2891" s="5" t="s">
        <v>2786</v>
      </c>
      <c r="F2891" s="5" t="s">
        <v>2756</v>
      </c>
      <c r="G2891" s="5">
        <v>1</v>
      </c>
      <c r="H2891" s="5" t="s">
        <v>2864</v>
      </c>
      <c r="I2891" s="5" t="str">
        <f>IF(INDEX(Manual_Review!$P$6:$P$238,U2891)="","",INDEX(Manual_Review!$P$6:$P$238,U2891))</f>
        <v/>
      </c>
      <c r="J2891" s="5" t="str">
        <f t="shared" si="90"/>
        <v>AI provisional</v>
      </c>
      <c r="K2891" s="5" t="str">
        <f t="shared" si="91"/>
        <v>U</v>
      </c>
      <c r="L2891" s="5" t="s">
        <v>2038</v>
      </c>
      <c r="M2891" s="5" t="s">
        <v>8796</v>
      </c>
      <c r="N2891" s="5" t="s">
        <v>8797</v>
      </c>
      <c r="O2891" s="5" t="s">
        <v>3010</v>
      </c>
      <c r="P2891" s="5" t="s">
        <v>2992</v>
      </c>
      <c r="Q2891" s="11">
        <v>46306.5</v>
      </c>
      <c r="R2891" s="6"/>
      <c r="S2891" s="6"/>
      <c r="T2891" s="6"/>
      <c r="U2891" s="5">
        <f>MATCH(B2891,Manual_Review!$A$6:$A$238,0)</f>
        <v>181</v>
      </c>
      <c r="V2891" s="5" t="str">
        <f>IF(INDEX(Manual_Review!$G$6:$G$238,U2891)="","",INDEX(Manual_Review!$G$6:$G$238,U2891))</f>
        <v/>
      </c>
      <c r="W2891" s="11" t="str">
        <f>IF(INDEX(Manual_Review!$H$6:$H$238,U2891)="","",INDEX(Manual_Review!$H$6:$H$238,U2891))</f>
        <v/>
      </c>
      <c r="X2891" s="5" t="str">
        <f>IF(INDEX(Manual_Review!$I$6:$I$238,U2891)="","",INDEX(Manual_Review!$I$6:$I$238,U2891))</f>
        <v/>
      </c>
      <c r="Y2891" s="5" t="s">
        <v>2859</v>
      </c>
    </row>
    <row r="2892" spans="1:25" ht="25.5">
      <c r="A2892" s="5" t="s">
        <v>8798</v>
      </c>
      <c r="B2892" s="5" t="s">
        <v>2025</v>
      </c>
      <c r="C2892" s="5" t="s">
        <v>2026</v>
      </c>
      <c r="D2892" s="5" t="s">
        <v>118</v>
      </c>
      <c r="E2892" s="5" t="s">
        <v>2787</v>
      </c>
      <c r="F2892" s="5" t="s">
        <v>2758</v>
      </c>
      <c r="G2892" s="5">
        <v>1</v>
      </c>
      <c r="H2892" s="5" t="s">
        <v>2854</v>
      </c>
      <c r="I2892" s="5" t="str">
        <f>IF(INDEX(Manual_Review!$Q$6:$Q$238,U2892)="","",INDEX(Manual_Review!$Q$6:$Q$238,U2892))</f>
        <v/>
      </c>
      <c r="J2892" s="5" t="str">
        <f t="shared" si="90"/>
        <v>AI provisional</v>
      </c>
      <c r="K2892" s="5" t="str">
        <f t="shared" si="91"/>
        <v>Y</v>
      </c>
      <c r="L2892" s="5" t="s">
        <v>2038</v>
      </c>
      <c r="M2892" s="5" t="s">
        <v>8799</v>
      </c>
      <c r="N2892" s="5" t="s">
        <v>8800</v>
      </c>
      <c r="O2892" s="5" t="s">
        <v>3819</v>
      </c>
      <c r="P2892" s="5" t="s">
        <v>2992</v>
      </c>
      <c r="Q2892" s="11">
        <v>46306.5</v>
      </c>
      <c r="R2892" s="6"/>
      <c r="S2892" s="6"/>
      <c r="T2892" s="6"/>
      <c r="U2892" s="5">
        <f>MATCH(B2892,Manual_Review!$A$6:$A$238,0)</f>
        <v>181</v>
      </c>
      <c r="V2892" s="5" t="str">
        <f>IF(INDEX(Manual_Review!$G$6:$G$238,U2892)="","",INDEX(Manual_Review!$G$6:$G$238,U2892))</f>
        <v/>
      </c>
      <c r="W2892" s="11" t="str">
        <f>IF(INDEX(Manual_Review!$H$6:$H$238,U2892)="","",INDEX(Manual_Review!$H$6:$H$238,U2892))</f>
        <v/>
      </c>
      <c r="X2892" s="5" t="str">
        <f>IF(INDEX(Manual_Review!$I$6:$I$238,U2892)="","",INDEX(Manual_Review!$I$6:$I$238,U2892))</f>
        <v/>
      </c>
      <c r="Y2892" s="5" t="s">
        <v>2859</v>
      </c>
    </row>
    <row r="2893" spans="1:25" ht="51">
      <c r="A2893" s="5" t="s">
        <v>8801</v>
      </c>
      <c r="B2893" s="5" t="s">
        <v>2025</v>
      </c>
      <c r="C2893" s="5" t="s">
        <v>2026</v>
      </c>
      <c r="D2893" s="5" t="s">
        <v>118</v>
      </c>
      <c r="E2893" s="5" t="s">
        <v>2788</v>
      </c>
      <c r="F2893" s="5" t="s">
        <v>2758</v>
      </c>
      <c r="G2893" s="5">
        <v>1</v>
      </c>
      <c r="H2893" s="5" t="s">
        <v>2854</v>
      </c>
      <c r="I2893" s="5" t="str">
        <f>IF(INDEX(Manual_Review!$R$6:$R$238,U2893)="","",INDEX(Manual_Review!$R$6:$R$238,U2893))</f>
        <v/>
      </c>
      <c r="J2893" s="5" t="str">
        <f t="shared" si="90"/>
        <v>AI provisional</v>
      </c>
      <c r="K2893" s="5" t="str">
        <f t="shared" si="91"/>
        <v>Y</v>
      </c>
      <c r="L2893" s="5" t="s">
        <v>2038</v>
      </c>
      <c r="M2893" s="5" t="s">
        <v>8802</v>
      </c>
      <c r="N2893" s="5" t="s">
        <v>8803</v>
      </c>
      <c r="O2893" s="5" t="s">
        <v>3018</v>
      </c>
      <c r="P2893" s="5" t="s">
        <v>2992</v>
      </c>
      <c r="Q2893" s="11">
        <v>46306.5</v>
      </c>
      <c r="R2893" s="6"/>
      <c r="S2893" s="6"/>
      <c r="T2893" s="6"/>
      <c r="U2893" s="5">
        <f>MATCH(B2893,Manual_Review!$A$6:$A$238,0)</f>
        <v>181</v>
      </c>
      <c r="V2893" s="5" t="str">
        <f>IF(INDEX(Manual_Review!$G$6:$G$238,U2893)="","",INDEX(Manual_Review!$G$6:$G$238,U2893))</f>
        <v/>
      </c>
      <c r="W2893" s="11" t="str">
        <f>IF(INDEX(Manual_Review!$H$6:$H$238,U2893)="","",INDEX(Manual_Review!$H$6:$H$238,U2893))</f>
        <v/>
      </c>
      <c r="X2893" s="5" t="str">
        <f>IF(INDEX(Manual_Review!$I$6:$I$238,U2893)="","",INDEX(Manual_Review!$I$6:$I$238,U2893))</f>
        <v/>
      </c>
      <c r="Y2893" s="5" t="s">
        <v>2859</v>
      </c>
    </row>
    <row r="2894" spans="1:25" ht="38.25">
      <c r="A2894" s="5" t="s">
        <v>8804</v>
      </c>
      <c r="B2894" s="5" t="s">
        <v>2025</v>
      </c>
      <c r="C2894" s="5" t="s">
        <v>2026</v>
      </c>
      <c r="D2894" s="5" t="s">
        <v>118</v>
      </c>
      <c r="E2894" s="5" t="s">
        <v>2789</v>
      </c>
      <c r="F2894" s="5" t="s">
        <v>2758</v>
      </c>
      <c r="G2894" s="5">
        <v>1</v>
      </c>
      <c r="H2894" s="5" t="s">
        <v>2854</v>
      </c>
      <c r="I2894" s="5" t="str">
        <f>IF(INDEX(Manual_Review!$S$6:$S$238,U2894)="","",INDEX(Manual_Review!$S$6:$S$238,U2894))</f>
        <v/>
      </c>
      <c r="J2894" s="5" t="str">
        <f t="shared" si="90"/>
        <v>AI provisional</v>
      </c>
      <c r="K2894" s="5" t="str">
        <f t="shared" si="91"/>
        <v>Y</v>
      </c>
      <c r="L2894" s="5" t="s">
        <v>2038</v>
      </c>
      <c r="M2894" s="5" t="s">
        <v>8805</v>
      </c>
      <c r="N2894" s="5" t="s">
        <v>8806</v>
      </c>
      <c r="O2894" s="5" t="s">
        <v>3022</v>
      </c>
      <c r="P2894" s="5" t="s">
        <v>2992</v>
      </c>
      <c r="Q2894" s="11">
        <v>46306.5</v>
      </c>
      <c r="R2894" s="6"/>
      <c r="S2894" s="6"/>
      <c r="T2894" s="6"/>
      <c r="U2894" s="5">
        <f>MATCH(B2894,Manual_Review!$A$6:$A$238,0)</f>
        <v>181</v>
      </c>
      <c r="V2894" s="5" t="str">
        <f>IF(INDEX(Manual_Review!$G$6:$G$238,U2894)="","",INDEX(Manual_Review!$G$6:$G$238,U2894))</f>
        <v/>
      </c>
      <c r="W2894" s="11" t="str">
        <f>IF(INDEX(Manual_Review!$H$6:$H$238,U2894)="","",INDEX(Manual_Review!$H$6:$H$238,U2894))</f>
        <v/>
      </c>
      <c r="X2894" s="5" t="str">
        <f>IF(INDEX(Manual_Review!$I$6:$I$238,U2894)="","",INDEX(Manual_Review!$I$6:$I$238,U2894))</f>
        <v/>
      </c>
      <c r="Y2894" s="5" t="s">
        <v>2859</v>
      </c>
    </row>
    <row r="2895" spans="1:25" ht="25.5">
      <c r="A2895" s="5" t="s">
        <v>8807</v>
      </c>
      <c r="B2895" s="5" t="s">
        <v>2025</v>
      </c>
      <c r="C2895" s="5" t="s">
        <v>2026</v>
      </c>
      <c r="D2895" s="5" t="s">
        <v>118</v>
      </c>
      <c r="E2895" s="5" t="s">
        <v>2790</v>
      </c>
      <c r="F2895" s="5" t="s">
        <v>2760</v>
      </c>
      <c r="G2895" s="5">
        <v>1</v>
      </c>
      <c r="H2895" s="5" t="s">
        <v>2854</v>
      </c>
      <c r="I2895" s="5" t="str">
        <f>IF(INDEX(Manual_Review!$T$6:$T$238,U2895)="","",INDEX(Manual_Review!$T$6:$T$238,U2895))</f>
        <v/>
      </c>
      <c r="J2895" s="5" t="str">
        <f t="shared" si="90"/>
        <v>AI provisional</v>
      </c>
      <c r="K2895" s="5" t="str">
        <f t="shared" si="91"/>
        <v>Y</v>
      </c>
      <c r="L2895" s="5" t="s">
        <v>2038</v>
      </c>
      <c r="M2895" s="5" t="s">
        <v>8808</v>
      </c>
      <c r="N2895" s="5" t="s">
        <v>8809</v>
      </c>
      <c r="O2895" s="5" t="s">
        <v>3451</v>
      </c>
      <c r="P2895" s="5" t="s">
        <v>2992</v>
      </c>
      <c r="Q2895" s="11">
        <v>46306.5</v>
      </c>
      <c r="R2895" s="6"/>
      <c r="S2895" s="6"/>
      <c r="T2895" s="6"/>
      <c r="U2895" s="5">
        <f>MATCH(B2895,Manual_Review!$A$6:$A$238,0)</f>
        <v>181</v>
      </c>
      <c r="V2895" s="5" t="str">
        <f>IF(INDEX(Manual_Review!$G$6:$G$238,U2895)="","",INDEX(Manual_Review!$G$6:$G$238,U2895))</f>
        <v/>
      </c>
      <c r="W2895" s="11" t="str">
        <f>IF(INDEX(Manual_Review!$H$6:$H$238,U2895)="","",INDEX(Manual_Review!$H$6:$H$238,U2895))</f>
        <v/>
      </c>
      <c r="X2895" s="5" t="str">
        <f>IF(INDEX(Manual_Review!$I$6:$I$238,U2895)="","",INDEX(Manual_Review!$I$6:$I$238,U2895))</f>
        <v/>
      </c>
      <c r="Y2895" s="5" t="s">
        <v>2859</v>
      </c>
    </row>
    <row r="2896" spans="1:25" ht="25.5">
      <c r="A2896" s="5" t="s">
        <v>8810</v>
      </c>
      <c r="B2896" s="5" t="s">
        <v>2025</v>
      </c>
      <c r="C2896" s="5" t="s">
        <v>2026</v>
      </c>
      <c r="D2896" s="5" t="s">
        <v>118</v>
      </c>
      <c r="E2896" s="5" t="s">
        <v>2791</v>
      </c>
      <c r="F2896" s="5" t="s">
        <v>2760</v>
      </c>
      <c r="G2896" s="5">
        <v>1</v>
      </c>
      <c r="H2896" s="5" t="s">
        <v>2854</v>
      </c>
      <c r="I2896" s="5" t="str">
        <f>IF(INDEX(Manual_Review!$U$6:$U$238,U2896)="","",INDEX(Manual_Review!$U$6:$U$238,U2896))</f>
        <v/>
      </c>
      <c r="J2896" s="5" t="str">
        <f t="shared" si="90"/>
        <v>AI provisional</v>
      </c>
      <c r="K2896" s="5" t="str">
        <f t="shared" si="91"/>
        <v>Y</v>
      </c>
      <c r="L2896" s="5" t="s">
        <v>2038</v>
      </c>
      <c r="M2896" s="5" t="s">
        <v>8811</v>
      </c>
      <c r="N2896" s="5" t="s">
        <v>8812</v>
      </c>
      <c r="O2896" s="5" t="s">
        <v>3832</v>
      </c>
      <c r="P2896" s="5" t="s">
        <v>2992</v>
      </c>
      <c r="Q2896" s="11">
        <v>46306.5</v>
      </c>
      <c r="R2896" s="6"/>
      <c r="S2896" s="6"/>
      <c r="T2896" s="6"/>
      <c r="U2896" s="5">
        <f>MATCH(B2896,Manual_Review!$A$6:$A$238,0)</f>
        <v>181</v>
      </c>
      <c r="V2896" s="5" t="str">
        <f>IF(INDEX(Manual_Review!$G$6:$G$238,U2896)="","",INDEX(Manual_Review!$G$6:$G$238,U2896))</f>
        <v/>
      </c>
      <c r="W2896" s="11" t="str">
        <f>IF(INDEX(Manual_Review!$H$6:$H$238,U2896)="","",INDEX(Manual_Review!$H$6:$H$238,U2896))</f>
        <v/>
      </c>
      <c r="X2896" s="5" t="str">
        <f>IF(INDEX(Manual_Review!$I$6:$I$238,U2896)="","",INDEX(Manual_Review!$I$6:$I$238,U2896))</f>
        <v/>
      </c>
      <c r="Y2896" s="5" t="s">
        <v>2859</v>
      </c>
    </row>
    <row r="2897" spans="1:25" ht="25.5">
      <c r="A2897" s="5" t="s">
        <v>8813</v>
      </c>
      <c r="B2897" s="5" t="s">
        <v>2025</v>
      </c>
      <c r="C2897" s="5" t="s">
        <v>2026</v>
      </c>
      <c r="D2897" s="5" t="s">
        <v>118</v>
      </c>
      <c r="E2897" s="5" t="s">
        <v>2792</v>
      </c>
      <c r="F2897" s="5" t="s">
        <v>2762</v>
      </c>
      <c r="G2897" s="5">
        <v>1</v>
      </c>
      <c r="H2897" s="5" t="s">
        <v>2854</v>
      </c>
      <c r="I2897" s="5" t="str">
        <f>IF(INDEX(Manual_Review!$V$6:$V$238,U2897)="","",INDEX(Manual_Review!$V$6:$V$238,U2897))</f>
        <v/>
      </c>
      <c r="J2897" s="5" t="str">
        <f t="shared" si="90"/>
        <v>AI provisional</v>
      </c>
      <c r="K2897" s="5" t="str">
        <f t="shared" si="91"/>
        <v>Y</v>
      </c>
      <c r="L2897" s="5" t="s">
        <v>2038</v>
      </c>
      <c r="M2897" s="5" t="s">
        <v>8814</v>
      </c>
      <c r="N2897" s="5" t="s">
        <v>8815</v>
      </c>
      <c r="O2897" s="5" t="s">
        <v>3034</v>
      </c>
      <c r="P2897" s="5" t="s">
        <v>2992</v>
      </c>
      <c r="Q2897" s="11">
        <v>46306.5</v>
      </c>
      <c r="R2897" s="6"/>
      <c r="S2897" s="6"/>
      <c r="T2897" s="6"/>
      <c r="U2897" s="5">
        <f>MATCH(B2897,Manual_Review!$A$6:$A$238,0)</f>
        <v>181</v>
      </c>
      <c r="V2897" s="5" t="str">
        <f>IF(INDEX(Manual_Review!$G$6:$G$238,U2897)="","",INDEX(Manual_Review!$G$6:$G$238,U2897))</f>
        <v/>
      </c>
      <c r="W2897" s="11" t="str">
        <f>IF(INDEX(Manual_Review!$H$6:$H$238,U2897)="","",INDEX(Manual_Review!$H$6:$H$238,U2897))</f>
        <v/>
      </c>
      <c r="X2897" s="5" t="str">
        <f>IF(INDEX(Manual_Review!$I$6:$I$238,U2897)="","",INDEX(Manual_Review!$I$6:$I$238,U2897))</f>
        <v/>
      </c>
      <c r="Y2897" s="5" t="s">
        <v>2859</v>
      </c>
    </row>
    <row r="2898" spans="1:25" ht="51">
      <c r="A2898" s="5" t="s">
        <v>8816</v>
      </c>
      <c r="B2898" s="5" t="s">
        <v>2025</v>
      </c>
      <c r="C2898" s="5" t="s">
        <v>2026</v>
      </c>
      <c r="D2898" s="5" t="s">
        <v>118</v>
      </c>
      <c r="E2898" s="5" t="s">
        <v>2793</v>
      </c>
      <c r="F2898" s="5" t="s">
        <v>2762</v>
      </c>
      <c r="G2898" s="5">
        <v>1</v>
      </c>
      <c r="H2898" s="5" t="s">
        <v>2854</v>
      </c>
      <c r="I2898" s="5" t="str">
        <f>IF(INDEX(Manual_Review!$W$6:$W$238,U2898)="","",INDEX(Manual_Review!$W$6:$W$238,U2898))</f>
        <v/>
      </c>
      <c r="J2898" s="5" t="str">
        <f t="shared" si="90"/>
        <v>AI provisional</v>
      </c>
      <c r="K2898" s="5" t="str">
        <f t="shared" si="91"/>
        <v>Y</v>
      </c>
      <c r="L2898" s="5" t="s">
        <v>2038</v>
      </c>
      <c r="M2898" s="5" t="s">
        <v>8817</v>
      </c>
      <c r="N2898" s="5" t="s">
        <v>8818</v>
      </c>
      <c r="O2898" s="5" t="s">
        <v>3038</v>
      </c>
      <c r="P2898" s="5" t="s">
        <v>2992</v>
      </c>
      <c r="Q2898" s="11">
        <v>46306.5</v>
      </c>
      <c r="R2898" s="6"/>
      <c r="S2898" s="6"/>
      <c r="T2898" s="6"/>
      <c r="U2898" s="5">
        <f>MATCH(B2898,Manual_Review!$A$6:$A$238,0)</f>
        <v>181</v>
      </c>
      <c r="V2898" s="5" t="str">
        <f>IF(INDEX(Manual_Review!$G$6:$G$238,U2898)="","",INDEX(Manual_Review!$G$6:$G$238,U2898))</f>
        <v/>
      </c>
      <c r="W2898" s="11" t="str">
        <f>IF(INDEX(Manual_Review!$H$6:$H$238,U2898)="","",INDEX(Manual_Review!$H$6:$H$238,U2898))</f>
        <v/>
      </c>
      <c r="X2898" s="5" t="str">
        <f>IF(INDEX(Manual_Review!$I$6:$I$238,U2898)="","",INDEX(Manual_Review!$I$6:$I$238,U2898))</f>
        <v/>
      </c>
      <c r="Y2898" s="5" t="s">
        <v>2859</v>
      </c>
    </row>
    <row r="2899" spans="1:25" ht="25.5">
      <c r="A2899" s="5" t="s">
        <v>8819</v>
      </c>
      <c r="B2899" s="5" t="s">
        <v>2025</v>
      </c>
      <c r="C2899" s="5" t="s">
        <v>2026</v>
      </c>
      <c r="D2899" s="5" t="s">
        <v>118</v>
      </c>
      <c r="E2899" s="5" t="s">
        <v>2794</v>
      </c>
      <c r="F2899" s="5" t="s">
        <v>2764</v>
      </c>
      <c r="G2899" s="5">
        <v>1</v>
      </c>
      <c r="H2899" s="5" t="s">
        <v>2854</v>
      </c>
      <c r="I2899" s="5" t="str">
        <f>IF(INDEX(Manual_Review!$X$6:$X$238,U2899)="","",INDEX(Manual_Review!$X$6:$X$238,U2899))</f>
        <v/>
      </c>
      <c r="J2899" s="5" t="str">
        <f t="shared" si="90"/>
        <v>AI provisional</v>
      </c>
      <c r="K2899" s="5" t="str">
        <f t="shared" si="91"/>
        <v>Y</v>
      </c>
      <c r="L2899" s="5" t="s">
        <v>2038</v>
      </c>
      <c r="M2899" s="5" t="s">
        <v>8820</v>
      </c>
      <c r="N2899" s="5" t="s">
        <v>8821</v>
      </c>
      <c r="O2899" s="5" t="s">
        <v>3042</v>
      </c>
      <c r="P2899" s="5" t="s">
        <v>2992</v>
      </c>
      <c r="Q2899" s="11">
        <v>46306.5</v>
      </c>
      <c r="R2899" s="6"/>
      <c r="S2899" s="6"/>
      <c r="T2899" s="6"/>
      <c r="U2899" s="5">
        <f>MATCH(B2899,Manual_Review!$A$6:$A$238,0)</f>
        <v>181</v>
      </c>
      <c r="V2899" s="5" t="str">
        <f>IF(INDEX(Manual_Review!$G$6:$G$238,U2899)="","",INDEX(Manual_Review!$G$6:$G$238,U2899))</f>
        <v/>
      </c>
      <c r="W2899" s="11" t="str">
        <f>IF(INDEX(Manual_Review!$H$6:$H$238,U2899)="","",INDEX(Manual_Review!$H$6:$H$238,U2899))</f>
        <v/>
      </c>
      <c r="X2899" s="5" t="str">
        <f>IF(INDEX(Manual_Review!$I$6:$I$238,U2899)="","",INDEX(Manual_Review!$I$6:$I$238,U2899))</f>
        <v/>
      </c>
      <c r="Y2899" s="5" t="s">
        <v>2859</v>
      </c>
    </row>
    <row r="2900" spans="1:25" ht="25.5">
      <c r="A2900" s="5" t="s">
        <v>8822</v>
      </c>
      <c r="B2900" s="5" t="s">
        <v>2025</v>
      </c>
      <c r="C2900" s="5" t="s">
        <v>2026</v>
      </c>
      <c r="D2900" s="5" t="s">
        <v>118</v>
      </c>
      <c r="E2900" s="5" t="s">
        <v>2795</v>
      </c>
      <c r="F2900" s="5" t="s">
        <v>2764</v>
      </c>
      <c r="G2900" s="5">
        <v>1</v>
      </c>
      <c r="H2900" s="5" t="s">
        <v>2864</v>
      </c>
      <c r="I2900" s="5" t="str">
        <f>IF(INDEX(Manual_Review!$Y$6:$Y$238,U2900)="","",INDEX(Manual_Review!$Y$6:$Y$238,U2900))</f>
        <v/>
      </c>
      <c r="J2900" s="5" t="str">
        <f t="shared" si="90"/>
        <v>AI provisional</v>
      </c>
      <c r="K2900" s="5" t="str">
        <f t="shared" si="91"/>
        <v>U</v>
      </c>
      <c r="L2900" s="5" t="s">
        <v>2038</v>
      </c>
      <c r="M2900" s="5" t="s">
        <v>8823</v>
      </c>
      <c r="N2900" s="5" t="s">
        <v>8824</v>
      </c>
      <c r="O2900" s="5" t="s">
        <v>3469</v>
      </c>
      <c r="P2900" s="5" t="s">
        <v>2992</v>
      </c>
      <c r="Q2900" s="11">
        <v>46306.5</v>
      </c>
      <c r="R2900" s="6"/>
      <c r="S2900" s="6"/>
      <c r="T2900" s="6"/>
      <c r="U2900" s="5">
        <f>MATCH(B2900,Manual_Review!$A$6:$A$238,0)</f>
        <v>181</v>
      </c>
      <c r="V2900" s="5" t="str">
        <f>IF(INDEX(Manual_Review!$G$6:$G$238,U2900)="","",INDEX(Manual_Review!$G$6:$G$238,U2900))</f>
        <v/>
      </c>
      <c r="W2900" s="11" t="str">
        <f>IF(INDEX(Manual_Review!$H$6:$H$238,U2900)="","",INDEX(Manual_Review!$H$6:$H$238,U2900))</f>
        <v/>
      </c>
      <c r="X2900" s="5" t="str">
        <f>IF(INDEX(Manual_Review!$I$6:$I$238,U2900)="","",INDEX(Manual_Review!$I$6:$I$238,U2900))</f>
        <v/>
      </c>
      <c r="Y2900" s="5" t="s">
        <v>2859</v>
      </c>
    </row>
    <row r="2901" spans="1:25" ht="51">
      <c r="A2901" s="5" t="s">
        <v>8825</v>
      </c>
      <c r="B2901" s="5" t="s">
        <v>2025</v>
      </c>
      <c r="C2901" s="5" t="s">
        <v>2026</v>
      </c>
      <c r="D2901" s="5" t="s">
        <v>118</v>
      </c>
      <c r="E2901" s="5" t="s">
        <v>2796</v>
      </c>
      <c r="F2901" s="5" t="s">
        <v>2764</v>
      </c>
      <c r="G2901" s="5">
        <v>1</v>
      </c>
      <c r="H2901" s="5" t="s">
        <v>2854</v>
      </c>
      <c r="I2901" s="5" t="str">
        <f>IF(INDEX(Manual_Review!$Z$6:$Z$238,U2901)="","",INDEX(Manual_Review!$Z$6:$Z$238,U2901))</f>
        <v/>
      </c>
      <c r="J2901" s="5" t="str">
        <f t="shared" si="90"/>
        <v>AI provisional</v>
      </c>
      <c r="K2901" s="5" t="str">
        <f t="shared" si="91"/>
        <v>Y</v>
      </c>
      <c r="L2901" s="5" t="s">
        <v>2038</v>
      </c>
      <c r="M2901" s="5" t="s">
        <v>8826</v>
      </c>
      <c r="N2901" s="5" t="s">
        <v>8827</v>
      </c>
      <c r="O2901" s="5" t="s">
        <v>3960</v>
      </c>
      <c r="P2901" s="5" t="s">
        <v>2992</v>
      </c>
      <c r="Q2901" s="11">
        <v>46306.5</v>
      </c>
      <c r="R2901" s="6"/>
      <c r="S2901" s="6"/>
      <c r="T2901" s="6"/>
      <c r="U2901" s="5">
        <f>MATCH(B2901,Manual_Review!$A$6:$A$238,0)</f>
        <v>181</v>
      </c>
      <c r="V2901" s="5" t="str">
        <f>IF(INDEX(Manual_Review!$G$6:$G$238,U2901)="","",INDEX(Manual_Review!$G$6:$G$238,U2901))</f>
        <v/>
      </c>
      <c r="W2901" s="11" t="str">
        <f>IF(INDEX(Manual_Review!$H$6:$H$238,U2901)="","",INDEX(Manual_Review!$H$6:$H$238,U2901))</f>
        <v/>
      </c>
      <c r="X2901" s="5" t="str">
        <f>IF(INDEX(Manual_Review!$I$6:$I$238,U2901)="","",INDEX(Manual_Review!$I$6:$I$238,U2901))</f>
        <v/>
      </c>
      <c r="Y2901" s="5" t="s">
        <v>2859</v>
      </c>
    </row>
    <row r="2902" spans="1:25" ht="25.5">
      <c r="A2902" s="5" t="s">
        <v>8828</v>
      </c>
      <c r="B2902" s="5" t="s">
        <v>2040</v>
      </c>
      <c r="C2902" s="5" t="s">
        <v>2041</v>
      </c>
      <c r="D2902" s="5" t="s">
        <v>118</v>
      </c>
      <c r="E2902" s="5" t="s">
        <v>2781</v>
      </c>
      <c r="F2902" s="5" t="s">
        <v>2754</v>
      </c>
      <c r="G2902" s="5">
        <v>1</v>
      </c>
      <c r="H2902" s="5" t="s">
        <v>2854</v>
      </c>
      <c r="I2902" s="5" t="str">
        <f>IF(INDEX(Manual_Review!$K$6:$K$238,U2902)="","",INDEX(Manual_Review!$K$6:$K$238,U2902))</f>
        <v/>
      </c>
      <c r="J2902" s="5" t="str">
        <f t="shared" si="90"/>
        <v>AI provisional</v>
      </c>
      <c r="K2902" s="5" t="str">
        <f t="shared" si="91"/>
        <v>Y</v>
      </c>
      <c r="L2902" s="5" t="s">
        <v>2051</v>
      </c>
      <c r="M2902" s="5" t="s">
        <v>8829</v>
      </c>
      <c r="N2902" s="5" t="s">
        <v>8830</v>
      </c>
      <c r="O2902" s="5" t="s">
        <v>2991</v>
      </c>
      <c r="P2902" s="5" t="s">
        <v>2992</v>
      </c>
      <c r="Q2902" s="11">
        <v>46306.5</v>
      </c>
      <c r="R2902" s="6"/>
      <c r="S2902" s="6"/>
      <c r="T2902" s="6"/>
      <c r="U2902" s="5">
        <f>MATCH(B2902,Manual_Review!$A$6:$A$238,0)</f>
        <v>182</v>
      </c>
      <c r="V2902" s="5" t="str">
        <f>IF(INDEX(Manual_Review!$G$6:$G$238,U2902)="","",INDEX(Manual_Review!$G$6:$G$238,U2902))</f>
        <v/>
      </c>
      <c r="W2902" s="11" t="str">
        <f>IF(INDEX(Manual_Review!$H$6:$H$238,U2902)="","",INDEX(Manual_Review!$H$6:$H$238,U2902))</f>
        <v/>
      </c>
      <c r="X2902" s="5" t="str">
        <f>IF(INDEX(Manual_Review!$I$6:$I$238,U2902)="","",INDEX(Manual_Review!$I$6:$I$238,U2902))</f>
        <v/>
      </c>
      <c r="Y2902" s="5" t="s">
        <v>2859</v>
      </c>
    </row>
    <row r="2903" spans="1:25" ht="25.5">
      <c r="A2903" s="5" t="s">
        <v>8831</v>
      </c>
      <c r="B2903" s="5" t="s">
        <v>2040</v>
      </c>
      <c r="C2903" s="5" t="s">
        <v>2041</v>
      </c>
      <c r="D2903" s="5" t="s">
        <v>118</v>
      </c>
      <c r="E2903" s="5" t="s">
        <v>2782</v>
      </c>
      <c r="F2903" s="5" t="s">
        <v>2754</v>
      </c>
      <c r="G2903" s="5">
        <v>1</v>
      </c>
      <c r="H2903" s="5" t="s">
        <v>2854</v>
      </c>
      <c r="I2903" s="5" t="str">
        <f>IF(INDEX(Manual_Review!$L$6:$L$238,U2903)="","",INDEX(Manual_Review!$L$6:$L$238,U2903))</f>
        <v/>
      </c>
      <c r="J2903" s="5" t="str">
        <f t="shared" si="90"/>
        <v>AI provisional</v>
      </c>
      <c r="K2903" s="5" t="str">
        <f t="shared" si="91"/>
        <v>Y</v>
      </c>
      <c r="L2903" s="5" t="s">
        <v>2051</v>
      </c>
      <c r="M2903" s="5" t="s">
        <v>8832</v>
      </c>
      <c r="N2903" s="5" t="s">
        <v>8833</v>
      </c>
      <c r="O2903" s="5" t="s">
        <v>2996</v>
      </c>
      <c r="P2903" s="5" t="s">
        <v>2992</v>
      </c>
      <c r="Q2903" s="11">
        <v>46306.5</v>
      </c>
      <c r="R2903" s="6"/>
      <c r="S2903" s="6"/>
      <c r="T2903" s="6"/>
      <c r="U2903" s="5">
        <f>MATCH(B2903,Manual_Review!$A$6:$A$238,0)</f>
        <v>182</v>
      </c>
      <c r="V2903" s="5" t="str">
        <f>IF(INDEX(Manual_Review!$G$6:$G$238,U2903)="","",INDEX(Manual_Review!$G$6:$G$238,U2903))</f>
        <v/>
      </c>
      <c r="W2903" s="11" t="str">
        <f>IF(INDEX(Manual_Review!$H$6:$H$238,U2903)="","",INDEX(Manual_Review!$H$6:$H$238,U2903))</f>
        <v/>
      </c>
      <c r="X2903" s="5" t="str">
        <f>IF(INDEX(Manual_Review!$I$6:$I$238,U2903)="","",INDEX(Manual_Review!$I$6:$I$238,U2903))</f>
        <v/>
      </c>
      <c r="Y2903" s="5" t="s">
        <v>2859</v>
      </c>
    </row>
    <row r="2904" spans="1:25" ht="25.5">
      <c r="A2904" s="5" t="s">
        <v>8834</v>
      </c>
      <c r="B2904" s="5" t="s">
        <v>2040</v>
      </c>
      <c r="C2904" s="5" t="s">
        <v>2041</v>
      </c>
      <c r="D2904" s="5" t="s">
        <v>118</v>
      </c>
      <c r="E2904" s="5" t="s">
        <v>2783</v>
      </c>
      <c r="F2904" s="5" t="s">
        <v>2754</v>
      </c>
      <c r="G2904" s="5">
        <v>1</v>
      </c>
      <c r="H2904" s="5" t="s">
        <v>2854</v>
      </c>
      <c r="I2904" s="5" t="str">
        <f>IF(INDEX(Manual_Review!$M$6:$M$238,U2904)="","",INDEX(Manual_Review!$M$6:$M$238,U2904))</f>
        <v/>
      </c>
      <c r="J2904" s="5" t="str">
        <f t="shared" si="90"/>
        <v>AI provisional</v>
      </c>
      <c r="K2904" s="5" t="str">
        <f t="shared" si="91"/>
        <v>Y</v>
      </c>
      <c r="L2904" s="5" t="s">
        <v>2051</v>
      </c>
      <c r="M2904" s="5" t="s">
        <v>8835</v>
      </c>
      <c r="N2904" s="5" t="s">
        <v>8836</v>
      </c>
      <c r="O2904" s="5" t="s">
        <v>3000</v>
      </c>
      <c r="P2904" s="5" t="s">
        <v>2992</v>
      </c>
      <c r="Q2904" s="11">
        <v>46306.5</v>
      </c>
      <c r="R2904" s="6"/>
      <c r="S2904" s="6"/>
      <c r="T2904" s="6"/>
      <c r="U2904" s="5">
        <f>MATCH(B2904,Manual_Review!$A$6:$A$238,0)</f>
        <v>182</v>
      </c>
      <c r="V2904" s="5" t="str">
        <f>IF(INDEX(Manual_Review!$G$6:$G$238,U2904)="","",INDEX(Manual_Review!$G$6:$G$238,U2904))</f>
        <v/>
      </c>
      <c r="W2904" s="11" t="str">
        <f>IF(INDEX(Manual_Review!$H$6:$H$238,U2904)="","",INDEX(Manual_Review!$H$6:$H$238,U2904))</f>
        <v/>
      </c>
      <c r="X2904" s="5" t="str">
        <f>IF(INDEX(Manual_Review!$I$6:$I$238,U2904)="","",INDEX(Manual_Review!$I$6:$I$238,U2904))</f>
        <v/>
      </c>
      <c r="Y2904" s="5" t="s">
        <v>2859</v>
      </c>
    </row>
    <row r="2905" spans="1:25" ht="25.5">
      <c r="A2905" s="5" t="s">
        <v>8837</v>
      </c>
      <c r="B2905" s="5" t="s">
        <v>2040</v>
      </c>
      <c r="C2905" s="5" t="s">
        <v>2041</v>
      </c>
      <c r="D2905" s="5" t="s">
        <v>118</v>
      </c>
      <c r="E2905" s="5" t="s">
        <v>2784</v>
      </c>
      <c r="F2905" s="5" t="s">
        <v>2756</v>
      </c>
      <c r="G2905" s="5">
        <v>1</v>
      </c>
      <c r="H2905" s="5" t="s">
        <v>2854</v>
      </c>
      <c r="I2905" s="5" t="str">
        <f>IF(INDEX(Manual_Review!$N$6:$N$238,U2905)="","",INDEX(Manual_Review!$N$6:$N$238,U2905))</f>
        <v/>
      </c>
      <c r="J2905" s="5" t="str">
        <f t="shared" si="90"/>
        <v>AI provisional</v>
      </c>
      <c r="K2905" s="5" t="str">
        <f t="shared" si="91"/>
        <v>Y</v>
      </c>
      <c r="L2905" s="5" t="s">
        <v>2051</v>
      </c>
      <c r="M2905" s="5" t="s">
        <v>8838</v>
      </c>
      <c r="N2905" s="5" t="s">
        <v>8839</v>
      </c>
      <c r="O2905" s="5" t="s">
        <v>3004</v>
      </c>
      <c r="P2905" s="5" t="s">
        <v>2992</v>
      </c>
      <c r="Q2905" s="11">
        <v>46306.5</v>
      </c>
      <c r="R2905" s="6"/>
      <c r="S2905" s="6"/>
      <c r="T2905" s="6"/>
      <c r="U2905" s="5">
        <f>MATCH(B2905,Manual_Review!$A$6:$A$238,0)</f>
        <v>182</v>
      </c>
      <c r="V2905" s="5" t="str">
        <f>IF(INDEX(Manual_Review!$G$6:$G$238,U2905)="","",INDEX(Manual_Review!$G$6:$G$238,U2905))</f>
        <v/>
      </c>
      <c r="W2905" s="11" t="str">
        <f>IF(INDEX(Manual_Review!$H$6:$H$238,U2905)="","",INDEX(Manual_Review!$H$6:$H$238,U2905))</f>
        <v/>
      </c>
      <c r="X2905" s="5" t="str">
        <f>IF(INDEX(Manual_Review!$I$6:$I$238,U2905)="","",INDEX(Manual_Review!$I$6:$I$238,U2905))</f>
        <v/>
      </c>
      <c r="Y2905" s="5" t="s">
        <v>2859</v>
      </c>
    </row>
    <row r="2906" spans="1:25" ht="25.5">
      <c r="A2906" s="5" t="s">
        <v>8840</v>
      </c>
      <c r="B2906" s="5" t="s">
        <v>2040</v>
      </c>
      <c r="C2906" s="5" t="s">
        <v>2041</v>
      </c>
      <c r="D2906" s="5" t="s">
        <v>118</v>
      </c>
      <c r="E2906" s="5" t="s">
        <v>2785</v>
      </c>
      <c r="F2906" s="5" t="s">
        <v>2756</v>
      </c>
      <c r="G2906" s="5">
        <v>1</v>
      </c>
      <c r="H2906" s="5" t="s">
        <v>2854</v>
      </c>
      <c r="I2906" s="5" t="str">
        <f>IF(INDEX(Manual_Review!$O$6:$O$238,U2906)="","",INDEX(Manual_Review!$O$6:$O$238,U2906))</f>
        <v/>
      </c>
      <c r="J2906" s="5" t="str">
        <f t="shared" si="90"/>
        <v>AI provisional</v>
      </c>
      <c r="K2906" s="5" t="str">
        <f t="shared" si="91"/>
        <v>Y</v>
      </c>
      <c r="L2906" s="5" t="s">
        <v>2051</v>
      </c>
      <c r="M2906" s="5" t="s">
        <v>8838</v>
      </c>
      <c r="N2906" s="5" t="s">
        <v>8839</v>
      </c>
      <c r="O2906" s="5" t="s">
        <v>5541</v>
      </c>
      <c r="P2906" s="5" t="s">
        <v>2992</v>
      </c>
      <c r="Q2906" s="11">
        <v>46306.5</v>
      </c>
      <c r="R2906" s="6"/>
      <c r="S2906" s="6"/>
      <c r="T2906" s="6"/>
      <c r="U2906" s="5">
        <f>MATCH(B2906,Manual_Review!$A$6:$A$238,0)</f>
        <v>182</v>
      </c>
      <c r="V2906" s="5" t="str">
        <f>IF(INDEX(Manual_Review!$G$6:$G$238,U2906)="","",INDEX(Manual_Review!$G$6:$G$238,U2906))</f>
        <v/>
      </c>
      <c r="W2906" s="11" t="str">
        <f>IF(INDEX(Manual_Review!$H$6:$H$238,U2906)="","",INDEX(Manual_Review!$H$6:$H$238,U2906))</f>
        <v/>
      </c>
      <c r="X2906" s="5" t="str">
        <f>IF(INDEX(Manual_Review!$I$6:$I$238,U2906)="","",INDEX(Manual_Review!$I$6:$I$238,U2906))</f>
        <v/>
      </c>
      <c r="Y2906" s="5" t="s">
        <v>2859</v>
      </c>
    </row>
    <row r="2907" spans="1:25" ht="38.25">
      <c r="A2907" s="5" t="s">
        <v>8841</v>
      </c>
      <c r="B2907" s="5" t="s">
        <v>2040</v>
      </c>
      <c r="C2907" s="5" t="s">
        <v>2041</v>
      </c>
      <c r="D2907" s="5" t="s">
        <v>118</v>
      </c>
      <c r="E2907" s="5" t="s">
        <v>2786</v>
      </c>
      <c r="F2907" s="5" t="s">
        <v>2756</v>
      </c>
      <c r="G2907" s="5">
        <v>1</v>
      </c>
      <c r="H2907" s="5" t="s">
        <v>2854</v>
      </c>
      <c r="I2907" s="5" t="str">
        <f>IF(INDEX(Manual_Review!$P$6:$P$238,U2907)="","",INDEX(Manual_Review!$P$6:$P$238,U2907))</f>
        <v/>
      </c>
      <c r="J2907" s="5" t="str">
        <f t="shared" si="90"/>
        <v>AI provisional</v>
      </c>
      <c r="K2907" s="5" t="str">
        <f t="shared" si="91"/>
        <v>Y</v>
      </c>
      <c r="L2907" s="5" t="s">
        <v>2051</v>
      </c>
      <c r="M2907" s="5" t="s">
        <v>8842</v>
      </c>
      <c r="N2907" s="5" t="s">
        <v>8843</v>
      </c>
      <c r="O2907" s="5" t="s">
        <v>8844</v>
      </c>
      <c r="P2907" s="5" t="s">
        <v>2992</v>
      </c>
      <c r="Q2907" s="11">
        <v>46306.5</v>
      </c>
      <c r="R2907" s="6"/>
      <c r="S2907" s="6"/>
      <c r="T2907" s="6"/>
      <c r="U2907" s="5">
        <f>MATCH(B2907,Manual_Review!$A$6:$A$238,0)</f>
        <v>182</v>
      </c>
      <c r="V2907" s="5" t="str">
        <f>IF(INDEX(Manual_Review!$G$6:$G$238,U2907)="","",INDEX(Manual_Review!$G$6:$G$238,U2907))</f>
        <v/>
      </c>
      <c r="W2907" s="11" t="str">
        <f>IF(INDEX(Manual_Review!$H$6:$H$238,U2907)="","",INDEX(Manual_Review!$H$6:$H$238,U2907))</f>
        <v/>
      </c>
      <c r="X2907" s="5" t="str">
        <f>IF(INDEX(Manual_Review!$I$6:$I$238,U2907)="","",INDEX(Manual_Review!$I$6:$I$238,U2907))</f>
        <v/>
      </c>
      <c r="Y2907" s="5" t="s">
        <v>2859</v>
      </c>
    </row>
    <row r="2908" spans="1:25" ht="25.5">
      <c r="A2908" s="5" t="s">
        <v>8845</v>
      </c>
      <c r="B2908" s="5" t="s">
        <v>2040</v>
      </c>
      <c r="C2908" s="5" t="s">
        <v>2041</v>
      </c>
      <c r="D2908" s="5" t="s">
        <v>118</v>
      </c>
      <c r="E2908" s="5" t="s">
        <v>2787</v>
      </c>
      <c r="F2908" s="5" t="s">
        <v>2758</v>
      </c>
      <c r="G2908" s="5">
        <v>1</v>
      </c>
      <c r="H2908" s="5" t="s">
        <v>2854</v>
      </c>
      <c r="I2908" s="5" t="str">
        <f>IF(INDEX(Manual_Review!$Q$6:$Q$238,U2908)="","",INDEX(Manual_Review!$Q$6:$Q$238,U2908))</f>
        <v/>
      </c>
      <c r="J2908" s="5" t="str">
        <f t="shared" si="90"/>
        <v>AI provisional</v>
      </c>
      <c r="K2908" s="5" t="str">
        <f t="shared" si="91"/>
        <v>Y</v>
      </c>
      <c r="L2908" s="5" t="s">
        <v>2051</v>
      </c>
      <c r="M2908" s="5" t="s">
        <v>8846</v>
      </c>
      <c r="N2908" s="5" t="s">
        <v>8847</v>
      </c>
      <c r="O2908" s="5" t="s">
        <v>3819</v>
      </c>
      <c r="P2908" s="5" t="s">
        <v>2992</v>
      </c>
      <c r="Q2908" s="11">
        <v>46306.5</v>
      </c>
      <c r="R2908" s="6"/>
      <c r="S2908" s="6"/>
      <c r="T2908" s="6"/>
      <c r="U2908" s="5">
        <f>MATCH(B2908,Manual_Review!$A$6:$A$238,0)</f>
        <v>182</v>
      </c>
      <c r="V2908" s="5" t="str">
        <f>IF(INDEX(Manual_Review!$G$6:$G$238,U2908)="","",INDEX(Manual_Review!$G$6:$G$238,U2908))</f>
        <v/>
      </c>
      <c r="W2908" s="11" t="str">
        <f>IF(INDEX(Manual_Review!$H$6:$H$238,U2908)="","",INDEX(Manual_Review!$H$6:$H$238,U2908))</f>
        <v/>
      </c>
      <c r="X2908" s="5" t="str">
        <f>IF(INDEX(Manual_Review!$I$6:$I$238,U2908)="","",INDEX(Manual_Review!$I$6:$I$238,U2908))</f>
        <v/>
      </c>
      <c r="Y2908" s="5" t="s">
        <v>2859</v>
      </c>
    </row>
    <row r="2909" spans="1:25" ht="38.25">
      <c r="A2909" s="5" t="s">
        <v>8848</v>
      </c>
      <c r="B2909" s="5" t="s">
        <v>2040</v>
      </c>
      <c r="C2909" s="5" t="s">
        <v>2041</v>
      </c>
      <c r="D2909" s="5" t="s">
        <v>118</v>
      </c>
      <c r="E2909" s="5" t="s">
        <v>2788</v>
      </c>
      <c r="F2909" s="5" t="s">
        <v>2758</v>
      </c>
      <c r="G2909" s="5">
        <v>1</v>
      </c>
      <c r="H2909" s="5" t="s">
        <v>2854</v>
      </c>
      <c r="I2909" s="5" t="str">
        <f>IF(INDEX(Manual_Review!$R$6:$R$238,U2909)="","",INDEX(Manual_Review!$R$6:$R$238,U2909))</f>
        <v/>
      </c>
      <c r="J2909" s="5" t="str">
        <f t="shared" si="90"/>
        <v>AI provisional</v>
      </c>
      <c r="K2909" s="5" t="str">
        <f t="shared" si="91"/>
        <v>Y</v>
      </c>
      <c r="L2909" s="5" t="s">
        <v>2051</v>
      </c>
      <c r="M2909" s="5" t="s">
        <v>8849</v>
      </c>
      <c r="N2909" s="5" t="s">
        <v>8850</v>
      </c>
      <c r="O2909" s="5" t="s">
        <v>3018</v>
      </c>
      <c r="P2909" s="5" t="s">
        <v>2992</v>
      </c>
      <c r="Q2909" s="11">
        <v>46306.5</v>
      </c>
      <c r="R2909" s="6"/>
      <c r="S2909" s="6"/>
      <c r="T2909" s="6"/>
      <c r="U2909" s="5">
        <f>MATCH(B2909,Manual_Review!$A$6:$A$238,0)</f>
        <v>182</v>
      </c>
      <c r="V2909" s="5" t="str">
        <f>IF(INDEX(Manual_Review!$G$6:$G$238,U2909)="","",INDEX(Manual_Review!$G$6:$G$238,U2909))</f>
        <v/>
      </c>
      <c r="W2909" s="11" t="str">
        <f>IF(INDEX(Manual_Review!$H$6:$H$238,U2909)="","",INDEX(Manual_Review!$H$6:$H$238,U2909))</f>
        <v/>
      </c>
      <c r="X2909" s="5" t="str">
        <f>IF(INDEX(Manual_Review!$I$6:$I$238,U2909)="","",INDEX(Manual_Review!$I$6:$I$238,U2909))</f>
        <v/>
      </c>
      <c r="Y2909" s="5" t="s">
        <v>2859</v>
      </c>
    </row>
    <row r="2910" spans="1:25" ht="25.5">
      <c r="A2910" s="5" t="s">
        <v>8851</v>
      </c>
      <c r="B2910" s="5" t="s">
        <v>2040</v>
      </c>
      <c r="C2910" s="5" t="s">
        <v>2041</v>
      </c>
      <c r="D2910" s="5" t="s">
        <v>118</v>
      </c>
      <c r="E2910" s="5" t="s">
        <v>2789</v>
      </c>
      <c r="F2910" s="5" t="s">
        <v>2758</v>
      </c>
      <c r="G2910" s="5">
        <v>1</v>
      </c>
      <c r="H2910" s="5" t="s">
        <v>2854</v>
      </c>
      <c r="I2910" s="5" t="str">
        <f>IF(INDEX(Manual_Review!$S$6:$S$238,U2910)="","",INDEX(Manual_Review!$S$6:$S$238,U2910))</f>
        <v/>
      </c>
      <c r="J2910" s="5" t="str">
        <f t="shared" si="90"/>
        <v>AI provisional</v>
      </c>
      <c r="K2910" s="5" t="str">
        <f t="shared" si="91"/>
        <v>Y</v>
      </c>
      <c r="L2910" s="5" t="s">
        <v>2051</v>
      </c>
      <c r="M2910" s="5" t="s">
        <v>8852</v>
      </c>
      <c r="N2910" s="5" t="s">
        <v>8853</v>
      </c>
      <c r="O2910" s="5" t="s">
        <v>3022</v>
      </c>
      <c r="P2910" s="5" t="s">
        <v>2992</v>
      </c>
      <c r="Q2910" s="11">
        <v>46306.5</v>
      </c>
      <c r="R2910" s="6"/>
      <c r="S2910" s="6"/>
      <c r="T2910" s="6"/>
      <c r="U2910" s="5">
        <f>MATCH(B2910,Manual_Review!$A$6:$A$238,0)</f>
        <v>182</v>
      </c>
      <c r="V2910" s="5" t="str">
        <f>IF(INDEX(Manual_Review!$G$6:$G$238,U2910)="","",INDEX(Manual_Review!$G$6:$G$238,U2910))</f>
        <v/>
      </c>
      <c r="W2910" s="11" t="str">
        <f>IF(INDEX(Manual_Review!$H$6:$H$238,U2910)="","",INDEX(Manual_Review!$H$6:$H$238,U2910))</f>
        <v/>
      </c>
      <c r="X2910" s="5" t="str">
        <f>IF(INDEX(Manual_Review!$I$6:$I$238,U2910)="","",INDEX(Manual_Review!$I$6:$I$238,U2910))</f>
        <v/>
      </c>
      <c r="Y2910" s="5" t="s">
        <v>2859</v>
      </c>
    </row>
    <row r="2911" spans="1:25" ht="25.5">
      <c r="A2911" s="5" t="s">
        <v>8854</v>
      </c>
      <c r="B2911" s="5" t="s">
        <v>2040</v>
      </c>
      <c r="C2911" s="5" t="s">
        <v>2041</v>
      </c>
      <c r="D2911" s="5" t="s">
        <v>118</v>
      </c>
      <c r="E2911" s="5" t="s">
        <v>2790</v>
      </c>
      <c r="F2911" s="5" t="s">
        <v>2760</v>
      </c>
      <c r="G2911" s="5">
        <v>1</v>
      </c>
      <c r="H2911" s="5" t="s">
        <v>2854</v>
      </c>
      <c r="I2911" s="5" t="str">
        <f>IF(INDEX(Manual_Review!$T$6:$T$238,U2911)="","",INDEX(Manual_Review!$T$6:$T$238,U2911))</f>
        <v/>
      </c>
      <c r="J2911" s="5" t="str">
        <f t="shared" si="90"/>
        <v>AI provisional</v>
      </c>
      <c r="K2911" s="5" t="str">
        <f t="shared" si="91"/>
        <v>Y</v>
      </c>
      <c r="L2911" s="5" t="s">
        <v>2051</v>
      </c>
      <c r="M2911" s="5" t="s">
        <v>8855</v>
      </c>
      <c r="N2911" s="5" t="s">
        <v>8856</v>
      </c>
      <c r="O2911" s="5" t="s">
        <v>3451</v>
      </c>
      <c r="P2911" s="5" t="s">
        <v>2992</v>
      </c>
      <c r="Q2911" s="11">
        <v>46306.5</v>
      </c>
      <c r="R2911" s="6"/>
      <c r="S2911" s="6"/>
      <c r="T2911" s="6"/>
      <c r="U2911" s="5">
        <f>MATCH(B2911,Manual_Review!$A$6:$A$238,0)</f>
        <v>182</v>
      </c>
      <c r="V2911" s="5" t="str">
        <f>IF(INDEX(Manual_Review!$G$6:$G$238,U2911)="","",INDEX(Manual_Review!$G$6:$G$238,U2911))</f>
        <v/>
      </c>
      <c r="W2911" s="11" t="str">
        <f>IF(INDEX(Manual_Review!$H$6:$H$238,U2911)="","",INDEX(Manual_Review!$H$6:$H$238,U2911))</f>
        <v/>
      </c>
      <c r="X2911" s="5" t="str">
        <f>IF(INDEX(Manual_Review!$I$6:$I$238,U2911)="","",INDEX(Manual_Review!$I$6:$I$238,U2911))</f>
        <v/>
      </c>
      <c r="Y2911" s="5" t="s">
        <v>2859</v>
      </c>
    </row>
    <row r="2912" spans="1:25" ht="25.5">
      <c r="A2912" s="5" t="s">
        <v>8857</v>
      </c>
      <c r="B2912" s="5" t="s">
        <v>2040</v>
      </c>
      <c r="C2912" s="5" t="s">
        <v>2041</v>
      </c>
      <c r="D2912" s="5" t="s">
        <v>118</v>
      </c>
      <c r="E2912" s="5" t="s">
        <v>2791</v>
      </c>
      <c r="F2912" s="5" t="s">
        <v>2760</v>
      </c>
      <c r="G2912" s="5">
        <v>1</v>
      </c>
      <c r="H2912" s="5" t="s">
        <v>2864</v>
      </c>
      <c r="I2912" s="5" t="str">
        <f>IF(INDEX(Manual_Review!$U$6:$U$238,U2912)="","",INDEX(Manual_Review!$U$6:$U$238,U2912))</f>
        <v/>
      </c>
      <c r="J2912" s="5" t="str">
        <f t="shared" si="90"/>
        <v>AI provisional</v>
      </c>
      <c r="K2912" s="5" t="str">
        <f t="shared" si="91"/>
        <v>U</v>
      </c>
      <c r="L2912" s="5" t="s">
        <v>2051</v>
      </c>
      <c r="M2912" s="5" t="s">
        <v>8858</v>
      </c>
      <c r="N2912" s="5" t="s">
        <v>8859</v>
      </c>
      <c r="O2912" s="5" t="s">
        <v>3030</v>
      </c>
      <c r="P2912" s="5" t="s">
        <v>2992</v>
      </c>
      <c r="Q2912" s="11">
        <v>46306.5</v>
      </c>
      <c r="R2912" s="6"/>
      <c r="S2912" s="6"/>
      <c r="T2912" s="6"/>
      <c r="U2912" s="5">
        <f>MATCH(B2912,Manual_Review!$A$6:$A$238,0)</f>
        <v>182</v>
      </c>
      <c r="V2912" s="5" t="str">
        <f>IF(INDEX(Manual_Review!$G$6:$G$238,U2912)="","",INDEX(Manual_Review!$G$6:$G$238,U2912))</f>
        <v/>
      </c>
      <c r="W2912" s="11" t="str">
        <f>IF(INDEX(Manual_Review!$H$6:$H$238,U2912)="","",INDEX(Manual_Review!$H$6:$H$238,U2912))</f>
        <v/>
      </c>
      <c r="X2912" s="5" t="str">
        <f>IF(INDEX(Manual_Review!$I$6:$I$238,U2912)="","",INDEX(Manual_Review!$I$6:$I$238,U2912))</f>
        <v/>
      </c>
      <c r="Y2912" s="5" t="s">
        <v>2859</v>
      </c>
    </row>
    <row r="2913" spans="1:25" ht="25.5">
      <c r="A2913" s="5" t="s">
        <v>8860</v>
      </c>
      <c r="B2913" s="5" t="s">
        <v>2040</v>
      </c>
      <c r="C2913" s="5" t="s">
        <v>2041</v>
      </c>
      <c r="D2913" s="5" t="s">
        <v>118</v>
      </c>
      <c r="E2913" s="5" t="s">
        <v>2792</v>
      </c>
      <c r="F2913" s="5" t="s">
        <v>2762</v>
      </c>
      <c r="G2913" s="5">
        <v>1</v>
      </c>
      <c r="H2913" s="5" t="s">
        <v>2854</v>
      </c>
      <c r="I2913" s="5" t="str">
        <f>IF(INDEX(Manual_Review!$V$6:$V$238,U2913)="","",INDEX(Manual_Review!$V$6:$V$238,U2913))</f>
        <v/>
      </c>
      <c r="J2913" s="5" t="str">
        <f t="shared" si="90"/>
        <v>AI provisional</v>
      </c>
      <c r="K2913" s="5" t="str">
        <f t="shared" si="91"/>
        <v>Y</v>
      </c>
      <c r="L2913" s="5" t="s">
        <v>2051</v>
      </c>
      <c r="M2913" s="5" t="s">
        <v>8861</v>
      </c>
      <c r="N2913" s="5" t="s">
        <v>8862</v>
      </c>
      <c r="O2913" s="5" t="s">
        <v>3034</v>
      </c>
      <c r="P2913" s="5" t="s">
        <v>2992</v>
      </c>
      <c r="Q2913" s="11">
        <v>46306.5</v>
      </c>
      <c r="R2913" s="6"/>
      <c r="S2913" s="6"/>
      <c r="T2913" s="6"/>
      <c r="U2913" s="5">
        <f>MATCH(B2913,Manual_Review!$A$6:$A$238,0)</f>
        <v>182</v>
      </c>
      <c r="V2913" s="5" t="str">
        <f>IF(INDEX(Manual_Review!$G$6:$G$238,U2913)="","",INDEX(Manual_Review!$G$6:$G$238,U2913))</f>
        <v/>
      </c>
      <c r="W2913" s="11" t="str">
        <f>IF(INDEX(Manual_Review!$H$6:$H$238,U2913)="","",INDEX(Manual_Review!$H$6:$H$238,U2913))</f>
        <v/>
      </c>
      <c r="X2913" s="5" t="str">
        <f>IF(INDEX(Manual_Review!$I$6:$I$238,U2913)="","",INDEX(Manual_Review!$I$6:$I$238,U2913))</f>
        <v/>
      </c>
      <c r="Y2913" s="5" t="s">
        <v>2859</v>
      </c>
    </row>
    <row r="2914" spans="1:25" ht="38.25">
      <c r="A2914" s="5" t="s">
        <v>8863</v>
      </c>
      <c r="B2914" s="5" t="s">
        <v>2040</v>
      </c>
      <c r="C2914" s="5" t="s">
        <v>2041</v>
      </c>
      <c r="D2914" s="5" t="s">
        <v>118</v>
      </c>
      <c r="E2914" s="5" t="s">
        <v>2793</v>
      </c>
      <c r="F2914" s="5" t="s">
        <v>2762</v>
      </c>
      <c r="G2914" s="5">
        <v>1</v>
      </c>
      <c r="H2914" s="5" t="s">
        <v>2854</v>
      </c>
      <c r="I2914" s="5" t="str">
        <f>IF(INDEX(Manual_Review!$W$6:$W$238,U2914)="","",INDEX(Manual_Review!$W$6:$W$238,U2914))</f>
        <v/>
      </c>
      <c r="J2914" s="5" t="str">
        <f t="shared" si="90"/>
        <v>AI provisional</v>
      </c>
      <c r="K2914" s="5" t="str">
        <f t="shared" si="91"/>
        <v>Y</v>
      </c>
      <c r="L2914" s="5" t="s">
        <v>2051</v>
      </c>
      <c r="M2914" s="5" t="s">
        <v>8864</v>
      </c>
      <c r="N2914" s="5" t="s">
        <v>8865</v>
      </c>
      <c r="O2914" s="5" t="s">
        <v>3038</v>
      </c>
      <c r="P2914" s="5" t="s">
        <v>2992</v>
      </c>
      <c r="Q2914" s="11">
        <v>46306.5</v>
      </c>
      <c r="R2914" s="6"/>
      <c r="S2914" s="6"/>
      <c r="T2914" s="6"/>
      <c r="U2914" s="5">
        <f>MATCH(B2914,Manual_Review!$A$6:$A$238,0)</f>
        <v>182</v>
      </c>
      <c r="V2914" s="5" t="str">
        <f>IF(INDEX(Manual_Review!$G$6:$G$238,U2914)="","",INDEX(Manual_Review!$G$6:$G$238,U2914))</f>
        <v/>
      </c>
      <c r="W2914" s="11" t="str">
        <f>IF(INDEX(Manual_Review!$H$6:$H$238,U2914)="","",INDEX(Manual_Review!$H$6:$H$238,U2914))</f>
        <v/>
      </c>
      <c r="X2914" s="5" t="str">
        <f>IF(INDEX(Manual_Review!$I$6:$I$238,U2914)="","",INDEX(Manual_Review!$I$6:$I$238,U2914))</f>
        <v/>
      </c>
      <c r="Y2914" s="5" t="s">
        <v>2859</v>
      </c>
    </row>
    <row r="2915" spans="1:25" ht="25.5">
      <c r="A2915" s="5" t="s">
        <v>8866</v>
      </c>
      <c r="B2915" s="5" t="s">
        <v>2040</v>
      </c>
      <c r="C2915" s="5" t="s">
        <v>2041</v>
      </c>
      <c r="D2915" s="5" t="s">
        <v>118</v>
      </c>
      <c r="E2915" s="5" t="s">
        <v>2794</v>
      </c>
      <c r="F2915" s="5" t="s">
        <v>2764</v>
      </c>
      <c r="G2915" s="5">
        <v>1</v>
      </c>
      <c r="H2915" s="5" t="s">
        <v>2854</v>
      </c>
      <c r="I2915" s="5" t="str">
        <f>IF(INDEX(Manual_Review!$X$6:$X$238,U2915)="","",INDEX(Manual_Review!$X$6:$X$238,U2915))</f>
        <v/>
      </c>
      <c r="J2915" s="5" t="str">
        <f t="shared" si="90"/>
        <v>AI provisional</v>
      </c>
      <c r="K2915" s="5" t="str">
        <f t="shared" si="91"/>
        <v>Y</v>
      </c>
      <c r="L2915" s="5" t="s">
        <v>2051</v>
      </c>
      <c r="M2915" s="5" t="s">
        <v>8867</v>
      </c>
      <c r="N2915" s="5" t="s">
        <v>8868</v>
      </c>
      <c r="O2915" s="5" t="s">
        <v>3042</v>
      </c>
      <c r="P2915" s="5" t="s">
        <v>2992</v>
      </c>
      <c r="Q2915" s="11">
        <v>46306.5</v>
      </c>
      <c r="R2915" s="6"/>
      <c r="S2915" s="6"/>
      <c r="T2915" s="6"/>
      <c r="U2915" s="5">
        <f>MATCH(B2915,Manual_Review!$A$6:$A$238,0)</f>
        <v>182</v>
      </c>
      <c r="V2915" s="5" t="str">
        <f>IF(INDEX(Manual_Review!$G$6:$G$238,U2915)="","",INDEX(Manual_Review!$G$6:$G$238,U2915))</f>
        <v/>
      </c>
      <c r="W2915" s="11" t="str">
        <f>IF(INDEX(Manual_Review!$H$6:$H$238,U2915)="","",INDEX(Manual_Review!$H$6:$H$238,U2915))</f>
        <v/>
      </c>
      <c r="X2915" s="5" t="str">
        <f>IF(INDEX(Manual_Review!$I$6:$I$238,U2915)="","",INDEX(Manual_Review!$I$6:$I$238,U2915))</f>
        <v/>
      </c>
      <c r="Y2915" s="5" t="s">
        <v>2859</v>
      </c>
    </row>
    <row r="2916" spans="1:25" ht="25.5">
      <c r="A2916" s="5" t="s">
        <v>8869</v>
      </c>
      <c r="B2916" s="5" t="s">
        <v>2040</v>
      </c>
      <c r="C2916" s="5" t="s">
        <v>2041</v>
      </c>
      <c r="D2916" s="5" t="s">
        <v>118</v>
      </c>
      <c r="E2916" s="5" t="s">
        <v>2795</v>
      </c>
      <c r="F2916" s="5" t="s">
        <v>2764</v>
      </c>
      <c r="G2916" s="5">
        <v>1</v>
      </c>
      <c r="H2916" s="5" t="s">
        <v>2854</v>
      </c>
      <c r="I2916" s="5" t="str">
        <f>IF(INDEX(Manual_Review!$Y$6:$Y$238,U2916)="","",INDEX(Manual_Review!$Y$6:$Y$238,U2916))</f>
        <v/>
      </c>
      <c r="J2916" s="5" t="str">
        <f t="shared" si="90"/>
        <v>AI provisional</v>
      </c>
      <c r="K2916" s="5" t="str">
        <f t="shared" si="91"/>
        <v>Y</v>
      </c>
      <c r="L2916" s="5" t="s">
        <v>2051</v>
      </c>
      <c r="M2916" s="5" t="s">
        <v>8870</v>
      </c>
      <c r="N2916" s="5" t="s">
        <v>8871</v>
      </c>
      <c r="O2916" s="5" t="s">
        <v>3046</v>
      </c>
      <c r="P2916" s="5" t="s">
        <v>2992</v>
      </c>
      <c r="Q2916" s="11">
        <v>46306.5</v>
      </c>
      <c r="R2916" s="6"/>
      <c r="S2916" s="6"/>
      <c r="T2916" s="6"/>
      <c r="U2916" s="5">
        <f>MATCH(B2916,Manual_Review!$A$6:$A$238,0)</f>
        <v>182</v>
      </c>
      <c r="V2916" s="5" t="str">
        <f>IF(INDEX(Manual_Review!$G$6:$G$238,U2916)="","",INDEX(Manual_Review!$G$6:$G$238,U2916))</f>
        <v/>
      </c>
      <c r="W2916" s="11" t="str">
        <f>IF(INDEX(Manual_Review!$H$6:$H$238,U2916)="","",INDEX(Manual_Review!$H$6:$H$238,U2916))</f>
        <v/>
      </c>
      <c r="X2916" s="5" t="str">
        <f>IF(INDEX(Manual_Review!$I$6:$I$238,U2916)="","",INDEX(Manual_Review!$I$6:$I$238,U2916))</f>
        <v/>
      </c>
      <c r="Y2916" s="5" t="s">
        <v>2859</v>
      </c>
    </row>
    <row r="2917" spans="1:25" ht="51">
      <c r="A2917" s="5" t="s">
        <v>8872</v>
      </c>
      <c r="B2917" s="5" t="s">
        <v>2040</v>
      </c>
      <c r="C2917" s="5" t="s">
        <v>2041</v>
      </c>
      <c r="D2917" s="5" t="s">
        <v>118</v>
      </c>
      <c r="E2917" s="5" t="s">
        <v>2796</v>
      </c>
      <c r="F2917" s="5" t="s">
        <v>2764</v>
      </c>
      <c r="G2917" s="5">
        <v>1</v>
      </c>
      <c r="H2917" s="5" t="s">
        <v>2864</v>
      </c>
      <c r="I2917" s="5" t="str">
        <f>IF(INDEX(Manual_Review!$Z$6:$Z$238,U2917)="","",INDEX(Manual_Review!$Z$6:$Z$238,U2917))</f>
        <v/>
      </c>
      <c r="J2917" s="5" t="str">
        <f t="shared" si="90"/>
        <v>AI provisional</v>
      </c>
      <c r="K2917" s="5" t="str">
        <f t="shared" si="91"/>
        <v>U</v>
      </c>
      <c r="L2917" s="5" t="s">
        <v>2051</v>
      </c>
      <c r="M2917" s="5" t="s">
        <v>8873</v>
      </c>
      <c r="N2917" s="5" t="s">
        <v>8874</v>
      </c>
      <c r="O2917" s="5" t="s">
        <v>3050</v>
      </c>
      <c r="P2917" s="5" t="s">
        <v>2992</v>
      </c>
      <c r="Q2917" s="11">
        <v>46306.5</v>
      </c>
      <c r="R2917" s="6"/>
      <c r="S2917" s="6"/>
      <c r="T2917" s="6"/>
      <c r="U2917" s="5">
        <f>MATCH(B2917,Manual_Review!$A$6:$A$238,0)</f>
        <v>182</v>
      </c>
      <c r="V2917" s="5" t="str">
        <f>IF(INDEX(Manual_Review!$G$6:$G$238,U2917)="","",INDEX(Manual_Review!$G$6:$G$238,U2917))</f>
        <v/>
      </c>
      <c r="W2917" s="11" t="str">
        <f>IF(INDEX(Manual_Review!$H$6:$H$238,U2917)="","",INDEX(Manual_Review!$H$6:$H$238,U2917))</f>
        <v/>
      </c>
      <c r="X2917" s="5" t="str">
        <f>IF(INDEX(Manual_Review!$I$6:$I$238,U2917)="","",INDEX(Manual_Review!$I$6:$I$238,U2917))</f>
        <v/>
      </c>
      <c r="Y2917" s="5" t="s">
        <v>2859</v>
      </c>
    </row>
    <row r="2918" spans="1:25" ht="25.5">
      <c r="A2918" s="5" t="s">
        <v>8875</v>
      </c>
      <c r="B2918" s="5" t="s">
        <v>81</v>
      </c>
      <c r="C2918" s="5" t="s">
        <v>2053</v>
      </c>
      <c r="D2918" s="5" t="s">
        <v>118</v>
      </c>
      <c r="E2918" s="5" t="s">
        <v>2781</v>
      </c>
      <c r="F2918" s="5" t="s">
        <v>2754</v>
      </c>
      <c r="G2918" s="5">
        <v>1</v>
      </c>
      <c r="H2918" s="5" t="s">
        <v>2854</v>
      </c>
      <c r="I2918" s="5" t="str">
        <f>IF(INDEX(Manual_Review!$K$6:$K$238,U2918)="","",INDEX(Manual_Review!$K$6:$K$238,U2918))</f>
        <v/>
      </c>
      <c r="J2918" s="5" t="str">
        <f t="shared" si="90"/>
        <v>AI provisional</v>
      </c>
      <c r="K2918" s="5" t="str">
        <f t="shared" si="91"/>
        <v>Y</v>
      </c>
      <c r="L2918" s="5" t="s">
        <v>2063</v>
      </c>
      <c r="M2918" s="5" t="s">
        <v>8876</v>
      </c>
      <c r="N2918" s="5" t="s">
        <v>8877</v>
      </c>
      <c r="O2918" s="5" t="s">
        <v>3089</v>
      </c>
      <c r="P2918" s="5" t="s">
        <v>3090</v>
      </c>
      <c r="Q2918" s="11">
        <v>46306.5</v>
      </c>
      <c r="R2918" s="6"/>
      <c r="S2918" s="6"/>
      <c r="T2918" s="6"/>
      <c r="U2918" s="5">
        <f>MATCH(B2918,Manual_Review!$A$6:$A$238,0)</f>
        <v>183</v>
      </c>
      <c r="V2918" s="5" t="str">
        <f>IF(INDEX(Manual_Review!$G$6:$G$238,U2918)="","",INDEX(Manual_Review!$G$6:$G$238,U2918))</f>
        <v/>
      </c>
      <c r="W2918" s="11" t="str">
        <f>IF(INDEX(Manual_Review!$H$6:$H$238,U2918)="","",INDEX(Manual_Review!$H$6:$H$238,U2918))</f>
        <v/>
      </c>
      <c r="X2918" s="5" t="str">
        <f>IF(INDEX(Manual_Review!$I$6:$I$238,U2918)="","",INDEX(Manual_Review!$I$6:$I$238,U2918))</f>
        <v/>
      </c>
      <c r="Y2918" s="5" t="s">
        <v>2859</v>
      </c>
    </row>
    <row r="2919" spans="1:25" ht="25.5">
      <c r="A2919" s="5" t="s">
        <v>8878</v>
      </c>
      <c r="B2919" s="5" t="s">
        <v>81</v>
      </c>
      <c r="C2919" s="5" t="s">
        <v>2053</v>
      </c>
      <c r="D2919" s="5" t="s">
        <v>118</v>
      </c>
      <c r="E2919" s="5" t="s">
        <v>2782</v>
      </c>
      <c r="F2919" s="5" t="s">
        <v>2754</v>
      </c>
      <c r="G2919" s="5">
        <v>1</v>
      </c>
      <c r="H2919" s="5" t="s">
        <v>2854</v>
      </c>
      <c r="I2919" s="5" t="str">
        <f>IF(INDEX(Manual_Review!$L$6:$L$238,U2919)="","",INDEX(Manual_Review!$L$6:$L$238,U2919))</f>
        <v/>
      </c>
      <c r="J2919" s="5" t="str">
        <f t="shared" si="90"/>
        <v>AI provisional</v>
      </c>
      <c r="K2919" s="5" t="str">
        <f t="shared" si="91"/>
        <v>Y</v>
      </c>
      <c r="L2919" s="5" t="s">
        <v>8879</v>
      </c>
      <c r="M2919" s="5" t="s">
        <v>8880</v>
      </c>
      <c r="N2919" s="5" t="s">
        <v>8881</v>
      </c>
      <c r="O2919" s="5" t="s">
        <v>3089</v>
      </c>
      <c r="P2919" s="5" t="s">
        <v>3090</v>
      </c>
      <c r="Q2919" s="11">
        <v>46306.5</v>
      </c>
      <c r="R2919" s="6"/>
      <c r="S2919" s="6"/>
      <c r="T2919" s="6"/>
      <c r="U2919" s="5">
        <f>MATCH(B2919,Manual_Review!$A$6:$A$238,0)</f>
        <v>183</v>
      </c>
      <c r="V2919" s="5" t="str">
        <f>IF(INDEX(Manual_Review!$G$6:$G$238,U2919)="","",INDEX(Manual_Review!$G$6:$G$238,U2919))</f>
        <v/>
      </c>
      <c r="W2919" s="11" t="str">
        <f>IF(INDEX(Manual_Review!$H$6:$H$238,U2919)="","",INDEX(Manual_Review!$H$6:$H$238,U2919))</f>
        <v/>
      </c>
      <c r="X2919" s="5" t="str">
        <f>IF(INDEX(Manual_Review!$I$6:$I$238,U2919)="","",INDEX(Manual_Review!$I$6:$I$238,U2919))</f>
        <v/>
      </c>
      <c r="Y2919" s="5" t="s">
        <v>2859</v>
      </c>
    </row>
    <row r="2920" spans="1:25" ht="25.5">
      <c r="A2920" s="5" t="s">
        <v>8882</v>
      </c>
      <c r="B2920" s="5" t="s">
        <v>81</v>
      </c>
      <c r="C2920" s="5" t="s">
        <v>2053</v>
      </c>
      <c r="D2920" s="5" t="s">
        <v>118</v>
      </c>
      <c r="E2920" s="5" t="s">
        <v>2783</v>
      </c>
      <c r="F2920" s="5" t="s">
        <v>2754</v>
      </c>
      <c r="G2920" s="5">
        <v>1</v>
      </c>
      <c r="H2920" s="5" t="s">
        <v>2854</v>
      </c>
      <c r="I2920" s="5" t="str">
        <f>IF(INDEX(Manual_Review!$M$6:$M$238,U2920)="","",INDEX(Manual_Review!$M$6:$M$238,U2920))</f>
        <v/>
      </c>
      <c r="J2920" s="5" t="str">
        <f t="shared" si="90"/>
        <v>AI provisional</v>
      </c>
      <c r="K2920" s="5" t="str">
        <f t="shared" si="91"/>
        <v>Y</v>
      </c>
      <c r="L2920" s="5" t="s">
        <v>8883</v>
      </c>
      <c r="M2920" s="5" t="s">
        <v>5672</v>
      </c>
      <c r="N2920" s="5" t="s">
        <v>8884</v>
      </c>
      <c r="O2920" s="5" t="s">
        <v>3089</v>
      </c>
      <c r="P2920" s="5" t="s">
        <v>3090</v>
      </c>
      <c r="Q2920" s="11">
        <v>46306.5</v>
      </c>
      <c r="R2920" s="6"/>
      <c r="S2920" s="6"/>
      <c r="T2920" s="6"/>
      <c r="U2920" s="5">
        <f>MATCH(B2920,Manual_Review!$A$6:$A$238,0)</f>
        <v>183</v>
      </c>
      <c r="V2920" s="5" t="str">
        <f>IF(INDEX(Manual_Review!$G$6:$G$238,U2920)="","",INDEX(Manual_Review!$G$6:$G$238,U2920))</f>
        <v/>
      </c>
      <c r="W2920" s="11" t="str">
        <f>IF(INDEX(Manual_Review!$H$6:$H$238,U2920)="","",INDEX(Manual_Review!$H$6:$H$238,U2920))</f>
        <v/>
      </c>
      <c r="X2920" s="5" t="str">
        <f>IF(INDEX(Manual_Review!$I$6:$I$238,U2920)="","",INDEX(Manual_Review!$I$6:$I$238,U2920))</f>
        <v/>
      </c>
      <c r="Y2920" s="5" t="s">
        <v>2859</v>
      </c>
    </row>
    <row r="2921" spans="1:25" ht="25.5">
      <c r="A2921" s="5" t="s">
        <v>8885</v>
      </c>
      <c r="B2921" s="5" t="s">
        <v>81</v>
      </c>
      <c r="C2921" s="5" t="s">
        <v>2053</v>
      </c>
      <c r="D2921" s="5" t="s">
        <v>118</v>
      </c>
      <c r="E2921" s="5" t="s">
        <v>2784</v>
      </c>
      <c r="F2921" s="5" t="s">
        <v>2756</v>
      </c>
      <c r="G2921" s="5">
        <v>1</v>
      </c>
      <c r="H2921" s="5" t="s">
        <v>2854</v>
      </c>
      <c r="I2921" s="5" t="str">
        <f>IF(INDEX(Manual_Review!$N$6:$N$238,U2921)="","",INDEX(Manual_Review!$N$6:$N$238,U2921))</f>
        <v/>
      </c>
      <c r="J2921" s="5" t="str">
        <f t="shared" si="90"/>
        <v>AI provisional</v>
      </c>
      <c r="K2921" s="5" t="str">
        <f t="shared" si="91"/>
        <v>Y</v>
      </c>
      <c r="L2921" s="5" t="s">
        <v>8886</v>
      </c>
      <c r="M2921" s="5" t="s">
        <v>8887</v>
      </c>
      <c r="N2921" s="5" t="s">
        <v>8888</v>
      </c>
      <c r="O2921" s="5" t="s">
        <v>3089</v>
      </c>
      <c r="P2921" s="5" t="s">
        <v>3090</v>
      </c>
      <c r="Q2921" s="11">
        <v>46306.5</v>
      </c>
      <c r="R2921" s="6"/>
      <c r="S2921" s="6"/>
      <c r="T2921" s="6"/>
      <c r="U2921" s="5">
        <f>MATCH(B2921,Manual_Review!$A$6:$A$238,0)</f>
        <v>183</v>
      </c>
      <c r="V2921" s="5" t="str">
        <f>IF(INDEX(Manual_Review!$G$6:$G$238,U2921)="","",INDEX(Manual_Review!$G$6:$G$238,U2921))</f>
        <v/>
      </c>
      <c r="W2921" s="11" t="str">
        <f>IF(INDEX(Manual_Review!$H$6:$H$238,U2921)="","",INDEX(Manual_Review!$H$6:$H$238,U2921))</f>
        <v/>
      </c>
      <c r="X2921" s="5" t="str">
        <f>IF(INDEX(Manual_Review!$I$6:$I$238,U2921)="","",INDEX(Manual_Review!$I$6:$I$238,U2921))</f>
        <v/>
      </c>
      <c r="Y2921" s="5" t="s">
        <v>2859</v>
      </c>
    </row>
    <row r="2922" spans="1:25" ht="25.5">
      <c r="A2922" s="5" t="s">
        <v>8889</v>
      </c>
      <c r="B2922" s="5" t="s">
        <v>81</v>
      </c>
      <c r="C2922" s="5" t="s">
        <v>2053</v>
      </c>
      <c r="D2922" s="5" t="s">
        <v>118</v>
      </c>
      <c r="E2922" s="5" t="s">
        <v>2785</v>
      </c>
      <c r="F2922" s="5" t="s">
        <v>2756</v>
      </c>
      <c r="G2922" s="5">
        <v>1</v>
      </c>
      <c r="H2922" s="5" t="s">
        <v>2854</v>
      </c>
      <c r="I2922" s="5" t="str">
        <f>IF(INDEX(Manual_Review!$O$6:$O$238,U2922)="","",INDEX(Manual_Review!$O$6:$O$238,U2922))</f>
        <v/>
      </c>
      <c r="J2922" s="5" t="str">
        <f t="shared" si="90"/>
        <v>AI provisional</v>
      </c>
      <c r="K2922" s="5" t="str">
        <f t="shared" si="91"/>
        <v>Y</v>
      </c>
      <c r="L2922" s="5" t="s">
        <v>8886</v>
      </c>
      <c r="M2922" s="5" t="s">
        <v>8890</v>
      </c>
      <c r="N2922" s="5" t="s">
        <v>8891</v>
      </c>
      <c r="O2922" s="5" t="s">
        <v>3089</v>
      </c>
      <c r="P2922" s="5" t="s">
        <v>3090</v>
      </c>
      <c r="Q2922" s="11">
        <v>46306.5</v>
      </c>
      <c r="R2922" s="6"/>
      <c r="S2922" s="6"/>
      <c r="T2922" s="6"/>
      <c r="U2922" s="5">
        <f>MATCH(B2922,Manual_Review!$A$6:$A$238,0)</f>
        <v>183</v>
      </c>
      <c r="V2922" s="5" t="str">
        <f>IF(INDEX(Manual_Review!$G$6:$G$238,U2922)="","",INDEX(Manual_Review!$G$6:$G$238,U2922))</f>
        <v/>
      </c>
      <c r="W2922" s="11" t="str">
        <f>IF(INDEX(Manual_Review!$H$6:$H$238,U2922)="","",INDEX(Manual_Review!$H$6:$H$238,U2922))</f>
        <v/>
      </c>
      <c r="X2922" s="5" t="str">
        <f>IF(INDEX(Manual_Review!$I$6:$I$238,U2922)="","",INDEX(Manual_Review!$I$6:$I$238,U2922))</f>
        <v/>
      </c>
      <c r="Y2922" s="5" t="s">
        <v>2859</v>
      </c>
    </row>
    <row r="2923" spans="1:25" ht="25.5">
      <c r="A2923" s="5" t="s">
        <v>8892</v>
      </c>
      <c r="B2923" s="5" t="s">
        <v>81</v>
      </c>
      <c r="C2923" s="5" t="s">
        <v>2053</v>
      </c>
      <c r="D2923" s="5" t="s">
        <v>118</v>
      </c>
      <c r="E2923" s="5" t="s">
        <v>2786</v>
      </c>
      <c r="F2923" s="5" t="s">
        <v>2756</v>
      </c>
      <c r="G2923" s="5">
        <v>1</v>
      </c>
      <c r="H2923" s="5" t="s">
        <v>2864</v>
      </c>
      <c r="I2923" s="5" t="str">
        <f>IF(INDEX(Manual_Review!$P$6:$P$238,U2923)="","",INDEX(Manual_Review!$P$6:$P$238,U2923))</f>
        <v/>
      </c>
      <c r="J2923" s="5" t="str">
        <f t="shared" si="90"/>
        <v>AI provisional</v>
      </c>
      <c r="K2923" s="5" t="str">
        <f t="shared" si="91"/>
        <v>U</v>
      </c>
      <c r="L2923" s="5" t="s">
        <v>8893</v>
      </c>
      <c r="M2923" s="5" t="s">
        <v>8894</v>
      </c>
      <c r="N2923" s="5" t="s">
        <v>8895</v>
      </c>
      <c r="O2923" s="5" t="s">
        <v>3089</v>
      </c>
      <c r="P2923" s="5" t="s">
        <v>3090</v>
      </c>
      <c r="Q2923" s="11">
        <v>46306.5</v>
      </c>
      <c r="R2923" s="6"/>
      <c r="S2923" s="6"/>
      <c r="T2923" s="6"/>
      <c r="U2923" s="5">
        <f>MATCH(B2923,Manual_Review!$A$6:$A$238,0)</f>
        <v>183</v>
      </c>
      <c r="V2923" s="5" t="str">
        <f>IF(INDEX(Manual_Review!$G$6:$G$238,U2923)="","",INDEX(Manual_Review!$G$6:$G$238,U2923))</f>
        <v/>
      </c>
      <c r="W2923" s="11" t="str">
        <f>IF(INDEX(Manual_Review!$H$6:$H$238,U2923)="","",INDEX(Manual_Review!$H$6:$H$238,U2923))</f>
        <v/>
      </c>
      <c r="X2923" s="5" t="str">
        <f>IF(INDEX(Manual_Review!$I$6:$I$238,U2923)="","",INDEX(Manual_Review!$I$6:$I$238,U2923))</f>
        <v/>
      </c>
      <c r="Y2923" s="5" t="s">
        <v>2859</v>
      </c>
    </row>
    <row r="2924" spans="1:25" ht="25.5">
      <c r="A2924" s="5" t="s">
        <v>8896</v>
      </c>
      <c r="B2924" s="5" t="s">
        <v>81</v>
      </c>
      <c r="C2924" s="5" t="s">
        <v>2053</v>
      </c>
      <c r="D2924" s="5" t="s">
        <v>118</v>
      </c>
      <c r="E2924" s="5" t="s">
        <v>2787</v>
      </c>
      <c r="F2924" s="5" t="s">
        <v>2758</v>
      </c>
      <c r="G2924" s="5">
        <v>1</v>
      </c>
      <c r="H2924" s="5" t="s">
        <v>2864</v>
      </c>
      <c r="I2924" s="5" t="str">
        <f>IF(INDEX(Manual_Review!$Q$6:$Q$238,U2924)="","",INDEX(Manual_Review!$Q$6:$Q$238,U2924))</f>
        <v/>
      </c>
      <c r="J2924" s="5" t="str">
        <f t="shared" si="90"/>
        <v>AI provisional</v>
      </c>
      <c r="K2924" s="5" t="str">
        <f t="shared" si="91"/>
        <v>U</v>
      </c>
      <c r="L2924" s="5" t="s">
        <v>8886</v>
      </c>
      <c r="M2924" s="5" t="s">
        <v>8890</v>
      </c>
      <c r="N2924" s="5" t="s">
        <v>8897</v>
      </c>
      <c r="O2924" s="5" t="s">
        <v>3089</v>
      </c>
      <c r="P2924" s="5" t="s">
        <v>3090</v>
      </c>
      <c r="Q2924" s="11">
        <v>46306.5</v>
      </c>
      <c r="R2924" s="6"/>
      <c r="S2924" s="6"/>
      <c r="T2924" s="6"/>
      <c r="U2924" s="5">
        <f>MATCH(B2924,Manual_Review!$A$6:$A$238,0)</f>
        <v>183</v>
      </c>
      <c r="V2924" s="5" t="str">
        <f>IF(INDEX(Manual_Review!$G$6:$G$238,U2924)="","",INDEX(Manual_Review!$G$6:$G$238,U2924))</f>
        <v/>
      </c>
      <c r="W2924" s="11" t="str">
        <f>IF(INDEX(Manual_Review!$H$6:$H$238,U2924)="","",INDEX(Manual_Review!$H$6:$H$238,U2924))</f>
        <v/>
      </c>
      <c r="X2924" s="5" t="str">
        <f>IF(INDEX(Manual_Review!$I$6:$I$238,U2924)="","",INDEX(Manual_Review!$I$6:$I$238,U2924))</f>
        <v/>
      </c>
      <c r="Y2924" s="5" t="s">
        <v>2859</v>
      </c>
    </row>
    <row r="2925" spans="1:25" ht="25.5">
      <c r="A2925" s="5" t="s">
        <v>8898</v>
      </c>
      <c r="B2925" s="5" t="s">
        <v>81</v>
      </c>
      <c r="C2925" s="5" t="s">
        <v>2053</v>
      </c>
      <c r="D2925" s="5" t="s">
        <v>118</v>
      </c>
      <c r="E2925" s="5" t="s">
        <v>2788</v>
      </c>
      <c r="F2925" s="5" t="s">
        <v>2758</v>
      </c>
      <c r="G2925" s="5">
        <v>1</v>
      </c>
      <c r="H2925" s="5" t="s">
        <v>2854</v>
      </c>
      <c r="I2925" s="5" t="str">
        <f>IF(INDEX(Manual_Review!$R$6:$R$238,U2925)="","",INDEX(Manual_Review!$R$6:$R$238,U2925))</f>
        <v/>
      </c>
      <c r="J2925" s="5" t="str">
        <f t="shared" si="90"/>
        <v>AI provisional</v>
      </c>
      <c r="K2925" s="5" t="str">
        <f t="shared" si="91"/>
        <v>Y</v>
      </c>
      <c r="L2925" s="5" t="s">
        <v>8899</v>
      </c>
      <c r="M2925" s="5" t="s">
        <v>8900</v>
      </c>
      <c r="N2925" s="5" t="s">
        <v>8901</v>
      </c>
      <c r="O2925" s="5" t="s">
        <v>3089</v>
      </c>
      <c r="P2925" s="5" t="s">
        <v>3090</v>
      </c>
      <c r="Q2925" s="11">
        <v>46306.5</v>
      </c>
      <c r="R2925" s="6"/>
      <c r="S2925" s="6"/>
      <c r="T2925" s="6"/>
      <c r="U2925" s="5">
        <f>MATCH(B2925,Manual_Review!$A$6:$A$238,0)</f>
        <v>183</v>
      </c>
      <c r="V2925" s="5" t="str">
        <f>IF(INDEX(Manual_Review!$G$6:$G$238,U2925)="","",INDEX(Manual_Review!$G$6:$G$238,U2925))</f>
        <v/>
      </c>
      <c r="W2925" s="11" t="str">
        <f>IF(INDEX(Manual_Review!$H$6:$H$238,U2925)="","",INDEX(Manual_Review!$H$6:$H$238,U2925))</f>
        <v/>
      </c>
      <c r="X2925" s="5" t="str">
        <f>IF(INDEX(Manual_Review!$I$6:$I$238,U2925)="","",INDEX(Manual_Review!$I$6:$I$238,U2925))</f>
        <v/>
      </c>
      <c r="Y2925" s="5" t="s">
        <v>2859</v>
      </c>
    </row>
    <row r="2926" spans="1:25" ht="25.5">
      <c r="A2926" s="5" t="s">
        <v>8902</v>
      </c>
      <c r="B2926" s="5" t="s">
        <v>81</v>
      </c>
      <c r="C2926" s="5" t="s">
        <v>2053</v>
      </c>
      <c r="D2926" s="5" t="s">
        <v>118</v>
      </c>
      <c r="E2926" s="5" t="s">
        <v>2789</v>
      </c>
      <c r="F2926" s="5" t="s">
        <v>2758</v>
      </c>
      <c r="G2926" s="5">
        <v>1</v>
      </c>
      <c r="H2926" s="5" t="s">
        <v>2854</v>
      </c>
      <c r="I2926" s="5" t="str">
        <f>IF(INDEX(Manual_Review!$S$6:$S$238,U2926)="","",INDEX(Manual_Review!$S$6:$S$238,U2926))</f>
        <v/>
      </c>
      <c r="J2926" s="5" t="str">
        <f t="shared" si="90"/>
        <v>AI provisional</v>
      </c>
      <c r="K2926" s="5" t="str">
        <f t="shared" si="91"/>
        <v>Y</v>
      </c>
      <c r="L2926" s="5" t="s">
        <v>8893</v>
      </c>
      <c r="M2926" s="5" t="s">
        <v>8903</v>
      </c>
      <c r="N2926" s="5" t="s">
        <v>8904</v>
      </c>
      <c r="O2926" s="5" t="s">
        <v>3089</v>
      </c>
      <c r="P2926" s="5" t="s">
        <v>3090</v>
      </c>
      <c r="Q2926" s="11">
        <v>46306.5</v>
      </c>
      <c r="R2926" s="6"/>
      <c r="S2926" s="6"/>
      <c r="T2926" s="6"/>
      <c r="U2926" s="5">
        <f>MATCH(B2926,Manual_Review!$A$6:$A$238,0)</f>
        <v>183</v>
      </c>
      <c r="V2926" s="5" t="str">
        <f>IF(INDEX(Manual_Review!$G$6:$G$238,U2926)="","",INDEX(Manual_Review!$G$6:$G$238,U2926))</f>
        <v/>
      </c>
      <c r="W2926" s="11" t="str">
        <f>IF(INDEX(Manual_Review!$H$6:$H$238,U2926)="","",INDEX(Manual_Review!$H$6:$H$238,U2926))</f>
        <v/>
      </c>
      <c r="X2926" s="5" t="str">
        <f>IF(INDEX(Manual_Review!$I$6:$I$238,U2926)="","",INDEX(Manual_Review!$I$6:$I$238,U2926))</f>
        <v/>
      </c>
      <c r="Y2926" s="5" t="s">
        <v>2859</v>
      </c>
    </row>
    <row r="2927" spans="1:25" ht="25.5">
      <c r="A2927" s="5" t="s">
        <v>8905</v>
      </c>
      <c r="B2927" s="5" t="s">
        <v>81</v>
      </c>
      <c r="C2927" s="5" t="s">
        <v>2053</v>
      </c>
      <c r="D2927" s="5" t="s">
        <v>118</v>
      </c>
      <c r="E2927" s="5" t="s">
        <v>2790</v>
      </c>
      <c r="F2927" s="5" t="s">
        <v>2760</v>
      </c>
      <c r="G2927" s="5">
        <v>1</v>
      </c>
      <c r="H2927" s="5" t="s">
        <v>2854</v>
      </c>
      <c r="I2927" s="5" t="str">
        <f>IF(INDEX(Manual_Review!$T$6:$T$238,U2927)="","",INDEX(Manual_Review!$T$6:$T$238,U2927))</f>
        <v/>
      </c>
      <c r="J2927" s="5" t="str">
        <f t="shared" si="90"/>
        <v>AI provisional</v>
      </c>
      <c r="K2927" s="5" t="str">
        <f t="shared" si="91"/>
        <v>Y</v>
      </c>
      <c r="L2927" s="5" t="s">
        <v>2063</v>
      </c>
      <c r="M2927" s="5" t="s">
        <v>8876</v>
      </c>
      <c r="N2927" s="5" t="s">
        <v>8906</v>
      </c>
      <c r="O2927" s="5" t="s">
        <v>3089</v>
      </c>
      <c r="P2927" s="5" t="s">
        <v>3090</v>
      </c>
      <c r="Q2927" s="11">
        <v>46306.5</v>
      </c>
      <c r="R2927" s="6"/>
      <c r="S2927" s="6"/>
      <c r="T2927" s="6"/>
      <c r="U2927" s="5">
        <f>MATCH(B2927,Manual_Review!$A$6:$A$238,0)</f>
        <v>183</v>
      </c>
      <c r="V2927" s="5" t="str">
        <f>IF(INDEX(Manual_Review!$G$6:$G$238,U2927)="","",INDEX(Manual_Review!$G$6:$G$238,U2927))</f>
        <v/>
      </c>
      <c r="W2927" s="11" t="str">
        <f>IF(INDEX(Manual_Review!$H$6:$H$238,U2927)="","",INDEX(Manual_Review!$H$6:$H$238,U2927))</f>
        <v/>
      </c>
      <c r="X2927" s="5" t="str">
        <f>IF(INDEX(Manual_Review!$I$6:$I$238,U2927)="","",INDEX(Manual_Review!$I$6:$I$238,U2927))</f>
        <v/>
      </c>
      <c r="Y2927" s="5" t="s">
        <v>2859</v>
      </c>
    </row>
    <row r="2928" spans="1:25" ht="25.5">
      <c r="A2928" s="5" t="s">
        <v>8907</v>
      </c>
      <c r="B2928" s="5" t="s">
        <v>81</v>
      </c>
      <c r="C2928" s="5" t="s">
        <v>2053</v>
      </c>
      <c r="D2928" s="5" t="s">
        <v>118</v>
      </c>
      <c r="E2928" s="5" t="s">
        <v>2791</v>
      </c>
      <c r="F2928" s="5" t="s">
        <v>2760</v>
      </c>
      <c r="G2928" s="5">
        <v>1</v>
      </c>
      <c r="H2928" s="5" t="s">
        <v>2854</v>
      </c>
      <c r="I2928" s="5" t="str">
        <f>IF(INDEX(Manual_Review!$U$6:$U$238,U2928)="","",INDEX(Manual_Review!$U$6:$U$238,U2928))</f>
        <v/>
      </c>
      <c r="J2928" s="5" t="str">
        <f t="shared" si="90"/>
        <v>AI provisional</v>
      </c>
      <c r="K2928" s="5" t="str">
        <f t="shared" si="91"/>
        <v>Y</v>
      </c>
      <c r="L2928" s="5" t="s">
        <v>2063</v>
      </c>
      <c r="M2928" s="5" t="s">
        <v>4043</v>
      </c>
      <c r="N2928" s="5" t="s">
        <v>8908</v>
      </c>
      <c r="O2928" s="5" t="s">
        <v>3089</v>
      </c>
      <c r="P2928" s="5" t="s">
        <v>3090</v>
      </c>
      <c r="Q2928" s="11">
        <v>46306.5</v>
      </c>
      <c r="R2928" s="6"/>
      <c r="S2928" s="6"/>
      <c r="T2928" s="6"/>
      <c r="U2928" s="5">
        <f>MATCH(B2928,Manual_Review!$A$6:$A$238,0)</f>
        <v>183</v>
      </c>
      <c r="V2928" s="5" t="str">
        <f>IF(INDEX(Manual_Review!$G$6:$G$238,U2928)="","",INDEX(Manual_Review!$G$6:$G$238,U2928))</f>
        <v/>
      </c>
      <c r="W2928" s="11" t="str">
        <f>IF(INDEX(Manual_Review!$H$6:$H$238,U2928)="","",INDEX(Manual_Review!$H$6:$H$238,U2928))</f>
        <v/>
      </c>
      <c r="X2928" s="5" t="str">
        <f>IF(INDEX(Manual_Review!$I$6:$I$238,U2928)="","",INDEX(Manual_Review!$I$6:$I$238,U2928))</f>
        <v/>
      </c>
      <c r="Y2928" s="5" t="s">
        <v>2859</v>
      </c>
    </row>
    <row r="2929" spans="1:25" ht="25.5">
      <c r="A2929" s="5" t="s">
        <v>8909</v>
      </c>
      <c r="B2929" s="5" t="s">
        <v>81</v>
      </c>
      <c r="C2929" s="5" t="s">
        <v>2053</v>
      </c>
      <c r="D2929" s="5" t="s">
        <v>118</v>
      </c>
      <c r="E2929" s="5" t="s">
        <v>2792</v>
      </c>
      <c r="F2929" s="5" t="s">
        <v>2762</v>
      </c>
      <c r="G2929" s="5">
        <v>1</v>
      </c>
      <c r="H2929" s="5" t="s">
        <v>2854</v>
      </c>
      <c r="I2929" s="5" t="str">
        <f>IF(INDEX(Manual_Review!$V$6:$V$238,U2929)="","",INDEX(Manual_Review!$V$6:$V$238,U2929))</f>
        <v/>
      </c>
      <c r="J2929" s="5" t="str">
        <f t="shared" si="90"/>
        <v>AI provisional</v>
      </c>
      <c r="K2929" s="5" t="str">
        <f t="shared" si="91"/>
        <v>Y</v>
      </c>
      <c r="L2929" s="5" t="s">
        <v>2063</v>
      </c>
      <c r="M2929" s="5" t="s">
        <v>8876</v>
      </c>
      <c r="N2929" s="5" t="s">
        <v>8910</v>
      </c>
      <c r="O2929" s="5" t="s">
        <v>3089</v>
      </c>
      <c r="P2929" s="5" t="s">
        <v>3090</v>
      </c>
      <c r="Q2929" s="11">
        <v>46306.5</v>
      </c>
      <c r="R2929" s="6"/>
      <c r="S2929" s="6"/>
      <c r="T2929" s="6"/>
      <c r="U2929" s="5">
        <f>MATCH(B2929,Manual_Review!$A$6:$A$238,0)</f>
        <v>183</v>
      </c>
      <c r="V2929" s="5" t="str">
        <f>IF(INDEX(Manual_Review!$G$6:$G$238,U2929)="","",INDEX(Manual_Review!$G$6:$G$238,U2929))</f>
        <v/>
      </c>
      <c r="W2929" s="11" t="str">
        <f>IF(INDEX(Manual_Review!$H$6:$H$238,U2929)="","",INDEX(Manual_Review!$H$6:$H$238,U2929))</f>
        <v/>
      </c>
      <c r="X2929" s="5" t="str">
        <f>IF(INDEX(Manual_Review!$I$6:$I$238,U2929)="","",INDEX(Manual_Review!$I$6:$I$238,U2929))</f>
        <v/>
      </c>
      <c r="Y2929" s="5" t="s">
        <v>2859</v>
      </c>
    </row>
    <row r="2930" spans="1:25" ht="25.5">
      <c r="A2930" s="5" t="s">
        <v>8911</v>
      </c>
      <c r="B2930" s="5" t="s">
        <v>81</v>
      </c>
      <c r="C2930" s="5" t="s">
        <v>2053</v>
      </c>
      <c r="D2930" s="5" t="s">
        <v>118</v>
      </c>
      <c r="E2930" s="5" t="s">
        <v>2793</v>
      </c>
      <c r="F2930" s="5" t="s">
        <v>2762</v>
      </c>
      <c r="G2930" s="5">
        <v>1</v>
      </c>
      <c r="H2930" s="5" t="s">
        <v>2854</v>
      </c>
      <c r="I2930" s="5" t="str">
        <f>IF(INDEX(Manual_Review!$W$6:$W$238,U2930)="","",INDEX(Manual_Review!$W$6:$W$238,U2930))</f>
        <v/>
      </c>
      <c r="J2930" s="5" t="str">
        <f t="shared" si="90"/>
        <v>AI provisional</v>
      </c>
      <c r="K2930" s="5" t="str">
        <f t="shared" si="91"/>
        <v>Y</v>
      </c>
      <c r="L2930" s="5" t="s">
        <v>2063</v>
      </c>
      <c r="M2930" s="5" t="s">
        <v>8912</v>
      </c>
      <c r="N2930" s="5" t="s">
        <v>8913</v>
      </c>
      <c r="O2930" s="5" t="s">
        <v>3089</v>
      </c>
      <c r="P2930" s="5" t="s">
        <v>3090</v>
      </c>
      <c r="Q2930" s="11">
        <v>46306.5</v>
      </c>
      <c r="R2930" s="6"/>
      <c r="S2930" s="6"/>
      <c r="T2930" s="6"/>
      <c r="U2930" s="5">
        <f>MATCH(B2930,Manual_Review!$A$6:$A$238,0)</f>
        <v>183</v>
      </c>
      <c r="V2930" s="5" t="str">
        <f>IF(INDEX(Manual_Review!$G$6:$G$238,U2930)="","",INDEX(Manual_Review!$G$6:$G$238,U2930))</f>
        <v/>
      </c>
      <c r="W2930" s="11" t="str">
        <f>IF(INDEX(Manual_Review!$H$6:$H$238,U2930)="","",INDEX(Manual_Review!$H$6:$H$238,U2930))</f>
        <v/>
      </c>
      <c r="X2930" s="5" t="str">
        <f>IF(INDEX(Manual_Review!$I$6:$I$238,U2930)="","",INDEX(Manual_Review!$I$6:$I$238,U2930))</f>
        <v/>
      </c>
      <c r="Y2930" s="5" t="s">
        <v>2859</v>
      </c>
    </row>
    <row r="2931" spans="1:25" ht="25.5">
      <c r="A2931" s="5" t="s">
        <v>8914</v>
      </c>
      <c r="B2931" s="5" t="s">
        <v>81</v>
      </c>
      <c r="C2931" s="5" t="s">
        <v>2053</v>
      </c>
      <c r="D2931" s="5" t="s">
        <v>118</v>
      </c>
      <c r="E2931" s="5" t="s">
        <v>2794</v>
      </c>
      <c r="F2931" s="5" t="s">
        <v>2764</v>
      </c>
      <c r="G2931" s="5">
        <v>1</v>
      </c>
      <c r="H2931" s="5" t="s">
        <v>2854</v>
      </c>
      <c r="I2931" s="5" t="str">
        <f>IF(INDEX(Manual_Review!$X$6:$X$238,U2931)="","",INDEX(Manual_Review!$X$6:$X$238,U2931))</f>
        <v/>
      </c>
      <c r="J2931" s="5" t="str">
        <f t="shared" si="90"/>
        <v>AI provisional</v>
      </c>
      <c r="K2931" s="5" t="str">
        <f t="shared" si="91"/>
        <v>Y</v>
      </c>
      <c r="L2931" s="5" t="s">
        <v>8899</v>
      </c>
      <c r="M2931" s="5" t="s">
        <v>8915</v>
      </c>
      <c r="N2931" s="5" t="s">
        <v>8916</v>
      </c>
      <c r="O2931" s="5" t="s">
        <v>3089</v>
      </c>
      <c r="P2931" s="5" t="s">
        <v>3090</v>
      </c>
      <c r="Q2931" s="11">
        <v>46306.5</v>
      </c>
      <c r="R2931" s="6"/>
      <c r="S2931" s="6"/>
      <c r="T2931" s="6"/>
      <c r="U2931" s="5">
        <f>MATCH(B2931,Manual_Review!$A$6:$A$238,0)</f>
        <v>183</v>
      </c>
      <c r="V2931" s="5" t="str">
        <f>IF(INDEX(Manual_Review!$G$6:$G$238,U2931)="","",INDEX(Manual_Review!$G$6:$G$238,U2931))</f>
        <v/>
      </c>
      <c r="W2931" s="11" t="str">
        <f>IF(INDEX(Manual_Review!$H$6:$H$238,U2931)="","",INDEX(Manual_Review!$H$6:$H$238,U2931))</f>
        <v/>
      </c>
      <c r="X2931" s="5" t="str">
        <f>IF(INDEX(Manual_Review!$I$6:$I$238,U2931)="","",INDEX(Manual_Review!$I$6:$I$238,U2931))</f>
        <v/>
      </c>
      <c r="Y2931" s="5" t="s">
        <v>2859</v>
      </c>
    </row>
    <row r="2932" spans="1:25" ht="25.5">
      <c r="A2932" s="5" t="s">
        <v>8917</v>
      </c>
      <c r="B2932" s="5" t="s">
        <v>81</v>
      </c>
      <c r="C2932" s="5" t="s">
        <v>2053</v>
      </c>
      <c r="D2932" s="5" t="s">
        <v>118</v>
      </c>
      <c r="E2932" s="5" t="s">
        <v>2795</v>
      </c>
      <c r="F2932" s="5" t="s">
        <v>2764</v>
      </c>
      <c r="G2932" s="5">
        <v>1</v>
      </c>
      <c r="H2932" s="5" t="s">
        <v>2854</v>
      </c>
      <c r="I2932" s="5" t="str">
        <f>IF(INDEX(Manual_Review!$Y$6:$Y$238,U2932)="","",INDEX(Manual_Review!$Y$6:$Y$238,U2932))</f>
        <v/>
      </c>
      <c r="J2932" s="5" t="str">
        <f t="shared" si="90"/>
        <v>AI provisional</v>
      </c>
      <c r="K2932" s="5" t="str">
        <f t="shared" si="91"/>
        <v>Y</v>
      </c>
      <c r="L2932" s="5" t="s">
        <v>8899</v>
      </c>
      <c r="M2932" s="5" t="s">
        <v>8918</v>
      </c>
      <c r="N2932" s="5" t="s">
        <v>8919</v>
      </c>
      <c r="O2932" s="5" t="s">
        <v>3089</v>
      </c>
      <c r="P2932" s="5" t="s">
        <v>3090</v>
      </c>
      <c r="Q2932" s="11">
        <v>46306.5</v>
      </c>
      <c r="R2932" s="6"/>
      <c r="S2932" s="6"/>
      <c r="T2932" s="6"/>
      <c r="U2932" s="5">
        <f>MATCH(B2932,Manual_Review!$A$6:$A$238,0)</f>
        <v>183</v>
      </c>
      <c r="V2932" s="5" t="str">
        <f>IF(INDEX(Manual_Review!$G$6:$G$238,U2932)="","",INDEX(Manual_Review!$G$6:$G$238,U2932))</f>
        <v/>
      </c>
      <c r="W2932" s="11" t="str">
        <f>IF(INDEX(Manual_Review!$H$6:$H$238,U2932)="","",INDEX(Manual_Review!$H$6:$H$238,U2932))</f>
        <v/>
      </c>
      <c r="X2932" s="5" t="str">
        <f>IF(INDEX(Manual_Review!$I$6:$I$238,U2932)="","",INDEX(Manual_Review!$I$6:$I$238,U2932))</f>
        <v/>
      </c>
      <c r="Y2932" s="5" t="s">
        <v>2859</v>
      </c>
    </row>
    <row r="2933" spans="1:25" ht="25.5">
      <c r="A2933" s="5" t="s">
        <v>8920</v>
      </c>
      <c r="B2933" s="5" t="s">
        <v>81</v>
      </c>
      <c r="C2933" s="5" t="s">
        <v>2053</v>
      </c>
      <c r="D2933" s="5" t="s">
        <v>118</v>
      </c>
      <c r="E2933" s="5" t="s">
        <v>2796</v>
      </c>
      <c r="F2933" s="5" t="s">
        <v>2764</v>
      </c>
      <c r="G2933" s="5">
        <v>1</v>
      </c>
      <c r="H2933" s="5" t="s">
        <v>2854</v>
      </c>
      <c r="I2933" s="5" t="str">
        <f>IF(INDEX(Manual_Review!$Z$6:$Z$238,U2933)="","",INDEX(Manual_Review!$Z$6:$Z$238,U2933))</f>
        <v/>
      </c>
      <c r="J2933" s="5" t="str">
        <f t="shared" si="90"/>
        <v>AI provisional</v>
      </c>
      <c r="K2933" s="5" t="str">
        <f t="shared" si="91"/>
        <v>Y</v>
      </c>
      <c r="L2933" s="5" t="s">
        <v>8899</v>
      </c>
      <c r="M2933" s="5" t="s">
        <v>8921</v>
      </c>
      <c r="N2933" s="5" t="s">
        <v>8922</v>
      </c>
      <c r="O2933" s="5" t="s">
        <v>3089</v>
      </c>
      <c r="P2933" s="5" t="s">
        <v>3090</v>
      </c>
      <c r="Q2933" s="11">
        <v>46306.5</v>
      </c>
      <c r="R2933" s="6"/>
      <c r="S2933" s="6"/>
      <c r="T2933" s="6"/>
      <c r="U2933" s="5">
        <f>MATCH(B2933,Manual_Review!$A$6:$A$238,0)</f>
        <v>183</v>
      </c>
      <c r="V2933" s="5" t="str">
        <f>IF(INDEX(Manual_Review!$G$6:$G$238,U2933)="","",INDEX(Manual_Review!$G$6:$G$238,U2933))</f>
        <v/>
      </c>
      <c r="W2933" s="11" t="str">
        <f>IF(INDEX(Manual_Review!$H$6:$H$238,U2933)="","",INDEX(Manual_Review!$H$6:$H$238,U2933))</f>
        <v/>
      </c>
      <c r="X2933" s="5" t="str">
        <f>IF(INDEX(Manual_Review!$I$6:$I$238,U2933)="","",INDEX(Manual_Review!$I$6:$I$238,U2933))</f>
        <v/>
      </c>
      <c r="Y2933" s="5" t="s">
        <v>2859</v>
      </c>
    </row>
    <row r="2934" spans="1:25" ht="25.5">
      <c r="A2934" s="5" t="s">
        <v>8923</v>
      </c>
      <c r="B2934" s="5" t="s">
        <v>2066</v>
      </c>
      <c r="C2934" s="5" t="s">
        <v>2067</v>
      </c>
      <c r="D2934" s="5" t="s">
        <v>118</v>
      </c>
      <c r="E2934" s="5" t="s">
        <v>2781</v>
      </c>
      <c r="F2934" s="5" t="s">
        <v>2754</v>
      </c>
      <c r="G2934" s="5">
        <v>1</v>
      </c>
      <c r="H2934" s="5" t="s">
        <v>2854</v>
      </c>
      <c r="I2934" s="5" t="str">
        <f>IF(INDEX(Manual_Review!$K$6:$K$238,U2934)="","",INDEX(Manual_Review!$K$6:$K$238,U2934))</f>
        <v/>
      </c>
      <c r="J2934" s="5" t="str">
        <f t="shared" si="90"/>
        <v>AI provisional</v>
      </c>
      <c r="K2934" s="5" t="str">
        <f t="shared" si="91"/>
        <v>Y</v>
      </c>
      <c r="L2934" s="5" t="s">
        <v>2078</v>
      </c>
      <c r="M2934" s="5" t="s">
        <v>8924</v>
      </c>
      <c r="N2934" s="5" t="s">
        <v>8925</v>
      </c>
      <c r="O2934" s="5" t="s">
        <v>2991</v>
      </c>
      <c r="P2934" s="5" t="s">
        <v>2992</v>
      </c>
      <c r="Q2934" s="11">
        <v>46306.5</v>
      </c>
      <c r="R2934" s="6"/>
      <c r="S2934" s="6"/>
      <c r="T2934" s="6"/>
      <c r="U2934" s="5">
        <f>MATCH(B2934,Manual_Review!$A$6:$A$238,0)</f>
        <v>184</v>
      </c>
      <c r="V2934" s="5" t="str">
        <f>IF(INDEX(Manual_Review!$G$6:$G$238,U2934)="","",INDEX(Manual_Review!$G$6:$G$238,U2934))</f>
        <v/>
      </c>
      <c r="W2934" s="11" t="str">
        <f>IF(INDEX(Manual_Review!$H$6:$H$238,U2934)="","",INDEX(Manual_Review!$H$6:$H$238,U2934))</f>
        <v/>
      </c>
      <c r="X2934" s="5" t="str">
        <f>IF(INDEX(Manual_Review!$I$6:$I$238,U2934)="","",INDEX(Manual_Review!$I$6:$I$238,U2934))</f>
        <v/>
      </c>
      <c r="Y2934" s="5" t="s">
        <v>2859</v>
      </c>
    </row>
    <row r="2935" spans="1:25" ht="25.5">
      <c r="A2935" s="5" t="s">
        <v>8926</v>
      </c>
      <c r="B2935" s="5" t="s">
        <v>2066</v>
      </c>
      <c r="C2935" s="5" t="s">
        <v>2067</v>
      </c>
      <c r="D2935" s="5" t="s">
        <v>118</v>
      </c>
      <c r="E2935" s="5" t="s">
        <v>2782</v>
      </c>
      <c r="F2935" s="5" t="s">
        <v>2754</v>
      </c>
      <c r="G2935" s="5">
        <v>1</v>
      </c>
      <c r="H2935" s="5" t="s">
        <v>2854</v>
      </c>
      <c r="I2935" s="5" t="str">
        <f>IF(INDEX(Manual_Review!$L$6:$L$238,U2935)="","",INDEX(Manual_Review!$L$6:$L$238,U2935))</f>
        <v/>
      </c>
      <c r="J2935" s="5" t="str">
        <f t="shared" si="90"/>
        <v>AI provisional</v>
      </c>
      <c r="K2935" s="5" t="str">
        <f t="shared" si="91"/>
        <v>Y</v>
      </c>
      <c r="L2935" s="5" t="s">
        <v>2078</v>
      </c>
      <c r="M2935" s="5" t="s">
        <v>8927</v>
      </c>
      <c r="N2935" s="5" t="s">
        <v>8928</v>
      </c>
      <c r="O2935" s="5" t="s">
        <v>2996</v>
      </c>
      <c r="P2935" s="5" t="s">
        <v>2992</v>
      </c>
      <c r="Q2935" s="11">
        <v>46306.5</v>
      </c>
      <c r="R2935" s="6"/>
      <c r="S2935" s="6"/>
      <c r="T2935" s="6"/>
      <c r="U2935" s="5">
        <f>MATCH(B2935,Manual_Review!$A$6:$A$238,0)</f>
        <v>184</v>
      </c>
      <c r="V2935" s="5" t="str">
        <f>IF(INDEX(Manual_Review!$G$6:$G$238,U2935)="","",INDEX(Manual_Review!$G$6:$G$238,U2935))</f>
        <v/>
      </c>
      <c r="W2935" s="11" t="str">
        <f>IF(INDEX(Manual_Review!$H$6:$H$238,U2935)="","",INDEX(Manual_Review!$H$6:$H$238,U2935))</f>
        <v/>
      </c>
      <c r="X2935" s="5" t="str">
        <f>IF(INDEX(Manual_Review!$I$6:$I$238,U2935)="","",INDEX(Manual_Review!$I$6:$I$238,U2935))</f>
        <v/>
      </c>
      <c r="Y2935" s="5" t="s">
        <v>2859</v>
      </c>
    </row>
    <row r="2936" spans="1:25" ht="25.5">
      <c r="A2936" s="5" t="s">
        <v>8929</v>
      </c>
      <c r="B2936" s="5" t="s">
        <v>2066</v>
      </c>
      <c r="C2936" s="5" t="s">
        <v>2067</v>
      </c>
      <c r="D2936" s="5" t="s">
        <v>118</v>
      </c>
      <c r="E2936" s="5" t="s">
        <v>2783</v>
      </c>
      <c r="F2936" s="5" t="s">
        <v>2754</v>
      </c>
      <c r="G2936" s="5">
        <v>1</v>
      </c>
      <c r="H2936" s="5" t="s">
        <v>2854</v>
      </c>
      <c r="I2936" s="5" t="str">
        <f>IF(INDEX(Manual_Review!$M$6:$M$238,U2936)="","",INDEX(Manual_Review!$M$6:$M$238,U2936))</f>
        <v/>
      </c>
      <c r="J2936" s="5" t="str">
        <f t="shared" si="90"/>
        <v>AI provisional</v>
      </c>
      <c r="K2936" s="5" t="str">
        <f t="shared" si="91"/>
        <v>Y</v>
      </c>
      <c r="L2936" s="5" t="s">
        <v>2078</v>
      </c>
      <c r="M2936" s="5" t="s">
        <v>8930</v>
      </c>
      <c r="N2936" s="5" t="s">
        <v>8931</v>
      </c>
      <c r="O2936" s="5" t="s">
        <v>3000</v>
      </c>
      <c r="P2936" s="5" t="s">
        <v>2992</v>
      </c>
      <c r="Q2936" s="11">
        <v>46306.5</v>
      </c>
      <c r="R2936" s="6"/>
      <c r="S2936" s="6"/>
      <c r="T2936" s="6"/>
      <c r="U2936" s="5">
        <f>MATCH(B2936,Manual_Review!$A$6:$A$238,0)</f>
        <v>184</v>
      </c>
      <c r="V2936" s="5" t="str">
        <f>IF(INDEX(Manual_Review!$G$6:$G$238,U2936)="","",INDEX(Manual_Review!$G$6:$G$238,U2936))</f>
        <v/>
      </c>
      <c r="W2936" s="11" t="str">
        <f>IF(INDEX(Manual_Review!$H$6:$H$238,U2936)="","",INDEX(Manual_Review!$H$6:$H$238,U2936))</f>
        <v/>
      </c>
      <c r="X2936" s="5" t="str">
        <f>IF(INDEX(Manual_Review!$I$6:$I$238,U2936)="","",INDEX(Manual_Review!$I$6:$I$238,U2936))</f>
        <v/>
      </c>
      <c r="Y2936" s="5" t="s">
        <v>2859</v>
      </c>
    </row>
    <row r="2937" spans="1:25" ht="25.5">
      <c r="A2937" s="5" t="s">
        <v>8932</v>
      </c>
      <c r="B2937" s="5" t="s">
        <v>2066</v>
      </c>
      <c r="C2937" s="5" t="s">
        <v>2067</v>
      </c>
      <c r="D2937" s="5" t="s">
        <v>118</v>
      </c>
      <c r="E2937" s="5" t="s">
        <v>2784</v>
      </c>
      <c r="F2937" s="5" t="s">
        <v>2756</v>
      </c>
      <c r="G2937" s="5">
        <v>1</v>
      </c>
      <c r="H2937" s="5" t="s">
        <v>2854</v>
      </c>
      <c r="I2937" s="5" t="str">
        <f>IF(INDEX(Manual_Review!$N$6:$N$238,U2937)="","",INDEX(Manual_Review!$N$6:$N$238,U2937))</f>
        <v/>
      </c>
      <c r="J2937" s="5" t="str">
        <f t="shared" si="90"/>
        <v>AI provisional</v>
      </c>
      <c r="K2937" s="5" t="str">
        <f t="shared" si="91"/>
        <v>Y</v>
      </c>
      <c r="L2937" s="5" t="s">
        <v>2078</v>
      </c>
      <c r="M2937" s="5" t="s">
        <v>8933</v>
      </c>
      <c r="N2937" s="5" t="s">
        <v>8934</v>
      </c>
      <c r="O2937" s="5" t="s">
        <v>3004</v>
      </c>
      <c r="P2937" s="5" t="s">
        <v>2992</v>
      </c>
      <c r="Q2937" s="11">
        <v>46306.5</v>
      </c>
      <c r="R2937" s="6"/>
      <c r="S2937" s="6"/>
      <c r="T2937" s="6"/>
      <c r="U2937" s="5">
        <f>MATCH(B2937,Manual_Review!$A$6:$A$238,0)</f>
        <v>184</v>
      </c>
      <c r="V2937" s="5" t="str">
        <f>IF(INDEX(Manual_Review!$G$6:$G$238,U2937)="","",INDEX(Manual_Review!$G$6:$G$238,U2937))</f>
        <v/>
      </c>
      <c r="W2937" s="11" t="str">
        <f>IF(INDEX(Manual_Review!$H$6:$H$238,U2937)="","",INDEX(Manual_Review!$H$6:$H$238,U2937))</f>
        <v/>
      </c>
      <c r="X2937" s="5" t="str">
        <f>IF(INDEX(Manual_Review!$I$6:$I$238,U2937)="","",INDEX(Manual_Review!$I$6:$I$238,U2937))</f>
        <v/>
      </c>
      <c r="Y2937" s="5" t="s">
        <v>2859</v>
      </c>
    </row>
    <row r="2938" spans="1:25" ht="25.5">
      <c r="A2938" s="5" t="s">
        <v>8935</v>
      </c>
      <c r="B2938" s="5" t="s">
        <v>2066</v>
      </c>
      <c r="C2938" s="5" t="s">
        <v>2067</v>
      </c>
      <c r="D2938" s="5" t="s">
        <v>118</v>
      </c>
      <c r="E2938" s="5" t="s">
        <v>2785</v>
      </c>
      <c r="F2938" s="5" t="s">
        <v>2756</v>
      </c>
      <c r="G2938" s="5">
        <v>1</v>
      </c>
      <c r="H2938" s="5" t="s">
        <v>2864</v>
      </c>
      <c r="I2938" s="5" t="str">
        <f>IF(INDEX(Manual_Review!$O$6:$O$238,U2938)="","",INDEX(Manual_Review!$O$6:$O$238,U2938))</f>
        <v/>
      </c>
      <c r="J2938" s="5" t="str">
        <f t="shared" si="90"/>
        <v>AI provisional</v>
      </c>
      <c r="K2938" s="5" t="str">
        <f t="shared" si="91"/>
        <v>U</v>
      </c>
      <c r="L2938" s="5" t="s">
        <v>2078</v>
      </c>
      <c r="M2938" s="5" t="s">
        <v>8933</v>
      </c>
      <c r="N2938" s="5" t="s">
        <v>8934</v>
      </c>
      <c r="O2938" s="5" t="s">
        <v>3006</v>
      </c>
      <c r="P2938" s="5" t="s">
        <v>2992</v>
      </c>
      <c r="Q2938" s="11">
        <v>46306.5</v>
      </c>
      <c r="R2938" s="6"/>
      <c r="S2938" s="6"/>
      <c r="T2938" s="6"/>
      <c r="U2938" s="5">
        <f>MATCH(B2938,Manual_Review!$A$6:$A$238,0)</f>
        <v>184</v>
      </c>
      <c r="V2938" s="5" t="str">
        <f>IF(INDEX(Manual_Review!$G$6:$G$238,U2938)="","",INDEX(Manual_Review!$G$6:$G$238,U2938))</f>
        <v/>
      </c>
      <c r="W2938" s="11" t="str">
        <f>IF(INDEX(Manual_Review!$H$6:$H$238,U2938)="","",INDEX(Manual_Review!$H$6:$H$238,U2938))</f>
        <v/>
      </c>
      <c r="X2938" s="5" t="str">
        <f>IF(INDEX(Manual_Review!$I$6:$I$238,U2938)="","",INDEX(Manual_Review!$I$6:$I$238,U2938))</f>
        <v/>
      </c>
      <c r="Y2938" s="5" t="s">
        <v>2859</v>
      </c>
    </row>
    <row r="2939" spans="1:25" ht="38.25">
      <c r="A2939" s="5" t="s">
        <v>8936</v>
      </c>
      <c r="B2939" s="5" t="s">
        <v>2066</v>
      </c>
      <c r="C2939" s="5" t="s">
        <v>2067</v>
      </c>
      <c r="D2939" s="5" t="s">
        <v>118</v>
      </c>
      <c r="E2939" s="5" t="s">
        <v>2786</v>
      </c>
      <c r="F2939" s="5" t="s">
        <v>2756</v>
      </c>
      <c r="G2939" s="5">
        <v>1</v>
      </c>
      <c r="H2939" s="5" t="s">
        <v>2864</v>
      </c>
      <c r="I2939" s="5" t="str">
        <f>IF(INDEX(Manual_Review!$P$6:$P$238,U2939)="","",INDEX(Manual_Review!$P$6:$P$238,U2939))</f>
        <v/>
      </c>
      <c r="J2939" s="5" t="str">
        <f t="shared" si="90"/>
        <v>AI provisional</v>
      </c>
      <c r="K2939" s="5" t="str">
        <f t="shared" si="91"/>
        <v>U</v>
      </c>
      <c r="L2939" s="5" t="s">
        <v>2078</v>
      </c>
      <c r="M2939" s="5" t="s">
        <v>8937</v>
      </c>
      <c r="N2939" s="5" t="s">
        <v>8938</v>
      </c>
      <c r="O2939" s="5" t="s">
        <v>3010</v>
      </c>
      <c r="P2939" s="5" t="s">
        <v>2992</v>
      </c>
      <c r="Q2939" s="11">
        <v>46306.5</v>
      </c>
      <c r="R2939" s="6"/>
      <c r="S2939" s="6"/>
      <c r="T2939" s="6"/>
      <c r="U2939" s="5">
        <f>MATCH(B2939,Manual_Review!$A$6:$A$238,0)</f>
        <v>184</v>
      </c>
      <c r="V2939" s="5" t="str">
        <f>IF(INDEX(Manual_Review!$G$6:$G$238,U2939)="","",INDEX(Manual_Review!$G$6:$G$238,U2939))</f>
        <v/>
      </c>
      <c r="W2939" s="11" t="str">
        <f>IF(INDEX(Manual_Review!$H$6:$H$238,U2939)="","",INDEX(Manual_Review!$H$6:$H$238,U2939))</f>
        <v/>
      </c>
      <c r="X2939" s="5" t="str">
        <f>IF(INDEX(Manual_Review!$I$6:$I$238,U2939)="","",INDEX(Manual_Review!$I$6:$I$238,U2939))</f>
        <v/>
      </c>
      <c r="Y2939" s="5" t="s">
        <v>2859</v>
      </c>
    </row>
    <row r="2940" spans="1:25" ht="25.5">
      <c r="A2940" s="5" t="s">
        <v>8939</v>
      </c>
      <c r="B2940" s="5" t="s">
        <v>2066</v>
      </c>
      <c r="C2940" s="5" t="s">
        <v>2067</v>
      </c>
      <c r="D2940" s="5" t="s">
        <v>118</v>
      </c>
      <c r="E2940" s="5" t="s">
        <v>2787</v>
      </c>
      <c r="F2940" s="5" t="s">
        <v>2758</v>
      </c>
      <c r="G2940" s="5">
        <v>1</v>
      </c>
      <c r="H2940" s="5" t="s">
        <v>2864</v>
      </c>
      <c r="I2940" s="5" t="str">
        <f>IF(INDEX(Manual_Review!$Q$6:$Q$238,U2940)="","",INDEX(Manual_Review!$Q$6:$Q$238,U2940))</f>
        <v/>
      </c>
      <c r="J2940" s="5" t="str">
        <f t="shared" si="90"/>
        <v>AI provisional</v>
      </c>
      <c r="K2940" s="5" t="str">
        <f t="shared" si="91"/>
        <v>U</v>
      </c>
      <c r="L2940" s="5" t="s">
        <v>2078</v>
      </c>
      <c r="M2940" s="5" t="s">
        <v>8940</v>
      </c>
      <c r="N2940" s="5" t="s">
        <v>8941</v>
      </c>
      <c r="O2940" s="5" t="s">
        <v>3014</v>
      </c>
      <c r="P2940" s="5" t="s">
        <v>2992</v>
      </c>
      <c r="Q2940" s="11">
        <v>46306.5</v>
      </c>
      <c r="R2940" s="6"/>
      <c r="S2940" s="6"/>
      <c r="T2940" s="6"/>
      <c r="U2940" s="5">
        <f>MATCH(B2940,Manual_Review!$A$6:$A$238,0)</f>
        <v>184</v>
      </c>
      <c r="V2940" s="5" t="str">
        <f>IF(INDEX(Manual_Review!$G$6:$G$238,U2940)="","",INDEX(Manual_Review!$G$6:$G$238,U2940))</f>
        <v/>
      </c>
      <c r="W2940" s="11" t="str">
        <f>IF(INDEX(Manual_Review!$H$6:$H$238,U2940)="","",INDEX(Manual_Review!$H$6:$H$238,U2940))</f>
        <v/>
      </c>
      <c r="X2940" s="5" t="str">
        <f>IF(INDEX(Manual_Review!$I$6:$I$238,U2940)="","",INDEX(Manual_Review!$I$6:$I$238,U2940))</f>
        <v/>
      </c>
      <c r="Y2940" s="5" t="s">
        <v>2859</v>
      </c>
    </row>
    <row r="2941" spans="1:25" ht="63.75">
      <c r="A2941" s="5" t="s">
        <v>8942</v>
      </c>
      <c r="B2941" s="5" t="s">
        <v>2066</v>
      </c>
      <c r="C2941" s="5" t="s">
        <v>2067</v>
      </c>
      <c r="D2941" s="5" t="s">
        <v>118</v>
      </c>
      <c r="E2941" s="5" t="s">
        <v>2788</v>
      </c>
      <c r="F2941" s="5" t="s">
        <v>2758</v>
      </c>
      <c r="G2941" s="5">
        <v>1</v>
      </c>
      <c r="H2941" s="5" t="s">
        <v>2854</v>
      </c>
      <c r="I2941" s="5" t="str">
        <f>IF(INDEX(Manual_Review!$R$6:$R$238,U2941)="","",INDEX(Manual_Review!$R$6:$R$238,U2941))</f>
        <v/>
      </c>
      <c r="J2941" s="5" t="str">
        <f t="shared" si="90"/>
        <v>AI provisional</v>
      </c>
      <c r="K2941" s="5" t="str">
        <f t="shared" si="91"/>
        <v>Y</v>
      </c>
      <c r="L2941" s="5" t="s">
        <v>2078</v>
      </c>
      <c r="M2941" s="5" t="s">
        <v>8943</v>
      </c>
      <c r="N2941" s="5" t="s">
        <v>8944</v>
      </c>
      <c r="O2941" s="5" t="s">
        <v>3018</v>
      </c>
      <c r="P2941" s="5" t="s">
        <v>2992</v>
      </c>
      <c r="Q2941" s="11">
        <v>46306.5</v>
      </c>
      <c r="R2941" s="6"/>
      <c r="S2941" s="6"/>
      <c r="T2941" s="6"/>
      <c r="U2941" s="5">
        <f>MATCH(B2941,Manual_Review!$A$6:$A$238,0)</f>
        <v>184</v>
      </c>
      <c r="V2941" s="5" t="str">
        <f>IF(INDEX(Manual_Review!$G$6:$G$238,U2941)="","",INDEX(Manual_Review!$G$6:$G$238,U2941))</f>
        <v/>
      </c>
      <c r="W2941" s="11" t="str">
        <f>IF(INDEX(Manual_Review!$H$6:$H$238,U2941)="","",INDEX(Manual_Review!$H$6:$H$238,U2941))</f>
        <v/>
      </c>
      <c r="X2941" s="5" t="str">
        <f>IF(INDEX(Manual_Review!$I$6:$I$238,U2941)="","",INDEX(Manual_Review!$I$6:$I$238,U2941))</f>
        <v/>
      </c>
      <c r="Y2941" s="5" t="s">
        <v>2859</v>
      </c>
    </row>
    <row r="2942" spans="1:25" ht="51">
      <c r="A2942" s="5" t="s">
        <v>8945</v>
      </c>
      <c r="B2942" s="5" t="s">
        <v>2066</v>
      </c>
      <c r="C2942" s="5" t="s">
        <v>2067</v>
      </c>
      <c r="D2942" s="5" t="s">
        <v>118</v>
      </c>
      <c r="E2942" s="5" t="s">
        <v>2789</v>
      </c>
      <c r="F2942" s="5" t="s">
        <v>2758</v>
      </c>
      <c r="G2942" s="5">
        <v>1</v>
      </c>
      <c r="H2942" s="5" t="s">
        <v>2854</v>
      </c>
      <c r="I2942" s="5" t="str">
        <f>IF(INDEX(Manual_Review!$S$6:$S$238,U2942)="","",INDEX(Manual_Review!$S$6:$S$238,U2942))</f>
        <v/>
      </c>
      <c r="J2942" s="5" t="str">
        <f t="shared" si="90"/>
        <v>AI provisional</v>
      </c>
      <c r="K2942" s="5" t="str">
        <f t="shared" si="91"/>
        <v>Y</v>
      </c>
      <c r="L2942" s="5" t="s">
        <v>2078</v>
      </c>
      <c r="M2942" s="5" t="s">
        <v>8946</v>
      </c>
      <c r="N2942" s="5" t="s">
        <v>8947</v>
      </c>
      <c r="O2942" s="5" t="s">
        <v>3022</v>
      </c>
      <c r="P2942" s="5" t="s">
        <v>2992</v>
      </c>
      <c r="Q2942" s="11">
        <v>46306.5</v>
      </c>
      <c r="R2942" s="6"/>
      <c r="S2942" s="6"/>
      <c r="T2942" s="6"/>
      <c r="U2942" s="5">
        <f>MATCH(B2942,Manual_Review!$A$6:$A$238,0)</f>
        <v>184</v>
      </c>
      <c r="V2942" s="5" t="str">
        <f>IF(INDEX(Manual_Review!$G$6:$G$238,U2942)="","",INDEX(Manual_Review!$G$6:$G$238,U2942))</f>
        <v/>
      </c>
      <c r="W2942" s="11" t="str">
        <f>IF(INDEX(Manual_Review!$H$6:$H$238,U2942)="","",INDEX(Manual_Review!$H$6:$H$238,U2942))</f>
        <v/>
      </c>
      <c r="X2942" s="5" t="str">
        <f>IF(INDEX(Manual_Review!$I$6:$I$238,U2942)="","",INDEX(Manual_Review!$I$6:$I$238,U2942))</f>
        <v/>
      </c>
      <c r="Y2942" s="5" t="s">
        <v>2859</v>
      </c>
    </row>
    <row r="2943" spans="1:25" ht="25.5">
      <c r="A2943" s="5" t="s">
        <v>8948</v>
      </c>
      <c r="B2943" s="5" t="s">
        <v>2066</v>
      </c>
      <c r="C2943" s="5" t="s">
        <v>2067</v>
      </c>
      <c r="D2943" s="5" t="s">
        <v>118</v>
      </c>
      <c r="E2943" s="5" t="s">
        <v>2790</v>
      </c>
      <c r="F2943" s="5" t="s">
        <v>2760</v>
      </c>
      <c r="G2943" s="5">
        <v>1</v>
      </c>
      <c r="H2943" s="5" t="s">
        <v>2854</v>
      </c>
      <c r="I2943" s="5" t="str">
        <f>IF(INDEX(Manual_Review!$T$6:$T$238,U2943)="","",INDEX(Manual_Review!$T$6:$T$238,U2943))</f>
        <v/>
      </c>
      <c r="J2943" s="5" t="str">
        <f t="shared" si="90"/>
        <v>AI provisional</v>
      </c>
      <c r="K2943" s="5" t="str">
        <f t="shared" si="91"/>
        <v>Y</v>
      </c>
      <c r="L2943" s="5" t="s">
        <v>2078</v>
      </c>
      <c r="M2943" s="5" t="s">
        <v>8949</v>
      </c>
      <c r="N2943" s="5" t="s">
        <v>8950</v>
      </c>
      <c r="O2943" s="5" t="s">
        <v>3451</v>
      </c>
      <c r="P2943" s="5" t="s">
        <v>2992</v>
      </c>
      <c r="Q2943" s="11">
        <v>46306.5</v>
      </c>
      <c r="R2943" s="6"/>
      <c r="S2943" s="6"/>
      <c r="T2943" s="6"/>
      <c r="U2943" s="5">
        <f>MATCH(B2943,Manual_Review!$A$6:$A$238,0)</f>
        <v>184</v>
      </c>
      <c r="V2943" s="5" t="str">
        <f>IF(INDEX(Manual_Review!$G$6:$G$238,U2943)="","",INDEX(Manual_Review!$G$6:$G$238,U2943))</f>
        <v/>
      </c>
      <c r="W2943" s="11" t="str">
        <f>IF(INDEX(Manual_Review!$H$6:$H$238,U2943)="","",INDEX(Manual_Review!$H$6:$H$238,U2943))</f>
        <v/>
      </c>
      <c r="X2943" s="5" t="str">
        <f>IF(INDEX(Manual_Review!$I$6:$I$238,U2943)="","",INDEX(Manual_Review!$I$6:$I$238,U2943))</f>
        <v/>
      </c>
      <c r="Y2943" s="5" t="s">
        <v>2859</v>
      </c>
    </row>
    <row r="2944" spans="1:25" ht="25.5">
      <c r="A2944" s="5" t="s">
        <v>8951</v>
      </c>
      <c r="B2944" s="5" t="s">
        <v>2066</v>
      </c>
      <c r="C2944" s="5" t="s">
        <v>2067</v>
      </c>
      <c r="D2944" s="5" t="s">
        <v>118</v>
      </c>
      <c r="E2944" s="5" t="s">
        <v>2791</v>
      </c>
      <c r="F2944" s="5" t="s">
        <v>2760</v>
      </c>
      <c r="G2944" s="5">
        <v>1</v>
      </c>
      <c r="H2944" s="5" t="s">
        <v>2854</v>
      </c>
      <c r="I2944" s="5" t="str">
        <f>IF(INDEX(Manual_Review!$U$6:$U$238,U2944)="","",INDEX(Manual_Review!$U$6:$U$238,U2944))</f>
        <v/>
      </c>
      <c r="J2944" s="5" t="str">
        <f t="shared" si="90"/>
        <v>AI provisional</v>
      </c>
      <c r="K2944" s="5" t="str">
        <f t="shared" si="91"/>
        <v>Y</v>
      </c>
      <c r="L2944" s="5" t="s">
        <v>2078</v>
      </c>
      <c r="M2944" s="5" t="s">
        <v>8952</v>
      </c>
      <c r="N2944" s="5" t="s">
        <v>8953</v>
      </c>
      <c r="O2944" s="5" t="s">
        <v>3832</v>
      </c>
      <c r="P2944" s="5" t="s">
        <v>2992</v>
      </c>
      <c r="Q2944" s="11">
        <v>46306.5</v>
      </c>
      <c r="R2944" s="6"/>
      <c r="S2944" s="6"/>
      <c r="T2944" s="6"/>
      <c r="U2944" s="5">
        <f>MATCH(B2944,Manual_Review!$A$6:$A$238,0)</f>
        <v>184</v>
      </c>
      <c r="V2944" s="5" t="str">
        <f>IF(INDEX(Manual_Review!$G$6:$G$238,U2944)="","",INDEX(Manual_Review!$G$6:$G$238,U2944))</f>
        <v/>
      </c>
      <c r="W2944" s="11" t="str">
        <f>IF(INDEX(Manual_Review!$H$6:$H$238,U2944)="","",INDEX(Manual_Review!$H$6:$H$238,U2944))</f>
        <v/>
      </c>
      <c r="X2944" s="5" t="str">
        <f>IF(INDEX(Manual_Review!$I$6:$I$238,U2944)="","",INDEX(Manual_Review!$I$6:$I$238,U2944))</f>
        <v/>
      </c>
      <c r="Y2944" s="5" t="s">
        <v>2859</v>
      </c>
    </row>
    <row r="2945" spans="1:25" ht="25.5">
      <c r="A2945" s="5" t="s">
        <v>8954</v>
      </c>
      <c r="B2945" s="5" t="s">
        <v>2066</v>
      </c>
      <c r="C2945" s="5" t="s">
        <v>2067</v>
      </c>
      <c r="D2945" s="5" t="s">
        <v>118</v>
      </c>
      <c r="E2945" s="5" t="s">
        <v>2792</v>
      </c>
      <c r="F2945" s="5" t="s">
        <v>2762</v>
      </c>
      <c r="G2945" s="5">
        <v>1</v>
      </c>
      <c r="H2945" s="5" t="s">
        <v>2854</v>
      </c>
      <c r="I2945" s="5" t="str">
        <f>IF(INDEX(Manual_Review!$V$6:$V$238,U2945)="","",INDEX(Manual_Review!$V$6:$V$238,U2945))</f>
        <v/>
      </c>
      <c r="J2945" s="5" t="str">
        <f t="shared" si="90"/>
        <v>AI provisional</v>
      </c>
      <c r="K2945" s="5" t="str">
        <f t="shared" si="91"/>
        <v>Y</v>
      </c>
      <c r="L2945" s="5" t="s">
        <v>2078</v>
      </c>
      <c r="M2945" s="5" t="s">
        <v>8955</v>
      </c>
      <c r="N2945" s="5" t="s">
        <v>8956</v>
      </c>
      <c r="O2945" s="5" t="s">
        <v>3034</v>
      </c>
      <c r="P2945" s="5" t="s">
        <v>2992</v>
      </c>
      <c r="Q2945" s="11">
        <v>46306.5</v>
      </c>
      <c r="R2945" s="6"/>
      <c r="S2945" s="6"/>
      <c r="T2945" s="6"/>
      <c r="U2945" s="5">
        <f>MATCH(B2945,Manual_Review!$A$6:$A$238,0)</f>
        <v>184</v>
      </c>
      <c r="V2945" s="5" t="str">
        <f>IF(INDEX(Manual_Review!$G$6:$G$238,U2945)="","",INDEX(Manual_Review!$G$6:$G$238,U2945))</f>
        <v/>
      </c>
      <c r="W2945" s="11" t="str">
        <f>IF(INDEX(Manual_Review!$H$6:$H$238,U2945)="","",INDEX(Manual_Review!$H$6:$H$238,U2945))</f>
        <v/>
      </c>
      <c r="X2945" s="5" t="str">
        <f>IF(INDEX(Manual_Review!$I$6:$I$238,U2945)="","",INDEX(Manual_Review!$I$6:$I$238,U2945))</f>
        <v/>
      </c>
      <c r="Y2945" s="5" t="s">
        <v>2859</v>
      </c>
    </row>
    <row r="2946" spans="1:25" ht="51">
      <c r="A2946" s="5" t="s">
        <v>8957</v>
      </c>
      <c r="B2946" s="5" t="s">
        <v>2066</v>
      </c>
      <c r="C2946" s="5" t="s">
        <v>2067</v>
      </c>
      <c r="D2946" s="5" t="s">
        <v>118</v>
      </c>
      <c r="E2946" s="5" t="s">
        <v>2793</v>
      </c>
      <c r="F2946" s="5" t="s">
        <v>2762</v>
      </c>
      <c r="G2946" s="5">
        <v>1</v>
      </c>
      <c r="H2946" s="5" t="s">
        <v>2854</v>
      </c>
      <c r="I2946" s="5" t="str">
        <f>IF(INDEX(Manual_Review!$W$6:$W$238,U2946)="","",INDEX(Manual_Review!$W$6:$W$238,U2946))</f>
        <v/>
      </c>
      <c r="J2946" s="5" t="str">
        <f t="shared" si="90"/>
        <v>AI provisional</v>
      </c>
      <c r="K2946" s="5" t="str">
        <f t="shared" si="91"/>
        <v>Y</v>
      </c>
      <c r="L2946" s="5" t="s">
        <v>2078</v>
      </c>
      <c r="M2946" s="5" t="s">
        <v>8958</v>
      </c>
      <c r="N2946" s="5" t="s">
        <v>8959</v>
      </c>
      <c r="O2946" s="5" t="s">
        <v>3038</v>
      </c>
      <c r="P2946" s="5" t="s">
        <v>2992</v>
      </c>
      <c r="Q2946" s="11">
        <v>46306.5</v>
      </c>
      <c r="R2946" s="6"/>
      <c r="S2946" s="6"/>
      <c r="T2946" s="6"/>
      <c r="U2946" s="5">
        <f>MATCH(B2946,Manual_Review!$A$6:$A$238,0)</f>
        <v>184</v>
      </c>
      <c r="V2946" s="5" t="str">
        <f>IF(INDEX(Manual_Review!$G$6:$G$238,U2946)="","",INDEX(Manual_Review!$G$6:$G$238,U2946))</f>
        <v/>
      </c>
      <c r="W2946" s="11" t="str">
        <f>IF(INDEX(Manual_Review!$H$6:$H$238,U2946)="","",INDEX(Manual_Review!$H$6:$H$238,U2946))</f>
        <v/>
      </c>
      <c r="X2946" s="5" t="str">
        <f>IF(INDEX(Manual_Review!$I$6:$I$238,U2946)="","",INDEX(Manual_Review!$I$6:$I$238,U2946))</f>
        <v/>
      </c>
      <c r="Y2946" s="5" t="s">
        <v>2859</v>
      </c>
    </row>
    <row r="2947" spans="1:25" ht="25.5">
      <c r="A2947" s="5" t="s">
        <v>8960</v>
      </c>
      <c r="B2947" s="5" t="s">
        <v>2066</v>
      </c>
      <c r="C2947" s="5" t="s">
        <v>2067</v>
      </c>
      <c r="D2947" s="5" t="s">
        <v>118</v>
      </c>
      <c r="E2947" s="5" t="s">
        <v>2794</v>
      </c>
      <c r="F2947" s="5" t="s">
        <v>2764</v>
      </c>
      <c r="G2947" s="5">
        <v>1</v>
      </c>
      <c r="H2947" s="5" t="s">
        <v>2854</v>
      </c>
      <c r="I2947" s="5" t="str">
        <f>IF(INDEX(Manual_Review!$X$6:$X$238,U2947)="","",INDEX(Manual_Review!$X$6:$X$238,U2947))</f>
        <v/>
      </c>
      <c r="J2947" s="5" t="str">
        <f t="shared" si="90"/>
        <v>AI provisional</v>
      </c>
      <c r="K2947" s="5" t="str">
        <f t="shared" si="91"/>
        <v>Y</v>
      </c>
      <c r="L2947" s="5" t="s">
        <v>2078</v>
      </c>
      <c r="M2947" s="5" t="s">
        <v>8961</v>
      </c>
      <c r="N2947" s="5" t="s">
        <v>8962</v>
      </c>
      <c r="O2947" s="5" t="s">
        <v>3042</v>
      </c>
      <c r="P2947" s="5" t="s">
        <v>2992</v>
      </c>
      <c r="Q2947" s="11">
        <v>46306.5</v>
      </c>
      <c r="R2947" s="6"/>
      <c r="S2947" s="6"/>
      <c r="T2947" s="6"/>
      <c r="U2947" s="5">
        <f>MATCH(B2947,Manual_Review!$A$6:$A$238,0)</f>
        <v>184</v>
      </c>
      <c r="V2947" s="5" t="str">
        <f>IF(INDEX(Manual_Review!$G$6:$G$238,U2947)="","",INDEX(Manual_Review!$G$6:$G$238,U2947))</f>
        <v/>
      </c>
      <c r="W2947" s="11" t="str">
        <f>IF(INDEX(Manual_Review!$H$6:$H$238,U2947)="","",INDEX(Manual_Review!$H$6:$H$238,U2947))</f>
        <v/>
      </c>
      <c r="X2947" s="5" t="str">
        <f>IF(INDEX(Manual_Review!$I$6:$I$238,U2947)="","",INDEX(Manual_Review!$I$6:$I$238,U2947))</f>
        <v/>
      </c>
      <c r="Y2947" s="5" t="s">
        <v>2859</v>
      </c>
    </row>
    <row r="2948" spans="1:25" ht="25.5">
      <c r="A2948" s="5" t="s">
        <v>8963</v>
      </c>
      <c r="B2948" s="5" t="s">
        <v>2066</v>
      </c>
      <c r="C2948" s="5" t="s">
        <v>2067</v>
      </c>
      <c r="D2948" s="5" t="s">
        <v>118</v>
      </c>
      <c r="E2948" s="5" t="s">
        <v>2795</v>
      </c>
      <c r="F2948" s="5" t="s">
        <v>2764</v>
      </c>
      <c r="G2948" s="5">
        <v>1</v>
      </c>
      <c r="H2948" s="5" t="s">
        <v>2864</v>
      </c>
      <c r="I2948" s="5" t="str">
        <f>IF(INDEX(Manual_Review!$Y$6:$Y$238,U2948)="","",INDEX(Manual_Review!$Y$6:$Y$238,U2948))</f>
        <v/>
      </c>
      <c r="J2948" s="5" t="str">
        <f t="shared" si="90"/>
        <v>AI provisional</v>
      </c>
      <c r="K2948" s="5" t="str">
        <f t="shared" si="91"/>
        <v>U</v>
      </c>
      <c r="L2948" s="5" t="s">
        <v>2078</v>
      </c>
      <c r="M2948" s="5" t="s">
        <v>8964</v>
      </c>
      <c r="N2948" s="5" t="s">
        <v>8965</v>
      </c>
      <c r="O2948" s="5" t="s">
        <v>3469</v>
      </c>
      <c r="P2948" s="5" t="s">
        <v>2992</v>
      </c>
      <c r="Q2948" s="11">
        <v>46306.5</v>
      </c>
      <c r="R2948" s="6"/>
      <c r="S2948" s="6"/>
      <c r="T2948" s="6"/>
      <c r="U2948" s="5">
        <f>MATCH(B2948,Manual_Review!$A$6:$A$238,0)</f>
        <v>184</v>
      </c>
      <c r="V2948" s="5" t="str">
        <f>IF(INDEX(Manual_Review!$G$6:$G$238,U2948)="","",INDEX(Manual_Review!$G$6:$G$238,U2948))</f>
        <v/>
      </c>
      <c r="W2948" s="11" t="str">
        <f>IF(INDEX(Manual_Review!$H$6:$H$238,U2948)="","",INDEX(Manual_Review!$H$6:$H$238,U2948))</f>
        <v/>
      </c>
      <c r="X2948" s="5" t="str">
        <f>IF(INDEX(Manual_Review!$I$6:$I$238,U2948)="","",INDEX(Manual_Review!$I$6:$I$238,U2948))</f>
        <v/>
      </c>
      <c r="Y2948" s="5" t="s">
        <v>2859</v>
      </c>
    </row>
    <row r="2949" spans="1:25" ht="51">
      <c r="A2949" s="5" t="s">
        <v>8966</v>
      </c>
      <c r="B2949" s="5" t="s">
        <v>2066</v>
      </c>
      <c r="C2949" s="5" t="s">
        <v>2067</v>
      </c>
      <c r="D2949" s="5" t="s">
        <v>118</v>
      </c>
      <c r="E2949" s="5" t="s">
        <v>2796</v>
      </c>
      <c r="F2949" s="5" t="s">
        <v>2764</v>
      </c>
      <c r="G2949" s="5">
        <v>1</v>
      </c>
      <c r="H2949" s="5" t="s">
        <v>2864</v>
      </c>
      <c r="I2949" s="5" t="str">
        <f>IF(INDEX(Manual_Review!$Z$6:$Z$238,U2949)="","",INDEX(Manual_Review!$Z$6:$Z$238,U2949))</f>
        <v/>
      </c>
      <c r="J2949" s="5" t="str">
        <f t="shared" si="90"/>
        <v>AI provisional</v>
      </c>
      <c r="K2949" s="5" t="str">
        <f t="shared" si="91"/>
        <v>U</v>
      </c>
      <c r="L2949" s="5" t="s">
        <v>2078</v>
      </c>
      <c r="M2949" s="5" t="s">
        <v>8967</v>
      </c>
      <c r="N2949" s="5" t="s">
        <v>8968</v>
      </c>
      <c r="O2949" s="5" t="s">
        <v>3050</v>
      </c>
      <c r="P2949" s="5" t="s">
        <v>2992</v>
      </c>
      <c r="Q2949" s="11">
        <v>46306.5</v>
      </c>
      <c r="R2949" s="6"/>
      <c r="S2949" s="6"/>
      <c r="T2949" s="6"/>
      <c r="U2949" s="5">
        <f>MATCH(B2949,Manual_Review!$A$6:$A$238,0)</f>
        <v>184</v>
      </c>
      <c r="V2949" s="5" t="str">
        <f>IF(INDEX(Manual_Review!$G$6:$G$238,U2949)="","",INDEX(Manual_Review!$G$6:$G$238,U2949))</f>
        <v/>
      </c>
      <c r="W2949" s="11" t="str">
        <f>IF(INDEX(Manual_Review!$H$6:$H$238,U2949)="","",INDEX(Manual_Review!$H$6:$H$238,U2949))</f>
        <v/>
      </c>
      <c r="X2949" s="5" t="str">
        <f>IF(INDEX(Manual_Review!$I$6:$I$238,U2949)="","",INDEX(Manual_Review!$I$6:$I$238,U2949))</f>
        <v/>
      </c>
      <c r="Y2949" s="5" t="s">
        <v>2859</v>
      </c>
    </row>
    <row r="2950" spans="1:25" ht="38.25">
      <c r="A2950" s="5" t="s">
        <v>8969</v>
      </c>
      <c r="B2950" s="5" t="s">
        <v>2080</v>
      </c>
      <c r="C2950" s="5" t="s">
        <v>2081</v>
      </c>
      <c r="D2950" s="5" t="s">
        <v>118</v>
      </c>
      <c r="E2950" s="5" t="s">
        <v>2781</v>
      </c>
      <c r="F2950" s="5" t="s">
        <v>2754</v>
      </c>
      <c r="G2950" s="5">
        <v>1</v>
      </c>
      <c r="H2950" s="5" t="s">
        <v>2854</v>
      </c>
      <c r="I2950" s="5" t="str">
        <f>IF(INDEX(Manual_Review!$K$6:$K$238,U2950)="","",INDEX(Manual_Review!$K$6:$K$238,U2950))</f>
        <v/>
      </c>
      <c r="J2950" s="5" t="str">
        <f t="shared" ref="J2950:J3013" si="92">IF(G2950=0,"Not applicable",IF(I2950="","AI provisional",IF(AND(OR(I2950="Y",I2950="N",I2950="U",I2950="X"),V2950&lt;&gt;"",ISNUMBER(W2950),W2950&gt;0,X2950="Confirmed",R2950&lt;&gt;"",S2950&lt;&gt;"",T2950&lt;&gt;""),"Human valid","Evidence needed")))</f>
        <v>AI provisional</v>
      </c>
      <c r="K2950" s="5" t="str">
        <f t="shared" ref="K2950:K3013" si="93">IF(G2950=0,"N/A",IF(I2950="",H2950,IF(J2950="Human valid",I2950,"U")))</f>
        <v>Y</v>
      </c>
      <c r="L2950" s="5" t="s">
        <v>2093</v>
      </c>
      <c r="M2950" s="5" t="s">
        <v>8970</v>
      </c>
      <c r="N2950" s="5" t="s">
        <v>8971</v>
      </c>
      <c r="O2950" s="5" t="s">
        <v>2991</v>
      </c>
      <c r="P2950" s="5" t="s">
        <v>2992</v>
      </c>
      <c r="Q2950" s="11">
        <v>46306.5</v>
      </c>
      <c r="R2950" s="6"/>
      <c r="S2950" s="6"/>
      <c r="T2950" s="6"/>
      <c r="U2950" s="5">
        <f>MATCH(B2950,Manual_Review!$A$6:$A$238,0)</f>
        <v>185</v>
      </c>
      <c r="V2950" s="5" t="str">
        <f>IF(INDEX(Manual_Review!$G$6:$G$238,U2950)="","",INDEX(Manual_Review!$G$6:$G$238,U2950))</f>
        <v/>
      </c>
      <c r="W2950" s="11" t="str">
        <f>IF(INDEX(Manual_Review!$H$6:$H$238,U2950)="","",INDEX(Manual_Review!$H$6:$H$238,U2950))</f>
        <v/>
      </c>
      <c r="X2950" s="5" t="str">
        <f>IF(INDEX(Manual_Review!$I$6:$I$238,U2950)="","",INDEX(Manual_Review!$I$6:$I$238,U2950))</f>
        <v/>
      </c>
      <c r="Y2950" s="5" t="s">
        <v>2859</v>
      </c>
    </row>
    <row r="2951" spans="1:25" ht="38.25">
      <c r="A2951" s="5" t="s">
        <v>8972</v>
      </c>
      <c r="B2951" s="5" t="s">
        <v>2080</v>
      </c>
      <c r="C2951" s="5" t="s">
        <v>2081</v>
      </c>
      <c r="D2951" s="5" t="s">
        <v>118</v>
      </c>
      <c r="E2951" s="5" t="s">
        <v>2782</v>
      </c>
      <c r="F2951" s="5" t="s">
        <v>2754</v>
      </c>
      <c r="G2951" s="5">
        <v>1</v>
      </c>
      <c r="H2951" s="5" t="s">
        <v>2854</v>
      </c>
      <c r="I2951" s="5" t="str">
        <f>IF(INDEX(Manual_Review!$L$6:$L$238,U2951)="","",INDEX(Manual_Review!$L$6:$L$238,U2951))</f>
        <v/>
      </c>
      <c r="J2951" s="5" t="str">
        <f t="shared" si="92"/>
        <v>AI provisional</v>
      </c>
      <c r="K2951" s="5" t="str">
        <f t="shared" si="93"/>
        <v>Y</v>
      </c>
      <c r="L2951" s="5" t="s">
        <v>2093</v>
      </c>
      <c r="M2951" s="5" t="s">
        <v>8973</v>
      </c>
      <c r="N2951" s="5" t="s">
        <v>8974</v>
      </c>
      <c r="O2951" s="5" t="s">
        <v>2996</v>
      </c>
      <c r="P2951" s="5" t="s">
        <v>2992</v>
      </c>
      <c r="Q2951" s="11">
        <v>46306.5</v>
      </c>
      <c r="R2951" s="6"/>
      <c r="S2951" s="6"/>
      <c r="T2951" s="6"/>
      <c r="U2951" s="5">
        <f>MATCH(B2951,Manual_Review!$A$6:$A$238,0)</f>
        <v>185</v>
      </c>
      <c r="V2951" s="5" t="str">
        <f>IF(INDEX(Manual_Review!$G$6:$G$238,U2951)="","",INDEX(Manual_Review!$G$6:$G$238,U2951))</f>
        <v/>
      </c>
      <c r="W2951" s="11" t="str">
        <f>IF(INDEX(Manual_Review!$H$6:$H$238,U2951)="","",INDEX(Manual_Review!$H$6:$H$238,U2951))</f>
        <v/>
      </c>
      <c r="X2951" s="5" t="str">
        <f>IF(INDEX(Manual_Review!$I$6:$I$238,U2951)="","",INDEX(Manual_Review!$I$6:$I$238,U2951))</f>
        <v/>
      </c>
      <c r="Y2951" s="5" t="s">
        <v>2859</v>
      </c>
    </row>
    <row r="2952" spans="1:25" ht="38.25">
      <c r="A2952" s="5" t="s">
        <v>8975</v>
      </c>
      <c r="B2952" s="5" t="s">
        <v>2080</v>
      </c>
      <c r="C2952" s="5" t="s">
        <v>2081</v>
      </c>
      <c r="D2952" s="5" t="s">
        <v>118</v>
      </c>
      <c r="E2952" s="5" t="s">
        <v>2783</v>
      </c>
      <c r="F2952" s="5" t="s">
        <v>2754</v>
      </c>
      <c r="G2952" s="5">
        <v>1</v>
      </c>
      <c r="H2952" s="5" t="s">
        <v>2854</v>
      </c>
      <c r="I2952" s="5" t="str">
        <f>IF(INDEX(Manual_Review!$M$6:$M$238,U2952)="","",INDEX(Manual_Review!$M$6:$M$238,U2952))</f>
        <v/>
      </c>
      <c r="J2952" s="5" t="str">
        <f t="shared" si="92"/>
        <v>AI provisional</v>
      </c>
      <c r="K2952" s="5" t="str">
        <f t="shared" si="93"/>
        <v>Y</v>
      </c>
      <c r="L2952" s="5" t="s">
        <v>2093</v>
      </c>
      <c r="M2952" s="5" t="s">
        <v>8976</v>
      </c>
      <c r="N2952" s="5" t="s">
        <v>8977</v>
      </c>
      <c r="O2952" s="5" t="s">
        <v>3000</v>
      </c>
      <c r="P2952" s="5" t="s">
        <v>2992</v>
      </c>
      <c r="Q2952" s="11">
        <v>46306.5</v>
      </c>
      <c r="R2952" s="6"/>
      <c r="S2952" s="6"/>
      <c r="T2952" s="6"/>
      <c r="U2952" s="5">
        <f>MATCH(B2952,Manual_Review!$A$6:$A$238,0)</f>
        <v>185</v>
      </c>
      <c r="V2952" s="5" t="str">
        <f>IF(INDEX(Manual_Review!$G$6:$G$238,U2952)="","",INDEX(Manual_Review!$G$6:$G$238,U2952))</f>
        <v/>
      </c>
      <c r="W2952" s="11" t="str">
        <f>IF(INDEX(Manual_Review!$H$6:$H$238,U2952)="","",INDEX(Manual_Review!$H$6:$H$238,U2952))</f>
        <v/>
      </c>
      <c r="X2952" s="5" t="str">
        <f>IF(INDEX(Manual_Review!$I$6:$I$238,U2952)="","",INDEX(Manual_Review!$I$6:$I$238,U2952))</f>
        <v/>
      </c>
      <c r="Y2952" s="5" t="s">
        <v>2859</v>
      </c>
    </row>
    <row r="2953" spans="1:25" ht="38.25">
      <c r="A2953" s="5" t="s">
        <v>8978</v>
      </c>
      <c r="B2953" s="5" t="s">
        <v>2080</v>
      </c>
      <c r="C2953" s="5" t="s">
        <v>2081</v>
      </c>
      <c r="D2953" s="5" t="s">
        <v>118</v>
      </c>
      <c r="E2953" s="5" t="s">
        <v>2784</v>
      </c>
      <c r="F2953" s="5" t="s">
        <v>2756</v>
      </c>
      <c r="G2953" s="5">
        <v>1</v>
      </c>
      <c r="H2953" s="5" t="s">
        <v>2854</v>
      </c>
      <c r="I2953" s="5" t="str">
        <f>IF(INDEX(Manual_Review!$N$6:$N$238,U2953)="","",INDEX(Manual_Review!$N$6:$N$238,U2953))</f>
        <v/>
      </c>
      <c r="J2953" s="5" t="str">
        <f t="shared" si="92"/>
        <v>AI provisional</v>
      </c>
      <c r="K2953" s="5" t="str">
        <f t="shared" si="93"/>
        <v>Y</v>
      </c>
      <c r="L2953" s="5" t="s">
        <v>2093</v>
      </c>
      <c r="M2953" s="5" t="s">
        <v>8979</v>
      </c>
      <c r="N2953" s="5" t="s">
        <v>8980</v>
      </c>
      <c r="O2953" s="5" t="s">
        <v>3004</v>
      </c>
      <c r="P2953" s="5" t="s">
        <v>2992</v>
      </c>
      <c r="Q2953" s="11">
        <v>46306.5</v>
      </c>
      <c r="R2953" s="6"/>
      <c r="S2953" s="6"/>
      <c r="T2953" s="6"/>
      <c r="U2953" s="5">
        <f>MATCH(B2953,Manual_Review!$A$6:$A$238,0)</f>
        <v>185</v>
      </c>
      <c r="V2953" s="5" t="str">
        <f>IF(INDEX(Manual_Review!$G$6:$G$238,U2953)="","",INDEX(Manual_Review!$G$6:$G$238,U2953))</f>
        <v/>
      </c>
      <c r="W2953" s="11" t="str">
        <f>IF(INDEX(Manual_Review!$H$6:$H$238,U2953)="","",INDEX(Manual_Review!$H$6:$H$238,U2953))</f>
        <v/>
      </c>
      <c r="X2953" s="5" t="str">
        <f>IF(INDEX(Manual_Review!$I$6:$I$238,U2953)="","",INDEX(Manual_Review!$I$6:$I$238,U2953))</f>
        <v/>
      </c>
      <c r="Y2953" s="5" t="s">
        <v>2859</v>
      </c>
    </row>
    <row r="2954" spans="1:25" ht="38.25">
      <c r="A2954" s="5" t="s">
        <v>8981</v>
      </c>
      <c r="B2954" s="5" t="s">
        <v>2080</v>
      </c>
      <c r="C2954" s="5" t="s">
        <v>2081</v>
      </c>
      <c r="D2954" s="5" t="s">
        <v>118</v>
      </c>
      <c r="E2954" s="5" t="s">
        <v>2785</v>
      </c>
      <c r="F2954" s="5" t="s">
        <v>2756</v>
      </c>
      <c r="G2954" s="5">
        <v>1</v>
      </c>
      <c r="H2954" s="5" t="s">
        <v>2854</v>
      </c>
      <c r="I2954" s="5" t="str">
        <f>IF(INDEX(Manual_Review!$O$6:$O$238,U2954)="","",INDEX(Manual_Review!$O$6:$O$238,U2954))</f>
        <v/>
      </c>
      <c r="J2954" s="5" t="str">
        <f t="shared" si="92"/>
        <v>AI provisional</v>
      </c>
      <c r="K2954" s="5" t="str">
        <f t="shared" si="93"/>
        <v>Y</v>
      </c>
      <c r="L2954" s="5" t="s">
        <v>2093</v>
      </c>
      <c r="M2954" s="5" t="s">
        <v>8979</v>
      </c>
      <c r="N2954" s="5" t="s">
        <v>8980</v>
      </c>
      <c r="O2954" s="5" t="s">
        <v>5541</v>
      </c>
      <c r="P2954" s="5" t="s">
        <v>2992</v>
      </c>
      <c r="Q2954" s="11">
        <v>46306.5</v>
      </c>
      <c r="R2954" s="6"/>
      <c r="S2954" s="6"/>
      <c r="T2954" s="6"/>
      <c r="U2954" s="5">
        <f>MATCH(B2954,Manual_Review!$A$6:$A$238,0)</f>
        <v>185</v>
      </c>
      <c r="V2954" s="5" t="str">
        <f>IF(INDEX(Manual_Review!$G$6:$G$238,U2954)="","",INDEX(Manual_Review!$G$6:$G$238,U2954))</f>
        <v/>
      </c>
      <c r="W2954" s="11" t="str">
        <f>IF(INDEX(Manual_Review!$H$6:$H$238,U2954)="","",INDEX(Manual_Review!$H$6:$H$238,U2954))</f>
        <v/>
      </c>
      <c r="X2954" s="5" t="str">
        <f>IF(INDEX(Manual_Review!$I$6:$I$238,U2954)="","",INDEX(Manual_Review!$I$6:$I$238,U2954))</f>
        <v/>
      </c>
      <c r="Y2954" s="5" t="s">
        <v>2859</v>
      </c>
    </row>
    <row r="2955" spans="1:25" ht="38.25">
      <c r="A2955" s="5" t="s">
        <v>8982</v>
      </c>
      <c r="B2955" s="5" t="s">
        <v>2080</v>
      </c>
      <c r="C2955" s="5" t="s">
        <v>2081</v>
      </c>
      <c r="D2955" s="5" t="s">
        <v>118</v>
      </c>
      <c r="E2955" s="5" t="s">
        <v>2786</v>
      </c>
      <c r="F2955" s="5" t="s">
        <v>2756</v>
      </c>
      <c r="G2955" s="5">
        <v>1</v>
      </c>
      <c r="H2955" s="5" t="s">
        <v>2864</v>
      </c>
      <c r="I2955" s="5" t="str">
        <f>IF(INDEX(Manual_Review!$P$6:$P$238,U2955)="","",INDEX(Manual_Review!$P$6:$P$238,U2955))</f>
        <v/>
      </c>
      <c r="J2955" s="5" t="str">
        <f t="shared" si="92"/>
        <v>AI provisional</v>
      </c>
      <c r="K2955" s="5" t="str">
        <f t="shared" si="93"/>
        <v>U</v>
      </c>
      <c r="L2955" s="5" t="s">
        <v>2093</v>
      </c>
      <c r="M2955" s="5" t="s">
        <v>8983</v>
      </c>
      <c r="N2955" s="5" t="s">
        <v>8984</v>
      </c>
      <c r="O2955" s="5" t="s">
        <v>3010</v>
      </c>
      <c r="P2955" s="5" t="s">
        <v>2992</v>
      </c>
      <c r="Q2955" s="11">
        <v>46306.5</v>
      </c>
      <c r="R2955" s="6"/>
      <c r="S2955" s="6"/>
      <c r="T2955" s="6"/>
      <c r="U2955" s="5">
        <f>MATCH(B2955,Manual_Review!$A$6:$A$238,0)</f>
        <v>185</v>
      </c>
      <c r="V2955" s="5" t="str">
        <f>IF(INDEX(Manual_Review!$G$6:$G$238,U2955)="","",INDEX(Manual_Review!$G$6:$G$238,U2955))</f>
        <v/>
      </c>
      <c r="W2955" s="11" t="str">
        <f>IF(INDEX(Manual_Review!$H$6:$H$238,U2955)="","",INDEX(Manual_Review!$H$6:$H$238,U2955))</f>
        <v/>
      </c>
      <c r="X2955" s="5" t="str">
        <f>IF(INDEX(Manual_Review!$I$6:$I$238,U2955)="","",INDEX(Manual_Review!$I$6:$I$238,U2955))</f>
        <v/>
      </c>
      <c r="Y2955" s="5" t="s">
        <v>2859</v>
      </c>
    </row>
    <row r="2956" spans="1:25" ht="38.25">
      <c r="A2956" s="5" t="s">
        <v>8985</v>
      </c>
      <c r="B2956" s="5" t="s">
        <v>2080</v>
      </c>
      <c r="C2956" s="5" t="s">
        <v>2081</v>
      </c>
      <c r="D2956" s="5" t="s">
        <v>118</v>
      </c>
      <c r="E2956" s="5" t="s">
        <v>2787</v>
      </c>
      <c r="F2956" s="5" t="s">
        <v>2758</v>
      </c>
      <c r="G2956" s="5">
        <v>1</v>
      </c>
      <c r="H2956" s="5" t="s">
        <v>2864</v>
      </c>
      <c r="I2956" s="5" t="str">
        <f>IF(INDEX(Manual_Review!$Q$6:$Q$238,U2956)="","",INDEX(Manual_Review!$Q$6:$Q$238,U2956))</f>
        <v/>
      </c>
      <c r="J2956" s="5" t="str">
        <f t="shared" si="92"/>
        <v>AI provisional</v>
      </c>
      <c r="K2956" s="5" t="str">
        <f t="shared" si="93"/>
        <v>U</v>
      </c>
      <c r="L2956" s="5" t="s">
        <v>2093</v>
      </c>
      <c r="M2956" s="5" t="s">
        <v>8986</v>
      </c>
      <c r="N2956" s="5" t="s">
        <v>8987</v>
      </c>
      <c r="O2956" s="5" t="s">
        <v>3014</v>
      </c>
      <c r="P2956" s="5" t="s">
        <v>2992</v>
      </c>
      <c r="Q2956" s="11">
        <v>46306.5</v>
      </c>
      <c r="R2956" s="6"/>
      <c r="S2956" s="6"/>
      <c r="T2956" s="6"/>
      <c r="U2956" s="5">
        <f>MATCH(B2956,Manual_Review!$A$6:$A$238,0)</f>
        <v>185</v>
      </c>
      <c r="V2956" s="5" t="str">
        <f>IF(INDEX(Manual_Review!$G$6:$G$238,U2956)="","",INDEX(Manual_Review!$G$6:$G$238,U2956))</f>
        <v/>
      </c>
      <c r="W2956" s="11" t="str">
        <f>IF(INDEX(Manual_Review!$H$6:$H$238,U2956)="","",INDEX(Manual_Review!$H$6:$H$238,U2956))</f>
        <v/>
      </c>
      <c r="X2956" s="5" t="str">
        <f>IF(INDEX(Manual_Review!$I$6:$I$238,U2956)="","",INDEX(Manual_Review!$I$6:$I$238,U2956))</f>
        <v/>
      </c>
      <c r="Y2956" s="5" t="s">
        <v>2859</v>
      </c>
    </row>
    <row r="2957" spans="1:25" ht="38.25">
      <c r="A2957" s="5" t="s">
        <v>8988</v>
      </c>
      <c r="B2957" s="5" t="s">
        <v>2080</v>
      </c>
      <c r="C2957" s="5" t="s">
        <v>2081</v>
      </c>
      <c r="D2957" s="5" t="s">
        <v>118</v>
      </c>
      <c r="E2957" s="5" t="s">
        <v>2788</v>
      </c>
      <c r="F2957" s="5" t="s">
        <v>2758</v>
      </c>
      <c r="G2957" s="5">
        <v>1</v>
      </c>
      <c r="H2957" s="5" t="s">
        <v>2854</v>
      </c>
      <c r="I2957" s="5" t="str">
        <f>IF(INDEX(Manual_Review!$R$6:$R$238,U2957)="","",INDEX(Manual_Review!$R$6:$R$238,U2957))</f>
        <v/>
      </c>
      <c r="J2957" s="5" t="str">
        <f t="shared" si="92"/>
        <v>AI provisional</v>
      </c>
      <c r="K2957" s="5" t="str">
        <f t="shared" si="93"/>
        <v>Y</v>
      </c>
      <c r="L2957" s="5" t="s">
        <v>2093</v>
      </c>
      <c r="M2957" s="5" t="s">
        <v>8989</v>
      </c>
      <c r="N2957" s="5" t="s">
        <v>8990</v>
      </c>
      <c r="O2957" s="5" t="s">
        <v>3018</v>
      </c>
      <c r="P2957" s="5" t="s">
        <v>2992</v>
      </c>
      <c r="Q2957" s="11">
        <v>46306.5</v>
      </c>
      <c r="R2957" s="6"/>
      <c r="S2957" s="6"/>
      <c r="T2957" s="6"/>
      <c r="U2957" s="5">
        <f>MATCH(B2957,Manual_Review!$A$6:$A$238,0)</f>
        <v>185</v>
      </c>
      <c r="V2957" s="5" t="str">
        <f>IF(INDEX(Manual_Review!$G$6:$G$238,U2957)="","",INDEX(Manual_Review!$G$6:$G$238,U2957))</f>
        <v/>
      </c>
      <c r="W2957" s="11" t="str">
        <f>IF(INDEX(Manual_Review!$H$6:$H$238,U2957)="","",INDEX(Manual_Review!$H$6:$H$238,U2957))</f>
        <v/>
      </c>
      <c r="X2957" s="5" t="str">
        <f>IF(INDEX(Manual_Review!$I$6:$I$238,U2957)="","",INDEX(Manual_Review!$I$6:$I$238,U2957))</f>
        <v/>
      </c>
      <c r="Y2957" s="5" t="s">
        <v>2859</v>
      </c>
    </row>
    <row r="2958" spans="1:25" ht="38.25">
      <c r="A2958" s="5" t="s">
        <v>8991</v>
      </c>
      <c r="B2958" s="5" t="s">
        <v>2080</v>
      </c>
      <c r="C2958" s="5" t="s">
        <v>2081</v>
      </c>
      <c r="D2958" s="5" t="s">
        <v>118</v>
      </c>
      <c r="E2958" s="5" t="s">
        <v>2789</v>
      </c>
      <c r="F2958" s="5" t="s">
        <v>2758</v>
      </c>
      <c r="G2958" s="5">
        <v>1</v>
      </c>
      <c r="H2958" s="5" t="s">
        <v>2854</v>
      </c>
      <c r="I2958" s="5" t="str">
        <f>IF(INDEX(Manual_Review!$S$6:$S$238,U2958)="","",INDEX(Manual_Review!$S$6:$S$238,U2958))</f>
        <v/>
      </c>
      <c r="J2958" s="5" t="str">
        <f t="shared" si="92"/>
        <v>AI provisional</v>
      </c>
      <c r="K2958" s="5" t="str">
        <f t="shared" si="93"/>
        <v>Y</v>
      </c>
      <c r="L2958" s="5" t="s">
        <v>2093</v>
      </c>
      <c r="M2958" s="5" t="s">
        <v>8992</v>
      </c>
      <c r="N2958" s="5" t="s">
        <v>8993</v>
      </c>
      <c r="O2958" s="5" t="s">
        <v>3022</v>
      </c>
      <c r="P2958" s="5" t="s">
        <v>2992</v>
      </c>
      <c r="Q2958" s="11">
        <v>46306.5</v>
      </c>
      <c r="R2958" s="6"/>
      <c r="S2958" s="6"/>
      <c r="T2958" s="6"/>
      <c r="U2958" s="5">
        <f>MATCH(B2958,Manual_Review!$A$6:$A$238,0)</f>
        <v>185</v>
      </c>
      <c r="V2958" s="5" t="str">
        <f>IF(INDEX(Manual_Review!$G$6:$G$238,U2958)="","",INDEX(Manual_Review!$G$6:$G$238,U2958))</f>
        <v/>
      </c>
      <c r="W2958" s="11" t="str">
        <f>IF(INDEX(Manual_Review!$H$6:$H$238,U2958)="","",INDEX(Manual_Review!$H$6:$H$238,U2958))</f>
        <v/>
      </c>
      <c r="X2958" s="5" t="str">
        <f>IF(INDEX(Manual_Review!$I$6:$I$238,U2958)="","",INDEX(Manual_Review!$I$6:$I$238,U2958))</f>
        <v/>
      </c>
      <c r="Y2958" s="5" t="s">
        <v>2859</v>
      </c>
    </row>
    <row r="2959" spans="1:25" ht="38.25">
      <c r="A2959" s="5" t="s">
        <v>8994</v>
      </c>
      <c r="B2959" s="5" t="s">
        <v>2080</v>
      </c>
      <c r="C2959" s="5" t="s">
        <v>2081</v>
      </c>
      <c r="D2959" s="5" t="s">
        <v>118</v>
      </c>
      <c r="E2959" s="5" t="s">
        <v>2790</v>
      </c>
      <c r="F2959" s="5" t="s">
        <v>2760</v>
      </c>
      <c r="G2959" s="5">
        <v>1</v>
      </c>
      <c r="H2959" s="5" t="s">
        <v>2864</v>
      </c>
      <c r="I2959" s="5" t="str">
        <f>IF(INDEX(Manual_Review!$T$6:$T$238,U2959)="","",INDEX(Manual_Review!$T$6:$T$238,U2959))</f>
        <v/>
      </c>
      <c r="J2959" s="5" t="str">
        <f t="shared" si="92"/>
        <v>AI provisional</v>
      </c>
      <c r="K2959" s="5" t="str">
        <f t="shared" si="93"/>
        <v>U</v>
      </c>
      <c r="L2959" s="5" t="s">
        <v>2093</v>
      </c>
      <c r="M2959" s="5" t="s">
        <v>8995</v>
      </c>
      <c r="N2959" s="5" t="s">
        <v>8996</v>
      </c>
      <c r="O2959" s="5" t="s">
        <v>5273</v>
      </c>
      <c r="P2959" s="5" t="s">
        <v>2992</v>
      </c>
      <c r="Q2959" s="11">
        <v>46306.5</v>
      </c>
      <c r="R2959" s="6"/>
      <c r="S2959" s="6"/>
      <c r="T2959" s="6"/>
      <c r="U2959" s="5">
        <f>MATCH(B2959,Manual_Review!$A$6:$A$238,0)</f>
        <v>185</v>
      </c>
      <c r="V2959" s="5" t="str">
        <f>IF(INDEX(Manual_Review!$G$6:$G$238,U2959)="","",INDEX(Manual_Review!$G$6:$G$238,U2959))</f>
        <v/>
      </c>
      <c r="W2959" s="11" t="str">
        <f>IF(INDEX(Manual_Review!$H$6:$H$238,U2959)="","",INDEX(Manual_Review!$H$6:$H$238,U2959))</f>
        <v/>
      </c>
      <c r="X2959" s="5" t="str">
        <f>IF(INDEX(Manual_Review!$I$6:$I$238,U2959)="","",INDEX(Manual_Review!$I$6:$I$238,U2959))</f>
        <v/>
      </c>
      <c r="Y2959" s="5" t="s">
        <v>2859</v>
      </c>
    </row>
    <row r="2960" spans="1:25" ht="38.25">
      <c r="A2960" s="5" t="s">
        <v>8997</v>
      </c>
      <c r="B2960" s="5" t="s">
        <v>2080</v>
      </c>
      <c r="C2960" s="5" t="s">
        <v>2081</v>
      </c>
      <c r="D2960" s="5" t="s">
        <v>118</v>
      </c>
      <c r="E2960" s="5" t="s">
        <v>2791</v>
      </c>
      <c r="F2960" s="5" t="s">
        <v>2760</v>
      </c>
      <c r="G2960" s="5">
        <v>1</v>
      </c>
      <c r="H2960" s="5" t="s">
        <v>2854</v>
      </c>
      <c r="I2960" s="5" t="str">
        <f>IF(INDEX(Manual_Review!$U$6:$U$238,U2960)="","",INDEX(Manual_Review!$U$6:$U$238,U2960))</f>
        <v/>
      </c>
      <c r="J2960" s="5" t="str">
        <f t="shared" si="92"/>
        <v>AI provisional</v>
      </c>
      <c r="K2960" s="5" t="str">
        <f t="shared" si="93"/>
        <v>Y</v>
      </c>
      <c r="L2960" s="5" t="s">
        <v>2093</v>
      </c>
      <c r="M2960" s="5" t="s">
        <v>8998</v>
      </c>
      <c r="N2960" s="5" t="s">
        <v>8999</v>
      </c>
      <c r="O2960" s="5" t="s">
        <v>9000</v>
      </c>
      <c r="P2960" s="5" t="s">
        <v>2992</v>
      </c>
      <c r="Q2960" s="11">
        <v>46306.5</v>
      </c>
      <c r="R2960" s="6"/>
      <c r="S2960" s="6"/>
      <c r="T2960" s="6"/>
      <c r="U2960" s="5">
        <f>MATCH(B2960,Manual_Review!$A$6:$A$238,0)</f>
        <v>185</v>
      </c>
      <c r="V2960" s="5" t="str">
        <f>IF(INDEX(Manual_Review!$G$6:$G$238,U2960)="","",INDEX(Manual_Review!$G$6:$G$238,U2960))</f>
        <v/>
      </c>
      <c r="W2960" s="11" t="str">
        <f>IF(INDEX(Manual_Review!$H$6:$H$238,U2960)="","",INDEX(Manual_Review!$H$6:$H$238,U2960))</f>
        <v/>
      </c>
      <c r="X2960" s="5" t="str">
        <f>IF(INDEX(Manual_Review!$I$6:$I$238,U2960)="","",INDEX(Manual_Review!$I$6:$I$238,U2960))</f>
        <v/>
      </c>
      <c r="Y2960" s="5" t="s">
        <v>2859</v>
      </c>
    </row>
    <row r="2961" spans="1:25" ht="38.25">
      <c r="A2961" s="5" t="s">
        <v>9001</v>
      </c>
      <c r="B2961" s="5" t="s">
        <v>2080</v>
      </c>
      <c r="C2961" s="5" t="s">
        <v>2081</v>
      </c>
      <c r="D2961" s="5" t="s">
        <v>118</v>
      </c>
      <c r="E2961" s="5" t="s">
        <v>2792</v>
      </c>
      <c r="F2961" s="5" t="s">
        <v>2762</v>
      </c>
      <c r="G2961" s="5">
        <v>1</v>
      </c>
      <c r="H2961" s="5" t="s">
        <v>2864</v>
      </c>
      <c r="I2961" s="5" t="str">
        <f>IF(INDEX(Manual_Review!$V$6:$V$238,U2961)="","",INDEX(Manual_Review!$V$6:$V$238,U2961))</f>
        <v/>
      </c>
      <c r="J2961" s="5" t="str">
        <f t="shared" si="92"/>
        <v>AI provisional</v>
      </c>
      <c r="K2961" s="5" t="str">
        <f t="shared" si="93"/>
        <v>U</v>
      </c>
      <c r="L2961" s="5" t="s">
        <v>2093</v>
      </c>
      <c r="M2961" s="5" t="s">
        <v>9002</v>
      </c>
      <c r="N2961" s="5" t="s">
        <v>9003</v>
      </c>
      <c r="O2961" s="5" t="s">
        <v>3947</v>
      </c>
      <c r="P2961" s="5" t="s">
        <v>2992</v>
      </c>
      <c r="Q2961" s="11">
        <v>46306.5</v>
      </c>
      <c r="R2961" s="6"/>
      <c r="S2961" s="6"/>
      <c r="T2961" s="6"/>
      <c r="U2961" s="5">
        <f>MATCH(B2961,Manual_Review!$A$6:$A$238,0)</f>
        <v>185</v>
      </c>
      <c r="V2961" s="5" t="str">
        <f>IF(INDEX(Manual_Review!$G$6:$G$238,U2961)="","",INDEX(Manual_Review!$G$6:$G$238,U2961))</f>
        <v/>
      </c>
      <c r="W2961" s="11" t="str">
        <f>IF(INDEX(Manual_Review!$H$6:$H$238,U2961)="","",INDEX(Manual_Review!$H$6:$H$238,U2961))</f>
        <v/>
      </c>
      <c r="X2961" s="5" t="str">
        <f>IF(INDEX(Manual_Review!$I$6:$I$238,U2961)="","",INDEX(Manual_Review!$I$6:$I$238,U2961))</f>
        <v/>
      </c>
      <c r="Y2961" s="5" t="s">
        <v>2859</v>
      </c>
    </row>
    <row r="2962" spans="1:25" ht="51">
      <c r="A2962" s="5" t="s">
        <v>9004</v>
      </c>
      <c r="B2962" s="5" t="s">
        <v>2080</v>
      </c>
      <c r="C2962" s="5" t="s">
        <v>2081</v>
      </c>
      <c r="D2962" s="5" t="s">
        <v>118</v>
      </c>
      <c r="E2962" s="5" t="s">
        <v>2793</v>
      </c>
      <c r="F2962" s="5" t="s">
        <v>2762</v>
      </c>
      <c r="G2962" s="5">
        <v>1</v>
      </c>
      <c r="H2962" s="5" t="s">
        <v>2854</v>
      </c>
      <c r="I2962" s="5" t="str">
        <f>IF(INDEX(Manual_Review!$W$6:$W$238,U2962)="","",INDEX(Manual_Review!$W$6:$W$238,U2962))</f>
        <v/>
      </c>
      <c r="J2962" s="5" t="str">
        <f t="shared" si="92"/>
        <v>AI provisional</v>
      </c>
      <c r="K2962" s="5" t="str">
        <f t="shared" si="93"/>
        <v>Y</v>
      </c>
      <c r="L2962" s="5" t="s">
        <v>2093</v>
      </c>
      <c r="M2962" s="5" t="s">
        <v>9005</v>
      </c>
      <c r="N2962" s="5" t="s">
        <v>9006</v>
      </c>
      <c r="O2962" s="5" t="s">
        <v>3038</v>
      </c>
      <c r="P2962" s="5" t="s">
        <v>2992</v>
      </c>
      <c r="Q2962" s="11">
        <v>46306.5</v>
      </c>
      <c r="R2962" s="6"/>
      <c r="S2962" s="6"/>
      <c r="T2962" s="6"/>
      <c r="U2962" s="5">
        <f>MATCH(B2962,Manual_Review!$A$6:$A$238,0)</f>
        <v>185</v>
      </c>
      <c r="V2962" s="5" t="str">
        <f>IF(INDEX(Manual_Review!$G$6:$G$238,U2962)="","",INDEX(Manual_Review!$G$6:$G$238,U2962))</f>
        <v/>
      </c>
      <c r="W2962" s="11" t="str">
        <f>IF(INDEX(Manual_Review!$H$6:$H$238,U2962)="","",INDEX(Manual_Review!$H$6:$H$238,U2962))</f>
        <v/>
      </c>
      <c r="X2962" s="5" t="str">
        <f>IF(INDEX(Manual_Review!$I$6:$I$238,U2962)="","",INDEX(Manual_Review!$I$6:$I$238,U2962))</f>
        <v/>
      </c>
      <c r="Y2962" s="5" t="s">
        <v>2859</v>
      </c>
    </row>
    <row r="2963" spans="1:25" ht="38.25">
      <c r="A2963" s="5" t="s">
        <v>9007</v>
      </c>
      <c r="B2963" s="5" t="s">
        <v>2080</v>
      </c>
      <c r="C2963" s="5" t="s">
        <v>2081</v>
      </c>
      <c r="D2963" s="5" t="s">
        <v>118</v>
      </c>
      <c r="E2963" s="5" t="s">
        <v>2794</v>
      </c>
      <c r="F2963" s="5" t="s">
        <v>2764</v>
      </c>
      <c r="G2963" s="5">
        <v>1</v>
      </c>
      <c r="H2963" s="5" t="s">
        <v>2854</v>
      </c>
      <c r="I2963" s="5" t="str">
        <f>IF(INDEX(Manual_Review!$X$6:$X$238,U2963)="","",INDEX(Manual_Review!$X$6:$X$238,U2963))</f>
        <v/>
      </c>
      <c r="J2963" s="5" t="str">
        <f t="shared" si="92"/>
        <v>AI provisional</v>
      </c>
      <c r="K2963" s="5" t="str">
        <f t="shared" si="93"/>
        <v>Y</v>
      </c>
      <c r="L2963" s="5" t="s">
        <v>2093</v>
      </c>
      <c r="M2963" s="5" t="s">
        <v>9008</v>
      </c>
      <c r="N2963" s="5" t="s">
        <v>9009</v>
      </c>
      <c r="O2963" s="5" t="s">
        <v>3042</v>
      </c>
      <c r="P2963" s="5" t="s">
        <v>2992</v>
      </c>
      <c r="Q2963" s="11">
        <v>46306.5</v>
      </c>
      <c r="R2963" s="6"/>
      <c r="S2963" s="6"/>
      <c r="T2963" s="6"/>
      <c r="U2963" s="5">
        <f>MATCH(B2963,Manual_Review!$A$6:$A$238,0)</f>
        <v>185</v>
      </c>
      <c r="V2963" s="5" t="str">
        <f>IF(INDEX(Manual_Review!$G$6:$G$238,U2963)="","",INDEX(Manual_Review!$G$6:$G$238,U2963))</f>
        <v/>
      </c>
      <c r="W2963" s="11" t="str">
        <f>IF(INDEX(Manual_Review!$H$6:$H$238,U2963)="","",INDEX(Manual_Review!$H$6:$H$238,U2963))</f>
        <v/>
      </c>
      <c r="X2963" s="5" t="str">
        <f>IF(INDEX(Manual_Review!$I$6:$I$238,U2963)="","",INDEX(Manual_Review!$I$6:$I$238,U2963))</f>
        <v/>
      </c>
      <c r="Y2963" s="5" t="s">
        <v>2859</v>
      </c>
    </row>
    <row r="2964" spans="1:25" ht="38.25">
      <c r="A2964" s="5" t="s">
        <v>9010</v>
      </c>
      <c r="B2964" s="5" t="s">
        <v>2080</v>
      </c>
      <c r="C2964" s="5" t="s">
        <v>2081</v>
      </c>
      <c r="D2964" s="5" t="s">
        <v>118</v>
      </c>
      <c r="E2964" s="5" t="s">
        <v>2795</v>
      </c>
      <c r="F2964" s="5" t="s">
        <v>2764</v>
      </c>
      <c r="G2964" s="5">
        <v>1</v>
      </c>
      <c r="H2964" s="5" t="s">
        <v>2864</v>
      </c>
      <c r="I2964" s="5" t="str">
        <f>IF(INDEX(Manual_Review!$Y$6:$Y$238,U2964)="","",INDEX(Manual_Review!$Y$6:$Y$238,U2964))</f>
        <v/>
      </c>
      <c r="J2964" s="5" t="str">
        <f t="shared" si="92"/>
        <v>AI provisional</v>
      </c>
      <c r="K2964" s="5" t="str">
        <f t="shared" si="93"/>
        <v>U</v>
      </c>
      <c r="L2964" s="5" t="s">
        <v>2093</v>
      </c>
      <c r="M2964" s="5" t="s">
        <v>9011</v>
      </c>
      <c r="N2964" s="5" t="s">
        <v>9012</v>
      </c>
      <c r="O2964" s="5" t="s">
        <v>3469</v>
      </c>
      <c r="P2964" s="5" t="s">
        <v>2992</v>
      </c>
      <c r="Q2964" s="11">
        <v>46306.5</v>
      </c>
      <c r="R2964" s="6"/>
      <c r="S2964" s="6"/>
      <c r="T2964" s="6"/>
      <c r="U2964" s="5">
        <f>MATCH(B2964,Manual_Review!$A$6:$A$238,0)</f>
        <v>185</v>
      </c>
      <c r="V2964" s="5" t="str">
        <f>IF(INDEX(Manual_Review!$G$6:$G$238,U2964)="","",INDEX(Manual_Review!$G$6:$G$238,U2964))</f>
        <v/>
      </c>
      <c r="W2964" s="11" t="str">
        <f>IF(INDEX(Manual_Review!$H$6:$H$238,U2964)="","",INDEX(Manual_Review!$H$6:$H$238,U2964))</f>
        <v/>
      </c>
      <c r="X2964" s="5" t="str">
        <f>IF(INDEX(Manual_Review!$I$6:$I$238,U2964)="","",INDEX(Manual_Review!$I$6:$I$238,U2964))</f>
        <v/>
      </c>
      <c r="Y2964" s="5" t="s">
        <v>2859</v>
      </c>
    </row>
    <row r="2965" spans="1:25" ht="38.25">
      <c r="A2965" s="5" t="s">
        <v>9013</v>
      </c>
      <c r="B2965" s="5" t="s">
        <v>2080</v>
      </c>
      <c r="C2965" s="5" t="s">
        <v>2081</v>
      </c>
      <c r="D2965" s="5" t="s">
        <v>118</v>
      </c>
      <c r="E2965" s="5" t="s">
        <v>2796</v>
      </c>
      <c r="F2965" s="5" t="s">
        <v>2764</v>
      </c>
      <c r="G2965" s="5">
        <v>1</v>
      </c>
      <c r="H2965" s="5" t="s">
        <v>2854</v>
      </c>
      <c r="I2965" s="5" t="str">
        <f>IF(INDEX(Manual_Review!$Z$6:$Z$238,U2965)="","",INDEX(Manual_Review!$Z$6:$Z$238,U2965))</f>
        <v/>
      </c>
      <c r="J2965" s="5" t="str">
        <f t="shared" si="92"/>
        <v>AI provisional</v>
      </c>
      <c r="K2965" s="5" t="str">
        <f t="shared" si="93"/>
        <v>Y</v>
      </c>
      <c r="L2965" s="5" t="s">
        <v>2093</v>
      </c>
      <c r="M2965" s="5" t="s">
        <v>9014</v>
      </c>
      <c r="N2965" s="5" t="s">
        <v>9015</v>
      </c>
      <c r="O2965" s="5" t="s">
        <v>3960</v>
      </c>
      <c r="P2965" s="5" t="s">
        <v>2992</v>
      </c>
      <c r="Q2965" s="11">
        <v>46306.5</v>
      </c>
      <c r="R2965" s="6"/>
      <c r="S2965" s="6"/>
      <c r="T2965" s="6"/>
      <c r="U2965" s="5">
        <f>MATCH(B2965,Manual_Review!$A$6:$A$238,0)</f>
        <v>185</v>
      </c>
      <c r="V2965" s="5" t="str">
        <f>IF(INDEX(Manual_Review!$G$6:$G$238,U2965)="","",INDEX(Manual_Review!$G$6:$G$238,U2965))</f>
        <v/>
      </c>
      <c r="W2965" s="11" t="str">
        <f>IF(INDEX(Manual_Review!$H$6:$H$238,U2965)="","",INDEX(Manual_Review!$H$6:$H$238,U2965))</f>
        <v/>
      </c>
      <c r="X2965" s="5" t="str">
        <f>IF(INDEX(Manual_Review!$I$6:$I$238,U2965)="","",INDEX(Manual_Review!$I$6:$I$238,U2965))</f>
        <v/>
      </c>
      <c r="Y2965" s="5" t="s">
        <v>2859</v>
      </c>
    </row>
    <row r="2966" spans="1:25" ht="25.5">
      <c r="A2966" s="5" t="s">
        <v>9016</v>
      </c>
      <c r="B2966" s="5" t="s">
        <v>2095</v>
      </c>
      <c r="C2966" s="5" t="s">
        <v>2096</v>
      </c>
      <c r="D2966" s="5" t="s">
        <v>118</v>
      </c>
      <c r="E2966" s="5" t="s">
        <v>2781</v>
      </c>
      <c r="F2966" s="5" t="s">
        <v>2754</v>
      </c>
      <c r="G2966" s="5">
        <v>1</v>
      </c>
      <c r="H2966" s="5" t="s">
        <v>2854</v>
      </c>
      <c r="I2966" s="5" t="str">
        <f>IF(INDEX(Manual_Review!$K$6:$K$238,U2966)="","",INDEX(Manual_Review!$K$6:$K$238,U2966))</f>
        <v/>
      </c>
      <c r="J2966" s="5" t="str">
        <f t="shared" si="92"/>
        <v>AI provisional</v>
      </c>
      <c r="K2966" s="5" t="str">
        <f t="shared" si="93"/>
        <v>Y</v>
      </c>
      <c r="L2966" s="5" t="s">
        <v>2105</v>
      </c>
      <c r="M2966" s="5" t="s">
        <v>9017</v>
      </c>
      <c r="N2966" s="5" t="s">
        <v>9018</v>
      </c>
      <c r="O2966" s="5" t="s">
        <v>2991</v>
      </c>
      <c r="P2966" s="5" t="s">
        <v>2992</v>
      </c>
      <c r="Q2966" s="11">
        <v>46306.5</v>
      </c>
      <c r="R2966" s="6"/>
      <c r="S2966" s="6"/>
      <c r="T2966" s="6"/>
      <c r="U2966" s="5">
        <f>MATCH(B2966,Manual_Review!$A$6:$A$238,0)</f>
        <v>186</v>
      </c>
      <c r="V2966" s="5" t="str">
        <f>IF(INDEX(Manual_Review!$G$6:$G$238,U2966)="","",INDEX(Manual_Review!$G$6:$G$238,U2966))</f>
        <v/>
      </c>
      <c r="W2966" s="11" t="str">
        <f>IF(INDEX(Manual_Review!$H$6:$H$238,U2966)="","",INDEX(Manual_Review!$H$6:$H$238,U2966))</f>
        <v/>
      </c>
      <c r="X2966" s="5" t="str">
        <f>IF(INDEX(Manual_Review!$I$6:$I$238,U2966)="","",INDEX(Manual_Review!$I$6:$I$238,U2966))</f>
        <v/>
      </c>
      <c r="Y2966" s="5" t="s">
        <v>2859</v>
      </c>
    </row>
    <row r="2967" spans="1:25" ht="25.5">
      <c r="A2967" s="5" t="s">
        <v>9019</v>
      </c>
      <c r="B2967" s="5" t="s">
        <v>2095</v>
      </c>
      <c r="C2967" s="5" t="s">
        <v>2096</v>
      </c>
      <c r="D2967" s="5" t="s">
        <v>118</v>
      </c>
      <c r="E2967" s="5" t="s">
        <v>2782</v>
      </c>
      <c r="F2967" s="5" t="s">
        <v>2754</v>
      </c>
      <c r="G2967" s="5">
        <v>1</v>
      </c>
      <c r="H2967" s="5" t="s">
        <v>2854</v>
      </c>
      <c r="I2967" s="5" t="str">
        <f>IF(INDEX(Manual_Review!$L$6:$L$238,U2967)="","",INDEX(Manual_Review!$L$6:$L$238,U2967))</f>
        <v/>
      </c>
      <c r="J2967" s="5" t="str">
        <f t="shared" si="92"/>
        <v>AI provisional</v>
      </c>
      <c r="K2967" s="5" t="str">
        <f t="shared" si="93"/>
        <v>Y</v>
      </c>
      <c r="L2967" s="5" t="s">
        <v>2105</v>
      </c>
      <c r="M2967" s="5" t="s">
        <v>9020</v>
      </c>
      <c r="N2967" s="5" t="s">
        <v>9021</v>
      </c>
      <c r="O2967" s="5" t="s">
        <v>2996</v>
      </c>
      <c r="P2967" s="5" t="s">
        <v>2992</v>
      </c>
      <c r="Q2967" s="11">
        <v>46306.5</v>
      </c>
      <c r="R2967" s="6"/>
      <c r="S2967" s="6"/>
      <c r="T2967" s="6"/>
      <c r="U2967" s="5">
        <f>MATCH(B2967,Manual_Review!$A$6:$A$238,0)</f>
        <v>186</v>
      </c>
      <c r="V2967" s="5" t="str">
        <f>IF(INDEX(Manual_Review!$G$6:$G$238,U2967)="","",INDEX(Manual_Review!$G$6:$G$238,U2967))</f>
        <v/>
      </c>
      <c r="W2967" s="11" t="str">
        <f>IF(INDEX(Manual_Review!$H$6:$H$238,U2967)="","",INDEX(Manual_Review!$H$6:$H$238,U2967))</f>
        <v/>
      </c>
      <c r="X2967" s="5" t="str">
        <f>IF(INDEX(Manual_Review!$I$6:$I$238,U2967)="","",INDEX(Manual_Review!$I$6:$I$238,U2967))</f>
        <v/>
      </c>
      <c r="Y2967" s="5" t="s">
        <v>2859</v>
      </c>
    </row>
    <row r="2968" spans="1:25" ht="25.5">
      <c r="A2968" s="5" t="s">
        <v>9022</v>
      </c>
      <c r="B2968" s="5" t="s">
        <v>2095</v>
      </c>
      <c r="C2968" s="5" t="s">
        <v>2096</v>
      </c>
      <c r="D2968" s="5" t="s">
        <v>118</v>
      </c>
      <c r="E2968" s="5" t="s">
        <v>2783</v>
      </c>
      <c r="F2968" s="5" t="s">
        <v>2754</v>
      </c>
      <c r="G2968" s="5">
        <v>1</v>
      </c>
      <c r="H2968" s="5" t="s">
        <v>2854</v>
      </c>
      <c r="I2968" s="5" t="str">
        <f>IF(INDEX(Manual_Review!$M$6:$M$238,U2968)="","",INDEX(Manual_Review!$M$6:$M$238,U2968))</f>
        <v/>
      </c>
      <c r="J2968" s="5" t="str">
        <f t="shared" si="92"/>
        <v>AI provisional</v>
      </c>
      <c r="K2968" s="5" t="str">
        <f t="shared" si="93"/>
        <v>Y</v>
      </c>
      <c r="L2968" s="5" t="s">
        <v>2105</v>
      </c>
      <c r="M2968" s="5" t="s">
        <v>9023</v>
      </c>
      <c r="N2968" s="5" t="s">
        <v>8977</v>
      </c>
      <c r="O2968" s="5" t="s">
        <v>3000</v>
      </c>
      <c r="P2968" s="5" t="s">
        <v>2992</v>
      </c>
      <c r="Q2968" s="11">
        <v>46306.5</v>
      </c>
      <c r="R2968" s="6"/>
      <c r="S2968" s="6"/>
      <c r="T2968" s="6"/>
      <c r="U2968" s="5">
        <f>MATCH(B2968,Manual_Review!$A$6:$A$238,0)</f>
        <v>186</v>
      </c>
      <c r="V2968" s="5" t="str">
        <f>IF(INDEX(Manual_Review!$G$6:$G$238,U2968)="","",INDEX(Manual_Review!$G$6:$G$238,U2968))</f>
        <v/>
      </c>
      <c r="W2968" s="11" t="str">
        <f>IF(INDEX(Manual_Review!$H$6:$H$238,U2968)="","",INDEX(Manual_Review!$H$6:$H$238,U2968))</f>
        <v/>
      </c>
      <c r="X2968" s="5" t="str">
        <f>IF(INDEX(Manual_Review!$I$6:$I$238,U2968)="","",INDEX(Manual_Review!$I$6:$I$238,U2968))</f>
        <v/>
      </c>
      <c r="Y2968" s="5" t="s">
        <v>2859</v>
      </c>
    </row>
    <row r="2969" spans="1:25" ht="25.5">
      <c r="A2969" s="5" t="s">
        <v>9024</v>
      </c>
      <c r="B2969" s="5" t="s">
        <v>2095</v>
      </c>
      <c r="C2969" s="5" t="s">
        <v>2096</v>
      </c>
      <c r="D2969" s="5" t="s">
        <v>118</v>
      </c>
      <c r="E2969" s="5" t="s">
        <v>2784</v>
      </c>
      <c r="F2969" s="5" t="s">
        <v>2756</v>
      </c>
      <c r="G2969" s="5">
        <v>1</v>
      </c>
      <c r="H2969" s="5" t="s">
        <v>2854</v>
      </c>
      <c r="I2969" s="5" t="str">
        <f>IF(INDEX(Manual_Review!$N$6:$N$238,U2969)="","",INDEX(Manual_Review!$N$6:$N$238,U2969))</f>
        <v/>
      </c>
      <c r="J2969" s="5" t="str">
        <f t="shared" si="92"/>
        <v>AI provisional</v>
      </c>
      <c r="K2969" s="5" t="str">
        <f t="shared" si="93"/>
        <v>Y</v>
      </c>
      <c r="L2969" s="5" t="s">
        <v>2105</v>
      </c>
      <c r="M2969" s="5" t="s">
        <v>9025</v>
      </c>
      <c r="N2969" s="5" t="s">
        <v>9026</v>
      </c>
      <c r="O2969" s="5" t="s">
        <v>3004</v>
      </c>
      <c r="P2969" s="5" t="s">
        <v>2992</v>
      </c>
      <c r="Q2969" s="11">
        <v>46306.5</v>
      </c>
      <c r="R2969" s="6"/>
      <c r="S2969" s="6"/>
      <c r="T2969" s="6"/>
      <c r="U2969" s="5">
        <f>MATCH(B2969,Manual_Review!$A$6:$A$238,0)</f>
        <v>186</v>
      </c>
      <c r="V2969" s="5" t="str">
        <f>IF(INDEX(Manual_Review!$G$6:$G$238,U2969)="","",INDEX(Manual_Review!$G$6:$G$238,U2969))</f>
        <v/>
      </c>
      <c r="W2969" s="11" t="str">
        <f>IF(INDEX(Manual_Review!$H$6:$H$238,U2969)="","",INDEX(Manual_Review!$H$6:$H$238,U2969))</f>
        <v/>
      </c>
      <c r="X2969" s="5" t="str">
        <f>IF(INDEX(Manual_Review!$I$6:$I$238,U2969)="","",INDEX(Manual_Review!$I$6:$I$238,U2969))</f>
        <v/>
      </c>
      <c r="Y2969" s="5" t="s">
        <v>2859</v>
      </c>
    </row>
    <row r="2970" spans="1:25" ht="25.5">
      <c r="A2970" s="5" t="s">
        <v>9027</v>
      </c>
      <c r="B2970" s="5" t="s">
        <v>2095</v>
      </c>
      <c r="C2970" s="5" t="s">
        <v>2096</v>
      </c>
      <c r="D2970" s="5" t="s">
        <v>118</v>
      </c>
      <c r="E2970" s="5" t="s">
        <v>2785</v>
      </c>
      <c r="F2970" s="5" t="s">
        <v>2756</v>
      </c>
      <c r="G2970" s="5">
        <v>1</v>
      </c>
      <c r="H2970" s="5" t="s">
        <v>2864</v>
      </c>
      <c r="I2970" s="5" t="str">
        <f>IF(INDEX(Manual_Review!$O$6:$O$238,U2970)="","",INDEX(Manual_Review!$O$6:$O$238,U2970))</f>
        <v/>
      </c>
      <c r="J2970" s="5" t="str">
        <f t="shared" si="92"/>
        <v>AI provisional</v>
      </c>
      <c r="K2970" s="5" t="str">
        <f t="shared" si="93"/>
        <v>U</v>
      </c>
      <c r="L2970" s="5" t="s">
        <v>2105</v>
      </c>
      <c r="M2970" s="5" t="s">
        <v>9025</v>
      </c>
      <c r="N2970" s="5" t="s">
        <v>9026</v>
      </c>
      <c r="O2970" s="5" t="s">
        <v>3006</v>
      </c>
      <c r="P2970" s="5" t="s">
        <v>2992</v>
      </c>
      <c r="Q2970" s="11">
        <v>46306.5</v>
      </c>
      <c r="R2970" s="6"/>
      <c r="S2970" s="6"/>
      <c r="T2970" s="6"/>
      <c r="U2970" s="5">
        <f>MATCH(B2970,Manual_Review!$A$6:$A$238,0)</f>
        <v>186</v>
      </c>
      <c r="V2970" s="5" t="str">
        <f>IF(INDEX(Manual_Review!$G$6:$G$238,U2970)="","",INDEX(Manual_Review!$G$6:$G$238,U2970))</f>
        <v/>
      </c>
      <c r="W2970" s="11" t="str">
        <f>IF(INDEX(Manual_Review!$H$6:$H$238,U2970)="","",INDEX(Manual_Review!$H$6:$H$238,U2970))</f>
        <v/>
      </c>
      <c r="X2970" s="5" t="str">
        <f>IF(INDEX(Manual_Review!$I$6:$I$238,U2970)="","",INDEX(Manual_Review!$I$6:$I$238,U2970))</f>
        <v/>
      </c>
      <c r="Y2970" s="5" t="s">
        <v>2859</v>
      </c>
    </row>
    <row r="2971" spans="1:25" ht="25.5">
      <c r="A2971" s="5" t="s">
        <v>9028</v>
      </c>
      <c r="B2971" s="5" t="s">
        <v>2095</v>
      </c>
      <c r="C2971" s="5" t="s">
        <v>2096</v>
      </c>
      <c r="D2971" s="5" t="s">
        <v>118</v>
      </c>
      <c r="E2971" s="5" t="s">
        <v>2786</v>
      </c>
      <c r="F2971" s="5" t="s">
        <v>2756</v>
      </c>
      <c r="G2971" s="5">
        <v>1</v>
      </c>
      <c r="H2971" s="5" t="s">
        <v>2864</v>
      </c>
      <c r="I2971" s="5" t="str">
        <f>IF(INDEX(Manual_Review!$P$6:$P$238,U2971)="","",INDEX(Manual_Review!$P$6:$P$238,U2971))</f>
        <v/>
      </c>
      <c r="J2971" s="5" t="str">
        <f t="shared" si="92"/>
        <v>AI provisional</v>
      </c>
      <c r="K2971" s="5" t="str">
        <f t="shared" si="93"/>
        <v>U</v>
      </c>
      <c r="L2971" s="5" t="s">
        <v>2105</v>
      </c>
      <c r="M2971" s="5" t="s">
        <v>9029</v>
      </c>
      <c r="N2971" s="5" t="s">
        <v>9030</v>
      </c>
      <c r="O2971" s="5" t="s">
        <v>3010</v>
      </c>
      <c r="P2971" s="5" t="s">
        <v>2992</v>
      </c>
      <c r="Q2971" s="11">
        <v>46306.5</v>
      </c>
      <c r="R2971" s="6"/>
      <c r="S2971" s="6"/>
      <c r="T2971" s="6"/>
      <c r="U2971" s="5">
        <f>MATCH(B2971,Manual_Review!$A$6:$A$238,0)</f>
        <v>186</v>
      </c>
      <c r="V2971" s="5" t="str">
        <f>IF(INDEX(Manual_Review!$G$6:$G$238,U2971)="","",INDEX(Manual_Review!$G$6:$G$238,U2971))</f>
        <v/>
      </c>
      <c r="W2971" s="11" t="str">
        <f>IF(INDEX(Manual_Review!$H$6:$H$238,U2971)="","",INDEX(Manual_Review!$H$6:$H$238,U2971))</f>
        <v/>
      </c>
      <c r="X2971" s="5" t="str">
        <f>IF(INDEX(Manual_Review!$I$6:$I$238,U2971)="","",INDEX(Manual_Review!$I$6:$I$238,U2971))</f>
        <v/>
      </c>
      <c r="Y2971" s="5" t="s">
        <v>2859</v>
      </c>
    </row>
    <row r="2972" spans="1:25" ht="25.5">
      <c r="A2972" s="5" t="s">
        <v>9031</v>
      </c>
      <c r="B2972" s="5" t="s">
        <v>2095</v>
      </c>
      <c r="C2972" s="5" t="s">
        <v>2096</v>
      </c>
      <c r="D2972" s="5" t="s">
        <v>118</v>
      </c>
      <c r="E2972" s="5" t="s">
        <v>2787</v>
      </c>
      <c r="F2972" s="5" t="s">
        <v>2758</v>
      </c>
      <c r="G2972" s="5">
        <v>1</v>
      </c>
      <c r="H2972" s="5" t="s">
        <v>2864</v>
      </c>
      <c r="I2972" s="5" t="str">
        <f>IF(INDEX(Manual_Review!$Q$6:$Q$238,U2972)="","",INDEX(Manual_Review!$Q$6:$Q$238,U2972))</f>
        <v/>
      </c>
      <c r="J2972" s="5" t="str">
        <f t="shared" si="92"/>
        <v>AI provisional</v>
      </c>
      <c r="K2972" s="5" t="str">
        <f t="shared" si="93"/>
        <v>U</v>
      </c>
      <c r="L2972" s="5" t="s">
        <v>2105</v>
      </c>
      <c r="M2972" s="5" t="s">
        <v>9032</v>
      </c>
      <c r="N2972" s="5" t="s">
        <v>9033</v>
      </c>
      <c r="O2972" s="5" t="s">
        <v>3014</v>
      </c>
      <c r="P2972" s="5" t="s">
        <v>2992</v>
      </c>
      <c r="Q2972" s="11">
        <v>46306.5</v>
      </c>
      <c r="R2972" s="6"/>
      <c r="S2972" s="6"/>
      <c r="T2972" s="6"/>
      <c r="U2972" s="5">
        <f>MATCH(B2972,Manual_Review!$A$6:$A$238,0)</f>
        <v>186</v>
      </c>
      <c r="V2972" s="5" t="str">
        <f>IF(INDEX(Manual_Review!$G$6:$G$238,U2972)="","",INDEX(Manual_Review!$G$6:$G$238,U2972))</f>
        <v/>
      </c>
      <c r="W2972" s="11" t="str">
        <f>IF(INDEX(Manual_Review!$H$6:$H$238,U2972)="","",INDEX(Manual_Review!$H$6:$H$238,U2972))</f>
        <v/>
      </c>
      <c r="X2972" s="5" t="str">
        <f>IF(INDEX(Manual_Review!$I$6:$I$238,U2972)="","",INDEX(Manual_Review!$I$6:$I$238,U2972))</f>
        <v/>
      </c>
      <c r="Y2972" s="5" t="s">
        <v>2859</v>
      </c>
    </row>
    <row r="2973" spans="1:25" ht="38.25">
      <c r="A2973" s="5" t="s">
        <v>9034</v>
      </c>
      <c r="B2973" s="5" t="s">
        <v>2095</v>
      </c>
      <c r="C2973" s="5" t="s">
        <v>2096</v>
      </c>
      <c r="D2973" s="5" t="s">
        <v>118</v>
      </c>
      <c r="E2973" s="5" t="s">
        <v>2788</v>
      </c>
      <c r="F2973" s="5" t="s">
        <v>2758</v>
      </c>
      <c r="G2973" s="5">
        <v>1</v>
      </c>
      <c r="H2973" s="5" t="s">
        <v>2854</v>
      </c>
      <c r="I2973" s="5" t="str">
        <f>IF(INDEX(Manual_Review!$R$6:$R$238,U2973)="","",INDEX(Manual_Review!$R$6:$R$238,U2973))</f>
        <v/>
      </c>
      <c r="J2973" s="5" t="str">
        <f t="shared" si="92"/>
        <v>AI provisional</v>
      </c>
      <c r="K2973" s="5" t="str">
        <f t="shared" si="93"/>
        <v>Y</v>
      </c>
      <c r="L2973" s="5" t="s">
        <v>2105</v>
      </c>
      <c r="M2973" s="5" t="s">
        <v>9035</v>
      </c>
      <c r="N2973" s="5" t="s">
        <v>9036</v>
      </c>
      <c r="O2973" s="5" t="s">
        <v>3018</v>
      </c>
      <c r="P2973" s="5" t="s">
        <v>2992</v>
      </c>
      <c r="Q2973" s="11">
        <v>46306.5</v>
      </c>
      <c r="R2973" s="6"/>
      <c r="S2973" s="6"/>
      <c r="T2973" s="6"/>
      <c r="U2973" s="5">
        <f>MATCH(B2973,Manual_Review!$A$6:$A$238,0)</f>
        <v>186</v>
      </c>
      <c r="V2973" s="5" t="str">
        <f>IF(INDEX(Manual_Review!$G$6:$G$238,U2973)="","",INDEX(Manual_Review!$G$6:$G$238,U2973))</f>
        <v/>
      </c>
      <c r="W2973" s="11" t="str">
        <f>IF(INDEX(Manual_Review!$H$6:$H$238,U2973)="","",INDEX(Manual_Review!$H$6:$H$238,U2973))</f>
        <v/>
      </c>
      <c r="X2973" s="5" t="str">
        <f>IF(INDEX(Manual_Review!$I$6:$I$238,U2973)="","",INDEX(Manual_Review!$I$6:$I$238,U2973))</f>
        <v/>
      </c>
      <c r="Y2973" s="5" t="s">
        <v>2859</v>
      </c>
    </row>
    <row r="2974" spans="1:25" ht="25.5">
      <c r="A2974" s="5" t="s">
        <v>9037</v>
      </c>
      <c r="B2974" s="5" t="s">
        <v>2095</v>
      </c>
      <c r="C2974" s="5" t="s">
        <v>2096</v>
      </c>
      <c r="D2974" s="5" t="s">
        <v>118</v>
      </c>
      <c r="E2974" s="5" t="s">
        <v>2789</v>
      </c>
      <c r="F2974" s="5" t="s">
        <v>2758</v>
      </c>
      <c r="G2974" s="5">
        <v>1</v>
      </c>
      <c r="H2974" s="5" t="s">
        <v>2854</v>
      </c>
      <c r="I2974" s="5" t="str">
        <f>IF(INDEX(Manual_Review!$S$6:$S$238,U2974)="","",INDEX(Manual_Review!$S$6:$S$238,U2974))</f>
        <v/>
      </c>
      <c r="J2974" s="5" t="str">
        <f t="shared" si="92"/>
        <v>AI provisional</v>
      </c>
      <c r="K2974" s="5" t="str">
        <f t="shared" si="93"/>
        <v>Y</v>
      </c>
      <c r="L2974" s="5" t="s">
        <v>2105</v>
      </c>
      <c r="M2974" s="5" t="s">
        <v>9038</v>
      </c>
      <c r="N2974" s="5" t="s">
        <v>9039</v>
      </c>
      <c r="O2974" s="5" t="s">
        <v>3022</v>
      </c>
      <c r="P2974" s="5" t="s">
        <v>2992</v>
      </c>
      <c r="Q2974" s="11">
        <v>46306.5</v>
      </c>
      <c r="R2974" s="6"/>
      <c r="S2974" s="6"/>
      <c r="T2974" s="6"/>
      <c r="U2974" s="5">
        <f>MATCH(B2974,Manual_Review!$A$6:$A$238,0)</f>
        <v>186</v>
      </c>
      <c r="V2974" s="5" t="str">
        <f>IF(INDEX(Manual_Review!$G$6:$G$238,U2974)="","",INDEX(Manual_Review!$G$6:$G$238,U2974))</f>
        <v/>
      </c>
      <c r="W2974" s="11" t="str">
        <f>IF(INDEX(Manual_Review!$H$6:$H$238,U2974)="","",INDEX(Manual_Review!$H$6:$H$238,U2974))</f>
        <v/>
      </c>
      <c r="X2974" s="5" t="str">
        <f>IF(INDEX(Manual_Review!$I$6:$I$238,U2974)="","",INDEX(Manual_Review!$I$6:$I$238,U2974))</f>
        <v/>
      </c>
      <c r="Y2974" s="5" t="s">
        <v>2859</v>
      </c>
    </row>
    <row r="2975" spans="1:25" ht="25.5">
      <c r="A2975" s="5" t="s">
        <v>9040</v>
      </c>
      <c r="B2975" s="5" t="s">
        <v>2095</v>
      </c>
      <c r="C2975" s="5" t="s">
        <v>2096</v>
      </c>
      <c r="D2975" s="5" t="s">
        <v>118</v>
      </c>
      <c r="E2975" s="5" t="s">
        <v>2790</v>
      </c>
      <c r="F2975" s="5" t="s">
        <v>2760</v>
      </c>
      <c r="G2975" s="5">
        <v>1</v>
      </c>
      <c r="H2975" s="5" t="s">
        <v>2854</v>
      </c>
      <c r="I2975" s="5" t="str">
        <f>IF(INDEX(Manual_Review!$T$6:$T$238,U2975)="","",INDEX(Manual_Review!$T$6:$T$238,U2975))</f>
        <v/>
      </c>
      <c r="J2975" s="5" t="str">
        <f t="shared" si="92"/>
        <v>AI provisional</v>
      </c>
      <c r="K2975" s="5" t="str">
        <f t="shared" si="93"/>
        <v>Y</v>
      </c>
      <c r="L2975" s="5" t="s">
        <v>2105</v>
      </c>
      <c r="M2975" s="5" t="s">
        <v>9041</v>
      </c>
      <c r="N2975" s="5" t="s">
        <v>9042</v>
      </c>
      <c r="O2975" s="5" t="s">
        <v>3451</v>
      </c>
      <c r="P2975" s="5" t="s">
        <v>2992</v>
      </c>
      <c r="Q2975" s="11">
        <v>46306.5</v>
      </c>
      <c r="R2975" s="6"/>
      <c r="S2975" s="6"/>
      <c r="T2975" s="6"/>
      <c r="U2975" s="5">
        <f>MATCH(B2975,Manual_Review!$A$6:$A$238,0)</f>
        <v>186</v>
      </c>
      <c r="V2975" s="5" t="str">
        <f>IF(INDEX(Manual_Review!$G$6:$G$238,U2975)="","",INDEX(Manual_Review!$G$6:$G$238,U2975))</f>
        <v/>
      </c>
      <c r="W2975" s="11" t="str">
        <f>IF(INDEX(Manual_Review!$H$6:$H$238,U2975)="","",INDEX(Manual_Review!$H$6:$H$238,U2975))</f>
        <v/>
      </c>
      <c r="X2975" s="5" t="str">
        <f>IF(INDEX(Manual_Review!$I$6:$I$238,U2975)="","",INDEX(Manual_Review!$I$6:$I$238,U2975))</f>
        <v/>
      </c>
      <c r="Y2975" s="5" t="s">
        <v>2859</v>
      </c>
    </row>
    <row r="2976" spans="1:25" ht="25.5">
      <c r="A2976" s="5" t="s">
        <v>9043</v>
      </c>
      <c r="B2976" s="5" t="s">
        <v>2095</v>
      </c>
      <c r="C2976" s="5" t="s">
        <v>2096</v>
      </c>
      <c r="D2976" s="5" t="s">
        <v>118</v>
      </c>
      <c r="E2976" s="5" t="s">
        <v>2791</v>
      </c>
      <c r="F2976" s="5" t="s">
        <v>2760</v>
      </c>
      <c r="G2976" s="5">
        <v>1</v>
      </c>
      <c r="H2976" s="5" t="s">
        <v>2854</v>
      </c>
      <c r="I2976" s="5" t="str">
        <f>IF(INDEX(Manual_Review!$U$6:$U$238,U2976)="","",INDEX(Manual_Review!$U$6:$U$238,U2976))</f>
        <v/>
      </c>
      <c r="J2976" s="5" t="str">
        <f t="shared" si="92"/>
        <v>AI provisional</v>
      </c>
      <c r="K2976" s="5" t="str">
        <f t="shared" si="93"/>
        <v>Y</v>
      </c>
      <c r="L2976" s="5" t="s">
        <v>2105</v>
      </c>
      <c r="M2976" s="5" t="s">
        <v>9044</v>
      </c>
      <c r="N2976" s="5" t="s">
        <v>9045</v>
      </c>
      <c r="O2976" s="5" t="s">
        <v>3832</v>
      </c>
      <c r="P2976" s="5" t="s">
        <v>2992</v>
      </c>
      <c r="Q2976" s="11">
        <v>46306.5</v>
      </c>
      <c r="R2976" s="6"/>
      <c r="S2976" s="6"/>
      <c r="T2976" s="6"/>
      <c r="U2976" s="5">
        <f>MATCH(B2976,Manual_Review!$A$6:$A$238,0)</f>
        <v>186</v>
      </c>
      <c r="V2976" s="5" t="str">
        <f>IF(INDEX(Manual_Review!$G$6:$G$238,U2976)="","",INDEX(Manual_Review!$G$6:$G$238,U2976))</f>
        <v/>
      </c>
      <c r="W2976" s="11" t="str">
        <f>IF(INDEX(Manual_Review!$H$6:$H$238,U2976)="","",INDEX(Manual_Review!$H$6:$H$238,U2976))</f>
        <v/>
      </c>
      <c r="X2976" s="5" t="str">
        <f>IF(INDEX(Manual_Review!$I$6:$I$238,U2976)="","",INDEX(Manual_Review!$I$6:$I$238,U2976))</f>
        <v/>
      </c>
      <c r="Y2976" s="5" t="s">
        <v>2859</v>
      </c>
    </row>
    <row r="2977" spans="1:25" ht="25.5">
      <c r="A2977" s="5" t="s">
        <v>9046</v>
      </c>
      <c r="B2977" s="5" t="s">
        <v>2095</v>
      </c>
      <c r="C2977" s="5" t="s">
        <v>2096</v>
      </c>
      <c r="D2977" s="5" t="s">
        <v>118</v>
      </c>
      <c r="E2977" s="5" t="s">
        <v>2792</v>
      </c>
      <c r="F2977" s="5" t="s">
        <v>2762</v>
      </c>
      <c r="G2977" s="5">
        <v>1</v>
      </c>
      <c r="H2977" s="5" t="s">
        <v>2864</v>
      </c>
      <c r="I2977" s="5" t="str">
        <f>IF(INDEX(Manual_Review!$V$6:$V$238,U2977)="","",INDEX(Manual_Review!$V$6:$V$238,U2977))</f>
        <v/>
      </c>
      <c r="J2977" s="5" t="str">
        <f t="shared" si="92"/>
        <v>AI provisional</v>
      </c>
      <c r="K2977" s="5" t="str">
        <f t="shared" si="93"/>
        <v>U</v>
      </c>
      <c r="L2977" s="5" t="s">
        <v>2105</v>
      </c>
      <c r="M2977" s="5" t="s">
        <v>9047</v>
      </c>
      <c r="N2977" s="5" t="s">
        <v>9048</v>
      </c>
      <c r="O2977" s="5" t="s">
        <v>3947</v>
      </c>
      <c r="P2977" s="5" t="s">
        <v>2992</v>
      </c>
      <c r="Q2977" s="11">
        <v>46306.5</v>
      </c>
      <c r="R2977" s="6"/>
      <c r="S2977" s="6"/>
      <c r="T2977" s="6"/>
      <c r="U2977" s="5">
        <f>MATCH(B2977,Manual_Review!$A$6:$A$238,0)</f>
        <v>186</v>
      </c>
      <c r="V2977" s="5" t="str">
        <f>IF(INDEX(Manual_Review!$G$6:$G$238,U2977)="","",INDEX(Manual_Review!$G$6:$G$238,U2977))</f>
        <v/>
      </c>
      <c r="W2977" s="11" t="str">
        <f>IF(INDEX(Manual_Review!$H$6:$H$238,U2977)="","",INDEX(Manual_Review!$H$6:$H$238,U2977))</f>
        <v/>
      </c>
      <c r="X2977" s="5" t="str">
        <f>IF(INDEX(Manual_Review!$I$6:$I$238,U2977)="","",INDEX(Manual_Review!$I$6:$I$238,U2977))</f>
        <v/>
      </c>
      <c r="Y2977" s="5" t="s">
        <v>2859</v>
      </c>
    </row>
    <row r="2978" spans="1:25" ht="38.25">
      <c r="A2978" s="5" t="s">
        <v>9049</v>
      </c>
      <c r="B2978" s="5" t="s">
        <v>2095</v>
      </c>
      <c r="C2978" s="5" t="s">
        <v>2096</v>
      </c>
      <c r="D2978" s="5" t="s">
        <v>118</v>
      </c>
      <c r="E2978" s="5" t="s">
        <v>2793</v>
      </c>
      <c r="F2978" s="5" t="s">
        <v>2762</v>
      </c>
      <c r="G2978" s="5">
        <v>1</v>
      </c>
      <c r="H2978" s="5" t="s">
        <v>2854</v>
      </c>
      <c r="I2978" s="5" t="str">
        <f>IF(INDEX(Manual_Review!$W$6:$W$238,U2978)="","",INDEX(Manual_Review!$W$6:$W$238,U2978))</f>
        <v/>
      </c>
      <c r="J2978" s="5" t="str">
        <f t="shared" si="92"/>
        <v>AI provisional</v>
      </c>
      <c r="K2978" s="5" t="str">
        <f t="shared" si="93"/>
        <v>Y</v>
      </c>
      <c r="L2978" s="5" t="s">
        <v>2105</v>
      </c>
      <c r="M2978" s="5" t="s">
        <v>9050</v>
      </c>
      <c r="N2978" s="5" t="s">
        <v>9051</v>
      </c>
      <c r="O2978" s="5" t="s">
        <v>3038</v>
      </c>
      <c r="P2978" s="5" t="s">
        <v>2992</v>
      </c>
      <c r="Q2978" s="11">
        <v>46306.5</v>
      </c>
      <c r="R2978" s="6"/>
      <c r="S2978" s="6"/>
      <c r="T2978" s="6"/>
      <c r="U2978" s="5">
        <f>MATCH(B2978,Manual_Review!$A$6:$A$238,0)</f>
        <v>186</v>
      </c>
      <c r="V2978" s="5" t="str">
        <f>IF(INDEX(Manual_Review!$G$6:$G$238,U2978)="","",INDEX(Manual_Review!$G$6:$G$238,U2978))</f>
        <v/>
      </c>
      <c r="W2978" s="11" t="str">
        <f>IF(INDEX(Manual_Review!$H$6:$H$238,U2978)="","",INDEX(Manual_Review!$H$6:$H$238,U2978))</f>
        <v/>
      </c>
      <c r="X2978" s="5" t="str">
        <f>IF(INDEX(Manual_Review!$I$6:$I$238,U2978)="","",INDEX(Manual_Review!$I$6:$I$238,U2978))</f>
        <v/>
      </c>
      <c r="Y2978" s="5" t="s">
        <v>2859</v>
      </c>
    </row>
    <row r="2979" spans="1:25" ht="25.5">
      <c r="A2979" s="5" t="s">
        <v>9052</v>
      </c>
      <c r="B2979" s="5" t="s">
        <v>2095</v>
      </c>
      <c r="C2979" s="5" t="s">
        <v>2096</v>
      </c>
      <c r="D2979" s="5" t="s">
        <v>118</v>
      </c>
      <c r="E2979" s="5" t="s">
        <v>2794</v>
      </c>
      <c r="F2979" s="5" t="s">
        <v>2764</v>
      </c>
      <c r="G2979" s="5">
        <v>1</v>
      </c>
      <c r="H2979" s="5" t="s">
        <v>2854</v>
      </c>
      <c r="I2979" s="5" t="str">
        <f>IF(INDEX(Manual_Review!$X$6:$X$238,U2979)="","",INDEX(Manual_Review!$X$6:$X$238,U2979))</f>
        <v/>
      </c>
      <c r="J2979" s="5" t="str">
        <f t="shared" si="92"/>
        <v>AI provisional</v>
      </c>
      <c r="K2979" s="5" t="str">
        <f t="shared" si="93"/>
        <v>Y</v>
      </c>
      <c r="L2979" s="5" t="s">
        <v>2105</v>
      </c>
      <c r="M2979" s="5" t="s">
        <v>9053</v>
      </c>
      <c r="N2979" s="5" t="s">
        <v>9054</v>
      </c>
      <c r="O2979" s="5" t="s">
        <v>3042</v>
      </c>
      <c r="P2979" s="5" t="s">
        <v>2992</v>
      </c>
      <c r="Q2979" s="11">
        <v>46306.5</v>
      </c>
      <c r="R2979" s="6"/>
      <c r="S2979" s="6"/>
      <c r="T2979" s="6"/>
      <c r="U2979" s="5">
        <f>MATCH(B2979,Manual_Review!$A$6:$A$238,0)</f>
        <v>186</v>
      </c>
      <c r="V2979" s="5" t="str">
        <f>IF(INDEX(Manual_Review!$G$6:$G$238,U2979)="","",INDEX(Manual_Review!$G$6:$G$238,U2979))</f>
        <v/>
      </c>
      <c r="W2979" s="11" t="str">
        <f>IF(INDEX(Manual_Review!$H$6:$H$238,U2979)="","",INDEX(Manual_Review!$H$6:$H$238,U2979))</f>
        <v/>
      </c>
      <c r="X2979" s="5" t="str">
        <f>IF(INDEX(Manual_Review!$I$6:$I$238,U2979)="","",INDEX(Manual_Review!$I$6:$I$238,U2979))</f>
        <v/>
      </c>
      <c r="Y2979" s="5" t="s">
        <v>2859</v>
      </c>
    </row>
    <row r="2980" spans="1:25" ht="25.5">
      <c r="A2980" s="5" t="s">
        <v>9055</v>
      </c>
      <c r="B2980" s="5" t="s">
        <v>2095</v>
      </c>
      <c r="C2980" s="5" t="s">
        <v>2096</v>
      </c>
      <c r="D2980" s="5" t="s">
        <v>118</v>
      </c>
      <c r="E2980" s="5" t="s">
        <v>2795</v>
      </c>
      <c r="F2980" s="5" t="s">
        <v>2764</v>
      </c>
      <c r="G2980" s="5">
        <v>1</v>
      </c>
      <c r="H2980" s="5" t="s">
        <v>2864</v>
      </c>
      <c r="I2980" s="5" t="str">
        <f>IF(INDEX(Manual_Review!$Y$6:$Y$238,U2980)="","",INDEX(Manual_Review!$Y$6:$Y$238,U2980))</f>
        <v/>
      </c>
      <c r="J2980" s="5" t="str">
        <f t="shared" si="92"/>
        <v>AI provisional</v>
      </c>
      <c r="K2980" s="5" t="str">
        <f t="shared" si="93"/>
        <v>U</v>
      </c>
      <c r="L2980" s="5" t="s">
        <v>2105</v>
      </c>
      <c r="M2980" s="5" t="s">
        <v>9056</v>
      </c>
      <c r="N2980" s="5" t="s">
        <v>9057</v>
      </c>
      <c r="O2980" s="5" t="s">
        <v>3469</v>
      </c>
      <c r="P2980" s="5" t="s">
        <v>2992</v>
      </c>
      <c r="Q2980" s="11">
        <v>46306.5</v>
      </c>
      <c r="R2980" s="6"/>
      <c r="S2980" s="6"/>
      <c r="T2980" s="6"/>
      <c r="U2980" s="5">
        <f>MATCH(B2980,Manual_Review!$A$6:$A$238,0)</f>
        <v>186</v>
      </c>
      <c r="V2980" s="5" t="str">
        <f>IF(INDEX(Manual_Review!$G$6:$G$238,U2980)="","",INDEX(Manual_Review!$G$6:$G$238,U2980))</f>
        <v/>
      </c>
      <c r="W2980" s="11" t="str">
        <f>IF(INDEX(Manual_Review!$H$6:$H$238,U2980)="","",INDEX(Manual_Review!$H$6:$H$238,U2980))</f>
        <v/>
      </c>
      <c r="X2980" s="5" t="str">
        <f>IF(INDEX(Manual_Review!$I$6:$I$238,U2980)="","",INDEX(Manual_Review!$I$6:$I$238,U2980))</f>
        <v/>
      </c>
      <c r="Y2980" s="5" t="s">
        <v>2859</v>
      </c>
    </row>
    <row r="2981" spans="1:25" ht="38.25">
      <c r="A2981" s="5" t="s">
        <v>9058</v>
      </c>
      <c r="B2981" s="5" t="s">
        <v>2095</v>
      </c>
      <c r="C2981" s="5" t="s">
        <v>2096</v>
      </c>
      <c r="D2981" s="5" t="s">
        <v>118</v>
      </c>
      <c r="E2981" s="5" t="s">
        <v>2796</v>
      </c>
      <c r="F2981" s="5" t="s">
        <v>2764</v>
      </c>
      <c r="G2981" s="5">
        <v>1</v>
      </c>
      <c r="H2981" s="5" t="s">
        <v>2854</v>
      </c>
      <c r="I2981" s="5" t="str">
        <f>IF(INDEX(Manual_Review!$Z$6:$Z$238,U2981)="","",INDEX(Manual_Review!$Z$6:$Z$238,U2981))</f>
        <v/>
      </c>
      <c r="J2981" s="5" t="str">
        <f t="shared" si="92"/>
        <v>AI provisional</v>
      </c>
      <c r="K2981" s="5" t="str">
        <f t="shared" si="93"/>
        <v>Y</v>
      </c>
      <c r="L2981" s="5" t="s">
        <v>2105</v>
      </c>
      <c r="M2981" s="5" t="s">
        <v>9059</v>
      </c>
      <c r="N2981" s="5" t="s">
        <v>9060</v>
      </c>
      <c r="O2981" s="5" t="s">
        <v>3960</v>
      </c>
      <c r="P2981" s="5" t="s">
        <v>2992</v>
      </c>
      <c r="Q2981" s="11">
        <v>46306.5</v>
      </c>
      <c r="R2981" s="6"/>
      <c r="S2981" s="6"/>
      <c r="T2981" s="6"/>
      <c r="U2981" s="5">
        <f>MATCH(B2981,Manual_Review!$A$6:$A$238,0)</f>
        <v>186</v>
      </c>
      <c r="V2981" s="5" t="str">
        <f>IF(INDEX(Manual_Review!$G$6:$G$238,U2981)="","",INDEX(Manual_Review!$G$6:$G$238,U2981))</f>
        <v/>
      </c>
      <c r="W2981" s="11" t="str">
        <f>IF(INDEX(Manual_Review!$H$6:$H$238,U2981)="","",INDEX(Manual_Review!$H$6:$H$238,U2981))</f>
        <v/>
      </c>
      <c r="X2981" s="5" t="str">
        <f>IF(INDEX(Manual_Review!$I$6:$I$238,U2981)="","",INDEX(Manual_Review!$I$6:$I$238,U2981))</f>
        <v/>
      </c>
      <c r="Y2981" s="5" t="s">
        <v>2859</v>
      </c>
    </row>
    <row r="2982" spans="1:25" ht="25.5">
      <c r="A2982" s="5" t="s">
        <v>9061</v>
      </c>
      <c r="B2982" s="5" t="s">
        <v>2107</v>
      </c>
      <c r="C2982" s="5" t="s">
        <v>2108</v>
      </c>
      <c r="D2982" s="5" t="s">
        <v>118</v>
      </c>
      <c r="E2982" s="5" t="s">
        <v>2781</v>
      </c>
      <c r="F2982" s="5" t="s">
        <v>2754</v>
      </c>
      <c r="G2982" s="5">
        <v>1</v>
      </c>
      <c r="H2982" s="5" t="s">
        <v>2854</v>
      </c>
      <c r="I2982" s="5" t="str">
        <f>IF(INDEX(Manual_Review!$K$6:$K$238,U2982)="","",INDEX(Manual_Review!$K$6:$K$238,U2982))</f>
        <v/>
      </c>
      <c r="J2982" s="5" t="str">
        <f t="shared" si="92"/>
        <v>AI provisional</v>
      </c>
      <c r="K2982" s="5" t="str">
        <f t="shared" si="93"/>
        <v>Y</v>
      </c>
      <c r="L2982" s="5" t="s">
        <v>2120</v>
      </c>
      <c r="M2982" s="5" t="s">
        <v>9062</v>
      </c>
      <c r="N2982" s="5" t="s">
        <v>9063</v>
      </c>
      <c r="O2982" s="5" t="s">
        <v>2991</v>
      </c>
      <c r="P2982" s="5" t="s">
        <v>2992</v>
      </c>
      <c r="Q2982" s="11">
        <v>46306.5</v>
      </c>
      <c r="R2982" s="6"/>
      <c r="S2982" s="6"/>
      <c r="T2982" s="6"/>
      <c r="U2982" s="5">
        <f>MATCH(B2982,Manual_Review!$A$6:$A$238,0)</f>
        <v>187</v>
      </c>
      <c r="V2982" s="5" t="str">
        <f>IF(INDEX(Manual_Review!$G$6:$G$238,U2982)="","",INDEX(Manual_Review!$G$6:$G$238,U2982))</f>
        <v/>
      </c>
      <c r="W2982" s="11" t="str">
        <f>IF(INDEX(Manual_Review!$H$6:$H$238,U2982)="","",INDEX(Manual_Review!$H$6:$H$238,U2982))</f>
        <v/>
      </c>
      <c r="X2982" s="5" t="str">
        <f>IF(INDEX(Manual_Review!$I$6:$I$238,U2982)="","",INDEX(Manual_Review!$I$6:$I$238,U2982))</f>
        <v/>
      </c>
      <c r="Y2982" s="5" t="s">
        <v>2859</v>
      </c>
    </row>
    <row r="2983" spans="1:25" ht="25.5">
      <c r="A2983" s="5" t="s">
        <v>9064</v>
      </c>
      <c r="B2983" s="5" t="s">
        <v>2107</v>
      </c>
      <c r="C2983" s="5" t="s">
        <v>2108</v>
      </c>
      <c r="D2983" s="5" t="s">
        <v>118</v>
      </c>
      <c r="E2983" s="5" t="s">
        <v>2782</v>
      </c>
      <c r="F2983" s="5" t="s">
        <v>2754</v>
      </c>
      <c r="G2983" s="5">
        <v>1</v>
      </c>
      <c r="H2983" s="5" t="s">
        <v>2854</v>
      </c>
      <c r="I2983" s="5" t="str">
        <f>IF(INDEX(Manual_Review!$L$6:$L$238,U2983)="","",INDEX(Manual_Review!$L$6:$L$238,U2983))</f>
        <v/>
      </c>
      <c r="J2983" s="5" t="str">
        <f t="shared" si="92"/>
        <v>AI provisional</v>
      </c>
      <c r="K2983" s="5" t="str">
        <f t="shared" si="93"/>
        <v>Y</v>
      </c>
      <c r="L2983" s="5" t="s">
        <v>2120</v>
      </c>
      <c r="M2983" s="5" t="s">
        <v>9065</v>
      </c>
      <c r="N2983" s="5" t="s">
        <v>9066</v>
      </c>
      <c r="O2983" s="5" t="s">
        <v>2996</v>
      </c>
      <c r="P2983" s="5" t="s">
        <v>2992</v>
      </c>
      <c r="Q2983" s="11">
        <v>46306.5</v>
      </c>
      <c r="R2983" s="6"/>
      <c r="S2983" s="6"/>
      <c r="T2983" s="6"/>
      <c r="U2983" s="5">
        <f>MATCH(B2983,Manual_Review!$A$6:$A$238,0)</f>
        <v>187</v>
      </c>
      <c r="V2983" s="5" t="str">
        <f>IF(INDEX(Manual_Review!$G$6:$G$238,U2983)="","",INDEX(Manual_Review!$G$6:$G$238,U2983))</f>
        <v/>
      </c>
      <c r="W2983" s="11" t="str">
        <f>IF(INDEX(Manual_Review!$H$6:$H$238,U2983)="","",INDEX(Manual_Review!$H$6:$H$238,U2983))</f>
        <v/>
      </c>
      <c r="X2983" s="5" t="str">
        <f>IF(INDEX(Manual_Review!$I$6:$I$238,U2983)="","",INDEX(Manual_Review!$I$6:$I$238,U2983))</f>
        <v/>
      </c>
      <c r="Y2983" s="5" t="s">
        <v>2859</v>
      </c>
    </row>
    <row r="2984" spans="1:25" ht="25.5">
      <c r="A2984" s="5" t="s">
        <v>9067</v>
      </c>
      <c r="B2984" s="5" t="s">
        <v>2107</v>
      </c>
      <c r="C2984" s="5" t="s">
        <v>2108</v>
      </c>
      <c r="D2984" s="5" t="s">
        <v>118</v>
      </c>
      <c r="E2984" s="5" t="s">
        <v>2783</v>
      </c>
      <c r="F2984" s="5" t="s">
        <v>2754</v>
      </c>
      <c r="G2984" s="5">
        <v>1</v>
      </c>
      <c r="H2984" s="5" t="s">
        <v>2854</v>
      </c>
      <c r="I2984" s="5" t="str">
        <f>IF(INDEX(Manual_Review!$M$6:$M$238,U2984)="","",INDEX(Manual_Review!$M$6:$M$238,U2984))</f>
        <v/>
      </c>
      <c r="J2984" s="5" t="str">
        <f t="shared" si="92"/>
        <v>AI provisional</v>
      </c>
      <c r="K2984" s="5" t="str">
        <f t="shared" si="93"/>
        <v>Y</v>
      </c>
      <c r="L2984" s="5" t="s">
        <v>2120</v>
      </c>
      <c r="M2984" s="5" t="s">
        <v>9068</v>
      </c>
      <c r="N2984" s="5" t="s">
        <v>9069</v>
      </c>
      <c r="O2984" s="5" t="s">
        <v>3000</v>
      </c>
      <c r="P2984" s="5" t="s">
        <v>2992</v>
      </c>
      <c r="Q2984" s="11">
        <v>46306.5</v>
      </c>
      <c r="R2984" s="6"/>
      <c r="S2984" s="6"/>
      <c r="T2984" s="6"/>
      <c r="U2984" s="5">
        <f>MATCH(B2984,Manual_Review!$A$6:$A$238,0)</f>
        <v>187</v>
      </c>
      <c r="V2984" s="5" t="str">
        <f>IF(INDEX(Manual_Review!$G$6:$G$238,U2984)="","",INDEX(Manual_Review!$G$6:$G$238,U2984))</f>
        <v/>
      </c>
      <c r="W2984" s="11" t="str">
        <f>IF(INDEX(Manual_Review!$H$6:$H$238,U2984)="","",INDEX(Manual_Review!$H$6:$H$238,U2984))</f>
        <v/>
      </c>
      <c r="X2984" s="5" t="str">
        <f>IF(INDEX(Manual_Review!$I$6:$I$238,U2984)="","",INDEX(Manual_Review!$I$6:$I$238,U2984))</f>
        <v/>
      </c>
      <c r="Y2984" s="5" t="s">
        <v>2859</v>
      </c>
    </row>
    <row r="2985" spans="1:25" ht="25.5">
      <c r="A2985" s="5" t="s">
        <v>9070</v>
      </c>
      <c r="B2985" s="5" t="s">
        <v>2107</v>
      </c>
      <c r="C2985" s="5" t="s">
        <v>2108</v>
      </c>
      <c r="D2985" s="5" t="s">
        <v>118</v>
      </c>
      <c r="E2985" s="5" t="s">
        <v>2784</v>
      </c>
      <c r="F2985" s="5" t="s">
        <v>2756</v>
      </c>
      <c r="G2985" s="5">
        <v>1</v>
      </c>
      <c r="H2985" s="5" t="s">
        <v>2854</v>
      </c>
      <c r="I2985" s="5" t="str">
        <f>IF(INDEX(Manual_Review!$N$6:$N$238,U2985)="","",INDEX(Manual_Review!$N$6:$N$238,U2985))</f>
        <v/>
      </c>
      <c r="J2985" s="5" t="str">
        <f t="shared" si="92"/>
        <v>AI provisional</v>
      </c>
      <c r="K2985" s="5" t="str">
        <f t="shared" si="93"/>
        <v>Y</v>
      </c>
      <c r="L2985" s="5" t="s">
        <v>2120</v>
      </c>
      <c r="M2985" s="5" t="s">
        <v>9071</v>
      </c>
      <c r="N2985" s="5" t="s">
        <v>9072</v>
      </c>
      <c r="O2985" s="5" t="s">
        <v>3004</v>
      </c>
      <c r="P2985" s="5" t="s">
        <v>2992</v>
      </c>
      <c r="Q2985" s="11">
        <v>46306.5</v>
      </c>
      <c r="R2985" s="6"/>
      <c r="S2985" s="6"/>
      <c r="T2985" s="6"/>
      <c r="U2985" s="5">
        <f>MATCH(B2985,Manual_Review!$A$6:$A$238,0)</f>
        <v>187</v>
      </c>
      <c r="V2985" s="5" t="str">
        <f>IF(INDEX(Manual_Review!$G$6:$G$238,U2985)="","",INDEX(Manual_Review!$G$6:$G$238,U2985))</f>
        <v/>
      </c>
      <c r="W2985" s="11" t="str">
        <f>IF(INDEX(Manual_Review!$H$6:$H$238,U2985)="","",INDEX(Manual_Review!$H$6:$H$238,U2985))</f>
        <v/>
      </c>
      <c r="X2985" s="5" t="str">
        <f>IF(INDEX(Manual_Review!$I$6:$I$238,U2985)="","",INDEX(Manual_Review!$I$6:$I$238,U2985))</f>
        <v/>
      </c>
      <c r="Y2985" s="5" t="s">
        <v>2859</v>
      </c>
    </row>
    <row r="2986" spans="1:25" ht="25.5">
      <c r="A2986" s="5" t="s">
        <v>9073</v>
      </c>
      <c r="B2986" s="5" t="s">
        <v>2107</v>
      </c>
      <c r="C2986" s="5" t="s">
        <v>2108</v>
      </c>
      <c r="D2986" s="5" t="s">
        <v>118</v>
      </c>
      <c r="E2986" s="5" t="s">
        <v>2785</v>
      </c>
      <c r="F2986" s="5" t="s">
        <v>2756</v>
      </c>
      <c r="G2986" s="5">
        <v>1</v>
      </c>
      <c r="H2986" s="5" t="s">
        <v>2864</v>
      </c>
      <c r="I2986" s="5" t="str">
        <f>IF(INDEX(Manual_Review!$O$6:$O$238,U2986)="","",INDEX(Manual_Review!$O$6:$O$238,U2986))</f>
        <v/>
      </c>
      <c r="J2986" s="5" t="str">
        <f t="shared" si="92"/>
        <v>AI provisional</v>
      </c>
      <c r="K2986" s="5" t="str">
        <f t="shared" si="93"/>
        <v>U</v>
      </c>
      <c r="L2986" s="5" t="s">
        <v>2120</v>
      </c>
      <c r="M2986" s="5" t="s">
        <v>9071</v>
      </c>
      <c r="N2986" s="5" t="s">
        <v>9072</v>
      </c>
      <c r="O2986" s="5" t="s">
        <v>3006</v>
      </c>
      <c r="P2986" s="5" t="s">
        <v>2992</v>
      </c>
      <c r="Q2986" s="11">
        <v>46306.5</v>
      </c>
      <c r="R2986" s="6"/>
      <c r="S2986" s="6"/>
      <c r="T2986" s="6"/>
      <c r="U2986" s="5">
        <f>MATCH(B2986,Manual_Review!$A$6:$A$238,0)</f>
        <v>187</v>
      </c>
      <c r="V2986" s="5" t="str">
        <f>IF(INDEX(Manual_Review!$G$6:$G$238,U2986)="","",INDEX(Manual_Review!$G$6:$G$238,U2986))</f>
        <v/>
      </c>
      <c r="W2986" s="11" t="str">
        <f>IF(INDEX(Manual_Review!$H$6:$H$238,U2986)="","",INDEX(Manual_Review!$H$6:$H$238,U2986))</f>
        <v/>
      </c>
      <c r="X2986" s="5" t="str">
        <f>IF(INDEX(Manual_Review!$I$6:$I$238,U2986)="","",INDEX(Manual_Review!$I$6:$I$238,U2986))</f>
        <v/>
      </c>
      <c r="Y2986" s="5" t="s">
        <v>2859</v>
      </c>
    </row>
    <row r="2987" spans="1:25" ht="38.25">
      <c r="A2987" s="5" t="s">
        <v>9074</v>
      </c>
      <c r="B2987" s="5" t="s">
        <v>2107</v>
      </c>
      <c r="C2987" s="5" t="s">
        <v>2108</v>
      </c>
      <c r="D2987" s="5" t="s">
        <v>118</v>
      </c>
      <c r="E2987" s="5" t="s">
        <v>2786</v>
      </c>
      <c r="F2987" s="5" t="s">
        <v>2756</v>
      </c>
      <c r="G2987" s="5">
        <v>1</v>
      </c>
      <c r="H2987" s="5" t="s">
        <v>2864</v>
      </c>
      <c r="I2987" s="5" t="str">
        <f>IF(INDEX(Manual_Review!$P$6:$P$238,U2987)="","",INDEX(Manual_Review!$P$6:$P$238,U2987))</f>
        <v/>
      </c>
      <c r="J2987" s="5" t="str">
        <f t="shared" si="92"/>
        <v>AI provisional</v>
      </c>
      <c r="K2987" s="5" t="str">
        <f t="shared" si="93"/>
        <v>U</v>
      </c>
      <c r="L2987" s="5" t="s">
        <v>2120</v>
      </c>
      <c r="M2987" s="5" t="s">
        <v>9075</v>
      </c>
      <c r="N2987" s="5" t="s">
        <v>9076</v>
      </c>
      <c r="O2987" s="5" t="s">
        <v>3010</v>
      </c>
      <c r="P2987" s="5" t="s">
        <v>2992</v>
      </c>
      <c r="Q2987" s="11">
        <v>46306.5</v>
      </c>
      <c r="R2987" s="6"/>
      <c r="S2987" s="6"/>
      <c r="T2987" s="6"/>
      <c r="U2987" s="5">
        <f>MATCH(B2987,Manual_Review!$A$6:$A$238,0)</f>
        <v>187</v>
      </c>
      <c r="V2987" s="5" t="str">
        <f>IF(INDEX(Manual_Review!$G$6:$G$238,U2987)="","",INDEX(Manual_Review!$G$6:$G$238,U2987))</f>
        <v/>
      </c>
      <c r="W2987" s="11" t="str">
        <f>IF(INDEX(Manual_Review!$H$6:$H$238,U2987)="","",INDEX(Manual_Review!$H$6:$H$238,U2987))</f>
        <v/>
      </c>
      <c r="X2987" s="5" t="str">
        <f>IF(INDEX(Manual_Review!$I$6:$I$238,U2987)="","",INDEX(Manual_Review!$I$6:$I$238,U2987))</f>
        <v/>
      </c>
      <c r="Y2987" s="5" t="s">
        <v>2859</v>
      </c>
    </row>
    <row r="2988" spans="1:25" ht="25.5">
      <c r="A2988" s="5" t="s">
        <v>9077</v>
      </c>
      <c r="B2988" s="5" t="s">
        <v>2107</v>
      </c>
      <c r="C2988" s="5" t="s">
        <v>2108</v>
      </c>
      <c r="D2988" s="5" t="s">
        <v>118</v>
      </c>
      <c r="E2988" s="5" t="s">
        <v>2787</v>
      </c>
      <c r="F2988" s="5" t="s">
        <v>2758</v>
      </c>
      <c r="G2988" s="5">
        <v>1</v>
      </c>
      <c r="H2988" s="5" t="s">
        <v>2854</v>
      </c>
      <c r="I2988" s="5" t="str">
        <f>IF(INDEX(Manual_Review!$Q$6:$Q$238,U2988)="","",INDEX(Manual_Review!$Q$6:$Q$238,U2988))</f>
        <v/>
      </c>
      <c r="J2988" s="5" t="str">
        <f t="shared" si="92"/>
        <v>AI provisional</v>
      </c>
      <c r="K2988" s="5" t="str">
        <f t="shared" si="93"/>
        <v>Y</v>
      </c>
      <c r="L2988" s="5" t="s">
        <v>2120</v>
      </c>
      <c r="M2988" s="5" t="s">
        <v>9078</v>
      </c>
      <c r="N2988" s="5" t="s">
        <v>9079</v>
      </c>
      <c r="O2988" s="5" t="s">
        <v>3819</v>
      </c>
      <c r="P2988" s="5" t="s">
        <v>2992</v>
      </c>
      <c r="Q2988" s="11">
        <v>46306.5</v>
      </c>
      <c r="R2988" s="6"/>
      <c r="S2988" s="6"/>
      <c r="T2988" s="6"/>
      <c r="U2988" s="5">
        <f>MATCH(B2988,Manual_Review!$A$6:$A$238,0)</f>
        <v>187</v>
      </c>
      <c r="V2988" s="5" t="str">
        <f>IF(INDEX(Manual_Review!$G$6:$G$238,U2988)="","",INDEX(Manual_Review!$G$6:$G$238,U2988))</f>
        <v/>
      </c>
      <c r="W2988" s="11" t="str">
        <f>IF(INDEX(Manual_Review!$H$6:$H$238,U2988)="","",INDEX(Manual_Review!$H$6:$H$238,U2988))</f>
        <v/>
      </c>
      <c r="X2988" s="5" t="str">
        <f>IF(INDEX(Manual_Review!$I$6:$I$238,U2988)="","",INDEX(Manual_Review!$I$6:$I$238,U2988))</f>
        <v/>
      </c>
      <c r="Y2988" s="5" t="s">
        <v>2859</v>
      </c>
    </row>
    <row r="2989" spans="1:25" ht="51">
      <c r="A2989" s="5" t="s">
        <v>9080</v>
      </c>
      <c r="B2989" s="5" t="s">
        <v>2107</v>
      </c>
      <c r="C2989" s="5" t="s">
        <v>2108</v>
      </c>
      <c r="D2989" s="5" t="s">
        <v>118</v>
      </c>
      <c r="E2989" s="5" t="s">
        <v>2788</v>
      </c>
      <c r="F2989" s="5" t="s">
        <v>2758</v>
      </c>
      <c r="G2989" s="5">
        <v>1</v>
      </c>
      <c r="H2989" s="5" t="s">
        <v>2854</v>
      </c>
      <c r="I2989" s="5" t="str">
        <f>IF(INDEX(Manual_Review!$R$6:$R$238,U2989)="","",INDEX(Manual_Review!$R$6:$R$238,U2989))</f>
        <v/>
      </c>
      <c r="J2989" s="5" t="str">
        <f t="shared" si="92"/>
        <v>AI provisional</v>
      </c>
      <c r="K2989" s="5" t="str">
        <f t="shared" si="93"/>
        <v>Y</v>
      </c>
      <c r="L2989" s="5" t="s">
        <v>2120</v>
      </c>
      <c r="M2989" s="5" t="s">
        <v>9081</v>
      </c>
      <c r="N2989" s="5" t="s">
        <v>9082</v>
      </c>
      <c r="O2989" s="5" t="s">
        <v>3018</v>
      </c>
      <c r="P2989" s="5" t="s">
        <v>2992</v>
      </c>
      <c r="Q2989" s="11">
        <v>46306.5</v>
      </c>
      <c r="R2989" s="6"/>
      <c r="S2989" s="6"/>
      <c r="T2989" s="6"/>
      <c r="U2989" s="5">
        <f>MATCH(B2989,Manual_Review!$A$6:$A$238,0)</f>
        <v>187</v>
      </c>
      <c r="V2989" s="5" t="str">
        <f>IF(INDEX(Manual_Review!$G$6:$G$238,U2989)="","",INDEX(Manual_Review!$G$6:$G$238,U2989))</f>
        <v/>
      </c>
      <c r="W2989" s="11" t="str">
        <f>IF(INDEX(Manual_Review!$H$6:$H$238,U2989)="","",INDEX(Manual_Review!$H$6:$H$238,U2989))</f>
        <v/>
      </c>
      <c r="X2989" s="5" t="str">
        <f>IF(INDEX(Manual_Review!$I$6:$I$238,U2989)="","",INDEX(Manual_Review!$I$6:$I$238,U2989))</f>
        <v/>
      </c>
      <c r="Y2989" s="5" t="s">
        <v>2859</v>
      </c>
    </row>
    <row r="2990" spans="1:25" ht="38.25">
      <c r="A2990" s="5" t="s">
        <v>9083</v>
      </c>
      <c r="B2990" s="5" t="s">
        <v>2107</v>
      </c>
      <c r="C2990" s="5" t="s">
        <v>2108</v>
      </c>
      <c r="D2990" s="5" t="s">
        <v>118</v>
      </c>
      <c r="E2990" s="5" t="s">
        <v>2789</v>
      </c>
      <c r="F2990" s="5" t="s">
        <v>2758</v>
      </c>
      <c r="G2990" s="5">
        <v>1</v>
      </c>
      <c r="H2990" s="5" t="s">
        <v>2854</v>
      </c>
      <c r="I2990" s="5" t="str">
        <f>IF(INDEX(Manual_Review!$S$6:$S$238,U2990)="","",INDEX(Manual_Review!$S$6:$S$238,U2990))</f>
        <v/>
      </c>
      <c r="J2990" s="5" t="str">
        <f t="shared" si="92"/>
        <v>AI provisional</v>
      </c>
      <c r="K2990" s="5" t="str">
        <f t="shared" si="93"/>
        <v>Y</v>
      </c>
      <c r="L2990" s="5" t="s">
        <v>2120</v>
      </c>
      <c r="M2990" s="5" t="s">
        <v>9084</v>
      </c>
      <c r="N2990" s="5" t="s">
        <v>9085</v>
      </c>
      <c r="O2990" s="5" t="s">
        <v>3022</v>
      </c>
      <c r="P2990" s="5" t="s">
        <v>2992</v>
      </c>
      <c r="Q2990" s="11">
        <v>46306.5</v>
      </c>
      <c r="R2990" s="6"/>
      <c r="S2990" s="6"/>
      <c r="T2990" s="6"/>
      <c r="U2990" s="5">
        <f>MATCH(B2990,Manual_Review!$A$6:$A$238,0)</f>
        <v>187</v>
      </c>
      <c r="V2990" s="5" t="str">
        <f>IF(INDEX(Manual_Review!$G$6:$G$238,U2990)="","",INDEX(Manual_Review!$G$6:$G$238,U2990))</f>
        <v/>
      </c>
      <c r="W2990" s="11" t="str">
        <f>IF(INDEX(Manual_Review!$H$6:$H$238,U2990)="","",INDEX(Manual_Review!$H$6:$H$238,U2990))</f>
        <v/>
      </c>
      <c r="X2990" s="5" t="str">
        <f>IF(INDEX(Manual_Review!$I$6:$I$238,U2990)="","",INDEX(Manual_Review!$I$6:$I$238,U2990))</f>
        <v/>
      </c>
      <c r="Y2990" s="5" t="s">
        <v>2859</v>
      </c>
    </row>
    <row r="2991" spans="1:25" ht="25.5">
      <c r="A2991" s="5" t="s">
        <v>9086</v>
      </c>
      <c r="B2991" s="5" t="s">
        <v>2107</v>
      </c>
      <c r="C2991" s="5" t="s">
        <v>2108</v>
      </c>
      <c r="D2991" s="5" t="s">
        <v>118</v>
      </c>
      <c r="E2991" s="5" t="s">
        <v>2790</v>
      </c>
      <c r="F2991" s="5" t="s">
        <v>2760</v>
      </c>
      <c r="G2991" s="5">
        <v>1</v>
      </c>
      <c r="H2991" s="5" t="s">
        <v>2854</v>
      </c>
      <c r="I2991" s="5" t="str">
        <f>IF(INDEX(Manual_Review!$T$6:$T$238,U2991)="","",INDEX(Manual_Review!$T$6:$T$238,U2991))</f>
        <v/>
      </c>
      <c r="J2991" s="5" t="str">
        <f t="shared" si="92"/>
        <v>AI provisional</v>
      </c>
      <c r="K2991" s="5" t="str">
        <f t="shared" si="93"/>
        <v>Y</v>
      </c>
      <c r="L2991" s="5" t="s">
        <v>2120</v>
      </c>
      <c r="M2991" s="5" t="s">
        <v>9087</v>
      </c>
      <c r="N2991" s="5" t="s">
        <v>9088</v>
      </c>
      <c r="O2991" s="5" t="s">
        <v>3451</v>
      </c>
      <c r="P2991" s="5" t="s">
        <v>2992</v>
      </c>
      <c r="Q2991" s="11">
        <v>46306.5</v>
      </c>
      <c r="R2991" s="6"/>
      <c r="S2991" s="6"/>
      <c r="T2991" s="6"/>
      <c r="U2991" s="5">
        <f>MATCH(B2991,Manual_Review!$A$6:$A$238,0)</f>
        <v>187</v>
      </c>
      <c r="V2991" s="5" t="str">
        <f>IF(INDEX(Manual_Review!$G$6:$G$238,U2991)="","",INDEX(Manual_Review!$G$6:$G$238,U2991))</f>
        <v/>
      </c>
      <c r="W2991" s="11" t="str">
        <f>IF(INDEX(Manual_Review!$H$6:$H$238,U2991)="","",INDEX(Manual_Review!$H$6:$H$238,U2991))</f>
        <v/>
      </c>
      <c r="X2991" s="5" t="str">
        <f>IF(INDEX(Manual_Review!$I$6:$I$238,U2991)="","",INDEX(Manual_Review!$I$6:$I$238,U2991))</f>
        <v/>
      </c>
      <c r="Y2991" s="5" t="s">
        <v>2859</v>
      </c>
    </row>
    <row r="2992" spans="1:25" ht="25.5">
      <c r="A2992" s="5" t="s">
        <v>9089</v>
      </c>
      <c r="B2992" s="5" t="s">
        <v>2107</v>
      </c>
      <c r="C2992" s="5" t="s">
        <v>2108</v>
      </c>
      <c r="D2992" s="5" t="s">
        <v>118</v>
      </c>
      <c r="E2992" s="5" t="s">
        <v>2791</v>
      </c>
      <c r="F2992" s="5" t="s">
        <v>2760</v>
      </c>
      <c r="G2992" s="5">
        <v>1</v>
      </c>
      <c r="H2992" s="5" t="s">
        <v>2864</v>
      </c>
      <c r="I2992" s="5" t="str">
        <f>IF(INDEX(Manual_Review!$U$6:$U$238,U2992)="","",INDEX(Manual_Review!$U$6:$U$238,U2992))</f>
        <v/>
      </c>
      <c r="J2992" s="5" t="str">
        <f t="shared" si="92"/>
        <v>AI provisional</v>
      </c>
      <c r="K2992" s="5" t="str">
        <f t="shared" si="93"/>
        <v>U</v>
      </c>
      <c r="L2992" s="5" t="s">
        <v>2120</v>
      </c>
      <c r="M2992" s="5" t="s">
        <v>9090</v>
      </c>
      <c r="N2992" s="5" t="s">
        <v>9091</v>
      </c>
      <c r="O2992" s="5" t="s">
        <v>3030</v>
      </c>
      <c r="P2992" s="5" t="s">
        <v>2992</v>
      </c>
      <c r="Q2992" s="11">
        <v>46306.5</v>
      </c>
      <c r="R2992" s="6"/>
      <c r="S2992" s="6"/>
      <c r="T2992" s="6"/>
      <c r="U2992" s="5">
        <f>MATCH(B2992,Manual_Review!$A$6:$A$238,0)</f>
        <v>187</v>
      </c>
      <c r="V2992" s="5" t="str">
        <f>IF(INDEX(Manual_Review!$G$6:$G$238,U2992)="","",INDEX(Manual_Review!$G$6:$G$238,U2992))</f>
        <v/>
      </c>
      <c r="W2992" s="11" t="str">
        <f>IF(INDEX(Manual_Review!$H$6:$H$238,U2992)="","",INDEX(Manual_Review!$H$6:$H$238,U2992))</f>
        <v/>
      </c>
      <c r="X2992" s="5" t="str">
        <f>IF(INDEX(Manual_Review!$I$6:$I$238,U2992)="","",INDEX(Manual_Review!$I$6:$I$238,U2992))</f>
        <v/>
      </c>
      <c r="Y2992" s="5" t="s">
        <v>2859</v>
      </c>
    </row>
    <row r="2993" spans="1:25" ht="25.5">
      <c r="A2993" s="5" t="s">
        <v>9092</v>
      </c>
      <c r="B2993" s="5" t="s">
        <v>2107</v>
      </c>
      <c r="C2993" s="5" t="s">
        <v>2108</v>
      </c>
      <c r="D2993" s="5" t="s">
        <v>118</v>
      </c>
      <c r="E2993" s="5" t="s">
        <v>2792</v>
      </c>
      <c r="F2993" s="5" t="s">
        <v>2762</v>
      </c>
      <c r="G2993" s="5">
        <v>1</v>
      </c>
      <c r="H2993" s="5" t="s">
        <v>2854</v>
      </c>
      <c r="I2993" s="5" t="str">
        <f>IF(INDEX(Manual_Review!$V$6:$V$238,U2993)="","",INDEX(Manual_Review!$V$6:$V$238,U2993))</f>
        <v/>
      </c>
      <c r="J2993" s="5" t="str">
        <f t="shared" si="92"/>
        <v>AI provisional</v>
      </c>
      <c r="K2993" s="5" t="str">
        <f t="shared" si="93"/>
        <v>Y</v>
      </c>
      <c r="L2993" s="5" t="s">
        <v>2120</v>
      </c>
      <c r="M2993" s="5" t="s">
        <v>9093</v>
      </c>
      <c r="N2993" s="5" t="s">
        <v>9094</v>
      </c>
      <c r="O2993" s="5" t="s">
        <v>3034</v>
      </c>
      <c r="P2993" s="5" t="s">
        <v>2992</v>
      </c>
      <c r="Q2993" s="11">
        <v>46306.5</v>
      </c>
      <c r="R2993" s="6"/>
      <c r="S2993" s="6"/>
      <c r="T2993" s="6"/>
      <c r="U2993" s="5">
        <f>MATCH(B2993,Manual_Review!$A$6:$A$238,0)</f>
        <v>187</v>
      </c>
      <c r="V2993" s="5" t="str">
        <f>IF(INDEX(Manual_Review!$G$6:$G$238,U2993)="","",INDEX(Manual_Review!$G$6:$G$238,U2993))</f>
        <v/>
      </c>
      <c r="W2993" s="11" t="str">
        <f>IF(INDEX(Manual_Review!$H$6:$H$238,U2993)="","",INDEX(Manual_Review!$H$6:$H$238,U2993))</f>
        <v/>
      </c>
      <c r="X2993" s="5" t="str">
        <f>IF(INDEX(Manual_Review!$I$6:$I$238,U2993)="","",INDEX(Manual_Review!$I$6:$I$238,U2993))</f>
        <v/>
      </c>
      <c r="Y2993" s="5" t="s">
        <v>2859</v>
      </c>
    </row>
    <row r="2994" spans="1:25" ht="51">
      <c r="A2994" s="5" t="s">
        <v>9095</v>
      </c>
      <c r="B2994" s="5" t="s">
        <v>2107</v>
      </c>
      <c r="C2994" s="5" t="s">
        <v>2108</v>
      </c>
      <c r="D2994" s="5" t="s">
        <v>118</v>
      </c>
      <c r="E2994" s="5" t="s">
        <v>2793</v>
      </c>
      <c r="F2994" s="5" t="s">
        <v>2762</v>
      </c>
      <c r="G2994" s="5">
        <v>1</v>
      </c>
      <c r="H2994" s="5" t="s">
        <v>2854</v>
      </c>
      <c r="I2994" s="5" t="str">
        <f>IF(INDEX(Manual_Review!$W$6:$W$238,U2994)="","",INDEX(Manual_Review!$W$6:$W$238,U2994))</f>
        <v/>
      </c>
      <c r="J2994" s="5" t="str">
        <f t="shared" si="92"/>
        <v>AI provisional</v>
      </c>
      <c r="K2994" s="5" t="str">
        <f t="shared" si="93"/>
        <v>Y</v>
      </c>
      <c r="L2994" s="5" t="s">
        <v>2120</v>
      </c>
      <c r="M2994" s="5" t="s">
        <v>9096</v>
      </c>
      <c r="N2994" s="5" t="s">
        <v>9097</v>
      </c>
      <c r="O2994" s="5" t="s">
        <v>3038</v>
      </c>
      <c r="P2994" s="5" t="s">
        <v>2992</v>
      </c>
      <c r="Q2994" s="11">
        <v>46306.5</v>
      </c>
      <c r="R2994" s="6"/>
      <c r="S2994" s="6"/>
      <c r="T2994" s="6"/>
      <c r="U2994" s="5">
        <f>MATCH(B2994,Manual_Review!$A$6:$A$238,0)</f>
        <v>187</v>
      </c>
      <c r="V2994" s="5" t="str">
        <f>IF(INDEX(Manual_Review!$G$6:$G$238,U2994)="","",INDEX(Manual_Review!$G$6:$G$238,U2994))</f>
        <v/>
      </c>
      <c r="W2994" s="11" t="str">
        <f>IF(INDEX(Manual_Review!$H$6:$H$238,U2994)="","",INDEX(Manual_Review!$H$6:$H$238,U2994))</f>
        <v/>
      </c>
      <c r="X2994" s="5" t="str">
        <f>IF(INDEX(Manual_Review!$I$6:$I$238,U2994)="","",INDEX(Manual_Review!$I$6:$I$238,U2994))</f>
        <v/>
      </c>
      <c r="Y2994" s="5" t="s">
        <v>2859</v>
      </c>
    </row>
    <row r="2995" spans="1:25" ht="25.5">
      <c r="A2995" s="5" t="s">
        <v>9098</v>
      </c>
      <c r="B2995" s="5" t="s">
        <v>2107</v>
      </c>
      <c r="C2995" s="5" t="s">
        <v>2108</v>
      </c>
      <c r="D2995" s="5" t="s">
        <v>118</v>
      </c>
      <c r="E2995" s="5" t="s">
        <v>2794</v>
      </c>
      <c r="F2995" s="5" t="s">
        <v>2764</v>
      </c>
      <c r="G2995" s="5">
        <v>1</v>
      </c>
      <c r="H2995" s="5" t="s">
        <v>2854</v>
      </c>
      <c r="I2995" s="5" t="str">
        <f>IF(INDEX(Manual_Review!$X$6:$X$238,U2995)="","",INDEX(Manual_Review!$X$6:$X$238,U2995))</f>
        <v/>
      </c>
      <c r="J2995" s="5" t="str">
        <f t="shared" si="92"/>
        <v>AI provisional</v>
      </c>
      <c r="K2995" s="5" t="str">
        <f t="shared" si="93"/>
        <v>Y</v>
      </c>
      <c r="L2995" s="5" t="s">
        <v>2120</v>
      </c>
      <c r="M2995" s="5" t="s">
        <v>9099</v>
      </c>
      <c r="N2995" s="5" t="s">
        <v>9100</v>
      </c>
      <c r="O2995" s="5" t="s">
        <v>3042</v>
      </c>
      <c r="P2995" s="5" t="s">
        <v>2992</v>
      </c>
      <c r="Q2995" s="11">
        <v>46306.5</v>
      </c>
      <c r="R2995" s="6"/>
      <c r="S2995" s="6"/>
      <c r="T2995" s="6"/>
      <c r="U2995" s="5">
        <f>MATCH(B2995,Manual_Review!$A$6:$A$238,0)</f>
        <v>187</v>
      </c>
      <c r="V2995" s="5" t="str">
        <f>IF(INDEX(Manual_Review!$G$6:$G$238,U2995)="","",INDEX(Manual_Review!$G$6:$G$238,U2995))</f>
        <v/>
      </c>
      <c r="W2995" s="11" t="str">
        <f>IF(INDEX(Manual_Review!$H$6:$H$238,U2995)="","",INDEX(Manual_Review!$H$6:$H$238,U2995))</f>
        <v/>
      </c>
      <c r="X2995" s="5" t="str">
        <f>IF(INDEX(Manual_Review!$I$6:$I$238,U2995)="","",INDEX(Manual_Review!$I$6:$I$238,U2995))</f>
        <v/>
      </c>
      <c r="Y2995" s="5" t="s">
        <v>2859</v>
      </c>
    </row>
    <row r="2996" spans="1:25" ht="25.5">
      <c r="A2996" s="5" t="s">
        <v>9101</v>
      </c>
      <c r="B2996" s="5" t="s">
        <v>2107</v>
      </c>
      <c r="C2996" s="5" t="s">
        <v>2108</v>
      </c>
      <c r="D2996" s="5" t="s">
        <v>118</v>
      </c>
      <c r="E2996" s="5" t="s">
        <v>2795</v>
      </c>
      <c r="F2996" s="5" t="s">
        <v>2764</v>
      </c>
      <c r="G2996" s="5">
        <v>1</v>
      </c>
      <c r="H2996" s="5" t="s">
        <v>2864</v>
      </c>
      <c r="I2996" s="5" t="str">
        <f>IF(INDEX(Manual_Review!$Y$6:$Y$238,U2996)="","",INDEX(Manual_Review!$Y$6:$Y$238,U2996))</f>
        <v/>
      </c>
      <c r="J2996" s="5" t="str">
        <f t="shared" si="92"/>
        <v>AI provisional</v>
      </c>
      <c r="K2996" s="5" t="str">
        <f t="shared" si="93"/>
        <v>U</v>
      </c>
      <c r="L2996" s="5" t="s">
        <v>2120</v>
      </c>
      <c r="M2996" s="5" t="s">
        <v>9102</v>
      </c>
      <c r="N2996" s="5" t="s">
        <v>9103</v>
      </c>
      <c r="O2996" s="5" t="s">
        <v>3469</v>
      </c>
      <c r="P2996" s="5" t="s">
        <v>2992</v>
      </c>
      <c r="Q2996" s="11">
        <v>46306.5</v>
      </c>
      <c r="R2996" s="6"/>
      <c r="S2996" s="6"/>
      <c r="T2996" s="6"/>
      <c r="U2996" s="5">
        <f>MATCH(B2996,Manual_Review!$A$6:$A$238,0)</f>
        <v>187</v>
      </c>
      <c r="V2996" s="5" t="str">
        <f>IF(INDEX(Manual_Review!$G$6:$G$238,U2996)="","",INDEX(Manual_Review!$G$6:$G$238,U2996))</f>
        <v/>
      </c>
      <c r="W2996" s="11" t="str">
        <f>IF(INDEX(Manual_Review!$H$6:$H$238,U2996)="","",INDEX(Manual_Review!$H$6:$H$238,U2996))</f>
        <v/>
      </c>
      <c r="X2996" s="5" t="str">
        <f>IF(INDEX(Manual_Review!$I$6:$I$238,U2996)="","",INDEX(Manual_Review!$I$6:$I$238,U2996))</f>
        <v/>
      </c>
      <c r="Y2996" s="5" t="s">
        <v>2859</v>
      </c>
    </row>
    <row r="2997" spans="1:25" ht="51">
      <c r="A2997" s="5" t="s">
        <v>9104</v>
      </c>
      <c r="B2997" s="5" t="s">
        <v>2107</v>
      </c>
      <c r="C2997" s="5" t="s">
        <v>2108</v>
      </c>
      <c r="D2997" s="5" t="s">
        <v>118</v>
      </c>
      <c r="E2997" s="5" t="s">
        <v>2796</v>
      </c>
      <c r="F2997" s="5" t="s">
        <v>2764</v>
      </c>
      <c r="G2997" s="5">
        <v>1</v>
      </c>
      <c r="H2997" s="5" t="s">
        <v>2864</v>
      </c>
      <c r="I2997" s="5" t="str">
        <f>IF(INDEX(Manual_Review!$Z$6:$Z$238,U2997)="","",INDEX(Manual_Review!$Z$6:$Z$238,U2997))</f>
        <v/>
      </c>
      <c r="J2997" s="5" t="str">
        <f t="shared" si="92"/>
        <v>AI provisional</v>
      </c>
      <c r="K2997" s="5" t="str">
        <f t="shared" si="93"/>
        <v>U</v>
      </c>
      <c r="L2997" s="5" t="s">
        <v>2120</v>
      </c>
      <c r="M2997" s="5" t="s">
        <v>9105</v>
      </c>
      <c r="N2997" s="5" t="s">
        <v>9106</v>
      </c>
      <c r="O2997" s="5" t="s">
        <v>3050</v>
      </c>
      <c r="P2997" s="5" t="s">
        <v>2992</v>
      </c>
      <c r="Q2997" s="11">
        <v>46306.5</v>
      </c>
      <c r="R2997" s="6"/>
      <c r="S2997" s="6"/>
      <c r="T2997" s="6"/>
      <c r="U2997" s="5">
        <f>MATCH(B2997,Manual_Review!$A$6:$A$238,0)</f>
        <v>187</v>
      </c>
      <c r="V2997" s="5" t="str">
        <f>IF(INDEX(Manual_Review!$G$6:$G$238,U2997)="","",INDEX(Manual_Review!$G$6:$G$238,U2997))</f>
        <v/>
      </c>
      <c r="W2997" s="11" t="str">
        <f>IF(INDEX(Manual_Review!$H$6:$H$238,U2997)="","",INDEX(Manual_Review!$H$6:$H$238,U2997))</f>
        <v/>
      </c>
      <c r="X2997" s="5" t="str">
        <f>IF(INDEX(Manual_Review!$I$6:$I$238,U2997)="","",INDEX(Manual_Review!$I$6:$I$238,U2997))</f>
        <v/>
      </c>
      <c r="Y2997" s="5" t="s">
        <v>2859</v>
      </c>
    </row>
    <row r="2998" spans="1:25" ht="25.5">
      <c r="A2998" s="5" t="s">
        <v>9107</v>
      </c>
      <c r="B2998" s="5" t="s">
        <v>2122</v>
      </c>
      <c r="C2998" s="5" t="s">
        <v>2123</v>
      </c>
      <c r="D2998" s="5" t="s">
        <v>118</v>
      </c>
      <c r="E2998" s="5" t="s">
        <v>2781</v>
      </c>
      <c r="F2998" s="5" t="s">
        <v>2754</v>
      </c>
      <c r="G2998" s="5">
        <v>1</v>
      </c>
      <c r="H2998" s="5" t="s">
        <v>2854</v>
      </c>
      <c r="I2998" s="5" t="str">
        <f>IF(INDEX(Manual_Review!$K$6:$K$238,U2998)="","",INDEX(Manual_Review!$K$6:$K$238,U2998))</f>
        <v/>
      </c>
      <c r="J2998" s="5" t="str">
        <f t="shared" si="92"/>
        <v>AI provisional</v>
      </c>
      <c r="K2998" s="5" t="str">
        <f t="shared" si="93"/>
        <v>Y</v>
      </c>
      <c r="L2998" s="5" t="s">
        <v>2134</v>
      </c>
      <c r="M2998" s="5" t="s">
        <v>9108</v>
      </c>
      <c r="N2998" s="5" t="s">
        <v>9109</v>
      </c>
      <c r="O2998" s="5" t="s">
        <v>2991</v>
      </c>
      <c r="P2998" s="5" t="s">
        <v>2992</v>
      </c>
      <c r="Q2998" s="11">
        <v>46306.5</v>
      </c>
      <c r="R2998" s="6"/>
      <c r="S2998" s="6"/>
      <c r="T2998" s="6"/>
      <c r="U2998" s="5">
        <f>MATCH(B2998,Manual_Review!$A$6:$A$238,0)</f>
        <v>188</v>
      </c>
      <c r="V2998" s="5" t="str">
        <f>IF(INDEX(Manual_Review!$G$6:$G$238,U2998)="","",INDEX(Manual_Review!$G$6:$G$238,U2998))</f>
        <v/>
      </c>
      <c r="W2998" s="11" t="str">
        <f>IF(INDEX(Manual_Review!$H$6:$H$238,U2998)="","",INDEX(Manual_Review!$H$6:$H$238,U2998))</f>
        <v/>
      </c>
      <c r="X2998" s="5" t="str">
        <f>IF(INDEX(Manual_Review!$I$6:$I$238,U2998)="","",INDEX(Manual_Review!$I$6:$I$238,U2998))</f>
        <v/>
      </c>
      <c r="Y2998" s="5" t="s">
        <v>2859</v>
      </c>
    </row>
    <row r="2999" spans="1:25" ht="25.5">
      <c r="A2999" s="5" t="s">
        <v>9110</v>
      </c>
      <c r="B2999" s="5" t="s">
        <v>2122</v>
      </c>
      <c r="C2999" s="5" t="s">
        <v>2123</v>
      </c>
      <c r="D2999" s="5" t="s">
        <v>118</v>
      </c>
      <c r="E2999" s="5" t="s">
        <v>2782</v>
      </c>
      <c r="F2999" s="5" t="s">
        <v>2754</v>
      </c>
      <c r="G2999" s="5">
        <v>1</v>
      </c>
      <c r="H2999" s="5" t="s">
        <v>2864</v>
      </c>
      <c r="I2999" s="5" t="str">
        <f>IF(INDEX(Manual_Review!$L$6:$L$238,U2999)="","",INDEX(Manual_Review!$L$6:$L$238,U2999))</f>
        <v/>
      </c>
      <c r="J2999" s="5" t="str">
        <f t="shared" si="92"/>
        <v>AI provisional</v>
      </c>
      <c r="K2999" s="5" t="str">
        <f t="shared" si="93"/>
        <v>U</v>
      </c>
      <c r="L2999" s="5" t="s">
        <v>2134</v>
      </c>
      <c r="M2999" s="5" t="s">
        <v>9111</v>
      </c>
      <c r="N2999" s="5" t="s">
        <v>9112</v>
      </c>
      <c r="O2999" s="5" t="s">
        <v>8572</v>
      </c>
      <c r="P2999" s="5" t="s">
        <v>2992</v>
      </c>
      <c r="Q2999" s="11">
        <v>46306.5</v>
      </c>
      <c r="R2999" s="6"/>
      <c r="S2999" s="6"/>
      <c r="T2999" s="6"/>
      <c r="U2999" s="5">
        <f>MATCH(B2999,Manual_Review!$A$6:$A$238,0)</f>
        <v>188</v>
      </c>
      <c r="V2999" s="5" t="str">
        <f>IF(INDEX(Manual_Review!$G$6:$G$238,U2999)="","",INDEX(Manual_Review!$G$6:$G$238,U2999))</f>
        <v/>
      </c>
      <c r="W2999" s="11" t="str">
        <f>IF(INDEX(Manual_Review!$H$6:$H$238,U2999)="","",INDEX(Manual_Review!$H$6:$H$238,U2999))</f>
        <v/>
      </c>
      <c r="X2999" s="5" t="str">
        <f>IF(INDEX(Manual_Review!$I$6:$I$238,U2999)="","",INDEX(Manual_Review!$I$6:$I$238,U2999))</f>
        <v/>
      </c>
      <c r="Y2999" s="5" t="s">
        <v>2859</v>
      </c>
    </row>
    <row r="3000" spans="1:25" ht="25.5">
      <c r="A3000" s="5" t="s">
        <v>9113</v>
      </c>
      <c r="B3000" s="5" t="s">
        <v>2122</v>
      </c>
      <c r="C3000" s="5" t="s">
        <v>2123</v>
      </c>
      <c r="D3000" s="5" t="s">
        <v>118</v>
      </c>
      <c r="E3000" s="5" t="s">
        <v>2783</v>
      </c>
      <c r="F3000" s="5" t="s">
        <v>2754</v>
      </c>
      <c r="G3000" s="5">
        <v>1</v>
      </c>
      <c r="H3000" s="5" t="s">
        <v>2864</v>
      </c>
      <c r="I3000" s="5" t="str">
        <f>IF(INDEX(Manual_Review!$M$6:$M$238,U3000)="","",INDEX(Manual_Review!$M$6:$M$238,U3000))</f>
        <v/>
      </c>
      <c r="J3000" s="5" t="str">
        <f t="shared" si="92"/>
        <v>AI provisional</v>
      </c>
      <c r="K3000" s="5" t="str">
        <f t="shared" si="93"/>
        <v>U</v>
      </c>
      <c r="L3000" s="5" t="s">
        <v>2134</v>
      </c>
      <c r="M3000" s="5" t="s">
        <v>9114</v>
      </c>
      <c r="N3000" s="5" t="s">
        <v>9115</v>
      </c>
      <c r="O3000" s="5" t="s">
        <v>3808</v>
      </c>
      <c r="P3000" s="5" t="s">
        <v>2992</v>
      </c>
      <c r="Q3000" s="11">
        <v>46306.5</v>
      </c>
      <c r="R3000" s="6"/>
      <c r="S3000" s="6"/>
      <c r="T3000" s="6"/>
      <c r="U3000" s="5">
        <f>MATCH(B3000,Manual_Review!$A$6:$A$238,0)</f>
        <v>188</v>
      </c>
      <c r="V3000" s="5" t="str">
        <f>IF(INDEX(Manual_Review!$G$6:$G$238,U3000)="","",INDEX(Manual_Review!$G$6:$G$238,U3000))</f>
        <v/>
      </c>
      <c r="W3000" s="11" t="str">
        <f>IF(INDEX(Manual_Review!$H$6:$H$238,U3000)="","",INDEX(Manual_Review!$H$6:$H$238,U3000))</f>
        <v/>
      </c>
      <c r="X3000" s="5" t="str">
        <f>IF(INDEX(Manual_Review!$I$6:$I$238,U3000)="","",INDEX(Manual_Review!$I$6:$I$238,U3000))</f>
        <v/>
      </c>
      <c r="Y3000" s="5" t="s">
        <v>2859</v>
      </c>
    </row>
    <row r="3001" spans="1:25" ht="25.5">
      <c r="A3001" s="5" t="s">
        <v>9116</v>
      </c>
      <c r="B3001" s="5" t="s">
        <v>2122</v>
      </c>
      <c r="C3001" s="5" t="s">
        <v>2123</v>
      </c>
      <c r="D3001" s="5" t="s">
        <v>118</v>
      </c>
      <c r="E3001" s="5" t="s">
        <v>2784</v>
      </c>
      <c r="F3001" s="5" t="s">
        <v>2756</v>
      </c>
      <c r="G3001" s="5">
        <v>1</v>
      </c>
      <c r="H3001" s="5" t="s">
        <v>2854</v>
      </c>
      <c r="I3001" s="5" t="str">
        <f>IF(INDEX(Manual_Review!$N$6:$N$238,U3001)="","",INDEX(Manual_Review!$N$6:$N$238,U3001))</f>
        <v/>
      </c>
      <c r="J3001" s="5" t="str">
        <f t="shared" si="92"/>
        <v>AI provisional</v>
      </c>
      <c r="K3001" s="5" t="str">
        <f t="shared" si="93"/>
        <v>Y</v>
      </c>
      <c r="L3001" s="5" t="s">
        <v>2134</v>
      </c>
      <c r="M3001" s="5" t="s">
        <v>9117</v>
      </c>
      <c r="N3001" s="5" t="s">
        <v>9118</v>
      </c>
      <c r="O3001" s="5" t="s">
        <v>3004</v>
      </c>
      <c r="P3001" s="5" t="s">
        <v>2992</v>
      </c>
      <c r="Q3001" s="11">
        <v>46306.5</v>
      </c>
      <c r="R3001" s="6"/>
      <c r="S3001" s="6"/>
      <c r="T3001" s="6"/>
      <c r="U3001" s="5">
        <f>MATCH(B3001,Manual_Review!$A$6:$A$238,0)</f>
        <v>188</v>
      </c>
      <c r="V3001" s="5" t="str">
        <f>IF(INDEX(Manual_Review!$G$6:$G$238,U3001)="","",INDEX(Manual_Review!$G$6:$G$238,U3001))</f>
        <v/>
      </c>
      <c r="W3001" s="11" t="str">
        <f>IF(INDEX(Manual_Review!$H$6:$H$238,U3001)="","",INDEX(Manual_Review!$H$6:$H$238,U3001))</f>
        <v/>
      </c>
      <c r="X3001" s="5" t="str">
        <f>IF(INDEX(Manual_Review!$I$6:$I$238,U3001)="","",INDEX(Manual_Review!$I$6:$I$238,U3001))</f>
        <v/>
      </c>
      <c r="Y3001" s="5" t="s">
        <v>2859</v>
      </c>
    </row>
    <row r="3002" spans="1:25" ht="25.5">
      <c r="A3002" s="5" t="s">
        <v>9119</v>
      </c>
      <c r="B3002" s="5" t="s">
        <v>2122</v>
      </c>
      <c r="C3002" s="5" t="s">
        <v>2123</v>
      </c>
      <c r="D3002" s="5" t="s">
        <v>118</v>
      </c>
      <c r="E3002" s="5" t="s">
        <v>2785</v>
      </c>
      <c r="F3002" s="5" t="s">
        <v>2756</v>
      </c>
      <c r="G3002" s="5">
        <v>1</v>
      </c>
      <c r="H3002" s="5" t="s">
        <v>2864</v>
      </c>
      <c r="I3002" s="5" t="str">
        <f>IF(INDEX(Manual_Review!$O$6:$O$238,U3002)="","",INDEX(Manual_Review!$O$6:$O$238,U3002))</f>
        <v/>
      </c>
      <c r="J3002" s="5" t="str">
        <f t="shared" si="92"/>
        <v>AI provisional</v>
      </c>
      <c r="K3002" s="5" t="str">
        <f t="shared" si="93"/>
        <v>U</v>
      </c>
      <c r="L3002" s="5" t="s">
        <v>2134</v>
      </c>
      <c r="M3002" s="5" t="s">
        <v>9117</v>
      </c>
      <c r="N3002" s="5" t="s">
        <v>9118</v>
      </c>
      <c r="O3002" s="5" t="s">
        <v>3006</v>
      </c>
      <c r="P3002" s="5" t="s">
        <v>2992</v>
      </c>
      <c r="Q3002" s="11">
        <v>46306.5</v>
      </c>
      <c r="R3002" s="6"/>
      <c r="S3002" s="6"/>
      <c r="T3002" s="6"/>
      <c r="U3002" s="5">
        <f>MATCH(B3002,Manual_Review!$A$6:$A$238,0)</f>
        <v>188</v>
      </c>
      <c r="V3002" s="5" t="str">
        <f>IF(INDEX(Manual_Review!$G$6:$G$238,U3002)="","",INDEX(Manual_Review!$G$6:$G$238,U3002))</f>
        <v/>
      </c>
      <c r="W3002" s="11" t="str">
        <f>IF(INDEX(Manual_Review!$H$6:$H$238,U3002)="","",INDEX(Manual_Review!$H$6:$H$238,U3002))</f>
        <v/>
      </c>
      <c r="X3002" s="5" t="str">
        <f>IF(INDEX(Manual_Review!$I$6:$I$238,U3002)="","",INDEX(Manual_Review!$I$6:$I$238,U3002))</f>
        <v/>
      </c>
      <c r="Y3002" s="5" t="s">
        <v>2859</v>
      </c>
    </row>
    <row r="3003" spans="1:25" ht="38.25">
      <c r="A3003" s="5" t="s">
        <v>9120</v>
      </c>
      <c r="B3003" s="5" t="s">
        <v>2122</v>
      </c>
      <c r="C3003" s="5" t="s">
        <v>2123</v>
      </c>
      <c r="D3003" s="5" t="s">
        <v>118</v>
      </c>
      <c r="E3003" s="5" t="s">
        <v>2786</v>
      </c>
      <c r="F3003" s="5" t="s">
        <v>2756</v>
      </c>
      <c r="G3003" s="5">
        <v>1</v>
      </c>
      <c r="H3003" s="5" t="s">
        <v>2864</v>
      </c>
      <c r="I3003" s="5" t="str">
        <f>IF(INDEX(Manual_Review!$P$6:$P$238,U3003)="","",INDEX(Manual_Review!$P$6:$P$238,U3003))</f>
        <v/>
      </c>
      <c r="J3003" s="5" t="str">
        <f t="shared" si="92"/>
        <v>AI provisional</v>
      </c>
      <c r="K3003" s="5" t="str">
        <f t="shared" si="93"/>
        <v>U</v>
      </c>
      <c r="L3003" s="5" t="s">
        <v>2134</v>
      </c>
      <c r="M3003" s="5" t="s">
        <v>9121</v>
      </c>
      <c r="N3003" s="5" t="s">
        <v>9122</v>
      </c>
      <c r="O3003" s="5" t="s">
        <v>3010</v>
      </c>
      <c r="P3003" s="5" t="s">
        <v>2992</v>
      </c>
      <c r="Q3003" s="11">
        <v>46306.5</v>
      </c>
      <c r="R3003" s="6"/>
      <c r="S3003" s="6"/>
      <c r="T3003" s="6"/>
      <c r="U3003" s="5">
        <f>MATCH(B3003,Manual_Review!$A$6:$A$238,0)</f>
        <v>188</v>
      </c>
      <c r="V3003" s="5" t="str">
        <f>IF(INDEX(Manual_Review!$G$6:$G$238,U3003)="","",INDEX(Manual_Review!$G$6:$G$238,U3003))</f>
        <v/>
      </c>
      <c r="W3003" s="11" t="str">
        <f>IF(INDEX(Manual_Review!$H$6:$H$238,U3003)="","",INDEX(Manual_Review!$H$6:$H$238,U3003))</f>
        <v/>
      </c>
      <c r="X3003" s="5" t="str">
        <f>IF(INDEX(Manual_Review!$I$6:$I$238,U3003)="","",INDEX(Manual_Review!$I$6:$I$238,U3003))</f>
        <v/>
      </c>
      <c r="Y3003" s="5" t="s">
        <v>2859</v>
      </c>
    </row>
    <row r="3004" spans="1:25" ht="25.5">
      <c r="A3004" s="5" t="s">
        <v>9123</v>
      </c>
      <c r="B3004" s="5" t="s">
        <v>2122</v>
      </c>
      <c r="C3004" s="5" t="s">
        <v>2123</v>
      </c>
      <c r="D3004" s="5" t="s">
        <v>118</v>
      </c>
      <c r="E3004" s="5" t="s">
        <v>2787</v>
      </c>
      <c r="F3004" s="5" t="s">
        <v>2758</v>
      </c>
      <c r="G3004" s="5">
        <v>1</v>
      </c>
      <c r="H3004" s="5" t="s">
        <v>2854</v>
      </c>
      <c r="I3004" s="5" t="str">
        <f>IF(INDEX(Manual_Review!$Q$6:$Q$238,U3004)="","",INDEX(Manual_Review!$Q$6:$Q$238,U3004))</f>
        <v/>
      </c>
      <c r="J3004" s="5" t="str">
        <f t="shared" si="92"/>
        <v>AI provisional</v>
      </c>
      <c r="K3004" s="5" t="str">
        <f t="shared" si="93"/>
        <v>Y</v>
      </c>
      <c r="L3004" s="5" t="s">
        <v>2134</v>
      </c>
      <c r="M3004" s="5" t="s">
        <v>9124</v>
      </c>
      <c r="N3004" s="5" t="s">
        <v>9125</v>
      </c>
      <c r="O3004" s="5" t="s">
        <v>3819</v>
      </c>
      <c r="P3004" s="5" t="s">
        <v>2992</v>
      </c>
      <c r="Q3004" s="11">
        <v>46306.5</v>
      </c>
      <c r="R3004" s="6"/>
      <c r="S3004" s="6"/>
      <c r="T3004" s="6"/>
      <c r="U3004" s="5">
        <f>MATCH(B3004,Manual_Review!$A$6:$A$238,0)</f>
        <v>188</v>
      </c>
      <c r="V3004" s="5" t="str">
        <f>IF(INDEX(Manual_Review!$G$6:$G$238,U3004)="","",INDEX(Manual_Review!$G$6:$G$238,U3004))</f>
        <v/>
      </c>
      <c r="W3004" s="11" t="str">
        <f>IF(INDEX(Manual_Review!$H$6:$H$238,U3004)="","",INDEX(Manual_Review!$H$6:$H$238,U3004))</f>
        <v/>
      </c>
      <c r="X3004" s="5" t="str">
        <f>IF(INDEX(Manual_Review!$I$6:$I$238,U3004)="","",INDEX(Manual_Review!$I$6:$I$238,U3004))</f>
        <v/>
      </c>
      <c r="Y3004" s="5" t="s">
        <v>2859</v>
      </c>
    </row>
    <row r="3005" spans="1:25" ht="51">
      <c r="A3005" s="5" t="s">
        <v>9126</v>
      </c>
      <c r="B3005" s="5" t="s">
        <v>2122</v>
      </c>
      <c r="C3005" s="5" t="s">
        <v>2123</v>
      </c>
      <c r="D3005" s="5" t="s">
        <v>118</v>
      </c>
      <c r="E3005" s="5" t="s">
        <v>2788</v>
      </c>
      <c r="F3005" s="5" t="s">
        <v>2758</v>
      </c>
      <c r="G3005" s="5">
        <v>1</v>
      </c>
      <c r="H3005" s="5" t="s">
        <v>2854</v>
      </c>
      <c r="I3005" s="5" t="str">
        <f>IF(INDEX(Manual_Review!$R$6:$R$238,U3005)="","",INDEX(Manual_Review!$R$6:$R$238,U3005))</f>
        <v/>
      </c>
      <c r="J3005" s="5" t="str">
        <f t="shared" si="92"/>
        <v>AI provisional</v>
      </c>
      <c r="K3005" s="5" t="str">
        <f t="shared" si="93"/>
        <v>Y</v>
      </c>
      <c r="L3005" s="5" t="s">
        <v>2134</v>
      </c>
      <c r="M3005" s="5" t="s">
        <v>9127</v>
      </c>
      <c r="N3005" s="5" t="s">
        <v>9128</v>
      </c>
      <c r="O3005" s="5" t="s">
        <v>3018</v>
      </c>
      <c r="P3005" s="5" t="s">
        <v>2992</v>
      </c>
      <c r="Q3005" s="11">
        <v>46306.5</v>
      </c>
      <c r="R3005" s="6"/>
      <c r="S3005" s="6"/>
      <c r="T3005" s="6"/>
      <c r="U3005" s="5">
        <f>MATCH(B3005,Manual_Review!$A$6:$A$238,0)</f>
        <v>188</v>
      </c>
      <c r="V3005" s="5" t="str">
        <f>IF(INDEX(Manual_Review!$G$6:$G$238,U3005)="","",INDEX(Manual_Review!$G$6:$G$238,U3005))</f>
        <v/>
      </c>
      <c r="W3005" s="11" t="str">
        <f>IF(INDEX(Manual_Review!$H$6:$H$238,U3005)="","",INDEX(Manual_Review!$H$6:$H$238,U3005))</f>
        <v/>
      </c>
      <c r="X3005" s="5" t="str">
        <f>IF(INDEX(Manual_Review!$I$6:$I$238,U3005)="","",INDEX(Manual_Review!$I$6:$I$238,U3005))</f>
        <v/>
      </c>
      <c r="Y3005" s="5" t="s">
        <v>2859</v>
      </c>
    </row>
    <row r="3006" spans="1:25" ht="38.25">
      <c r="A3006" s="5" t="s">
        <v>9129</v>
      </c>
      <c r="B3006" s="5" t="s">
        <v>2122</v>
      </c>
      <c r="C3006" s="5" t="s">
        <v>2123</v>
      </c>
      <c r="D3006" s="5" t="s">
        <v>118</v>
      </c>
      <c r="E3006" s="5" t="s">
        <v>2789</v>
      </c>
      <c r="F3006" s="5" t="s">
        <v>2758</v>
      </c>
      <c r="G3006" s="5">
        <v>1</v>
      </c>
      <c r="H3006" s="5" t="s">
        <v>2864</v>
      </c>
      <c r="I3006" s="5" t="str">
        <f>IF(INDEX(Manual_Review!$S$6:$S$238,U3006)="","",INDEX(Manual_Review!$S$6:$S$238,U3006))</f>
        <v/>
      </c>
      <c r="J3006" s="5" t="str">
        <f t="shared" si="92"/>
        <v>AI provisional</v>
      </c>
      <c r="K3006" s="5" t="str">
        <f t="shared" si="93"/>
        <v>U</v>
      </c>
      <c r="L3006" s="5" t="s">
        <v>2134</v>
      </c>
      <c r="M3006" s="5" t="s">
        <v>9130</v>
      </c>
      <c r="N3006" s="5" t="s">
        <v>9131</v>
      </c>
      <c r="O3006" s="5" t="s">
        <v>3447</v>
      </c>
      <c r="P3006" s="5" t="s">
        <v>2992</v>
      </c>
      <c r="Q3006" s="11">
        <v>46306.5</v>
      </c>
      <c r="R3006" s="6"/>
      <c r="S3006" s="6"/>
      <c r="T3006" s="6"/>
      <c r="U3006" s="5">
        <f>MATCH(B3006,Manual_Review!$A$6:$A$238,0)</f>
        <v>188</v>
      </c>
      <c r="V3006" s="5" t="str">
        <f>IF(INDEX(Manual_Review!$G$6:$G$238,U3006)="","",INDEX(Manual_Review!$G$6:$G$238,U3006))</f>
        <v/>
      </c>
      <c r="W3006" s="11" t="str">
        <f>IF(INDEX(Manual_Review!$H$6:$H$238,U3006)="","",INDEX(Manual_Review!$H$6:$H$238,U3006))</f>
        <v/>
      </c>
      <c r="X3006" s="5" t="str">
        <f>IF(INDEX(Manual_Review!$I$6:$I$238,U3006)="","",INDEX(Manual_Review!$I$6:$I$238,U3006))</f>
        <v/>
      </c>
      <c r="Y3006" s="5" t="s">
        <v>2859</v>
      </c>
    </row>
    <row r="3007" spans="1:25" ht="25.5">
      <c r="A3007" s="5" t="s">
        <v>9132</v>
      </c>
      <c r="B3007" s="5" t="s">
        <v>2122</v>
      </c>
      <c r="C3007" s="5" t="s">
        <v>2123</v>
      </c>
      <c r="D3007" s="5" t="s">
        <v>118</v>
      </c>
      <c r="E3007" s="5" t="s">
        <v>2790</v>
      </c>
      <c r="F3007" s="5" t="s">
        <v>2760</v>
      </c>
      <c r="G3007" s="5">
        <v>1</v>
      </c>
      <c r="H3007" s="5" t="s">
        <v>2854</v>
      </c>
      <c r="I3007" s="5" t="str">
        <f>IF(INDEX(Manual_Review!$T$6:$T$238,U3007)="","",INDEX(Manual_Review!$T$6:$T$238,U3007))</f>
        <v/>
      </c>
      <c r="J3007" s="5" t="str">
        <f t="shared" si="92"/>
        <v>AI provisional</v>
      </c>
      <c r="K3007" s="5" t="str">
        <f t="shared" si="93"/>
        <v>Y</v>
      </c>
      <c r="L3007" s="5" t="s">
        <v>2134</v>
      </c>
      <c r="M3007" s="5" t="s">
        <v>9133</v>
      </c>
      <c r="N3007" s="5" t="s">
        <v>9134</v>
      </c>
      <c r="O3007" s="5" t="s">
        <v>3451</v>
      </c>
      <c r="P3007" s="5" t="s">
        <v>2992</v>
      </c>
      <c r="Q3007" s="11">
        <v>46306.5</v>
      </c>
      <c r="R3007" s="6"/>
      <c r="S3007" s="6"/>
      <c r="T3007" s="6"/>
      <c r="U3007" s="5">
        <f>MATCH(B3007,Manual_Review!$A$6:$A$238,0)</f>
        <v>188</v>
      </c>
      <c r="V3007" s="5" t="str">
        <f>IF(INDEX(Manual_Review!$G$6:$G$238,U3007)="","",INDEX(Manual_Review!$G$6:$G$238,U3007))</f>
        <v/>
      </c>
      <c r="W3007" s="11" t="str">
        <f>IF(INDEX(Manual_Review!$H$6:$H$238,U3007)="","",INDEX(Manual_Review!$H$6:$H$238,U3007))</f>
        <v/>
      </c>
      <c r="X3007" s="5" t="str">
        <f>IF(INDEX(Manual_Review!$I$6:$I$238,U3007)="","",INDEX(Manual_Review!$I$6:$I$238,U3007))</f>
        <v/>
      </c>
      <c r="Y3007" s="5" t="s">
        <v>2859</v>
      </c>
    </row>
    <row r="3008" spans="1:25" ht="25.5">
      <c r="A3008" s="5" t="s">
        <v>9135</v>
      </c>
      <c r="B3008" s="5" t="s">
        <v>2122</v>
      </c>
      <c r="C3008" s="5" t="s">
        <v>2123</v>
      </c>
      <c r="D3008" s="5" t="s">
        <v>118</v>
      </c>
      <c r="E3008" s="5" t="s">
        <v>2791</v>
      </c>
      <c r="F3008" s="5" t="s">
        <v>2760</v>
      </c>
      <c r="G3008" s="5">
        <v>1</v>
      </c>
      <c r="H3008" s="5" t="s">
        <v>2864</v>
      </c>
      <c r="I3008" s="5" t="str">
        <f>IF(INDEX(Manual_Review!$U$6:$U$238,U3008)="","",INDEX(Manual_Review!$U$6:$U$238,U3008))</f>
        <v/>
      </c>
      <c r="J3008" s="5" t="str">
        <f t="shared" si="92"/>
        <v>AI provisional</v>
      </c>
      <c r="K3008" s="5" t="str">
        <f t="shared" si="93"/>
        <v>U</v>
      </c>
      <c r="L3008" s="5" t="s">
        <v>2134</v>
      </c>
      <c r="M3008" s="5" t="s">
        <v>9136</v>
      </c>
      <c r="N3008" s="5" t="s">
        <v>9137</v>
      </c>
      <c r="O3008" s="5" t="s">
        <v>3030</v>
      </c>
      <c r="P3008" s="5" t="s">
        <v>2992</v>
      </c>
      <c r="Q3008" s="11">
        <v>46306.5</v>
      </c>
      <c r="R3008" s="6"/>
      <c r="S3008" s="6"/>
      <c r="T3008" s="6"/>
      <c r="U3008" s="5">
        <f>MATCH(B3008,Manual_Review!$A$6:$A$238,0)</f>
        <v>188</v>
      </c>
      <c r="V3008" s="5" t="str">
        <f>IF(INDEX(Manual_Review!$G$6:$G$238,U3008)="","",INDEX(Manual_Review!$G$6:$G$238,U3008))</f>
        <v/>
      </c>
      <c r="W3008" s="11" t="str">
        <f>IF(INDEX(Manual_Review!$H$6:$H$238,U3008)="","",INDEX(Manual_Review!$H$6:$H$238,U3008))</f>
        <v/>
      </c>
      <c r="X3008" s="5" t="str">
        <f>IF(INDEX(Manual_Review!$I$6:$I$238,U3008)="","",INDEX(Manual_Review!$I$6:$I$238,U3008))</f>
        <v/>
      </c>
      <c r="Y3008" s="5" t="s">
        <v>2859</v>
      </c>
    </row>
    <row r="3009" spans="1:25" ht="25.5">
      <c r="A3009" s="5" t="s">
        <v>9138</v>
      </c>
      <c r="B3009" s="5" t="s">
        <v>2122</v>
      </c>
      <c r="C3009" s="5" t="s">
        <v>2123</v>
      </c>
      <c r="D3009" s="5" t="s">
        <v>118</v>
      </c>
      <c r="E3009" s="5" t="s">
        <v>2792</v>
      </c>
      <c r="F3009" s="5" t="s">
        <v>2762</v>
      </c>
      <c r="G3009" s="5">
        <v>1</v>
      </c>
      <c r="H3009" s="5" t="s">
        <v>2854</v>
      </c>
      <c r="I3009" s="5" t="str">
        <f>IF(INDEX(Manual_Review!$V$6:$V$238,U3009)="","",INDEX(Manual_Review!$V$6:$V$238,U3009))</f>
        <v/>
      </c>
      <c r="J3009" s="5" t="str">
        <f t="shared" si="92"/>
        <v>AI provisional</v>
      </c>
      <c r="K3009" s="5" t="str">
        <f t="shared" si="93"/>
        <v>Y</v>
      </c>
      <c r="L3009" s="5" t="s">
        <v>2134</v>
      </c>
      <c r="M3009" s="5" t="s">
        <v>9139</v>
      </c>
      <c r="N3009" s="5" t="s">
        <v>9140</v>
      </c>
      <c r="O3009" s="5" t="s">
        <v>3034</v>
      </c>
      <c r="P3009" s="5" t="s">
        <v>2992</v>
      </c>
      <c r="Q3009" s="11">
        <v>46306.5</v>
      </c>
      <c r="R3009" s="6"/>
      <c r="S3009" s="6"/>
      <c r="T3009" s="6"/>
      <c r="U3009" s="5">
        <f>MATCH(B3009,Manual_Review!$A$6:$A$238,0)</f>
        <v>188</v>
      </c>
      <c r="V3009" s="5" t="str">
        <f>IF(INDEX(Manual_Review!$G$6:$G$238,U3009)="","",INDEX(Manual_Review!$G$6:$G$238,U3009))</f>
        <v/>
      </c>
      <c r="W3009" s="11" t="str">
        <f>IF(INDEX(Manual_Review!$H$6:$H$238,U3009)="","",INDEX(Manual_Review!$H$6:$H$238,U3009))</f>
        <v/>
      </c>
      <c r="X3009" s="5" t="str">
        <f>IF(INDEX(Manual_Review!$I$6:$I$238,U3009)="","",INDEX(Manual_Review!$I$6:$I$238,U3009))</f>
        <v/>
      </c>
      <c r="Y3009" s="5" t="s">
        <v>2859</v>
      </c>
    </row>
    <row r="3010" spans="1:25" ht="51">
      <c r="A3010" s="5" t="s">
        <v>9141</v>
      </c>
      <c r="B3010" s="5" t="s">
        <v>2122</v>
      </c>
      <c r="C3010" s="5" t="s">
        <v>2123</v>
      </c>
      <c r="D3010" s="5" t="s">
        <v>118</v>
      </c>
      <c r="E3010" s="5" t="s">
        <v>2793</v>
      </c>
      <c r="F3010" s="5" t="s">
        <v>2762</v>
      </c>
      <c r="G3010" s="5">
        <v>1</v>
      </c>
      <c r="H3010" s="5" t="s">
        <v>2864</v>
      </c>
      <c r="I3010" s="5" t="str">
        <f>IF(INDEX(Manual_Review!$W$6:$W$238,U3010)="","",INDEX(Manual_Review!$W$6:$W$238,U3010))</f>
        <v/>
      </c>
      <c r="J3010" s="5" t="str">
        <f t="shared" si="92"/>
        <v>AI provisional</v>
      </c>
      <c r="K3010" s="5" t="str">
        <f t="shared" si="93"/>
        <v>U</v>
      </c>
      <c r="L3010" s="5" t="s">
        <v>2134</v>
      </c>
      <c r="M3010" s="5" t="s">
        <v>9142</v>
      </c>
      <c r="N3010" s="5" t="s">
        <v>9143</v>
      </c>
      <c r="O3010" s="5" t="s">
        <v>3461</v>
      </c>
      <c r="P3010" s="5" t="s">
        <v>2992</v>
      </c>
      <c r="Q3010" s="11">
        <v>46306.5</v>
      </c>
      <c r="R3010" s="6"/>
      <c r="S3010" s="6"/>
      <c r="T3010" s="6"/>
      <c r="U3010" s="5">
        <f>MATCH(B3010,Manual_Review!$A$6:$A$238,0)</f>
        <v>188</v>
      </c>
      <c r="V3010" s="5" t="str">
        <f>IF(INDEX(Manual_Review!$G$6:$G$238,U3010)="","",INDEX(Manual_Review!$G$6:$G$238,U3010))</f>
        <v/>
      </c>
      <c r="W3010" s="11" t="str">
        <f>IF(INDEX(Manual_Review!$H$6:$H$238,U3010)="","",INDEX(Manual_Review!$H$6:$H$238,U3010))</f>
        <v/>
      </c>
      <c r="X3010" s="5" t="str">
        <f>IF(INDEX(Manual_Review!$I$6:$I$238,U3010)="","",INDEX(Manual_Review!$I$6:$I$238,U3010))</f>
        <v/>
      </c>
      <c r="Y3010" s="5" t="s">
        <v>2859</v>
      </c>
    </row>
    <row r="3011" spans="1:25" ht="25.5">
      <c r="A3011" s="5" t="s">
        <v>9144</v>
      </c>
      <c r="B3011" s="5" t="s">
        <v>2122</v>
      </c>
      <c r="C3011" s="5" t="s">
        <v>2123</v>
      </c>
      <c r="D3011" s="5" t="s">
        <v>118</v>
      </c>
      <c r="E3011" s="5" t="s">
        <v>2794</v>
      </c>
      <c r="F3011" s="5" t="s">
        <v>2764</v>
      </c>
      <c r="G3011" s="5">
        <v>1</v>
      </c>
      <c r="H3011" s="5" t="s">
        <v>2854</v>
      </c>
      <c r="I3011" s="5" t="str">
        <f>IF(INDEX(Manual_Review!$X$6:$X$238,U3011)="","",INDEX(Manual_Review!$X$6:$X$238,U3011))</f>
        <v/>
      </c>
      <c r="J3011" s="5" t="str">
        <f t="shared" si="92"/>
        <v>AI provisional</v>
      </c>
      <c r="K3011" s="5" t="str">
        <f t="shared" si="93"/>
        <v>Y</v>
      </c>
      <c r="L3011" s="5" t="s">
        <v>2134</v>
      </c>
      <c r="M3011" s="5" t="s">
        <v>9145</v>
      </c>
      <c r="N3011" s="5" t="s">
        <v>9146</v>
      </c>
      <c r="O3011" s="5" t="s">
        <v>3042</v>
      </c>
      <c r="P3011" s="5" t="s">
        <v>2992</v>
      </c>
      <c r="Q3011" s="11">
        <v>46306.5</v>
      </c>
      <c r="R3011" s="6"/>
      <c r="S3011" s="6"/>
      <c r="T3011" s="6"/>
      <c r="U3011" s="5">
        <f>MATCH(B3011,Manual_Review!$A$6:$A$238,0)</f>
        <v>188</v>
      </c>
      <c r="V3011" s="5" t="str">
        <f>IF(INDEX(Manual_Review!$G$6:$G$238,U3011)="","",INDEX(Manual_Review!$G$6:$G$238,U3011))</f>
        <v/>
      </c>
      <c r="W3011" s="11" t="str">
        <f>IF(INDEX(Manual_Review!$H$6:$H$238,U3011)="","",INDEX(Manual_Review!$H$6:$H$238,U3011))</f>
        <v/>
      </c>
      <c r="X3011" s="5" t="str">
        <f>IF(INDEX(Manual_Review!$I$6:$I$238,U3011)="","",INDEX(Manual_Review!$I$6:$I$238,U3011))</f>
        <v/>
      </c>
      <c r="Y3011" s="5" t="s">
        <v>2859</v>
      </c>
    </row>
    <row r="3012" spans="1:25" ht="25.5">
      <c r="A3012" s="5" t="s">
        <v>9147</v>
      </c>
      <c r="B3012" s="5" t="s">
        <v>2122</v>
      </c>
      <c r="C3012" s="5" t="s">
        <v>2123</v>
      </c>
      <c r="D3012" s="5" t="s">
        <v>118</v>
      </c>
      <c r="E3012" s="5" t="s">
        <v>2795</v>
      </c>
      <c r="F3012" s="5" t="s">
        <v>2764</v>
      </c>
      <c r="G3012" s="5">
        <v>1</v>
      </c>
      <c r="H3012" s="5" t="s">
        <v>2854</v>
      </c>
      <c r="I3012" s="5" t="str">
        <f>IF(INDEX(Manual_Review!$Y$6:$Y$238,U3012)="","",INDEX(Manual_Review!$Y$6:$Y$238,U3012))</f>
        <v/>
      </c>
      <c r="J3012" s="5" t="str">
        <f t="shared" si="92"/>
        <v>AI provisional</v>
      </c>
      <c r="K3012" s="5" t="str">
        <f t="shared" si="93"/>
        <v>Y</v>
      </c>
      <c r="L3012" s="5" t="s">
        <v>2134</v>
      </c>
      <c r="M3012" s="5" t="s">
        <v>9148</v>
      </c>
      <c r="N3012" s="5" t="s">
        <v>9149</v>
      </c>
      <c r="O3012" s="5" t="s">
        <v>9150</v>
      </c>
      <c r="P3012" s="5" t="s">
        <v>2992</v>
      </c>
      <c r="Q3012" s="11">
        <v>46306.5</v>
      </c>
      <c r="R3012" s="6"/>
      <c r="S3012" s="6"/>
      <c r="T3012" s="6"/>
      <c r="U3012" s="5">
        <f>MATCH(B3012,Manual_Review!$A$6:$A$238,0)</f>
        <v>188</v>
      </c>
      <c r="V3012" s="5" t="str">
        <f>IF(INDEX(Manual_Review!$G$6:$G$238,U3012)="","",INDEX(Manual_Review!$G$6:$G$238,U3012))</f>
        <v/>
      </c>
      <c r="W3012" s="11" t="str">
        <f>IF(INDEX(Manual_Review!$H$6:$H$238,U3012)="","",INDEX(Manual_Review!$H$6:$H$238,U3012))</f>
        <v/>
      </c>
      <c r="X3012" s="5" t="str">
        <f>IF(INDEX(Manual_Review!$I$6:$I$238,U3012)="","",INDEX(Manual_Review!$I$6:$I$238,U3012))</f>
        <v/>
      </c>
      <c r="Y3012" s="5" t="s">
        <v>2859</v>
      </c>
    </row>
    <row r="3013" spans="1:25" ht="51">
      <c r="A3013" s="5" t="s">
        <v>9151</v>
      </c>
      <c r="B3013" s="5" t="s">
        <v>2122</v>
      </c>
      <c r="C3013" s="5" t="s">
        <v>2123</v>
      </c>
      <c r="D3013" s="5" t="s">
        <v>118</v>
      </c>
      <c r="E3013" s="5" t="s">
        <v>2796</v>
      </c>
      <c r="F3013" s="5" t="s">
        <v>2764</v>
      </c>
      <c r="G3013" s="5">
        <v>1</v>
      </c>
      <c r="H3013" s="5" t="s">
        <v>2864</v>
      </c>
      <c r="I3013" s="5" t="str">
        <f>IF(INDEX(Manual_Review!$Z$6:$Z$238,U3013)="","",INDEX(Manual_Review!$Z$6:$Z$238,U3013))</f>
        <v/>
      </c>
      <c r="J3013" s="5" t="str">
        <f t="shared" si="92"/>
        <v>AI provisional</v>
      </c>
      <c r="K3013" s="5" t="str">
        <f t="shared" si="93"/>
        <v>U</v>
      </c>
      <c r="L3013" s="5" t="s">
        <v>2134</v>
      </c>
      <c r="M3013" s="5" t="s">
        <v>9152</v>
      </c>
      <c r="N3013" s="5" t="s">
        <v>9153</v>
      </c>
      <c r="O3013" s="5" t="s">
        <v>3050</v>
      </c>
      <c r="P3013" s="5" t="s">
        <v>2992</v>
      </c>
      <c r="Q3013" s="11">
        <v>46306.5</v>
      </c>
      <c r="R3013" s="6"/>
      <c r="S3013" s="6"/>
      <c r="T3013" s="6"/>
      <c r="U3013" s="5">
        <f>MATCH(B3013,Manual_Review!$A$6:$A$238,0)</f>
        <v>188</v>
      </c>
      <c r="V3013" s="5" t="str">
        <f>IF(INDEX(Manual_Review!$G$6:$G$238,U3013)="","",INDEX(Manual_Review!$G$6:$G$238,U3013))</f>
        <v/>
      </c>
      <c r="W3013" s="11" t="str">
        <f>IF(INDEX(Manual_Review!$H$6:$H$238,U3013)="","",INDEX(Manual_Review!$H$6:$H$238,U3013))</f>
        <v/>
      </c>
      <c r="X3013" s="5" t="str">
        <f>IF(INDEX(Manual_Review!$I$6:$I$238,U3013)="","",INDEX(Manual_Review!$I$6:$I$238,U3013))</f>
        <v/>
      </c>
      <c r="Y3013" s="5" t="s">
        <v>2859</v>
      </c>
    </row>
    <row r="3014" spans="1:25" ht="25.5">
      <c r="A3014" s="5" t="s">
        <v>9154</v>
      </c>
      <c r="B3014" s="5" t="s">
        <v>2136</v>
      </c>
      <c r="C3014" s="5" t="s">
        <v>2137</v>
      </c>
      <c r="D3014" s="5" t="s">
        <v>118</v>
      </c>
      <c r="E3014" s="5" t="s">
        <v>2781</v>
      </c>
      <c r="F3014" s="5" t="s">
        <v>2754</v>
      </c>
      <c r="G3014" s="5">
        <v>1</v>
      </c>
      <c r="H3014" s="5" t="s">
        <v>2854</v>
      </c>
      <c r="I3014" s="5" t="str">
        <f>IF(INDEX(Manual_Review!$K$6:$K$238,U3014)="","",INDEX(Manual_Review!$K$6:$K$238,U3014))</f>
        <v/>
      </c>
      <c r="J3014" s="5" t="str">
        <f t="shared" ref="J3014:J3077" si="94">IF(G3014=0,"Not applicable",IF(I3014="","AI provisional",IF(AND(OR(I3014="Y",I3014="N",I3014="U",I3014="X"),V3014&lt;&gt;"",ISNUMBER(W3014),W3014&gt;0,X3014="Confirmed",R3014&lt;&gt;"",S3014&lt;&gt;"",T3014&lt;&gt;""),"Human valid","Evidence needed")))</f>
        <v>AI provisional</v>
      </c>
      <c r="K3014" s="5" t="str">
        <f t="shared" ref="K3014:K3077" si="95">IF(G3014=0,"N/A",IF(I3014="",H3014,IF(J3014="Human valid",I3014,"U")))</f>
        <v>Y</v>
      </c>
      <c r="L3014" s="5" t="s">
        <v>2149</v>
      </c>
      <c r="M3014" s="5" t="s">
        <v>9155</v>
      </c>
      <c r="N3014" s="5" t="s">
        <v>9156</v>
      </c>
      <c r="O3014" s="5" t="s">
        <v>2991</v>
      </c>
      <c r="P3014" s="5" t="s">
        <v>2992</v>
      </c>
      <c r="Q3014" s="11">
        <v>46306.5</v>
      </c>
      <c r="R3014" s="6"/>
      <c r="S3014" s="6"/>
      <c r="T3014" s="6"/>
      <c r="U3014" s="5">
        <f>MATCH(B3014,Manual_Review!$A$6:$A$238,0)</f>
        <v>189</v>
      </c>
      <c r="V3014" s="5" t="str">
        <f>IF(INDEX(Manual_Review!$G$6:$G$238,U3014)="","",INDEX(Manual_Review!$G$6:$G$238,U3014))</f>
        <v/>
      </c>
      <c r="W3014" s="11" t="str">
        <f>IF(INDEX(Manual_Review!$H$6:$H$238,U3014)="","",INDEX(Manual_Review!$H$6:$H$238,U3014))</f>
        <v/>
      </c>
      <c r="X3014" s="5" t="str">
        <f>IF(INDEX(Manual_Review!$I$6:$I$238,U3014)="","",INDEX(Manual_Review!$I$6:$I$238,U3014))</f>
        <v/>
      </c>
      <c r="Y3014" s="5" t="s">
        <v>2859</v>
      </c>
    </row>
    <row r="3015" spans="1:25" ht="25.5">
      <c r="A3015" s="5" t="s">
        <v>9157</v>
      </c>
      <c r="B3015" s="5" t="s">
        <v>2136</v>
      </c>
      <c r="C3015" s="5" t="s">
        <v>2137</v>
      </c>
      <c r="D3015" s="5" t="s">
        <v>118</v>
      </c>
      <c r="E3015" s="5" t="s">
        <v>2782</v>
      </c>
      <c r="F3015" s="5" t="s">
        <v>2754</v>
      </c>
      <c r="G3015" s="5">
        <v>1</v>
      </c>
      <c r="H3015" s="5" t="s">
        <v>2854</v>
      </c>
      <c r="I3015" s="5" t="str">
        <f>IF(INDEX(Manual_Review!$L$6:$L$238,U3015)="","",INDEX(Manual_Review!$L$6:$L$238,U3015))</f>
        <v/>
      </c>
      <c r="J3015" s="5" t="str">
        <f t="shared" si="94"/>
        <v>AI provisional</v>
      </c>
      <c r="K3015" s="5" t="str">
        <f t="shared" si="95"/>
        <v>Y</v>
      </c>
      <c r="L3015" s="5" t="s">
        <v>2149</v>
      </c>
      <c r="M3015" s="5" t="s">
        <v>9158</v>
      </c>
      <c r="N3015" s="5" t="s">
        <v>9159</v>
      </c>
      <c r="O3015" s="5" t="s">
        <v>2996</v>
      </c>
      <c r="P3015" s="5" t="s">
        <v>2992</v>
      </c>
      <c r="Q3015" s="11">
        <v>46306.5</v>
      </c>
      <c r="R3015" s="6"/>
      <c r="S3015" s="6"/>
      <c r="T3015" s="6"/>
      <c r="U3015" s="5">
        <f>MATCH(B3015,Manual_Review!$A$6:$A$238,0)</f>
        <v>189</v>
      </c>
      <c r="V3015" s="5" t="str">
        <f>IF(INDEX(Manual_Review!$G$6:$G$238,U3015)="","",INDEX(Manual_Review!$G$6:$G$238,U3015))</f>
        <v/>
      </c>
      <c r="W3015" s="11" t="str">
        <f>IF(INDEX(Manual_Review!$H$6:$H$238,U3015)="","",INDEX(Manual_Review!$H$6:$H$238,U3015))</f>
        <v/>
      </c>
      <c r="X3015" s="5" t="str">
        <f>IF(INDEX(Manual_Review!$I$6:$I$238,U3015)="","",INDEX(Manual_Review!$I$6:$I$238,U3015))</f>
        <v/>
      </c>
      <c r="Y3015" s="5" t="s">
        <v>2859</v>
      </c>
    </row>
    <row r="3016" spans="1:25" ht="25.5">
      <c r="A3016" s="5" t="s">
        <v>9160</v>
      </c>
      <c r="B3016" s="5" t="s">
        <v>2136</v>
      </c>
      <c r="C3016" s="5" t="s">
        <v>2137</v>
      </c>
      <c r="D3016" s="5" t="s">
        <v>118</v>
      </c>
      <c r="E3016" s="5" t="s">
        <v>2783</v>
      </c>
      <c r="F3016" s="5" t="s">
        <v>2754</v>
      </c>
      <c r="G3016" s="5">
        <v>1</v>
      </c>
      <c r="H3016" s="5" t="s">
        <v>2854</v>
      </c>
      <c r="I3016" s="5" t="str">
        <f>IF(INDEX(Manual_Review!$M$6:$M$238,U3016)="","",INDEX(Manual_Review!$M$6:$M$238,U3016))</f>
        <v/>
      </c>
      <c r="J3016" s="5" t="str">
        <f t="shared" si="94"/>
        <v>AI provisional</v>
      </c>
      <c r="K3016" s="5" t="str">
        <f t="shared" si="95"/>
        <v>Y</v>
      </c>
      <c r="L3016" s="5" t="s">
        <v>2149</v>
      </c>
      <c r="M3016" s="5" t="s">
        <v>9161</v>
      </c>
      <c r="N3016" s="5" t="s">
        <v>9162</v>
      </c>
      <c r="O3016" s="5" t="s">
        <v>3000</v>
      </c>
      <c r="P3016" s="5" t="s">
        <v>2992</v>
      </c>
      <c r="Q3016" s="11">
        <v>46306.5</v>
      </c>
      <c r="R3016" s="6"/>
      <c r="S3016" s="6"/>
      <c r="T3016" s="6"/>
      <c r="U3016" s="5">
        <f>MATCH(B3016,Manual_Review!$A$6:$A$238,0)</f>
        <v>189</v>
      </c>
      <c r="V3016" s="5" t="str">
        <f>IF(INDEX(Manual_Review!$G$6:$G$238,U3016)="","",INDEX(Manual_Review!$G$6:$G$238,U3016))</f>
        <v/>
      </c>
      <c r="W3016" s="11" t="str">
        <f>IF(INDEX(Manual_Review!$H$6:$H$238,U3016)="","",INDEX(Manual_Review!$H$6:$H$238,U3016))</f>
        <v/>
      </c>
      <c r="X3016" s="5" t="str">
        <f>IF(INDEX(Manual_Review!$I$6:$I$238,U3016)="","",INDEX(Manual_Review!$I$6:$I$238,U3016))</f>
        <v/>
      </c>
      <c r="Y3016" s="5" t="s">
        <v>2859</v>
      </c>
    </row>
    <row r="3017" spans="1:25" ht="25.5">
      <c r="A3017" s="5" t="s">
        <v>9163</v>
      </c>
      <c r="B3017" s="5" t="s">
        <v>2136</v>
      </c>
      <c r="C3017" s="5" t="s">
        <v>2137</v>
      </c>
      <c r="D3017" s="5" t="s">
        <v>118</v>
      </c>
      <c r="E3017" s="5" t="s">
        <v>2784</v>
      </c>
      <c r="F3017" s="5" t="s">
        <v>2756</v>
      </c>
      <c r="G3017" s="5">
        <v>1</v>
      </c>
      <c r="H3017" s="5" t="s">
        <v>2854</v>
      </c>
      <c r="I3017" s="5" t="str">
        <f>IF(INDEX(Manual_Review!$N$6:$N$238,U3017)="","",INDEX(Manual_Review!$N$6:$N$238,U3017))</f>
        <v/>
      </c>
      <c r="J3017" s="5" t="str">
        <f t="shared" si="94"/>
        <v>AI provisional</v>
      </c>
      <c r="K3017" s="5" t="str">
        <f t="shared" si="95"/>
        <v>Y</v>
      </c>
      <c r="L3017" s="5" t="s">
        <v>2149</v>
      </c>
      <c r="M3017" s="5" t="s">
        <v>9164</v>
      </c>
      <c r="N3017" s="5" t="s">
        <v>9165</v>
      </c>
      <c r="O3017" s="5" t="s">
        <v>3004</v>
      </c>
      <c r="P3017" s="5" t="s">
        <v>2992</v>
      </c>
      <c r="Q3017" s="11">
        <v>46306.5</v>
      </c>
      <c r="R3017" s="6"/>
      <c r="S3017" s="6"/>
      <c r="T3017" s="6"/>
      <c r="U3017" s="5">
        <f>MATCH(B3017,Manual_Review!$A$6:$A$238,0)</f>
        <v>189</v>
      </c>
      <c r="V3017" s="5" t="str">
        <f>IF(INDEX(Manual_Review!$G$6:$G$238,U3017)="","",INDEX(Manual_Review!$G$6:$G$238,U3017))</f>
        <v/>
      </c>
      <c r="W3017" s="11" t="str">
        <f>IF(INDEX(Manual_Review!$H$6:$H$238,U3017)="","",INDEX(Manual_Review!$H$6:$H$238,U3017))</f>
        <v/>
      </c>
      <c r="X3017" s="5" t="str">
        <f>IF(INDEX(Manual_Review!$I$6:$I$238,U3017)="","",INDEX(Manual_Review!$I$6:$I$238,U3017))</f>
        <v/>
      </c>
      <c r="Y3017" s="5" t="s">
        <v>2859</v>
      </c>
    </row>
    <row r="3018" spans="1:25" ht="25.5">
      <c r="A3018" s="5" t="s">
        <v>9166</v>
      </c>
      <c r="B3018" s="5" t="s">
        <v>2136</v>
      </c>
      <c r="C3018" s="5" t="s">
        <v>2137</v>
      </c>
      <c r="D3018" s="5" t="s">
        <v>118</v>
      </c>
      <c r="E3018" s="5" t="s">
        <v>2785</v>
      </c>
      <c r="F3018" s="5" t="s">
        <v>2756</v>
      </c>
      <c r="G3018" s="5">
        <v>1</v>
      </c>
      <c r="H3018" s="5" t="s">
        <v>2864</v>
      </c>
      <c r="I3018" s="5" t="str">
        <f>IF(INDEX(Manual_Review!$O$6:$O$238,U3018)="","",INDEX(Manual_Review!$O$6:$O$238,U3018))</f>
        <v/>
      </c>
      <c r="J3018" s="5" t="str">
        <f t="shared" si="94"/>
        <v>AI provisional</v>
      </c>
      <c r="K3018" s="5" t="str">
        <f t="shared" si="95"/>
        <v>U</v>
      </c>
      <c r="L3018" s="5" t="s">
        <v>2149</v>
      </c>
      <c r="M3018" s="5" t="s">
        <v>9164</v>
      </c>
      <c r="N3018" s="5" t="s">
        <v>9165</v>
      </c>
      <c r="O3018" s="5" t="s">
        <v>3006</v>
      </c>
      <c r="P3018" s="5" t="s">
        <v>2992</v>
      </c>
      <c r="Q3018" s="11">
        <v>46306.5</v>
      </c>
      <c r="R3018" s="6"/>
      <c r="S3018" s="6"/>
      <c r="T3018" s="6"/>
      <c r="U3018" s="5">
        <f>MATCH(B3018,Manual_Review!$A$6:$A$238,0)</f>
        <v>189</v>
      </c>
      <c r="V3018" s="5" t="str">
        <f>IF(INDEX(Manual_Review!$G$6:$G$238,U3018)="","",INDEX(Manual_Review!$G$6:$G$238,U3018))</f>
        <v/>
      </c>
      <c r="W3018" s="11" t="str">
        <f>IF(INDEX(Manual_Review!$H$6:$H$238,U3018)="","",INDEX(Manual_Review!$H$6:$H$238,U3018))</f>
        <v/>
      </c>
      <c r="X3018" s="5" t="str">
        <f>IF(INDEX(Manual_Review!$I$6:$I$238,U3018)="","",INDEX(Manual_Review!$I$6:$I$238,U3018))</f>
        <v/>
      </c>
      <c r="Y3018" s="5" t="s">
        <v>2859</v>
      </c>
    </row>
    <row r="3019" spans="1:25" ht="25.5">
      <c r="A3019" s="5" t="s">
        <v>9167</v>
      </c>
      <c r="B3019" s="5" t="s">
        <v>2136</v>
      </c>
      <c r="C3019" s="5" t="s">
        <v>2137</v>
      </c>
      <c r="D3019" s="5" t="s">
        <v>118</v>
      </c>
      <c r="E3019" s="5" t="s">
        <v>2786</v>
      </c>
      <c r="F3019" s="5" t="s">
        <v>2756</v>
      </c>
      <c r="G3019" s="5">
        <v>1</v>
      </c>
      <c r="H3019" s="5" t="s">
        <v>2864</v>
      </c>
      <c r="I3019" s="5" t="str">
        <f>IF(INDEX(Manual_Review!$P$6:$P$238,U3019)="","",INDEX(Manual_Review!$P$6:$P$238,U3019))</f>
        <v/>
      </c>
      <c r="J3019" s="5" t="str">
        <f t="shared" si="94"/>
        <v>AI provisional</v>
      </c>
      <c r="K3019" s="5" t="str">
        <f t="shared" si="95"/>
        <v>U</v>
      </c>
      <c r="L3019" s="5" t="s">
        <v>2149</v>
      </c>
      <c r="M3019" s="5" t="s">
        <v>9168</v>
      </c>
      <c r="N3019" s="5" t="s">
        <v>9169</v>
      </c>
      <c r="O3019" s="5" t="s">
        <v>3010</v>
      </c>
      <c r="P3019" s="5" t="s">
        <v>2992</v>
      </c>
      <c r="Q3019" s="11">
        <v>46306.5</v>
      </c>
      <c r="R3019" s="6"/>
      <c r="S3019" s="6"/>
      <c r="T3019" s="6"/>
      <c r="U3019" s="5">
        <f>MATCH(B3019,Manual_Review!$A$6:$A$238,0)</f>
        <v>189</v>
      </c>
      <c r="V3019" s="5" t="str">
        <f>IF(INDEX(Manual_Review!$G$6:$G$238,U3019)="","",INDEX(Manual_Review!$G$6:$G$238,U3019))</f>
        <v/>
      </c>
      <c r="W3019" s="11" t="str">
        <f>IF(INDEX(Manual_Review!$H$6:$H$238,U3019)="","",INDEX(Manual_Review!$H$6:$H$238,U3019))</f>
        <v/>
      </c>
      <c r="X3019" s="5" t="str">
        <f>IF(INDEX(Manual_Review!$I$6:$I$238,U3019)="","",INDEX(Manual_Review!$I$6:$I$238,U3019))</f>
        <v/>
      </c>
      <c r="Y3019" s="5" t="s">
        <v>2859</v>
      </c>
    </row>
    <row r="3020" spans="1:25" ht="25.5">
      <c r="A3020" s="5" t="s">
        <v>9170</v>
      </c>
      <c r="B3020" s="5" t="s">
        <v>2136</v>
      </c>
      <c r="C3020" s="5" t="s">
        <v>2137</v>
      </c>
      <c r="D3020" s="5" t="s">
        <v>118</v>
      </c>
      <c r="E3020" s="5" t="s">
        <v>2787</v>
      </c>
      <c r="F3020" s="5" t="s">
        <v>2758</v>
      </c>
      <c r="G3020" s="5">
        <v>1</v>
      </c>
      <c r="H3020" s="5" t="s">
        <v>2854</v>
      </c>
      <c r="I3020" s="5" t="str">
        <f>IF(INDEX(Manual_Review!$Q$6:$Q$238,U3020)="","",INDEX(Manual_Review!$Q$6:$Q$238,U3020))</f>
        <v/>
      </c>
      <c r="J3020" s="5" t="str">
        <f t="shared" si="94"/>
        <v>AI provisional</v>
      </c>
      <c r="K3020" s="5" t="str">
        <f t="shared" si="95"/>
        <v>Y</v>
      </c>
      <c r="L3020" s="5" t="s">
        <v>2149</v>
      </c>
      <c r="M3020" s="5" t="s">
        <v>9171</v>
      </c>
      <c r="N3020" s="5" t="s">
        <v>9172</v>
      </c>
      <c r="O3020" s="5" t="s">
        <v>3819</v>
      </c>
      <c r="P3020" s="5" t="s">
        <v>2992</v>
      </c>
      <c r="Q3020" s="11">
        <v>46306.5</v>
      </c>
      <c r="R3020" s="6"/>
      <c r="S3020" s="6"/>
      <c r="T3020" s="6"/>
      <c r="U3020" s="5">
        <f>MATCH(B3020,Manual_Review!$A$6:$A$238,0)</f>
        <v>189</v>
      </c>
      <c r="V3020" s="5" t="str">
        <f>IF(INDEX(Manual_Review!$G$6:$G$238,U3020)="","",INDEX(Manual_Review!$G$6:$G$238,U3020))</f>
        <v/>
      </c>
      <c r="W3020" s="11" t="str">
        <f>IF(INDEX(Manual_Review!$H$6:$H$238,U3020)="","",INDEX(Manual_Review!$H$6:$H$238,U3020))</f>
        <v/>
      </c>
      <c r="X3020" s="5" t="str">
        <f>IF(INDEX(Manual_Review!$I$6:$I$238,U3020)="","",INDEX(Manual_Review!$I$6:$I$238,U3020))</f>
        <v/>
      </c>
      <c r="Y3020" s="5" t="s">
        <v>2859</v>
      </c>
    </row>
    <row r="3021" spans="1:25" ht="51">
      <c r="A3021" s="5" t="s">
        <v>9173</v>
      </c>
      <c r="B3021" s="5" t="s">
        <v>2136</v>
      </c>
      <c r="C3021" s="5" t="s">
        <v>2137</v>
      </c>
      <c r="D3021" s="5" t="s">
        <v>118</v>
      </c>
      <c r="E3021" s="5" t="s">
        <v>2788</v>
      </c>
      <c r="F3021" s="5" t="s">
        <v>2758</v>
      </c>
      <c r="G3021" s="5">
        <v>1</v>
      </c>
      <c r="H3021" s="5" t="s">
        <v>2854</v>
      </c>
      <c r="I3021" s="5" t="str">
        <f>IF(INDEX(Manual_Review!$R$6:$R$238,U3021)="","",INDEX(Manual_Review!$R$6:$R$238,U3021))</f>
        <v/>
      </c>
      <c r="J3021" s="5" t="str">
        <f t="shared" si="94"/>
        <v>AI provisional</v>
      </c>
      <c r="K3021" s="5" t="str">
        <f t="shared" si="95"/>
        <v>Y</v>
      </c>
      <c r="L3021" s="5" t="s">
        <v>2149</v>
      </c>
      <c r="M3021" s="5" t="s">
        <v>9174</v>
      </c>
      <c r="N3021" s="5" t="s">
        <v>9175</v>
      </c>
      <c r="O3021" s="5" t="s">
        <v>3018</v>
      </c>
      <c r="P3021" s="5" t="s">
        <v>2992</v>
      </c>
      <c r="Q3021" s="11">
        <v>46306.5</v>
      </c>
      <c r="R3021" s="6"/>
      <c r="S3021" s="6"/>
      <c r="T3021" s="6"/>
      <c r="U3021" s="5">
        <f>MATCH(B3021,Manual_Review!$A$6:$A$238,0)</f>
        <v>189</v>
      </c>
      <c r="V3021" s="5" t="str">
        <f>IF(INDEX(Manual_Review!$G$6:$G$238,U3021)="","",INDEX(Manual_Review!$G$6:$G$238,U3021))</f>
        <v/>
      </c>
      <c r="W3021" s="11" t="str">
        <f>IF(INDEX(Manual_Review!$H$6:$H$238,U3021)="","",INDEX(Manual_Review!$H$6:$H$238,U3021))</f>
        <v/>
      </c>
      <c r="X3021" s="5" t="str">
        <f>IF(INDEX(Manual_Review!$I$6:$I$238,U3021)="","",INDEX(Manual_Review!$I$6:$I$238,U3021))</f>
        <v/>
      </c>
      <c r="Y3021" s="5" t="s">
        <v>2859</v>
      </c>
    </row>
    <row r="3022" spans="1:25" ht="38.25">
      <c r="A3022" s="5" t="s">
        <v>9176</v>
      </c>
      <c r="B3022" s="5" t="s">
        <v>2136</v>
      </c>
      <c r="C3022" s="5" t="s">
        <v>2137</v>
      </c>
      <c r="D3022" s="5" t="s">
        <v>118</v>
      </c>
      <c r="E3022" s="5" t="s">
        <v>2789</v>
      </c>
      <c r="F3022" s="5" t="s">
        <v>2758</v>
      </c>
      <c r="G3022" s="5">
        <v>1</v>
      </c>
      <c r="H3022" s="5" t="s">
        <v>2854</v>
      </c>
      <c r="I3022" s="5" t="str">
        <f>IF(INDEX(Manual_Review!$S$6:$S$238,U3022)="","",INDEX(Manual_Review!$S$6:$S$238,U3022))</f>
        <v/>
      </c>
      <c r="J3022" s="5" t="str">
        <f t="shared" si="94"/>
        <v>AI provisional</v>
      </c>
      <c r="K3022" s="5" t="str">
        <f t="shared" si="95"/>
        <v>Y</v>
      </c>
      <c r="L3022" s="5" t="s">
        <v>2149</v>
      </c>
      <c r="M3022" s="5" t="s">
        <v>9177</v>
      </c>
      <c r="N3022" s="5" t="s">
        <v>9178</v>
      </c>
      <c r="O3022" s="5" t="s">
        <v>3022</v>
      </c>
      <c r="P3022" s="5" t="s">
        <v>2992</v>
      </c>
      <c r="Q3022" s="11">
        <v>46306.5</v>
      </c>
      <c r="R3022" s="6"/>
      <c r="S3022" s="6"/>
      <c r="T3022" s="6"/>
      <c r="U3022" s="5">
        <f>MATCH(B3022,Manual_Review!$A$6:$A$238,0)</f>
        <v>189</v>
      </c>
      <c r="V3022" s="5" t="str">
        <f>IF(INDEX(Manual_Review!$G$6:$G$238,U3022)="","",INDEX(Manual_Review!$G$6:$G$238,U3022))</f>
        <v/>
      </c>
      <c r="W3022" s="11" t="str">
        <f>IF(INDEX(Manual_Review!$H$6:$H$238,U3022)="","",INDEX(Manual_Review!$H$6:$H$238,U3022))</f>
        <v/>
      </c>
      <c r="X3022" s="5" t="str">
        <f>IF(INDEX(Manual_Review!$I$6:$I$238,U3022)="","",INDEX(Manual_Review!$I$6:$I$238,U3022))</f>
        <v/>
      </c>
      <c r="Y3022" s="5" t="s">
        <v>2859</v>
      </c>
    </row>
    <row r="3023" spans="1:25" ht="25.5">
      <c r="A3023" s="5" t="s">
        <v>9179</v>
      </c>
      <c r="B3023" s="5" t="s">
        <v>2136</v>
      </c>
      <c r="C3023" s="5" t="s">
        <v>2137</v>
      </c>
      <c r="D3023" s="5" t="s">
        <v>118</v>
      </c>
      <c r="E3023" s="5" t="s">
        <v>2790</v>
      </c>
      <c r="F3023" s="5" t="s">
        <v>2760</v>
      </c>
      <c r="G3023" s="5">
        <v>1</v>
      </c>
      <c r="H3023" s="5" t="s">
        <v>2854</v>
      </c>
      <c r="I3023" s="5" t="str">
        <f>IF(INDEX(Manual_Review!$T$6:$T$238,U3023)="","",INDEX(Manual_Review!$T$6:$T$238,U3023))</f>
        <v/>
      </c>
      <c r="J3023" s="5" t="str">
        <f t="shared" si="94"/>
        <v>AI provisional</v>
      </c>
      <c r="K3023" s="5" t="str">
        <f t="shared" si="95"/>
        <v>Y</v>
      </c>
      <c r="L3023" s="5" t="s">
        <v>2149</v>
      </c>
      <c r="M3023" s="5" t="s">
        <v>9180</v>
      </c>
      <c r="N3023" s="5" t="s">
        <v>9181</v>
      </c>
      <c r="O3023" s="5" t="s">
        <v>3451</v>
      </c>
      <c r="P3023" s="5" t="s">
        <v>2992</v>
      </c>
      <c r="Q3023" s="11">
        <v>46306.5</v>
      </c>
      <c r="R3023" s="6"/>
      <c r="S3023" s="6"/>
      <c r="T3023" s="6"/>
      <c r="U3023" s="5">
        <f>MATCH(B3023,Manual_Review!$A$6:$A$238,0)</f>
        <v>189</v>
      </c>
      <c r="V3023" s="5" t="str">
        <f>IF(INDEX(Manual_Review!$G$6:$G$238,U3023)="","",INDEX(Manual_Review!$G$6:$G$238,U3023))</f>
        <v/>
      </c>
      <c r="W3023" s="11" t="str">
        <f>IF(INDEX(Manual_Review!$H$6:$H$238,U3023)="","",INDEX(Manual_Review!$H$6:$H$238,U3023))</f>
        <v/>
      </c>
      <c r="X3023" s="5" t="str">
        <f>IF(INDEX(Manual_Review!$I$6:$I$238,U3023)="","",INDEX(Manual_Review!$I$6:$I$238,U3023))</f>
        <v/>
      </c>
      <c r="Y3023" s="5" t="s">
        <v>2859</v>
      </c>
    </row>
    <row r="3024" spans="1:25" ht="25.5">
      <c r="A3024" s="5" t="s">
        <v>9182</v>
      </c>
      <c r="B3024" s="5" t="s">
        <v>2136</v>
      </c>
      <c r="C3024" s="5" t="s">
        <v>2137</v>
      </c>
      <c r="D3024" s="5" t="s">
        <v>118</v>
      </c>
      <c r="E3024" s="5" t="s">
        <v>2791</v>
      </c>
      <c r="F3024" s="5" t="s">
        <v>2760</v>
      </c>
      <c r="G3024" s="5">
        <v>1</v>
      </c>
      <c r="H3024" s="5" t="s">
        <v>2854</v>
      </c>
      <c r="I3024" s="5" t="str">
        <f>IF(INDEX(Manual_Review!$U$6:$U$238,U3024)="","",INDEX(Manual_Review!$U$6:$U$238,U3024))</f>
        <v/>
      </c>
      <c r="J3024" s="5" t="str">
        <f t="shared" si="94"/>
        <v>AI provisional</v>
      </c>
      <c r="K3024" s="5" t="str">
        <f t="shared" si="95"/>
        <v>Y</v>
      </c>
      <c r="L3024" s="5" t="s">
        <v>2149</v>
      </c>
      <c r="M3024" s="5" t="s">
        <v>9183</v>
      </c>
      <c r="N3024" s="5" t="s">
        <v>9184</v>
      </c>
      <c r="O3024" s="5" t="s">
        <v>3832</v>
      </c>
      <c r="P3024" s="5" t="s">
        <v>2992</v>
      </c>
      <c r="Q3024" s="11">
        <v>46306.5</v>
      </c>
      <c r="R3024" s="6"/>
      <c r="S3024" s="6"/>
      <c r="T3024" s="6"/>
      <c r="U3024" s="5">
        <f>MATCH(B3024,Manual_Review!$A$6:$A$238,0)</f>
        <v>189</v>
      </c>
      <c r="V3024" s="5" t="str">
        <f>IF(INDEX(Manual_Review!$G$6:$G$238,U3024)="","",INDEX(Manual_Review!$G$6:$G$238,U3024))</f>
        <v/>
      </c>
      <c r="W3024" s="11" t="str">
        <f>IF(INDEX(Manual_Review!$H$6:$H$238,U3024)="","",INDEX(Manual_Review!$H$6:$H$238,U3024))</f>
        <v/>
      </c>
      <c r="X3024" s="5" t="str">
        <f>IF(INDEX(Manual_Review!$I$6:$I$238,U3024)="","",INDEX(Manual_Review!$I$6:$I$238,U3024))</f>
        <v/>
      </c>
      <c r="Y3024" s="5" t="s">
        <v>2859</v>
      </c>
    </row>
    <row r="3025" spans="1:25" ht="25.5">
      <c r="A3025" s="5" t="s">
        <v>9185</v>
      </c>
      <c r="B3025" s="5" t="s">
        <v>2136</v>
      </c>
      <c r="C3025" s="5" t="s">
        <v>2137</v>
      </c>
      <c r="D3025" s="5" t="s">
        <v>118</v>
      </c>
      <c r="E3025" s="5" t="s">
        <v>2792</v>
      </c>
      <c r="F3025" s="5" t="s">
        <v>2762</v>
      </c>
      <c r="G3025" s="5">
        <v>1</v>
      </c>
      <c r="H3025" s="5" t="s">
        <v>2854</v>
      </c>
      <c r="I3025" s="5" t="str">
        <f>IF(INDEX(Manual_Review!$V$6:$V$238,U3025)="","",INDEX(Manual_Review!$V$6:$V$238,U3025))</f>
        <v/>
      </c>
      <c r="J3025" s="5" t="str">
        <f t="shared" si="94"/>
        <v>AI provisional</v>
      </c>
      <c r="K3025" s="5" t="str">
        <f t="shared" si="95"/>
        <v>Y</v>
      </c>
      <c r="L3025" s="5" t="s">
        <v>2149</v>
      </c>
      <c r="M3025" s="5" t="s">
        <v>9186</v>
      </c>
      <c r="N3025" s="5" t="s">
        <v>9187</v>
      </c>
      <c r="O3025" s="5" t="s">
        <v>3034</v>
      </c>
      <c r="P3025" s="5" t="s">
        <v>2992</v>
      </c>
      <c r="Q3025" s="11">
        <v>46306.5</v>
      </c>
      <c r="R3025" s="6"/>
      <c r="S3025" s="6"/>
      <c r="T3025" s="6"/>
      <c r="U3025" s="5">
        <f>MATCH(B3025,Manual_Review!$A$6:$A$238,0)</f>
        <v>189</v>
      </c>
      <c r="V3025" s="5" t="str">
        <f>IF(INDEX(Manual_Review!$G$6:$G$238,U3025)="","",INDEX(Manual_Review!$G$6:$G$238,U3025))</f>
        <v/>
      </c>
      <c r="W3025" s="11" t="str">
        <f>IF(INDEX(Manual_Review!$H$6:$H$238,U3025)="","",INDEX(Manual_Review!$H$6:$H$238,U3025))</f>
        <v/>
      </c>
      <c r="X3025" s="5" t="str">
        <f>IF(INDEX(Manual_Review!$I$6:$I$238,U3025)="","",INDEX(Manual_Review!$I$6:$I$238,U3025))</f>
        <v/>
      </c>
      <c r="Y3025" s="5" t="s">
        <v>2859</v>
      </c>
    </row>
    <row r="3026" spans="1:25" ht="38.25">
      <c r="A3026" s="5" t="s">
        <v>9188</v>
      </c>
      <c r="B3026" s="5" t="s">
        <v>2136</v>
      </c>
      <c r="C3026" s="5" t="s">
        <v>2137</v>
      </c>
      <c r="D3026" s="5" t="s">
        <v>118</v>
      </c>
      <c r="E3026" s="5" t="s">
        <v>2793</v>
      </c>
      <c r="F3026" s="5" t="s">
        <v>2762</v>
      </c>
      <c r="G3026" s="5">
        <v>1</v>
      </c>
      <c r="H3026" s="5" t="s">
        <v>2854</v>
      </c>
      <c r="I3026" s="5" t="str">
        <f>IF(INDEX(Manual_Review!$W$6:$W$238,U3026)="","",INDEX(Manual_Review!$W$6:$W$238,U3026))</f>
        <v/>
      </c>
      <c r="J3026" s="5" t="str">
        <f t="shared" si="94"/>
        <v>AI provisional</v>
      </c>
      <c r="K3026" s="5" t="str">
        <f t="shared" si="95"/>
        <v>Y</v>
      </c>
      <c r="L3026" s="5" t="s">
        <v>2149</v>
      </c>
      <c r="M3026" s="5" t="s">
        <v>9189</v>
      </c>
      <c r="N3026" s="5" t="s">
        <v>9190</v>
      </c>
      <c r="O3026" s="5" t="s">
        <v>3038</v>
      </c>
      <c r="P3026" s="5" t="s">
        <v>2992</v>
      </c>
      <c r="Q3026" s="11">
        <v>46306.5</v>
      </c>
      <c r="R3026" s="6"/>
      <c r="S3026" s="6"/>
      <c r="T3026" s="6"/>
      <c r="U3026" s="5">
        <f>MATCH(B3026,Manual_Review!$A$6:$A$238,0)</f>
        <v>189</v>
      </c>
      <c r="V3026" s="5" t="str">
        <f>IF(INDEX(Manual_Review!$G$6:$G$238,U3026)="","",INDEX(Manual_Review!$G$6:$G$238,U3026))</f>
        <v/>
      </c>
      <c r="W3026" s="11" t="str">
        <f>IF(INDEX(Manual_Review!$H$6:$H$238,U3026)="","",INDEX(Manual_Review!$H$6:$H$238,U3026))</f>
        <v/>
      </c>
      <c r="X3026" s="5" t="str">
        <f>IF(INDEX(Manual_Review!$I$6:$I$238,U3026)="","",INDEX(Manual_Review!$I$6:$I$238,U3026))</f>
        <v/>
      </c>
      <c r="Y3026" s="5" t="s">
        <v>2859</v>
      </c>
    </row>
    <row r="3027" spans="1:25" ht="25.5">
      <c r="A3027" s="5" t="s">
        <v>9191</v>
      </c>
      <c r="B3027" s="5" t="s">
        <v>2136</v>
      </c>
      <c r="C3027" s="5" t="s">
        <v>2137</v>
      </c>
      <c r="D3027" s="5" t="s">
        <v>118</v>
      </c>
      <c r="E3027" s="5" t="s">
        <v>2794</v>
      </c>
      <c r="F3027" s="5" t="s">
        <v>2764</v>
      </c>
      <c r="G3027" s="5">
        <v>1</v>
      </c>
      <c r="H3027" s="5" t="s">
        <v>2854</v>
      </c>
      <c r="I3027" s="5" t="str">
        <f>IF(INDEX(Manual_Review!$X$6:$X$238,U3027)="","",INDEX(Manual_Review!$X$6:$X$238,U3027))</f>
        <v/>
      </c>
      <c r="J3027" s="5" t="str">
        <f t="shared" si="94"/>
        <v>AI provisional</v>
      </c>
      <c r="K3027" s="5" t="str">
        <f t="shared" si="95"/>
        <v>Y</v>
      </c>
      <c r="L3027" s="5" t="s">
        <v>2149</v>
      </c>
      <c r="M3027" s="5" t="s">
        <v>9192</v>
      </c>
      <c r="N3027" s="5" t="s">
        <v>9193</v>
      </c>
      <c r="O3027" s="5" t="s">
        <v>3042</v>
      </c>
      <c r="P3027" s="5" t="s">
        <v>2992</v>
      </c>
      <c r="Q3027" s="11">
        <v>46306.5</v>
      </c>
      <c r="R3027" s="6"/>
      <c r="S3027" s="6"/>
      <c r="T3027" s="6"/>
      <c r="U3027" s="5">
        <f>MATCH(B3027,Manual_Review!$A$6:$A$238,0)</f>
        <v>189</v>
      </c>
      <c r="V3027" s="5" t="str">
        <f>IF(INDEX(Manual_Review!$G$6:$G$238,U3027)="","",INDEX(Manual_Review!$G$6:$G$238,U3027))</f>
        <v/>
      </c>
      <c r="W3027" s="11" t="str">
        <f>IF(INDEX(Manual_Review!$H$6:$H$238,U3027)="","",INDEX(Manual_Review!$H$6:$H$238,U3027))</f>
        <v/>
      </c>
      <c r="X3027" s="5" t="str">
        <f>IF(INDEX(Manual_Review!$I$6:$I$238,U3027)="","",INDEX(Manual_Review!$I$6:$I$238,U3027))</f>
        <v/>
      </c>
      <c r="Y3027" s="5" t="s">
        <v>2859</v>
      </c>
    </row>
    <row r="3028" spans="1:25" ht="25.5">
      <c r="A3028" s="5" t="s">
        <v>9194</v>
      </c>
      <c r="B3028" s="5" t="s">
        <v>2136</v>
      </c>
      <c r="C3028" s="5" t="s">
        <v>2137</v>
      </c>
      <c r="D3028" s="5" t="s">
        <v>118</v>
      </c>
      <c r="E3028" s="5" t="s">
        <v>2795</v>
      </c>
      <c r="F3028" s="5" t="s">
        <v>2764</v>
      </c>
      <c r="G3028" s="5">
        <v>1</v>
      </c>
      <c r="H3028" s="5" t="s">
        <v>2854</v>
      </c>
      <c r="I3028" s="5" t="str">
        <f>IF(INDEX(Manual_Review!$Y$6:$Y$238,U3028)="","",INDEX(Manual_Review!$Y$6:$Y$238,U3028))</f>
        <v/>
      </c>
      <c r="J3028" s="5" t="str">
        <f t="shared" si="94"/>
        <v>AI provisional</v>
      </c>
      <c r="K3028" s="5" t="str">
        <f t="shared" si="95"/>
        <v>Y</v>
      </c>
      <c r="L3028" s="5" t="s">
        <v>2149</v>
      </c>
      <c r="M3028" s="5" t="s">
        <v>9195</v>
      </c>
      <c r="N3028" s="5" t="s">
        <v>9196</v>
      </c>
      <c r="O3028" s="5" t="s">
        <v>3046</v>
      </c>
      <c r="P3028" s="5" t="s">
        <v>2992</v>
      </c>
      <c r="Q3028" s="11">
        <v>46306.5</v>
      </c>
      <c r="R3028" s="6"/>
      <c r="S3028" s="6"/>
      <c r="T3028" s="6"/>
      <c r="U3028" s="5">
        <f>MATCH(B3028,Manual_Review!$A$6:$A$238,0)</f>
        <v>189</v>
      </c>
      <c r="V3028" s="5" t="str">
        <f>IF(INDEX(Manual_Review!$G$6:$G$238,U3028)="","",INDEX(Manual_Review!$G$6:$G$238,U3028))</f>
        <v/>
      </c>
      <c r="W3028" s="11" t="str">
        <f>IF(INDEX(Manual_Review!$H$6:$H$238,U3028)="","",INDEX(Manual_Review!$H$6:$H$238,U3028))</f>
        <v/>
      </c>
      <c r="X3028" s="5" t="str">
        <f>IF(INDEX(Manual_Review!$I$6:$I$238,U3028)="","",INDEX(Manual_Review!$I$6:$I$238,U3028))</f>
        <v/>
      </c>
      <c r="Y3028" s="5" t="s">
        <v>2859</v>
      </c>
    </row>
    <row r="3029" spans="1:25" ht="38.25">
      <c r="A3029" s="5" t="s">
        <v>9197</v>
      </c>
      <c r="B3029" s="5" t="s">
        <v>2136</v>
      </c>
      <c r="C3029" s="5" t="s">
        <v>2137</v>
      </c>
      <c r="D3029" s="5" t="s">
        <v>118</v>
      </c>
      <c r="E3029" s="5" t="s">
        <v>2796</v>
      </c>
      <c r="F3029" s="5" t="s">
        <v>2764</v>
      </c>
      <c r="G3029" s="5">
        <v>1</v>
      </c>
      <c r="H3029" s="5" t="s">
        <v>2854</v>
      </c>
      <c r="I3029" s="5" t="str">
        <f>IF(INDEX(Manual_Review!$Z$6:$Z$238,U3029)="","",INDEX(Manual_Review!$Z$6:$Z$238,U3029))</f>
        <v/>
      </c>
      <c r="J3029" s="5" t="str">
        <f t="shared" si="94"/>
        <v>AI provisional</v>
      </c>
      <c r="K3029" s="5" t="str">
        <f t="shared" si="95"/>
        <v>Y</v>
      </c>
      <c r="L3029" s="5" t="s">
        <v>2149</v>
      </c>
      <c r="M3029" s="5" t="s">
        <v>9198</v>
      </c>
      <c r="N3029" s="5" t="s">
        <v>9199</v>
      </c>
      <c r="O3029" s="5" t="s">
        <v>3960</v>
      </c>
      <c r="P3029" s="5" t="s">
        <v>2992</v>
      </c>
      <c r="Q3029" s="11">
        <v>46306.5</v>
      </c>
      <c r="R3029" s="6"/>
      <c r="S3029" s="6"/>
      <c r="T3029" s="6"/>
      <c r="U3029" s="5">
        <f>MATCH(B3029,Manual_Review!$A$6:$A$238,0)</f>
        <v>189</v>
      </c>
      <c r="V3029" s="5" t="str">
        <f>IF(INDEX(Manual_Review!$G$6:$G$238,U3029)="","",INDEX(Manual_Review!$G$6:$G$238,U3029))</f>
        <v/>
      </c>
      <c r="W3029" s="11" t="str">
        <f>IF(INDEX(Manual_Review!$H$6:$H$238,U3029)="","",INDEX(Manual_Review!$H$6:$H$238,U3029))</f>
        <v/>
      </c>
      <c r="X3029" s="5" t="str">
        <f>IF(INDEX(Manual_Review!$I$6:$I$238,U3029)="","",INDEX(Manual_Review!$I$6:$I$238,U3029))</f>
        <v/>
      </c>
      <c r="Y3029" s="5" t="s">
        <v>2859</v>
      </c>
    </row>
    <row r="3030" spans="1:25" ht="25.5">
      <c r="A3030" s="5" t="s">
        <v>9200</v>
      </c>
      <c r="B3030" s="5" t="s">
        <v>2151</v>
      </c>
      <c r="C3030" s="5" t="s">
        <v>2152</v>
      </c>
      <c r="D3030" s="5" t="s">
        <v>118</v>
      </c>
      <c r="E3030" s="5" t="s">
        <v>2781</v>
      </c>
      <c r="F3030" s="5" t="s">
        <v>2754</v>
      </c>
      <c r="G3030" s="5">
        <v>1</v>
      </c>
      <c r="H3030" s="5" t="s">
        <v>2864</v>
      </c>
      <c r="I3030" s="5" t="str">
        <f>IF(INDEX(Manual_Review!$K$6:$K$238,U3030)="","",INDEX(Manual_Review!$K$6:$K$238,U3030))</f>
        <v/>
      </c>
      <c r="J3030" s="5" t="str">
        <f t="shared" si="94"/>
        <v>AI provisional</v>
      </c>
      <c r="K3030" s="5" t="str">
        <f t="shared" si="95"/>
        <v>U</v>
      </c>
      <c r="L3030" s="5" t="s">
        <v>2163</v>
      </c>
      <c r="M3030" s="5" t="s">
        <v>9201</v>
      </c>
      <c r="N3030" s="5" t="s">
        <v>9202</v>
      </c>
      <c r="O3030" s="5" t="s">
        <v>9203</v>
      </c>
      <c r="P3030" s="5" t="s">
        <v>2992</v>
      </c>
      <c r="Q3030" s="11">
        <v>46306.5</v>
      </c>
      <c r="R3030" s="6"/>
      <c r="S3030" s="6"/>
      <c r="T3030" s="6"/>
      <c r="U3030" s="5">
        <f>MATCH(B3030,Manual_Review!$A$6:$A$238,0)</f>
        <v>190</v>
      </c>
      <c r="V3030" s="5" t="str">
        <f>IF(INDEX(Manual_Review!$G$6:$G$238,U3030)="","",INDEX(Manual_Review!$G$6:$G$238,U3030))</f>
        <v/>
      </c>
      <c r="W3030" s="11" t="str">
        <f>IF(INDEX(Manual_Review!$H$6:$H$238,U3030)="","",INDEX(Manual_Review!$H$6:$H$238,U3030))</f>
        <v/>
      </c>
      <c r="X3030" s="5" t="str">
        <f>IF(INDEX(Manual_Review!$I$6:$I$238,U3030)="","",INDEX(Manual_Review!$I$6:$I$238,U3030))</f>
        <v/>
      </c>
      <c r="Y3030" s="5" t="s">
        <v>2859</v>
      </c>
    </row>
    <row r="3031" spans="1:25" ht="25.5">
      <c r="A3031" s="5" t="s">
        <v>9204</v>
      </c>
      <c r="B3031" s="5" t="s">
        <v>2151</v>
      </c>
      <c r="C3031" s="5" t="s">
        <v>2152</v>
      </c>
      <c r="D3031" s="5" t="s">
        <v>118</v>
      </c>
      <c r="E3031" s="5" t="s">
        <v>2782</v>
      </c>
      <c r="F3031" s="5" t="s">
        <v>2754</v>
      </c>
      <c r="G3031" s="5">
        <v>1</v>
      </c>
      <c r="H3031" s="5" t="s">
        <v>2908</v>
      </c>
      <c r="I3031" s="5" t="str">
        <f>IF(INDEX(Manual_Review!$L$6:$L$238,U3031)="","",INDEX(Manual_Review!$L$6:$L$238,U3031))</f>
        <v/>
      </c>
      <c r="J3031" s="5" t="str">
        <f t="shared" si="94"/>
        <v>AI provisional</v>
      </c>
      <c r="K3031" s="5" t="str">
        <f t="shared" si="95"/>
        <v>X</v>
      </c>
      <c r="L3031" s="5" t="s">
        <v>2163</v>
      </c>
      <c r="M3031" s="5" t="s">
        <v>9205</v>
      </c>
      <c r="N3031" s="5" t="s">
        <v>9206</v>
      </c>
      <c r="O3031" s="5" t="s">
        <v>9207</v>
      </c>
      <c r="P3031" s="5" t="s">
        <v>2992</v>
      </c>
      <c r="Q3031" s="11">
        <v>46306.5</v>
      </c>
      <c r="R3031" s="6"/>
      <c r="S3031" s="6"/>
      <c r="T3031" s="6"/>
      <c r="U3031" s="5">
        <f>MATCH(B3031,Manual_Review!$A$6:$A$238,0)</f>
        <v>190</v>
      </c>
      <c r="V3031" s="5" t="str">
        <f>IF(INDEX(Manual_Review!$G$6:$G$238,U3031)="","",INDEX(Manual_Review!$G$6:$G$238,U3031))</f>
        <v/>
      </c>
      <c r="W3031" s="11" t="str">
        <f>IF(INDEX(Manual_Review!$H$6:$H$238,U3031)="","",INDEX(Manual_Review!$H$6:$H$238,U3031))</f>
        <v/>
      </c>
      <c r="X3031" s="5" t="str">
        <f>IF(INDEX(Manual_Review!$I$6:$I$238,U3031)="","",INDEX(Manual_Review!$I$6:$I$238,U3031))</f>
        <v/>
      </c>
      <c r="Y3031" s="5" t="s">
        <v>2859</v>
      </c>
    </row>
    <row r="3032" spans="1:25" ht="25.5">
      <c r="A3032" s="5" t="s">
        <v>9208</v>
      </c>
      <c r="B3032" s="5" t="s">
        <v>2151</v>
      </c>
      <c r="C3032" s="5" t="s">
        <v>2152</v>
      </c>
      <c r="D3032" s="5" t="s">
        <v>118</v>
      </c>
      <c r="E3032" s="5" t="s">
        <v>2783</v>
      </c>
      <c r="F3032" s="5" t="s">
        <v>2754</v>
      </c>
      <c r="G3032" s="5">
        <v>1</v>
      </c>
      <c r="H3032" s="5" t="s">
        <v>2864</v>
      </c>
      <c r="I3032" s="5" t="str">
        <f>IF(INDEX(Manual_Review!$M$6:$M$238,U3032)="","",INDEX(Manual_Review!$M$6:$M$238,U3032))</f>
        <v/>
      </c>
      <c r="J3032" s="5" t="str">
        <f t="shared" si="94"/>
        <v>AI provisional</v>
      </c>
      <c r="K3032" s="5" t="str">
        <f t="shared" si="95"/>
        <v>U</v>
      </c>
      <c r="L3032" s="5" t="s">
        <v>2163</v>
      </c>
      <c r="M3032" s="5" t="s">
        <v>9209</v>
      </c>
      <c r="N3032" s="5" t="s">
        <v>9210</v>
      </c>
      <c r="O3032" s="5" t="s">
        <v>3808</v>
      </c>
      <c r="P3032" s="5" t="s">
        <v>2992</v>
      </c>
      <c r="Q3032" s="11">
        <v>46306.5</v>
      </c>
      <c r="R3032" s="6"/>
      <c r="S3032" s="6"/>
      <c r="T3032" s="6"/>
      <c r="U3032" s="5">
        <f>MATCH(B3032,Manual_Review!$A$6:$A$238,0)</f>
        <v>190</v>
      </c>
      <c r="V3032" s="5" t="str">
        <f>IF(INDEX(Manual_Review!$G$6:$G$238,U3032)="","",INDEX(Manual_Review!$G$6:$G$238,U3032))</f>
        <v/>
      </c>
      <c r="W3032" s="11" t="str">
        <f>IF(INDEX(Manual_Review!$H$6:$H$238,U3032)="","",INDEX(Manual_Review!$H$6:$H$238,U3032))</f>
        <v/>
      </c>
      <c r="X3032" s="5" t="str">
        <f>IF(INDEX(Manual_Review!$I$6:$I$238,U3032)="","",INDEX(Manual_Review!$I$6:$I$238,U3032))</f>
        <v/>
      </c>
      <c r="Y3032" s="5" t="s">
        <v>2859</v>
      </c>
    </row>
    <row r="3033" spans="1:25" ht="25.5">
      <c r="A3033" s="5" t="s">
        <v>9211</v>
      </c>
      <c r="B3033" s="5" t="s">
        <v>2151</v>
      </c>
      <c r="C3033" s="5" t="s">
        <v>2152</v>
      </c>
      <c r="D3033" s="5" t="s">
        <v>118</v>
      </c>
      <c r="E3033" s="5" t="s">
        <v>2784</v>
      </c>
      <c r="F3033" s="5" t="s">
        <v>2756</v>
      </c>
      <c r="G3033" s="5">
        <v>1</v>
      </c>
      <c r="H3033" s="5" t="s">
        <v>2864</v>
      </c>
      <c r="I3033" s="5" t="str">
        <f>IF(INDEX(Manual_Review!$N$6:$N$238,U3033)="","",INDEX(Manual_Review!$N$6:$N$238,U3033))</f>
        <v/>
      </c>
      <c r="J3033" s="5" t="str">
        <f t="shared" si="94"/>
        <v>AI provisional</v>
      </c>
      <c r="K3033" s="5" t="str">
        <f t="shared" si="95"/>
        <v>U</v>
      </c>
      <c r="L3033" s="5" t="s">
        <v>2163</v>
      </c>
      <c r="M3033" s="5" t="s">
        <v>9212</v>
      </c>
      <c r="N3033" s="5" t="s">
        <v>9213</v>
      </c>
      <c r="O3033" s="5" t="s">
        <v>9214</v>
      </c>
      <c r="P3033" s="5" t="s">
        <v>2992</v>
      </c>
      <c r="Q3033" s="11">
        <v>46306.5</v>
      </c>
      <c r="R3033" s="6"/>
      <c r="S3033" s="6"/>
      <c r="T3033" s="6"/>
      <c r="U3033" s="5">
        <f>MATCH(B3033,Manual_Review!$A$6:$A$238,0)</f>
        <v>190</v>
      </c>
      <c r="V3033" s="5" t="str">
        <f>IF(INDEX(Manual_Review!$G$6:$G$238,U3033)="","",INDEX(Manual_Review!$G$6:$G$238,U3033))</f>
        <v/>
      </c>
      <c r="W3033" s="11" t="str">
        <f>IF(INDEX(Manual_Review!$H$6:$H$238,U3033)="","",INDEX(Manual_Review!$H$6:$H$238,U3033))</f>
        <v/>
      </c>
      <c r="X3033" s="5" t="str">
        <f>IF(INDEX(Manual_Review!$I$6:$I$238,U3033)="","",INDEX(Manual_Review!$I$6:$I$238,U3033))</f>
        <v/>
      </c>
      <c r="Y3033" s="5" t="s">
        <v>2859</v>
      </c>
    </row>
    <row r="3034" spans="1:25" ht="25.5">
      <c r="A3034" s="5" t="s">
        <v>9215</v>
      </c>
      <c r="B3034" s="5" t="s">
        <v>2151</v>
      </c>
      <c r="C3034" s="5" t="s">
        <v>2152</v>
      </c>
      <c r="D3034" s="5" t="s">
        <v>118</v>
      </c>
      <c r="E3034" s="5" t="s">
        <v>2785</v>
      </c>
      <c r="F3034" s="5" t="s">
        <v>2756</v>
      </c>
      <c r="G3034" s="5">
        <v>1</v>
      </c>
      <c r="H3034" s="5" t="s">
        <v>2864</v>
      </c>
      <c r="I3034" s="5" t="str">
        <f>IF(INDEX(Manual_Review!$O$6:$O$238,U3034)="","",INDEX(Manual_Review!$O$6:$O$238,U3034))</f>
        <v/>
      </c>
      <c r="J3034" s="5" t="str">
        <f t="shared" si="94"/>
        <v>AI provisional</v>
      </c>
      <c r="K3034" s="5" t="str">
        <f t="shared" si="95"/>
        <v>U</v>
      </c>
      <c r="L3034" s="5" t="s">
        <v>2163</v>
      </c>
      <c r="M3034" s="5" t="s">
        <v>9212</v>
      </c>
      <c r="N3034" s="5" t="s">
        <v>9213</v>
      </c>
      <c r="O3034" s="5" t="s">
        <v>3006</v>
      </c>
      <c r="P3034" s="5" t="s">
        <v>2992</v>
      </c>
      <c r="Q3034" s="11">
        <v>46306.5</v>
      </c>
      <c r="R3034" s="6"/>
      <c r="S3034" s="6"/>
      <c r="T3034" s="6"/>
      <c r="U3034" s="5">
        <f>MATCH(B3034,Manual_Review!$A$6:$A$238,0)</f>
        <v>190</v>
      </c>
      <c r="V3034" s="5" t="str">
        <f>IF(INDEX(Manual_Review!$G$6:$G$238,U3034)="","",INDEX(Manual_Review!$G$6:$G$238,U3034))</f>
        <v/>
      </c>
      <c r="W3034" s="11" t="str">
        <f>IF(INDEX(Manual_Review!$H$6:$H$238,U3034)="","",INDEX(Manual_Review!$H$6:$H$238,U3034))</f>
        <v/>
      </c>
      <c r="X3034" s="5" t="str">
        <f>IF(INDEX(Manual_Review!$I$6:$I$238,U3034)="","",INDEX(Manual_Review!$I$6:$I$238,U3034))</f>
        <v/>
      </c>
      <c r="Y3034" s="5" t="s">
        <v>2859</v>
      </c>
    </row>
    <row r="3035" spans="1:25" ht="38.25">
      <c r="A3035" s="5" t="s">
        <v>9216</v>
      </c>
      <c r="B3035" s="5" t="s">
        <v>2151</v>
      </c>
      <c r="C3035" s="5" t="s">
        <v>2152</v>
      </c>
      <c r="D3035" s="5" t="s">
        <v>118</v>
      </c>
      <c r="E3035" s="5" t="s">
        <v>2786</v>
      </c>
      <c r="F3035" s="5" t="s">
        <v>2756</v>
      </c>
      <c r="G3035" s="5">
        <v>1</v>
      </c>
      <c r="H3035" s="5" t="s">
        <v>2864</v>
      </c>
      <c r="I3035" s="5" t="str">
        <f>IF(INDEX(Manual_Review!$P$6:$P$238,U3035)="","",INDEX(Manual_Review!$P$6:$P$238,U3035))</f>
        <v/>
      </c>
      <c r="J3035" s="5" t="str">
        <f t="shared" si="94"/>
        <v>AI provisional</v>
      </c>
      <c r="K3035" s="5" t="str">
        <f t="shared" si="95"/>
        <v>U</v>
      </c>
      <c r="L3035" s="5" t="s">
        <v>2163</v>
      </c>
      <c r="M3035" s="5" t="s">
        <v>9217</v>
      </c>
      <c r="N3035" s="5" t="s">
        <v>9218</v>
      </c>
      <c r="O3035" s="5" t="s">
        <v>3010</v>
      </c>
      <c r="P3035" s="5" t="s">
        <v>2992</v>
      </c>
      <c r="Q3035" s="11">
        <v>46306.5</v>
      </c>
      <c r="R3035" s="6"/>
      <c r="S3035" s="6"/>
      <c r="T3035" s="6"/>
      <c r="U3035" s="5">
        <f>MATCH(B3035,Manual_Review!$A$6:$A$238,0)</f>
        <v>190</v>
      </c>
      <c r="V3035" s="5" t="str">
        <f>IF(INDEX(Manual_Review!$G$6:$G$238,U3035)="","",INDEX(Manual_Review!$G$6:$G$238,U3035))</f>
        <v/>
      </c>
      <c r="W3035" s="11" t="str">
        <f>IF(INDEX(Manual_Review!$H$6:$H$238,U3035)="","",INDEX(Manual_Review!$H$6:$H$238,U3035))</f>
        <v/>
      </c>
      <c r="X3035" s="5" t="str">
        <f>IF(INDEX(Manual_Review!$I$6:$I$238,U3035)="","",INDEX(Manual_Review!$I$6:$I$238,U3035))</f>
        <v/>
      </c>
      <c r="Y3035" s="5" t="s">
        <v>2859</v>
      </c>
    </row>
    <row r="3036" spans="1:25" ht="25.5">
      <c r="A3036" s="5" t="s">
        <v>9219</v>
      </c>
      <c r="B3036" s="5" t="s">
        <v>2151</v>
      </c>
      <c r="C3036" s="5" t="s">
        <v>2152</v>
      </c>
      <c r="D3036" s="5" t="s">
        <v>118</v>
      </c>
      <c r="E3036" s="5" t="s">
        <v>2787</v>
      </c>
      <c r="F3036" s="5" t="s">
        <v>2758</v>
      </c>
      <c r="G3036" s="5">
        <v>1</v>
      </c>
      <c r="H3036" s="5" t="s">
        <v>2864</v>
      </c>
      <c r="I3036" s="5" t="str">
        <f>IF(INDEX(Manual_Review!$Q$6:$Q$238,U3036)="","",INDEX(Manual_Review!$Q$6:$Q$238,U3036))</f>
        <v/>
      </c>
      <c r="J3036" s="5" t="str">
        <f t="shared" si="94"/>
        <v>AI provisional</v>
      </c>
      <c r="K3036" s="5" t="str">
        <f t="shared" si="95"/>
        <v>U</v>
      </c>
      <c r="L3036" s="5" t="s">
        <v>2163</v>
      </c>
      <c r="M3036" s="5" t="s">
        <v>9220</v>
      </c>
      <c r="N3036" s="5" t="s">
        <v>9221</v>
      </c>
      <c r="O3036" s="5" t="s">
        <v>3014</v>
      </c>
      <c r="P3036" s="5" t="s">
        <v>2992</v>
      </c>
      <c r="Q3036" s="11">
        <v>46306.5</v>
      </c>
      <c r="R3036" s="6"/>
      <c r="S3036" s="6"/>
      <c r="T3036" s="6"/>
      <c r="U3036" s="5">
        <f>MATCH(B3036,Manual_Review!$A$6:$A$238,0)</f>
        <v>190</v>
      </c>
      <c r="V3036" s="5" t="str">
        <f>IF(INDEX(Manual_Review!$G$6:$G$238,U3036)="","",INDEX(Manual_Review!$G$6:$G$238,U3036))</f>
        <v/>
      </c>
      <c r="W3036" s="11" t="str">
        <f>IF(INDEX(Manual_Review!$H$6:$H$238,U3036)="","",INDEX(Manual_Review!$H$6:$H$238,U3036))</f>
        <v/>
      </c>
      <c r="X3036" s="5" t="str">
        <f>IF(INDEX(Manual_Review!$I$6:$I$238,U3036)="","",INDEX(Manual_Review!$I$6:$I$238,U3036))</f>
        <v/>
      </c>
      <c r="Y3036" s="5" t="s">
        <v>2859</v>
      </c>
    </row>
    <row r="3037" spans="1:25" ht="51">
      <c r="A3037" s="5" t="s">
        <v>9222</v>
      </c>
      <c r="B3037" s="5" t="s">
        <v>2151</v>
      </c>
      <c r="C3037" s="5" t="s">
        <v>2152</v>
      </c>
      <c r="D3037" s="5" t="s">
        <v>118</v>
      </c>
      <c r="E3037" s="5" t="s">
        <v>2788</v>
      </c>
      <c r="F3037" s="5" t="s">
        <v>2758</v>
      </c>
      <c r="G3037" s="5">
        <v>1</v>
      </c>
      <c r="H3037" s="5" t="s">
        <v>2864</v>
      </c>
      <c r="I3037" s="5" t="str">
        <f>IF(INDEX(Manual_Review!$R$6:$R$238,U3037)="","",INDEX(Manual_Review!$R$6:$R$238,U3037))</f>
        <v/>
      </c>
      <c r="J3037" s="5" t="str">
        <f t="shared" si="94"/>
        <v>AI provisional</v>
      </c>
      <c r="K3037" s="5" t="str">
        <f t="shared" si="95"/>
        <v>U</v>
      </c>
      <c r="L3037" s="5" t="s">
        <v>2163</v>
      </c>
      <c r="M3037" s="5" t="s">
        <v>9223</v>
      </c>
      <c r="N3037" s="5" t="s">
        <v>9224</v>
      </c>
      <c r="O3037" s="5" t="s">
        <v>9225</v>
      </c>
      <c r="P3037" s="5" t="s">
        <v>2992</v>
      </c>
      <c r="Q3037" s="11">
        <v>46306.5</v>
      </c>
      <c r="R3037" s="6"/>
      <c r="S3037" s="6"/>
      <c r="T3037" s="6"/>
      <c r="U3037" s="5">
        <f>MATCH(B3037,Manual_Review!$A$6:$A$238,0)</f>
        <v>190</v>
      </c>
      <c r="V3037" s="5" t="str">
        <f>IF(INDEX(Manual_Review!$G$6:$G$238,U3037)="","",INDEX(Manual_Review!$G$6:$G$238,U3037))</f>
        <v/>
      </c>
      <c r="W3037" s="11" t="str">
        <f>IF(INDEX(Manual_Review!$H$6:$H$238,U3037)="","",INDEX(Manual_Review!$H$6:$H$238,U3037))</f>
        <v/>
      </c>
      <c r="X3037" s="5" t="str">
        <f>IF(INDEX(Manual_Review!$I$6:$I$238,U3037)="","",INDEX(Manual_Review!$I$6:$I$238,U3037))</f>
        <v/>
      </c>
      <c r="Y3037" s="5" t="s">
        <v>2859</v>
      </c>
    </row>
    <row r="3038" spans="1:25" ht="38.25">
      <c r="A3038" s="5" t="s">
        <v>9226</v>
      </c>
      <c r="B3038" s="5" t="s">
        <v>2151</v>
      </c>
      <c r="C3038" s="5" t="s">
        <v>2152</v>
      </c>
      <c r="D3038" s="5" t="s">
        <v>118</v>
      </c>
      <c r="E3038" s="5" t="s">
        <v>2789</v>
      </c>
      <c r="F3038" s="5" t="s">
        <v>2758</v>
      </c>
      <c r="G3038" s="5">
        <v>1</v>
      </c>
      <c r="H3038" s="5" t="s">
        <v>2864</v>
      </c>
      <c r="I3038" s="5" t="str">
        <f>IF(INDEX(Manual_Review!$S$6:$S$238,U3038)="","",INDEX(Manual_Review!$S$6:$S$238,U3038))</f>
        <v/>
      </c>
      <c r="J3038" s="5" t="str">
        <f t="shared" si="94"/>
        <v>AI provisional</v>
      </c>
      <c r="K3038" s="5" t="str">
        <f t="shared" si="95"/>
        <v>U</v>
      </c>
      <c r="L3038" s="5" t="s">
        <v>2163</v>
      </c>
      <c r="M3038" s="5" t="s">
        <v>9227</v>
      </c>
      <c r="N3038" s="5" t="s">
        <v>9228</v>
      </c>
      <c r="O3038" s="5" t="s">
        <v>3447</v>
      </c>
      <c r="P3038" s="5" t="s">
        <v>2992</v>
      </c>
      <c r="Q3038" s="11">
        <v>46306.5</v>
      </c>
      <c r="R3038" s="6"/>
      <c r="S3038" s="6"/>
      <c r="T3038" s="6"/>
      <c r="U3038" s="5">
        <f>MATCH(B3038,Manual_Review!$A$6:$A$238,0)</f>
        <v>190</v>
      </c>
      <c r="V3038" s="5" t="str">
        <f>IF(INDEX(Manual_Review!$G$6:$G$238,U3038)="","",INDEX(Manual_Review!$G$6:$G$238,U3038))</f>
        <v/>
      </c>
      <c r="W3038" s="11" t="str">
        <f>IF(INDEX(Manual_Review!$H$6:$H$238,U3038)="","",INDEX(Manual_Review!$H$6:$H$238,U3038))</f>
        <v/>
      </c>
      <c r="X3038" s="5" t="str">
        <f>IF(INDEX(Manual_Review!$I$6:$I$238,U3038)="","",INDEX(Manual_Review!$I$6:$I$238,U3038))</f>
        <v/>
      </c>
      <c r="Y3038" s="5" t="s">
        <v>2859</v>
      </c>
    </row>
    <row r="3039" spans="1:25" ht="25.5">
      <c r="A3039" s="5" t="s">
        <v>9229</v>
      </c>
      <c r="B3039" s="5" t="s">
        <v>2151</v>
      </c>
      <c r="C3039" s="5" t="s">
        <v>2152</v>
      </c>
      <c r="D3039" s="5" t="s">
        <v>118</v>
      </c>
      <c r="E3039" s="5" t="s">
        <v>2790</v>
      </c>
      <c r="F3039" s="5" t="s">
        <v>2760</v>
      </c>
      <c r="G3039" s="5">
        <v>1</v>
      </c>
      <c r="H3039" s="5" t="s">
        <v>2864</v>
      </c>
      <c r="I3039" s="5" t="str">
        <f>IF(INDEX(Manual_Review!$T$6:$T$238,U3039)="","",INDEX(Manual_Review!$T$6:$T$238,U3039))</f>
        <v/>
      </c>
      <c r="J3039" s="5" t="str">
        <f t="shared" si="94"/>
        <v>AI provisional</v>
      </c>
      <c r="K3039" s="5" t="str">
        <f t="shared" si="95"/>
        <v>U</v>
      </c>
      <c r="L3039" s="5" t="s">
        <v>2163</v>
      </c>
      <c r="M3039" s="5" t="s">
        <v>9230</v>
      </c>
      <c r="N3039" s="5" t="s">
        <v>9231</v>
      </c>
      <c r="O3039" s="5" t="s">
        <v>5273</v>
      </c>
      <c r="P3039" s="5" t="s">
        <v>2992</v>
      </c>
      <c r="Q3039" s="11">
        <v>46306.5</v>
      </c>
      <c r="R3039" s="6"/>
      <c r="S3039" s="6"/>
      <c r="T3039" s="6"/>
      <c r="U3039" s="5">
        <f>MATCH(B3039,Manual_Review!$A$6:$A$238,0)</f>
        <v>190</v>
      </c>
      <c r="V3039" s="5" t="str">
        <f>IF(INDEX(Manual_Review!$G$6:$G$238,U3039)="","",INDEX(Manual_Review!$G$6:$G$238,U3039))</f>
        <v/>
      </c>
      <c r="W3039" s="11" t="str">
        <f>IF(INDEX(Manual_Review!$H$6:$H$238,U3039)="","",INDEX(Manual_Review!$H$6:$H$238,U3039))</f>
        <v/>
      </c>
      <c r="X3039" s="5" t="str">
        <f>IF(INDEX(Manual_Review!$I$6:$I$238,U3039)="","",INDEX(Manual_Review!$I$6:$I$238,U3039))</f>
        <v/>
      </c>
      <c r="Y3039" s="5" t="s">
        <v>2859</v>
      </c>
    </row>
    <row r="3040" spans="1:25" ht="25.5">
      <c r="A3040" s="5" t="s">
        <v>9232</v>
      </c>
      <c r="B3040" s="5" t="s">
        <v>2151</v>
      </c>
      <c r="C3040" s="5" t="s">
        <v>2152</v>
      </c>
      <c r="D3040" s="5" t="s">
        <v>118</v>
      </c>
      <c r="E3040" s="5" t="s">
        <v>2791</v>
      </c>
      <c r="F3040" s="5" t="s">
        <v>2760</v>
      </c>
      <c r="G3040" s="5">
        <v>1</v>
      </c>
      <c r="H3040" s="5" t="s">
        <v>2864</v>
      </c>
      <c r="I3040" s="5" t="str">
        <f>IF(INDEX(Manual_Review!$U$6:$U$238,U3040)="","",INDEX(Manual_Review!$U$6:$U$238,U3040))</f>
        <v/>
      </c>
      <c r="J3040" s="5" t="str">
        <f t="shared" si="94"/>
        <v>AI provisional</v>
      </c>
      <c r="K3040" s="5" t="str">
        <f t="shared" si="95"/>
        <v>U</v>
      </c>
      <c r="L3040" s="5" t="s">
        <v>2163</v>
      </c>
      <c r="M3040" s="5" t="s">
        <v>9233</v>
      </c>
      <c r="N3040" s="5" t="s">
        <v>9234</v>
      </c>
      <c r="O3040" s="5" t="s">
        <v>9235</v>
      </c>
      <c r="P3040" s="5" t="s">
        <v>2992</v>
      </c>
      <c r="Q3040" s="11">
        <v>46306.5</v>
      </c>
      <c r="R3040" s="6"/>
      <c r="S3040" s="6"/>
      <c r="T3040" s="6"/>
      <c r="U3040" s="5">
        <f>MATCH(B3040,Manual_Review!$A$6:$A$238,0)</f>
        <v>190</v>
      </c>
      <c r="V3040" s="5" t="str">
        <f>IF(INDEX(Manual_Review!$G$6:$G$238,U3040)="","",INDEX(Manual_Review!$G$6:$G$238,U3040))</f>
        <v/>
      </c>
      <c r="W3040" s="11" t="str">
        <f>IF(INDEX(Manual_Review!$H$6:$H$238,U3040)="","",INDEX(Manual_Review!$H$6:$H$238,U3040))</f>
        <v/>
      </c>
      <c r="X3040" s="5" t="str">
        <f>IF(INDEX(Manual_Review!$I$6:$I$238,U3040)="","",INDEX(Manual_Review!$I$6:$I$238,U3040))</f>
        <v/>
      </c>
      <c r="Y3040" s="5" t="s">
        <v>2859</v>
      </c>
    </row>
    <row r="3041" spans="1:25" ht="25.5">
      <c r="A3041" s="5" t="s">
        <v>9236</v>
      </c>
      <c r="B3041" s="5" t="s">
        <v>2151</v>
      </c>
      <c r="C3041" s="5" t="s">
        <v>2152</v>
      </c>
      <c r="D3041" s="5" t="s">
        <v>118</v>
      </c>
      <c r="E3041" s="5" t="s">
        <v>2792</v>
      </c>
      <c r="F3041" s="5" t="s">
        <v>2762</v>
      </c>
      <c r="G3041" s="5">
        <v>1</v>
      </c>
      <c r="H3041" s="5" t="s">
        <v>2864</v>
      </c>
      <c r="I3041" s="5" t="str">
        <f>IF(INDEX(Manual_Review!$V$6:$V$238,U3041)="","",INDEX(Manual_Review!$V$6:$V$238,U3041))</f>
        <v/>
      </c>
      <c r="J3041" s="5" t="str">
        <f t="shared" si="94"/>
        <v>AI provisional</v>
      </c>
      <c r="K3041" s="5" t="str">
        <f t="shared" si="95"/>
        <v>U</v>
      </c>
      <c r="L3041" s="5" t="s">
        <v>2163</v>
      </c>
      <c r="M3041" s="5" t="s">
        <v>9237</v>
      </c>
      <c r="N3041" s="5" t="s">
        <v>9238</v>
      </c>
      <c r="O3041" s="5" t="s">
        <v>3947</v>
      </c>
      <c r="P3041" s="5" t="s">
        <v>2992</v>
      </c>
      <c r="Q3041" s="11">
        <v>46306.5</v>
      </c>
      <c r="R3041" s="6"/>
      <c r="S3041" s="6"/>
      <c r="T3041" s="6"/>
      <c r="U3041" s="5">
        <f>MATCH(B3041,Manual_Review!$A$6:$A$238,0)</f>
        <v>190</v>
      </c>
      <c r="V3041" s="5" t="str">
        <f>IF(INDEX(Manual_Review!$G$6:$G$238,U3041)="","",INDEX(Manual_Review!$G$6:$G$238,U3041))</f>
        <v/>
      </c>
      <c r="W3041" s="11" t="str">
        <f>IF(INDEX(Manual_Review!$H$6:$H$238,U3041)="","",INDEX(Manual_Review!$H$6:$H$238,U3041))</f>
        <v/>
      </c>
      <c r="X3041" s="5" t="str">
        <f>IF(INDEX(Manual_Review!$I$6:$I$238,U3041)="","",INDEX(Manual_Review!$I$6:$I$238,U3041))</f>
        <v/>
      </c>
      <c r="Y3041" s="5" t="s">
        <v>2859</v>
      </c>
    </row>
    <row r="3042" spans="1:25" ht="51">
      <c r="A3042" s="5" t="s">
        <v>9239</v>
      </c>
      <c r="B3042" s="5" t="s">
        <v>2151</v>
      </c>
      <c r="C3042" s="5" t="s">
        <v>2152</v>
      </c>
      <c r="D3042" s="5" t="s">
        <v>118</v>
      </c>
      <c r="E3042" s="5" t="s">
        <v>2793</v>
      </c>
      <c r="F3042" s="5" t="s">
        <v>2762</v>
      </c>
      <c r="G3042" s="5">
        <v>1</v>
      </c>
      <c r="H3042" s="5" t="s">
        <v>2864</v>
      </c>
      <c r="I3042" s="5" t="str">
        <f>IF(INDEX(Manual_Review!$W$6:$W$238,U3042)="","",INDEX(Manual_Review!$W$6:$W$238,U3042))</f>
        <v/>
      </c>
      <c r="J3042" s="5" t="str">
        <f t="shared" si="94"/>
        <v>AI provisional</v>
      </c>
      <c r="K3042" s="5" t="str">
        <f t="shared" si="95"/>
        <v>U</v>
      </c>
      <c r="L3042" s="5" t="s">
        <v>2163</v>
      </c>
      <c r="M3042" s="5" t="s">
        <v>9240</v>
      </c>
      <c r="N3042" s="5" t="s">
        <v>9241</v>
      </c>
      <c r="O3042" s="5" t="s">
        <v>3461</v>
      </c>
      <c r="P3042" s="5" t="s">
        <v>2992</v>
      </c>
      <c r="Q3042" s="11">
        <v>46306.5</v>
      </c>
      <c r="R3042" s="6"/>
      <c r="S3042" s="6"/>
      <c r="T3042" s="6"/>
      <c r="U3042" s="5">
        <f>MATCH(B3042,Manual_Review!$A$6:$A$238,0)</f>
        <v>190</v>
      </c>
      <c r="V3042" s="5" t="str">
        <f>IF(INDEX(Manual_Review!$G$6:$G$238,U3042)="","",INDEX(Manual_Review!$G$6:$G$238,U3042))</f>
        <v/>
      </c>
      <c r="W3042" s="11" t="str">
        <f>IF(INDEX(Manual_Review!$H$6:$H$238,U3042)="","",INDEX(Manual_Review!$H$6:$H$238,U3042))</f>
        <v/>
      </c>
      <c r="X3042" s="5" t="str">
        <f>IF(INDEX(Manual_Review!$I$6:$I$238,U3042)="","",INDEX(Manual_Review!$I$6:$I$238,U3042))</f>
        <v/>
      </c>
      <c r="Y3042" s="5" t="s">
        <v>2859</v>
      </c>
    </row>
    <row r="3043" spans="1:25" ht="25.5">
      <c r="A3043" s="5" t="s">
        <v>9242</v>
      </c>
      <c r="B3043" s="5" t="s">
        <v>2151</v>
      </c>
      <c r="C3043" s="5" t="s">
        <v>2152</v>
      </c>
      <c r="D3043" s="5" t="s">
        <v>118</v>
      </c>
      <c r="E3043" s="5" t="s">
        <v>2794</v>
      </c>
      <c r="F3043" s="5" t="s">
        <v>2764</v>
      </c>
      <c r="G3043" s="5">
        <v>1</v>
      </c>
      <c r="H3043" s="5" t="s">
        <v>2864</v>
      </c>
      <c r="I3043" s="5" t="str">
        <f>IF(INDEX(Manual_Review!$X$6:$X$238,U3043)="","",INDEX(Manual_Review!$X$6:$X$238,U3043))</f>
        <v/>
      </c>
      <c r="J3043" s="5" t="str">
        <f t="shared" si="94"/>
        <v>AI provisional</v>
      </c>
      <c r="K3043" s="5" t="str">
        <f t="shared" si="95"/>
        <v>U</v>
      </c>
      <c r="L3043" s="5" t="s">
        <v>2163</v>
      </c>
      <c r="M3043" s="5" t="s">
        <v>9243</v>
      </c>
      <c r="N3043" s="5" t="s">
        <v>9244</v>
      </c>
      <c r="O3043" s="5" t="s">
        <v>3465</v>
      </c>
      <c r="P3043" s="5" t="s">
        <v>2992</v>
      </c>
      <c r="Q3043" s="11">
        <v>46306.5</v>
      </c>
      <c r="R3043" s="6"/>
      <c r="S3043" s="6"/>
      <c r="T3043" s="6"/>
      <c r="U3043" s="5">
        <f>MATCH(B3043,Manual_Review!$A$6:$A$238,0)</f>
        <v>190</v>
      </c>
      <c r="V3043" s="5" t="str">
        <f>IF(INDEX(Manual_Review!$G$6:$G$238,U3043)="","",INDEX(Manual_Review!$G$6:$G$238,U3043))</f>
        <v/>
      </c>
      <c r="W3043" s="11" t="str">
        <f>IF(INDEX(Manual_Review!$H$6:$H$238,U3043)="","",INDEX(Manual_Review!$H$6:$H$238,U3043))</f>
        <v/>
      </c>
      <c r="X3043" s="5" t="str">
        <f>IF(INDEX(Manual_Review!$I$6:$I$238,U3043)="","",INDEX(Manual_Review!$I$6:$I$238,U3043))</f>
        <v/>
      </c>
      <c r="Y3043" s="5" t="s">
        <v>2859</v>
      </c>
    </row>
    <row r="3044" spans="1:25" ht="25.5">
      <c r="A3044" s="5" t="s">
        <v>9245</v>
      </c>
      <c r="B3044" s="5" t="s">
        <v>2151</v>
      </c>
      <c r="C3044" s="5" t="s">
        <v>2152</v>
      </c>
      <c r="D3044" s="5" t="s">
        <v>118</v>
      </c>
      <c r="E3044" s="5" t="s">
        <v>2795</v>
      </c>
      <c r="F3044" s="5" t="s">
        <v>2764</v>
      </c>
      <c r="G3044" s="5">
        <v>1</v>
      </c>
      <c r="H3044" s="5" t="s">
        <v>2864</v>
      </c>
      <c r="I3044" s="5" t="str">
        <f>IF(INDEX(Manual_Review!$Y$6:$Y$238,U3044)="","",INDEX(Manual_Review!$Y$6:$Y$238,U3044))</f>
        <v/>
      </c>
      <c r="J3044" s="5" t="str">
        <f t="shared" si="94"/>
        <v>AI provisional</v>
      </c>
      <c r="K3044" s="5" t="str">
        <f t="shared" si="95"/>
        <v>U</v>
      </c>
      <c r="L3044" s="5" t="s">
        <v>2163</v>
      </c>
      <c r="M3044" s="5" t="s">
        <v>9246</v>
      </c>
      <c r="N3044" s="5" t="s">
        <v>9247</v>
      </c>
      <c r="O3044" s="5" t="s">
        <v>3469</v>
      </c>
      <c r="P3044" s="5" t="s">
        <v>2992</v>
      </c>
      <c r="Q3044" s="11">
        <v>46306.5</v>
      </c>
      <c r="R3044" s="6"/>
      <c r="S3044" s="6"/>
      <c r="T3044" s="6"/>
      <c r="U3044" s="5">
        <f>MATCH(B3044,Manual_Review!$A$6:$A$238,0)</f>
        <v>190</v>
      </c>
      <c r="V3044" s="5" t="str">
        <f>IF(INDEX(Manual_Review!$G$6:$G$238,U3044)="","",INDEX(Manual_Review!$G$6:$G$238,U3044))</f>
        <v/>
      </c>
      <c r="W3044" s="11" t="str">
        <f>IF(INDEX(Manual_Review!$H$6:$H$238,U3044)="","",INDEX(Manual_Review!$H$6:$H$238,U3044))</f>
        <v/>
      </c>
      <c r="X3044" s="5" t="str">
        <f>IF(INDEX(Manual_Review!$I$6:$I$238,U3044)="","",INDEX(Manual_Review!$I$6:$I$238,U3044))</f>
        <v/>
      </c>
      <c r="Y3044" s="5" t="s">
        <v>2859</v>
      </c>
    </row>
    <row r="3045" spans="1:25" ht="51">
      <c r="A3045" s="5" t="s">
        <v>9248</v>
      </c>
      <c r="B3045" s="5" t="s">
        <v>2151</v>
      </c>
      <c r="C3045" s="5" t="s">
        <v>2152</v>
      </c>
      <c r="D3045" s="5" t="s">
        <v>118</v>
      </c>
      <c r="E3045" s="5" t="s">
        <v>2796</v>
      </c>
      <c r="F3045" s="5" t="s">
        <v>2764</v>
      </c>
      <c r="G3045" s="5">
        <v>1</v>
      </c>
      <c r="H3045" s="5" t="s">
        <v>2864</v>
      </c>
      <c r="I3045" s="5" t="str">
        <f>IF(INDEX(Manual_Review!$Z$6:$Z$238,U3045)="","",INDEX(Manual_Review!$Z$6:$Z$238,U3045))</f>
        <v/>
      </c>
      <c r="J3045" s="5" t="str">
        <f t="shared" si="94"/>
        <v>AI provisional</v>
      </c>
      <c r="K3045" s="5" t="str">
        <f t="shared" si="95"/>
        <v>U</v>
      </c>
      <c r="L3045" s="5" t="s">
        <v>2163</v>
      </c>
      <c r="M3045" s="5" t="s">
        <v>9249</v>
      </c>
      <c r="N3045" s="5" t="s">
        <v>9250</v>
      </c>
      <c r="O3045" s="5" t="s">
        <v>3050</v>
      </c>
      <c r="P3045" s="5" t="s">
        <v>2992</v>
      </c>
      <c r="Q3045" s="11">
        <v>46306.5</v>
      </c>
      <c r="R3045" s="6"/>
      <c r="S3045" s="6"/>
      <c r="T3045" s="6"/>
      <c r="U3045" s="5">
        <f>MATCH(B3045,Manual_Review!$A$6:$A$238,0)</f>
        <v>190</v>
      </c>
      <c r="V3045" s="5" t="str">
        <f>IF(INDEX(Manual_Review!$G$6:$G$238,U3045)="","",INDEX(Manual_Review!$G$6:$G$238,U3045))</f>
        <v/>
      </c>
      <c r="W3045" s="11" t="str">
        <f>IF(INDEX(Manual_Review!$H$6:$H$238,U3045)="","",INDEX(Manual_Review!$H$6:$H$238,U3045))</f>
        <v/>
      </c>
      <c r="X3045" s="5" t="str">
        <f>IF(INDEX(Manual_Review!$I$6:$I$238,U3045)="","",INDEX(Manual_Review!$I$6:$I$238,U3045))</f>
        <v/>
      </c>
      <c r="Y3045" s="5" t="s">
        <v>2859</v>
      </c>
    </row>
    <row r="3046" spans="1:25" ht="25.5">
      <c r="A3046" s="5" t="s">
        <v>9251</v>
      </c>
      <c r="B3046" s="5" t="s">
        <v>2165</v>
      </c>
      <c r="C3046" s="5" t="s">
        <v>2166</v>
      </c>
      <c r="D3046" s="5" t="s">
        <v>118</v>
      </c>
      <c r="E3046" s="5" t="s">
        <v>2781</v>
      </c>
      <c r="F3046" s="5" t="s">
        <v>2754</v>
      </c>
      <c r="G3046" s="5">
        <v>1</v>
      </c>
      <c r="H3046" s="5" t="s">
        <v>2854</v>
      </c>
      <c r="I3046" s="5" t="str">
        <f>IF(INDEX(Manual_Review!$K$6:$K$238,U3046)="","",INDEX(Manual_Review!$K$6:$K$238,U3046))</f>
        <v/>
      </c>
      <c r="J3046" s="5" t="str">
        <f t="shared" si="94"/>
        <v>AI provisional</v>
      </c>
      <c r="K3046" s="5" t="str">
        <f t="shared" si="95"/>
        <v>Y</v>
      </c>
      <c r="L3046" s="5" t="s">
        <v>2179</v>
      </c>
      <c r="M3046" s="5" t="s">
        <v>9252</v>
      </c>
      <c r="N3046" s="5" t="s">
        <v>9253</v>
      </c>
      <c r="O3046" s="5" t="s">
        <v>2991</v>
      </c>
      <c r="P3046" s="5" t="s">
        <v>2992</v>
      </c>
      <c r="Q3046" s="11">
        <v>46306.5</v>
      </c>
      <c r="R3046" s="6"/>
      <c r="S3046" s="6"/>
      <c r="T3046" s="6"/>
      <c r="U3046" s="5">
        <f>MATCH(B3046,Manual_Review!$A$6:$A$238,0)</f>
        <v>191</v>
      </c>
      <c r="V3046" s="5" t="str">
        <f>IF(INDEX(Manual_Review!$G$6:$G$238,U3046)="","",INDEX(Manual_Review!$G$6:$G$238,U3046))</f>
        <v/>
      </c>
      <c r="W3046" s="11" t="str">
        <f>IF(INDEX(Manual_Review!$H$6:$H$238,U3046)="","",INDEX(Manual_Review!$H$6:$H$238,U3046))</f>
        <v/>
      </c>
      <c r="X3046" s="5" t="str">
        <f>IF(INDEX(Manual_Review!$I$6:$I$238,U3046)="","",INDEX(Manual_Review!$I$6:$I$238,U3046))</f>
        <v/>
      </c>
      <c r="Y3046" s="5" t="s">
        <v>2859</v>
      </c>
    </row>
    <row r="3047" spans="1:25" ht="25.5">
      <c r="A3047" s="5" t="s">
        <v>9254</v>
      </c>
      <c r="B3047" s="5" t="s">
        <v>2165</v>
      </c>
      <c r="C3047" s="5" t="s">
        <v>2166</v>
      </c>
      <c r="D3047" s="5" t="s">
        <v>118</v>
      </c>
      <c r="E3047" s="5" t="s">
        <v>2782</v>
      </c>
      <c r="F3047" s="5" t="s">
        <v>2754</v>
      </c>
      <c r="G3047" s="5">
        <v>1</v>
      </c>
      <c r="H3047" s="5" t="s">
        <v>2854</v>
      </c>
      <c r="I3047" s="5" t="str">
        <f>IF(INDEX(Manual_Review!$L$6:$L$238,U3047)="","",INDEX(Manual_Review!$L$6:$L$238,U3047))</f>
        <v/>
      </c>
      <c r="J3047" s="5" t="str">
        <f t="shared" si="94"/>
        <v>AI provisional</v>
      </c>
      <c r="K3047" s="5" t="str">
        <f t="shared" si="95"/>
        <v>Y</v>
      </c>
      <c r="L3047" s="5" t="s">
        <v>2179</v>
      </c>
      <c r="M3047" s="5" t="s">
        <v>9255</v>
      </c>
      <c r="N3047" s="5" t="s">
        <v>9256</v>
      </c>
      <c r="O3047" s="5" t="s">
        <v>2996</v>
      </c>
      <c r="P3047" s="5" t="s">
        <v>2992</v>
      </c>
      <c r="Q3047" s="11">
        <v>46306.5</v>
      </c>
      <c r="R3047" s="6"/>
      <c r="S3047" s="6"/>
      <c r="T3047" s="6"/>
      <c r="U3047" s="5">
        <f>MATCH(B3047,Manual_Review!$A$6:$A$238,0)</f>
        <v>191</v>
      </c>
      <c r="V3047" s="5" t="str">
        <f>IF(INDEX(Manual_Review!$G$6:$G$238,U3047)="","",INDEX(Manual_Review!$G$6:$G$238,U3047))</f>
        <v/>
      </c>
      <c r="W3047" s="11" t="str">
        <f>IF(INDEX(Manual_Review!$H$6:$H$238,U3047)="","",INDEX(Manual_Review!$H$6:$H$238,U3047))</f>
        <v/>
      </c>
      <c r="X3047" s="5" t="str">
        <f>IF(INDEX(Manual_Review!$I$6:$I$238,U3047)="","",INDEX(Manual_Review!$I$6:$I$238,U3047))</f>
        <v/>
      </c>
      <c r="Y3047" s="5" t="s">
        <v>2859</v>
      </c>
    </row>
    <row r="3048" spans="1:25" ht="25.5">
      <c r="A3048" s="5" t="s">
        <v>9257</v>
      </c>
      <c r="B3048" s="5" t="s">
        <v>2165</v>
      </c>
      <c r="C3048" s="5" t="s">
        <v>2166</v>
      </c>
      <c r="D3048" s="5" t="s">
        <v>118</v>
      </c>
      <c r="E3048" s="5" t="s">
        <v>2783</v>
      </c>
      <c r="F3048" s="5" t="s">
        <v>2754</v>
      </c>
      <c r="G3048" s="5">
        <v>1</v>
      </c>
      <c r="H3048" s="5" t="s">
        <v>2854</v>
      </c>
      <c r="I3048" s="5" t="str">
        <f>IF(INDEX(Manual_Review!$M$6:$M$238,U3048)="","",INDEX(Manual_Review!$M$6:$M$238,U3048))</f>
        <v/>
      </c>
      <c r="J3048" s="5" t="str">
        <f t="shared" si="94"/>
        <v>AI provisional</v>
      </c>
      <c r="K3048" s="5" t="str">
        <f t="shared" si="95"/>
        <v>Y</v>
      </c>
      <c r="L3048" s="5" t="s">
        <v>2179</v>
      </c>
      <c r="M3048" s="5" t="s">
        <v>9258</v>
      </c>
      <c r="N3048" s="5" t="s">
        <v>9259</v>
      </c>
      <c r="O3048" s="5" t="s">
        <v>3000</v>
      </c>
      <c r="P3048" s="5" t="s">
        <v>2992</v>
      </c>
      <c r="Q3048" s="11">
        <v>46306.5</v>
      </c>
      <c r="R3048" s="6"/>
      <c r="S3048" s="6"/>
      <c r="T3048" s="6"/>
      <c r="U3048" s="5">
        <f>MATCH(B3048,Manual_Review!$A$6:$A$238,0)</f>
        <v>191</v>
      </c>
      <c r="V3048" s="5" t="str">
        <f>IF(INDEX(Manual_Review!$G$6:$G$238,U3048)="","",INDEX(Manual_Review!$G$6:$G$238,U3048))</f>
        <v/>
      </c>
      <c r="W3048" s="11" t="str">
        <f>IF(INDEX(Manual_Review!$H$6:$H$238,U3048)="","",INDEX(Manual_Review!$H$6:$H$238,U3048))</f>
        <v/>
      </c>
      <c r="X3048" s="5" t="str">
        <f>IF(INDEX(Manual_Review!$I$6:$I$238,U3048)="","",INDEX(Manual_Review!$I$6:$I$238,U3048))</f>
        <v/>
      </c>
      <c r="Y3048" s="5" t="s">
        <v>2859</v>
      </c>
    </row>
    <row r="3049" spans="1:25" ht="25.5">
      <c r="A3049" s="5" t="s">
        <v>9260</v>
      </c>
      <c r="B3049" s="5" t="s">
        <v>2165</v>
      </c>
      <c r="C3049" s="5" t="s">
        <v>2166</v>
      </c>
      <c r="D3049" s="5" t="s">
        <v>118</v>
      </c>
      <c r="E3049" s="5" t="s">
        <v>2784</v>
      </c>
      <c r="F3049" s="5" t="s">
        <v>2756</v>
      </c>
      <c r="G3049" s="5">
        <v>1</v>
      </c>
      <c r="H3049" s="5" t="s">
        <v>2854</v>
      </c>
      <c r="I3049" s="5" t="str">
        <f>IF(INDEX(Manual_Review!$N$6:$N$238,U3049)="","",INDEX(Manual_Review!$N$6:$N$238,U3049))</f>
        <v/>
      </c>
      <c r="J3049" s="5" t="str">
        <f t="shared" si="94"/>
        <v>AI provisional</v>
      </c>
      <c r="K3049" s="5" t="str">
        <f t="shared" si="95"/>
        <v>Y</v>
      </c>
      <c r="L3049" s="5" t="s">
        <v>2179</v>
      </c>
      <c r="M3049" s="5" t="s">
        <v>9261</v>
      </c>
      <c r="N3049" s="5" t="s">
        <v>9262</v>
      </c>
      <c r="O3049" s="5" t="s">
        <v>3004</v>
      </c>
      <c r="P3049" s="5" t="s">
        <v>2992</v>
      </c>
      <c r="Q3049" s="11">
        <v>46306.5</v>
      </c>
      <c r="R3049" s="6"/>
      <c r="S3049" s="6"/>
      <c r="T3049" s="6"/>
      <c r="U3049" s="5">
        <f>MATCH(B3049,Manual_Review!$A$6:$A$238,0)</f>
        <v>191</v>
      </c>
      <c r="V3049" s="5" t="str">
        <f>IF(INDEX(Manual_Review!$G$6:$G$238,U3049)="","",INDEX(Manual_Review!$G$6:$G$238,U3049))</f>
        <v/>
      </c>
      <c r="W3049" s="11" t="str">
        <f>IF(INDEX(Manual_Review!$H$6:$H$238,U3049)="","",INDEX(Manual_Review!$H$6:$H$238,U3049))</f>
        <v/>
      </c>
      <c r="X3049" s="5" t="str">
        <f>IF(INDEX(Manual_Review!$I$6:$I$238,U3049)="","",INDEX(Manual_Review!$I$6:$I$238,U3049))</f>
        <v/>
      </c>
      <c r="Y3049" s="5" t="s">
        <v>2859</v>
      </c>
    </row>
    <row r="3050" spans="1:25" ht="25.5">
      <c r="A3050" s="5" t="s">
        <v>9263</v>
      </c>
      <c r="B3050" s="5" t="s">
        <v>2165</v>
      </c>
      <c r="C3050" s="5" t="s">
        <v>2166</v>
      </c>
      <c r="D3050" s="5" t="s">
        <v>118</v>
      </c>
      <c r="E3050" s="5" t="s">
        <v>2785</v>
      </c>
      <c r="F3050" s="5" t="s">
        <v>2756</v>
      </c>
      <c r="G3050" s="5">
        <v>1</v>
      </c>
      <c r="H3050" s="5" t="s">
        <v>2864</v>
      </c>
      <c r="I3050" s="5" t="str">
        <f>IF(INDEX(Manual_Review!$O$6:$O$238,U3050)="","",INDEX(Manual_Review!$O$6:$O$238,U3050))</f>
        <v/>
      </c>
      <c r="J3050" s="5" t="str">
        <f t="shared" si="94"/>
        <v>AI provisional</v>
      </c>
      <c r="K3050" s="5" t="str">
        <f t="shared" si="95"/>
        <v>U</v>
      </c>
      <c r="L3050" s="5" t="s">
        <v>2179</v>
      </c>
      <c r="M3050" s="5" t="s">
        <v>9261</v>
      </c>
      <c r="N3050" s="5" t="s">
        <v>9262</v>
      </c>
      <c r="O3050" s="5" t="s">
        <v>3006</v>
      </c>
      <c r="P3050" s="5" t="s">
        <v>2992</v>
      </c>
      <c r="Q3050" s="11">
        <v>46306.5</v>
      </c>
      <c r="R3050" s="6"/>
      <c r="S3050" s="6"/>
      <c r="T3050" s="6"/>
      <c r="U3050" s="5">
        <f>MATCH(B3050,Manual_Review!$A$6:$A$238,0)</f>
        <v>191</v>
      </c>
      <c r="V3050" s="5" t="str">
        <f>IF(INDEX(Manual_Review!$G$6:$G$238,U3050)="","",INDEX(Manual_Review!$G$6:$G$238,U3050))</f>
        <v/>
      </c>
      <c r="W3050" s="11" t="str">
        <f>IF(INDEX(Manual_Review!$H$6:$H$238,U3050)="","",INDEX(Manual_Review!$H$6:$H$238,U3050))</f>
        <v/>
      </c>
      <c r="X3050" s="5" t="str">
        <f>IF(INDEX(Manual_Review!$I$6:$I$238,U3050)="","",INDEX(Manual_Review!$I$6:$I$238,U3050))</f>
        <v/>
      </c>
      <c r="Y3050" s="5" t="s">
        <v>2859</v>
      </c>
    </row>
    <row r="3051" spans="1:25" ht="38.25">
      <c r="A3051" s="5" t="s">
        <v>9264</v>
      </c>
      <c r="B3051" s="5" t="s">
        <v>2165</v>
      </c>
      <c r="C3051" s="5" t="s">
        <v>2166</v>
      </c>
      <c r="D3051" s="5" t="s">
        <v>118</v>
      </c>
      <c r="E3051" s="5" t="s">
        <v>2786</v>
      </c>
      <c r="F3051" s="5" t="s">
        <v>2756</v>
      </c>
      <c r="G3051" s="5">
        <v>1</v>
      </c>
      <c r="H3051" s="5" t="s">
        <v>2864</v>
      </c>
      <c r="I3051" s="5" t="str">
        <f>IF(INDEX(Manual_Review!$P$6:$P$238,U3051)="","",INDEX(Manual_Review!$P$6:$P$238,U3051))</f>
        <v/>
      </c>
      <c r="J3051" s="5" t="str">
        <f t="shared" si="94"/>
        <v>AI provisional</v>
      </c>
      <c r="K3051" s="5" t="str">
        <f t="shared" si="95"/>
        <v>U</v>
      </c>
      <c r="L3051" s="5" t="s">
        <v>2179</v>
      </c>
      <c r="M3051" s="5" t="s">
        <v>9265</v>
      </c>
      <c r="N3051" s="5" t="s">
        <v>9266</v>
      </c>
      <c r="O3051" s="5" t="s">
        <v>3010</v>
      </c>
      <c r="P3051" s="5" t="s">
        <v>2992</v>
      </c>
      <c r="Q3051" s="11">
        <v>46306.5</v>
      </c>
      <c r="R3051" s="6"/>
      <c r="S3051" s="6"/>
      <c r="T3051" s="6"/>
      <c r="U3051" s="5">
        <f>MATCH(B3051,Manual_Review!$A$6:$A$238,0)</f>
        <v>191</v>
      </c>
      <c r="V3051" s="5" t="str">
        <f>IF(INDEX(Manual_Review!$G$6:$G$238,U3051)="","",INDEX(Manual_Review!$G$6:$G$238,U3051))</f>
        <v/>
      </c>
      <c r="W3051" s="11" t="str">
        <f>IF(INDEX(Manual_Review!$H$6:$H$238,U3051)="","",INDEX(Manual_Review!$H$6:$H$238,U3051))</f>
        <v/>
      </c>
      <c r="X3051" s="5" t="str">
        <f>IF(INDEX(Manual_Review!$I$6:$I$238,U3051)="","",INDEX(Manual_Review!$I$6:$I$238,U3051))</f>
        <v/>
      </c>
      <c r="Y3051" s="5" t="s">
        <v>2859</v>
      </c>
    </row>
    <row r="3052" spans="1:25" ht="25.5">
      <c r="A3052" s="5" t="s">
        <v>9267</v>
      </c>
      <c r="B3052" s="5" t="s">
        <v>2165</v>
      </c>
      <c r="C3052" s="5" t="s">
        <v>2166</v>
      </c>
      <c r="D3052" s="5" t="s">
        <v>118</v>
      </c>
      <c r="E3052" s="5" t="s">
        <v>2787</v>
      </c>
      <c r="F3052" s="5" t="s">
        <v>2758</v>
      </c>
      <c r="G3052" s="5">
        <v>1</v>
      </c>
      <c r="H3052" s="5" t="s">
        <v>2864</v>
      </c>
      <c r="I3052" s="5" t="str">
        <f>IF(INDEX(Manual_Review!$Q$6:$Q$238,U3052)="","",INDEX(Manual_Review!$Q$6:$Q$238,U3052))</f>
        <v/>
      </c>
      <c r="J3052" s="5" t="str">
        <f t="shared" si="94"/>
        <v>AI provisional</v>
      </c>
      <c r="K3052" s="5" t="str">
        <f t="shared" si="95"/>
        <v>U</v>
      </c>
      <c r="L3052" s="5" t="s">
        <v>2179</v>
      </c>
      <c r="M3052" s="5" t="s">
        <v>9268</v>
      </c>
      <c r="N3052" s="5" t="s">
        <v>9269</v>
      </c>
      <c r="O3052" s="5" t="s">
        <v>3014</v>
      </c>
      <c r="P3052" s="5" t="s">
        <v>2992</v>
      </c>
      <c r="Q3052" s="11">
        <v>46306.5</v>
      </c>
      <c r="R3052" s="6"/>
      <c r="S3052" s="6"/>
      <c r="T3052" s="6"/>
      <c r="U3052" s="5">
        <f>MATCH(B3052,Manual_Review!$A$6:$A$238,0)</f>
        <v>191</v>
      </c>
      <c r="V3052" s="5" t="str">
        <f>IF(INDEX(Manual_Review!$G$6:$G$238,U3052)="","",INDEX(Manual_Review!$G$6:$G$238,U3052))</f>
        <v/>
      </c>
      <c r="W3052" s="11" t="str">
        <f>IF(INDEX(Manual_Review!$H$6:$H$238,U3052)="","",INDEX(Manual_Review!$H$6:$H$238,U3052))</f>
        <v/>
      </c>
      <c r="X3052" s="5" t="str">
        <f>IF(INDEX(Manual_Review!$I$6:$I$238,U3052)="","",INDEX(Manual_Review!$I$6:$I$238,U3052))</f>
        <v/>
      </c>
      <c r="Y3052" s="5" t="s">
        <v>2859</v>
      </c>
    </row>
    <row r="3053" spans="1:25" ht="51">
      <c r="A3053" s="5" t="s">
        <v>9270</v>
      </c>
      <c r="B3053" s="5" t="s">
        <v>2165</v>
      </c>
      <c r="C3053" s="5" t="s">
        <v>2166</v>
      </c>
      <c r="D3053" s="5" t="s">
        <v>118</v>
      </c>
      <c r="E3053" s="5" t="s">
        <v>2788</v>
      </c>
      <c r="F3053" s="5" t="s">
        <v>2758</v>
      </c>
      <c r="G3053" s="5">
        <v>1</v>
      </c>
      <c r="H3053" s="5" t="s">
        <v>2854</v>
      </c>
      <c r="I3053" s="5" t="str">
        <f>IF(INDEX(Manual_Review!$R$6:$R$238,U3053)="","",INDEX(Manual_Review!$R$6:$R$238,U3053))</f>
        <v/>
      </c>
      <c r="J3053" s="5" t="str">
        <f t="shared" si="94"/>
        <v>AI provisional</v>
      </c>
      <c r="K3053" s="5" t="str">
        <f t="shared" si="95"/>
        <v>Y</v>
      </c>
      <c r="L3053" s="5" t="s">
        <v>2179</v>
      </c>
      <c r="M3053" s="5" t="s">
        <v>9271</v>
      </c>
      <c r="N3053" s="5" t="s">
        <v>9272</v>
      </c>
      <c r="O3053" s="5" t="s">
        <v>3018</v>
      </c>
      <c r="P3053" s="5" t="s">
        <v>2992</v>
      </c>
      <c r="Q3053" s="11">
        <v>46306.5</v>
      </c>
      <c r="R3053" s="6"/>
      <c r="S3053" s="6"/>
      <c r="T3053" s="6"/>
      <c r="U3053" s="5">
        <f>MATCH(B3053,Manual_Review!$A$6:$A$238,0)</f>
        <v>191</v>
      </c>
      <c r="V3053" s="5" t="str">
        <f>IF(INDEX(Manual_Review!$G$6:$G$238,U3053)="","",INDEX(Manual_Review!$G$6:$G$238,U3053))</f>
        <v/>
      </c>
      <c r="W3053" s="11" t="str">
        <f>IF(INDEX(Manual_Review!$H$6:$H$238,U3053)="","",INDEX(Manual_Review!$H$6:$H$238,U3053))</f>
        <v/>
      </c>
      <c r="X3053" s="5" t="str">
        <f>IF(INDEX(Manual_Review!$I$6:$I$238,U3053)="","",INDEX(Manual_Review!$I$6:$I$238,U3053))</f>
        <v/>
      </c>
      <c r="Y3053" s="5" t="s">
        <v>2859</v>
      </c>
    </row>
    <row r="3054" spans="1:25" ht="38.25">
      <c r="A3054" s="5" t="s">
        <v>9273</v>
      </c>
      <c r="B3054" s="5" t="s">
        <v>2165</v>
      </c>
      <c r="C3054" s="5" t="s">
        <v>2166</v>
      </c>
      <c r="D3054" s="5" t="s">
        <v>118</v>
      </c>
      <c r="E3054" s="5" t="s">
        <v>2789</v>
      </c>
      <c r="F3054" s="5" t="s">
        <v>2758</v>
      </c>
      <c r="G3054" s="5">
        <v>1</v>
      </c>
      <c r="H3054" s="5" t="s">
        <v>2854</v>
      </c>
      <c r="I3054" s="5" t="str">
        <f>IF(INDEX(Manual_Review!$S$6:$S$238,U3054)="","",INDEX(Manual_Review!$S$6:$S$238,U3054))</f>
        <v/>
      </c>
      <c r="J3054" s="5" t="str">
        <f t="shared" si="94"/>
        <v>AI provisional</v>
      </c>
      <c r="K3054" s="5" t="str">
        <f t="shared" si="95"/>
        <v>Y</v>
      </c>
      <c r="L3054" s="5" t="s">
        <v>2179</v>
      </c>
      <c r="M3054" s="5" t="s">
        <v>9274</v>
      </c>
      <c r="N3054" s="5" t="s">
        <v>9275</v>
      </c>
      <c r="O3054" s="5" t="s">
        <v>3022</v>
      </c>
      <c r="P3054" s="5" t="s">
        <v>2992</v>
      </c>
      <c r="Q3054" s="11">
        <v>46306.5</v>
      </c>
      <c r="R3054" s="6"/>
      <c r="S3054" s="6"/>
      <c r="T3054" s="6"/>
      <c r="U3054" s="5">
        <f>MATCH(B3054,Manual_Review!$A$6:$A$238,0)</f>
        <v>191</v>
      </c>
      <c r="V3054" s="5" t="str">
        <f>IF(INDEX(Manual_Review!$G$6:$G$238,U3054)="","",INDEX(Manual_Review!$G$6:$G$238,U3054))</f>
        <v/>
      </c>
      <c r="W3054" s="11" t="str">
        <f>IF(INDEX(Manual_Review!$H$6:$H$238,U3054)="","",INDEX(Manual_Review!$H$6:$H$238,U3054))</f>
        <v/>
      </c>
      <c r="X3054" s="5" t="str">
        <f>IF(INDEX(Manual_Review!$I$6:$I$238,U3054)="","",INDEX(Manual_Review!$I$6:$I$238,U3054))</f>
        <v/>
      </c>
      <c r="Y3054" s="5" t="s">
        <v>2859</v>
      </c>
    </row>
    <row r="3055" spans="1:25" ht="25.5">
      <c r="A3055" s="5" t="s">
        <v>9276</v>
      </c>
      <c r="B3055" s="5" t="s">
        <v>2165</v>
      </c>
      <c r="C3055" s="5" t="s">
        <v>2166</v>
      </c>
      <c r="D3055" s="5" t="s">
        <v>118</v>
      </c>
      <c r="E3055" s="5" t="s">
        <v>2790</v>
      </c>
      <c r="F3055" s="5" t="s">
        <v>2760</v>
      </c>
      <c r="G3055" s="5">
        <v>1</v>
      </c>
      <c r="H3055" s="5" t="s">
        <v>2854</v>
      </c>
      <c r="I3055" s="5" t="str">
        <f>IF(INDEX(Manual_Review!$T$6:$T$238,U3055)="","",INDEX(Manual_Review!$T$6:$T$238,U3055))</f>
        <v/>
      </c>
      <c r="J3055" s="5" t="str">
        <f t="shared" si="94"/>
        <v>AI provisional</v>
      </c>
      <c r="K3055" s="5" t="str">
        <f t="shared" si="95"/>
        <v>Y</v>
      </c>
      <c r="L3055" s="5" t="s">
        <v>2179</v>
      </c>
      <c r="M3055" s="5" t="s">
        <v>9277</v>
      </c>
      <c r="N3055" s="5" t="s">
        <v>9278</v>
      </c>
      <c r="O3055" s="5" t="s">
        <v>3451</v>
      </c>
      <c r="P3055" s="5" t="s">
        <v>2992</v>
      </c>
      <c r="Q3055" s="11">
        <v>46306.5</v>
      </c>
      <c r="R3055" s="6"/>
      <c r="S3055" s="6"/>
      <c r="T3055" s="6"/>
      <c r="U3055" s="5">
        <f>MATCH(B3055,Manual_Review!$A$6:$A$238,0)</f>
        <v>191</v>
      </c>
      <c r="V3055" s="5" t="str">
        <f>IF(INDEX(Manual_Review!$G$6:$G$238,U3055)="","",INDEX(Manual_Review!$G$6:$G$238,U3055))</f>
        <v/>
      </c>
      <c r="W3055" s="11" t="str">
        <f>IF(INDEX(Manual_Review!$H$6:$H$238,U3055)="","",INDEX(Manual_Review!$H$6:$H$238,U3055))</f>
        <v/>
      </c>
      <c r="X3055" s="5" t="str">
        <f>IF(INDEX(Manual_Review!$I$6:$I$238,U3055)="","",INDEX(Manual_Review!$I$6:$I$238,U3055))</f>
        <v/>
      </c>
      <c r="Y3055" s="5" t="s">
        <v>2859</v>
      </c>
    </row>
    <row r="3056" spans="1:25" ht="25.5">
      <c r="A3056" s="5" t="s">
        <v>9279</v>
      </c>
      <c r="B3056" s="5" t="s">
        <v>2165</v>
      </c>
      <c r="C3056" s="5" t="s">
        <v>2166</v>
      </c>
      <c r="D3056" s="5" t="s">
        <v>118</v>
      </c>
      <c r="E3056" s="5" t="s">
        <v>2791</v>
      </c>
      <c r="F3056" s="5" t="s">
        <v>2760</v>
      </c>
      <c r="G3056" s="5">
        <v>1</v>
      </c>
      <c r="H3056" s="5" t="s">
        <v>2854</v>
      </c>
      <c r="I3056" s="5" t="str">
        <f>IF(INDEX(Manual_Review!$U$6:$U$238,U3056)="","",INDEX(Manual_Review!$U$6:$U$238,U3056))</f>
        <v/>
      </c>
      <c r="J3056" s="5" t="str">
        <f t="shared" si="94"/>
        <v>AI provisional</v>
      </c>
      <c r="K3056" s="5" t="str">
        <f t="shared" si="95"/>
        <v>Y</v>
      </c>
      <c r="L3056" s="5" t="s">
        <v>2179</v>
      </c>
      <c r="M3056" s="5" t="s">
        <v>9280</v>
      </c>
      <c r="N3056" s="5" t="s">
        <v>9281</v>
      </c>
      <c r="O3056" s="5" t="s">
        <v>3832</v>
      </c>
      <c r="P3056" s="5" t="s">
        <v>2992</v>
      </c>
      <c r="Q3056" s="11">
        <v>46306.5</v>
      </c>
      <c r="R3056" s="6"/>
      <c r="S3056" s="6"/>
      <c r="T3056" s="6"/>
      <c r="U3056" s="5">
        <f>MATCH(B3056,Manual_Review!$A$6:$A$238,0)</f>
        <v>191</v>
      </c>
      <c r="V3056" s="5" t="str">
        <f>IF(INDEX(Manual_Review!$G$6:$G$238,U3056)="","",INDEX(Manual_Review!$G$6:$G$238,U3056))</f>
        <v/>
      </c>
      <c r="W3056" s="11" t="str">
        <f>IF(INDEX(Manual_Review!$H$6:$H$238,U3056)="","",INDEX(Manual_Review!$H$6:$H$238,U3056))</f>
        <v/>
      </c>
      <c r="X3056" s="5" t="str">
        <f>IF(INDEX(Manual_Review!$I$6:$I$238,U3056)="","",INDEX(Manual_Review!$I$6:$I$238,U3056))</f>
        <v/>
      </c>
      <c r="Y3056" s="5" t="s">
        <v>2859</v>
      </c>
    </row>
    <row r="3057" spans="1:25" ht="25.5">
      <c r="A3057" s="5" t="s">
        <v>9282</v>
      </c>
      <c r="B3057" s="5" t="s">
        <v>2165</v>
      </c>
      <c r="C3057" s="5" t="s">
        <v>2166</v>
      </c>
      <c r="D3057" s="5" t="s">
        <v>118</v>
      </c>
      <c r="E3057" s="5" t="s">
        <v>2792</v>
      </c>
      <c r="F3057" s="5" t="s">
        <v>2762</v>
      </c>
      <c r="G3057" s="5">
        <v>1</v>
      </c>
      <c r="H3057" s="5" t="s">
        <v>2854</v>
      </c>
      <c r="I3057" s="5" t="str">
        <f>IF(INDEX(Manual_Review!$V$6:$V$238,U3057)="","",INDEX(Manual_Review!$V$6:$V$238,U3057))</f>
        <v/>
      </c>
      <c r="J3057" s="5" t="str">
        <f t="shared" si="94"/>
        <v>AI provisional</v>
      </c>
      <c r="K3057" s="5" t="str">
        <f t="shared" si="95"/>
        <v>Y</v>
      </c>
      <c r="L3057" s="5" t="s">
        <v>2179</v>
      </c>
      <c r="M3057" s="5" t="s">
        <v>9283</v>
      </c>
      <c r="N3057" s="5" t="s">
        <v>9284</v>
      </c>
      <c r="O3057" s="5" t="s">
        <v>3034</v>
      </c>
      <c r="P3057" s="5" t="s">
        <v>2992</v>
      </c>
      <c r="Q3057" s="11">
        <v>46306.5</v>
      </c>
      <c r="R3057" s="6"/>
      <c r="S3057" s="6"/>
      <c r="T3057" s="6"/>
      <c r="U3057" s="5">
        <f>MATCH(B3057,Manual_Review!$A$6:$A$238,0)</f>
        <v>191</v>
      </c>
      <c r="V3057" s="5" t="str">
        <f>IF(INDEX(Manual_Review!$G$6:$G$238,U3057)="","",INDEX(Manual_Review!$G$6:$G$238,U3057))</f>
        <v/>
      </c>
      <c r="W3057" s="11" t="str">
        <f>IF(INDEX(Manual_Review!$H$6:$H$238,U3057)="","",INDEX(Manual_Review!$H$6:$H$238,U3057))</f>
        <v/>
      </c>
      <c r="X3057" s="5" t="str">
        <f>IF(INDEX(Manual_Review!$I$6:$I$238,U3057)="","",INDEX(Manual_Review!$I$6:$I$238,U3057))</f>
        <v/>
      </c>
      <c r="Y3057" s="5" t="s">
        <v>2859</v>
      </c>
    </row>
    <row r="3058" spans="1:25" ht="38.25">
      <c r="A3058" s="5" t="s">
        <v>9285</v>
      </c>
      <c r="B3058" s="5" t="s">
        <v>2165</v>
      </c>
      <c r="C3058" s="5" t="s">
        <v>2166</v>
      </c>
      <c r="D3058" s="5" t="s">
        <v>118</v>
      </c>
      <c r="E3058" s="5" t="s">
        <v>2793</v>
      </c>
      <c r="F3058" s="5" t="s">
        <v>2762</v>
      </c>
      <c r="G3058" s="5">
        <v>1</v>
      </c>
      <c r="H3058" s="5" t="s">
        <v>2854</v>
      </c>
      <c r="I3058" s="5" t="str">
        <f>IF(INDEX(Manual_Review!$W$6:$W$238,U3058)="","",INDEX(Manual_Review!$W$6:$W$238,U3058))</f>
        <v/>
      </c>
      <c r="J3058" s="5" t="str">
        <f t="shared" si="94"/>
        <v>AI provisional</v>
      </c>
      <c r="K3058" s="5" t="str">
        <f t="shared" si="95"/>
        <v>Y</v>
      </c>
      <c r="L3058" s="5" t="s">
        <v>2179</v>
      </c>
      <c r="M3058" s="5" t="s">
        <v>9286</v>
      </c>
      <c r="N3058" s="5" t="s">
        <v>9287</v>
      </c>
      <c r="O3058" s="5" t="s">
        <v>3038</v>
      </c>
      <c r="P3058" s="5" t="s">
        <v>2992</v>
      </c>
      <c r="Q3058" s="11">
        <v>46306.5</v>
      </c>
      <c r="R3058" s="6"/>
      <c r="S3058" s="6"/>
      <c r="T3058" s="6"/>
      <c r="U3058" s="5">
        <f>MATCH(B3058,Manual_Review!$A$6:$A$238,0)</f>
        <v>191</v>
      </c>
      <c r="V3058" s="5" t="str">
        <f>IF(INDEX(Manual_Review!$G$6:$G$238,U3058)="","",INDEX(Manual_Review!$G$6:$G$238,U3058))</f>
        <v/>
      </c>
      <c r="W3058" s="11" t="str">
        <f>IF(INDEX(Manual_Review!$H$6:$H$238,U3058)="","",INDEX(Manual_Review!$H$6:$H$238,U3058))</f>
        <v/>
      </c>
      <c r="X3058" s="5" t="str">
        <f>IF(INDEX(Manual_Review!$I$6:$I$238,U3058)="","",INDEX(Manual_Review!$I$6:$I$238,U3058))</f>
        <v/>
      </c>
      <c r="Y3058" s="5" t="s">
        <v>2859</v>
      </c>
    </row>
    <row r="3059" spans="1:25" ht="25.5">
      <c r="A3059" s="5" t="s">
        <v>9288</v>
      </c>
      <c r="B3059" s="5" t="s">
        <v>2165</v>
      </c>
      <c r="C3059" s="5" t="s">
        <v>2166</v>
      </c>
      <c r="D3059" s="5" t="s">
        <v>118</v>
      </c>
      <c r="E3059" s="5" t="s">
        <v>2794</v>
      </c>
      <c r="F3059" s="5" t="s">
        <v>2764</v>
      </c>
      <c r="G3059" s="5">
        <v>1</v>
      </c>
      <c r="H3059" s="5" t="s">
        <v>2854</v>
      </c>
      <c r="I3059" s="5" t="str">
        <f>IF(INDEX(Manual_Review!$X$6:$X$238,U3059)="","",INDEX(Manual_Review!$X$6:$X$238,U3059))</f>
        <v/>
      </c>
      <c r="J3059" s="5" t="str">
        <f t="shared" si="94"/>
        <v>AI provisional</v>
      </c>
      <c r="K3059" s="5" t="str">
        <f t="shared" si="95"/>
        <v>Y</v>
      </c>
      <c r="L3059" s="5" t="s">
        <v>2179</v>
      </c>
      <c r="M3059" s="5" t="s">
        <v>9289</v>
      </c>
      <c r="N3059" s="5" t="s">
        <v>9290</v>
      </c>
      <c r="O3059" s="5" t="s">
        <v>3042</v>
      </c>
      <c r="P3059" s="5" t="s">
        <v>2992</v>
      </c>
      <c r="Q3059" s="11">
        <v>46306.5</v>
      </c>
      <c r="R3059" s="6"/>
      <c r="S3059" s="6"/>
      <c r="T3059" s="6"/>
      <c r="U3059" s="5">
        <f>MATCH(B3059,Manual_Review!$A$6:$A$238,0)</f>
        <v>191</v>
      </c>
      <c r="V3059" s="5" t="str">
        <f>IF(INDEX(Manual_Review!$G$6:$G$238,U3059)="","",INDEX(Manual_Review!$G$6:$G$238,U3059))</f>
        <v/>
      </c>
      <c r="W3059" s="11" t="str">
        <f>IF(INDEX(Manual_Review!$H$6:$H$238,U3059)="","",INDEX(Manual_Review!$H$6:$H$238,U3059))</f>
        <v/>
      </c>
      <c r="X3059" s="5" t="str">
        <f>IF(INDEX(Manual_Review!$I$6:$I$238,U3059)="","",INDEX(Manual_Review!$I$6:$I$238,U3059))</f>
        <v/>
      </c>
      <c r="Y3059" s="5" t="s">
        <v>2859</v>
      </c>
    </row>
    <row r="3060" spans="1:25" ht="25.5">
      <c r="A3060" s="5" t="s">
        <v>9291</v>
      </c>
      <c r="B3060" s="5" t="s">
        <v>2165</v>
      </c>
      <c r="C3060" s="5" t="s">
        <v>2166</v>
      </c>
      <c r="D3060" s="5" t="s">
        <v>118</v>
      </c>
      <c r="E3060" s="5" t="s">
        <v>2795</v>
      </c>
      <c r="F3060" s="5" t="s">
        <v>2764</v>
      </c>
      <c r="G3060" s="5">
        <v>1</v>
      </c>
      <c r="H3060" s="5" t="s">
        <v>2864</v>
      </c>
      <c r="I3060" s="5" t="str">
        <f>IF(INDEX(Manual_Review!$Y$6:$Y$238,U3060)="","",INDEX(Manual_Review!$Y$6:$Y$238,U3060))</f>
        <v/>
      </c>
      <c r="J3060" s="5" t="str">
        <f t="shared" si="94"/>
        <v>AI provisional</v>
      </c>
      <c r="K3060" s="5" t="str">
        <f t="shared" si="95"/>
        <v>U</v>
      </c>
      <c r="L3060" s="5" t="s">
        <v>2179</v>
      </c>
      <c r="M3060" s="5" t="s">
        <v>9292</v>
      </c>
      <c r="N3060" s="5" t="s">
        <v>9293</v>
      </c>
      <c r="O3060" s="5" t="s">
        <v>3469</v>
      </c>
      <c r="P3060" s="5" t="s">
        <v>2992</v>
      </c>
      <c r="Q3060" s="11">
        <v>46306.5</v>
      </c>
      <c r="R3060" s="6"/>
      <c r="S3060" s="6"/>
      <c r="T3060" s="6"/>
      <c r="U3060" s="5">
        <f>MATCH(B3060,Manual_Review!$A$6:$A$238,0)</f>
        <v>191</v>
      </c>
      <c r="V3060" s="5" t="str">
        <f>IF(INDEX(Manual_Review!$G$6:$G$238,U3060)="","",INDEX(Manual_Review!$G$6:$G$238,U3060))</f>
        <v/>
      </c>
      <c r="W3060" s="11" t="str">
        <f>IF(INDEX(Manual_Review!$H$6:$H$238,U3060)="","",INDEX(Manual_Review!$H$6:$H$238,U3060))</f>
        <v/>
      </c>
      <c r="X3060" s="5" t="str">
        <f>IF(INDEX(Manual_Review!$I$6:$I$238,U3060)="","",INDEX(Manual_Review!$I$6:$I$238,U3060))</f>
        <v/>
      </c>
      <c r="Y3060" s="5" t="s">
        <v>2859</v>
      </c>
    </row>
    <row r="3061" spans="1:25" ht="38.25">
      <c r="A3061" s="5" t="s">
        <v>9294</v>
      </c>
      <c r="B3061" s="5" t="s">
        <v>2165</v>
      </c>
      <c r="C3061" s="5" t="s">
        <v>2166</v>
      </c>
      <c r="D3061" s="5" t="s">
        <v>118</v>
      </c>
      <c r="E3061" s="5" t="s">
        <v>2796</v>
      </c>
      <c r="F3061" s="5" t="s">
        <v>2764</v>
      </c>
      <c r="G3061" s="5">
        <v>1</v>
      </c>
      <c r="H3061" s="5" t="s">
        <v>2864</v>
      </c>
      <c r="I3061" s="5" t="str">
        <f>IF(INDEX(Manual_Review!$Z$6:$Z$238,U3061)="","",INDEX(Manual_Review!$Z$6:$Z$238,U3061))</f>
        <v/>
      </c>
      <c r="J3061" s="5" t="str">
        <f t="shared" si="94"/>
        <v>AI provisional</v>
      </c>
      <c r="K3061" s="5" t="str">
        <f t="shared" si="95"/>
        <v>U</v>
      </c>
      <c r="L3061" s="5" t="s">
        <v>2179</v>
      </c>
      <c r="M3061" s="5" t="s">
        <v>9295</v>
      </c>
      <c r="N3061" s="5" t="s">
        <v>9296</v>
      </c>
      <c r="O3061" s="5" t="s">
        <v>3050</v>
      </c>
      <c r="P3061" s="5" t="s">
        <v>2992</v>
      </c>
      <c r="Q3061" s="11">
        <v>46306.5</v>
      </c>
      <c r="R3061" s="6"/>
      <c r="S3061" s="6"/>
      <c r="T3061" s="6"/>
      <c r="U3061" s="5">
        <f>MATCH(B3061,Manual_Review!$A$6:$A$238,0)</f>
        <v>191</v>
      </c>
      <c r="V3061" s="5" t="str">
        <f>IF(INDEX(Manual_Review!$G$6:$G$238,U3061)="","",INDEX(Manual_Review!$G$6:$G$238,U3061))</f>
        <v/>
      </c>
      <c r="W3061" s="11" t="str">
        <f>IF(INDEX(Manual_Review!$H$6:$H$238,U3061)="","",INDEX(Manual_Review!$H$6:$H$238,U3061))</f>
        <v/>
      </c>
      <c r="X3061" s="5" t="str">
        <f>IF(INDEX(Manual_Review!$I$6:$I$238,U3061)="","",INDEX(Manual_Review!$I$6:$I$238,U3061))</f>
        <v/>
      </c>
      <c r="Y3061" s="5" t="s">
        <v>2859</v>
      </c>
    </row>
    <row r="3062" spans="1:25" ht="25.5">
      <c r="A3062" s="5" t="s">
        <v>9297</v>
      </c>
      <c r="B3062" s="5" t="s">
        <v>2181</v>
      </c>
      <c r="C3062" s="5" t="s">
        <v>2182</v>
      </c>
      <c r="D3062" s="5" t="s">
        <v>118</v>
      </c>
      <c r="E3062" s="5" t="s">
        <v>2781</v>
      </c>
      <c r="F3062" s="5" t="s">
        <v>2754</v>
      </c>
      <c r="G3062" s="5">
        <v>1</v>
      </c>
      <c r="H3062" s="5" t="s">
        <v>2854</v>
      </c>
      <c r="I3062" s="5" t="str">
        <f>IF(INDEX(Manual_Review!$K$6:$K$238,U3062)="","",INDEX(Manual_Review!$K$6:$K$238,U3062))</f>
        <v/>
      </c>
      <c r="J3062" s="5" t="str">
        <f t="shared" si="94"/>
        <v>AI provisional</v>
      </c>
      <c r="K3062" s="5" t="str">
        <f t="shared" si="95"/>
        <v>Y</v>
      </c>
      <c r="L3062" s="5" t="s">
        <v>2193</v>
      </c>
      <c r="M3062" s="5" t="s">
        <v>9298</v>
      </c>
      <c r="N3062" s="5" t="s">
        <v>9299</v>
      </c>
      <c r="O3062" s="5" t="s">
        <v>2991</v>
      </c>
      <c r="P3062" s="5" t="s">
        <v>2992</v>
      </c>
      <c r="Q3062" s="11">
        <v>46306.5</v>
      </c>
      <c r="R3062" s="6"/>
      <c r="S3062" s="6"/>
      <c r="T3062" s="6"/>
      <c r="U3062" s="5">
        <f>MATCH(B3062,Manual_Review!$A$6:$A$238,0)</f>
        <v>192</v>
      </c>
      <c r="V3062" s="5" t="str">
        <f>IF(INDEX(Manual_Review!$G$6:$G$238,U3062)="","",INDEX(Manual_Review!$G$6:$G$238,U3062))</f>
        <v/>
      </c>
      <c r="W3062" s="11" t="str">
        <f>IF(INDEX(Manual_Review!$H$6:$H$238,U3062)="","",INDEX(Manual_Review!$H$6:$H$238,U3062))</f>
        <v/>
      </c>
      <c r="X3062" s="5" t="str">
        <f>IF(INDEX(Manual_Review!$I$6:$I$238,U3062)="","",INDEX(Manual_Review!$I$6:$I$238,U3062))</f>
        <v/>
      </c>
      <c r="Y3062" s="5" t="s">
        <v>2859</v>
      </c>
    </row>
    <row r="3063" spans="1:25" ht="25.5">
      <c r="A3063" s="5" t="s">
        <v>9300</v>
      </c>
      <c r="B3063" s="5" t="s">
        <v>2181</v>
      </c>
      <c r="C3063" s="5" t="s">
        <v>2182</v>
      </c>
      <c r="D3063" s="5" t="s">
        <v>118</v>
      </c>
      <c r="E3063" s="5" t="s">
        <v>2782</v>
      </c>
      <c r="F3063" s="5" t="s">
        <v>2754</v>
      </c>
      <c r="G3063" s="5">
        <v>1</v>
      </c>
      <c r="H3063" s="5" t="s">
        <v>2854</v>
      </c>
      <c r="I3063" s="5" t="str">
        <f>IF(INDEX(Manual_Review!$L$6:$L$238,U3063)="","",INDEX(Manual_Review!$L$6:$L$238,U3063))</f>
        <v/>
      </c>
      <c r="J3063" s="5" t="str">
        <f t="shared" si="94"/>
        <v>AI provisional</v>
      </c>
      <c r="K3063" s="5" t="str">
        <f t="shared" si="95"/>
        <v>Y</v>
      </c>
      <c r="L3063" s="5" t="s">
        <v>2193</v>
      </c>
      <c r="M3063" s="5" t="s">
        <v>9301</v>
      </c>
      <c r="N3063" s="5" t="s">
        <v>9302</v>
      </c>
      <c r="O3063" s="5" t="s">
        <v>2996</v>
      </c>
      <c r="P3063" s="5" t="s">
        <v>2992</v>
      </c>
      <c r="Q3063" s="11">
        <v>46306.5</v>
      </c>
      <c r="R3063" s="6"/>
      <c r="S3063" s="6"/>
      <c r="T3063" s="6"/>
      <c r="U3063" s="5">
        <f>MATCH(B3063,Manual_Review!$A$6:$A$238,0)</f>
        <v>192</v>
      </c>
      <c r="V3063" s="5" t="str">
        <f>IF(INDEX(Manual_Review!$G$6:$G$238,U3063)="","",INDEX(Manual_Review!$G$6:$G$238,U3063))</f>
        <v/>
      </c>
      <c r="W3063" s="11" t="str">
        <f>IF(INDEX(Manual_Review!$H$6:$H$238,U3063)="","",INDEX(Manual_Review!$H$6:$H$238,U3063))</f>
        <v/>
      </c>
      <c r="X3063" s="5" t="str">
        <f>IF(INDEX(Manual_Review!$I$6:$I$238,U3063)="","",INDEX(Manual_Review!$I$6:$I$238,U3063))</f>
        <v/>
      </c>
      <c r="Y3063" s="5" t="s">
        <v>2859</v>
      </c>
    </row>
    <row r="3064" spans="1:25" ht="25.5">
      <c r="A3064" s="5" t="s">
        <v>9303</v>
      </c>
      <c r="B3064" s="5" t="s">
        <v>2181</v>
      </c>
      <c r="C3064" s="5" t="s">
        <v>2182</v>
      </c>
      <c r="D3064" s="5" t="s">
        <v>118</v>
      </c>
      <c r="E3064" s="5" t="s">
        <v>2783</v>
      </c>
      <c r="F3064" s="5" t="s">
        <v>2754</v>
      </c>
      <c r="G3064" s="5">
        <v>1</v>
      </c>
      <c r="H3064" s="5" t="s">
        <v>2864</v>
      </c>
      <c r="I3064" s="5" t="str">
        <f>IF(INDEX(Manual_Review!$M$6:$M$238,U3064)="","",INDEX(Manual_Review!$M$6:$M$238,U3064))</f>
        <v/>
      </c>
      <c r="J3064" s="5" t="str">
        <f t="shared" si="94"/>
        <v>AI provisional</v>
      </c>
      <c r="K3064" s="5" t="str">
        <f t="shared" si="95"/>
        <v>U</v>
      </c>
      <c r="L3064" s="5" t="s">
        <v>2193</v>
      </c>
      <c r="M3064" s="5" t="s">
        <v>9304</v>
      </c>
      <c r="N3064" s="5" t="s">
        <v>9305</v>
      </c>
      <c r="O3064" s="5" t="s">
        <v>3808</v>
      </c>
      <c r="P3064" s="5" t="s">
        <v>2992</v>
      </c>
      <c r="Q3064" s="11">
        <v>46306.5</v>
      </c>
      <c r="R3064" s="6"/>
      <c r="S3064" s="6"/>
      <c r="T3064" s="6"/>
      <c r="U3064" s="5">
        <f>MATCH(B3064,Manual_Review!$A$6:$A$238,0)</f>
        <v>192</v>
      </c>
      <c r="V3064" s="5" t="str">
        <f>IF(INDEX(Manual_Review!$G$6:$G$238,U3064)="","",INDEX(Manual_Review!$G$6:$G$238,U3064))</f>
        <v/>
      </c>
      <c r="W3064" s="11" t="str">
        <f>IF(INDEX(Manual_Review!$H$6:$H$238,U3064)="","",INDEX(Manual_Review!$H$6:$H$238,U3064))</f>
        <v/>
      </c>
      <c r="X3064" s="5" t="str">
        <f>IF(INDEX(Manual_Review!$I$6:$I$238,U3064)="","",INDEX(Manual_Review!$I$6:$I$238,U3064))</f>
        <v/>
      </c>
      <c r="Y3064" s="5" t="s">
        <v>2859</v>
      </c>
    </row>
    <row r="3065" spans="1:25" ht="25.5">
      <c r="A3065" s="5" t="s">
        <v>9306</v>
      </c>
      <c r="B3065" s="5" t="s">
        <v>2181</v>
      </c>
      <c r="C3065" s="5" t="s">
        <v>2182</v>
      </c>
      <c r="D3065" s="5" t="s">
        <v>118</v>
      </c>
      <c r="E3065" s="5" t="s">
        <v>2784</v>
      </c>
      <c r="F3065" s="5" t="s">
        <v>2756</v>
      </c>
      <c r="G3065" s="5">
        <v>1</v>
      </c>
      <c r="H3065" s="5" t="s">
        <v>2854</v>
      </c>
      <c r="I3065" s="5" t="str">
        <f>IF(INDEX(Manual_Review!$N$6:$N$238,U3065)="","",INDEX(Manual_Review!$N$6:$N$238,U3065))</f>
        <v/>
      </c>
      <c r="J3065" s="5" t="str">
        <f t="shared" si="94"/>
        <v>AI provisional</v>
      </c>
      <c r="K3065" s="5" t="str">
        <f t="shared" si="95"/>
        <v>Y</v>
      </c>
      <c r="L3065" s="5" t="s">
        <v>2193</v>
      </c>
      <c r="M3065" s="5" t="s">
        <v>9307</v>
      </c>
      <c r="N3065" s="5" t="s">
        <v>9308</v>
      </c>
      <c r="O3065" s="5" t="s">
        <v>3004</v>
      </c>
      <c r="P3065" s="5" t="s">
        <v>2992</v>
      </c>
      <c r="Q3065" s="11">
        <v>46306.5</v>
      </c>
      <c r="R3065" s="6"/>
      <c r="S3065" s="6"/>
      <c r="T3065" s="6"/>
      <c r="U3065" s="5">
        <f>MATCH(B3065,Manual_Review!$A$6:$A$238,0)</f>
        <v>192</v>
      </c>
      <c r="V3065" s="5" t="str">
        <f>IF(INDEX(Manual_Review!$G$6:$G$238,U3065)="","",INDEX(Manual_Review!$G$6:$G$238,U3065))</f>
        <v/>
      </c>
      <c r="W3065" s="11" t="str">
        <f>IF(INDEX(Manual_Review!$H$6:$H$238,U3065)="","",INDEX(Manual_Review!$H$6:$H$238,U3065))</f>
        <v/>
      </c>
      <c r="X3065" s="5" t="str">
        <f>IF(INDEX(Manual_Review!$I$6:$I$238,U3065)="","",INDEX(Manual_Review!$I$6:$I$238,U3065))</f>
        <v/>
      </c>
      <c r="Y3065" s="5" t="s">
        <v>2859</v>
      </c>
    </row>
    <row r="3066" spans="1:25" ht="25.5">
      <c r="A3066" s="5" t="s">
        <v>9309</v>
      </c>
      <c r="B3066" s="5" t="s">
        <v>2181</v>
      </c>
      <c r="C3066" s="5" t="s">
        <v>2182</v>
      </c>
      <c r="D3066" s="5" t="s">
        <v>118</v>
      </c>
      <c r="E3066" s="5" t="s">
        <v>2785</v>
      </c>
      <c r="F3066" s="5" t="s">
        <v>2756</v>
      </c>
      <c r="G3066" s="5">
        <v>1</v>
      </c>
      <c r="H3066" s="5" t="s">
        <v>2854</v>
      </c>
      <c r="I3066" s="5" t="str">
        <f>IF(INDEX(Manual_Review!$O$6:$O$238,U3066)="","",INDEX(Manual_Review!$O$6:$O$238,U3066))</f>
        <v/>
      </c>
      <c r="J3066" s="5" t="str">
        <f t="shared" si="94"/>
        <v>AI provisional</v>
      </c>
      <c r="K3066" s="5" t="str">
        <f t="shared" si="95"/>
        <v>Y</v>
      </c>
      <c r="L3066" s="5" t="s">
        <v>2193</v>
      </c>
      <c r="M3066" s="5" t="s">
        <v>9307</v>
      </c>
      <c r="N3066" s="5" t="s">
        <v>9308</v>
      </c>
      <c r="O3066" s="5" t="s">
        <v>5541</v>
      </c>
      <c r="P3066" s="5" t="s">
        <v>2992</v>
      </c>
      <c r="Q3066" s="11">
        <v>46306.5</v>
      </c>
      <c r="R3066" s="6"/>
      <c r="S3066" s="6"/>
      <c r="T3066" s="6"/>
      <c r="U3066" s="5">
        <f>MATCH(B3066,Manual_Review!$A$6:$A$238,0)</f>
        <v>192</v>
      </c>
      <c r="V3066" s="5" t="str">
        <f>IF(INDEX(Manual_Review!$G$6:$G$238,U3066)="","",INDEX(Manual_Review!$G$6:$G$238,U3066))</f>
        <v/>
      </c>
      <c r="W3066" s="11" t="str">
        <f>IF(INDEX(Manual_Review!$H$6:$H$238,U3066)="","",INDEX(Manual_Review!$H$6:$H$238,U3066))</f>
        <v/>
      </c>
      <c r="X3066" s="5" t="str">
        <f>IF(INDEX(Manual_Review!$I$6:$I$238,U3066)="","",INDEX(Manual_Review!$I$6:$I$238,U3066))</f>
        <v/>
      </c>
      <c r="Y3066" s="5" t="s">
        <v>2859</v>
      </c>
    </row>
    <row r="3067" spans="1:25" ht="25.5">
      <c r="A3067" s="5" t="s">
        <v>9310</v>
      </c>
      <c r="B3067" s="5" t="s">
        <v>2181</v>
      </c>
      <c r="C3067" s="5" t="s">
        <v>2182</v>
      </c>
      <c r="D3067" s="5" t="s">
        <v>118</v>
      </c>
      <c r="E3067" s="5" t="s">
        <v>2786</v>
      </c>
      <c r="F3067" s="5" t="s">
        <v>2756</v>
      </c>
      <c r="G3067" s="5">
        <v>1</v>
      </c>
      <c r="H3067" s="5" t="s">
        <v>2854</v>
      </c>
      <c r="I3067" s="5" t="str">
        <f>IF(INDEX(Manual_Review!$P$6:$P$238,U3067)="","",INDEX(Manual_Review!$P$6:$P$238,U3067))</f>
        <v/>
      </c>
      <c r="J3067" s="5" t="str">
        <f t="shared" si="94"/>
        <v>AI provisional</v>
      </c>
      <c r="K3067" s="5" t="str">
        <f t="shared" si="95"/>
        <v>Y</v>
      </c>
      <c r="L3067" s="5" t="s">
        <v>2193</v>
      </c>
      <c r="M3067" s="5" t="s">
        <v>9311</v>
      </c>
      <c r="N3067" s="5" t="s">
        <v>9312</v>
      </c>
      <c r="O3067" s="5" t="s">
        <v>8844</v>
      </c>
      <c r="P3067" s="5" t="s">
        <v>2992</v>
      </c>
      <c r="Q3067" s="11">
        <v>46306.5</v>
      </c>
      <c r="R3067" s="6"/>
      <c r="S3067" s="6"/>
      <c r="T3067" s="6"/>
      <c r="U3067" s="5">
        <f>MATCH(B3067,Manual_Review!$A$6:$A$238,0)</f>
        <v>192</v>
      </c>
      <c r="V3067" s="5" t="str">
        <f>IF(INDEX(Manual_Review!$G$6:$G$238,U3067)="","",INDEX(Manual_Review!$G$6:$G$238,U3067))</f>
        <v/>
      </c>
      <c r="W3067" s="11" t="str">
        <f>IF(INDEX(Manual_Review!$H$6:$H$238,U3067)="","",INDEX(Manual_Review!$H$6:$H$238,U3067))</f>
        <v/>
      </c>
      <c r="X3067" s="5" t="str">
        <f>IF(INDEX(Manual_Review!$I$6:$I$238,U3067)="","",INDEX(Manual_Review!$I$6:$I$238,U3067))</f>
        <v/>
      </c>
      <c r="Y3067" s="5" t="s">
        <v>2859</v>
      </c>
    </row>
    <row r="3068" spans="1:25" ht="25.5">
      <c r="A3068" s="5" t="s">
        <v>9313</v>
      </c>
      <c r="B3068" s="5" t="s">
        <v>2181</v>
      </c>
      <c r="C3068" s="5" t="s">
        <v>2182</v>
      </c>
      <c r="D3068" s="5" t="s">
        <v>118</v>
      </c>
      <c r="E3068" s="5" t="s">
        <v>2787</v>
      </c>
      <c r="F3068" s="5" t="s">
        <v>2758</v>
      </c>
      <c r="G3068" s="5">
        <v>1</v>
      </c>
      <c r="H3068" s="5" t="s">
        <v>2864</v>
      </c>
      <c r="I3068" s="5" t="str">
        <f>IF(INDEX(Manual_Review!$Q$6:$Q$238,U3068)="","",INDEX(Manual_Review!$Q$6:$Q$238,U3068))</f>
        <v/>
      </c>
      <c r="J3068" s="5" t="str">
        <f t="shared" si="94"/>
        <v>AI provisional</v>
      </c>
      <c r="K3068" s="5" t="str">
        <f t="shared" si="95"/>
        <v>U</v>
      </c>
      <c r="L3068" s="5" t="s">
        <v>2193</v>
      </c>
      <c r="M3068" s="5" t="s">
        <v>9314</v>
      </c>
      <c r="N3068" s="5" t="s">
        <v>9315</v>
      </c>
      <c r="O3068" s="5" t="s">
        <v>3014</v>
      </c>
      <c r="P3068" s="5" t="s">
        <v>2992</v>
      </c>
      <c r="Q3068" s="11">
        <v>46306.5</v>
      </c>
      <c r="R3068" s="6"/>
      <c r="S3068" s="6"/>
      <c r="T3068" s="6"/>
      <c r="U3068" s="5">
        <f>MATCH(B3068,Manual_Review!$A$6:$A$238,0)</f>
        <v>192</v>
      </c>
      <c r="V3068" s="5" t="str">
        <f>IF(INDEX(Manual_Review!$G$6:$G$238,U3068)="","",INDEX(Manual_Review!$G$6:$G$238,U3068))</f>
        <v/>
      </c>
      <c r="W3068" s="11" t="str">
        <f>IF(INDEX(Manual_Review!$H$6:$H$238,U3068)="","",INDEX(Manual_Review!$H$6:$H$238,U3068))</f>
        <v/>
      </c>
      <c r="X3068" s="5" t="str">
        <f>IF(INDEX(Manual_Review!$I$6:$I$238,U3068)="","",INDEX(Manual_Review!$I$6:$I$238,U3068))</f>
        <v/>
      </c>
      <c r="Y3068" s="5" t="s">
        <v>2859</v>
      </c>
    </row>
    <row r="3069" spans="1:25" ht="51">
      <c r="A3069" s="5" t="s">
        <v>9316</v>
      </c>
      <c r="B3069" s="5" t="s">
        <v>2181</v>
      </c>
      <c r="C3069" s="5" t="s">
        <v>2182</v>
      </c>
      <c r="D3069" s="5" t="s">
        <v>118</v>
      </c>
      <c r="E3069" s="5" t="s">
        <v>2788</v>
      </c>
      <c r="F3069" s="5" t="s">
        <v>2758</v>
      </c>
      <c r="G3069" s="5">
        <v>1</v>
      </c>
      <c r="H3069" s="5" t="s">
        <v>2854</v>
      </c>
      <c r="I3069" s="5" t="str">
        <f>IF(INDEX(Manual_Review!$R$6:$R$238,U3069)="","",INDEX(Manual_Review!$R$6:$R$238,U3069))</f>
        <v/>
      </c>
      <c r="J3069" s="5" t="str">
        <f t="shared" si="94"/>
        <v>AI provisional</v>
      </c>
      <c r="K3069" s="5" t="str">
        <f t="shared" si="95"/>
        <v>Y</v>
      </c>
      <c r="L3069" s="5" t="s">
        <v>2193</v>
      </c>
      <c r="M3069" s="5" t="s">
        <v>9317</v>
      </c>
      <c r="N3069" s="5" t="s">
        <v>9318</v>
      </c>
      <c r="O3069" s="5" t="s">
        <v>3018</v>
      </c>
      <c r="P3069" s="5" t="s">
        <v>2992</v>
      </c>
      <c r="Q3069" s="11">
        <v>46306.5</v>
      </c>
      <c r="R3069" s="6"/>
      <c r="S3069" s="6"/>
      <c r="T3069" s="6"/>
      <c r="U3069" s="5">
        <f>MATCH(B3069,Manual_Review!$A$6:$A$238,0)</f>
        <v>192</v>
      </c>
      <c r="V3069" s="5" t="str">
        <f>IF(INDEX(Manual_Review!$G$6:$G$238,U3069)="","",INDEX(Manual_Review!$G$6:$G$238,U3069))</f>
        <v/>
      </c>
      <c r="W3069" s="11" t="str">
        <f>IF(INDEX(Manual_Review!$H$6:$H$238,U3069)="","",INDEX(Manual_Review!$H$6:$H$238,U3069))</f>
        <v/>
      </c>
      <c r="X3069" s="5" t="str">
        <f>IF(INDEX(Manual_Review!$I$6:$I$238,U3069)="","",INDEX(Manual_Review!$I$6:$I$238,U3069))</f>
        <v/>
      </c>
      <c r="Y3069" s="5" t="s">
        <v>2859</v>
      </c>
    </row>
    <row r="3070" spans="1:25" ht="38.25">
      <c r="A3070" s="5" t="s">
        <v>9319</v>
      </c>
      <c r="B3070" s="5" t="s">
        <v>2181</v>
      </c>
      <c r="C3070" s="5" t="s">
        <v>2182</v>
      </c>
      <c r="D3070" s="5" t="s">
        <v>118</v>
      </c>
      <c r="E3070" s="5" t="s">
        <v>2789</v>
      </c>
      <c r="F3070" s="5" t="s">
        <v>2758</v>
      </c>
      <c r="G3070" s="5">
        <v>1</v>
      </c>
      <c r="H3070" s="5" t="s">
        <v>2854</v>
      </c>
      <c r="I3070" s="5" t="str">
        <f>IF(INDEX(Manual_Review!$S$6:$S$238,U3070)="","",INDEX(Manual_Review!$S$6:$S$238,U3070))</f>
        <v/>
      </c>
      <c r="J3070" s="5" t="str">
        <f t="shared" si="94"/>
        <v>AI provisional</v>
      </c>
      <c r="K3070" s="5" t="str">
        <f t="shared" si="95"/>
        <v>Y</v>
      </c>
      <c r="L3070" s="5" t="s">
        <v>2193</v>
      </c>
      <c r="M3070" s="5" t="s">
        <v>9320</v>
      </c>
      <c r="N3070" s="5" t="s">
        <v>9321</v>
      </c>
      <c r="O3070" s="5" t="s">
        <v>3022</v>
      </c>
      <c r="P3070" s="5" t="s">
        <v>2992</v>
      </c>
      <c r="Q3070" s="11">
        <v>46306.5</v>
      </c>
      <c r="R3070" s="6"/>
      <c r="S3070" s="6"/>
      <c r="T3070" s="6"/>
      <c r="U3070" s="5">
        <f>MATCH(B3070,Manual_Review!$A$6:$A$238,0)</f>
        <v>192</v>
      </c>
      <c r="V3070" s="5" t="str">
        <f>IF(INDEX(Manual_Review!$G$6:$G$238,U3070)="","",INDEX(Manual_Review!$G$6:$G$238,U3070))</f>
        <v/>
      </c>
      <c r="W3070" s="11" t="str">
        <f>IF(INDEX(Manual_Review!$H$6:$H$238,U3070)="","",INDEX(Manual_Review!$H$6:$H$238,U3070))</f>
        <v/>
      </c>
      <c r="X3070" s="5" t="str">
        <f>IF(INDEX(Manual_Review!$I$6:$I$238,U3070)="","",INDEX(Manual_Review!$I$6:$I$238,U3070))</f>
        <v/>
      </c>
      <c r="Y3070" s="5" t="s">
        <v>2859</v>
      </c>
    </row>
    <row r="3071" spans="1:25" ht="25.5">
      <c r="A3071" s="5" t="s">
        <v>9322</v>
      </c>
      <c r="B3071" s="5" t="s">
        <v>2181</v>
      </c>
      <c r="C3071" s="5" t="s">
        <v>2182</v>
      </c>
      <c r="D3071" s="5" t="s">
        <v>118</v>
      </c>
      <c r="E3071" s="5" t="s">
        <v>2790</v>
      </c>
      <c r="F3071" s="5" t="s">
        <v>2760</v>
      </c>
      <c r="G3071" s="5">
        <v>1</v>
      </c>
      <c r="H3071" s="5" t="s">
        <v>2854</v>
      </c>
      <c r="I3071" s="5" t="str">
        <f>IF(INDEX(Manual_Review!$T$6:$T$238,U3071)="","",INDEX(Manual_Review!$T$6:$T$238,U3071))</f>
        <v/>
      </c>
      <c r="J3071" s="5" t="str">
        <f t="shared" si="94"/>
        <v>AI provisional</v>
      </c>
      <c r="K3071" s="5" t="str">
        <f t="shared" si="95"/>
        <v>Y</v>
      </c>
      <c r="L3071" s="5" t="s">
        <v>2193</v>
      </c>
      <c r="M3071" s="5" t="s">
        <v>9323</v>
      </c>
      <c r="N3071" s="5" t="s">
        <v>9324</v>
      </c>
      <c r="O3071" s="5" t="s">
        <v>3451</v>
      </c>
      <c r="P3071" s="5" t="s">
        <v>2992</v>
      </c>
      <c r="Q3071" s="11">
        <v>46306.5</v>
      </c>
      <c r="R3071" s="6"/>
      <c r="S3071" s="6"/>
      <c r="T3071" s="6"/>
      <c r="U3071" s="5">
        <f>MATCH(B3071,Manual_Review!$A$6:$A$238,0)</f>
        <v>192</v>
      </c>
      <c r="V3071" s="5" t="str">
        <f>IF(INDEX(Manual_Review!$G$6:$G$238,U3071)="","",INDEX(Manual_Review!$G$6:$G$238,U3071))</f>
        <v/>
      </c>
      <c r="W3071" s="11" t="str">
        <f>IF(INDEX(Manual_Review!$H$6:$H$238,U3071)="","",INDEX(Manual_Review!$H$6:$H$238,U3071))</f>
        <v/>
      </c>
      <c r="X3071" s="5" t="str">
        <f>IF(INDEX(Manual_Review!$I$6:$I$238,U3071)="","",INDEX(Manual_Review!$I$6:$I$238,U3071))</f>
        <v/>
      </c>
      <c r="Y3071" s="5" t="s">
        <v>2859</v>
      </c>
    </row>
    <row r="3072" spans="1:25" ht="25.5">
      <c r="A3072" s="5" t="s">
        <v>9325</v>
      </c>
      <c r="B3072" s="5" t="s">
        <v>2181</v>
      </c>
      <c r="C3072" s="5" t="s">
        <v>2182</v>
      </c>
      <c r="D3072" s="5" t="s">
        <v>118</v>
      </c>
      <c r="E3072" s="5" t="s">
        <v>2791</v>
      </c>
      <c r="F3072" s="5" t="s">
        <v>2760</v>
      </c>
      <c r="G3072" s="5">
        <v>1</v>
      </c>
      <c r="H3072" s="5" t="s">
        <v>2854</v>
      </c>
      <c r="I3072" s="5" t="str">
        <f>IF(INDEX(Manual_Review!$U$6:$U$238,U3072)="","",INDEX(Manual_Review!$U$6:$U$238,U3072))</f>
        <v/>
      </c>
      <c r="J3072" s="5" t="str">
        <f t="shared" si="94"/>
        <v>AI provisional</v>
      </c>
      <c r="K3072" s="5" t="str">
        <f t="shared" si="95"/>
        <v>Y</v>
      </c>
      <c r="L3072" s="5" t="s">
        <v>2193</v>
      </c>
      <c r="M3072" s="5" t="s">
        <v>9326</v>
      </c>
      <c r="N3072" s="5" t="s">
        <v>9327</v>
      </c>
      <c r="O3072" s="5" t="s">
        <v>3832</v>
      </c>
      <c r="P3072" s="5" t="s">
        <v>2992</v>
      </c>
      <c r="Q3072" s="11">
        <v>46306.5</v>
      </c>
      <c r="R3072" s="6"/>
      <c r="S3072" s="6"/>
      <c r="T3072" s="6"/>
      <c r="U3072" s="5">
        <f>MATCH(B3072,Manual_Review!$A$6:$A$238,0)</f>
        <v>192</v>
      </c>
      <c r="V3072" s="5" t="str">
        <f>IF(INDEX(Manual_Review!$G$6:$G$238,U3072)="","",INDEX(Manual_Review!$G$6:$G$238,U3072))</f>
        <v/>
      </c>
      <c r="W3072" s="11" t="str">
        <f>IF(INDEX(Manual_Review!$H$6:$H$238,U3072)="","",INDEX(Manual_Review!$H$6:$H$238,U3072))</f>
        <v/>
      </c>
      <c r="X3072" s="5" t="str">
        <f>IF(INDEX(Manual_Review!$I$6:$I$238,U3072)="","",INDEX(Manual_Review!$I$6:$I$238,U3072))</f>
        <v/>
      </c>
      <c r="Y3072" s="5" t="s">
        <v>2859</v>
      </c>
    </row>
    <row r="3073" spans="1:25" ht="25.5">
      <c r="A3073" s="5" t="s">
        <v>9328</v>
      </c>
      <c r="B3073" s="5" t="s">
        <v>2181</v>
      </c>
      <c r="C3073" s="5" t="s">
        <v>2182</v>
      </c>
      <c r="D3073" s="5" t="s">
        <v>118</v>
      </c>
      <c r="E3073" s="5" t="s">
        <v>2792</v>
      </c>
      <c r="F3073" s="5" t="s">
        <v>2762</v>
      </c>
      <c r="G3073" s="5">
        <v>1</v>
      </c>
      <c r="H3073" s="5" t="s">
        <v>2854</v>
      </c>
      <c r="I3073" s="5" t="str">
        <f>IF(INDEX(Manual_Review!$V$6:$V$238,U3073)="","",INDEX(Manual_Review!$V$6:$V$238,U3073))</f>
        <v/>
      </c>
      <c r="J3073" s="5" t="str">
        <f t="shared" si="94"/>
        <v>AI provisional</v>
      </c>
      <c r="K3073" s="5" t="str">
        <f t="shared" si="95"/>
        <v>Y</v>
      </c>
      <c r="L3073" s="5" t="s">
        <v>2193</v>
      </c>
      <c r="M3073" s="5" t="s">
        <v>9329</v>
      </c>
      <c r="N3073" s="5" t="s">
        <v>9330</v>
      </c>
      <c r="O3073" s="5" t="s">
        <v>3034</v>
      </c>
      <c r="P3073" s="5" t="s">
        <v>2992</v>
      </c>
      <c r="Q3073" s="11">
        <v>46306.5</v>
      </c>
      <c r="R3073" s="6"/>
      <c r="S3073" s="6"/>
      <c r="T3073" s="6"/>
      <c r="U3073" s="5">
        <f>MATCH(B3073,Manual_Review!$A$6:$A$238,0)</f>
        <v>192</v>
      </c>
      <c r="V3073" s="5" t="str">
        <f>IF(INDEX(Manual_Review!$G$6:$G$238,U3073)="","",INDEX(Manual_Review!$G$6:$G$238,U3073))</f>
        <v/>
      </c>
      <c r="W3073" s="11" t="str">
        <f>IF(INDEX(Manual_Review!$H$6:$H$238,U3073)="","",INDEX(Manual_Review!$H$6:$H$238,U3073))</f>
        <v/>
      </c>
      <c r="X3073" s="5" t="str">
        <f>IF(INDEX(Manual_Review!$I$6:$I$238,U3073)="","",INDEX(Manual_Review!$I$6:$I$238,U3073))</f>
        <v/>
      </c>
      <c r="Y3073" s="5" t="s">
        <v>2859</v>
      </c>
    </row>
    <row r="3074" spans="1:25" ht="51">
      <c r="A3074" s="5" t="s">
        <v>9331</v>
      </c>
      <c r="B3074" s="5" t="s">
        <v>2181</v>
      </c>
      <c r="C3074" s="5" t="s">
        <v>2182</v>
      </c>
      <c r="D3074" s="5" t="s">
        <v>118</v>
      </c>
      <c r="E3074" s="5" t="s">
        <v>2793</v>
      </c>
      <c r="F3074" s="5" t="s">
        <v>2762</v>
      </c>
      <c r="G3074" s="5">
        <v>1</v>
      </c>
      <c r="H3074" s="5" t="s">
        <v>2854</v>
      </c>
      <c r="I3074" s="5" t="str">
        <f>IF(INDEX(Manual_Review!$W$6:$W$238,U3074)="","",INDEX(Manual_Review!$W$6:$W$238,U3074))</f>
        <v/>
      </c>
      <c r="J3074" s="5" t="str">
        <f t="shared" si="94"/>
        <v>AI provisional</v>
      </c>
      <c r="K3074" s="5" t="str">
        <f t="shared" si="95"/>
        <v>Y</v>
      </c>
      <c r="L3074" s="5" t="s">
        <v>2193</v>
      </c>
      <c r="M3074" s="5" t="s">
        <v>9332</v>
      </c>
      <c r="N3074" s="5" t="s">
        <v>9333</v>
      </c>
      <c r="O3074" s="5" t="s">
        <v>3038</v>
      </c>
      <c r="P3074" s="5" t="s">
        <v>2992</v>
      </c>
      <c r="Q3074" s="11">
        <v>46306.5</v>
      </c>
      <c r="R3074" s="6"/>
      <c r="S3074" s="6"/>
      <c r="T3074" s="6"/>
      <c r="U3074" s="5">
        <f>MATCH(B3074,Manual_Review!$A$6:$A$238,0)</f>
        <v>192</v>
      </c>
      <c r="V3074" s="5" t="str">
        <f>IF(INDEX(Manual_Review!$G$6:$G$238,U3074)="","",INDEX(Manual_Review!$G$6:$G$238,U3074))</f>
        <v/>
      </c>
      <c r="W3074" s="11" t="str">
        <f>IF(INDEX(Manual_Review!$H$6:$H$238,U3074)="","",INDEX(Manual_Review!$H$6:$H$238,U3074))</f>
        <v/>
      </c>
      <c r="X3074" s="5" t="str">
        <f>IF(INDEX(Manual_Review!$I$6:$I$238,U3074)="","",INDEX(Manual_Review!$I$6:$I$238,U3074))</f>
        <v/>
      </c>
      <c r="Y3074" s="5" t="s">
        <v>2859</v>
      </c>
    </row>
    <row r="3075" spans="1:25" ht="38.25">
      <c r="A3075" s="5" t="s">
        <v>9334</v>
      </c>
      <c r="B3075" s="5" t="s">
        <v>2181</v>
      </c>
      <c r="C3075" s="5" t="s">
        <v>2182</v>
      </c>
      <c r="D3075" s="5" t="s">
        <v>118</v>
      </c>
      <c r="E3075" s="5" t="s">
        <v>2794</v>
      </c>
      <c r="F3075" s="5" t="s">
        <v>2764</v>
      </c>
      <c r="G3075" s="5">
        <v>1</v>
      </c>
      <c r="H3075" s="5" t="s">
        <v>2854</v>
      </c>
      <c r="I3075" s="5" t="str">
        <f>IF(INDEX(Manual_Review!$X$6:$X$238,U3075)="","",INDEX(Manual_Review!$X$6:$X$238,U3075))</f>
        <v/>
      </c>
      <c r="J3075" s="5" t="str">
        <f t="shared" si="94"/>
        <v>AI provisional</v>
      </c>
      <c r="K3075" s="5" t="str">
        <f t="shared" si="95"/>
        <v>Y</v>
      </c>
      <c r="L3075" s="5" t="s">
        <v>2193</v>
      </c>
      <c r="M3075" s="5" t="s">
        <v>9335</v>
      </c>
      <c r="N3075" s="5" t="s">
        <v>9336</v>
      </c>
      <c r="O3075" s="5" t="s">
        <v>3042</v>
      </c>
      <c r="P3075" s="5" t="s">
        <v>2992</v>
      </c>
      <c r="Q3075" s="11">
        <v>46306.5</v>
      </c>
      <c r="R3075" s="6"/>
      <c r="S3075" s="6"/>
      <c r="T3075" s="6"/>
      <c r="U3075" s="5">
        <f>MATCH(B3075,Manual_Review!$A$6:$A$238,0)</f>
        <v>192</v>
      </c>
      <c r="V3075" s="5" t="str">
        <f>IF(INDEX(Manual_Review!$G$6:$G$238,U3075)="","",INDEX(Manual_Review!$G$6:$G$238,U3075))</f>
        <v/>
      </c>
      <c r="W3075" s="11" t="str">
        <f>IF(INDEX(Manual_Review!$H$6:$H$238,U3075)="","",INDEX(Manual_Review!$H$6:$H$238,U3075))</f>
        <v/>
      </c>
      <c r="X3075" s="5" t="str">
        <f>IF(INDEX(Manual_Review!$I$6:$I$238,U3075)="","",INDEX(Manual_Review!$I$6:$I$238,U3075))</f>
        <v/>
      </c>
      <c r="Y3075" s="5" t="s">
        <v>2859</v>
      </c>
    </row>
    <row r="3076" spans="1:25" ht="25.5">
      <c r="A3076" s="5" t="s">
        <v>9337</v>
      </c>
      <c r="B3076" s="5" t="s">
        <v>2181</v>
      </c>
      <c r="C3076" s="5" t="s">
        <v>2182</v>
      </c>
      <c r="D3076" s="5" t="s">
        <v>118</v>
      </c>
      <c r="E3076" s="5" t="s">
        <v>2795</v>
      </c>
      <c r="F3076" s="5" t="s">
        <v>2764</v>
      </c>
      <c r="G3076" s="5">
        <v>1</v>
      </c>
      <c r="H3076" s="5" t="s">
        <v>2864</v>
      </c>
      <c r="I3076" s="5" t="str">
        <f>IF(INDEX(Manual_Review!$Y$6:$Y$238,U3076)="","",INDEX(Manual_Review!$Y$6:$Y$238,U3076))</f>
        <v/>
      </c>
      <c r="J3076" s="5" t="str">
        <f t="shared" si="94"/>
        <v>AI provisional</v>
      </c>
      <c r="K3076" s="5" t="str">
        <f t="shared" si="95"/>
        <v>U</v>
      </c>
      <c r="L3076" s="5" t="s">
        <v>2193</v>
      </c>
      <c r="M3076" s="5" t="s">
        <v>9338</v>
      </c>
      <c r="N3076" s="5" t="s">
        <v>9339</v>
      </c>
      <c r="O3076" s="5" t="s">
        <v>3469</v>
      </c>
      <c r="P3076" s="5" t="s">
        <v>2992</v>
      </c>
      <c r="Q3076" s="11">
        <v>46306.5</v>
      </c>
      <c r="R3076" s="6"/>
      <c r="S3076" s="6"/>
      <c r="T3076" s="6"/>
      <c r="U3076" s="5">
        <f>MATCH(B3076,Manual_Review!$A$6:$A$238,0)</f>
        <v>192</v>
      </c>
      <c r="V3076" s="5" t="str">
        <f>IF(INDEX(Manual_Review!$G$6:$G$238,U3076)="","",INDEX(Manual_Review!$G$6:$G$238,U3076))</f>
        <v/>
      </c>
      <c r="W3076" s="11" t="str">
        <f>IF(INDEX(Manual_Review!$H$6:$H$238,U3076)="","",INDEX(Manual_Review!$H$6:$H$238,U3076))</f>
        <v/>
      </c>
      <c r="X3076" s="5" t="str">
        <f>IF(INDEX(Manual_Review!$I$6:$I$238,U3076)="","",INDEX(Manual_Review!$I$6:$I$238,U3076))</f>
        <v/>
      </c>
      <c r="Y3076" s="5" t="s">
        <v>2859</v>
      </c>
    </row>
    <row r="3077" spans="1:25" ht="51">
      <c r="A3077" s="5" t="s">
        <v>9340</v>
      </c>
      <c r="B3077" s="5" t="s">
        <v>2181</v>
      </c>
      <c r="C3077" s="5" t="s">
        <v>2182</v>
      </c>
      <c r="D3077" s="5" t="s">
        <v>118</v>
      </c>
      <c r="E3077" s="5" t="s">
        <v>2796</v>
      </c>
      <c r="F3077" s="5" t="s">
        <v>2764</v>
      </c>
      <c r="G3077" s="5">
        <v>1</v>
      </c>
      <c r="H3077" s="5" t="s">
        <v>2864</v>
      </c>
      <c r="I3077" s="5" t="str">
        <f>IF(INDEX(Manual_Review!$Z$6:$Z$238,U3077)="","",INDEX(Manual_Review!$Z$6:$Z$238,U3077))</f>
        <v/>
      </c>
      <c r="J3077" s="5" t="str">
        <f t="shared" si="94"/>
        <v>AI provisional</v>
      </c>
      <c r="K3077" s="5" t="str">
        <f t="shared" si="95"/>
        <v>U</v>
      </c>
      <c r="L3077" s="5" t="s">
        <v>2193</v>
      </c>
      <c r="M3077" s="5" t="s">
        <v>9341</v>
      </c>
      <c r="N3077" s="5" t="s">
        <v>9342</v>
      </c>
      <c r="O3077" s="5" t="s">
        <v>3050</v>
      </c>
      <c r="P3077" s="5" t="s">
        <v>2992</v>
      </c>
      <c r="Q3077" s="11">
        <v>46306.5</v>
      </c>
      <c r="R3077" s="6"/>
      <c r="S3077" s="6"/>
      <c r="T3077" s="6"/>
      <c r="U3077" s="5">
        <f>MATCH(B3077,Manual_Review!$A$6:$A$238,0)</f>
        <v>192</v>
      </c>
      <c r="V3077" s="5" t="str">
        <f>IF(INDEX(Manual_Review!$G$6:$G$238,U3077)="","",INDEX(Manual_Review!$G$6:$G$238,U3077))</f>
        <v/>
      </c>
      <c r="W3077" s="11" t="str">
        <f>IF(INDEX(Manual_Review!$H$6:$H$238,U3077)="","",INDEX(Manual_Review!$H$6:$H$238,U3077))</f>
        <v/>
      </c>
      <c r="X3077" s="5" t="str">
        <f>IF(INDEX(Manual_Review!$I$6:$I$238,U3077)="","",INDEX(Manual_Review!$I$6:$I$238,U3077))</f>
        <v/>
      </c>
      <c r="Y3077" s="5" t="s">
        <v>2859</v>
      </c>
    </row>
    <row r="3078" spans="1:25" ht="76.5">
      <c r="A3078" s="5" t="s">
        <v>9343</v>
      </c>
      <c r="B3078" s="5" t="s">
        <v>2195</v>
      </c>
      <c r="C3078" s="5" t="s">
        <v>2196</v>
      </c>
      <c r="D3078" s="5" t="s">
        <v>118</v>
      </c>
      <c r="E3078" s="5" t="s">
        <v>2781</v>
      </c>
      <c r="F3078" s="5" t="s">
        <v>2754</v>
      </c>
      <c r="G3078" s="5">
        <v>1</v>
      </c>
      <c r="H3078" s="5" t="s">
        <v>2854</v>
      </c>
      <c r="I3078" s="5" t="str">
        <f>IF(INDEX(Manual_Review!$K$6:$K$238,U3078)="","",INDEX(Manual_Review!$K$6:$K$238,U3078))</f>
        <v/>
      </c>
      <c r="J3078" s="5" t="str">
        <f t="shared" ref="J3078:J3141" si="96">IF(G3078=0,"Not applicable",IF(I3078="","AI provisional",IF(AND(OR(I3078="Y",I3078="N",I3078="U",I3078="X"),V3078&lt;&gt;"",ISNUMBER(W3078),W3078&gt;0,X3078="Confirmed",R3078&lt;&gt;"",S3078&lt;&gt;"",T3078&lt;&gt;""),"Human valid","Evidence needed")))</f>
        <v>AI provisional</v>
      </c>
      <c r="K3078" s="5" t="str">
        <f t="shared" ref="K3078:K3141" si="97">IF(G3078=0,"N/A",IF(I3078="",H3078,IF(J3078="Human valid",I3078,"U")))</f>
        <v>Y</v>
      </c>
      <c r="L3078" s="5" t="s">
        <v>2208</v>
      </c>
      <c r="M3078" s="5" t="s">
        <v>9344</v>
      </c>
      <c r="N3078" s="5" t="s">
        <v>9345</v>
      </c>
      <c r="O3078" s="5" t="s">
        <v>2991</v>
      </c>
      <c r="P3078" s="5" t="s">
        <v>2992</v>
      </c>
      <c r="Q3078" s="11">
        <v>46306.5</v>
      </c>
      <c r="R3078" s="6"/>
      <c r="S3078" s="6"/>
      <c r="T3078" s="6"/>
      <c r="U3078" s="5">
        <f>MATCH(B3078,Manual_Review!$A$6:$A$238,0)</f>
        <v>193</v>
      </c>
      <c r="V3078" s="5" t="str">
        <f>IF(INDEX(Manual_Review!$G$6:$G$238,U3078)="","",INDEX(Manual_Review!$G$6:$G$238,U3078))</f>
        <v/>
      </c>
      <c r="W3078" s="11" t="str">
        <f>IF(INDEX(Manual_Review!$H$6:$H$238,U3078)="","",INDEX(Manual_Review!$H$6:$H$238,U3078))</f>
        <v/>
      </c>
      <c r="X3078" s="5" t="str">
        <f>IF(INDEX(Manual_Review!$I$6:$I$238,U3078)="","",INDEX(Manual_Review!$I$6:$I$238,U3078))</f>
        <v/>
      </c>
      <c r="Y3078" s="5" t="s">
        <v>2859</v>
      </c>
    </row>
    <row r="3079" spans="1:25" ht="76.5">
      <c r="A3079" s="5" t="s">
        <v>9346</v>
      </c>
      <c r="B3079" s="5" t="s">
        <v>2195</v>
      </c>
      <c r="C3079" s="5" t="s">
        <v>2196</v>
      </c>
      <c r="D3079" s="5" t="s">
        <v>118</v>
      </c>
      <c r="E3079" s="5" t="s">
        <v>2782</v>
      </c>
      <c r="F3079" s="5" t="s">
        <v>2754</v>
      </c>
      <c r="G3079" s="5">
        <v>1</v>
      </c>
      <c r="H3079" s="5" t="s">
        <v>2854</v>
      </c>
      <c r="I3079" s="5" t="str">
        <f>IF(INDEX(Manual_Review!$L$6:$L$238,U3079)="","",INDEX(Manual_Review!$L$6:$L$238,U3079))</f>
        <v/>
      </c>
      <c r="J3079" s="5" t="str">
        <f t="shared" si="96"/>
        <v>AI provisional</v>
      </c>
      <c r="K3079" s="5" t="str">
        <f t="shared" si="97"/>
        <v>Y</v>
      </c>
      <c r="L3079" s="5" t="s">
        <v>2208</v>
      </c>
      <c r="M3079" s="5" t="s">
        <v>9347</v>
      </c>
      <c r="N3079" s="5" t="s">
        <v>9348</v>
      </c>
      <c r="O3079" s="5" t="s">
        <v>2996</v>
      </c>
      <c r="P3079" s="5" t="s">
        <v>2992</v>
      </c>
      <c r="Q3079" s="11">
        <v>46306.5</v>
      </c>
      <c r="R3079" s="6"/>
      <c r="S3079" s="6"/>
      <c r="T3079" s="6"/>
      <c r="U3079" s="5">
        <f>MATCH(B3079,Manual_Review!$A$6:$A$238,0)</f>
        <v>193</v>
      </c>
      <c r="V3079" s="5" t="str">
        <f>IF(INDEX(Manual_Review!$G$6:$G$238,U3079)="","",INDEX(Manual_Review!$G$6:$G$238,U3079))</f>
        <v/>
      </c>
      <c r="W3079" s="11" t="str">
        <f>IF(INDEX(Manual_Review!$H$6:$H$238,U3079)="","",INDEX(Manual_Review!$H$6:$H$238,U3079))</f>
        <v/>
      </c>
      <c r="X3079" s="5" t="str">
        <f>IF(INDEX(Manual_Review!$I$6:$I$238,U3079)="","",INDEX(Manual_Review!$I$6:$I$238,U3079))</f>
        <v/>
      </c>
      <c r="Y3079" s="5" t="s">
        <v>2859</v>
      </c>
    </row>
    <row r="3080" spans="1:25" ht="76.5">
      <c r="A3080" s="5" t="s">
        <v>9349</v>
      </c>
      <c r="B3080" s="5" t="s">
        <v>2195</v>
      </c>
      <c r="C3080" s="5" t="s">
        <v>2196</v>
      </c>
      <c r="D3080" s="5" t="s">
        <v>118</v>
      </c>
      <c r="E3080" s="5" t="s">
        <v>2783</v>
      </c>
      <c r="F3080" s="5" t="s">
        <v>2754</v>
      </c>
      <c r="G3080" s="5">
        <v>1</v>
      </c>
      <c r="H3080" s="5" t="s">
        <v>2854</v>
      </c>
      <c r="I3080" s="5" t="str">
        <f>IF(INDEX(Manual_Review!$M$6:$M$238,U3080)="","",INDEX(Manual_Review!$M$6:$M$238,U3080))</f>
        <v/>
      </c>
      <c r="J3080" s="5" t="str">
        <f t="shared" si="96"/>
        <v>AI provisional</v>
      </c>
      <c r="K3080" s="5" t="str">
        <f t="shared" si="97"/>
        <v>Y</v>
      </c>
      <c r="L3080" s="5" t="s">
        <v>2208</v>
      </c>
      <c r="M3080" s="5" t="s">
        <v>9350</v>
      </c>
      <c r="N3080" s="5" t="s">
        <v>9351</v>
      </c>
      <c r="O3080" s="5" t="s">
        <v>3000</v>
      </c>
      <c r="P3080" s="5" t="s">
        <v>2992</v>
      </c>
      <c r="Q3080" s="11">
        <v>46306.5</v>
      </c>
      <c r="R3080" s="6"/>
      <c r="S3080" s="6"/>
      <c r="T3080" s="6"/>
      <c r="U3080" s="5">
        <f>MATCH(B3080,Manual_Review!$A$6:$A$238,0)</f>
        <v>193</v>
      </c>
      <c r="V3080" s="5" t="str">
        <f>IF(INDEX(Manual_Review!$G$6:$G$238,U3080)="","",INDEX(Manual_Review!$G$6:$G$238,U3080))</f>
        <v/>
      </c>
      <c r="W3080" s="11" t="str">
        <f>IF(INDEX(Manual_Review!$H$6:$H$238,U3080)="","",INDEX(Manual_Review!$H$6:$H$238,U3080))</f>
        <v/>
      </c>
      <c r="X3080" s="5" t="str">
        <f>IF(INDEX(Manual_Review!$I$6:$I$238,U3080)="","",INDEX(Manual_Review!$I$6:$I$238,U3080))</f>
        <v/>
      </c>
      <c r="Y3080" s="5" t="s">
        <v>2859</v>
      </c>
    </row>
    <row r="3081" spans="1:25" ht="76.5">
      <c r="A3081" s="5" t="s">
        <v>9352</v>
      </c>
      <c r="B3081" s="5" t="s">
        <v>2195</v>
      </c>
      <c r="C3081" s="5" t="s">
        <v>2196</v>
      </c>
      <c r="D3081" s="5" t="s">
        <v>118</v>
      </c>
      <c r="E3081" s="5" t="s">
        <v>2784</v>
      </c>
      <c r="F3081" s="5" t="s">
        <v>2756</v>
      </c>
      <c r="G3081" s="5">
        <v>1</v>
      </c>
      <c r="H3081" s="5" t="s">
        <v>2854</v>
      </c>
      <c r="I3081" s="5" t="str">
        <f>IF(INDEX(Manual_Review!$N$6:$N$238,U3081)="","",INDEX(Manual_Review!$N$6:$N$238,U3081))</f>
        <v/>
      </c>
      <c r="J3081" s="5" t="str">
        <f t="shared" si="96"/>
        <v>AI provisional</v>
      </c>
      <c r="K3081" s="5" t="str">
        <f t="shared" si="97"/>
        <v>Y</v>
      </c>
      <c r="L3081" s="5" t="s">
        <v>2208</v>
      </c>
      <c r="M3081" s="5" t="s">
        <v>9353</v>
      </c>
      <c r="N3081" s="5" t="s">
        <v>9354</v>
      </c>
      <c r="O3081" s="5" t="s">
        <v>3004</v>
      </c>
      <c r="P3081" s="5" t="s">
        <v>2992</v>
      </c>
      <c r="Q3081" s="11">
        <v>46306.5</v>
      </c>
      <c r="R3081" s="6"/>
      <c r="S3081" s="6"/>
      <c r="T3081" s="6"/>
      <c r="U3081" s="5">
        <f>MATCH(B3081,Manual_Review!$A$6:$A$238,0)</f>
        <v>193</v>
      </c>
      <c r="V3081" s="5" t="str">
        <f>IF(INDEX(Manual_Review!$G$6:$G$238,U3081)="","",INDEX(Manual_Review!$G$6:$G$238,U3081))</f>
        <v/>
      </c>
      <c r="W3081" s="11" t="str">
        <f>IF(INDEX(Manual_Review!$H$6:$H$238,U3081)="","",INDEX(Manual_Review!$H$6:$H$238,U3081))</f>
        <v/>
      </c>
      <c r="X3081" s="5" t="str">
        <f>IF(INDEX(Manual_Review!$I$6:$I$238,U3081)="","",INDEX(Manual_Review!$I$6:$I$238,U3081))</f>
        <v/>
      </c>
      <c r="Y3081" s="5" t="s">
        <v>2859</v>
      </c>
    </row>
    <row r="3082" spans="1:25" ht="76.5">
      <c r="A3082" s="5" t="s">
        <v>9355</v>
      </c>
      <c r="B3082" s="5" t="s">
        <v>2195</v>
      </c>
      <c r="C3082" s="5" t="s">
        <v>2196</v>
      </c>
      <c r="D3082" s="5" t="s">
        <v>118</v>
      </c>
      <c r="E3082" s="5" t="s">
        <v>2785</v>
      </c>
      <c r="F3082" s="5" t="s">
        <v>2756</v>
      </c>
      <c r="G3082" s="5">
        <v>1</v>
      </c>
      <c r="H3082" s="5" t="s">
        <v>2854</v>
      </c>
      <c r="I3082" s="5" t="str">
        <f>IF(INDEX(Manual_Review!$O$6:$O$238,U3082)="","",INDEX(Manual_Review!$O$6:$O$238,U3082))</f>
        <v/>
      </c>
      <c r="J3082" s="5" t="str">
        <f t="shared" si="96"/>
        <v>AI provisional</v>
      </c>
      <c r="K3082" s="5" t="str">
        <f t="shared" si="97"/>
        <v>Y</v>
      </c>
      <c r="L3082" s="5" t="s">
        <v>2208</v>
      </c>
      <c r="M3082" s="5" t="s">
        <v>9353</v>
      </c>
      <c r="N3082" s="5" t="s">
        <v>9354</v>
      </c>
      <c r="O3082" s="5" t="s">
        <v>5541</v>
      </c>
      <c r="P3082" s="5" t="s">
        <v>2992</v>
      </c>
      <c r="Q3082" s="11">
        <v>46306.5</v>
      </c>
      <c r="R3082" s="6"/>
      <c r="S3082" s="6"/>
      <c r="T3082" s="6"/>
      <c r="U3082" s="5">
        <f>MATCH(B3082,Manual_Review!$A$6:$A$238,0)</f>
        <v>193</v>
      </c>
      <c r="V3082" s="5" t="str">
        <f>IF(INDEX(Manual_Review!$G$6:$G$238,U3082)="","",INDEX(Manual_Review!$G$6:$G$238,U3082))</f>
        <v/>
      </c>
      <c r="W3082" s="11" t="str">
        <f>IF(INDEX(Manual_Review!$H$6:$H$238,U3082)="","",INDEX(Manual_Review!$H$6:$H$238,U3082))</f>
        <v/>
      </c>
      <c r="X3082" s="5" t="str">
        <f>IF(INDEX(Manual_Review!$I$6:$I$238,U3082)="","",INDEX(Manual_Review!$I$6:$I$238,U3082))</f>
        <v/>
      </c>
      <c r="Y3082" s="5" t="s">
        <v>2859</v>
      </c>
    </row>
    <row r="3083" spans="1:25" ht="76.5">
      <c r="A3083" s="5" t="s">
        <v>9356</v>
      </c>
      <c r="B3083" s="5" t="s">
        <v>2195</v>
      </c>
      <c r="C3083" s="5" t="s">
        <v>2196</v>
      </c>
      <c r="D3083" s="5" t="s">
        <v>118</v>
      </c>
      <c r="E3083" s="5" t="s">
        <v>2786</v>
      </c>
      <c r="F3083" s="5" t="s">
        <v>2756</v>
      </c>
      <c r="G3083" s="5">
        <v>1</v>
      </c>
      <c r="H3083" s="5" t="s">
        <v>2864</v>
      </c>
      <c r="I3083" s="5" t="str">
        <f>IF(INDEX(Manual_Review!$P$6:$P$238,U3083)="","",INDEX(Manual_Review!$P$6:$P$238,U3083))</f>
        <v/>
      </c>
      <c r="J3083" s="5" t="str">
        <f t="shared" si="96"/>
        <v>AI provisional</v>
      </c>
      <c r="K3083" s="5" t="str">
        <f t="shared" si="97"/>
        <v>U</v>
      </c>
      <c r="L3083" s="5" t="s">
        <v>2208</v>
      </c>
      <c r="M3083" s="5" t="s">
        <v>9357</v>
      </c>
      <c r="N3083" s="5" t="s">
        <v>9358</v>
      </c>
      <c r="O3083" s="5" t="s">
        <v>3010</v>
      </c>
      <c r="P3083" s="5" t="s">
        <v>2992</v>
      </c>
      <c r="Q3083" s="11">
        <v>46306.5</v>
      </c>
      <c r="R3083" s="6"/>
      <c r="S3083" s="6"/>
      <c r="T3083" s="6"/>
      <c r="U3083" s="5">
        <f>MATCH(B3083,Manual_Review!$A$6:$A$238,0)</f>
        <v>193</v>
      </c>
      <c r="V3083" s="5" t="str">
        <f>IF(INDEX(Manual_Review!$G$6:$G$238,U3083)="","",INDEX(Manual_Review!$G$6:$G$238,U3083))</f>
        <v/>
      </c>
      <c r="W3083" s="11" t="str">
        <f>IF(INDEX(Manual_Review!$H$6:$H$238,U3083)="","",INDEX(Manual_Review!$H$6:$H$238,U3083))</f>
        <v/>
      </c>
      <c r="X3083" s="5" t="str">
        <f>IF(INDEX(Manual_Review!$I$6:$I$238,U3083)="","",INDEX(Manual_Review!$I$6:$I$238,U3083))</f>
        <v/>
      </c>
      <c r="Y3083" s="5" t="s">
        <v>2859</v>
      </c>
    </row>
    <row r="3084" spans="1:25" ht="76.5">
      <c r="A3084" s="5" t="s">
        <v>9359</v>
      </c>
      <c r="B3084" s="5" t="s">
        <v>2195</v>
      </c>
      <c r="C3084" s="5" t="s">
        <v>2196</v>
      </c>
      <c r="D3084" s="5" t="s">
        <v>118</v>
      </c>
      <c r="E3084" s="5" t="s">
        <v>2787</v>
      </c>
      <c r="F3084" s="5" t="s">
        <v>2758</v>
      </c>
      <c r="G3084" s="5">
        <v>1</v>
      </c>
      <c r="H3084" s="5" t="s">
        <v>2864</v>
      </c>
      <c r="I3084" s="5" t="str">
        <f>IF(INDEX(Manual_Review!$Q$6:$Q$238,U3084)="","",INDEX(Manual_Review!$Q$6:$Q$238,U3084))</f>
        <v/>
      </c>
      <c r="J3084" s="5" t="str">
        <f t="shared" si="96"/>
        <v>AI provisional</v>
      </c>
      <c r="K3084" s="5" t="str">
        <f t="shared" si="97"/>
        <v>U</v>
      </c>
      <c r="L3084" s="5" t="s">
        <v>2208</v>
      </c>
      <c r="M3084" s="5" t="s">
        <v>9360</v>
      </c>
      <c r="N3084" s="5" t="s">
        <v>9361</v>
      </c>
      <c r="O3084" s="5" t="s">
        <v>3014</v>
      </c>
      <c r="P3084" s="5" t="s">
        <v>2992</v>
      </c>
      <c r="Q3084" s="11">
        <v>46306.5</v>
      </c>
      <c r="R3084" s="6"/>
      <c r="S3084" s="6"/>
      <c r="T3084" s="6"/>
      <c r="U3084" s="5">
        <f>MATCH(B3084,Manual_Review!$A$6:$A$238,0)</f>
        <v>193</v>
      </c>
      <c r="V3084" s="5" t="str">
        <f>IF(INDEX(Manual_Review!$G$6:$G$238,U3084)="","",INDEX(Manual_Review!$G$6:$G$238,U3084))</f>
        <v/>
      </c>
      <c r="W3084" s="11" t="str">
        <f>IF(INDEX(Manual_Review!$H$6:$H$238,U3084)="","",INDEX(Manual_Review!$H$6:$H$238,U3084))</f>
        <v/>
      </c>
      <c r="X3084" s="5" t="str">
        <f>IF(INDEX(Manual_Review!$I$6:$I$238,U3084)="","",INDEX(Manual_Review!$I$6:$I$238,U3084))</f>
        <v/>
      </c>
      <c r="Y3084" s="5" t="s">
        <v>2859</v>
      </c>
    </row>
    <row r="3085" spans="1:25" ht="76.5">
      <c r="A3085" s="5" t="s">
        <v>9362</v>
      </c>
      <c r="B3085" s="5" t="s">
        <v>2195</v>
      </c>
      <c r="C3085" s="5" t="s">
        <v>2196</v>
      </c>
      <c r="D3085" s="5" t="s">
        <v>118</v>
      </c>
      <c r="E3085" s="5" t="s">
        <v>2788</v>
      </c>
      <c r="F3085" s="5" t="s">
        <v>2758</v>
      </c>
      <c r="G3085" s="5">
        <v>1</v>
      </c>
      <c r="H3085" s="5" t="s">
        <v>2854</v>
      </c>
      <c r="I3085" s="5" t="str">
        <f>IF(INDEX(Manual_Review!$R$6:$R$238,U3085)="","",INDEX(Manual_Review!$R$6:$R$238,U3085))</f>
        <v/>
      </c>
      <c r="J3085" s="5" t="str">
        <f t="shared" si="96"/>
        <v>AI provisional</v>
      </c>
      <c r="K3085" s="5" t="str">
        <f t="shared" si="97"/>
        <v>Y</v>
      </c>
      <c r="L3085" s="5" t="s">
        <v>2208</v>
      </c>
      <c r="M3085" s="5" t="s">
        <v>9363</v>
      </c>
      <c r="N3085" s="5" t="s">
        <v>9364</v>
      </c>
      <c r="O3085" s="5" t="s">
        <v>3018</v>
      </c>
      <c r="P3085" s="5" t="s">
        <v>2992</v>
      </c>
      <c r="Q3085" s="11">
        <v>46306.5</v>
      </c>
      <c r="R3085" s="6"/>
      <c r="S3085" s="6"/>
      <c r="T3085" s="6"/>
      <c r="U3085" s="5">
        <f>MATCH(B3085,Manual_Review!$A$6:$A$238,0)</f>
        <v>193</v>
      </c>
      <c r="V3085" s="5" t="str">
        <f>IF(INDEX(Manual_Review!$G$6:$G$238,U3085)="","",INDEX(Manual_Review!$G$6:$G$238,U3085))</f>
        <v/>
      </c>
      <c r="W3085" s="11" t="str">
        <f>IF(INDEX(Manual_Review!$H$6:$H$238,U3085)="","",INDEX(Manual_Review!$H$6:$H$238,U3085))</f>
        <v/>
      </c>
      <c r="X3085" s="5" t="str">
        <f>IF(INDEX(Manual_Review!$I$6:$I$238,U3085)="","",INDEX(Manual_Review!$I$6:$I$238,U3085))</f>
        <v/>
      </c>
      <c r="Y3085" s="5" t="s">
        <v>2859</v>
      </c>
    </row>
    <row r="3086" spans="1:25" ht="76.5">
      <c r="A3086" s="5" t="s">
        <v>9365</v>
      </c>
      <c r="B3086" s="5" t="s">
        <v>2195</v>
      </c>
      <c r="C3086" s="5" t="s">
        <v>2196</v>
      </c>
      <c r="D3086" s="5" t="s">
        <v>118</v>
      </c>
      <c r="E3086" s="5" t="s">
        <v>2789</v>
      </c>
      <c r="F3086" s="5" t="s">
        <v>2758</v>
      </c>
      <c r="G3086" s="5">
        <v>1</v>
      </c>
      <c r="H3086" s="5" t="s">
        <v>2854</v>
      </c>
      <c r="I3086" s="5" t="str">
        <f>IF(INDEX(Manual_Review!$S$6:$S$238,U3086)="","",INDEX(Manual_Review!$S$6:$S$238,U3086))</f>
        <v/>
      </c>
      <c r="J3086" s="5" t="str">
        <f t="shared" si="96"/>
        <v>AI provisional</v>
      </c>
      <c r="K3086" s="5" t="str">
        <f t="shared" si="97"/>
        <v>Y</v>
      </c>
      <c r="L3086" s="5" t="s">
        <v>2208</v>
      </c>
      <c r="M3086" s="5" t="s">
        <v>9366</v>
      </c>
      <c r="N3086" s="5" t="s">
        <v>9367</v>
      </c>
      <c r="O3086" s="5" t="s">
        <v>3022</v>
      </c>
      <c r="P3086" s="5" t="s">
        <v>2992</v>
      </c>
      <c r="Q3086" s="11">
        <v>46306.5</v>
      </c>
      <c r="R3086" s="6"/>
      <c r="S3086" s="6"/>
      <c r="T3086" s="6"/>
      <c r="U3086" s="5">
        <f>MATCH(B3086,Manual_Review!$A$6:$A$238,0)</f>
        <v>193</v>
      </c>
      <c r="V3086" s="5" t="str">
        <f>IF(INDEX(Manual_Review!$G$6:$G$238,U3086)="","",INDEX(Manual_Review!$G$6:$G$238,U3086))</f>
        <v/>
      </c>
      <c r="W3086" s="11" t="str">
        <f>IF(INDEX(Manual_Review!$H$6:$H$238,U3086)="","",INDEX(Manual_Review!$H$6:$H$238,U3086))</f>
        <v/>
      </c>
      <c r="X3086" s="5" t="str">
        <f>IF(INDEX(Manual_Review!$I$6:$I$238,U3086)="","",INDEX(Manual_Review!$I$6:$I$238,U3086))</f>
        <v/>
      </c>
      <c r="Y3086" s="5" t="s">
        <v>2859</v>
      </c>
    </row>
    <row r="3087" spans="1:25" ht="76.5">
      <c r="A3087" s="5" t="s">
        <v>9368</v>
      </c>
      <c r="B3087" s="5" t="s">
        <v>2195</v>
      </c>
      <c r="C3087" s="5" t="s">
        <v>2196</v>
      </c>
      <c r="D3087" s="5" t="s">
        <v>118</v>
      </c>
      <c r="E3087" s="5" t="s">
        <v>2790</v>
      </c>
      <c r="F3087" s="5" t="s">
        <v>2760</v>
      </c>
      <c r="G3087" s="5">
        <v>1</v>
      </c>
      <c r="H3087" s="5" t="s">
        <v>2854</v>
      </c>
      <c r="I3087" s="5" t="str">
        <f>IF(INDEX(Manual_Review!$T$6:$T$238,U3087)="","",INDEX(Manual_Review!$T$6:$T$238,U3087))</f>
        <v/>
      </c>
      <c r="J3087" s="5" t="str">
        <f t="shared" si="96"/>
        <v>AI provisional</v>
      </c>
      <c r="K3087" s="5" t="str">
        <f t="shared" si="97"/>
        <v>Y</v>
      </c>
      <c r="L3087" s="5" t="s">
        <v>2208</v>
      </c>
      <c r="M3087" s="5" t="s">
        <v>9369</v>
      </c>
      <c r="N3087" s="5" t="s">
        <v>9370</v>
      </c>
      <c r="O3087" s="5" t="s">
        <v>3451</v>
      </c>
      <c r="P3087" s="5" t="s">
        <v>2992</v>
      </c>
      <c r="Q3087" s="11">
        <v>46306.5</v>
      </c>
      <c r="R3087" s="6"/>
      <c r="S3087" s="6"/>
      <c r="T3087" s="6"/>
      <c r="U3087" s="5">
        <f>MATCH(B3087,Manual_Review!$A$6:$A$238,0)</f>
        <v>193</v>
      </c>
      <c r="V3087" s="5" t="str">
        <f>IF(INDEX(Manual_Review!$G$6:$G$238,U3087)="","",INDEX(Manual_Review!$G$6:$G$238,U3087))</f>
        <v/>
      </c>
      <c r="W3087" s="11" t="str">
        <f>IF(INDEX(Manual_Review!$H$6:$H$238,U3087)="","",INDEX(Manual_Review!$H$6:$H$238,U3087))</f>
        <v/>
      </c>
      <c r="X3087" s="5" t="str">
        <f>IF(INDEX(Manual_Review!$I$6:$I$238,U3087)="","",INDEX(Manual_Review!$I$6:$I$238,U3087))</f>
        <v/>
      </c>
      <c r="Y3087" s="5" t="s">
        <v>2859</v>
      </c>
    </row>
    <row r="3088" spans="1:25" ht="76.5">
      <c r="A3088" s="5" t="s">
        <v>9371</v>
      </c>
      <c r="B3088" s="5" t="s">
        <v>2195</v>
      </c>
      <c r="C3088" s="5" t="s">
        <v>2196</v>
      </c>
      <c r="D3088" s="5" t="s">
        <v>118</v>
      </c>
      <c r="E3088" s="5" t="s">
        <v>2791</v>
      </c>
      <c r="F3088" s="5" t="s">
        <v>2760</v>
      </c>
      <c r="G3088" s="5">
        <v>1</v>
      </c>
      <c r="H3088" s="5" t="s">
        <v>2854</v>
      </c>
      <c r="I3088" s="5" t="str">
        <f>IF(INDEX(Manual_Review!$U$6:$U$238,U3088)="","",INDEX(Manual_Review!$U$6:$U$238,U3088))</f>
        <v/>
      </c>
      <c r="J3088" s="5" t="str">
        <f t="shared" si="96"/>
        <v>AI provisional</v>
      </c>
      <c r="K3088" s="5" t="str">
        <f t="shared" si="97"/>
        <v>Y</v>
      </c>
      <c r="L3088" s="5" t="s">
        <v>2208</v>
      </c>
      <c r="M3088" s="5" t="s">
        <v>9372</v>
      </c>
      <c r="N3088" s="5" t="s">
        <v>9373</v>
      </c>
      <c r="O3088" s="5" t="s">
        <v>3832</v>
      </c>
      <c r="P3088" s="5" t="s">
        <v>2992</v>
      </c>
      <c r="Q3088" s="11">
        <v>46306.5</v>
      </c>
      <c r="R3088" s="6"/>
      <c r="S3088" s="6"/>
      <c r="T3088" s="6"/>
      <c r="U3088" s="5">
        <f>MATCH(B3088,Manual_Review!$A$6:$A$238,0)</f>
        <v>193</v>
      </c>
      <c r="V3088" s="5" t="str">
        <f>IF(INDEX(Manual_Review!$G$6:$G$238,U3088)="","",INDEX(Manual_Review!$G$6:$G$238,U3088))</f>
        <v/>
      </c>
      <c r="W3088" s="11" t="str">
        <f>IF(INDEX(Manual_Review!$H$6:$H$238,U3088)="","",INDEX(Manual_Review!$H$6:$H$238,U3088))</f>
        <v/>
      </c>
      <c r="X3088" s="5" t="str">
        <f>IF(INDEX(Manual_Review!$I$6:$I$238,U3088)="","",INDEX(Manual_Review!$I$6:$I$238,U3088))</f>
        <v/>
      </c>
      <c r="Y3088" s="5" t="s">
        <v>2859</v>
      </c>
    </row>
    <row r="3089" spans="1:25" ht="76.5">
      <c r="A3089" s="5" t="s">
        <v>9374</v>
      </c>
      <c r="B3089" s="5" t="s">
        <v>2195</v>
      </c>
      <c r="C3089" s="5" t="s">
        <v>2196</v>
      </c>
      <c r="D3089" s="5" t="s">
        <v>118</v>
      </c>
      <c r="E3089" s="5" t="s">
        <v>2792</v>
      </c>
      <c r="F3089" s="5" t="s">
        <v>2762</v>
      </c>
      <c r="G3089" s="5">
        <v>1</v>
      </c>
      <c r="H3089" s="5" t="s">
        <v>2854</v>
      </c>
      <c r="I3089" s="5" t="str">
        <f>IF(INDEX(Manual_Review!$V$6:$V$238,U3089)="","",INDEX(Manual_Review!$V$6:$V$238,U3089))</f>
        <v/>
      </c>
      <c r="J3089" s="5" t="str">
        <f t="shared" si="96"/>
        <v>AI provisional</v>
      </c>
      <c r="K3089" s="5" t="str">
        <f t="shared" si="97"/>
        <v>Y</v>
      </c>
      <c r="L3089" s="5" t="s">
        <v>2208</v>
      </c>
      <c r="M3089" s="5" t="s">
        <v>9375</v>
      </c>
      <c r="N3089" s="5" t="s">
        <v>9376</v>
      </c>
      <c r="O3089" s="5" t="s">
        <v>3034</v>
      </c>
      <c r="P3089" s="5" t="s">
        <v>2992</v>
      </c>
      <c r="Q3089" s="11">
        <v>46306.5</v>
      </c>
      <c r="R3089" s="6"/>
      <c r="S3089" s="6"/>
      <c r="T3089" s="6"/>
      <c r="U3089" s="5">
        <f>MATCH(B3089,Manual_Review!$A$6:$A$238,0)</f>
        <v>193</v>
      </c>
      <c r="V3089" s="5" t="str">
        <f>IF(INDEX(Manual_Review!$G$6:$G$238,U3089)="","",INDEX(Manual_Review!$G$6:$G$238,U3089))</f>
        <v/>
      </c>
      <c r="W3089" s="11" t="str">
        <f>IF(INDEX(Manual_Review!$H$6:$H$238,U3089)="","",INDEX(Manual_Review!$H$6:$H$238,U3089))</f>
        <v/>
      </c>
      <c r="X3089" s="5" t="str">
        <f>IF(INDEX(Manual_Review!$I$6:$I$238,U3089)="","",INDEX(Manual_Review!$I$6:$I$238,U3089))</f>
        <v/>
      </c>
      <c r="Y3089" s="5" t="s">
        <v>2859</v>
      </c>
    </row>
    <row r="3090" spans="1:25" ht="76.5">
      <c r="A3090" s="5" t="s">
        <v>9377</v>
      </c>
      <c r="B3090" s="5" t="s">
        <v>2195</v>
      </c>
      <c r="C3090" s="5" t="s">
        <v>2196</v>
      </c>
      <c r="D3090" s="5" t="s">
        <v>118</v>
      </c>
      <c r="E3090" s="5" t="s">
        <v>2793</v>
      </c>
      <c r="F3090" s="5" t="s">
        <v>2762</v>
      </c>
      <c r="G3090" s="5">
        <v>1</v>
      </c>
      <c r="H3090" s="5" t="s">
        <v>2854</v>
      </c>
      <c r="I3090" s="5" t="str">
        <f>IF(INDEX(Manual_Review!$W$6:$W$238,U3090)="","",INDEX(Manual_Review!$W$6:$W$238,U3090))</f>
        <v/>
      </c>
      <c r="J3090" s="5" t="str">
        <f t="shared" si="96"/>
        <v>AI provisional</v>
      </c>
      <c r="K3090" s="5" t="str">
        <f t="shared" si="97"/>
        <v>Y</v>
      </c>
      <c r="L3090" s="5" t="s">
        <v>2208</v>
      </c>
      <c r="M3090" s="5" t="s">
        <v>9378</v>
      </c>
      <c r="N3090" s="5" t="s">
        <v>9379</v>
      </c>
      <c r="O3090" s="5" t="s">
        <v>3038</v>
      </c>
      <c r="P3090" s="5" t="s">
        <v>2992</v>
      </c>
      <c r="Q3090" s="11">
        <v>46306.5</v>
      </c>
      <c r="R3090" s="6"/>
      <c r="S3090" s="6"/>
      <c r="T3090" s="6"/>
      <c r="U3090" s="5">
        <f>MATCH(B3090,Manual_Review!$A$6:$A$238,0)</f>
        <v>193</v>
      </c>
      <c r="V3090" s="5" t="str">
        <f>IF(INDEX(Manual_Review!$G$6:$G$238,U3090)="","",INDEX(Manual_Review!$G$6:$G$238,U3090))</f>
        <v/>
      </c>
      <c r="W3090" s="11" t="str">
        <f>IF(INDEX(Manual_Review!$H$6:$H$238,U3090)="","",INDEX(Manual_Review!$H$6:$H$238,U3090))</f>
        <v/>
      </c>
      <c r="X3090" s="5" t="str">
        <f>IF(INDEX(Manual_Review!$I$6:$I$238,U3090)="","",INDEX(Manual_Review!$I$6:$I$238,U3090))</f>
        <v/>
      </c>
      <c r="Y3090" s="5" t="s">
        <v>2859</v>
      </c>
    </row>
    <row r="3091" spans="1:25" ht="76.5">
      <c r="A3091" s="5" t="s">
        <v>9380</v>
      </c>
      <c r="B3091" s="5" t="s">
        <v>2195</v>
      </c>
      <c r="C3091" s="5" t="s">
        <v>2196</v>
      </c>
      <c r="D3091" s="5" t="s">
        <v>118</v>
      </c>
      <c r="E3091" s="5" t="s">
        <v>2794</v>
      </c>
      <c r="F3091" s="5" t="s">
        <v>2764</v>
      </c>
      <c r="G3091" s="5">
        <v>1</v>
      </c>
      <c r="H3091" s="5" t="s">
        <v>2854</v>
      </c>
      <c r="I3091" s="5" t="str">
        <f>IF(INDEX(Manual_Review!$X$6:$X$238,U3091)="","",INDEX(Manual_Review!$X$6:$X$238,U3091))</f>
        <v/>
      </c>
      <c r="J3091" s="5" t="str">
        <f t="shared" si="96"/>
        <v>AI provisional</v>
      </c>
      <c r="K3091" s="5" t="str">
        <f t="shared" si="97"/>
        <v>Y</v>
      </c>
      <c r="L3091" s="5" t="s">
        <v>2208</v>
      </c>
      <c r="M3091" s="5" t="s">
        <v>9381</v>
      </c>
      <c r="N3091" s="5" t="s">
        <v>9382</v>
      </c>
      <c r="O3091" s="5" t="s">
        <v>3042</v>
      </c>
      <c r="P3091" s="5" t="s">
        <v>2992</v>
      </c>
      <c r="Q3091" s="11">
        <v>46306.5</v>
      </c>
      <c r="R3091" s="6"/>
      <c r="S3091" s="6"/>
      <c r="T3091" s="6"/>
      <c r="U3091" s="5">
        <f>MATCH(B3091,Manual_Review!$A$6:$A$238,0)</f>
        <v>193</v>
      </c>
      <c r="V3091" s="5" t="str">
        <f>IF(INDEX(Manual_Review!$G$6:$G$238,U3091)="","",INDEX(Manual_Review!$G$6:$G$238,U3091))</f>
        <v/>
      </c>
      <c r="W3091" s="11" t="str">
        <f>IF(INDEX(Manual_Review!$H$6:$H$238,U3091)="","",INDEX(Manual_Review!$H$6:$H$238,U3091))</f>
        <v/>
      </c>
      <c r="X3091" s="5" t="str">
        <f>IF(INDEX(Manual_Review!$I$6:$I$238,U3091)="","",INDEX(Manual_Review!$I$6:$I$238,U3091))</f>
        <v/>
      </c>
      <c r="Y3091" s="5" t="s">
        <v>2859</v>
      </c>
    </row>
    <row r="3092" spans="1:25" ht="76.5">
      <c r="A3092" s="5" t="s">
        <v>9383</v>
      </c>
      <c r="B3092" s="5" t="s">
        <v>2195</v>
      </c>
      <c r="C3092" s="5" t="s">
        <v>2196</v>
      </c>
      <c r="D3092" s="5" t="s">
        <v>118</v>
      </c>
      <c r="E3092" s="5" t="s">
        <v>2795</v>
      </c>
      <c r="F3092" s="5" t="s">
        <v>2764</v>
      </c>
      <c r="G3092" s="5">
        <v>1</v>
      </c>
      <c r="H3092" s="5" t="s">
        <v>2854</v>
      </c>
      <c r="I3092" s="5" t="str">
        <f>IF(INDEX(Manual_Review!$Y$6:$Y$238,U3092)="","",INDEX(Manual_Review!$Y$6:$Y$238,U3092))</f>
        <v/>
      </c>
      <c r="J3092" s="5" t="str">
        <f t="shared" si="96"/>
        <v>AI provisional</v>
      </c>
      <c r="K3092" s="5" t="str">
        <f t="shared" si="97"/>
        <v>Y</v>
      </c>
      <c r="L3092" s="5" t="s">
        <v>2208</v>
      </c>
      <c r="M3092" s="5" t="s">
        <v>9384</v>
      </c>
      <c r="N3092" s="5" t="s">
        <v>9385</v>
      </c>
      <c r="O3092" s="5" t="s">
        <v>3046</v>
      </c>
      <c r="P3092" s="5" t="s">
        <v>2992</v>
      </c>
      <c r="Q3092" s="11">
        <v>46306.5</v>
      </c>
      <c r="R3092" s="6"/>
      <c r="S3092" s="6"/>
      <c r="T3092" s="6"/>
      <c r="U3092" s="5">
        <f>MATCH(B3092,Manual_Review!$A$6:$A$238,0)</f>
        <v>193</v>
      </c>
      <c r="V3092" s="5" t="str">
        <f>IF(INDEX(Manual_Review!$G$6:$G$238,U3092)="","",INDEX(Manual_Review!$G$6:$G$238,U3092))</f>
        <v/>
      </c>
      <c r="W3092" s="11" t="str">
        <f>IF(INDEX(Manual_Review!$H$6:$H$238,U3092)="","",INDEX(Manual_Review!$H$6:$H$238,U3092))</f>
        <v/>
      </c>
      <c r="X3092" s="5" t="str">
        <f>IF(INDEX(Manual_Review!$I$6:$I$238,U3092)="","",INDEX(Manual_Review!$I$6:$I$238,U3092))</f>
        <v/>
      </c>
      <c r="Y3092" s="5" t="s">
        <v>2859</v>
      </c>
    </row>
    <row r="3093" spans="1:25" ht="76.5">
      <c r="A3093" s="5" t="s">
        <v>9386</v>
      </c>
      <c r="B3093" s="5" t="s">
        <v>2195</v>
      </c>
      <c r="C3093" s="5" t="s">
        <v>2196</v>
      </c>
      <c r="D3093" s="5" t="s">
        <v>118</v>
      </c>
      <c r="E3093" s="5" t="s">
        <v>2796</v>
      </c>
      <c r="F3093" s="5" t="s">
        <v>2764</v>
      </c>
      <c r="G3093" s="5">
        <v>1</v>
      </c>
      <c r="H3093" s="5" t="s">
        <v>2864</v>
      </c>
      <c r="I3093" s="5" t="str">
        <f>IF(INDEX(Manual_Review!$Z$6:$Z$238,U3093)="","",INDEX(Manual_Review!$Z$6:$Z$238,U3093))</f>
        <v/>
      </c>
      <c r="J3093" s="5" t="str">
        <f t="shared" si="96"/>
        <v>AI provisional</v>
      </c>
      <c r="K3093" s="5" t="str">
        <f t="shared" si="97"/>
        <v>U</v>
      </c>
      <c r="L3093" s="5" t="s">
        <v>2208</v>
      </c>
      <c r="M3093" s="5" t="s">
        <v>9387</v>
      </c>
      <c r="N3093" s="5" t="s">
        <v>9388</v>
      </c>
      <c r="O3093" s="5" t="s">
        <v>3050</v>
      </c>
      <c r="P3093" s="5" t="s">
        <v>2992</v>
      </c>
      <c r="Q3093" s="11">
        <v>46306.5</v>
      </c>
      <c r="R3093" s="6"/>
      <c r="S3093" s="6"/>
      <c r="T3093" s="6"/>
      <c r="U3093" s="5">
        <f>MATCH(B3093,Manual_Review!$A$6:$A$238,0)</f>
        <v>193</v>
      </c>
      <c r="V3093" s="5" t="str">
        <f>IF(INDEX(Manual_Review!$G$6:$G$238,U3093)="","",INDEX(Manual_Review!$G$6:$G$238,U3093))</f>
        <v/>
      </c>
      <c r="W3093" s="11" t="str">
        <f>IF(INDEX(Manual_Review!$H$6:$H$238,U3093)="","",INDEX(Manual_Review!$H$6:$H$238,U3093))</f>
        <v/>
      </c>
      <c r="X3093" s="5" t="str">
        <f>IF(INDEX(Manual_Review!$I$6:$I$238,U3093)="","",INDEX(Manual_Review!$I$6:$I$238,U3093))</f>
        <v/>
      </c>
      <c r="Y3093" s="5" t="s">
        <v>2859</v>
      </c>
    </row>
    <row r="3094" spans="1:25" ht="38.25">
      <c r="A3094" s="5" t="s">
        <v>9389</v>
      </c>
      <c r="B3094" s="5" t="s">
        <v>2210</v>
      </c>
      <c r="C3094" s="5" t="s">
        <v>2211</v>
      </c>
      <c r="D3094" s="5" t="s">
        <v>118</v>
      </c>
      <c r="E3094" s="5" t="s">
        <v>2781</v>
      </c>
      <c r="F3094" s="5" t="s">
        <v>2754</v>
      </c>
      <c r="G3094" s="5">
        <v>1</v>
      </c>
      <c r="H3094" s="5" t="s">
        <v>2854</v>
      </c>
      <c r="I3094" s="5" t="str">
        <f>IF(INDEX(Manual_Review!$K$6:$K$238,U3094)="","",INDEX(Manual_Review!$K$6:$K$238,U3094))</f>
        <v/>
      </c>
      <c r="J3094" s="5" t="str">
        <f t="shared" si="96"/>
        <v>AI provisional</v>
      </c>
      <c r="K3094" s="5" t="str">
        <f t="shared" si="97"/>
        <v>Y</v>
      </c>
      <c r="L3094" s="5" t="s">
        <v>2221</v>
      </c>
      <c r="M3094" s="5" t="s">
        <v>9390</v>
      </c>
      <c r="N3094" s="5" t="s">
        <v>9391</v>
      </c>
      <c r="O3094" s="5" t="s">
        <v>2991</v>
      </c>
      <c r="P3094" s="5" t="s">
        <v>2992</v>
      </c>
      <c r="Q3094" s="11">
        <v>46306.5</v>
      </c>
      <c r="R3094" s="6"/>
      <c r="S3094" s="6"/>
      <c r="T3094" s="6"/>
      <c r="U3094" s="5">
        <f>MATCH(B3094,Manual_Review!$A$6:$A$238,0)</f>
        <v>194</v>
      </c>
      <c r="V3094" s="5" t="str">
        <f>IF(INDEX(Manual_Review!$G$6:$G$238,U3094)="","",INDEX(Manual_Review!$G$6:$G$238,U3094))</f>
        <v/>
      </c>
      <c r="W3094" s="11" t="str">
        <f>IF(INDEX(Manual_Review!$H$6:$H$238,U3094)="","",INDEX(Manual_Review!$H$6:$H$238,U3094))</f>
        <v/>
      </c>
      <c r="X3094" s="5" t="str">
        <f>IF(INDEX(Manual_Review!$I$6:$I$238,U3094)="","",INDEX(Manual_Review!$I$6:$I$238,U3094))</f>
        <v/>
      </c>
      <c r="Y3094" s="5" t="s">
        <v>2859</v>
      </c>
    </row>
    <row r="3095" spans="1:25" ht="38.25">
      <c r="A3095" s="5" t="s">
        <v>9392</v>
      </c>
      <c r="B3095" s="5" t="s">
        <v>2210</v>
      </c>
      <c r="C3095" s="5" t="s">
        <v>2211</v>
      </c>
      <c r="D3095" s="5" t="s">
        <v>118</v>
      </c>
      <c r="E3095" s="5" t="s">
        <v>2782</v>
      </c>
      <c r="F3095" s="5" t="s">
        <v>2754</v>
      </c>
      <c r="G3095" s="5">
        <v>1</v>
      </c>
      <c r="H3095" s="5" t="s">
        <v>2854</v>
      </c>
      <c r="I3095" s="5" t="str">
        <f>IF(INDEX(Manual_Review!$L$6:$L$238,U3095)="","",INDEX(Manual_Review!$L$6:$L$238,U3095))</f>
        <v/>
      </c>
      <c r="J3095" s="5" t="str">
        <f t="shared" si="96"/>
        <v>AI provisional</v>
      </c>
      <c r="K3095" s="5" t="str">
        <f t="shared" si="97"/>
        <v>Y</v>
      </c>
      <c r="L3095" s="5" t="s">
        <v>2221</v>
      </c>
      <c r="M3095" s="5" t="s">
        <v>9393</v>
      </c>
      <c r="N3095" s="5" t="s">
        <v>9394</v>
      </c>
      <c r="O3095" s="5" t="s">
        <v>2996</v>
      </c>
      <c r="P3095" s="5" t="s">
        <v>2992</v>
      </c>
      <c r="Q3095" s="11">
        <v>46306.5</v>
      </c>
      <c r="R3095" s="6"/>
      <c r="S3095" s="6"/>
      <c r="T3095" s="6"/>
      <c r="U3095" s="5">
        <f>MATCH(B3095,Manual_Review!$A$6:$A$238,0)</f>
        <v>194</v>
      </c>
      <c r="V3095" s="5" t="str">
        <f>IF(INDEX(Manual_Review!$G$6:$G$238,U3095)="","",INDEX(Manual_Review!$G$6:$G$238,U3095))</f>
        <v/>
      </c>
      <c r="W3095" s="11" t="str">
        <f>IF(INDEX(Manual_Review!$H$6:$H$238,U3095)="","",INDEX(Manual_Review!$H$6:$H$238,U3095))</f>
        <v/>
      </c>
      <c r="X3095" s="5" t="str">
        <f>IF(INDEX(Manual_Review!$I$6:$I$238,U3095)="","",INDEX(Manual_Review!$I$6:$I$238,U3095))</f>
        <v/>
      </c>
      <c r="Y3095" s="5" t="s">
        <v>2859</v>
      </c>
    </row>
    <row r="3096" spans="1:25" ht="38.25">
      <c r="A3096" s="5" t="s">
        <v>9395</v>
      </c>
      <c r="B3096" s="5" t="s">
        <v>2210</v>
      </c>
      <c r="C3096" s="5" t="s">
        <v>2211</v>
      </c>
      <c r="D3096" s="5" t="s">
        <v>118</v>
      </c>
      <c r="E3096" s="5" t="s">
        <v>2783</v>
      </c>
      <c r="F3096" s="5" t="s">
        <v>2754</v>
      </c>
      <c r="G3096" s="5">
        <v>1</v>
      </c>
      <c r="H3096" s="5" t="s">
        <v>2854</v>
      </c>
      <c r="I3096" s="5" t="str">
        <f>IF(INDEX(Manual_Review!$M$6:$M$238,U3096)="","",INDEX(Manual_Review!$M$6:$M$238,U3096))</f>
        <v/>
      </c>
      <c r="J3096" s="5" t="str">
        <f t="shared" si="96"/>
        <v>AI provisional</v>
      </c>
      <c r="K3096" s="5" t="str">
        <f t="shared" si="97"/>
        <v>Y</v>
      </c>
      <c r="L3096" s="5" t="s">
        <v>2221</v>
      </c>
      <c r="M3096" s="5" t="s">
        <v>9396</v>
      </c>
      <c r="N3096" s="5" t="s">
        <v>9397</v>
      </c>
      <c r="O3096" s="5" t="s">
        <v>3000</v>
      </c>
      <c r="P3096" s="5" t="s">
        <v>2992</v>
      </c>
      <c r="Q3096" s="11">
        <v>46306.5</v>
      </c>
      <c r="R3096" s="6"/>
      <c r="S3096" s="6"/>
      <c r="T3096" s="6"/>
      <c r="U3096" s="5">
        <f>MATCH(B3096,Manual_Review!$A$6:$A$238,0)</f>
        <v>194</v>
      </c>
      <c r="V3096" s="5" t="str">
        <f>IF(INDEX(Manual_Review!$G$6:$G$238,U3096)="","",INDEX(Manual_Review!$G$6:$G$238,U3096))</f>
        <v/>
      </c>
      <c r="W3096" s="11" t="str">
        <f>IF(INDEX(Manual_Review!$H$6:$H$238,U3096)="","",INDEX(Manual_Review!$H$6:$H$238,U3096))</f>
        <v/>
      </c>
      <c r="X3096" s="5" t="str">
        <f>IF(INDEX(Manual_Review!$I$6:$I$238,U3096)="","",INDEX(Manual_Review!$I$6:$I$238,U3096))</f>
        <v/>
      </c>
      <c r="Y3096" s="5" t="s">
        <v>2859</v>
      </c>
    </row>
    <row r="3097" spans="1:25" ht="38.25">
      <c r="A3097" s="5" t="s">
        <v>9398</v>
      </c>
      <c r="B3097" s="5" t="s">
        <v>2210</v>
      </c>
      <c r="C3097" s="5" t="s">
        <v>2211</v>
      </c>
      <c r="D3097" s="5" t="s">
        <v>118</v>
      </c>
      <c r="E3097" s="5" t="s">
        <v>2784</v>
      </c>
      <c r="F3097" s="5" t="s">
        <v>2756</v>
      </c>
      <c r="G3097" s="5">
        <v>1</v>
      </c>
      <c r="H3097" s="5" t="s">
        <v>2854</v>
      </c>
      <c r="I3097" s="5" t="str">
        <f>IF(INDEX(Manual_Review!$N$6:$N$238,U3097)="","",INDEX(Manual_Review!$N$6:$N$238,U3097))</f>
        <v/>
      </c>
      <c r="J3097" s="5" t="str">
        <f t="shared" si="96"/>
        <v>AI provisional</v>
      </c>
      <c r="K3097" s="5" t="str">
        <f t="shared" si="97"/>
        <v>Y</v>
      </c>
      <c r="L3097" s="5" t="s">
        <v>2221</v>
      </c>
      <c r="M3097" s="5" t="s">
        <v>9399</v>
      </c>
      <c r="N3097" s="5" t="s">
        <v>9400</v>
      </c>
      <c r="O3097" s="5" t="s">
        <v>3004</v>
      </c>
      <c r="P3097" s="5" t="s">
        <v>2992</v>
      </c>
      <c r="Q3097" s="11">
        <v>46306.5</v>
      </c>
      <c r="R3097" s="6"/>
      <c r="S3097" s="6"/>
      <c r="T3097" s="6"/>
      <c r="U3097" s="5">
        <f>MATCH(B3097,Manual_Review!$A$6:$A$238,0)</f>
        <v>194</v>
      </c>
      <c r="V3097" s="5" t="str">
        <f>IF(INDEX(Manual_Review!$G$6:$G$238,U3097)="","",INDEX(Manual_Review!$G$6:$G$238,U3097))</f>
        <v/>
      </c>
      <c r="W3097" s="11" t="str">
        <f>IF(INDEX(Manual_Review!$H$6:$H$238,U3097)="","",INDEX(Manual_Review!$H$6:$H$238,U3097))</f>
        <v/>
      </c>
      <c r="X3097" s="5" t="str">
        <f>IF(INDEX(Manual_Review!$I$6:$I$238,U3097)="","",INDEX(Manual_Review!$I$6:$I$238,U3097))</f>
        <v/>
      </c>
      <c r="Y3097" s="5" t="s">
        <v>2859</v>
      </c>
    </row>
    <row r="3098" spans="1:25" ht="38.25">
      <c r="A3098" s="5" t="s">
        <v>9401</v>
      </c>
      <c r="B3098" s="5" t="s">
        <v>2210</v>
      </c>
      <c r="C3098" s="5" t="s">
        <v>2211</v>
      </c>
      <c r="D3098" s="5" t="s">
        <v>118</v>
      </c>
      <c r="E3098" s="5" t="s">
        <v>2785</v>
      </c>
      <c r="F3098" s="5" t="s">
        <v>2756</v>
      </c>
      <c r="G3098" s="5">
        <v>1</v>
      </c>
      <c r="H3098" s="5" t="s">
        <v>2854</v>
      </c>
      <c r="I3098" s="5" t="str">
        <f>IF(INDEX(Manual_Review!$O$6:$O$238,U3098)="","",INDEX(Manual_Review!$O$6:$O$238,U3098))</f>
        <v/>
      </c>
      <c r="J3098" s="5" t="str">
        <f t="shared" si="96"/>
        <v>AI provisional</v>
      </c>
      <c r="K3098" s="5" t="str">
        <f t="shared" si="97"/>
        <v>Y</v>
      </c>
      <c r="L3098" s="5" t="s">
        <v>2221</v>
      </c>
      <c r="M3098" s="5" t="s">
        <v>9399</v>
      </c>
      <c r="N3098" s="5" t="s">
        <v>9400</v>
      </c>
      <c r="O3098" s="5" t="s">
        <v>5541</v>
      </c>
      <c r="P3098" s="5" t="s">
        <v>2992</v>
      </c>
      <c r="Q3098" s="11">
        <v>46306.5</v>
      </c>
      <c r="R3098" s="6"/>
      <c r="S3098" s="6"/>
      <c r="T3098" s="6"/>
      <c r="U3098" s="5">
        <f>MATCH(B3098,Manual_Review!$A$6:$A$238,0)</f>
        <v>194</v>
      </c>
      <c r="V3098" s="5" t="str">
        <f>IF(INDEX(Manual_Review!$G$6:$G$238,U3098)="","",INDEX(Manual_Review!$G$6:$G$238,U3098))</f>
        <v/>
      </c>
      <c r="W3098" s="11" t="str">
        <f>IF(INDEX(Manual_Review!$H$6:$H$238,U3098)="","",INDEX(Manual_Review!$H$6:$H$238,U3098))</f>
        <v/>
      </c>
      <c r="X3098" s="5" t="str">
        <f>IF(INDEX(Manual_Review!$I$6:$I$238,U3098)="","",INDEX(Manual_Review!$I$6:$I$238,U3098))</f>
        <v/>
      </c>
      <c r="Y3098" s="5" t="s">
        <v>2859</v>
      </c>
    </row>
    <row r="3099" spans="1:25" ht="38.25">
      <c r="A3099" s="5" t="s">
        <v>9402</v>
      </c>
      <c r="B3099" s="5" t="s">
        <v>2210</v>
      </c>
      <c r="C3099" s="5" t="s">
        <v>2211</v>
      </c>
      <c r="D3099" s="5" t="s">
        <v>118</v>
      </c>
      <c r="E3099" s="5" t="s">
        <v>2786</v>
      </c>
      <c r="F3099" s="5" t="s">
        <v>2756</v>
      </c>
      <c r="G3099" s="5">
        <v>1</v>
      </c>
      <c r="H3099" s="5" t="s">
        <v>2864</v>
      </c>
      <c r="I3099" s="5" t="str">
        <f>IF(INDEX(Manual_Review!$P$6:$P$238,U3099)="","",INDEX(Manual_Review!$P$6:$P$238,U3099))</f>
        <v/>
      </c>
      <c r="J3099" s="5" t="str">
        <f t="shared" si="96"/>
        <v>AI provisional</v>
      </c>
      <c r="K3099" s="5" t="str">
        <f t="shared" si="97"/>
        <v>U</v>
      </c>
      <c r="L3099" s="5" t="s">
        <v>2221</v>
      </c>
      <c r="M3099" s="5" t="s">
        <v>9403</v>
      </c>
      <c r="N3099" s="5" t="s">
        <v>9404</v>
      </c>
      <c r="O3099" s="5" t="s">
        <v>3010</v>
      </c>
      <c r="P3099" s="5" t="s">
        <v>2992</v>
      </c>
      <c r="Q3099" s="11">
        <v>46306.5</v>
      </c>
      <c r="R3099" s="6"/>
      <c r="S3099" s="6"/>
      <c r="T3099" s="6"/>
      <c r="U3099" s="5">
        <f>MATCH(B3099,Manual_Review!$A$6:$A$238,0)</f>
        <v>194</v>
      </c>
      <c r="V3099" s="5" t="str">
        <f>IF(INDEX(Manual_Review!$G$6:$G$238,U3099)="","",INDEX(Manual_Review!$G$6:$G$238,U3099))</f>
        <v/>
      </c>
      <c r="W3099" s="11" t="str">
        <f>IF(INDEX(Manual_Review!$H$6:$H$238,U3099)="","",INDEX(Manual_Review!$H$6:$H$238,U3099))</f>
        <v/>
      </c>
      <c r="X3099" s="5" t="str">
        <f>IF(INDEX(Manual_Review!$I$6:$I$238,U3099)="","",INDEX(Manual_Review!$I$6:$I$238,U3099))</f>
        <v/>
      </c>
      <c r="Y3099" s="5" t="s">
        <v>2859</v>
      </c>
    </row>
    <row r="3100" spans="1:25" ht="38.25">
      <c r="A3100" s="5" t="s">
        <v>9405</v>
      </c>
      <c r="B3100" s="5" t="s">
        <v>2210</v>
      </c>
      <c r="C3100" s="5" t="s">
        <v>2211</v>
      </c>
      <c r="D3100" s="5" t="s">
        <v>118</v>
      </c>
      <c r="E3100" s="5" t="s">
        <v>2787</v>
      </c>
      <c r="F3100" s="5" t="s">
        <v>2758</v>
      </c>
      <c r="G3100" s="5">
        <v>1</v>
      </c>
      <c r="H3100" s="5" t="s">
        <v>2864</v>
      </c>
      <c r="I3100" s="5" t="str">
        <f>IF(INDEX(Manual_Review!$Q$6:$Q$238,U3100)="","",INDEX(Manual_Review!$Q$6:$Q$238,U3100))</f>
        <v/>
      </c>
      <c r="J3100" s="5" t="str">
        <f t="shared" si="96"/>
        <v>AI provisional</v>
      </c>
      <c r="K3100" s="5" t="str">
        <f t="shared" si="97"/>
        <v>U</v>
      </c>
      <c r="L3100" s="5" t="s">
        <v>2221</v>
      </c>
      <c r="M3100" s="5" t="s">
        <v>9406</v>
      </c>
      <c r="N3100" s="5" t="s">
        <v>9407</v>
      </c>
      <c r="O3100" s="5" t="s">
        <v>3014</v>
      </c>
      <c r="P3100" s="5" t="s">
        <v>2992</v>
      </c>
      <c r="Q3100" s="11">
        <v>46306.5</v>
      </c>
      <c r="R3100" s="6"/>
      <c r="S3100" s="6"/>
      <c r="T3100" s="6"/>
      <c r="U3100" s="5">
        <f>MATCH(B3100,Manual_Review!$A$6:$A$238,0)</f>
        <v>194</v>
      </c>
      <c r="V3100" s="5" t="str">
        <f>IF(INDEX(Manual_Review!$G$6:$G$238,U3100)="","",INDEX(Manual_Review!$G$6:$G$238,U3100))</f>
        <v/>
      </c>
      <c r="W3100" s="11" t="str">
        <f>IF(INDEX(Manual_Review!$H$6:$H$238,U3100)="","",INDEX(Manual_Review!$H$6:$H$238,U3100))</f>
        <v/>
      </c>
      <c r="X3100" s="5" t="str">
        <f>IF(INDEX(Manual_Review!$I$6:$I$238,U3100)="","",INDEX(Manual_Review!$I$6:$I$238,U3100))</f>
        <v/>
      </c>
      <c r="Y3100" s="5" t="s">
        <v>2859</v>
      </c>
    </row>
    <row r="3101" spans="1:25" ht="38.25">
      <c r="A3101" s="5" t="s">
        <v>9408</v>
      </c>
      <c r="B3101" s="5" t="s">
        <v>2210</v>
      </c>
      <c r="C3101" s="5" t="s">
        <v>2211</v>
      </c>
      <c r="D3101" s="5" t="s">
        <v>118</v>
      </c>
      <c r="E3101" s="5" t="s">
        <v>2788</v>
      </c>
      <c r="F3101" s="5" t="s">
        <v>2758</v>
      </c>
      <c r="G3101" s="5">
        <v>1</v>
      </c>
      <c r="H3101" s="5" t="s">
        <v>2854</v>
      </c>
      <c r="I3101" s="5" t="str">
        <f>IF(INDEX(Manual_Review!$R$6:$R$238,U3101)="","",INDEX(Manual_Review!$R$6:$R$238,U3101))</f>
        <v/>
      </c>
      <c r="J3101" s="5" t="str">
        <f t="shared" si="96"/>
        <v>AI provisional</v>
      </c>
      <c r="K3101" s="5" t="str">
        <f t="shared" si="97"/>
        <v>Y</v>
      </c>
      <c r="L3101" s="5" t="s">
        <v>2221</v>
      </c>
      <c r="M3101" s="5" t="s">
        <v>9409</v>
      </c>
      <c r="N3101" s="5" t="s">
        <v>9410</v>
      </c>
      <c r="O3101" s="5" t="s">
        <v>3018</v>
      </c>
      <c r="P3101" s="5" t="s">
        <v>2992</v>
      </c>
      <c r="Q3101" s="11">
        <v>46306.5</v>
      </c>
      <c r="R3101" s="6"/>
      <c r="S3101" s="6"/>
      <c r="T3101" s="6"/>
      <c r="U3101" s="5">
        <f>MATCH(B3101,Manual_Review!$A$6:$A$238,0)</f>
        <v>194</v>
      </c>
      <c r="V3101" s="5" t="str">
        <f>IF(INDEX(Manual_Review!$G$6:$G$238,U3101)="","",INDEX(Manual_Review!$G$6:$G$238,U3101))</f>
        <v/>
      </c>
      <c r="W3101" s="11" t="str">
        <f>IF(INDEX(Manual_Review!$H$6:$H$238,U3101)="","",INDEX(Manual_Review!$H$6:$H$238,U3101))</f>
        <v/>
      </c>
      <c r="X3101" s="5" t="str">
        <f>IF(INDEX(Manual_Review!$I$6:$I$238,U3101)="","",INDEX(Manual_Review!$I$6:$I$238,U3101))</f>
        <v/>
      </c>
      <c r="Y3101" s="5" t="s">
        <v>2859</v>
      </c>
    </row>
    <row r="3102" spans="1:25" ht="38.25">
      <c r="A3102" s="5" t="s">
        <v>9411</v>
      </c>
      <c r="B3102" s="5" t="s">
        <v>2210</v>
      </c>
      <c r="C3102" s="5" t="s">
        <v>2211</v>
      </c>
      <c r="D3102" s="5" t="s">
        <v>118</v>
      </c>
      <c r="E3102" s="5" t="s">
        <v>2789</v>
      </c>
      <c r="F3102" s="5" t="s">
        <v>2758</v>
      </c>
      <c r="G3102" s="5">
        <v>1</v>
      </c>
      <c r="H3102" s="5" t="s">
        <v>2854</v>
      </c>
      <c r="I3102" s="5" t="str">
        <f>IF(INDEX(Manual_Review!$S$6:$S$238,U3102)="","",INDEX(Manual_Review!$S$6:$S$238,U3102))</f>
        <v/>
      </c>
      <c r="J3102" s="5" t="str">
        <f t="shared" si="96"/>
        <v>AI provisional</v>
      </c>
      <c r="K3102" s="5" t="str">
        <f t="shared" si="97"/>
        <v>Y</v>
      </c>
      <c r="L3102" s="5" t="s">
        <v>2221</v>
      </c>
      <c r="M3102" s="5" t="s">
        <v>9412</v>
      </c>
      <c r="N3102" s="5" t="s">
        <v>9413</v>
      </c>
      <c r="O3102" s="5" t="s">
        <v>3022</v>
      </c>
      <c r="P3102" s="5" t="s">
        <v>2992</v>
      </c>
      <c r="Q3102" s="11">
        <v>46306.5</v>
      </c>
      <c r="R3102" s="6"/>
      <c r="S3102" s="6"/>
      <c r="T3102" s="6"/>
      <c r="U3102" s="5">
        <f>MATCH(B3102,Manual_Review!$A$6:$A$238,0)</f>
        <v>194</v>
      </c>
      <c r="V3102" s="5" t="str">
        <f>IF(INDEX(Manual_Review!$G$6:$G$238,U3102)="","",INDEX(Manual_Review!$G$6:$G$238,U3102))</f>
        <v/>
      </c>
      <c r="W3102" s="11" t="str">
        <f>IF(INDEX(Manual_Review!$H$6:$H$238,U3102)="","",INDEX(Manual_Review!$H$6:$H$238,U3102))</f>
        <v/>
      </c>
      <c r="X3102" s="5" t="str">
        <f>IF(INDEX(Manual_Review!$I$6:$I$238,U3102)="","",INDEX(Manual_Review!$I$6:$I$238,U3102))</f>
        <v/>
      </c>
      <c r="Y3102" s="5" t="s">
        <v>2859</v>
      </c>
    </row>
    <row r="3103" spans="1:25" ht="38.25">
      <c r="A3103" s="5" t="s">
        <v>9414</v>
      </c>
      <c r="B3103" s="5" t="s">
        <v>2210</v>
      </c>
      <c r="C3103" s="5" t="s">
        <v>2211</v>
      </c>
      <c r="D3103" s="5" t="s">
        <v>118</v>
      </c>
      <c r="E3103" s="5" t="s">
        <v>2790</v>
      </c>
      <c r="F3103" s="5" t="s">
        <v>2760</v>
      </c>
      <c r="G3103" s="5">
        <v>1</v>
      </c>
      <c r="H3103" s="5" t="s">
        <v>2854</v>
      </c>
      <c r="I3103" s="5" t="str">
        <f>IF(INDEX(Manual_Review!$T$6:$T$238,U3103)="","",INDEX(Manual_Review!$T$6:$T$238,U3103))</f>
        <v/>
      </c>
      <c r="J3103" s="5" t="str">
        <f t="shared" si="96"/>
        <v>AI provisional</v>
      </c>
      <c r="K3103" s="5" t="str">
        <f t="shared" si="97"/>
        <v>Y</v>
      </c>
      <c r="L3103" s="5" t="s">
        <v>2221</v>
      </c>
      <c r="M3103" s="5" t="s">
        <v>9415</v>
      </c>
      <c r="N3103" s="5" t="s">
        <v>9416</v>
      </c>
      <c r="O3103" s="5" t="s">
        <v>3451</v>
      </c>
      <c r="P3103" s="5" t="s">
        <v>2992</v>
      </c>
      <c r="Q3103" s="11">
        <v>46306.5</v>
      </c>
      <c r="R3103" s="6"/>
      <c r="S3103" s="6"/>
      <c r="T3103" s="6"/>
      <c r="U3103" s="5">
        <f>MATCH(B3103,Manual_Review!$A$6:$A$238,0)</f>
        <v>194</v>
      </c>
      <c r="V3103" s="5" t="str">
        <f>IF(INDEX(Manual_Review!$G$6:$G$238,U3103)="","",INDEX(Manual_Review!$G$6:$G$238,U3103))</f>
        <v/>
      </c>
      <c r="W3103" s="11" t="str">
        <f>IF(INDEX(Manual_Review!$H$6:$H$238,U3103)="","",INDEX(Manual_Review!$H$6:$H$238,U3103))</f>
        <v/>
      </c>
      <c r="X3103" s="5" t="str">
        <f>IF(INDEX(Manual_Review!$I$6:$I$238,U3103)="","",INDEX(Manual_Review!$I$6:$I$238,U3103))</f>
        <v/>
      </c>
      <c r="Y3103" s="5" t="s">
        <v>2859</v>
      </c>
    </row>
    <row r="3104" spans="1:25" ht="38.25">
      <c r="A3104" s="5" t="s">
        <v>9417</v>
      </c>
      <c r="B3104" s="5" t="s">
        <v>2210</v>
      </c>
      <c r="C3104" s="5" t="s">
        <v>2211</v>
      </c>
      <c r="D3104" s="5" t="s">
        <v>118</v>
      </c>
      <c r="E3104" s="5" t="s">
        <v>2791</v>
      </c>
      <c r="F3104" s="5" t="s">
        <v>2760</v>
      </c>
      <c r="G3104" s="5">
        <v>1</v>
      </c>
      <c r="H3104" s="5" t="s">
        <v>2864</v>
      </c>
      <c r="I3104" s="5" t="str">
        <f>IF(INDEX(Manual_Review!$U$6:$U$238,U3104)="","",INDEX(Manual_Review!$U$6:$U$238,U3104))</f>
        <v/>
      </c>
      <c r="J3104" s="5" t="str">
        <f t="shared" si="96"/>
        <v>AI provisional</v>
      </c>
      <c r="K3104" s="5" t="str">
        <f t="shared" si="97"/>
        <v>U</v>
      </c>
      <c r="L3104" s="5" t="s">
        <v>2221</v>
      </c>
      <c r="M3104" s="5" t="s">
        <v>9418</v>
      </c>
      <c r="N3104" s="5" t="s">
        <v>9419</v>
      </c>
      <c r="O3104" s="5" t="s">
        <v>3030</v>
      </c>
      <c r="P3104" s="5" t="s">
        <v>2992</v>
      </c>
      <c r="Q3104" s="11">
        <v>46306.5</v>
      </c>
      <c r="R3104" s="6"/>
      <c r="S3104" s="6"/>
      <c r="T3104" s="6"/>
      <c r="U3104" s="5">
        <f>MATCH(B3104,Manual_Review!$A$6:$A$238,0)</f>
        <v>194</v>
      </c>
      <c r="V3104" s="5" t="str">
        <f>IF(INDEX(Manual_Review!$G$6:$G$238,U3104)="","",INDEX(Manual_Review!$G$6:$G$238,U3104))</f>
        <v/>
      </c>
      <c r="W3104" s="11" t="str">
        <f>IF(INDEX(Manual_Review!$H$6:$H$238,U3104)="","",INDEX(Manual_Review!$H$6:$H$238,U3104))</f>
        <v/>
      </c>
      <c r="X3104" s="5" t="str">
        <f>IF(INDEX(Manual_Review!$I$6:$I$238,U3104)="","",INDEX(Manual_Review!$I$6:$I$238,U3104))</f>
        <v/>
      </c>
      <c r="Y3104" s="5" t="s">
        <v>2859</v>
      </c>
    </row>
    <row r="3105" spans="1:25" ht="38.25">
      <c r="A3105" s="5" t="s">
        <v>9420</v>
      </c>
      <c r="B3105" s="5" t="s">
        <v>2210</v>
      </c>
      <c r="C3105" s="5" t="s">
        <v>2211</v>
      </c>
      <c r="D3105" s="5" t="s">
        <v>118</v>
      </c>
      <c r="E3105" s="5" t="s">
        <v>2792</v>
      </c>
      <c r="F3105" s="5" t="s">
        <v>2762</v>
      </c>
      <c r="G3105" s="5">
        <v>1</v>
      </c>
      <c r="H3105" s="5" t="s">
        <v>2854</v>
      </c>
      <c r="I3105" s="5" t="str">
        <f>IF(INDEX(Manual_Review!$V$6:$V$238,U3105)="","",INDEX(Manual_Review!$V$6:$V$238,U3105))</f>
        <v/>
      </c>
      <c r="J3105" s="5" t="str">
        <f t="shared" si="96"/>
        <v>AI provisional</v>
      </c>
      <c r="K3105" s="5" t="str">
        <f t="shared" si="97"/>
        <v>Y</v>
      </c>
      <c r="L3105" s="5" t="s">
        <v>2221</v>
      </c>
      <c r="M3105" s="5" t="s">
        <v>9421</v>
      </c>
      <c r="N3105" s="5" t="s">
        <v>9422</v>
      </c>
      <c r="O3105" s="5" t="s">
        <v>3034</v>
      </c>
      <c r="P3105" s="5" t="s">
        <v>2992</v>
      </c>
      <c r="Q3105" s="11">
        <v>46306.5</v>
      </c>
      <c r="R3105" s="6"/>
      <c r="S3105" s="6"/>
      <c r="T3105" s="6"/>
      <c r="U3105" s="5">
        <f>MATCH(B3105,Manual_Review!$A$6:$A$238,0)</f>
        <v>194</v>
      </c>
      <c r="V3105" s="5" t="str">
        <f>IF(INDEX(Manual_Review!$G$6:$G$238,U3105)="","",INDEX(Manual_Review!$G$6:$G$238,U3105))</f>
        <v/>
      </c>
      <c r="W3105" s="11" t="str">
        <f>IF(INDEX(Manual_Review!$H$6:$H$238,U3105)="","",INDEX(Manual_Review!$H$6:$H$238,U3105))</f>
        <v/>
      </c>
      <c r="X3105" s="5" t="str">
        <f>IF(INDEX(Manual_Review!$I$6:$I$238,U3105)="","",INDEX(Manual_Review!$I$6:$I$238,U3105))</f>
        <v/>
      </c>
      <c r="Y3105" s="5" t="s">
        <v>2859</v>
      </c>
    </row>
    <row r="3106" spans="1:25" ht="38.25">
      <c r="A3106" s="5" t="s">
        <v>9423</v>
      </c>
      <c r="B3106" s="5" t="s">
        <v>2210</v>
      </c>
      <c r="C3106" s="5" t="s">
        <v>2211</v>
      </c>
      <c r="D3106" s="5" t="s">
        <v>118</v>
      </c>
      <c r="E3106" s="5" t="s">
        <v>2793</v>
      </c>
      <c r="F3106" s="5" t="s">
        <v>2762</v>
      </c>
      <c r="G3106" s="5">
        <v>1</v>
      </c>
      <c r="H3106" s="5" t="s">
        <v>2854</v>
      </c>
      <c r="I3106" s="5" t="str">
        <f>IF(INDEX(Manual_Review!$W$6:$W$238,U3106)="","",INDEX(Manual_Review!$W$6:$W$238,U3106))</f>
        <v/>
      </c>
      <c r="J3106" s="5" t="str">
        <f t="shared" si="96"/>
        <v>AI provisional</v>
      </c>
      <c r="K3106" s="5" t="str">
        <f t="shared" si="97"/>
        <v>Y</v>
      </c>
      <c r="L3106" s="5" t="s">
        <v>2221</v>
      </c>
      <c r="M3106" s="5" t="s">
        <v>9424</v>
      </c>
      <c r="N3106" s="5" t="s">
        <v>9425</v>
      </c>
      <c r="O3106" s="5" t="s">
        <v>3038</v>
      </c>
      <c r="P3106" s="5" t="s">
        <v>2992</v>
      </c>
      <c r="Q3106" s="11">
        <v>46306.5</v>
      </c>
      <c r="R3106" s="6"/>
      <c r="S3106" s="6"/>
      <c r="T3106" s="6"/>
      <c r="U3106" s="5">
        <f>MATCH(B3106,Manual_Review!$A$6:$A$238,0)</f>
        <v>194</v>
      </c>
      <c r="V3106" s="5" t="str">
        <f>IF(INDEX(Manual_Review!$G$6:$G$238,U3106)="","",INDEX(Manual_Review!$G$6:$G$238,U3106))</f>
        <v/>
      </c>
      <c r="W3106" s="11" t="str">
        <f>IF(INDEX(Manual_Review!$H$6:$H$238,U3106)="","",INDEX(Manual_Review!$H$6:$H$238,U3106))</f>
        <v/>
      </c>
      <c r="X3106" s="5" t="str">
        <f>IF(INDEX(Manual_Review!$I$6:$I$238,U3106)="","",INDEX(Manual_Review!$I$6:$I$238,U3106))</f>
        <v/>
      </c>
      <c r="Y3106" s="5" t="s">
        <v>2859</v>
      </c>
    </row>
    <row r="3107" spans="1:25" ht="38.25">
      <c r="A3107" s="5" t="s">
        <v>9426</v>
      </c>
      <c r="B3107" s="5" t="s">
        <v>2210</v>
      </c>
      <c r="C3107" s="5" t="s">
        <v>2211</v>
      </c>
      <c r="D3107" s="5" t="s">
        <v>118</v>
      </c>
      <c r="E3107" s="5" t="s">
        <v>2794</v>
      </c>
      <c r="F3107" s="5" t="s">
        <v>2764</v>
      </c>
      <c r="G3107" s="5">
        <v>1</v>
      </c>
      <c r="H3107" s="5" t="s">
        <v>2854</v>
      </c>
      <c r="I3107" s="5" t="str">
        <f>IF(INDEX(Manual_Review!$X$6:$X$238,U3107)="","",INDEX(Manual_Review!$X$6:$X$238,U3107))</f>
        <v/>
      </c>
      <c r="J3107" s="5" t="str">
        <f t="shared" si="96"/>
        <v>AI provisional</v>
      </c>
      <c r="K3107" s="5" t="str">
        <f t="shared" si="97"/>
        <v>Y</v>
      </c>
      <c r="L3107" s="5" t="s">
        <v>2221</v>
      </c>
      <c r="M3107" s="5" t="s">
        <v>9427</v>
      </c>
      <c r="N3107" s="5" t="s">
        <v>9428</v>
      </c>
      <c r="O3107" s="5" t="s">
        <v>3042</v>
      </c>
      <c r="P3107" s="5" t="s">
        <v>2992</v>
      </c>
      <c r="Q3107" s="11">
        <v>46306.5</v>
      </c>
      <c r="R3107" s="6"/>
      <c r="S3107" s="6"/>
      <c r="T3107" s="6"/>
      <c r="U3107" s="5">
        <f>MATCH(B3107,Manual_Review!$A$6:$A$238,0)</f>
        <v>194</v>
      </c>
      <c r="V3107" s="5" t="str">
        <f>IF(INDEX(Manual_Review!$G$6:$G$238,U3107)="","",INDEX(Manual_Review!$G$6:$G$238,U3107))</f>
        <v/>
      </c>
      <c r="W3107" s="11" t="str">
        <f>IF(INDEX(Manual_Review!$H$6:$H$238,U3107)="","",INDEX(Manual_Review!$H$6:$H$238,U3107))</f>
        <v/>
      </c>
      <c r="X3107" s="5" t="str">
        <f>IF(INDEX(Manual_Review!$I$6:$I$238,U3107)="","",INDEX(Manual_Review!$I$6:$I$238,U3107))</f>
        <v/>
      </c>
      <c r="Y3107" s="5" t="s">
        <v>2859</v>
      </c>
    </row>
    <row r="3108" spans="1:25" ht="38.25">
      <c r="A3108" s="5" t="s">
        <v>9429</v>
      </c>
      <c r="B3108" s="5" t="s">
        <v>2210</v>
      </c>
      <c r="C3108" s="5" t="s">
        <v>2211</v>
      </c>
      <c r="D3108" s="5" t="s">
        <v>118</v>
      </c>
      <c r="E3108" s="5" t="s">
        <v>2795</v>
      </c>
      <c r="F3108" s="5" t="s">
        <v>2764</v>
      </c>
      <c r="G3108" s="5">
        <v>1</v>
      </c>
      <c r="H3108" s="5" t="s">
        <v>2854</v>
      </c>
      <c r="I3108" s="5" t="str">
        <f>IF(INDEX(Manual_Review!$Y$6:$Y$238,U3108)="","",INDEX(Manual_Review!$Y$6:$Y$238,U3108))</f>
        <v/>
      </c>
      <c r="J3108" s="5" t="str">
        <f t="shared" si="96"/>
        <v>AI provisional</v>
      </c>
      <c r="K3108" s="5" t="str">
        <f t="shared" si="97"/>
        <v>Y</v>
      </c>
      <c r="L3108" s="5" t="s">
        <v>2221</v>
      </c>
      <c r="M3108" s="5" t="s">
        <v>9430</v>
      </c>
      <c r="N3108" s="5" t="s">
        <v>9431</v>
      </c>
      <c r="O3108" s="5" t="s">
        <v>3046</v>
      </c>
      <c r="P3108" s="5" t="s">
        <v>2992</v>
      </c>
      <c r="Q3108" s="11">
        <v>46306.5</v>
      </c>
      <c r="R3108" s="6"/>
      <c r="S3108" s="6"/>
      <c r="T3108" s="6"/>
      <c r="U3108" s="5">
        <f>MATCH(B3108,Manual_Review!$A$6:$A$238,0)</f>
        <v>194</v>
      </c>
      <c r="V3108" s="5" t="str">
        <f>IF(INDEX(Manual_Review!$G$6:$G$238,U3108)="","",INDEX(Manual_Review!$G$6:$G$238,U3108))</f>
        <v/>
      </c>
      <c r="W3108" s="11" t="str">
        <f>IF(INDEX(Manual_Review!$H$6:$H$238,U3108)="","",INDEX(Manual_Review!$H$6:$H$238,U3108))</f>
        <v/>
      </c>
      <c r="X3108" s="5" t="str">
        <f>IF(INDEX(Manual_Review!$I$6:$I$238,U3108)="","",INDEX(Manual_Review!$I$6:$I$238,U3108))</f>
        <v/>
      </c>
      <c r="Y3108" s="5" t="s">
        <v>2859</v>
      </c>
    </row>
    <row r="3109" spans="1:25" ht="38.25">
      <c r="A3109" s="5" t="s">
        <v>9432</v>
      </c>
      <c r="B3109" s="5" t="s">
        <v>2210</v>
      </c>
      <c r="C3109" s="5" t="s">
        <v>2211</v>
      </c>
      <c r="D3109" s="5" t="s">
        <v>118</v>
      </c>
      <c r="E3109" s="5" t="s">
        <v>2796</v>
      </c>
      <c r="F3109" s="5" t="s">
        <v>2764</v>
      </c>
      <c r="G3109" s="5">
        <v>1</v>
      </c>
      <c r="H3109" s="5" t="s">
        <v>2854</v>
      </c>
      <c r="I3109" s="5" t="str">
        <f>IF(INDEX(Manual_Review!$Z$6:$Z$238,U3109)="","",INDEX(Manual_Review!$Z$6:$Z$238,U3109))</f>
        <v/>
      </c>
      <c r="J3109" s="5" t="str">
        <f t="shared" si="96"/>
        <v>AI provisional</v>
      </c>
      <c r="K3109" s="5" t="str">
        <f t="shared" si="97"/>
        <v>Y</v>
      </c>
      <c r="L3109" s="5" t="s">
        <v>2221</v>
      </c>
      <c r="M3109" s="5" t="s">
        <v>9433</v>
      </c>
      <c r="N3109" s="5" t="s">
        <v>9434</v>
      </c>
      <c r="O3109" s="5" t="s">
        <v>3960</v>
      </c>
      <c r="P3109" s="5" t="s">
        <v>2992</v>
      </c>
      <c r="Q3109" s="11">
        <v>46306.5</v>
      </c>
      <c r="R3109" s="6"/>
      <c r="S3109" s="6"/>
      <c r="T3109" s="6"/>
      <c r="U3109" s="5">
        <f>MATCH(B3109,Manual_Review!$A$6:$A$238,0)</f>
        <v>194</v>
      </c>
      <c r="V3109" s="5" t="str">
        <f>IF(INDEX(Manual_Review!$G$6:$G$238,U3109)="","",INDEX(Manual_Review!$G$6:$G$238,U3109))</f>
        <v/>
      </c>
      <c r="W3109" s="11" t="str">
        <f>IF(INDEX(Manual_Review!$H$6:$H$238,U3109)="","",INDEX(Manual_Review!$H$6:$H$238,U3109))</f>
        <v/>
      </c>
      <c r="X3109" s="5" t="str">
        <f>IF(INDEX(Manual_Review!$I$6:$I$238,U3109)="","",INDEX(Manual_Review!$I$6:$I$238,U3109))</f>
        <v/>
      </c>
      <c r="Y3109" s="5" t="s">
        <v>2859</v>
      </c>
    </row>
    <row r="3110" spans="1:25" ht="25.5">
      <c r="A3110" s="5" t="s">
        <v>9435</v>
      </c>
      <c r="B3110" s="5" t="s">
        <v>2223</v>
      </c>
      <c r="C3110" s="5" t="s">
        <v>2224</v>
      </c>
      <c r="D3110" s="5" t="s">
        <v>118</v>
      </c>
      <c r="E3110" s="5" t="s">
        <v>2781</v>
      </c>
      <c r="F3110" s="5" t="s">
        <v>2754</v>
      </c>
      <c r="G3110" s="5">
        <v>1</v>
      </c>
      <c r="H3110" s="5" t="s">
        <v>2854</v>
      </c>
      <c r="I3110" s="5" t="str">
        <f>IF(INDEX(Manual_Review!$K$6:$K$238,U3110)="","",INDEX(Manual_Review!$K$6:$K$238,U3110))</f>
        <v/>
      </c>
      <c r="J3110" s="5" t="str">
        <f t="shared" si="96"/>
        <v>AI provisional</v>
      </c>
      <c r="K3110" s="5" t="str">
        <f t="shared" si="97"/>
        <v>Y</v>
      </c>
      <c r="L3110" s="5" t="s">
        <v>2236</v>
      </c>
      <c r="M3110" s="5" t="s">
        <v>9436</v>
      </c>
      <c r="N3110" s="5" t="s">
        <v>9437</v>
      </c>
      <c r="O3110" s="5" t="s">
        <v>2991</v>
      </c>
      <c r="P3110" s="5" t="s">
        <v>2992</v>
      </c>
      <c r="Q3110" s="11">
        <v>46306.5</v>
      </c>
      <c r="R3110" s="6"/>
      <c r="S3110" s="6"/>
      <c r="T3110" s="6"/>
      <c r="U3110" s="5">
        <f>MATCH(B3110,Manual_Review!$A$6:$A$238,0)</f>
        <v>195</v>
      </c>
      <c r="V3110" s="5" t="str">
        <f>IF(INDEX(Manual_Review!$G$6:$G$238,U3110)="","",INDEX(Manual_Review!$G$6:$G$238,U3110))</f>
        <v/>
      </c>
      <c r="W3110" s="11" t="str">
        <f>IF(INDEX(Manual_Review!$H$6:$H$238,U3110)="","",INDEX(Manual_Review!$H$6:$H$238,U3110))</f>
        <v/>
      </c>
      <c r="X3110" s="5" t="str">
        <f>IF(INDEX(Manual_Review!$I$6:$I$238,U3110)="","",INDEX(Manual_Review!$I$6:$I$238,U3110))</f>
        <v/>
      </c>
      <c r="Y3110" s="5" t="s">
        <v>2859</v>
      </c>
    </row>
    <row r="3111" spans="1:25" ht="25.5">
      <c r="A3111" s="5" t="s">
        <v>9438</v>
      </c>
      <c r="B3111" s="5" t="s">
        <v>2223</v>
      </c>
      <c r="C3111" s="5" t="s">
        <v>2224</v>
      </c>
      <c r="D3111" s="5" t="s">
        <v>118</v>
      </c>
      <c r="E3111" s="5" t="s">
        <v>2782</v>
      </c>
      <c r="F3111" s="5" t="s">
        <v>2754</v>
      </c>
      <c r="G3111" s="5">
        <v>1</v>
      </c>
      <c r="H3111" s="5" t="s">
        <v>2854</v>
      </c>
      <c r="I3111" s="5" t="str">
        <f>IF(INDEX(Manual_Review!$L$6:$L$238,U3111)="","",INDEX(Manual_Review!$L$6:$L$238,U3111))</f>
        <v/>
      </c>
      <c r="J3111" s="5" t="str">
        <f t="shared" si="96"/>
        <v>AI provisional</v>
      </c>
      <c r="K3111" s="5" t="str">
        <f t="shared" si="97"/>
        <v>Y</v>
      </c>
      <c r="L3111" s="5" t="s">
        <v>2236</v>
      </c>
      <c r="M3111" s="5" t="s">
        <v>9439</v>
      </c>
      <c r="N3111" s="5" t="s">
        <v>9440</v>
      </c>
      <c r="O3111" s="5" t="s">
        <v>2996</v>
      </c>
      <c r="P3111" s="5" t="s">
        <v>2992</v>
      </c>
      <c r="Q3111" s="11">
        <v>46306.5</v>
      </c>
      <c r="R3111" s="6"/>
      <c r="S3111" s="6"/>
      <c r="T3111" s="6"/>
      <c r="U3111" s="5">
        <f>MATCH(B3111,Manual_Review!$A$6:$A$238,0)</f>
        <v>195</v>
      </c>
      <c r="V3111" s="5" t="str">
        <f>IF(INDEX(Manual_Review!$G$6:$G$238,U3111)="","",INDEX(Manual_Review!$G$6:$G$238,U3111))</f>
        <v/>
      </c>
      <c r="W3111" s="11" t="str">
        <f>IF(INDEX(Manual_Review!$H$6:$H$238,U3111)="","",INDEX(Manual_Review!$H$6:$H$238,U3111))</f>
        <v/>
      </c>
      <c r="X3111" s="5" t="str">
        <f>IF(INDEX(Manual_Review!$I$6:$I$238,U3111)="","",INDEX(Manual_Review!$I$6:$I$238,U3111))</f>
        <v/>
      </c>
      <c r="Y3111" s="5" t="s">
        <v>2859</v>
      </c>
    </row>
    <row r="3112" spans="1:25" ht="25.5">
      <c r="A3112" s="5" t="s">
        <v>9441</v>
      </c>
      <c r="B3112" s="5" t="s">
        <v>2223</v>
      </c>
      <c r="C3112" s="5" t="s">
        <v>2224</v>
      </c>
      <c r="D3112" s="5" t="s">
        <v>118</v>
      </c>
      <c r="E3112" s="5" t="s">
        <v>2783</v>
      </c>
      <c r="F3112" s="5" t="s">
        <v>2754</v>
      </c>
      <c r="G3112" s="5">
        <v>1</v>
      </c>
      <c r="H3112" s="5" t="s">
        <v>2864</v>
      </c>
      <c r="I3112" s="5" t="str">
        <f>IF(INDEX(Manual_Review!$M$6:$M$238,U3112)="","",INDEX(Manual_Review!$M$6:$M$238,U3112))</f>
        <v/>
      </c>
      <c r="J3112" s="5" t="str">
        <f t="shared" si="96"/>
        <v>AI provisional</v>
      </c>
      <c r="K3112" s="5" t="str">
        <f t="shared" si="97"/>
        <v>U</v>
      </c>
      <c r="L3112" s="5" t="s">
        <v>2236</v>
      </c>
      <c r="M3112" s="5" t="s">
        <v>9442</v>
      </c>
      <c r="N3112" s="5" t="s">
        <v>9443</v>
      </c>
      <c r="O3112" s="5" t="s">
        <v>3808</v>
      </c>
      <c r="P3112" s="5" t="s">
        <v>2992</v>
      </c>
      <c r="Q3112" s="11">
        <v>46306.5</v>
      </c>
      <c r="R3112" s="6"/>
      <c r="S3112" s="6"/>
      <c r="T3112" s="6"/>
      <c r="U3112" s="5">
        <f>MATCH(B3112,Manual_Review!$A$6:$A$238,0)</f>
        <v>195</v>
      </c>
      <c r="V3112" s="5" t="str">
        <f>IF(INDEX(Manual_Review!$G$6:$G$238,U3112)="","",INDEX(Manual_Review!$G$6:$G$238,U3112))</f>
        <v/>
      </c>
      <c r="W3112" s="11" t="str">
        <f>IF(INDEX(Manual_Review!$H$6:$H$238,U3112)="","",INDEX(Manual_Review!$H$6:$H$238,U3112))</f>
        <v/>
      </c>
      <c r="X3112" s="5" t="str">
        <f>IF(INDEX(Manual_Review!$I$6:$I$238,U3112)="","",INDEX(Manual_Review!$I$6:$I$238,U3112))</f>
        <v/>
      </c>
      <c r="Y3112" s="5" t="s">
        <v>2859</v>
      </c>
    </row>
    <row r="3113" spans="1:25" ht="25.5">
      <c r="A3113" s="5" t="s">
        <v>9444</v>
      </c>
      <c r="B3113" s="5" t="s">
        <v>2223</v>
      </c>
      <c r="C3113" s="5" t="s">
        <v>2224</v>
      </c>
      <c r="D3113" s="5" t="s">
        <v>118</v>
      </c>
      <c r="E3113" s="5" t="s">
        <v>2784</v>
      </c>
      <c r="F3113" s="5" t="s">
        <v>2756</v>
      </c>
      <c r="G3113" s="5">
        <v>1</v>
      </c>
      <c r="H3113" s="5" t="s">
        <v>2854</v>
      </c>
      <c r="I3113" s="5" t="str">
        <f>IF(INDEX(Manual_Review!$N$6:$N$238,U3113)="","",INDEX(Manual_Review!$N$6:$N$238,U3113))</f>
        <v/>
      </c>
      <c r="J3113" s="5" t="str">
        <f t="shared" si="96"/>
        <v>AI provisional</v>
      </c>
      <c r="K3113" s="5" t="str">
        <f t="shared" si="97"/>
        <v>Y</v>
      </c>
      <c r="L3113" s="5" t="s">
        <v>2236</v>
      </c>
      <c r="M3113" s="5" t="s">
        <v>9445</v>
      </c>
      <c r="N3113" s="5" t="s">
        <v>9446</v>
      </c>
      <c r="O3113" s="5" t="s">
        <v>3004</v>
      </c>
      <c r="P3113" s="5" t="s">
        <v>2992</v>
      </c>
      <c r="Q3113" s="11">
        <v>46306.5</v>
      </c>
      <c r="R3113" s="6"/>
      <c r="S3113" s="6"/>
      <c r="T3113" s="6"/>
      <c r="U3113" s="5">
        <f>MATCH(B3113,Manual_Review!$A$6:$A$238,0)</f>
        <v>195</v>
      </c>
      <c r="V3113" s="5" t="str">
        <f>IF(INDEX(Manual_Review!$G$6:$G$238,U3113)="","",INDEX(Manual_Review!$G$6:$G$238,U3113))</f>
        <v/>
      </c>
      <c r="W3113" s="11" t="str">
        <f>IF(INDEX(Manual_Review!$H$6:$H$238,U3113)="","",INDEX(Manual_Review!$H$6:$H$238,U3113))</f>
        <v/>
      </c>
      <c r="X3113" s="5" t="str">
        <f>IF(INDEX(Manual_Review!$I$6:$I$238,U3113)="","",INDEX(Manual_Review!$I$6:$I$238,U3113))</f>
        <v/>
      </c>
      <c r="Y3113" s="5" t="s">
        <v>2859</v>
      </c>
    </row>
    <row r="3114" spans="1:25" ht="25.5">
      <c r="A3114" s="5" t="s">
        <v>9447</v>
      </c>
      <c r="B3114" s="5" t="s">
        <v>2223</v>
      </c>
      <c r="C3114" s="5" t="s">
        <v>2224</v>
      </c>
      <c r="D3114" s="5" t="s">
        <v>118</v>
      </c>
      <c r="E3114" s="5" t="s">
        <v>2785</v>
      </c>
      <c r="F3114" s="5" t="s">
        <v>2756</v>
      </c>
      <c r="G3114" s="5">
        <v>1</v>
      </c>
      <c r="H3114" s="5" t="s">
        <v>2864</v>
      </c>
      <c r="I3114" s="5" t="str">
        <f>IF(INDEX(Manual_Review!$O$6:$O$238,U3114)="","",INDEX(Manual_Review!$O$6:$O$238,U3114))</f>
        <v/>
      </c>
      <c r="J3114" s="5" t="str">
        <f t="shared" si="96"/>
        <v>AI provisional</v>
      </c>
      <c r="K3114" s="5" t="str">
        <f t="shared" si="97"/>
        <v>U</v>
      </c>
      <c r="L3114" s="5" t="s">
        <v>2236</v>
      </c>
      <c r="M3114" s="5" t="s">
        <v>9445</v>
      </c>
      <c r="N3114" s="5" t="s">
        <v>9446</v>
      </c>
      <c r="O3114" s="5" t="s">
        <v>3006</v>
      </c>
      <c r="P3114" s="5" t="s">
        <v>2992</v>
      </c>
      <c r="Q3114" s="11">
        <v>46306.5</v>
      </c>
      <c r="R3114" s="6"/>
      <c r="S3114" s="6"/>
      <c r="T3114" s="6"/>
      <c r="U3114" s="5">
        <f>MATCH(B3114,Manual_Review!$A$6:$A$238,0)</f>
        <v>195</v>
      </c>
      <c r="V3114" s="5" t="str">
        <f>IF(INDEX(Manual_Review!$G$6:$G$238,U3114)="","",INDEX(Manual_Review!$G$6:$G$238,U3114))</f>
        <v/>
      </c>
      <c r="W3114" s="11" t="str">
        <f>IF(INDEX(Manual_Review!$H$6:$H$238,U3114)="","",INDEX(Manual_Review!$H$6:$H$238,U3114))</f>
        <v/>
      </c>
      <c r="X3114" s="5" t="str">
        <f>IF(INDEX(Manual_Review!$I$6:$I$238,U3114)="","",INDEX(Manual_Review!$I$6:$I$238,U3114))</f>
        <v/>
      </c>
      <c r="Y3114" s="5" t="s">
        <v>2859</v>
      </c>
    </row>
    <row r="3115" spans="1:25" ht="51">
      <c r="A3115" s="5" t="s">
        <v>9448</v>
      </c>
      <c r="B3115" s="5" t="s">
        <v>2223</v>
      </c>
      <c r="C3115" s="5" t="s">
        <v>2224</v>
      </c>
      <c r="D3115" s="5" t="s">
        <v>118</v>
      </c>
      <c r="E3115" s="5" t="s">
        <v>2786</v>
      </c>
      <c r="F3115" s="5" t="s">
        <v>2756</v>
      </c>
      <c r="G3115" s="5">
        <v>1</v>
      </c>
      <c r="H3115" s="5" t="s">
        <v>2864</v>
      </c>
      <c r="I3115" s="5" t="str">
        <f>IF(INDEX(Manual_Review!$P$6:$P$238,U3115)="","",INDEX(Manual_Review!$P$6:$P$238,U3115))</f>
        <v/>
      </c>
      <c r="J3115" s="5" t="str">
        <f t="shared" si="96"/>
        <v>AI provisional</v>
      </c>
      <c r="K3115" s="5" t="str">
        <f t="shared" si="97"/>
        <v>U</v>
      </c>
      <c r="L3115" s="5" t="s">
        <v>2236</v>
      </c>
      <c r="M3115" s="5" t="s">
        <v>9449</v>
      </c>
      <c r="N3115" s="5" t="s">
        <v>9450</v>
      </c>
      <c r="O3115" s="5" t="s">
        <v>3010</v>
      </c>
      <c r="P3115" s="5" t="s">
        <v>2992</v>
      </c>
      <c r="Q3115" s="11">
        <v>46306.5</v>
      </c>
      <c r="R3115" s="6"/>
      <c r="S3115" s="6"/>
      <c r="T3115" s="6"/>
      <c r="U3115" s="5">
        <f>MATCH(B3115,Manual_Review!$A$6:$A$238,0)</f>
        <v>195</v>
      </c>
      <c r="V3115" s="5" t="str">
        <f>IF(INDEX(Manual_Review!$G$6:$G$238,U3115)="","",INDEX(Manual_Review!$G$6:$G$238,U3115))</f>
        <v/>
      </c>
      <c r="W3115" s="11" t="str">
        <f>IF(INDEX(Manual_Review!$H$6:$H$238,U3115)="","",INDEX(Manual_Review!$H$6:$H$238,U3115))</f>
        <v/>
      </c>
      <c r="X3115" s="5" t="str">
        <f>IF(INDEX(Manual_Review!$I$6:$I$238,U3115)="","",INDEX(Manual_Review!$I$6:$I$238,U3115))</f>
        <v/>
      </c>
      <c r="Y3115" s="5" t="s">
        <v>2859</v>
      </c>
    </row>
    <row r="3116" spans="1:25" ht="25.5">
      <c r="A3116" s="5" t="s">
        <v>9451</v>
      </c>
      <c r="B3116" s="5" t="s">
        <v>2223</v>
      </c>
      <c r="C3116" s="5" t="s">
        <v>2224</v>
      </c>
      <c r="D3116" s="5" t="s">
        <v>118</v>
      </c>
      <c r="E3116" s="5" t="s">
        <v>2787</v>
      </c>
      <c r="F3116" s="5" t="s">
        <v>2758</v>
      </c>
      <c r="G3116" s="5">
        <v>1</v>
      </c>
      <c r="H3116" s="5" t="s">
        <v>2864</v>
      </c>
      <c r="I3116" s="5" t="str">
        <f>IF(INDEX(Manual_Review!$Q$6:$Q$238,U3116)="","",INDEX(Manual_Review!$Q$6:$Q$238,U3116))</f>
        <v/>
      </c>
      <c r="J3116" s="5" t="str">
        <f t="shared" si="96"/>
        <v>AI provisional</v>
      </c>
      <c r="K3116" s="5" t="str">
        <f t="shared" si="97"/>
        <v>U</v>
      </c>
      <c r="L3116" s="5" t="s">
        <v>2236</v>
      </c>
      <c r="M3116" s="5" t="s">
        <v>9452</v>
      </c>
      <c r="N3116" s="5" t="s">
        <v>9453</v>
      </c>
      <c r="O3116" s="5" t="s">
        <v>3014</v>
      </c>
      <c r="P3116" s="5" t="s">
        <v>2992</v>
      </c>
      <c r="Q3116" s="11">
        <v>46306.5</v>
      </c>
      <c r="R3116" s="6"/>
      <c r="S3116" s="6"/>
      <c r="T3116" s="6"/>
      <c r="U3116" s="5">
        <f>MATCH(B3116,Manual_Review!$A$6:$A$238,0)</f>
        <v>195</v>
      </c>
      <c r="V3116" s="5" t="str">
        <f>IF(INDEX(Manual_Review!$G$6:$G$238,U3116)="","",INDEX(Manual_Review!$G$6:$G$238,U3116))</f>
        <v/>
      </c>
      <c r="W3116" s="11" t="str">
        <f>IF(INDEX(Manual_Review!$H$6:$H$238,U3116)="","",INDEX(Manual_Review!$H$6:$H$238,U3116))</f>
        <v/>
      </c>
      <c r="X3116" s="5" t="str">
        <f>IF(INDEX(Manual_Review!$I$6:$I$238,U3116)="","",INDEX(Manual_Review!$I$6:$I$238,U3116))</f>
        <v/>
      </c>
      <c r="Y3116" s="5" t="s">
        <v>2859</v>
      </c>
    </row>
    <row r="3117" spans="1:25" ht="51">
      <c r="A3117" s="5" t="s">
        <v>9454</v>
      </c>
      <c r="B3117" s="5" t="s">
        <v>2223</v>
      </c>
      <c r="C3117" s="5" t="s">
        <v>2224</v>
      </c>
      <c r="D3117" s="5" t="s">
        <v>118</v>
      </c>
      <c r="E3117" s="5" t="s">
        <v>2788</v>
      </c>
      <c r="F3117" s="5" t="s">
        <v>2758</v>
      </c>
      <c r="G3117" s="5">
        <v>1</v>
      </c>
      <c r="H3117" s="5" t="s">
        <v>2854</v>
      </c>
      <c r="I3117" s="5" t="str">
        <f>IF(INDEX(Manual_Review!$R$6:$R$238,U3117)="","",INDEX(Manual_Review!$R$6:$R$238,U3117))</f>
        <v/>
      </c>
      <c r="J3117" s="5" t="str">
        <f t="shared" si="96"/>
        <v>AI provisional</v>
      </c>
      <c r="K3117" s="5" t="str">
        <f t="shared" si="97"/>
        <v>Y</v>
      </c>
      <c r="L3117" s="5" t="s">
        <v>2236</v>
      </c>
      <c r="M3117" s="5" t="s">
        <v>9455</v>
      </c>
      <c r="N3117" s="5" t="s">
        <v>9456</v>
      </c>
      <c r="O3117" s="5" t="s">
        <v>3018</v>
      </c>
      <c r="P3117" s="5" t="s">
        <v>2992</v>
      </c>
      <c r="Q3117" s="11">
        <v>46306.5</v>
      </c>
      <c r="R3117" s="6"/>
      <c r="S3117" s="6"/>
      <c r="T3117" s="6"/>
      <c r="U3117" s="5">
        <f>MATCH(B3117,Manual_Review!$A$6:$A$238,0)</f>
        <v>195</v>
      </c>
      <c r="V3117" s="5" t="str">
        <f>IF(INDEX(Manual_Review!$G$6:$G$238,U3117)="","",INDEX(Manual_Review!$G$6:$G$238,U3117))</f>
        <v/>
      </c>
      <c r="W3117" s="11" t="str">
        <f>IF(INDEX(Manual_Review!$H$6:$H$238,U3117)="","",INDEX(Manual_Review!$H$6:$H$238,U3117))</f>
        <v/>
      </c>
      <c r="X3117" s="5" t="str">
        <f>IF(INDEX(Manual_Review!$I$6:$I$238,U3117)="","",INDEX(Manual_Review!$I$6:$I$238,U3117))</f>
        <v/>
      </c>
      <c r="Y3117" s="5" t="s">
        <v>2859</v>
      </c>
    </row>
    <row r="3118" spans="1:25" ht="51">
      <c r="A3118" s="5" t="s">
        <v>9457</v>
      </c>
      <c r="B3118" s="5" t="s">
        <v>2223</v>
      </c>
      <c r="C3118" s="5" t="s">
        <v>2224</v>
      </c>
      <c r="D3118" s="5" t="s">
        <v>118</v>
      </c>
      <c r="E3118" s="5" t="s">
        <v>2789</v>
      </c>
      <c r="F3118" s="5" t="s">
        <v>2758</v>
      </c>
      <c r="G3118" s="5">
        <v>1</v>
      </c>
      <c r="H3118" s="5" t="s">
        <v>2854</v>
      </c>
      <c r="I3118" s="5" t="str">
        <f>IF(INDEX(Manual_Review!$S$6:$S$238,U3118)="","",INDEX(Manual_Review!$S$6:$S$238,U3118))</f>
        <v/>
      </c>
      <c r="J3118" s="5" t="str">
        <f t="shared" si="96"/>
        <v>AI provisional</v>
      </c>
      <c r="K3118" s="5" t="str">
        <f t="shared" si="97"/>
        <v>Y</v>
      </c>
      <c r="L3118" s="5" t="s">
        <v>2236</v>
      </c>
      <c r="M3118" s="5" t="s">
        <v>9458</v>
      </c>
      <c r="N3118" s="5" t="s">
        <v>9459</v>
      </c>
      <c r="O3118" s="5" t="s">
        <v>3022</v>
      </c>
      <c r="P3118" s="5" t="s">
        <v>2992</v>
      </c>
      <c r="Q3118" s="11">
        <v>46306.5</v>
      </c>
      <c r="R3118" s="6"/>
      <c r="S3118" s="6"/>
      <c r="T3118" s="6"/>
      <c r="U3118" s="5">
        <f>MATCH(B3118,Manual_Review!$A$6:$A$238,0)</f>
        <v>195</v>
      </c>
      <c r="V3118" s="5" t="str">
        <f>IF(INDEX(Manual_Review!$G$6:$G$238,U3118)="","",INDEX(Manual_Review!$G$6:$G$238,U3118))</f>
        <v/>
      </c>
      <c r="W3118" s="11" t="str">
        <f>IF(INDEX(Manual_Review!$H$6:$H$238,U3118)="","",INDEX(Manual_Review!$H$6:$H$238,U3118))</f>
        <v/>
      </c>
      <c r="X3118" s="5" t="str">
        <f>IF(INDEX(Manual_Review!$I$6:$I$238,U3118)="","",INDEX(Manual_Review!$I$6:$I$238,U3118))</f>
        <v/>
      </c>
      <c r="Y3118" s="5" t="s">
        <v>2859</v>
      </c>
    </row>
    <row r="3119" spans="1:25" ht="25.5">
      <c r="A3119" s="5" t="s">
        <v>9460</v>
      </c>
      <c r="B3119" s="5" t="s">
        <v>2223</v>
      </c>
      <c r="C3119" s="5" t="s">
        <v>2224</v>
      </c>
      <c r="D3119" s="5" t="s">
        <v>118</v>
      </c>
      <c r="E3119" s="5" t="s">
        <v>2790</v>
      </c>
      <c r="F3119" s="5" t="s">
        <v>2760</v>
      </c>
      <c r="G3119" s="5">
        <v>1</v>
      </c>
      <c r="H3119" s="5" t="s">
        <v>2854</v>
      </c>
      <c r="I3119" s="5" t="str">
        <f>IF(INDEX(Manual_Review!$T$6:$T$238,U3119)="","",INDEX(Manual_Review!$T$6:$T$238,U3119))</f>
        <v/>
      </c>
      <c r="J3119" s="5" t="str">
        <f t="shared" si="96"/>
        <v>AI provisional</v>
      </c>
      <c r="K3119" s="5" t="str">
        <f t="shared" si="97"/>
        <v>Y</v>
      </c>
      <c r="L3119" s="5" t="s">
        <v>2236</v>
      </c>
      <c r="M3119" s="5" t="s">
        <v>9461</v>
      </c>
      <c r="N3119" s="5" t="s">
        <v>9462</v>
      </c>
      <c r="O3119" s="5" t="s">
        <v>3451</v>
      </c>
      <c r="P3119" s="5" t="s">
        <v>2992</v>
      </c>
      <c r="Q3119" s="11">
        <v>46306.5</v>
      </c>
      <c r="R3119" s="6"/>
      <c r="S3119" s="6"/>
      <c r="T3119" s="6"/>
      <c r="U3119" s="5">
        <f>MATCH(B3119,Manual_Review!$A$6:$A$238,0)</f>
        <v>195</v>
      </c>
      <c r="V3119" s="5" t="str">
        <f>IF(INDEX(Manual_Review!$G$6:$G$238,U3119)="","",INDEX(Manual_Review!$G$6:$G$238,U3119))</f>
        <v/>
      </c>
      <c r="W3119" s="11" t="str">
        <f>IF(INDEX(Manual_Review!$H$6:$H$238,U3119)="","",INDEX(Manual_Review!$H$6:$H$238,U3119))</f>
        <v/>
      </c>
      <c r="X3119" s="5" t="str">
        <f>IF(INDEX(Manual_Review!$I$6:$I$238,U3119)="","",INDEX(Manual_Review!$I$6:$I$238,U3119))</f>
        <v/>
      </c>
      <c r="Y3119" s="5" t="s">
        <v>2859</v>
      </c>
    </row>
    <row r="3120" spans="1:25" ht="25.5">
      <c r="A3120" s="5" t="s">
        <v>9463</v>
      </c>
      <c r="B3120" s="5" t="s">
        <v>2223</v>
      </c>
      <c r="C3120" s="5" t="s">
        <v>2224</v>
      </c>
      <c r="D3120" s="5" t="s">
        <v>118</v>
      </c>
      <c r="E3120" s="5" t="s">
        <v>2791</v>
      </c>
      <c r="F3120" s="5" t="s">
        <v>2760</v>
      </c>
      <c r="G3120" s="5">
        <v>1</v>
      </c>
      <c r="H3120" s="5" t="s">
        <v>2864</v>
      </c>
      <c r="I3120" s="5" t="str">
        <f>IF(INDEX(Manual_Review!$U$6:$U$238,U3120)="","",INDEX(Manual_Review!$U$6:$U$238,U3120))</f>
        <v/>
      </c>
      <c r="J3120" s="5" t="str">
        <f t="shared" si="96"/>
        <v>AI provisional</v>
      </c>
      <c r="K3120" s="5" t="str">
        <f t="shared" si="97"/>
        <v>U</v>
      </c>
      <c r="L3120" s="5" t="s">
        <v>2236</v>
      </c>
      <c r="M3120" s="5" t="s">
        <v>9464</v>
      </c>
      <c r="N3120" s="5" t="s">
        <v>9465</v>
      </c>
      <c r="O3120" s="5" t="s">
        <v>3030</v>
      </c>
      <c r="P3120" s="5" t="s">
        <v>2992</v>
      </c>
      <c r="Q3120" s="11">
        <v>46306.5</v>
      </c>
      <c r="R3120" s="6"/>
      <c r="S3120" s="6"/>
      <c r="T3120" s="6"/>
      <c r="U3120" s="5">
        <f>MATCH(B3120,Manual_Review!$A$6:$A$238,0)</f>
        <v>195</v>
      </c>
      <c r="V3120" s="5" t="str">
        <f>IF(INDEX(Manual_Review!$G$6:$G$238,U3120)="","",INDEX(Manual_Review!$G$6:$G$238,U3120))</f>
        <v/>
      </c>
      <c r="W3120" s="11" t="str">
        <f>IF(INDEX(Manual_Review!$H$6:$H$238,U3120)="","",INDEX(Manual_Review!$H$6:$H$238,U3120))</f>
        <v/>
      </c>
      <c r="X3120" s="5" t="str">
        <f>IF(INDEX(Manual_Review!$I$6:$I$238,U3120)="","",INDEX(Manual_Review!$I$6:$I$238,U3120))</f>
        <v/>
      </c>
      <c r="Y3120" s="5" t="s">
        <v>2859</v>
      </c>
    </row>
    <row r="3121" spans="1:25" ht="25.5">
      <c r="A3121" s="5" t="s">
        <v>9466</v>
      </c>
      <c r="B3121" s="5" t="s">
        <v>2223</v>
      </c>
      <c r="C3121" s="5" t="s">
        <v>2224</v>
      </c>
      <c r="D3121" s="5" t="s">
        <v>118</v>
      </c>
      <c r="E3121" s="5" t="s">
        <v>2792</v>
      </c>
      <c r="F3121" s="5" t="s">
        <v>2762</v>
      </c>
      <c r="G3121" s="5">
        <v>1</v>
      </c>
      <c r="H3121" s="5" t="s">
        <v>2854</v>
      </c>
      <c r="I3121" s="5" t="str">
        <f>IF(INDEX(Manual_Review!$V$6:$V$238,U3121)="","",INDEX(Manual_Review!$V$6:$V$238,U3121))</f>
        <v/>
      </c>
      <c r="J3121" s="5" t="str">
        <f t="shared" si="96"/>
        <v>AI provisional</v>
      </c>
      <c r="K3121" s="5" t="str">
        <f t="shared" si="97"/>
        <v>Y</v>
      </c>
      <c r="L3121" s="5" t="s">
        <v>2236</v>
      </c>
      <c r="M3121" s="5" t="s">
        <v>9467</v>
      </c>
      <c r="N3121" s="5" t="s">
        <v>9468</v>
      </c>
      <c r="O3121" s="5" t="s">
        <v>3034</v>
      </c>
      <c r="P3121" s="5" t="s">
        <v>2992</v>
      </c>
      <c r="Q3121" s="11">
        <v>46306.5</v>
      </c>
      <c r="R3121" s="6"/>
      <c r="S3121" s="6"/>
      <c r="T3121" s="6"/>
      <c r="U3121" s="5">
        <f>MATCH(B3121,Manual_Review!$A$6:$A$238,0)</f>
        <v>195</v>
      </c>
      <c r="V3121" s="5" t="str">
        <f>IF(INDEX(Manual_Review!$G$6:$G$238,U3121)="","",INDEX(Manual_Review!$G$6:$G$238,U3121))</f>
        <v/>
      </c>
      <c r="W3121" s="11" t="str">
        <f>IF(INDEX(Manual_Review!$H$6:$H$238,U3121)="","",INDEX(Manual_Review!$H$6:$H$238,U3121))</f>
        <v/>
      </c>
      <c r="X3121" s="5" t="str">
        <f>IF(INDEX(Manual_Review!$I$6:$I$238,U3121)="","",INDEX(Manual_Review!$I$6:$I$238,U3121))</f>
        <v/>
      </c>
      <c r="Y3121" s="5" t="s">
        <v>2859</v>
      </c>
    </row>
    <row r="3122" spans="1:25" ht="51">
      <c r="A3122" s="5" t="s">
        <v>9469</v>
      </c>
      <c r="B3122" s="5" t="s">
        <v>2223</v>
      </c>
      <c r="C3122" s="5" t="s">
        <v>2224</v>
      </c>
      <c r="D3122" s="5" t="s">
        <v>118</v>
      </c>
      <c r="E3122" s="5" t="s">
        <v>2793</v>
      </c>
      <c r="F3122" s="5" t="s">
        <v>2762</v>
      </c>
      <c r="G3122" s="5">
        <v>1</v>
      </c>
      <c r="H3122" s="5" t="s">
        <v>2854</v>
      </c>
      <c r="I3122" s="5" t="str">
        <f>IF(INDEX(Manual_Review!$W$6:$W$238,U3122)="","",INDEX(Manual_Review!$W$6:$W$238,U3122))</f>
        <v/>
      </c>
      <c r="J3122" s="5" t="str">
        <f t="shared" si="96"/>
        <v>AI provisional</v>
      </c>
      <c r="K3122" s="5" t="str">
        <f t="shared" si="97"/>
        <v>Y</v>
      </c>
      <c r="L3122" s="5" t="s">
        <v>2236</v>
      </c>
      <c r="M3122" s="5" t="s">
        <v>9470</v>
      </c>
      <c r="N3122" s="5" t="s">
        <v>9471</v>
      </c>
      <c r="O3122" s="5" t="s">
        <v>3038</v>
      </c>
      <c r="P3122" s="5" t="s">
        <v>2992</v>
      </c>
      <c r="Q3122" s="11">
        <v>46306.5</v>
      </c>
      <c r="R3122" s="6"/>
      <c r="S3122" s="6"/>
      <c r="T3122" s="6"/>
      <c r="U3122" s="5">
        <f>MATCH(B3122,Manual_Review!$A$6:$A$238,0)</f>
        <v>195</v>
      </c>
      <c r="V3122" s="5" t="str">
        <f>IF(INDEX(Manual_Review!$G$6:$G$238,U3122)="","",INDEX(Manual_Review!$G$6:$G$238,U3122))</f>
        <v/>
      </c>
      <c r="W3122" s="11" t="str">
        <f>IF(INDEX(Manual_Review!$H$6:$H$238,U3122)="","",INDEX(Manual_Review!$H$6:$H$238,U3122))</f>
        <v/>
      </c>
      <c r="X3122" s="5" t="str">
        <f>IF(INDEX(Manual_Review!$I$6:$I$238,U3122)="","",INDEX(Manual_Review!$I$6:$I$238,U3122))</f>
        <v/>
      </c>
      <c r="Y3122" s="5" t="s">
        <v>2859</v>
      </c>
    </row>
    <row r="3123" spans="1:25" ht="25.5">
      <c r="A3123" s="5" t="s">
        <v>9472</v>
      </c>
      <c r="B3123" s="5" t="s">
        <v>2223</v>
      </c>
      <c r="C3123" s="5" t="s">
        <v>2224</v>
      </c>
      <c r="D3123" s="5" t="s">
        <v>118</v>
      </c>
      <c r="E3123" s="5" t="s">
        <v>2794</v>
      </c>
      <c r="F3123" s="5" t="s">
        <v>2764</v>
      </c>
      <c r="G3123" s="5">
        <v>1</v>
      </c>
      <c r="H3123" s="5" t="s">
        <v>2864</v>
      </c>
      <c r="I3123" s="5" t="str">
        <f>IF(INDEX(Manual_Review!$X$6:$X$238,U3123)="","",INDEX(Manual_Review!$X$6:$X$238,U3123))</f>
        <v/>
      </c>
      <c r="J3123" s="5" t="str">
        <f t="shared" si="96"/>
        <v>AI provisional</v>
      </c>
      <c r="K3123" s="5" t="str">
        <f t="shared" si="97"/>
        <v>U</v>
      </c>
      <c r="L3123" s="5" t="s">
        <v>2236</v>
      </c>
      <c r="M3123" s="5" t="s">
        <v>9473</v>
      </c>
      <c r="N3123" s="5" t="s">
        <v>9474</v>
      </c>
      <c r="O3123" s="5" t="s">
        <v>3465</v>
      </c>
      <c r="P3123" s="5" t="s">
        <v>2992</v>
      </c>
      <c r="Q3123" s="11">
        <v>46306.5</v>
      </c>
      <c r="R3123" s="6"/>
      <c r="S3123" s="6"/>
      <c r="T3123" s="6"/>
      <c r="U3123" s="5">
        <f>MATCH(B3123,Manual_Review!$A$6:$A$238,0)</f>
        <v>195</v>
      </c>
      <c r="V3123" s="5" t="str">
        <f>IF(INDEX(Manual_Review!$G$6:$G$238,U3123)="","",INDEX(Manual_Review!$G$6:$G$238,U3123))</f>
        <v/>
      </c>
      <c r="W3123" s="11" t="str">
        <f>IF(INDEX(Manual_Review!$H$6:$H$238,U3123)="","",INDEX(Manual_Review!$H$6:$H$238,U3123))</f>
        <v/>
      </c>
      <c r="X3123" s="5" t="str">
        <f>IF(INDEX(Manual_Review!$I$6:$I$238,U3123)="","",INDEX(Manual_Review!$I$6:$I$238,U3123))</f>
        <v/>
      </c>
      <c r="Y3123" s="5" t="s">
        <v>2859</v>
      </c>
    </row>
    <row r="3124" spans="1:25" ht="25.5">
      <c r="A3124" s="5" t="s">
        <v>9475</v>
      </c>
      <c r="B3124" s="5" t="s">
        <v>2223</v>
      </c>
      <c r="C3124" s="5" t="s">
        <v>2224</v>
      </c>
      <c r="D3124" s="5" t="s">
        <v>118</v>
      </c>
      <c r="E3124" s="5" t="s">
        <v>2795</v>
      </c>
      <c r="F3124" s="5" t="s">
        <v>2764</v>
      </c>
      <c r="G3124" s="5">
        <v>1</v>
      </c>
      <c r="H3124" s="5" t="s">
        <v>2864</v>
      </c>
      <c r="I3124" s="5" t="str">
        <f>IF(INDEX(Manual_Review!$Y$6:$Y$238,U3124)="","",INDEX(Manual_Review!$Y$6:$Y$238,U3124))</f>
        <v/>
      </c>
      <c r="J3124" s="5" t="str">
        <f t="shared" si="96"/>
        <v>AI provisional</v>
      </c>
      <c r="K3124" s="5" t="str">
        <f t="shared" si="97"/>
        <v>U</v>
      </c>
      <c r="L3124" s="5" t="s">
        <v>2236</v>
      </c>
      <c r="M3124" s="5" t="s">
        <v>9476</v>
      </c>
      <c r="N3124" s="5" t="s">
        <v>9477</v>
      </c>
      <c r="O3124" s="5" t="s">
        <v>3469</v>
      </c>
      <c r="P3124" s="5" t="s">
        <v>2992</v>
      </c>
      <c r="Q3124" s="11">
        <v>46306.5</v>
      </c>
      <c r="R3124" s="6"/>
      <c r="S3124" s="6"/>
      <c r="T3124" s="6"/>
      <c r="U3124" s="5">
        <f>MATCH(B3124,Manual_Review!$A$6:$A$238,0)</f>
        <v>195</v>
      </c>
      <c r="V3124" s="5" t="str">
        <f>IF(INDEX(Manual_Review!$G$6:$G$238,U3124)="","",INDEX(Manual_Review!$G$6:$G$238,U3124))</f>
        <v/>
      </c>
      <c r="W3124" s="11" t="str">
        <f>IF(INDEX(Manual_Review!$H$6:$H$238,U3124)="","",INDEX(Manual_Review!$H$6:$H$238,U3124))</f>
        <v/>
      </c>
      <c r="X3124" s="5" t="str">
        <f>IF(INDEX(Manual_Review!$I$6:$I$238,U3124)="","",INDEX(Manual_Review!$I$6:$I$238,U3124))</f>
        <v/>
      </c>
      <c r="Y3124" s="5" t="s">
        <v>2859</v>
      </c>
    </row>
    <row r="3125" spans="1:25" ht="51">
      <c r="A3125" s="5" t="s">
        <v>9478</v>
      </c>
      <c r="B3125" s="5" t="s">
        <v>2223</v>
      </c>
      <c r="C3125" s="5" t="s">
        <v>2224</v>
      </c>
      <c r="D3125" s="5" t="s">
        <v>118</v>
      </c>
      <c r="E3125" s="5" t="s">
        <v>2796</v>
      </c>
      <c r="F3125" s="5" t="s">
        <v>2764</v>
      </c>
      <c r="G3125" s="5">
        <v>1</v>
      </c>
      <c r="H3125" s="5" t="s">
        <v>2864</v>
      </c>
      <c r="I3125" s="5" t="str">
        <f>IF(INDEX(Manual_Review!$Z$6:$Z$238,U3125)="","",INDEX(Manual_Review!$Z$6:$Z$238,U3125))</f>
        <v/>
      </c>
      <c r="J3125" s="5" t="str">
        <f t="shared" si="96"/>
        <v>AI provisional</v>
      </c>
      <c r="K3125" s="5" t="str">
        <f t="shared" si="97"/>
        <v>U</v>
      </c>
      <c r="L3125" s="5" t="s">
        <v>2236</v>
      </c>
      <c r="M3125" s="5" t="s">
        <v>9479</v>
      </c>
      <c r="N3125" s="5" t="s">
        <v>9480</v>
      </c>
      <c r="O3125" s="5" t="s">
        <v>3050</v>
      </c>
      <c r="P3125" s="5" t="s">
        <v>2992</v>
      </c>
      <c r="Q3125" s="11">
        <v>46306.5</v>
      </c>
      <c r="R3125" s="6"/>
      <c r="S3125" s="6"/>
      <c r="T3125" s="6"/>
      <c r="U3125" s="5">
        <f>MATCH(B3125,Manual_Review!$A$6:$A$238,0)</f>
        <v>195</v>
      </c>
      <c r="V3125" s="5" t="str">
        <f>IF(INDEX(Manual_Review!$G$6:$G$238,U3125)="","",INDEX(Manual_Review!$G$6:$G$238,U3125))</f>
        <v/>
      </c>
      <c r="W3125" s="11" t="str">
        <f>IF(INDEX(Manual_Review!$H$6:$H$238,U3125)="","",INDEX(Manual_Review!$H$6:$H$238,U3125))</f>
        <v/>
      </c>
      <c r="X3125" s="5" t="str">
        <f>IF(INDEX(Manual_Review!$I$6:$I$238,U3125)="","",INDEX(Manual_Review!$I$6:$I$238,U3125))</f>
        <v/>
      </c>
      <c r="Y3125" s="5" t="s">
        <v>2859</v>
      </c>
    </row>
    <row r="3126" spans="1:25" ht="25.5">
      <c r="A3126" s="5" t="s">
        <v>9481</v>
      </c>
      <c r="B3126" s="5" t="s">
        <v>2238</v>
      </c>
      <c r="C3126" s="5" t="s">
        <v>2239</v>
      </c>
      <c r="D3126" s="5" t="s">
        <v>118</v>
      </c>
      <c r="E3126" s="5" t="s">
        <v>2781</v>
      </c>
      <c r="F3126" s="5" t="s">
        <v>2754</v>
      </c>
      <c r="G3126" s="5">
        <v>1</v>
      </c>
      <c r="H3126" s="5" t="s">
        <v>2854</v>
      </c>
      <c r="I3126" s="5" t="str">
        <f>IF(INDEX(Manual_Review!$K$6:$K$238,U3126)="","",INDEX(Manual_Review!$K$6:$K$238,U3126))</f>
        <v/>
      </c>
      <c r="J3126" s="5" t="str">
        <f t="shared" si="96"/>
        <v>AI provisional</v>
      </c>
      <c r="K3126" s="5" t="str">
        <f t="shared" si="97"/>
        <v>Y</v>
      </c>
      <c r="L3126" s="5" t="s">
        <v>2250</v>
      </c>
      <c r="M3126" s="5" t="s">
        <v>9482</v>
      </c>
      <c r="N3126" s="5" t="s">
        <v>9483</v>
      </c>
      <c r="O3126" s="5" t="s">
        <v>2991</v>
      </c>
      <c r="P3126" s="5" t="s">
        <v>2992</v>
      </c>
      <c r="Q3126" s="11">
        <v>46306.5</v>
      </c>
      <c r="R3126" s="6"/>
      <c r="S3126" s="6"/>
      <c r="T3126" s="6"/>
      <c r="U3126" s="5">
        <f>MATCH(B3126,Manual_Review!$A$6:$A$238,0)</f>
        <v>196</v>
      </c>
      <c r="V3126" s="5" t="str">
        <f>IF(INDEX(Manual_Review!$G$6:$G$238,U3126)="","",INDEX(Manual_Review!$G$6:$G$238,U3126))</f>
        <v/>
      </c>
      <c r="W3126" s="11" t="str">
        <f>IF(INDEX(Manual_Review!$H$6:$H$238,U3126)="","",INDEX(Manual_Review!$H$6:$H$238,U3126))</f>
        <v/>
      </c>
      <c r="X3126" s="5" t="str">
        <f>IF(INDEX(Manual_Review!$I$6:$I$238,U3126)="","",INDEX(Manual_Review!$I$6:$I$238,U3126))</f>
        <v/>
      </c>
      <c r="Y3126" s="5" t="s">
        <v>2859</v>
      </c>
    </row>
    <row r="3127" spans="1:25" ht="25.5">
      <c r="A3127" s="5" t="s">
        <v>9484</v>
      </c>
      <c r="B3127" s="5" t="s">
        <v>2238</v>
      </c>
      <c r="C3127" s="5" t="s">
        <v>2239</v>
      </c>
      <c r="D3127" s="5" t="s">
        <v>118</v>
      </c>
      <c r="E3127" s="5" t="s">
        <v>2782</v>
      </c>
      <c r="F3127" s="5" t="s">
        <v>2754</v>
      </c>
      <c r="G3127" s="5">
        <v>1</v>
      </c>
      <c r="H3127" s="5" t="s">
        <v>2854</v>
      </c>
      <c r="I3127" s="5" t="str">
        <f>IF(INDEX(Manual_Review!$L$6:$L$238,U3127)="","",INDEX(Manual_Review!$L$6:$L$238,U3127))</f>
        <v/>
      </c>
      <c r="J3127" s="5" t="str">
        <f t="shared" si="96"/>
        <v>AI provisional</v>
      </c>
      <c r="K3127" s="5" t="str">
        <f t="shared" si="97"/>
        <v>Y</v>
      </c>
      <c r="L3127" s="5" t="s">
        <v>2250</v>
      </c>
      <c r="M3127" s="5" t="s">
        <v>9485</v>
      </c>
      <c r="N3127" s="5" t="s">
        <v>9486</v>
      </c>
      <c r="O3127" s="5" t="s">
        <v>2996</v>
      </c>
      <c r="P3127" s="5" t="s">
        <v>2992</v>
      </c>
      <c r="Q3127" s="11">
        <v>46306.5</v>
      </c>
      <c r="R3127" s="6"/>
      <c r="S3127" s="6"/>
      <c r="T3127" s="6"/>
      <c r="U3127" s="5">
        <f>MATCH(B3127,Manual_Review!$A$6:$A$238,0)</f>
        <v>196</v>
      </c>
      <c r="V3127" s="5" t="str">
        <f>IF(INDEX(Manual_Review!$G$6:$G$238,U3127)="","",INDEX(Manual_Review!$G$6:$G$238,U3127))</f>
        <v/>
      </c>
      <c r="W3127" s="11" t="str">
        <f>IF(INDEX(Manual_Review!$H$6:$H$238,U3127)="","",INDEX(Manual_Review!$H$6:$H$238,U3127))</f>
        <v/>
      </c>
      <c r="X3127" s="5" t="str">
        <f>IF(INDEX(Manual_Review!$I$6:$I$238,U3127)="","",INDEX(Manual_Review!$I$6:$I$238,U3127))</f>
        <v/>
      </c>
      <c r="Y3127" s="5" t="s">
        <v>2859</v>
      </c>
    </row>
    <row r="3128" spans="1:25" ht="25.5">
      <c r="A3128" s="5" t="s">
        <v>9487</v>
      </c>
      <c r="B3128" s="5" t="s">
        <v>2238</v>
      </c>
      <c r="C3128" s="5" t="s">
        <v>2239</v>
      </c>
      <c r="D3128" s="5" t="s">
        <v>118</v>
      </c>
      <c r="E3128" s="5" t="s">
        <v>2783</v>
      </c>
      <c r="F3128" s="5" t="s">
        <v>2754</v>
      </c>
      <c r="G3128" s="5">
        <v>1</v>
      </c>
      <c r="H3128" s="5" t="s">
        <v>2854</v>
      </c>
      <c r="I3128" s="5" t="str">
        <f>IF(INDEX(Manual_Review!$M$6:$M$238,U3128)="","",INDEX(Manual_Review!$M$6:$M$238,U3128))</f>
        <v/>
      </c>
      <c r="J3128" s="5" t="str">
        <f t="shared" si="96"/>
        <v>AI provisional</v>
      </c>
      <c r="K3128" s="5" t="str">
        <f t="shared" si="97"/>
        <v>Y</v>
      </c>
      <c r="L3128" s="5" t="s">
        <v>2250</v>
      </c>
      <c r="M3128" s="5" t="s">
        <v>9488</v>
      </c>
      <c r="N3128" s="5" t="s">
        <v>9489</v>
      </c>
      <c r="O3128" s="5" t="s">
        <v>3000</v>
      </c>
      <c r="P3128" s="5" t="s">
        <v>2992</v>
      </c>
      <c r="Q3128" s="11">
        <v>46306.5</v>
      </c>
      <c r="R3128" s="6"/>
      <c r="S3128" s="6"/>
      <c r="T3128" s="6"/>
      <c r="U3128" s="5">
        <f>MATCH(B3128,Manual_Review!$A$6:$A$238,0)</f>
        <v>196</v>
      </c>
      <c r="V3128" s="5" t="str">
        <f>IF(INDEX(Manual_Review!$G$6:$G$238,U3128)="","",INDEX(Manual_Review!$G$6:$G$238,U3128))</f>
        <v/>
      </c>
      <c r="W3128" s="11" t="str">
        <f>IF(INDEX(Manual_Review!$H$6:$H$238,U3128)="","",INDEX(Manual_Review!$H$6:$H$238,U3128))</f>
        <v/>
      </c>
      <c r="X3128" s="5" t="str">
        <f>IF(INDEX(Manual_Review!$I$6:$I$238,U3128)="","",INDEX(Manual_Review!$I$6:$I$238,U3128))</f>
        <v/>
      </c>
      <c r="Y3128" s="5" t="s">
        <v>2859</v>
      </c>
    </row>
    <row r="3129" spans="1:25" ht="25.5">
      <c r="A3129" s="5" t="s">
        <v>9490</v>
      </c>
      <c r="B3129" s="5" t="s">
        <v>2238</v>
      </c>
      <c r="C3129" s="5" t="s">
        <v>2239</v>
      </c>
      <c r="D3129" s="5" t="s">
        <v>118</v>
      </c>
      <c r="E3129" s="5" t="s">
        <v>2784</v>
      </c>
      <c r="F3129" s="5" t="s">
        <v>2756</v>
      </c>
      <c r="G3129" s="5">
        <v>1</v>
      </c>
      <c r="H3129" s="5" t="s">
        <v>2854</v>
      </c>
      <c r="I3129" s="5" t="str">
        <f>IF(INDEX(Manual_Review!$N$6:$N$238,U3129)="","",INDEX(Manual_Review!$N$6:$N$238,U3129))</f>
        <v/>
      </c>
      <c r="J3129" s="5" t="str">
        <f t="shared" si="96"/>
        <v>AI provisional</v>
      </c>
      <c r="K3129" s="5" t="str">
        <f t="shared" si="97"/>
        <v>Y</v>
      </c>
      <c r="L3129" s="5" t="s">
        <v>2250</v>
      </c>
      <c r="M3129" s="5" t="s">
        <v>9491</v>
      </c>
      <c r="N3129" s="5" t="s">
        <v>9492</v>
      </c>
      <c r="O3129" s="5" t="s">
        <v>3004</v>
      </c>
      <c r="P3129" s="5" t="s">
        <v>2992</v>
      </c>
      <c r="Q3129" s="11">
        <v>46306.5</v>
      </c>
      <c r="R3129" s="6"/>
      <c r="S3129" s="6"/>
      <c r="T3129" s="6"/>
      <c r="U3129" s="5">
        <f>MATCH(B3129,Manual_Review!$A$6:$A$238,0)</f>
        <v>196</v>
      </c>
      <c r="V3129" s="5" t="str">
        <f>IF(INDEX(Manual_Review!$G$6:$G$238,U3129)="","",INDEX(Manual_Review!$G$6:$G$238,U3129))</f>
        <v/>
      </c>
      <c r="W3129" s="11" t="str">
        <f>IF(INDEX(Manual_Review!$H$6:$H$238,U3129)="","",INDEX(Manual_Review!$H$6:$H$238,U3129))</f>
        <v/>
      </c>
      <c r="X3129" s="5" t="str">
        <f>IF(INDEX(Manual_Review!$I$6:$I$238,U3129)="","",INDEX(Manual_Review!$I$6:$I$238,U3129))</f>
        <v/>
      </c>
      <c r="Y3129" s="5" t="s">
        <v>2859</v>
      </c>
    </row>
    <row r="3130" spans="1:25" ht="25.5">
      <c r="A3130" s="5" t="s">
        <v>9493</v>
      </c>
      <c r="B3130" s="5" t="s">
        <v>2238</v>
      </c>
      <c r="C3130" s="5" t="s">
        <v>2239</v>
      </c>
      <c r="D3130" s="5" t="s">
        <v>118</v>
      </c>
      <c r="E3130" s="5" t="s">
        <v>2785</v>
      </c>
      <c r="F3130" s="5" t="s">
        <v>2756</v>
      </c>
      <c r="G3130" s="5">
        <v>1</v>
      </c>
      <c r="H3130" s="5" t="s">
        <v>2854</v>
      </c>
      <c r="I3130" s="5" t="str">
        <f>IF(INDEX(Manual_Review!$O$6:$O$238,U3130)="","",INDEX(Manual_Review!$O$6:$O$238,U3130))</f>
        <v/>
      </c>
      <c r="J3130" s="5" t="str">
        <f t="shared" si="96"/>
        <v>AI provisional</v>
      </c>
      <c r="K3130" s="5" t="str">
        <f t="shared" si="97"/>
        <v>Y</v>
      </c>
      <c r="L3130" s="5" t="s">
        <v>2250</v>
      </c>
      <c r="M3130" s="5" t="s">
        <v>9491</v>
      </c>
      <c r="N3130" s="5" t="s">
        <v>9492</v>
      </c>
      <c r="O3130" s="5" t="s">
        <v>5541</v>
      </c>
      <c r="P3130" s="5" t="s">
        <v>2992</v>
      </c>
      <c r="Q3130" s="11">
        <v>46306.5</v>
      </c>
      <c r="R3130" s="6"/>
      <c r="S3130" s="6"/>
      <c r="T3130" s="6"/>
      <c r="U3130" s="5">
        <f>MATCH(B3130,Manual_Review!$A$6:$A$238,0)</f>
        <v>196</v>
      </c>
      <c r="V3130" s="5" t="str">
        <f>IF(INDEX(Manual_Review!$G$6:$G$238,U3130)="","",INDEX(Manual_Review!$G$6:$G$238,U3130))</f>
        <v/>
      </c>
      <c r="W3130" s="11" t="str">
        <f>IF(INDEX(Manual_Review!$H$6:$H$238,U3130)="","",INDEX(Manual_Review!$H$6:$H$238,U3130))</f>
        <v/>
      </c>
      <c r="X3130" s="5" t="str">
        <f>IF(INDEX(Manual_Review!$I$6:$I$238,U3130)="","",INDEX(Manual_Review!$I$6:$I$238,U3130))</f>
        <v/>
      </c>
      <c r="Y3130" s="5" t="s">
        <v>2859</v>
      </c>
    </row>
    <row r="3131" spans="1:25" ht="38.25">
      <c r="A3131" s="5" t="s">
        <v>9494</v>
      </c>
      <c r="B3131" s="5" t="s">
        <v>2238</v>
      </c>
      <c r="C3131" s="5" t="s">
        <v>2239</v>
      </c>
      <c r="D3131" s="5" t="s">
        <v>118</v>
      </c>
      <c r="E3131" s="5" t="s">
        <v>2786</v>
      </c>
      <c r="F3131" s="5" t="s">
        <v>2756</v>
      </c>
      <c r="G3131" s="5">
        <v>1</v>
      </c>
      <c r="H3131" s="5" t="s">
        <v>2864</v>
      </c>
      <c r="I3131" s="5" t="str">
        <f>IF(INDEX(Manual_Review!$P$6:$P$238,U3131)="","",INDEX(Manual_Review!$P$6:$P$238,U3131))</f>
        <v/>
      </c>
      <c r="J3131" s="5" t="str">
        <f t="shared" si="96"/>
        <v>AI provisional</v>
      </c>
      <c r="K3131" s="5" t="str">
        <f t="shared" si="97"/>
        <v>U</v>
      </c>
      <c r="L3131" s="5" t="s">
        <v>2250</v>
      </c>
      <c r="M3131" s="5" t="s">
        <v>9495</v>
      </c>
      <c r="N3131" s="5" t="s">
        <v>9496</v>
      </c>
      <c r="O3131" s="5" t="s">
        <v>3010</v>
      </c>
      <c r="P3131" s="5" t="s">
        <v>2992</v>
      </c>
      <c r="Q3131" s="11">
        <v>46306.5</v>
      </c>
      <c r="R3131" s="6"/>
      <c r="S3131" s="6"/>
      <c r="T3131" s="6"/>
      <c r="U3131" s="5">
        <f>MATCH(B3131,Manual_Review!$A$6:$A$238,0)</f>
        <v>196</v>
      </c>
      <c r="V3131" s="5" t="str">
        <f>IF(INDEX(Manual_Review!$G$6:$G$238,U3131)="","",INDEX(Manual_Review!$G$6:$G$238,U3131))</f>
        <v/>
      </c>
      <c r="W3131" s="11" t="str">
        <f>IF(INDEX(Manual_Review!$H$6:$H$238,U3131)="","",INDEX(Manual_Review!$H$6:$H$238,U3131))</f>
        <v/>
      </c>
      <c r="X3131" s="5" t="str">
        <f>IF(INDEX(Manual_Review!$I$6:$I$238,U3131)="","",INDEX(Manual_Review!$I$6:$I$238,U3131))</f>
        <v/>
      </c>
      <c r="Y3131" s="5" t="s">
        <v>2859</v>
      </c>
    </row>
    <row r="3132" spans="1:25" ht="25.5">
      <c r="A3132" s="5" t="s">
        <v>9497</v>
      </c>
      <c r="B3132" s="5" t="s">
        <v>2238</v>
      </c>
      <c r="C3132" s="5" t="s">
        <v>2239</v>
      </c>
      <c r="D3132" s="5" t="s">
        <v>118</v>
      </c>
      <c r="E3132" s="5" t="s">
        <v>2787</v>
      </c>
      <c r="F3132" s="5" t="s">
        <v>2758</v>
      </c>
      <c r="G3132" s="5">
        <v>1</v>
      </c>
      <c r="H3132" s="5" t="s">
        <v>2854</v>
      </c>
      <c r="I3132" s="5" t="str">
        <f>IF(INDEX(Manual_Review!$Q$6:$Q$238,U3132)="","",INDEX(Manual_Review!$Q$6:$Q$238,U3132))</f>
        <v/>
      </c>
      <c r="J3132" s="5" t="str">
        <f t="shared" si="96"/>
        <v>AI provisional</v>
      </c>
      <c r="K3132" s="5" t="str">
        <f t="shared" si="97"/>
        <v>Y</v>
      </c>
      <c r="L3132" s="5" t="s">
        <v>2250</v>
      </c>
      <c r="M3132" s="5" t="s">
        <v>9498</v>
      </c>
      <c r="N3132" s="5" t="s">
        <v>9499</v>
      </c>
      <c r="O3132" s="5" t="s">
        <v>3819</v>
      </c>
      <c r="P3132" s="5" t="s">
        <v>2992</v>
      </c>
      <c r="Q3132" s="11">
        <v>46306.5</v>
      </c>
      <c r="R3132" s="6"/>
      <c r="S3132" s="6"/>
      <c r="T3132" s="6"/>
      <c r="U3132" s="5">
        <f>MATCH(B3132,Manual_Review!$A$6:$A$238,0)</f>
        <v>196</v>
      </c>
      <c r="V3132" s="5" t="str">
        <f>IF(INDEX(Manual_Review!$G$6:$G$238,U3132)="","",INDEX(Manual_Review!$G$6:$G$238,U3132))</f>
        <v/>
      </c>
      <c r="W3132" s="11" t="str">
        <f>IF(INDEX(Manual_Review!$H$6:$H$238,U3132)="","",INDEX(Manual_Review!$H$6:$H$238,U3132))</f>
        <v/>
      </c>
      <c r="X3132" s="5" t="str">
        <f>IF(INDEX(Manual_Review!$I$6:$I$238,U3132)="","",INDEX(Manual_Review!$I$6:$I$238,U3132))</f>
        <v/>
      </c>
      <c r="Y3132" s="5" t="s">
        <v>2859</v>
      </c>
    </row>
    <row r="3133" spans="1:25" ht="38.25">
      <c r="A3133" s="5" t="s">
        <v>9500</v>
      </c>
      <c r="B3133" s="5" t="s">
        <v>2238</v>
      </c>
      <c r="C3133" s="5" t="s">
        <v>2239</v>
      </c>
      <c r="D3133" s="5" t="s">
        <v>118</v>
      </c>
      <c r="E3133" s="5" t="s">
        <v>2788</v>
      </c>
      <c r="F3133" s="5" t="s">
        <v>2758</v>
      </c>
      <c r="G3133" s="5">
        <v>1</v>
      </c>
      <c r="H3133" s="5" t="s">
        <v>2854</v>
      </c>
      <c r="I3133" s="5" t="str">
        <f>IF(INDEX(Manual_Review!$R$6:$R$238,U3133)="","",INDEX(Manual_Review!$R$6:$R$238,U3133))</f>
        <v/>
      </c>
      <c r="J3133" s="5" t="str">
        <f t="shared" si="96"/>
        <v>AI provisional</v>
      </c>
      <c r="K3133" s="5" t="str">
        <f t="shared" si="97"/>
        <v>Y</v>
      </c>
      <c r="L3133" s="5" t="s">
        <v>2250</v>
      </c>
      <c r="M3133" s="5" t="s">
        <v>9501</v>
      </c>
      <c r="N3133" s="5" t="s">
        <v>9502</v>
      </c>
      <c r="O3133" s="5" t="s">
        <v>3018</v>
      </c>
      <c r="P3133" s="5" t="s">
        <v>2992</v>
      </c>
      <c r="Q3133" s="11">
        <v>46306.5</v>
      </c>
      <c r="R3133" s="6"/>
      <c r="S3133" s="6"/>
      <c r="T3133" s="6"/>
      <c r="U3133" s="5">
        <f>MATCH(B3133,Manual_Review!$A$6:$A$238,0)</f>
        <v>196</v>
      </c>
      <c r="V3133" s="5" t="str">
        <f>IF(INDEX(Manual_Review!$G$6:$G$238,U3133)="","",INDEX(Manual_Review!$G$6:$G$238,U3133))</f>
        <v/>
      </c>
      <c r="W3133" s="11" t="str">
        <f>IF(INDEX(Manual_Review!$H$6:$H$238,U3133)="","",INDEX(Manual_Review!$H$6:$H$238,U3133))</f>
        <v/>
      </c>
      <c r="X3133" s="5" t="str">
        <f>IF(INDEX(Manual_Review!$I$6:$I$238,U3133)="","",INDEX(Manual_Review!$I$6:$I$238,U3133))</f>
        <v/>
      </c>
      <c r="Y3133" s="5" t="s">
        <v>2859</v>
      </c>
    </row>
    <row r="3134" spans="1:25" ht="38.25">
      <c r="A3134" s="5" t="s">
        <v>9503</v>
      </c>
      <c r="B3134" s="5" t="s">
        <v>2238</v>
      </c>
      <c r="C3134" s="5" t="s">
        <v>2239</v>
      </c>
      <c r="D3134" s="5" t="s">
        <v>118</v>
      </c>
      <c r="E3134" s="5" t="s">
        <v>2789</v>
      </c>
      <c r="F3134" s="5" t="s">
        <v>2758</v>
      </c>
      <c r="G3134" s="5">
        <v>1</v>
      </c>
      <c r="H3134" s="5" t="s">
        <v>2854</v>
      </c>
      <c r="I3134" s="5" t="str">
        <f>IF(INDEX(Manual_Review!$S$6:$S$238,U3134)="","",INDEX(Manual_Review!$S$6:$S$238,U3134))</f>
        <v/>
      </c>
      <c r="J3134" s="5" t="str">
        <f t="shared" si="96"/>
        <v>AI provisional</v>
      </c>
      <c r="K3134" s="5" t="str">
        <f t="shared" si="97"/>
        <v>Y</v>
      </c>
      <c r="L3134" s="5" t="s">
        <v>2250</v>
      </c>
      <c r="M3134" s="5" t="s">
        <v>9504</v>
      </c>
      <c r="N3134" s="5" t="s">
        <v>9505</v>
      </c>
      <c r="O3134" s="5" t="s">
        <v>3022</v>
      </c>
      <c r="P3134" s="5" t="s">
        <v>2992</v>
      </c>
      <c r="Q3134" s="11">
        <v>46306.5</v>
      </c>
      <c r="R3134" s="6"/>
      <c r="S3134" s="6"/>
      <c r="T3134" s="6"/>
      <c r="U3134" s="5">
        <f>MATCH(B3134,Manual_Review!$A$6:$A$238,0)</f>
        <v>196</v>
      </c>
      <c r="V3134" s="5" t="str">
        <f>IF(INDEX(Manual_Review!$G$6:$G$238,U3134)="","",INDEX(Manual_Review!$G$6:$G$238,U3134))</f>
        <v/>
      </c>
      <c r="W3134" s="11" t="str">
        <f>IF(INDEX(Manual_Review!$H$6:$H$238,U3134)="","",INDEX(Manual_Review!$H$6:$H$238,U3134))</f>
        <v/>
      </c>
      <c r="X3134" s="5" t="str">
        <f>IF(INDEX(Manual_Review!$I$6:$I$238,U3134)="","",INDEX(Manual_Review!$I$6:$I$238,U3134))</f>
        <v/>
      </c>
      <c r="Y3134" s="5" t="s">
        <v>2859</v>
      </c>
    </row>
    <row r="3135" spans="1:25" ht="25.5">
      <c r="A3135" s="5" t="s">
        <v>9506</v>
      </c>
      <c r="B3135" s="5" t="s">
        <v>2238</v>
      </c>
      <c r="C3135" s="5" t="s">
        <v>2239</v>
      </c>
      <c r="D3135" s="5" t="s">
        <v>118</v>
      </c>
      <c r="E3135" s="5" t="s">
        <v>2790</v>
      </c>
      <c r="F3135" s="5" t="s">
        <v>2760</v>
      </c>
      <c r="G3135" s="5">
        <v>1</v>
      </c>
      <c r="H3135" s="5" t="s">
        <v>2854</v>
      </c>
      <c r="I3135" s="5" t="str">
        <f>IF(INDEX(Manual_Review!$T$6:$T$238,U3135)="","",INDEX(Manual_Review!$T$6:$T$238,U3135))</f>
        <v/>
      </c>
      <c r="J3135" s="5" t="str">
        <f t="shared" si="96"/>
        <v>AI provisional</v>
      </c>
      <c r="K3135" s="5" t="str">
        <f t="shared" si="97"/>
        <v>Y</v>
      </c>
      <c r="L3135" s="5" t="s">
        <v>2250</v>
      </c>
      <c r="M3135" s="5" t="s">
        <v>9507</v>
      </c>
      <c r="N3135" s="5" t="s">
        <v>9508</v>
      </c>
      <c r="O3135" s="5" t="s">
        <v>3451</v>
      </c>
      <c r="P3135" s="5" t="s">
        <v>2992</v>
      </c>
      <c r="Q3135" s="11">
        <v>46306.5</v>
      </c>
      <c r="R3135" s="6"/>
      <c r="S3135" s="6"/>
      <c r="T3135" s="6"/>
      <c r="U3135" s="5">
        <f>MATCH(B3135,Manual_Review!$A$6:$A$238,0)</f>
        <v>196</v>
      </c>
      <c r="V3135" s="5" t="str">
        <f>IF(INDEX(Manual_Review!$G$6:$G$238,U3135)="","",INDEX(Manual_Review!$G$6:$G$238,U3135))</f>
        <v/>
      </c>
      <c r="W3135" s="11" t="str">
        <f>IF(INDEX(Manual_Review!$H$6:$H$238,U3135)="","",INDEX(Manual_Review!$H$6:$H$238,U3135))</f>
        <v/>
      </c>
      <c r="X3135" s="5" t="str">
        <f>IF(INDEX(Manual_Review!$I$6:$I$238,U3135)="","",INDEX(Manual_Review!$I$6:$I$238,U3135))</f>
        <v/>
      </c>
      <c r="Y3135" s="5" t="s">
        <v>2859</v>
      </c>
    </row>
    <row r="3136" spans="1:25" ht="25.5">
      <c r="A3136" s="5" t="s">
        <v>9509</v>
      </c>
      <c r="B3136" s="5" t="s">
        <v>2238</v>
      </c>
      <c r="C3136" s="5" t="s">
        <v>2239</v>
      </c>
      <c r="D3136" s="5" t="s">
        <v>118</v>
      </c>
      <c r="E3136" s="5" t="s">
        <v>2791</v>
      </c>
      <c r="F3136" s="5" t="s">
        <v>2760</v>
      </c>
      <c r="G3136" s="5">
        <v>1</v>
      </c>
      <c r="H3136" s="5" t="s">
        <v>2864</v>
      </c>
      <c r="I3136" s="5" t="str">
        <f>IF(INDEX(Manual_Review!$U$6:$U$238,U3136)="","",INDEX(Manual_Review!$U$6:$U$238,U3136))</f>
        <v/>
      </c>
      <c r="J3136" s="5" t="str">
        <f t="shared" si="96"/>
        <v>AI provisional</v>
      </c>
      <c r="K3136" s="5" t="str">
        <f t="shared" si="97"/>
        <v>U</v>
      </c>
      <c r="L3136" s="5" t="s">
        <v>2250</v>
      </c>
      <c r="M3136" s="5" t="s">
        <v>9510</v>
      </c>
      <c r="N3136" s="5" t="s">
        <v>9511</v>
      </c>
      <c r="O3136" s="5" t="s">
        <v>3030</v>
      </c>
      <c r="P3136" s="5" t="s">
        <v>2992</v>
      </c>
      <c r="Q3136" s="11">
        <v>46306.5</v>
      </c>
      <c r="R3136" s="6"/>
      <c r="S3136" s="6"/>
      <c r="T3136" s="6"/>
      <c r="U3136" s="5">
        <f>MATCH(B3136,Manual_Review!$A$6:$A$238,0)</f>
        <v>196</v>
      </c>
      <c r="V3136" s="5" t="str">
        <f>IF(INDEX(Manual_Review!$G$6:$G$238,U3136)="","",INDEX(Manual_Review!$G$6:$G$238,U3136))</f>
        <v/>
      </c>
      <c r="W3136" s="11" t="str">
        <f>IF(INDEX(Manual_Review!$H$6:$H$238,U3136)="","",INDEX(Manual_Review!$H$6:$H$238,U3136))</f>
        <v/>
      </c>
      <c r="X3136" s="5" t="str">
        <f>IF(INDEX(Manual_Review!$I$6:$I$238,U3136)="","",INDEX(Manual_Review!$I$6:$I$238,U3136))</f>
        <v/>
      </c>
      <c r="Y3136" s="5" t="s">
        <v>2859</v>
      </c>
    </row>
    <row r="3137" spans="1:25" ht="25.5">
      <c r="A3137" s="5" t="s">
        <v>9512</v>
      </c>
      <c r="B3137" s="5" t="s">
        <v>2238</v>
      </c>
      <c r="C3137" s="5" t="s">
        <v>2239</v>
      </c>
      <c r="D3137" s="5" t="s">
        <v>118</v>
      </c>
      <c r="E3137" s="5" t="s">
        <v>2792</v>
      </c>
      <c r="F3137" s="5" t="s">
        <v>2762</v>
      </c>
      <c r="G3137" s="5">
        <v>1</v>
      </c>
      <c r="H3137" s="5" t="s">
        <v>2854</v>
      </c>
      <c r="I3137" s="5" t="str">
        <f>IF(INDEX(Manual_Review!$V$6:$V$238,U3137)="","",INDEX(Manual_Review!$V$6:$V$238,U3137))</f>
        <v/>
      </c>
      <c r="J3137" s="5" t="str">
        <f t="shared" si="96"/>
        <v>AI provisional</v>
      </c>
      <c r="K3137" s="5" t="str">
        <f t="shared" si="97"/>
        <v>Y</v>
      </c>
      <c r="L3137" s="5" t="s">
        <v>2250</v>
      </c>
      <c r="M3137" s="5" t="s">
        <v>9513</v>
      </c>
      <c r="N3137" s="5" t="s">
        <v>9514</v>
      </c>
      <c r="O3137" s="5" t="s">
        <v>3034</v>
      </c>
      <c r="P3137" s="5" t="s">
        <v>2992</v>
      </c>
      <c r="Q3137" s="11">
        <v>46306.5</v>
      </c>
      <c r="R3137" s="6"/>
      <c r="S3137" s="6"/>
      <c r="T3137" s="6"/>
      <c r="U3137" s="5">
        <f>MATCH(B3137,Manual_Review!$A$6:$A$238,0)</f>
        <v>196</v>
      </c>
      <c r="V3137" s="5" t="str">
        <f>IF(INDEX(Manual_Review!$G$6:$G$238,U3137)="","",INDEX(Manual_Review!$G$6:$G$238,U3137))</f>
        <v/>
      </c>
      <c r="W3137" s="11" t="str">
        <f>IF(INDEX(Manual_Review!$H$6:$H$238,U3137)="","",INDEX(Manual_Review!$H$6:$H$238,U3137))</f>
        <v/>
      </c>
      <c r="X3137" s="5" t="str">
        <f>IF(INDEX(Manual_Review!$I$6:$I$238,U3137)="","",INDEX(Manual_Review!$I$6:$I$238,U3137))</f>
        <v/>
      </c>
      <c r="Y3137" s="5" t="s">
        <v>2859</v>
      </c>
    </row>
    <row r="3138" spans="1:25" ht="38.25">
      <c r="A3138" s="5" t="s">
        <v>9515</v>
      </c>
      <c r="B3138" s="5" t="s">
        <v>2238</v>
      </c>
      <c r="C3138" s="5" t="s">
        <v>2239</v>
      </c>
      <c r="D3138" s="5" t="s">
        <v>118</v>
      </c>
      <c r="E3138" s="5" t="s">
        <v>2793</v>
      </c>
      <c r="F3138" s="5" t="s">
        <v>2762</v>
      </c>
      <c r="G3138" s="5">
        <v>1</v>
      </c>
      <c r="H3138" s="5" t="s">
        <v>2854</v>
      </c>
      <c r="I3138" s="5" t="str">
        <f>IF(INDEX(Manual_Review!$W$6:$W$238,U3138)="","",INDEX(Manual_Review!$W$6:$W$238,U3138))</f>
        <v/>
      </c>
      <c r="J3138" s="5" t="str">
        <f t="shared" si="96"/>
        <v>AI provisional</v>
      </c>
      <c r="K3138" s="5" t="str">
        <f t="shared" si="97"/>
        <v>Y</v>
      </c>
      <c r="L3138" s="5" t="s">
        <v>2250</v>
      </c>
      <c r="M3138" s="5" t="s">
        <v>9516</v>
      </c>
      <c r="N3138" s="5" t="s">
        <v>9517</v>
      </c>
      <c r="O3138" s="5" t="s">
        <v>3038</v>
      </c>
      <c r="P3138" s="5" t="s">
        <v>2992</v>
      </c>
      <c r="Q3138" s="11">
        <v>46306.5</v>
      </c>
      <c r="R3138" s="6"/>
      <c r="S3138" s="6"/>
      <c r="T3138" s="6"/>
      <c r="U3138" s="5">
        <f>MATCH(B3138,Manual_Review!$A$6:$A$238,0)</f>
        <v>196</v>
      </c>
      <c r="V3138" s="5" t="str">
        <f>IF(INDEX(Manual_Review!$G$6:$G$238,U3138)="","",INDEX(Manual_Review!$G$6:$G$238,U3138))</f>
        <v/>
      </c>
      <c r="W3138" s="11" t="str">
        <f>IF(INDEX(Manual_Review!$H$6:$H$238,U3138)="","",INDEX(Manual_Review!$H$6:$H$238,U3138))</f>
        <v/>
      </c>
      <c r="X3138" s="5" t="str">
        <f>IF(INDEX(Manual_Review!$I$6:$I$238,U3138)="","",INDEX(Manual_Review!$I$6:$I$238,U3138))</f>
        <v/>
      </c>
      <c r="Y3138" s="5" t="s">
        <v>2859</v>
      </c>
    </row>
    <row r="3139" spans="1:25" ht="25.5">
      <c r="A3139" s="5" t="s">
        <v>9518</v>
      </c>
      <c r="B3139" s="5" t="s">
        <v>2238</v>
      </c>
      <c r="C3139" s="5" t="s">
        <v>2239</v>
      </c>
      <c r="D3139" s="5" t="s">
        <v>118</v>
      </c>
      <c r="E3139" s="5" t="s">
        <v>2794</v>
      </c>
      <c r="F3139" s="5" t="s">
        <v>2764</v>
      </c>
      <c r="G3139" s="5">
        <v>1</v>
      </c>
      <c r="H3139" s="5" t="s">
        <v>2854</v>
      </c>
      <c r="I3139" s="5" t="str">
        <f>IF(INDEX(Manual_Review!$X$6:$X$238,U3139)="","",INDEX(Manual_Review!$X$6:$X$238,U3139))</f>
        <v/>
      </c>
      <c r="J3139" s="5" t="str">
        <f t="shared" si="96"/>
        <v>AI provisional</v>
      </c>
      <c r="K3139" s="5" t="str">
        <f t="shared" si="97"/>
        <v>Y</v>
      </c>
      <c r="L3139" s="5" t="s">
        <v>2250</v>
      </c>
      <c r="M3139" s="5" t="s">
        <v>9519</v>
      </c>
      <c r="N3139" s="5" t="s">
        <v>9520</v>
      </c>
      <c r="O3139" s="5" t="s">
        <v>3042</v>
      </c>
      <c r="P3139" s="5" t="s">
        <v>2992</v>
      </c>
      <c r="Q3139" s="11">
        <v>46306.5</v>
      </c>
      <c r="R3139" s="6"/>
      <c r="S3139" s="6"/>
      <c r="T3139" s="6"/>
      <c r="U3139" s="5">
        <f>MATCH(B3139,Manual_Review!$A$6:$A$238,0)</f>
        <v>196</v>
      </c>
      <c r="V3139" s="5" t="str">
        <f>IF(INDEX(Manual_Review!$G$6:$G$238,U3139)="","",INDEX(Manual_Review!$G$6:$G$238,U3139))</f>
        <v/>
      </c>
      <c r="W3139" s="11" t="str">
        <f>IF(INDEX(Manual_Review!$H$6:$H$238,U3139)="","",INDEX(Manual_Review!$H$6:$H$238,U3139))</f>
        <v/>
      </c>
      <c r="X3139" s="5" t="str">
        <f>IF(INDEX(Manual_Review!$I$6:$I$238,U3139)="","",INDEX(Manual_Review!$I$6:$I$238,U3139))</f>
        <v/>
      </c>
      <c r="Y3139" s="5" t="s">
        <v>2859</v>
      </c>
    </row>
    <row r="3140" spans="1:25" ht="25.5">
      <c r="A3140" s="5" t="s">
        <v>9521</v>
      </c>
      <c r="B3140" s="5" t="s">
        <v>2238</v>
      </c>
      <c r="C3140" s="5" t="s">
        <v>2239</v>
      </c>
      <c r="D3140" s="5" t="s">
        <v>118</v>
      </c>
      <c r="E3140" s="5" t="s">
        <v>2795</v>
      </c>
      <c r="F3140" s="5" t="s">
        <v>2764</v>
      </c>
      <c r="G3140" s="5">
        <v>1</v>
      </c>
      <c r="H3140" s="5" t="s">
        <v>2864</v>
      </c>
      <c r="I3140" s="5" t="str">
        <f>IF(INDEX(Manual_Review!$Y$6:$Y$238,U3140)="","",INDEX(Manual_Review!$Y$6:$Y$238,U3140))</f>
        <v/>
      </c>
      <c r="J3140" s="5" t="str">
        <f t="shared" si="96"/>
        <v>AI provisional</v>
      </c>
      <c r="K3140" s="5" t="str">
        <f t="shared" si="97"/>
        <v>U</v>
      </c>
      <c r="L3140" s="5" t="s">
        <v>2250</v>
      </c>
      <c r="M3140" s="5" t="s">
        <v>9522</v>
      </c>
      <c r="N3140" s="5" t="s">
        <v>9523</v>
      </c>
      <c r="O3140" s="5" t="s">
        <v>3469</v>
      </c>
      <c r="P3140" s="5" t="s">
        <v>2992</v>
      </c>
      <c r="Q3140" s="11">
        <v>46306.5</v>
      </c>
      <c r="R3140" s="6"/>
      <c r="S3140" s="6"/>
      <c r="T3140" s="6"/>
      <c r="U3140" s="5">
        <f>MATCH(B3140,Manual_Review!$A$6:$A$238,0)</f>
        <v>196</v>
      </c>
      <c r="V3140" s="5" t="str">
        <f>IF(INDEX(Manual_Review!$G$6:$G$238,U3140)="","",INDEX(Manual_Review!$G$6:$G$238,U3140))</f>
        <v/>
      </c>
      <c r="W3140" s="11" t="str">
        <f>IF(INDEX(Manual_Review!$H$6:$H$238,U3140)="","",INDEX(Manual_Review!$H$6:$H$238,U3140))</f>
        <v/>
      </c>
      <c r="X3140" s="5" t="str">
        <f>IF(INDEX(Manual_Review!$I$6:$I$238,U3140)="","",INDEX(Manual_Review!$I$6:$I$238,U3140))</f>
        <v/>
      </c>
      <c r="Y3140" s="5" t="s">
        <v>2859</v>
      </c>
    </row>
    <row r="3141" spans="1:25" ht="38.25">
      <c r="A3141" s="5" t="s">
        <v>9524</v>
      </c>
      <c r="B3141" s="5" t="s">
        <v>2238</v>
      </c>
      <c r="C3141" s="5" t="s">
        <v>2239</v>
      </c>
      <c r="D3141" s="5" t="s">
        <v>118</v>
      </c>
      <c r="E3141" s="5" t="s">
        <v>2796</v>
      </c>
      <c r="F3141" s="5" t="s">
        <v>2764</v>
      </c>
      <c r="G3141" s="5">
        <v>1</v>
      </c>
      <c r="H3141" s="5" t="s">
        <v>2864</v>
      </c>
      <c r="I3141" s="5" t="str">
        <f>IF(INDEX(Manual_Review!$Z$6:$Z$238,U3141)="","",INDEX(Manual_Review!$Z$6:$Z$238,U3141))</f>
        <v/>
      </c>
      <c r="J3141" s="5" t="str">
        <f t="shared" si="96"/>
        <v>AI provisional</v>
      </c>
      <c r="K3141" s="5" t="str">
        <f t="shared" si="97"/>
        <v>U</v>
      </c>
      <c r="L3141" s="5" t="s">
        <v>2250</v>
      </c>
      <c r="M3141" s="5" t="s">
        <v>9525</v>
      </c>
      <c r="N3141" s="5" t="s">
        <v>9526</v>
      </c>
      <c r="O3141" s="5" t="s">
        <v>3050</v>
      </c>
      <c r="P3141" s="5" t="s">
        <v>2992</v>
      </c>
      <c r="Q3141" s="11">
        <v>46306.5</v>
      </c>
      <c r="R3141" s="6"/>
      <c r="S3141" s="6"/>
      <c r="T3141" s="6"/>
      <c r="U3141" s="5">
        <f>MATCH(B3141,Manual_Review!$A$6:$A$238,0)</f>
        <v>196</v>
      </c>
      <c r="V3141" s="5" t="str">
        <f>IF(INDEX(Manual_Review!$G$6:$G$238,U3141)="","",INDEX(Manual_Review!$G$6:$G$238,U3141))</f>
        <v/>
      </c>
      <c r="W3141" s="11" t="str">
        <f>IF(INDEX(Manual_Review!$H$6:$H$238,U3141)="","",INDEX(Manual_Review!$H$6:$H$238,U3141))</f>
        <v/>
      </c>
      <c r="X3141" s="5" t="str">
        <f>IF(INDEX(Manual_Review!$I$6:$I$238,U3141)="","",INDEX(Manual_Review!$I$6:$I$238,U3141))</f>
        <v/>
      </c>
      <c r="Y3141" s="5" t="s">
        <v>2859</v>
      </c>
    </row>
    <row r="3142" spans="1:25" ht="25.5">
      <c r="A3142" s="5" t="s">
        <v>9527</v>
      </c>
      <c r="B3142" s="5" t="s">
        <v>2252</v>
      </c>
      <c r="C3142" s="5" t="s">
        <v>2253</v>
      </c>
      <c r="D3142" s="5" t="s">
        <v>118</v>
      </c>
      <c r="E3142" s="5" t="s">
        <v>2781</v>
      </c>
      <c r="F3142" s="5" t="s">
        <v>2754</v>
      </c>
      <c r="G3142" s="5">
        <v>1</v>
      </c>
      <c r="H3142" s="5" t="s">
        <v>2854</v>
      </c>
      <c r="I3142" s="5" t="str">
        <f>IF(INDEX(Manual_Review!$K$6:$K$238,U3142)="","",INDEX(Manual_Review!$K$6:$K$238,U3142))</f>
        <v/>
      </c>
      <c r="J3142" s="5" t="str">
        <f t="shared" ref="J3142:J3205" si="98">IF(G3142=0,"Not applicable",IF(I3142="","AI provisional",IF(AND(OR(I3142="Y",I3142="N",I3142="U",I3142="X"),V3142&lt;&gt;"",ISNUMBER(W3142),W3142&gt;0,X3142="Confirmed",R3142&lt;&gt;"",S3142&lt;&gt;"",T3142&lt;&gt;""),"Human valid","Evidence needed")))</f>
        <v>AI provisional</v>
      </c>
      <c r="K3142" s="5" t="str">
        <f t="shared" ref="K3142:K3205" si="99">IF(G3142=0,"N/A",IF(I3142="",H3142,IF(J3142="Human valid",I3142,"U")))</f>
        <v>Y</v>
      </c>
      <c r="L3142" s="5" t="s">
        <v>2265</v>
      </c>
      <c r="M3142" s="5" t="s">
        <v>9528</v>
      </c>
      <c r="N3142" s="5" t="s">
        <v>9529</v>
      </c>
      <c r="O3142" s="5" t="s">
        <v>2991</v>
      </c>
      <c r="P3142" s="5" t="s">
        <v>2992</v>
      </c>
      <c r="Q3142" s="11">
        <v>46306.5</v>
      </c>
      <c r="R3142" s="6"/>
      <c r="S3142" s="6"/>
      <c r="T3142" s="6"/>
      <c r="U3142" s="5">
        <f>MATCH(B3142,Manual_Review!$A$6:$A$238,0)</f>
        <v>197</v>
      </c>
      <c r="V3142" s="5" t="str">
        <f>IF(INDEX(Manual_Review!$G$6:$G$238,U3142)="","",INDEX(Manual_Review!$G$6:$G$238,U3142))</f>
        <v/>
      </c>
      <c r="W3142" s="11" t="str">
        <f>IF(INDEX(Manual_Review!$H$6:$H$238,U3142)="","",INDEX(Manual_Review!$H$6:$H$238,U3142))</f>
        <v/>
      </c>
      <c r="X3142" s="5" t="str">
        <f>IF(INDEX(Manual_Review!$I$6:$I$238,U3142)="","",INDEX(Manual_Review!$I$6:$I$238,U3142))</f>
        <v/>
      </c>
      <c r="Y3142" s="5" t="s">
        <v>2859</v>
      </c>
    </row>
    <row r="3143" spans="1:25" ht="25.5">
      <c r="A3143" s="5" t="s">
        <v>9530</v>
      </c>
      <c r="B3143" s="5" t="s">
        <v>2252</v>
      </c>
      <c r="C3143" s="5" t="s">
        <v>2253</v>
      </c>
      <c r="D3143" s="5" t="s">
        <v>118</v>
      </c>
      <c r="E3143" s="5" t="s">
        <v>2782</v>
      </c>
      <c r="F3143" s="5" t="s">
        <v>2754</v>
      </c>
      <c r="G3143" s="5">
        <v>1</v>
      </c>
      <c r="H3143" s="5" t="s">
        <v>2854</v>
      </c>
      <c r="I3143" s="5" t="str">
        <f>IF(INDEX(Manual_Review!$L$6:$L$238,U3143)="","",INDEX(Manual_Review!$L$6:$L$238,U3143))</f>
        <v/>
      </c>
      <c r="J3143" s="5" t="str">
        <f t="shared" si="98"/>
        <v>AI provisional</v>
      </c>
      <c r="K3143" s="5" t="str">
        <f t="shared" si="99"/>
        <v>Y</v>
      </c>
      <c r="L3143" s="5" t="s">
        <v>2265</v>
      </c>
      <c r="M3143" s="5" t="s">
        <v>9531</v>
      </c>
      <c r="N3143" s="5" t="s">
        <v>9532</v>
      </c>
      <c r="O3143" s="5" t="s">
        <v>2996</v>
      </c>
      <c r="P3143" s="5" t="s">
        <v>2992</v>
      </c>
      <c r="Q3143" s="11">
        <v>46306.5</v>
      </c>
      <c r="R3143" s="6"/>
      <c r="S3143" s="6"/>
      <c r="T3143" s="6"/>
      <c r="U3143" s="5">
        <f>MATCH(B3143,Manual_Review!$A$6:$A$238,0)</f>
        <v>197</v>
      </c>
      <c r="V3143" s="5" t="str">
        <f>IF(INDEX(Manual_Review!$G$6:$G$238,U3143)="","",INDEX(Manual_Review!$G$6:$G$238,U3143))</f>
        <v/>
      </c>
      <c r="W3143" s="11" t="str">
        <f>IF(INDEX(Manual_Review!$H$6:$H$238,U3143)="","",INDEX(Manual_Review!$H$6:$H$238,U3143))</f>
        <v/>
      </c>
      <c r="X3143" s="5" t="str">
        <f>IF(INDEX(Manual_Review!$I$6:$I$238,U3143)="","",INDEX(Manual_Review!$I$6:$I$238,U3143))</f>
        <v/>
      </c>
      <c r="Y3143" s="5" t="s">
        <v>2859</v>
      </c>
    </row>
    <row r="3144" spans="1:25" ht="25.5">
      <c r="A3144" s="5" t="s">
        <v>9533</v>
      </c>
      <c r="B3144" s="5" t="s">
        <v>2252</v>
      </c>
      <c r="C3144" s="5" t="s">
        <v>2253</v>
      </c>
      <c r="D3144" s="5" t="s">
        <v>118</v>
      </c>
      <c r="E3144" s="5" t="s">
        <v>2783</v>
      </c>
      <c r="F3144" s="5" t="s">
        <v>2754</v>
      </c>
      <c r="G3144" s="5">
        <v>1</v>
      </c>
      <c r="H3144" s="5" t="s">
        <v>2854</v>
      </c>
      <c r="I3144" s="5" t="str">
        <f>IF(INDEX(Manual_Review!$M$6:$M$238,U3144)="","",INDEX(Manual_Review!$M$6:$M$238,U3144))</f>
        <v/>
      </c>
      <c r="J3144" s="5" t="str">
        <f t="shared" si="98"/>
        <v>AI provisional</v>
      </c>
      <c r="K3144" s="5" t="str">
        <f t="shared" si="99"/>
        <v>Y</v>
      </c>
      <c r="L3144" s="5" t="s">
        <v>2265</v>
      </c>
      <c r="M3144" s="5" t="s">
        <v>9534</v>
      </c>
      <c r="N3144" s="5" t="s">
        <v>9535</v>
      </c>
      <c r="O3144" s="5" t="s">
        <v>3000</v>
      </c>
      <c r="P3144" s="5" t="s">
        <v>2992</v>
      </c>
      <c r="Q3144" s="11">
        <v>46306.5</v>
      </c>
      <c r="R3144" s="6"/>
      <c r="S3144" s="6"/>
      <c r="T3144" s="6"/>
      <c r="U3144" s="5">
        <f>MATCH(B3144,Manual_Review!$A$6:$A$238,0)</f>
        <v>197</v>
      </c>
      <c r="V3144" s="5" t="str">
        <f>IF(INDEX(Manual_Review!$G$6:$G$238,U3144)="","",INDEX(Manual_Review!$G$6:$G$238,U3144))</f>
        <v/>
      </c>
      <c r="W3144" s="11" t="str">
        <f>IF(INDEX(Manual_Review!$H$6:$H$238,U3144)="","",INDEX(Manual_Review!$H$6:$H$238,U3144))</f>
        <v/>
      </c>
      <c r="X3144" s="5" t="str">
        <f>IF(INDEX(Manual_Review!$I$6:$I$238,U3144)="","",INDEX(Manual_Review!$I$6:$I$238,U3144))</f>
        <v/>
      </c>
      <c r="Y3144" s="5" t="s">
        <v>2859</v>
      </c>
    </row>
    <row r="3145" spans="1:25" ht="25.5">
      <c r="A3145" s="5" t="s">
        <v>9536</v>
      </c>
      <c r="B3145" s="5" t="s">
        <v>2252</v>
      </c>
      <c r="C3145" s="5" t="s">
        <v>2253</v>
      </c>
      <c r="D3145" s="5" t="s">
        <v>118</v>
      </c>
      <c r="E3145" s="5" t="s">
        <v>2784</v>
      </c>
      <c r="F3145" s="5" t="s">
        <v>2756</v>
      </c>
      <c r="G3145" s="5">
        <v>1</v>
      </c>
      <c r="H3145" s="5" t="s">
        <v>2864</v>
      </c>
      <c r="I3145" s="5" t="str">
        <f>IF(INDEX(Manual_Review!$N$6:$N$238,U3145)="","",INDEX(Manual_Review!$N$6:$N$238,U3145))</f>
        <v/>
      </c>
      <c r="J3145" s="5" t="str">
        <f t="shared" si="98"/>
        <v>AI provisional</v>
      </c>
      <c r="K3145" s="5" t="str">
        <f t="shared" si="99"/>
        <v>U</v>
      </c>
      <c r="L3145" s="5" t="s">
        <v>2265</v>
      </c>
      <c r="M3145" s="5" t="s">
        <v>9537</v>
      </c>
      <c r="N3145" s="5" t="s">
        <v>9538</v>
      </c>
      <c r="O3145" s="5" t="s">
        <v>9214</v>
      </c>
      <c r="P3145" s="5" t="s">
        <v>2992</v>
      </c>
      <c r="Q3145" s="11">
        <v>46306.5</v>
      </c>
      <c r="R3145" s="6"/>
      <c r="S3145" s="6"/>
      <c r="T3145" s="6"/>
      <c r="U3145" s="5">
        <f>MATCH(B3145,Manual_Review!$A$6:$A$238,0)</f>
        <v>197</v>
      </c>
      <c r="V3145" s="5" t="str">
        <f>IF(INDEX(Manual_Review!$G$6:$G$238,U3145)="","",INDEX(Manual_Review!$G$6:$G$238,U3145))</f>
        <v/>
      </c>
      <c r="W3145" s="11" t="str">
        <f>IF(INDEX(Manual_Review!$H$6:$H$238,U3145)="","",INDEX(Manual_Review!$H$6:$H$238,U3145))</f>
        <v/>
      </c>
      <c r="X3145" s="5" t="str">
        <f>IF(INDEX(Manual_Review!$I$6:$I$238,U3145)="","",INDEX(Manual_Review!$I$6:$I$238,U3145))</f>
        <v/>
      </c>
      <c r="Y3145" s="5" t="s">
        <v>2859</v>
      </c>
    </row>
    <row r="3146" spans="1:25" ht="25.5">
      <c r="A3146" s="5" t="s">
        <v>9539</v>
      </c>
      <c r="B3146" s="5" t="s">
        <v>2252</v>
      </c>
      <c r="C3146" s="5" t="s">
        <v>2253</v>
      </c>
      <c r="D3146" s="5" t="s">
        <v>118</v>
      </c>
      <c r="E3146" s="5" t="s">
        <v>2785</v>
      </c>
      <c r="F3146" s="5" t="s">
        <v>2756</v>
      </c>
      <c r="G3146" s="5">
        <v>1</v>
      </c>
      <c r="H3146" s="5" t="s">
        <v>2864</v>
      </c>
      <c r="I3146" s="5" t="str">
        <f>IF(INDEX(Manual_Review!$O$6:$O$238,U3146)="","",INDEX(Manual_Review!$O$6:$O$238,U3146))</f>
        <v/>
      </c>
      <c r="J3146" s="5" t="str">
        <f t="shared" si="98"/>
        <v>AI provisional</v>
      </c>
      <c r="K3146" s="5" t="str">
        <f t="shared" si="99"/>
        <v>U</v>
      </c>
      <c r="L3146" s="5" t="s">
        <v>2265</v>
      </c>
      <c r="M3146" s="5" t="s">
        <v>9537</v>
      </c>
      <c r="N3146" s="5" t="s">
        <v>9538</v>
      </c>
      <c r="O3146" s="5" t="s">
        <v>3006</v>
      </c>
      <c r="P3146" s="5" t="s">
        <v>2992</v>
      </c>
      <c r="Q3146" s="11">
        <v>46306.5</v>
      </c>
      <c r="R3146" s="6"/>
      <c r="S3146" s="6"/>
      <c r="T3146" s="6"/>
      <c r="U3146" s="5">
        <f>MATCH(B3146,Manual_Review!$A$6:$A$238,0)</f>
        <v>197</v>
      </c>
      <c r="V3146" s="5" t="str">
        <f>IF(INDEX(Manual_Review!$G$6:$G$238,U3146)="","",INDEX(Manual_Review!$G$6:$G$238,U3146))</f>
        <v/>
      </c>
      <c r="W3146" s="11" t="str">
        <f>IF(INDEX(Manual_Review!$H$6:$H$238,U3146)="","",INDEX(Manual_Review!$H$6:$H$238,U3146))</f>
        <v/>
      </c>
      <c r="X3146" s="5" t="str">
        <f>IF(INDEX(Manual_Review!$I$6:$I$238,U3146)="","",INDEX(Manual_Review!$I$6:$I$238,U3146))</f>
        <v/>
      </c>
      <c r="Y3146" s="5" t="s">
        <v>2859</v>
      </c>
    </row>
    <row r="3147" spans="1:25" ht="38.25">
      <c r="A3147" s="5" t="s">
        <v>9540</v>
      </c>
      <c r="B3147" s="5" t="s">
        <v>2252</v>
      </c>
      <c r="C3147" s="5" t="s">
        <v>2253</v>
      </c>
      <c r="D3147" s="5" t="s">
        <v>118</v>
      </c>
      <c r="E3147" s="5" t="s">
        <v>2786</v>
      </c>
      <c r="F3147" s="5" t="s">
        <v>2756</v>
      </c>
      <c r="G3147" s="5">
        <v>1</v>
      </c>
      <c r="H3147" s="5" t="s">
        <v>2864</v>
      </c>
      <c r="I3147" s="5" t="str">
        <f>IF(INDEX(Manual_Review!$P$6:$P$238,U3147)="","",INDEX(Manual_Review!$P$6:$P$238,U3147))</f>
        <v/>
      </c>
      <c r="J3147" s="5" t="str">
        <f t="shared" si="98"/>
        <v>AI provisional</v>
      </c>
      <c r="K3147" s="5" t="str">
        <f t="shared" si="99"/>
        <v>U</v>
      </c>
      <c r="L3147" s="5" t="s">
        <v>2265</v>
      </c>
      <c r="M3147" s="5" t="s">
        <v>9541</v>
      </c>
      <c r="N3147" s="5" t="s">
        <v>9542</v>
      </c>
      <c r="O3147" s="5" t="s">
        <v>3010</v>
      </c>
      <c r="P3147" s="5" t="s">
        <v>2992</v>
      </c>
      <c r="Q3147" s="11">
        <v>46306.5</v>
      </c>
      <c r="R3147" s="6"/>
      <c r="S3147" s="6"/>
      <c r="T3147" s="6"/>
      <c r="U3147" s="5">
        <f>MATCH(B3147,Manual_Review!$A$6:$A$238,0)</f>
        <v>197</v>
      </c>
      <c r="V3147" s="5" t="str">
        <f>IF(INDEX(Manual_Review!$G$6:$G$238,U3147)="","",INDEX(Manual_Review!$G$6:$G$238,U3147))</f>
        <v/>
      </c>
      <c r="W3147" s="11" t="str">
        <f>IF(INDEX(Manual_Review!$H$6:$H$238,U3147)="","",INDEX(Manual_Review!$H$6:$H$238,U3147))</f>
        <v/>
      </c>
      <c r="X3147" s="5" t="str">
        <f>IF(INDEX(Manual_Review!$I$6:$I$238,U3147)="","",INDEX(Manual_Review!$I$6:$I$238,U3147))</f>
        <v/>
      </c>
      <c r="Y3147" s="5" t="s">
        <v>2859</v>
      </c>
    </row>
    <row r="3148" spans="1:25" ht="25.5">
      <c r="A3148" s="5" t="s">
        <v>9543</v>
      </c>
      <c r="B3148" s="5" t="s">
        <v>2252</v>
      </c>
      <c r="C3148" s="5" t="s">
        <v>2253</v>
      </c>
      <c r="D3148" s="5" t="s">
        <v>118</v>
      </c>
      <c r="E3148" s="5" t="s">
        <v>2787</v>
      </c>
      <c r="F3148" s="5" t="s">
        <v>2758</v>
      </c>
      <c r="G3148" s="5">
        <v>1</v>
      </c>
      <c r="H3148" s="5" t="s">
        <v>2864</v>
      </c>
      <c r="I3148" s="5" t="str">
        <f>IF(INDEX(Manual_Review!$Q$6:$Q$238,U3148)="","",INDEX(Manual_Review!$Q$6:$Q$238,U3148))</f>
        <v/>
      </c>
      <c r="J3148" s="5" t="str">
        <f t="shared" si="98"/>
        <v>AI provisional</v>
      </c>
      <c r="K3148" s="5" t="str">
        <f t="shared" si="99"/>
        <v>U</v>
      </c>
      <c r="L3148" s="5" t="s">
        <v>2265</v>
      </c>
      <c r="M3148" s="5" t="s">
        <v>9544</v>
      </c>
      <c r="N3148" s="5" t="s">
        <v>9545</v>
      </c>
      <c r="O3148" s="5" t="s">
        <v>3014</v>
      </c>
      <c r="P3148" s="5" t="s">
        <v>2992</v>
      </c>
      <c r="Q3148" s="11">
        <v>46306.5</v>
      </c>
      <c r="R3148" s="6"/>
      <c r="S3148" s="6"/>
      <c r="T3148" s="6"/>
      <c r="U3148" s="5">
        <f>MATCH(B3148,Manual_Review!$A$6:$A$238,0)</f>
        <v>197</v>
      </c>
      <c r="V3148" s="5" t="str">
        <f>IF(INDEX(Manual_Review!$G$6:$G$238,U3148)="","",INDEX(Manual_Review!$G$6:$G$238,U3148))</f>
        <v/>
      </c>
      <c r="W3148" s="11" t="str">
        <f>IF(INDEX(Manual_Review!$H$6:$H$238,U3148)="","",INDEX(Manual_Review!$H$6:$H$238,U3148))</f>
        <v/>
      </c>
      <c r="X3148" s="5" t="str">
        <f>IF(INDEX(Manual_Review!$I$6:$I$238,U3148)="","",INDEX(Manual_Review!$I$6:$I$238,U3148))</f>
        <v/>
      </c>
      <c r="Y3148" s="5" t="s">
        <v>2859</v>
      </c>
    </row>
    <row r="3149" spans="1:25" ht="38.25">
      <c r="A3149" s="5" t="s">
        <v>9546</v>
      </c>
      <c r="B3149" s="5" t="s">
        <v>2252</v>
      </c>
      <c r="C3149" s="5" t="s">
        <v>2253</v>
      </c>
      <c r="D3149" s="5" t="s">
        <v>118</v>
      </c>
      <c r="E3149" s="5" t="s">
        <v>2788</v>
      </c>
      <c r="F3149" s="5" t="s">
        <v>2758</v>
      </c>
      <c r="G3149" s="5">
        <v>1</v>
      </c>
      <c r="H3149" s="5" t="s">
        <v>2854</v>
      </c>
      <c r="I3149" s="5" t="str">
        <f>IF(INDEX(Manual_Review!$R$6:$R$238,U3149)="","",INDEX(Manual_Review!$R$6:$R$238,U3149))</f>
        <v/>
      </c>
      <c r="J3149" s="5" t="str">
        <f t="shared" si="98"/>
        <v>AI provisional</v>
      </c>
      <c r="K3149" s="5" t="str">
        <f t="shared" si="99"/>
        <v>Y</v>
      </c>
      <c r="L3149" s="5" t="s">
        <v>2265</v>
      </c>
      <c r="M3149" s="5" t="s">
        <v>9547</v>
      </c>
      <c r="N3149" s="5" t="s">
        <v>9548</v>
      </c>
      <c r="O3149" s="5" t="s">
        <v>3018</v>
      </c>
      <c r="P3149" s="5" t="s">
        <v>2992</v>
      </c>
      <c r="Q3149" s="11">
        <v>46306.5</v>
      </c>
      <c r="R3149" s="6"/>
      <c r="S3149" s="6"/>
      <c r="T3149" s="6"/>
      <c r="U3149" s="5">
        <f>MATCH(B3149,Manual_Review!$A$6:$A$238,0)</f>
        <v>197</v>
      </c>
      <c r="V3149" s="5" t="str">
        <f>IF(INDEX(Manual_Review!$G$6:$G$238,U3149)="","",INDEX(Manual_Review!$G$6:$G$238,U3149))</f>
        <v/>
      </c>
      <c r="W3149" s="11" t="str">
        <f>IF(INDEX(Manual_Review!$H$6:$H$238,U3149)="","",INDEX(Manual_Review!$H$6:$H$238,U3149))</f>
        <v/>
      </c>
      <c r="X3149" s="5" t="str">
        <f>IF(INDEX(Manual_Review!$I$6:$I$238,U3149)="","",INDEX(Manual_Review!$I$6:$I$238,U3149))</f>
        <v/>
      </c>
      <c r="Y3149" s="5" t="s">
        <v>2859</v>
      </c>
    </row>
    <row r="3150" spans="1:25" ht="38.25">
      <c r="A3150" s="5" t="s">
        <v>9549</v>
      </c>
      <c r="B3150" s="5" t="s">
        <v>2252</v>
      </c>
      <c r="C3150" s="5" t="s">
        <v>2253</v>
      </c>
      <c r="D3150" s="5" t="s">
        <v>118</v>
      </c>
      <c r="E3150" s="5" t="s">
        <v>2789</v>
      </c>
      <c r="F3150" s="5" t="s">
        <v>2758</v>
      </c>
      <c r="G3150" s="5">
        <v>1</v>
      </c>
      <c r="H3150" s="5" t="s">
        <v>2854</v>
      </c>
      <c r="I3150" s="5" t="str">
        <f>IF(INDEX(Manual_Review!$S$6:$S$238,U3150)="","",INDEX(Manual_Review!$S$6:$S$238,U3150))</f>
        <v/>
      </c>
      <c r="J3150" s="5" t="str">
        <f t="shared" si="98"/>
        <v>AI provisional</v>
      </c>
      <c r="K3150" s="5" t="str">
        <f t="shared" si="99"/>
        <v>Y</v>
      </c>
      <c r="L3150" s="5" t="s">
        <v>2265</v>
      </c>
      <c r="M3150" s="5" t="s">
        <v>9550</v>
      </c>
      <c r="N3150" s="5" t="s">
        <v>9551</v>
      </c>
      <c r="O3150" s="5" t="s">
        <v>3022</v>
      </c>
      <c r="P3150" s="5" t="s">
        <v>2992</v>
      </c>
      <c r="Q3150" s="11">
        <v>46306.5</v>
      </c>
      <c r="R3150" s="6"/>
      <c r="S3150" s="6"/>
      <c r="T3150" s="6"/>
      <c r="U3150" s="5">
        <f>MATCH(B3150,Manual_Review!$A$6:$A$238,0)</f>
        <v>197</v>
      </c>
      <c r="V3150" s="5" t="str">
        <f>IF(INDEX(Manual_Review!$G$6:$G$238,U3150)="","",INDEX(Manual_Review!$G$6:$G$238,U3150))</f>
        <v/>
      </c>
      <c r="W3150" s="11" t="str">
        <f>IF(INDEX(Manual_Review!$H$6:$H$238,U3150)="","",INDEX(Manual_Review!$H$6:$H$238,U3150))</f>
        <v/>
      </c>
      <c r="X3150" s="5" t="str">
        <f>IF(INDEX(Manual_Review!$I$6:$I$238,U3150)="","",INDEX(Manual_Review!$I$6:$I$238,U3150))</f>
        <v/>
      </c>
      <c r="Y3150" s="5" t="s">
        <v>2859</v>
      </c>
    </row>
    <row r="3151" spans="1:25" ht="25.5">
      <c r="A3151" s="5" t="s">
        <v>9552</v>
      </c>
      <c r="B3151" s="5" t="s">
        <v>2252</v>
      </c>
      <c r="C3151" s="5" t="s">
        <v>2253</v>
      </c>
      <c r="D3151" s="5" t="s">
        <v>118</v>
      </c>
      <c r="E3151" s="5" t="s">
        <v>2790</v>
      </c>
      <c r="F3151" s="5" t="s">
        <v>2760</v>
      </c>
      <c r="G3151" s="5">
        <v>1</v>
      </c>
      <c r="H3151" s="5" t="s">
        <v>2854</v>
      </c>
      <c r="I3151" s="5" t="str">
        <f>IF(INDEX(Manual_Review!$T$6:$T$238,U3151)="","",INDEX(Manual_Review!$T$6:$T$238,U3151))</f>
        <v/>
      </c>
      <c r="J3151" s="5" t="str">
        <f t="shared" si="98"/>
        <v>AI provisional</v>
      </c>
      <c r="K3151" s="5" t="str">
        <f t="shared" si="99"/>
        <v>Y</v>
      </c>
      <c r="L3151" s="5" t="s">
        <v>2265</v>
      </c>
      <c r="M3151" s="5" t="s">
        <v>9553</v>
      </c>
      <c r="N3151" s="5" t="s">
        <v>9554</v>
      </c>
      <c r="O3151" s="5" t="s">
        <v>3451</v>
      </c>
      <c r="P3151" s="5" t="s">
        <v>2992</v>
      </c>
      <c r="Q3151" s="11">
        <v>46306.5</v>
      </c>
      <c r="R3151" s="6"/>
      <c r="S3151" s="6"/>
      <c r="T3151" s="6"/>
      <c r="U3151" s="5">
        <f>MATCH(B3151,Manual_Review!$A$6:$A$238,0)</f>
        <v>197</v>
      </c>
      <c r="V3151" s="5" t="str">
        <f>IF(INDEX(Manual_Review!$G$6:$G$238,U3151)="","",INDEX(Manual_Review!$G$6:$G$238,U3151))</f>
        <v/>
      </c>
      <c r="W3151" s="11" t="str">
        <f>IF(INDEX(Manual_Review!$H$6:$H$238,U3151)="","",INDEX(Manual_Review!$H$6:$H$238,U3151))</f>
        <v/>
      </c>
      <c r="X3151" s="5" t="str">
        <f>IF(INDEX(Manual_Review!$I$6:$I$238,U3151)="","",INDEX(Manual_Review!$I$6:$I$238,U3151))</f>
        <v/>
      </c>
      <c r="Y3151" s="5" t="s">
        <v>2859</v>
      </c>
    </row>
    <row r="3152" spans="1:25" ht="25.5">
      <c r="A3152" s="5" t="s">
        <v>9555</v>
      </c>
      <c r="B3152" s="5" t="s">
        <v>2252</v>
      </c>
      <c r="C3152" s="5" t="s">
        <v>2253</v>
      </c>
      <c r="D3152" s="5" t="s">
        <v>118</v>
      </c>
      <c r="E3152" s="5" t="s">
        <v>2791</v>
      </c>
      <c r="F3152" s="5" t="s">
        <v>2760</v>
      </c>
      <c r="G3152" s="5">
        <v>1</v>
      </c>
      <c r="H3152" s="5" t="s">
        <v>2854</v>
      </c>
      <c r="I3152" s="5" t="str">
        <f>IF(INDEX(Manual_Review!$U$6:$U$238,U3152)="","",INDEX(Manual_Review!$U$6:$U$238,U3152))</f>
        <v/>
      </c>
      <c r="J3152" s="5" t="str">
        <f t="shared" si="98"/>
        <v>AI provisional</v>
      </c>
      <c r="K3152" s="5" t="str">
        <f t="shared" si="99"/>
        <v>Y</v>
      </c>
      <c r="L3152" s="5" t="s">
        <v>2265</v>
      </c>
      <c r="M3152" s="5" t="s">
        <v>9556</v>
      </c>
      <c r="N3152" s="5" t="s">
        <v>9557</v>
      </c>
      <c r="O3152" s="5" t="s">
        <v>3832</v>
      </c>
      <c r="P3152" s="5" t="s">
        <v>2992</v>
      </c>
      <c r="Q3152" s="11">
        <v>46306.5</v>
      </c>
      <c r="R3152" s="6"/>
      <c r="S3152" s="6"/>
      <c r="T3152" s="6"/>
      <c r="U3152" s="5">
        <f>MATCH(B3152,Manual_Review!$A$6:$A$238,0)</f>
        <v>197</v>
      </c>
      <c r="V3152" s="5" t="str">
        <f>IF(INDEX(Manual_Review!$G$6:$G$238,U3152)="","",INDEX(Manual_Review!$G$6:$G$238,U3152))</f>
        <v/>
      </c>
      <c r="W3152" s="11" t="str">
        <f>IF(INDEX(Manual_Review!$H$6:$H$238,U3152)="","",INDEX(Manual_Review!$H$6:$H$238,U3152))</f>
        <v/>
      </c>
      <c r="X3152" s="5" t="str">
        <f>IF(INDEX(Manual_Review!$I$6:$I$238,U3152)="","",INDEX(Manual_Review!$I$6:$I$238,U3152))</f>
        <v/>
      </c>
      <c r="Y3152" s="5" t="s">
        <v>2859</v>
      </c>
    </row>
    <row r="3153" spans="1:25" ht="25.5">
      <c r="A3153" s="5" t="s">
        <v>9558</v>
      </c>
      <c r="B3153" s="5" t="s">
        <v>2252</v>
      </c>
      <c r="C3153" s="5" t="s">
        <v>2253</v>
      </c>
      <c r="D3153" s="5" t="s">
        <v>118</v>
      </c>
      <c r="E3153" s="5" t="s">
        <v>2792</v>
      </c>
      <c r="F3153" s="5" t="s">
        <v>2762</v>
      </c>
      <c r="G3153" s="5">
        <v>1</v>
      </c>
      <c r="H3153" s="5" t="s">
        <v>2854</v>
      </c>
      <c r="I3153" s="5" t="str">
        <f>IF(INDEX(Manual_Review!$V$6:$V$238,U3153)="","",INDEX(Manual_Review!$V$6:$V$238,U3153))</f>
        <v/>
      </c>
      <c r="J3153" s="5" t="str">
        <f t="shared" si="98"/>
        <v>AI provisional</v>
      </c>
      <c r="K3153" s="5" t="str">
        <f t="shared" si="99"/>
        <v>Y</v>
      </c>
      <c r="L3153" s="5" t="s">
        <v>2265</v>
      </c>
      <c r="M3153" s="5" t="s">
        <v>9559</v>
      </c>
      <c r="N3153" s="5" t="s">
        <v>9560</v>
      </c>
      <c r="O3153" s="5" t="s">
        <v>3034</v>
      </c>
      <c r="P3153" s="5" t="s">
        <v>2992</v>
      </c>
      <c r="Q3153" s="11">
        <v>46306.5</v>
      </c>
      <c r="R3153" s="6"/>
      <c r="S3153" s="6"/>
      <c r="T3153" s="6"/>
      <c r="U3153" s="5">
        <f>MATCH(B3153,Manual_Review!$A$6:$A$238,0)</f>
        <v>197</v>
      </c>
      <c r="V3153" s="5" t="str">
        <f>IF(INDEX(Manual_Review!$G$6:$G$238,U3153)="","",INDEX(Manual_Review!$G$6:$G$238,U3153))</f>
        <v/>
      </c>
      <c r="W3153" s="11" t="str">
        <f>IF(INDEX(Manual_Review!$H$6:$H$238,U3153)="","",INDEX(Manual_Review!$H$6:$H$238,U3153))</f>
        <v/>
      </c>
      <c r="X3153" s="5" t="str">
        <f>IF(INDEX(Manual_Review!$I$6:$I$238,U3153)="","",INDEX(Manual_Review!$I$6:$I$238,U3153))</f>
        <v/>
      </c>
      <c r="Y3153" s="5" t="s">
        <v>2859</v>
      </c>
    </row>
    <row r="3154" spans="1:25" ht="51">
      <c r="A3154" s="5" t="s">
        <v>9561</v>
      </c>
      <c r="B3154" s="5" t="s">
        <v>2252</v>
      </c>
      <c r="C3154" s="5" t="s">
        <v>2253</v>
      </c>
      <c r="D3154" s="5" t="s">
        <v>118</v>
      </c>
      <c r="E3154" s="5" t="s">
        <v>2793</v>
      </c>
      <c r="F3154" s="5" t="s">
        <v>2762</v>
      </c>
      <c r="G3154" s="5">
        <v>1</v>
      </c>
      <c r="H3154" s="5" t="s">
        <v>2854</v>
      </c>
      <c r="I3154" s="5" t="str">
        <f>IF(INDEX(Manual_Review!$W$6:$W$238,U3154)="","",INDEX(Manual_Review!$W$6:$W$238,U3154))</f>
        <v/>
      </c>
      <c r="J3154" s="5" t="str">
        <f t="shared" si="98"/>
        <v>AI provisional</v>
      </c>
      <c r="K3154" s="5" t="str">
        <f t="shared" si="99"/>
        <v>Y</v>
      </c>
      <c r="L3154" s="5" t="s">
        <v>2265</v>
      </c>
      <c r="M3154" s="5" t="s">
        <v>9562</v>
      </c>
      <c r="N3154" s="5" t="s">
        <v>9563</v>
      </c>
      <c r="O3154" s="5" t="s">
        <v>3038</v>
      </c>
      <c r="P3154" s="5" t="s">
        <v>2992</v>
      </c>
      <c r="Q3154" s="11">
        <v>46306.5</v>
      </c>
      <c r="R3154" s="6"/>
      <c r="S3154" s="6"/>
      <c r="T3154" s="6"/>
      <c r="U3154" s="5">
        <f>MATCH(B3154,Manual_Review!$A$6:$A$238,0)</f>
        <v>197</v>
      </c>
      <c r="V3154" s="5" t="str">
        <f>IF(INDEX(Manual_Review!$G$6:$G$238,U3154)="","",INDEX(Manual_Review!$G$6:$G$238,U3154))</f>
        <v/>
      </c>
      <c r="W3154" s="11" t="str">
        <f>IF(INDEX(Manual_Review!$H$6:$H$238,U3154)="","",INDEX(Manual_Review!$H$6:$H$238,U3154))</f>
        <v/>
      </c>
      <c r="X3154" s="5" t="str">
        <f>IF(INDEX(Manual_Review!$I$6:$I$238,U3154)="","",INDEX(Manual_Review!$I$6:$I$238,U3154))</f>
        <v/>
      </c>
      <c r="Y3154" s="5" t="s">
        <v>2859</v>
      </c>
    </row>
    <row r="3155" spans="1:25" ht="25.5">
      <c r="A3155" s="5" t="s">
        <v>9564</v>
      </c>
      <c r="B3155" s="5" t="s">
        <v>2252</v>
      </c>
      <c r="C3155" s="5" t="s">
        <v>2253</v>
      </c>
      <c r="D3155" s="5" t="s">
        <v>118</v>
      </c>
      <c r="E3155" s="5" t="s">
        <v>2794</v>
      </c>
      <c r="F3155" s="5" t="s">
        <v>2764</v>
      </c>
      <c r="G3155" s="5">
        <v>1</v>
      </c>
      <c r="H3155" s="5" t="s">
        <v>2854</v>
      </c>
      <c r="I3155" s="5" t="str">
        <f>IF(INDEX(Manual_Review!$X$6:$X$238,U3155)="","",INDEX(Manual_Review!$X$6:$X$238,U3155))</f>
        <v/>
      </c>
      <c r="J3155" s="5" t="str">
        <f t="shared" si="98"/>
        <v>AI provisional</v>
      </c>
      <c r="K3155" s="5" t="str">
        <f t="shared" si="99"/>
        <v>Y</v>
      </c>
      <c r="L3155" s="5" t="s">
        <v>2265</v>
      </c>
      <c r="M3155" s="5" t="s">
        <v>9565</v>
      </c>
      <c r="N3155" s="5" t="s">
        <v>9566</v>
      </c>
      <c r="O3155" s="5" t="s">
        <v>3042</v>
      </c>
      <c r="P3155" s="5" t="s">
        <v>2992</v>
      </c>
      <c r="Q3155" s="11">
        <v>46306.5</v>
      </c>
      <c r="R3155" s="6"/>
      <c r="S3155" s="6"/>
      <c r="T3155" s="6"/>
      <c r="U3155" s="5">
        <f>MATCH(B3155,Manual_Review!$A$6:$A$238,0)</f>
        <v>197</v>
      </c>
      <c r="V3155" s="5" t="str">
        <f>IF(INDEX(Manual_Review!$G$6:$G$238,U3155)="","",INDEX(Manual_Review!$G$6:$G$238,U3155))</f>
        <v/>
      </c>
      <c r="W3155" s="11" t="str">
        <f>IF(INDEX(Manual_Review!$H$6:$H$238,U3155)="","",INDEX(Manual_Review!$H$6:$H$238,U3155))</f>
        <v/>
      </c>
      <c r="X3155" s="5" t="str">
        <f>IF(INDEX(Manual_Review!$I$6:$I$238,U3155)="","",INDEX(Manual_Review!$I$6:$I$238,U3155))</f>
        <v/>
      </c>
      <c r="Y3155" s="5" t="s">
        <v>2859</v>
      </c>
    </row>
    <row r="3156" spans="1:25" ht="25.5">
      <c r="A3156" s="5" t="s">
        <v>9567</v>
      </c>
      <c r="B3156" s="5" t="s">
        <v>2252</v>
      </c>
      <c r="C3156" s="5" t="s">
        <v>2253</v>
      </c>
      <c r="D3156" s="5" t="s">
        <v>118</v>
      </c>
      <c r="E3156" s="5" t="s">
        <v>2795</v>
      </c>
      <c r="F3156" s="5" t="s">
        <v>2764</v>
      </c>
      <c r="G3156" s="5">
        <v>1</v>
      </c>
      <c r="H3156" s="5" t="s">
        <v>2864</v>
      </c>
      <c r="I3156" s="5" t="str">
        <f>IF(INDEX(Manual_Review!$Y$6:$Y$238,U3156)="","",INDEX(Manual_Review!$Y$6:$Y$238,U3156))</f>
        <v/>
      </c>
      <c r="J3156" s="5" t="str">
        <f t="shared" si="98"/>
        <v>AI provisional</v>
      </c>
      <c r="K3156" s="5" t="str">
        <f t="shared" si="99"/>
        <v>U</v>
      </c>
      <c r="L3156" s="5" t="s">
        <v>2265</v>
      </c>
      <c r="M3156" s="5" t="s">
        <v>9568</v>
      </c>
      <c r="N3156" s="5" t="s">
        <v>9569</v>
      </c>
      <c r="O3156" s="5" t="s">
        <v>3469</v>
      </c>
      <c r="P3156" s="5" t="s">
        <v>2992</v>
      </c>
      <c r="Q3156" s="11">
        <v>46306.5</v>
      </c>
      <c r="R3156" s="6"/>
      <c r="S3156" s="6"/>
      <c r="T3156" s="6"/>
      <c r="U3156" s="5">
        <f>MATCH(B3156,Manual_Review!$A$6:$A$238,0)</f>
        <v>197</v>
      </c>
      <c r="V3156" s="5" t="str">
        <f>IF(INDEX(Manual_Review!$G$6:$G$238,U3156)="","",INDEX(Manual_Review!$G$6:$G$238,U3156))</f>
        <v/>
      </c>
      <c r="W3156" s="11" t="str">
        <f>IF(INDEX(Manual_Review!$H$6:$H$238,U3156)="","",INDEX(Manual_Review!$H$6:$H$238,U3156))</f>
        <v/>
      </c>
      <c r="X3156" s="5" t="str">
        <f>IF(INDEX(Manual_Review!$I$6:$I$238,U3156)="","",INDEX(Manual_Review!$I$6:$I$238,U3156))</f>
        <v/>
      </c>
      <c r="Y3156" s="5" t="s">
        <v>2859</v>
      </c>
    </row>
    <row r="3157" spans="1:25" ht="51">
      <c r="A3157" s="5" t="s">
        <v>9570</v>
      </c>
      <c r="B3157" s="5" t="s">
        <v>2252</v>
      </c>
      <c r="C3157" s="5" t="s">
        <v>2253</v>
      </c>
      <c r="D3157" s="5" t="s">
        <v>118</v>
      </c>
      <c r="E3157" s="5" t="s">
        <v>2796</v>
      </c>
      <c r="F3157" s="5" t="s">
        <v>2764</v>
      </c>
      <c r="G3157" s="5">
        <v>1</v>
      </c>
      <c r="H3157" s="5" t="s">
        <v>2864</v>
      </c>
      <c r="I3157" s="5" t="str">
        <f>IF(INDEX(Manual_Review!$Z$6:$Z$238,U3157)="","",INDEX(Manual_Review!$Z$6:$Z$238,U3157))</f>
        <v/>
      </c>
      <c r="J3157" s="5" t="str">
        <f t="shared" si="98"/>
        <v>AI provisional</v>
      </c>
      <c r="K3157" s="5" t="str">
        <f t="shared" si="99"/>
        <v>U</v>
      </c>
      <c r="L3157" s="5" t="s">
        <v>2265</v>
      </c>
      <c r="M3157" s="5" t="s">
        <v>9571</v>
      </c>
      <c r="N3157" s="5" t="s">
        <v>9572</v>
      </c>
      <c r="O3157" s="5" t="s">
        <v>3050</v>
      </c>
      <c r="P3157" s="5" t="s">
        <v>2992</v>
      </c>
      <c r="Q3157" s="11">
        <v>46306.5</v>
      </c>
      <c r="R3157" s="6"/>
      <c r="S3157" s="6"/>
      <c r="T3157" s="6"/>
      <c r="U3157" s="5">
        <f>MATCH(B3157,Manual_Review!$A$6:$A$238,0)</f>
        <v>197</v>
      </c>
      <c r="V3157" s="5" t="str">
        <f>IF(INDEX(Manual_Review!$G$6:$G$238,U3157)="","",INDEX(Manual_Review!$G$6:$G$238,U3157))</f>
        <v/>
      </c>
      <c r="W3157" s="11" t="str">
        <f>IF(INDEX(Manual_Review!$H$6:$H$238,U3157)="","",INDEX(Manual_Review!$H$6:$H$238,U3157))</f>
        <v/>
      </c>
      <c r="X3157" s="5" t="str">
        <f>IF(INDEX(Manual_Review!$I$6:$I$238,U3157)="","",INDEX(Manual_Review!$I$6:$I$238,U3157))</f>
        <v/>
      </c>
      <c r="Y3157" s="5" t="s">
        <v>2859</v>
      </c>
    </row>
    <row r="3158" spans="1:25" ht="25.5">
      <c r="A3158" s="5" t="s">
        <v>9573</v>
      </c>
      <c r="B3158" s="5" t="s">
        <v>2267</v>
      </c>
      <c r="C3158" s="5" t="s">
        <v>2268</v>
      </c>
      <c r="D3158" s="5" t="s">
        <v>118</v>
      </c>
      <c r="E3158" s="5" t="s">
        <v>2781</v>
      </c>
      <c r="F3158" s="5" t="s">
        <v>2754</v>
      </c>
      <c r="G3158" s="5">
        <v>1</v>
      </c>
      <c r="H3158" s="5" t="s">
        <v>2854</v>
      </c>
      <c r="I3158" s="5" t="str">
        <f>IF(INDEX(Manual_Review!$K$6:$K$238,U3158)="","",INDEX(Manual_Review!$K$6:$K$238,U3158))</f>
        <v/>
      </c>
      <c r="J3158" s="5" t="str">
        <f t="shared" si="98"/>
        <v>AI provisional</v>
      </c>
      <c r="K3158" s="5" t="str">
        <f t="shared" si="99"/>
        <v>Y</v>
      </c>
      <c r="L3158" s="5" t="s">
        <v>2279</v>
      </c>
      <c r="M3158" s="5" t="s">
        <v>9574</v>
      </c>
      <c r="N3158" s="5" t="s">
        <v>9575</v>
      </c>
      <c r="O3158" s="5" t="s">
        <v>2991</v>
      </c>
      <c r="P3158" s="5" t="s">
        <v>2992</v>
      </c>
      <c r="Q3158" s="11">
        <v>46306.5</v>
      </c>
      <c r="R3158" s="6"/>
      <c r="S3158" s="6"/>
      <c r="T3158" s="6"/>
      <c r="U3158" s="5">
        <f>MATCH(B3158,Manual_Review!$A$6:$A$238,0)</f>
        <v>198</v>
      </c>
      <c r="V3158" s="5" t="str">
        <f>IF(INDEX(Manual_Review!$G$6:$G$238,U3158)="","",INDEX(Manual_Review!$G$6:$G$238,U3158))</f>
        <v/>
      </c>
      <c r="W3158" s="11" t="str">
        <f>IF(INDEX(Manual_Review!$H$6:$H$238,U3158)="","",INDEX(Manual_Review!$H$6:$H$238,U3158))</f>
        <v/>
      </c>
      <c r="X3158" s="5" t="str">
        <f>IF(INDEX(Manual_Review!$I$6:$I$238,U3158)="","",INDEX(Manual_Review!$I$6:$I$238,U3158))</f>
        <v/>
      </c>
      <c r="Y3158" s="5" t="s">
        <v>2859</v>
      </c>
    </row>
    <row r="3159" spans="1:25" ht="25.5">
      <c r="A3159" s="5" t="s">
        <v>9576</v>
      </c>
      <c r="B3159" s="5" t="s">
        <v>2267</v>
      </c>
      <c r="C3159" s="5" t="s">
        <v>2268</v>
      </c>
      <c r="D3159" s="5" t="s">
        <v>118</v>
      </c>
      <c r="E3159" s="5" t="s">
        <v>2782</v>
      </c>
      <c r="F3159" s="5" t="s">
        <v>2754</v>
      </c>
      <c r="G3159" s="5">
        <v>1</v>
      </c>
      <c r="H3159" s="5" t="s">
        <v>2854</v>
      </c>
      <c r="I3159" s="5" t="str">
        <f>IF(INDEX(Manual_Review!$L$6:$L$238,U3159)="","",INDEX(Manual_Review!$L$6:$L$238,U3159))</f>
        <v/>
      </c>
      <c r="J3159" s="5" t="str">
        <f t="shared" si="98"/>
        <v>AI provisional</v>
      </c>
      <c r="K3159" s="5" t="str">
        <f t="shared" si="99"/>
        <v>Y</v>
      </c>
      <c r="L3159" s="5" t="s">
        <v>2279</v>
      </c>
      <c r="M3159" s="5" t="s">
        <v>9577</v>
      </c>
      <c r="N3159" s="5" t="s">
        <v>9578</v>
      </c>
      <c r="O3159" s="5" t="s">
        <v>2996</v>
      </c>
      <c r="P3159" s="5" t="s">
        <v>2992</v>
      </c>
      <c r="Q3159" s="11">
        <v>46306.5</v>
      </c>
      <c r="R3159" s="6"/>
      <c r="S3159" s="6"/>
      <c r="T3159" s="6"/>
      <c r="U3159" s="5">
        <f>MATCH(B3159,Manual_Review!$A$6:$A$238,0)</f>
        <v>198</v>
      </c>
      <c r="V3159" s="5" t="str">
        <f>IF(INDEX(Manual_Review!$G$6:$G$238,U3159)="","",INDEX(Manual_Review!$G$6:$G$238,U3159))</f>
        <v/>
      </c>
      <c r="W3159" s="11" t="str">
        <f>IF(INDEX(Manual_Review!$H$6:$H$238,U3159)="","",INDEX(Manual_Review!$H$6:$H$238,U3159))</f>
        <v/>
      </c>
      <c r="X3159" s="5" t="str">
        <f>IF(INDEX(Manual_Review!$I$6:$I$238,U3159)="","",INDEX(Manual_Review!$I$6:$I$238,U3159))</f>
        <v/>
      </c>
      <c r="Y3159" s="5" t="s">
        <v>2859</v>
      </c>
    </row>
    <row r="3160" spans="1:25" ht="25.5">
      <c r="A3160" s="5" t="s">
        <v>9579</v>
      </c>
      <c r="B3160" s="5" t="s">
        <v>2267</v>
      </c>
      <c r="C3160" s="5" t="s">
        <v>2268</v>
      </c>
      <c r="D3160" s="5" t="s">
        <v>118</v>
      </c>
      <c r="E3160" s="5" t="s">
        <v>2783</v>
      </c>
      <c r="F3160" s="5" t="s">
        <v>2754</v>
      </c>
      <c r="G3160" s="5">
        <v>1</v>
      </c>
      <c r="H3160" s="5" t="s">
        <v>2854</v>
      </c>
      <c r="I3160" s="5" t="str">
        <f>IF(INDEX(Manual_Review!$M$6:$M$238,U3160)="","",INDEX(Manual_Review!$M$6:$M$238,U3160))</f>
        <v/>
      </c>
      <c r="J3160" s="5" t="str">
        <f t="shared" si="98"/>
        <v>AI provisional</v>
      </c>
      <c r="K3160" s="5" t="str">
        <f t="shared" si="99"/>
        <v>Y</v>
      </c>
      <c r="L3160" s="5" t="s">
        <v>2279</v>
      </c>
      <c r="M3160" s="5" t="s">
        <v>9580</v>
      </c>
      <c r="N3160" s="5" t="s">
        <v>9581</v>
      </c>
      <c r="O3160" s="5" t="s">
        <v>3000</v>
      </c>
      <c r="P3160" s="5" t="s">
        <v>2992</v>
      </c>
      <c r="Q3160" s="11">
        <v>46306.5</v>
      </c>
      <c r="R3160" s="6"/>
      <c r="S3160" s="6"/>
      <c r="T3160" s="6"/>
      <c r="U3160" s="5">
        <f>MATCH(B3160,Manual_Review!$A$6:$A$238,0)</f>
        <v>198</v>
      </c>
      <c r="V3160" s="5" t="str">
        <f>IF(INDEX(Manual_Review!$G$6:$G$238,U3160)="","",INDEX(Manual_Review!$G$6:$G$238,U3160))</f>
        <v/>
      </c>
      <c r="W3160" s="11" t="str">
        <f>IF(INDEX(Manual_Review!$H$6:$H$238,U3160)="","",INDEX(Manual_Review!$H$6:$H$238,U3160))</f>
        <v/>
      </c>
      <c r="X3160" s="5" t="str">
        <f>IF(INDEX(Manual_Review!$I$6:$I$238,U3160)="","",INDEX(Manual_Review!$I$6:$I$238,U3160))</f>
        <v/>
      </c>
      <c r="Y3160" s="5" t="s">
        <v>2859</v>
      </c>
    </row>
    <row r="3161" spans="1:25" ht="25.5">
      <c r="A3161" s="5" t="s">
        <v>9582</v>
      </c>
      <c r="B3161" s="5" t="s">
        <v>2267</v>
      </c>
      <c r="C3161" s="5" t="s">
        <v>2268</v>
      </c>
      <c r="D3161" s="5" t="s">
        <v>118</v>
      </c>
      <c r="E3161" s="5" t="s">
        <v>2784</v>
      </c>
      <c r="F3161" s="5" t="s">
        <v>2756</v>
      </c>
      <c r="G3161" s="5">
        <v>1</v>
      </c>
      <c r="H3161" s="5" t="s">
        <v>2854</v>
      </c>
      <c r="I3161" s="5" t="str">
        <f>IF(INDEX(Manual_Review!$N$6:$N$238,U3161)="","",INDEX(Manual_Review!$N$6:$N$238,U3161))</f>
        <v/>
      </c>
      <c r="J3161" s="5" t="str">
        <f t="shared" si="98"/>
        <v>AI provisional</v>
      </c>
      <c r="K3161" s="5" t="str">
        <f t="shared" si="99"/>
        <v>Y</v>
      </c>
      <c r="L3161" s="5" t="s">
        <v>2279</v>
      </c>
      <c r="M3161" s="5" t="s">
        <v>9583</v>
      </c>
      <c r="N3161" s="5" t="s">
        <v>9584</v>
      </c>
      <c r="O3161" s="5" t="s">
        <v>3004</v>
      </c>
      <c r="P3161" s="5" t="s">
        <v>2992</v>
      </c>
      <c r="Q3161" s="11">
        <v>46306.5</v>
      </c>
      <c r="R3161" s="6"/>
      <c r="S3161" s="6"/>
      <c r="T3161" s="6"/>
      <c r="U3161" s="5">
        <f>MATCH(B3161,Manual_Review!$A$6:$A$238,0)</f>
        <v>198</v>
      </c>
      <c r="V3161" s="5" t="str">
        <f>IF(INDEX(Manual_Review!$G$6:$G$238,U3161)="","",INDEX(Manual_Review!$G$6:$G$238,U3161))</f>
        <v/>
      </c>
      <c r="W3161" s="11" t="str">
        <f>IF(INDEX(Manual_Review!$H$6:$H$238,U3161)="","",INDEX(Manual_Review!$H$6:$H$238,U3161))</f>
        <v/>
      </c>
      <c r="X3161" s="5" t="str">
        <f>IF(INDEX(Manual_Review!$I$6:$I$238,U3161)="","",INDEX(Manual_Review!$I$6:$I$238,U3161))</f>
        <v/>
      </c>
      <c r="Y3161" s="5" t="s">
        <v>2859</v>
      </c>
    </row>
    <row r="3162" spans="1:25" ht="25.5">
      <c r="A3162" s="5" t="s">
        <v>9585</v>
      </c>
      <c r="B3162" s="5" t="s">
        <v>2267</v>
      </c>
      <c r="C3162" s="5" t="s">
        <v>2268</v>
      </c>
      <c r="D3162" s="5" t="s">
        <v>118</v>
      </c>
      <c r="E3162" s="5" t="s">
        <v>2785</v>
      </c>
      <c r="F3162" s="5" t="s">
        <v>2756</v>
      </c>
      <c r="G3162" s="5">
        <v>1</v>
      </c>
      <c r="H3162" s="5" t="s">
        <v>2864</v>
      </c>
      <c r="I3162" s="5" t="str">
        <f>IF(INDEX(Manual_Review!$O$6:$O$238,U3162)="","",INDEX(Manual_Review!$O$6:$O$238,U3162))</f>
        <v/>
      </c>
      <c r="J3162" s="5" t="str">
        <f t="shared" si="98"/>
        <v>AI provisional</v>
      </c>
      <c r="K3162" s="5" t="str">
        <f t="shared" si="99"/>
        <v>U</v>
      </c>
      <c r="L3162" s="5" t="s">
        <v>2279</v>
      </c>
      <c r="M3162" s="5" t="s">
        <v>9583</v>
      </c>
      <c r="N3162" s="5" t="s">
        <v>9584</v>
      </c>
      <c r="O3162" s="5" t="s">
        <v>3006</v>
      </c>
      <c r="P3162" s="5" t="s">
        <v>2992</v>
      </c>
      <c r="Q3162" s="11">
        <v>46306.5</v>
      </c>
      <c r="R3162" s="6"/>
      <c r="S3162" s="6"/>
      <c r="T3162" s="6"/>
      <c r="U3162" s="5">
        <f>MATCH(B3162,Manual_Review!$A$6:$A$238,0)</f>
        <v>198</v>
      </c>
      <c r="V3162" s="5" t="str">
        <f>IF(INDEX(Manual_Review!$G$6:$G$238,U3162)="","",INDEX(Manual_Review!$G$6:$G$238,U3162))</f>
        <v/>
      </c>
      <c r="W3162" s="11" t="str">
        <f>IF(INDEX(Manual_Review!$H$6:$H$238,U3162)="","",INDEX(Manual_Review!$H$6:$H$238,U3162))</f>
        <v/>
      </c>
      <c r="X3162" s="5" t="str">
        <f>IF(INDEX(Manual_Review!$I$6:$I$238,U3162)="","",INDEX(Manual_Review!$I$6:$I$238,U3162))</f>
        <v/>
      </c>
      <c r="Y3162" s="5" t="s">
        <v>2859</v>
      </c>
    </row>
    <row r="3163" spans="1:25" ht="25.5">
      <c r="A3163" s="5" t="s">
        <v>9586</v>
      </c>
      <c r="B3163" s="5" t="s">
        <v>2267</v>
      </c>
      <c r="C3163" s="5" t="s">
        <v>2268</v>
      </c>
      <c r="D3163" s="5" t="s">
        <v>118</v>
      </c>
      <c r="E3163" s="5" t="s">
        <v>2786</v>
      </c>
      <c r="F3163" s="5" t="s">
        <v>2756</v>
      </c>
      <c r="G3163" s="5">
        <v>1</v>
      </c>
      <c r="H3163" s="5" t="s">
        <v>2864</v>
      </c>
      <c r="I3163" s="5" t="str">
        <f>IF(INDEX(Manual_Review!$P$6:$P$238,U3163)="","",INDEX(Manual_Review!$P$6:$P$238,U3163))</f>
        <v/>
      </c>
      <c r="J3163" s="5" t="str">
        <f t="shared" si="98"/>
        <v>AI provisional</v>
      </c>
      <c r="K3163" s="5" t="str">
        <f t="shared" si="99"/>
        <v>U</v>
      </c>
      <c r="L3163" s="5" t="s">
        <v>2279</v>
      </c>
      <c r="M3163" s="5" t="s">
        <v>9587</v>
      </c>
      <c r="N3163" s="5" t="s">
        <v>9588</v>
      </c>
      <c r="O3163" s="5" t="s">
        <v>3010</v>
      </c>
      <c r="P3163" s="5" t="s">
        <v>2992</v>
      </c>
      <c r="Q3163" s="11">
        <v>46306.5</v>
      </c>
      <c r="R3163" s="6"/>
      <c r="S3163" s="6"/>
      <c r="T3163" s="6"/>
      <c r="U3163" s="5">
        <f>MATCH(B3163,Manual_Review!$A$6:$A$238,0)</f>
        <v>198</v>
      </c>
      <c r="V3163" s="5" t="str">
        <f>IF(INDEX(Manual_Review!$G$6:$G$238,U3163)="","",INDEX(Manual_Review!$G$6:$G$238,U3163))</f>
        <v/>
      </c>
      <c r="W3163" s="11" t="str">
        <f>IF(INDEX(Manual_Review!$H$6:$H$238,U3163)="","",INDEX(Manual_Review!$H$6:$H$238,U3163))</f>
        <v/>
      </c>
      <c r="X3163" s="5" t="str">
        <f>IF(INDEX(Manual_Review!$I$6:$I$238,U3163)="","",INDEX(Manual_Review!$I$6:$I$238,U3163))</f>
        <v/>
      </c>
      <c r="Y3163" s="5" t="s">
        <v>2859</v>
      </c>
    </row>
    <row r="3164" spans="1:25" ht="25.5">
      <c r="A3164" s="5" t="s">
        <v>9589</v>
      </c>
      <c r="B3164" s="5" t="s">
        <v>2267</v>
      </c>
      <c r="C3164" s="5" t="s">
        <v>2268</v>
      </c>
      <c r="D3164" s="5" t="s">
        <v>118</v>
      </c>
      <c r="E3164" s="5" t="s">
        <v>2787</v>
      </c>
      <c r="F3164" s="5" t="s">
        <v>2758</v>
      </c>
      <c r="G3164" s="5">
        <v>1</v>
      </c>
      <c r="H3164" s="5" t="s">
        <v>2864</v>
      </c>
      <c r="I3164" s="5" t="str">
        <f>IF(INDEX(Manual_Review!$Q$6:$Q$238,U3164)="","",INDEX(Manual_Review!$Q$6:$Q$238,U3164))</f>
        <v/>
      </c>
      <c r="J3164" s="5" t="str">
        <f t="shared" si="98"/>
        <v>AI provisional</v>
      </c>
      <c r="K3164" s="5" t="str">
        <f t="shared" si="99"/>
        <v>U</v>
      </c>
      <c r="L3164" s="5" t="s">
        <v>2279</v>
      </c>
      <c r="M3164" s="5" t="s">
        <v>9590</v>
      </c>
      <c r="N3164" s="5" t="s">
        <v>9591</v>
      </c>
      <c r="O3164" s="5" t="s">
        <v>3014</v>
      </c>
      <c r="P3164" s="5" t="s">
        <v>2992</v>
      </c>
      <c r="Q3164" s="11">
        <v>46306.5</v>
      </c>
      <c r="R3164" s="6"/>
      <c r="S3164" s="6"/>
      <c r="T3164" s="6"/>
      <c r="U3164" s="5">
        <f>MATCH(B3164,Manual_Review!$A$6:$A$238,0)</f>
        <v>198</v>
      </c>
      <c r="V3164" s="5" t="str">
        <f>IF(INDEX(Manual_Review!$G$6:$G$238,U3164)="","",INDEX(Manual_Review!$G$6:$G$238,U3164))</f>
        <v/>
      </c>
      <c r="W3164" s="11" t="str">
        <f>IF(INDEX(Manual_Review!$H$6:$H$238,U3164)="","",INDEX(Manual_Review!$H$6:$H$238,U3164))</f>
        <v/>
      </c>
      <c r="X3164" s="5" t="str">
        <f>IF(INDEX(Manual_Review!$I$6:$I$238,U3164)="","",INDEX(Manual_Review!$I$6:$I$238,U3164))</f>
        <v/>
      </c>
      <c r="Y3164" s="5" t="s">
        <v>2859</v>
      </c>
    </row>
    <row r="3165" spans="1:25" ht="38.25">
      <c r="A3165" s="5" t="s">
        <v>9592</v>
      </c>
      <c r="B3165" s="5" t="s">
        <v>2267</v>
      </c>
      <c r="C3165" s="5" t="s">
        <v>2268</v>
      </c>
      <c r="D3165" s="5" t="s">
        <v>118</v>
      </c>
      <c r="E3165" s="5" t="s">
        <v>2788</v>
      </c>
      <c r="F3165" s="5" t="s">
        <v>2758</v>
      </c>
      <c r="G3165" s="5">
        <v>1</v>
      </c>
      <c r="H3165" s="5" t="s">
        <v>2854</v>
      </c>
      <c r="I3165" s="5" t="str">
        <f>IF(INDEX(Manual_Review!$R$6:$R$238,U3165)="","",INDEX(Manual_Review!$R$6:$R$238,U3165))</f>
        <v/>
      </c>
      <c r="J3165" s="5" t="str">
        <f t="shared" si="98"/>
        <v>AI provisional</v>
      </c>
      <c r="K3165" s="5" t="str">
        <f t="shared" si="99"/>
        <v>Y</v>
      </c>
      <c r="L3165" s="5" t="s">
        <v>2279</v>
      </c>
      <c r="M3165" s="5" t="s">
        <v>9593</v>
      </c>
      <c r="N3165" s="5" t="s">
        <v>9594</v>
      </c>
      <c r="O3165" s="5" t="s">
        <v>3018</v>
      </c>
      <c r="P3165" s="5" t="s">
        <v>2992</v>
      </c>
      <c r="Q3165" s="11">
        <v>46306.5</v>
      </c>
      <c r="R3165" s="6"/>
      <c r="S3165" s="6"/>
      <c r="T3165" s="6"/>
      <c r="U3165" s="5">
        <f>MATCH(B3165,Manual_Review!$A$6:$A$238,0)</f>
        <v>198</v>
      </c>
      <c r="V3165" s="5" t="str">
        <f>IF(INDEX(Manual_Review!$G$6:$G$238,U3165)="","",INDEX(Manual_Review!$G$6:$G$238,U3165))</f>
        <v/>
      </c>
      <c r="W3165" s="11" t="str">
        <f>IF(INDEX(Manual_Review!$H$6:$H$238,U3165)="","",INDEX(Manual_Review!$H$6:$H$238,U3165))</f>
        <v/>
      </c>
      <c r="X3165" s="5" t="str">
        <f>IF(INDEX(Manual_Review!$I$6:$I$238,U3165)="","",INDEX(Manual_Review!$I$6:$I$238,U3165))</f>
        <v/>
      </c>
      <c r="Y3165" s="5" t="s">
        <v>2859</v>
      </c>
    </row>
    <row r="3166" spans="1:25" ht="38.25">
      <c r="A3166" s="5" t="s">
        <v>9595</v>
      </c>
      <c r="B3166" s="5" t="s">
        <v>2267</v>
      </c>
      <c r="C3166" s="5" t="s">
        <v>2268</v>
      </c>
      <c r="D3166" s="5" t="s">
        <v>118</v>
      </c>
      <c r="E3166" s="5" t="s">
        <v>2789</v>
      </c>
      <c r="F3166" s="5" t="s">
        <v>2758</v>
      </c>
      <c r="G3166" s="5">
        <v>1</v>
      </c>
      <c r="H3166" s="5" t="s">
        <v>2854</v>
      </c>
      <c r="I3166" s="5" t="str">
        <f>IF(INDEX(Manual_Review!$S$6:$S$238,U3166)="","",INDEX(Manual_Review!$S$6:$S$238,U3166))</f>
        <v/>
      </c>
      <c r="J3166" s="5" t="str">
        <f t="shared" si="98"/>
        <v>AI provisional</v>
      </c>
      <c r="K3166" s="5" t="str">
        <f t="shared" si="99"/>
        <v>Y</v>
      </c>
      <c r="L3166" s="5" t="s">
        <v>2279</v>
      </c>
      <c r="M3166" s="5" t="s">
        <v>9596</v>
      </c>
      <c r="N3166" s="5" t="s">
        <v>9597</v>
      </c>
      <c r="O3166" s="5" t="s">
        <v>3022</v>
      </c>
      <c r="P3166" s="5" t="s">
        <v>2992</v>
      </c>
      <c r="Q3166" s="11">
        <v>46306.5</v>
      </c>
      <c r="R3166" s="6"/>
      <c r="S3166" s="6"/>
      <c r="T3166" s="6"/>
      <c r="U3166" s="5">
        <f>MATCH(B3166,Manual_Review!$A$6:$A$238,0)</f>
        <v>198</v>
      </c>
      <c r="V3166" s="5" t="str">
        <f>IF(INDEX(Manual_Review!$G$6:$G$238,U3166)="","",INDEX(Manual_Review!$G$6:$G$238,U3166))</f>
        <v/>
      </c>
      <c r="W3166" s="11" t="str">
        <f>IF(INDEX(Manual_Review!$H$6:$H$238,U3166)="","",INDEX(Manual_Review!$H$6:$H$238,U3166))</f>
        <v/>
      </c>
      <c r="X3166" s="5" t="str">
        <f>IF(INDEX(Manual_Review!$I$6:$I$238,U3166)="","",INDEX(Manual_Review!$I$6:$I$238,U3166))</f>
        <v/>
      </c>
      <c r="Y3166" s="5" t="s">
        <v>2859</v>
      </c>
    </row>
    <row r="3167" spans="1:25" ht="25.5">
      <c r="A3167" s="5" t="s">
        <v>9598</v>
      </c>
      <c r="B3167" s="5" t="s">
        <v>2267</v>
      </c>
      <c r="C3167" s="5" t="s">
        <v>2268</v>
      </c>
      <c r="D3167" s="5" t="s">
        <v>118</v>
      </c>
      <c r="E3167" s="5" t="s">
        <v>2790</v>
      </c>
      <c r="F3167" s="5" t="s">
        <v>2760</v>
      </c>
      <c r="G3167" s="5">
        <v>1</v>
      </c>
      <c r="H3167" s="5" t="s">
        <v>2854</v>
      </c>
      <c r="I3167" s="5" t="str">
        <f>IF(INDEX(Manual_Review!$T$6:$T$238,U3167)="","",INDEX(Manual_Review!$T$6:$T$238,U3167))</f>
        <v/>
      </c>
      <c r="J3167" s="5" t="str">
        <f t="shared" si="98"/>
        <v>AI provisional</v>
      </c>
      <c r="K3167" s="5" t="str">
        <f t="shared" si="99"/>
        <v>Y</v>
      </c>
      <c r="L3167" s="5" t="s">
        <v>2279</v>
      </c>
      <c r="M3167" s="5" t="s">
        <v>9599</v>
      </c>
      <c r="N3167" s="5" t="s">
        <v>9600</v>
      </c>
      <c r="O3167" s="5" t="s">
        <v>3451</v>
      </c>
      <c r="P3167" s="5" t="s">
        <v>2992</v>
      </c>
      <c r="Q3167" s="11">
        <v>46306.5</v>
      </c>
      <c r="R3167" s="6"/>
      <c r="S3167" s="6"/>
      <c r="T3167" s="6"/>
      <c r="U3167" s="5">
        <f>MATCH(B3167,Manual_Review!$A$6:$A$238,0)</f>
        <v>198</v>
      </c>
      <c r="V3167" s="5" t="str">
        <f>IF(INDEX(Manual_Review!$G$6:$G$238,U3167)="","",INDEX(Manual_Review!$G$6:$G$238,U3167))</f>
        <v/>
      </c>
      <c r="W3167" s="11" t="str">
        <f>IF(INDEX(Manual_Review!$H$6:$H$238,U3167)="","",INDEX(Manual_Review!$H$6:$H$238,U3167))</f>
        <v/>
      </c>
      <c r="X3167" s="5" t="str">
        <f>IF(INDEX(Manual_Review!$I$6:$I$238,U3167)="","",INDEX(Manual_Review!$I$6:$I$238,U3167))</f>
        <v/>
      </c>
      <c r="Y3167" s="5" t="s">
        <v>2859</v>
      </c>
    </row>
    <row r="3168" spans="1:25" ht="25.5">
      <c r="A3168" s="5" t="s">
        <v>9601</v>
      </c>
      <c r="B3168" s="5" t="s">
        <v>2267</v>
      </c>
      <c r="C3168" s="5" t="s">
        <v>2268</v>
      </c>
      <c r="D3168" s="5" t="s">
        <v>118</v>
      </c>
      <c r="E3168" s="5" t="s">
        <v>2791</v>
      </c>
      <c r="F3168" s="5" t="s">
        <v>2760</v>
      </c>
      <c r="G3168" s="5">
        <v>1</v>
      </c>
      <c r="H3168" s="5" t="s">
        <v>2854</v>
      </c>
      <c r="I3168" s="5" t="str">
        <f>IF(INDEX(Manual_Review!$U$6:$U$238,U3168)="","",INDEX(Manual_Review!$U$6:$U$238,U3168))</f>
        <v/>
      </c>
      <c r="J3168" s="5" t="str">
        <f t="shared" si="98"/>
        <v>AI provisional</v>
      </c>
      <c r="K3168" s="5" t="str">
        <f t="shared" si="99"/>
        <v>Y</v>
      </c>
      <c r="L3168" s="5" t="s">
        <v>2279</v>
      </c>
      <c r="M3168" s="5" t="s">
        <v>9602</v>
      </c>
      <c r="N3168" s="5" t="s">
        <v>9603</v>
      </c>
      <c r="O3168" s="5" t="s">
        <v>3832</v>
      </c>
      <c r="P3168" s="5" t="s">
        <v>2992</v>
      </c>
      <c r="Q3168" s="11">
        <v>46306.5</v>
      </c>
      <c r="R3168" s="6"/>
      <c r="S3168" s="6"/>
      <c r="T3168" s="6"/>
      <c r="U3168" s="5">
        <f>MATCH(B3168,Manual_Review!$A$6:$A$238,0)</f>
        <v>198</v>
      </c>
      <c r="V3168" s="5" t="str">
        <f>IF(INDEX(Manual_Review!$G$6:$G$238,U3168)="","",INDEX(Manual_Review!$G$6:$G$238,U3168))</f>
        <v/>
      </c>
      <c r="W3168" s="11" t="str">
        <f>IF(INDEX(Manual_Review!$H$6:$H$238,U3168)="","",INDEX(Manual_Review!$H$6:$H$238,U3168))</f>
        <v/>
      </c>
      <c r="X3168" s="5" t="str">
        <f>IF(INDEX(Manual_Review!$I$6:$I$238,U3168)="","",INDEX(Manual_Review!$I$6:$I$238,U3168))</f>
        <v/>
      </c>
      <c r="Y3168" s="5" t="s">
        <v>2859</v>
      </c>
    </row>
    <row r="3169" spans="1:25" ht="25.5">
      <c r="A3169" s="5" t="s">
        <v>9604</v>
      </c>
      <c r="B3169" s="5" t="s">
        <v>2267</v>
      </c>
      <c r="C3169" s="5" t="s">
        <v>2268</v>
      </c>
      <c r="D3169" s="5" t="s">
        <v>118</v>
      </c>
      <c r="E3169" s="5" t="s">
        <v>2792</v>
      </c>
      <c r="F3169" s="5" t="s">
        <v>2762</v>
      </c>
      <c r="G3169" s="5">
        <v>1</v>
      </c>
      <c r="H3169" s="5" t="s">
        <v>2854</v>
      </c>
      <c r="I3169" s="5" t="str">
        <f>IF(INDEX(Manual_Review!$V$6:$V$238,U3169)="","",INDEX(Manual_Review!$V$6:$V$238,U3169))</f>
        <v/>
      </c>
      <c r="J3169" s="5" t="str">
        <f t="shared" si="98"/>
        <v>AI provisional</v>
      </c>
      <c r="K3169" s="5" t="str">
        <f t="shared" si="99"/>
        <v>Y</v>
      </c>
      <c r="L3169" s="5" t="s">
        <v>2279</v>
      </c>
      <c r="M3169" s="5" t="s">
        <v>9605</v>
      </c>
      <c r="N3169" s="5" t="s">
        <v>9606</v>
      </c>
      <c r="O3169" s="5" t="s">
        <v>3034</v>
      </c>
      <c r="P3169" s="5" t="s">
        <v>2992</v>
      </c>
      <c r="Q3169" s="11">
        <v>46306.5</v>
      </c>
      <c r="R3169" s="6"/>
      <c r="S3169" s="6"/>
      <c r="T3169" s="6"/>
      <c r="U3169" s="5">
        <f>MATCH(B3169,Manual_Review!$A$6:$A$238,0)</f>
        <v>198</v>
      </c>
      <c r="V3169" s="5" t="str">
        <f>IF(INDEX(Manual_Review!$G$6:$G$238,U3169)="","",INDEX(Manual_Review!$G$6:$G$238,U3169))</f>
        <v/>
      </c>
      <c r="W3169" s="11" t="str">
        <f>IF(INDEX(Manual_Review!$H$6:$H$238,U3169)="","",INDEX(Manual_Review!$H$6:$H$238,U3169))</f>
        <v/>
      </c>
      <c r="X3169" s="5" t="str">
        <f>IF(INDEX(Manual_Review!$I$6:$I$238,U3169)="","",INDEX(Manual_Review!$I$6:$I$238,U3169))</f>
        <v/>
      </c>
      <c r="Y3169" s="5" t="s">
        <v>2859</v>
      </c>
    </row>
    <row r="3170" spans="1:25" ht="38.25">
      <c r="A3170" s="5" t="s">
        <v>9607</v>
      </c>
      <c r="B3170" s="5" t="s">
        <v>2267</v>
      </c>
      <c r="C3170" s="5" t="s">
        <v>2268</v>
      </c>
      <c r="D3170" s="5" t="s">
        <v>118</v>
      </c>
      <c r="E3170" s="5" t="s">
        <v>2793</v>
      </c>
      <c r="F3170" s="5" t="s">
        <v>2762</v>
      </c>
      <c r="G3170" s="5">
        <v>1</v>
      </c>
      <c r="H3170" s="5" t="s">
        <v>2854</v>
      </c>
      <c r="I3170" s="5" t="str">
        <f>IF(INDEX(Manual_Review!$W$6:$W$238,U3170)="","",INDEX(Manual_Review!$W$6:$W$238,U3170))</f>
        <v/>
      </c>
      <c r="J3170" s="5" t="str">
        <f t="shared" si="98"/>
        <v>AI provisional</v>
      </c>
      <c r="K3170" s="5" t="str">
        <f t="shared" si="99"/>
        <v>Y</v>
      </c>
      <c r="L3170" s="5" t="s">
        <v>2279</v>
      </c>
      <c r="M3170" s="5" t="s">
        <v>9608</v>
      </c>
      <c r="N3170" s="5" t="s">
        <v>9609</v>
      </c>
      <c r="O3170" s="5" t="s">
        <v>3038</v>
      </c>
      <c r="P3170" s="5" t="s">
        <v>2992</v>
      </c>
      <c r="Q3170" s="11">
        <v>46306.5</v>
      </c>
      <c r="R3170" s="6"/>
      <c r="S3170" s="6"/>
      <c r="T3170" s="6"/>
      <c r="U3170" s="5">
        <f>MATCH(B3170,Manual_Review!$A$6:$A$238,0)</f>
        <v>198</v>
      </c>
      <c r="V3170" s="5" t="str">
        <f>IF(INDEX(Manual_Review!$G$6:$G$238,U3170)="","",INDEX(Manual_Review!$G$6:$G$238,U3170))</f>
        <v/>
      </c>
      <c r="W3170" s="11" t="str">
        <f>IF(INDEX(Manual_Review!$H$6:$H$238,U3170)="","",INDEX(Manual_Review!$H$6:$H$238,U3170))</f>
        <v/>
      </c>
      <c r="X3170" s="5" t="str">
        <f>IF(INDEX(Manual_Review!$I$6:$I$238,U3170)="","",INDEX(Manual_Review!$I$6:$I$238,U3170))</f>
        <v/>
      </c>
      <c r="Y3170" s="5" t="s">
        <v>2859</v>
      </c>
    </row>
    <row r="3171" spans="1:25" ht="25.5">
      <c r="A3171" s="5" t="s">
        <v>9610</v>
      </c>
      <c r="B3171" s="5" t="s">
        <v>2267</v>
      </c>
      <c r="C3171" s="5" t="s">
        <v>2268</v>
      </c>
      <c r="D3171" s="5" t="s">
        <v>118</v>
      </c>
      <c r="E3171" s="5" t="s">
        <v>2794</v>
      </c>
      <c r="F3171" s="5" t="s">
        <v>2764</v>
      </c>
      <c r="G3171" s="5">
        <v>1</v>
      </c>
      <c r="H3171" s="5" t="s">
        <v>2854</v>
      </c>
      <c r="I3171" s="5" t="str">
        <f>IF(INDEX(Manual_Review!$X$6:$X$238,U3171)="","",INDEX(Manual_Review!$X$6:$X$238,U3171))</f>
        <v/>
      </c>
      <c r="J3171" s="5" t="str">
        <f t="shared" si="98"/>
        <v>AI provisional</v>
      </c>
      <c r="K3171" s="5" t="str">
        <f t="shared" si="99"/>
        <v>Y</v>
      </c>
      <c r="L3171" s="5" t="s">
        <v>2279</v>
      </c>
      <c r="M3171" s="5" t="s">
        <v>9611</v>
      </c>
      <c r="N3171" s="5" t="s">
        <v>9612</v>
      </c>
      <c r="O3171" s="5" t="s">
        <v>3042</v>
      </c>
      <c r="P3171" s="5" t="s">
        <v>2992</v>
      </c>
      <c r="Q3171" s="11">
        <v>46306.5</v>
      </c>
      <c r="R3171" s="6"/>
      <c r="S3171" s="6"/>
      <c r="T3171" s="6"/>
      <c r="U3171" s="5">
        <f>MATCH(B3171,Manual_Review!$A$6:$A$238,0)</f>
        <v>198</v>
      </c>
      <c r="V3171" s="5" t="str">
        <f>IF(INDEX(Manual_Review!$G$6:$G$238,U3171)="","",INDEX(Manual_Review!$G$6:$G$238,U3171))</f>
        <v/>
      </c>
      <c r="W3171" s="11" t="str">
        <f>IF(INDEX(Manual_Review!$H$6:$H$238,U3171)="","",INDEX(Manual_Review!$H$6:$H$238,U3171))</f>
        <v/>
      </c>
      <c r="X3171" s="5" t="str">
        <f>IF(INDEX(Manual_Review!$I$6:$I$238,U3171)="","",INDEX(Manual_Review!$I$6:$I$238,U3171))</f>
        <v/>
      </c>
      <c r="Y3171" s="5" t="s">
        <v>2859</v>
      </c>
    </row>
    <row r="3172" spans="1:25" ht="25.5">
      <c r="A3172" s="5" t="s">
        <v>9613</v>
      </c>
      <c r="B3172" s="5" t="s">
        <v>2267</v>
      </c>
      <c r="C3172" s="5" t="s">
        <v>2268</v>
      </c>
      <c r="D3172" s="5" t="s">
        <v>118</v>
      </c>
      <c r="E3172" s="5" t="s">
        <v>2795</v>
      </c>
      <c r="F3172" s="5" t="s">
        <v>2764</v>
      </c>
      <c r="G3172" s="5">
        <v>1</v>
      </c>
      <c r="H3172" s="5" t="s">
        <v>2864</v>
      </c>
      <c r="I3172" s="5" t="str">
        <f>IF(INDEX(Manual_Review!$Y$6:$Y$238,U3172)="","",INDEX(Manual_Review!$Y$6:$Y$238,U3172))</f>
        <v/>
      </c>
      <c r="J3172" s="5" t="str">
        <f t="shared" si="98"/>
        <v>AI provisional</v>
      </c>
      <c r="K3172" s="5" t="str">
        <f t="shared" si="99"/>
        <v>U</v>
      </c>
      <c r="L3172" s="5" t="s">
        <v>2279</v>
      </c>
      <c r="M3172" s="5" t="s">
        <v>9614</v>
      </c>
      <c r="N3172" s="5" t="s">
        <v>9615</v>
      </c>
      <c r="O3172" s="5" t="s">
        <v>3469</v>
      </c>
      <c r="P3172" s="5" t="s">
        <v>2992</v>
      </c>
      <c r="Q3172" s="11">
        <v>46306.5</v>
      </c>
      <c r="R3172" s="6"/>
      <c r="S3172" s="6"/>
      <c r="T3172" s="6"/>
      <c r="U3172" s="5">
        <f>MATCH(B3172,Manual_Review!$A$6:$A$238,0)</f>
        <v>198</v>
      </c>
      <c r="V3172" s="5" t="str">
        <f>IF(INDEX(Manual_Review!$G$6:$G$238,U3172)="","",INDEX(Manual_Review!$G$6:$G$238,U3172))</f>
        <v/>
      </c>
      <c r="W3172" s="11" t="str">
        <f>IF(INDEX(Manual_Review!$H$6:$H$238,U3172)="","",INDEX(Manual_Review!$H$6:$H$238,U3172))</f>
        <v/>
      </c>
      <c r="X3172" s="5" t="str">
        <f>IF(INDEX(Manual_Review!$I$6:$I$238,U3172)="","",INDEX(Manual_Review!$I$6:$I$238,U3172))</f>
        <v/>
      </c>
      <c r="Y3172" s="5" t="s">
        <v>2859</v>
      </c>
    </row>
    <row r="3173" spans="1:25" ht="38.25">
      <c r="A3173" s="5" t="s">
        <v>9616</v>
      </c>
      <c r="B3173" s="5" t="s">
        <v>2267</v>
      </c>
      <c r="C3173" s="5" t="s">
        <v>2268</v>
      </c>
      <c r="D3173" s="5" t="s">
        <v>118</v>
      </c>
      <c r="E3173" s="5" t="s">
        <v>2796</v>
      </c>
      <c r="F3173" s="5" t="s">
        <v>2764</v>
      </c>
      <c r="G3173" s="5">
        <v>1</v>
      </c>
      <c r="H3173" s="5" t="s">
        <v>2864</v>
      </c>
      <c r="I3173" s="5" t="str">
        <f>IF(INDEX(Manual_Review!$Z$6:$Z$238,U3173)="","",INDEX(Manual_Review!$Z$6:$Z$238,U3173))</f>
        <v/>
      </c>
      <c r="J3173" s="5" t="str">
        <f t="shared" si="98"/>
        <v>AI provisional</v>
      </c>
      <c r="K3173" s="5" t="str">
        <f t="shared" si="99"/>
        <v>U</v>
      </c>
      <c r="L3173" s="5" t="s">
        <v>2279</v>
      </c>
      <c r="M3173" s="5" t="s">
        <v>9617</v>
      </c>
      <c r="N3173" s="5" t="s">
        <v>9618</v>
      </c>
      <c r="O3173" s="5" t="s">
        <v>3050</v>
      </c>
      <c r="P3173" s="5" t="s">
        <v>2992</v>
      </c>
      <c r="Q3173" s="11">
        <v>46306.5</v>
      </c>
      <c r="R3173" s="6"/>
      <c r="S3173" s="6"/>
      <c r="T3173" s="6"/>
      <c r="U3173" s="5">
        <f>MATCH(B3173,Manual_Review!$A$6:$A$238,0)</f>
        <v>198</v>
      </c>
      <c r="V3173" s="5" t="str">
        <f>IF(INDEX(Manual_Review!$G$6:$G$238,U3173)="","",INDEX(Manual_Review!$G$6:$G$238,U3173))</f>
        <v/>
      </c>
      <c r="W3173" s="11" t="str">
        <f>IF(INDEX(Manual_Review!$H$6:$H$238,U3173)="","",INDEX(Manual_Review!$H$6:$H$238,U3173))</f>
        <v/>
      </c>
      <c r="X3173" s="5" t="str">
        <f>IF(INDEX(Manual_Review!$I$6:$I$238,U3173)="","",INDEX(Manual_Review!$I$6:$I$238,U3173))</f>
        <v/>
      </c>
      <c r="Y3173" s="5" t="s">
        <v>2859</v>
      </c>
    </row>
    <row r="3174" spans="1:25" ht="25.5">
      <c r="A3174" s="5" t="s">
        <v>9619</v>
      </c>
      <c r="B3174" s="5" t="s">
        <v>2281</v>
      </c>
      <c r="C3174" s="5" t="s">
        <v>2282</v>
      </c>
      <c r="D3174" s="5" t="s">
        <v>118</v>
      </c>
      <c r="E3174" s="5" t="s">
        <v>2781</v>
      </c>
      <c r="F3174" s="5" t="s">
        <v>2754</v>
      </c>
      <c r="G3174" s="5">
        <v>1</v>
      </c>
      <c r="H3174" s="5" t="s">
        <v>2854</v>
      </c>
      <c r="I3174" s="5" t="str">
        <f>IF(INDEX(Manual_Review!$K$6:$K$238,U3174)="","",INDEX(Manual_Review!$K$6:$K$238,U3174))</f>
        <v/>
      </c>
      <c r="J3174" s="5" t="str">
        <f t="shared" si="98"/>
        <v>AI provisional</v>
      </c>
      <c r="K3174" s="5" t="str">
        <f t="shared" si="99"/>
        <v>Y</v>
      </c>
      <c r="L3174" s="5" t="s">
        <v>2293</v>
      </c>
      <c r="M3174" s="5" t="s">
        <v>9620</v>
      </c>
      <c r="N3174" s="5" t="s">
        <v>9621</v>
      </c>
      <c r="O3174" s="5" t="s">
        <v>2991</v>
      </c>
      <c r="P3174" s="5" t="s">
        <v>2992</v>
      </c>
      <c r="Q3174" s="11">
        <v>46306.5</v>
      </c>
      <c r="R3174" s="6"/>
      <c r="S3174" s="6"/>
      <c r="T3174" s="6"/>
      <c r="U3174" s="5">
        <f>MATCH(B3174,Manual_Review!$A$6:$A$238,0)</f>
        <v>199</v>
      </c>
      <c r="V3174" s="5" t="str">
        <f>IF(INDEX(Manual_Review!$G$6:$G$238,U3174)="","",INDEX(Manual_Review!$G$6:$G$238,U3174))</f>
        <v/>
      </c>
      <c r="W3174" s="11" t="str">
        <f>IF(INDEX(Manual_Review!$H$6:$H$238,U3174)="","",INDEX(Manual_Review!$H$6:$H$238,U3174))</f>
        <v/>
      </c>
      <c r="X3174" s="5" t="str">
        <f>IF(INDEX(Manual_Review!$I$6:$I$238,U3174)="","",INDEX(Manual_Review!$I$6:$I$238,U3174))</f>
        <v/>
      </c>
      <c r="Y3174" s="5" t="s">
        <v>2859</v>
      </c>
    </row>
    <row r="3175" spans="1:25" ht="25.5">
      <c r="A3175" s="5" t="s">
        <v>9622</v>
      </c>
      <c r="B3175" s="5" t="s">
        <v>2281</v>
      </c>
      <c r="C3175" s="5" t="s">
        <v>2282</v>
      </c>
      <c r="D3175" s="5" t="s">
        <v>118</v>
      </c>
      <c r="E3175" s="5" t="s">
        <v>2782</v>
      </c>
      <c r="F3175" s="5" t="s">
        <v>2754</v>
      </c>
      <c r="G3175" s="5">
        <v>1</v>
      </c>
      <c r="H3175" s="5" t="s">
        <v>2854</v>
      </c>
      <c r="I3175" s="5" t="str">
        <f>IF(INDEX(Manual_Review!$L$6:$L$238,U3175)="","",INDEX(Manual_Review!$L$6:$L$238,U3175))</f>
        <v/>
      </c>
      <c r="J3175" s="5" t="str">
        <f t="shared" si="98"/>
        <v>AI provisional</v>
      </c>
      <c r="K3175" s="5" t="str">
        <f t="shared" si="99"/>
        <v>Y</v>
      </c>
      <c r="L3175" s="5" t="s">
        <v>2293</v>
      </c>
      <c r="M3175" s="5" t="s">
        <v>9623</v>
      </c>
      <c r="N3175" s="5" t="s">
        <v>9624</v>
      </c>
      <c r="O3175" s="5" t="s">
        <v>2996</v>
      </c>
      <c r="P3175" s="5" t="s">
        <v>2992</v>
      </c>
      <c r="Q3175" s="11">
        <v>46306.5</v>
      </c>
      <c r="R3175" s="6"/>
      <c r="S3175" s="6"/>
      <c r="T3175" s="6"/>
      <c r="U3175" s="5">
        <f>MATCH(B3175,Manual_Review!$A$6:$A$238,0)</f>
        <v>199</v>
      </c>
      <c r="V3175" s="5" t="str">
        <f>IF(INDEX(Manual_Review!$G$6:$G$238,U3175)="","",INDEX(Manual_Review!$G$6:$G$238,U3175))</f>
        <v/>
      </c>
      <c r="W3175" s="11" t="str">
        <f>IF(INDEX(Manual_Review!$H$6:$H$238,U3175)="","",INDEX(Manual_Review!$H$6:$H$238,U3175))</f>
        <v/>
      </c>
      <c r="X3175" s="5" t="str">
        <f>IF(INDEX(Manual_Review!$I$6:$I$238,U3175)="","",INDEX(Manual_Review!$I$6:$I$238,U3175))</f>
        <v/>
      </c>
      <c r="Y3175" s="5" t="s">
        <v>2859</v>
      </c>
    </row>
    <row r="3176" spans="1:25" ht="25.5">
      <c r="A3176" s="5" t="s">
        <v>9625</v>
      </c>
      <c r="B3176" s="5" t="s">
        <v>2281</v>
      </c>
      <c r="C3176" s="5" t="s">
        <v>2282</v>
      </c>
      <c r="D3176" s="5" t="s">
        <v>118</v>
      </c>
      <c r="E3176" s="5" t="s">
        <v>2783</v>
      </c>
      <c r="F3176" s="5" t="s">
        <v>2754</v>
      </c>
      <c r="G3176" s="5">
        <v>1</v>
      </c>
      <c r="H3176" s="5" t="s">
        <v>2854</v>
      </c>
      <c r="I3176" s="5" t="str">
        <f>IF(INDEX(Manual_Review!$M$6:$M$238,U3176)="","",INDEX(Manual_Review!$M$6:$M$238,U3176))</f>
        <v/>
      </c>
      <c r="J3176" s="5" t="str">
        <f t="shared" si="98"/>
        <v>AI provisional</v>
      </c>
      <c r="K3176" s="5" t="str">
        <f t="shared" si="99"/>
        <v>Y</v>
      </c>
      <c r="L3176" s="5" t="s">
        <v>2293</v>
      </c>
      <c r="M3176" s="5" t="s">
        <v>9626</v>
      </c>
      <c r="N3176" s="5" t="s">
        <v>9627</v>
      </c>
      <c r="O3176" s="5" t="s">
        <v>3000</v>
      </c>
      <c r="P3176" s="5" t="s">
        <v>2992</v>
      </c>
      <c r="Q3176" s="11">
        <v>46306.5</v>
      </c>
      <c r="R3176" s="6"/>
      <c r="S3176" s="6"/>
      <c r="T3176" s="6"/>
      <c r="U3176" s="5">
        <f>MATCH(B3176,Manual_Review!$A$6:$A$238,0)</f>
        <v>199</v>
      </c>
      <c r="V3176" s="5" t="str">
        <f>IF(INDEX(Manual_Review!$G$6:$G$238,U3176)="","",INDEX(Manual_Review!$G$6:$G$238,U3176))</f>
        <v/>
      </c>
      <c r="W3176" s="11" t="str">
        <f>IF(INDEX(Manual_Review!$H$6:$H$238,U3176)="","",INDEX(Manual_Review!$H$6:$H$238,U3176))</f>
        <v/>
      </c>
      <c r="X3176" s="5" t="str">
        <f>IF(INDEX(Manual_Review!$I$6:$I$238,U3176)="","",INDEX(Manual_Review!$I$6:$I$238,U3176))</f>
        <v/>
      </c>
      <c r="Y3176" s="5" t="s">
        <v>2859</v>
      </c>
    </row>
    <row r="3177" spans="1:25" ht="25.5">
      <c r="A3177" s="5" t="s">
        <v>9628</v>
      </c>
      <c r="B3177" s="5" t="s">
        <v>2281</v>
      </c>
      <c r="C3177" s="5" t="s">
        <v>2282</v>
      </c>
      <c r="D3177" s="5" t="s">
        <v>118</v>
      </c>
      <c r="E3177" s="5" t="s">
        <v>2784</v>
      </c>
      <c r="F3177" s="5" t="s">
        <v>2756</v>
      </c>
      <c r="G3177" s="5">
        <v>1</v>
      </c>
      <c r="H3177" s="5" t="s">
        <v>2864</v>
      </c>
      <c r="I3177" s="5" t="str">
        <f>IF(INDEX(Manual_Review!$N$6:$N$238,U3177)="","",INDEX(Manual_Review!$N$6:$N$238,U3177))</f>
        <v/>
      </c>
      <c r="J3177" s="5" t="str">
        <f t="shared" si="98"/>
        <v>AI provisional</v>
      </c>
      <c r="K3177" s="5" t="str">
        <f t="shared" si="99"/>
        <v>U</v>
      </c>
      <c r="L3177" s="5" t="s">
        <v>2293</v>
      </c>
      <c r="M3177" s="5" t="s">
        <v>9629</v>
      </c>
      <c r="N3177" s="5" t="s">
        <v>9630</v>
      </c>
      <c r="O3177" s="5" t="s">
        <v>9214</v>
      </c>
      <c r="P3177" s="5" t="s">
        <v>2992</v>
      </c>
      <c r="Q3177" s="11">
        <v>46306.5</v>
      </c>
      <c r="R3177" s="6"/>
      <c r="S3177" s="6"/>
      <c r="T3177" s="6"/>
      <c r="U3177" s="5">
        <f>MATCH(B3177,Manual_Review!$A$6:$A$238,0)</f>
        <v>199</v>
      </c>
      <c r="V3177" s="5" t="str">
        <f>IF(INDEX(Manual_Review!$G$6:$G$238,U3177)="","",INDEX(Manual_Review!$G$6:$G$238,U3177))</f>
        <v/>
      </c>
      <c r="W3177" s="11" t="str">
        <f>IF(INDEX(Manual_Review!$H$6:$H$238,U3177)="","",INDEX(Manual_Review!$H$6:$H$238,U3177))</f>
        <v/>
      </c>
      <c r="X3177" s="5" t="str">
        <f>IF(INDEX(Manual_Review!$I$6:$I$238,U3177)="","",INDEX(Manual_Review!$I$6:$I$238,U3177))</f>
        <v/>
      </c>
      <c r="Y3177" s="5" t="s">
        <v>2859</v>
      </c>
    </row>
    <row r="3178" spans="1:25" ht="25.5">
      <c r="A3178" s="5" t="s">
        <v>9631</v>
      </c>
      <c r="B3178" s="5" t="s">
        <v>2281</v>
      </c>
      <c r="C3178" s="5" t="s">
        <v>2282</v>
      </c>
      <c r="D3178" s="5" t="s">
        <v>118</v>
      </c>
      <c r="E3178" s="5" t="s">
        <v>2785</v>
      </c>
      <c r="F3178" s="5" t="s">
        <v>2756</v>
      </c>
      <c r="G3178" s="5">
        <v>1</v>
      </c>
      <c r="H3178" s="5" t="s">
        <v>2864</v>
      </c>
      <c r="I3178" s="5" t="str">
        <f>IF(INDEX(Manual_Review!$O$6:$O$238,U3178)="","",INDEX(Manual_Review!$O$6:$O$238,U3178))</f>
        <v/>
      </c>
      <c r="J3178" s="5" t="str">
        <f t="shared" si="98"/>
        <v>AI provisional</v>
      </c>
      <c r="K3178" s="5" t="str">
        <f t="shared" si="99"/>
        <v>U</v>
      </c>
      <c r="L3178" s="5" t="s">
        <v>2293</v>
      </c>
      <c r="M3178" s="5" t="s">
        <v>9629</v>
      </c>
      <c r="N3178" s="5" t="s">
        <v>9630</v>
      </c>
      <c r="O3178" s="5" t="s">
        <v>3006</v>
      </c>
      <c r="P3178" s="5" t="s">
        <v>2992</v>
      </c>
      <c r="Q3178" s="11">
        <v>46306.5</v>
      </c>
      <c r="R3178" s="6"/>
      <c r="S3178" s="6"/>
      <c r="T3178" s="6"/>
      <c r="U3178" s="5">
        <f>MATCH(B3178,Manual_Review!$A$6:$A$238,0)</f>
        <v>199</v>
      </c>
      <c r="V3178" s="5" t="str">
        <f>IF(INDEX(Manual_Review!$G$6:$G$238,U3178)="","",INDEX(Manual_Review!$G$6:$G$238,U3178))</f>
        <v/>
      </c>
      <c r="W3178" s="11" t="str">
        <f>IF(INDEX(Manual_Review!$H$6:$H$238,U3178)="","",INDEX(Manual_Review!$H$6:$H$238,U3178))</f>
        <v/>
      </c>
      <c r="X3178" s="5" t="str">
        <f>IF(INDEX(Manual_Review!$I$6:$I$238,U3178)="","",INDEX(Manual_Review!$I$6:$I$238,U3178))</f>
        <v/>
      </c>
      <c r="Y3178" s="5" t="s">
        <v>2859</v>
      </c>
    </row>
    <row r="3179" spans="1:25" ht="25.5">
      <c r="A3179" s="5" t="s">
        <v>9632</v>
      </c>
      <c r="B3179" s="5" t="s">
        <v>2281</v>
      </c>
      <c r="C3179" s="5" t="s">
        <v>2282</v>
      </c>
      <c r="D3179" s="5" t="s">
        <v>118</v>
      </c>
      <c r="E3179" s="5" t="s">
        <v>2786</v>
      </c>
      <c r="F3179" s="5" t="s">
        <v>2756</v>
      </c>
      <c r="G3179" s="5">
        <v>1</v>
      </c>
      <c r="H3179" s="5" t="s">
        <v>2864</v>
      </c>
      <c r="I3179" s="5" t="str">
        <f>IF(INDEX(Manual_Review!$P$6:$P$238,U3179)="","",INDEX(Manual_Review!$P$6:$P$238,U3179))</f>
        <v/>
      </c>
      <c r="J3179" s="5" t="str">
        <f t="shared" si="98"/>
        <v>AI provisional</v>
      </c>
      <c r="K3179" s="5" t="str">
        <f t="shared" si="99"/>
        <v>U</v>
      </c>
      <c r="L3179" s="5" t="s">
        <v>2293</v>
      </c>
      <c r="M3179" s="5" t="s">
        <v>9633</v>
      </c>
      <c r="N3179" s="5" t="s">
        <v>9634</v>
      </c>
      <c r="O3179" s="5" t="s">
        <v>3010</v>
      </c>
      <c r="P3179" s="5" t="s">
        <v>2992</v>
      </c>
      <c r="Q3179" s="11">
        <v>46306.5</v>
      </c>
      <c r="R3179" s="6"/>
      <c r="S3179" s="6"/>
      <c r="T3179" s="6"/>
      <c r="U3179" s="5">
        <f>MATCH(B3179,Manual_Review!$A$6:$A$238,0)</f>
        <v>199</v>
      </c>
      <c r="V3179" s="5" t="str">
        <f>IF(INDEX(Manual_Review!$G$6:$G$238,U3179)="","",INDEX(Manual_Review!$G$6:$G$238,U3179))</f>
        <v/>
      </c>
      <c r="W3179" s="11" t="str">
        <f>IF(INDEX(Manual_Review!$H$6:$H$238,U3179)="","",INDEX(Manual_Review!$H$6:$H$238,U3179))</f>
        <v/>
      </c>
      <c r="X3179" s="5" t="str">
        <f>IF(INDEX(Manual_Review!$I$6:$I$238,U3179)="","",INDEX(Manual_Review!$I$6:$I$238,U3179))</f>
        <v/>
      </c>
      <c r="Y3179" s="5" t="s">
        <v>2859</v>
      </c>
    </row>
    <row r="3180" spans="1:25" ht="25.5">
      <c r="A3180" s="5" t="s">
        <v>9635</v>
      </c>
      <c r="B3180" s="5" t="s">
        <v>2281</v>
      </c>
      <c r="C3180" s="5" t="s">
        <v>2282</v>
      </c>
      <c r="D3180" s="5" t="s">
        <v>118</v>
      </c>
      <c r="E3180" s="5" t="s">
        <v>2787</v>
      </c>
      <c r="F3180" s="5" t="s">
        <v>2758</v>
      </c>
      <c r="G3180" s="5">
        <v>1</v>
      </c>
      <c r="H3180" s="5" t="s">
        <v>2864</v>
      </c>
      <c r="I3180" s="5" t="str">
        <f>IF(INDEX(Manual_Review!$Q$6:$Q$238,U3180)="","",INDEX(Manual_Review!$Q$6:$Q$238,U3180))</f>
        <v/>
      </c>
      <c r="J3180" s="5" t="str">
        <f t="shared" si="98"/>
        <v>AI provisional</v>
      </c>
      <c r="K3180" s="5" t="str">
        <f t="shared" si="99"/>
        <v>U</v>
      </c>
      <c r="L3180" s="5" t="s">
        <v>2293</v>
      </c>
      <c r="M3180" s="5" t="s">
        <v>9636</v>
      </c>
      <c r="N3180" s="5" t="s">
        <v>9637</v>
      </c>
      <c r="O3180" s="5" t="s">
        <v>3014</v>
      </c>
      <c r="P3180" s="5" t="s">
        <v>2992</v>
      </c>
      <c r="Q3180" s="11">
        <v>46306.5</v>
      </c>
      <c r="R3180" s="6"/>
      <c r="S3180" s="6"/>
      <c r="T3180" s="6"/>
      <c r="U3180" s="5">
        <f>MATCH(B3180,Manual_Review!$A$6:$A$238,0)</f>
        <v>199</v>
      </c>
      <c r="V3180" s="5" t="str">
        <f>IF(INDEX(Manual_Review!$G$6:$G$238,U3180)="","",INDEX(Manual_Review!$G$6:$G$238,U3180))</f>
        <v/>
      </c>
      <c r="W3180" s="11" t="str">
        <f>IF(INDEX(Manual_Review!$H$6:$H$238,U3180)="","",INDEX(Manual_Review!$H$6:$H$238,U3180))</f>
        <v/>
      </c>
      <c r="X3180" s="5" t="str">
        <f>IF(INDEX(Manual_Review!$I$6:$I$238,U3180)="","",INDEX(Manual_Review!$I$6:$I$238,U3180))</f>
        <v/>
      </c>
      <c r="Y3180" s="5" t="s">
        <v>2859</v>
      </c>
    </row>
    <row r="3181" spans="1:25" ht="38.25">
      <c r="A3181" s="5" t="s">
        <v>9638</v>
      </c>
      <c r="B3181" s="5" t="s">
        <v>2281</v>
      </c>
      <c r="C3181" s="5" t="s">
        <v>2282</v>
      </c>
      <c r="D3181" s="5" t="s">
        <v>118</v>
      </c>
      <c r="E3181" s="5" t="s">
        <v>2788</v>
      </c>
      <c r="F3181" s="5" t="s">
        <v>2758</v>
      </c>
      <c r="G3181" s="5">
        <v>1</v>
      </c>
      <c r="H3181" s="5" t="s">
        <v>2854</v>
      </c>
      <c r="I3181" s="5" t="str">
        <f>IF(INDEX(Manual_Review!$R$6:$R$238,U3181)="","",INDEX(Manual_Review!$R$6:$R$238,U3181))</f>
        <v/>
      </c>
      <c r="J3181" s="5" t="str">
        <f t="shared" si="98"/>
        <v>AI provisional</v>
      </c>
      <c r="K3181" s="5" t="str">
        <f t="shared" si="99"/>
        <v>Y</v>
      </c>
      <c r="L3181" s="5" t="s">
        <v>2293</v>
      </c>
      <c r="M3181" s="5" t="s">
        <v>9639</v>
      </c>
      <c r="N3181" s="5" t="s">
        <v>9640</v>
      </c>
      <c r="O3181" s="5" t="s">
        <v>3018</v>
      </c>
      <c r="P3181" s="5" t="s">
        <v>2992</v>
      </c>
      <c r="Q3181" s="11">
        <v>46306.5</v>
      </c>
      <c r="R3181" s="6"/>
      <c r="S3181" s="6"/>
      <c r="T3181" s="6"/>
      <c r="U3181" s="5">
        <f>MATCH(B3181,Manual_Review!$A$6:$A$238,0)</f>
        <v>199</v>
      </c>
      <c r="V3181" s="5" t="str">
        <f>IF(INDEX(Manual_Review!$G$6:$G$238,U3181)="","",INDEX(Manual_Review!$G$6:$G$238,U3181))</f>
        <v/>
      </c>
      <c r="W3181" s="11" t="str">
        <f>IF(INDEX(Manual_Review!$H$6:$H$238,U3181)="","",INDEX(Manual_Review!$H$6:$H$238,U3181))</f>
        <v/>
      </c>
      <c r="X3181" s="5" t="str">
        <f>IF(INDEX(Manual_Review!$I$6:$I$238,U3181)="","",INDEX(Manual_Review!$I$6:$I$238,U3181))</f>
        <v/>
      </c>
      <c r="Y3181" s="5" t="s">
        <v>2859</v>
      </c>
    </row>
    <row r="3182" spans="1:25" ht="25.5">
      <c r="A3182" s="5" t="s">
        <v>9641</v>
      </c>
      <c r="B3182" s="5" t="s">
        <v>2281</v>
      </c>
      <c r="C3182" s="5" t="s">
        <v>2282</v>
      </c>
      <c r="D3182" s="5" t="s">
        <v>118</v>
      </c>
      <c r="E3182" s="5" t="s">
        <v>2789</v>
      </c>
      <c r="F3182" s="5" t="s">
        <v>2758</v>
      </c>
      <c r="G3182" s="5">
        <v>1</v>
      </c>
      <c r="H3182" s="5" t="s">
        <v>2864</v>
      </c>
      <c r="I3182" s="5" t="str">
        <f>IF(INDEX(Manual_Review!$S$6:$S$238,U3182)="","",INDEX(Manual_Review!$S$6:$S$238,U3182))</f>
        <v/>
      </c>
      <c r="J3182" s="5" t="str">
        <f t="shared" si="98"/>
        <v>AI provisional</v>
      </c>
      <c r="K3182" s="5" t="str">
        <f t="shared" si="99"/>
        <v>U</v>
      </c>
      <c r="L3182" s="5" t="s">
        <v>2293</v>
      </c>
      <c r="M3182" s="5" t="s">
        <v>9642</v>
      </c>
      <c r="N3182" s="5" t="s">
        <v>9643</v>
      </c>
      <c r="O3182" s="5" t="s">
        <v>3447</v>
      </c>
      <c r="P3182" s="5" t="s">
        <v>2992</v>
      </c>
      <c r="Q3182" s="11">
        <v>46306.5</v>
      </c>
      <c r="R3182" s="6"/>
      <c r="S3182" s="6"/>
      <c r="T3182" s="6"/>
      <c r="U3182" s="5">
        <f>MATCH(B3182,Manual_Review!$A$6:$A$238,0)</f>
        <v>199</v>
      </c>
      <c r="V3182" s="5" t="str">
        <f>IF(INDEX(Manual_Review!$G$6:$G$238,U3182)="","",INDEX(Manual_Review!$G$6:$G$238,U3182))</f>
        <v/>
      </c>
      <c r="W3182" s="11" t="str">
        <f>IF(INDEX(Manual_Review!$H$6:$H$238,U3182)="","",INDEX(Manual_Review!$H$6:$H$238,U3182))</f>
        <v/>
      </c>
      <c r="X3182" s="5" t="str">
        <f>IF(INDEX(Manual_Review!$I$6:$I$238,U3182)="","",INDEX(Manual_Review!$I$6:$I$238,U3182))</f>
        <v/>
      </c>
      <c r="Y3182" s="5" t="s">
        <v>2859</v>
      </c>
    </row>
    <row r="3183" spans="1:25" ht="25.5">
      <c r="A3183" s="5" t="s">
        <v>9644</v>
      </c>
      <c r="B3183" s="5" t="s">
        <v>2281</v>
      </c>
      <c r="C3183" s="5" t="s">
        <v>2282</v>
      </c>
      <c r="D3183" s="5" t="s">
        <v>118</v>
      </c>
      <c r="E3183" s="5" t="s">
        <v>2790</v>
      </c>
      <c r="F3183" s="5" t="s">
        <v>2760</v>
      </c>
      <c r="G3183" s="5">
        <v>1</v>
      </c>
      <c r="H3183" s="5" t="s">
        <v>2854</v>
      </c>
      <c r="I3183" s="5" t="str">
        <f>IF(INDEX(Manual_Review!$T$6:$T$238,U3183)="","",INDEX(Manual_Review!$T$6:$T$238,U3183))</f>
        <v/>
      </c>
      <c r="J3183" s="5" t="str">
        <f t="shared" si="98"/>
        <v>AI provisional</v>
      </c>
      <c r="K3183" s="5" t="str">
        <f t="shared" si="99"/>
        <v>Y</v>
      </c>
      <c r="L3183" s="5" t="s">
        <v>2293</v>
      </c>
      <c r="M3183" s="5" t="s">
        <v>9645</v>
      </c>
      <c r="N3183" s="5" t="s">
        <v>9646</v>
      </c>
      <c r="O3183" s="5" t="s">
        <v>3451</v>
      </c>
      <c r="P3183" s="5" t="s">
        <v>2992</v>
      </c>
      <c r="Q3183" s="11">
        <v>46306.5</v>
      </c>
      <c r="R3183" s="6"/>
      <c r="S3183" s="6"/>
      <c r="T3183" s="6"/>
      <c r="U3183" s="5">
        <f>MATCH(B3183,Manual_Review!$A$6:$A$238,0)</f>
        <v>199</v>
      </c>
      <c r="V3183" s="5" t="str">
        <f>IF(INDEX(Manual_Review!$G$6:$G$238,U3183)="","",INDEX(Manual_Review!$G$6:$G$238,U3183))</f>
        <v/>
      </c>
      <c r="W3183" s="11" t="str">
        <f>IF(INDEX(Manual_Review!$H$6:$H$238,U3183)="","",INDEX(Manual_Review!$H$6:$H$238,U3183))</f>
        <v/>
      </c>
      <c r="X3183" s="5" t="str">
        <f>IF(INDEX(Manual_Review!$I$6:$I$238,U3183)="","",INDEX(Manual_Review!$I$6:$I$238,U3183))</f>
        <v/>
      </c>
      <c r="Y3183" s="5" t="s">
        <v>2859</v>
      </c>
    </row>
    <row r="3184" spans="1:25" ht="25.5">
      <c r="A3184" s="5" t="s">
        <v>9647</v>
      </c>
      <c r="B3184" s="5" t="s">
        <v>2281</v>
      </c>
      <c r="C3184" s="5" t="s">
        <v>2282</v>
      </c>
      <c r="D3184" s="5" t="s">
        <v>118</v>
      </c>
      <c r="E3184" s="5" t="s">
        <v>2791</v>
      </c>
      <c r="F3184" s="5" t="s">
        <v>2760</v>
      </c>
      <c r="G3184" s="5">
        <v>1</v>
      </c>
      <c r="H3184" s="5" t="s">
        <v>2864</v>
      </c>
      <c r="I3184" s="5" t="str">
        <f>IF(INDEX(Manual_Review!$U$6:$U$238,U3184)="","",INDEX(Manual_Review!$U$6:$U$238,U3184))</f>
        <v/>
      </c>
      <c r="J3184" s="5" t="str">
        <f t="shared" si="98"/>
        <v>AI provisional</v>
      </c>
      <c r="K3184" s="5" t="str">
        <f t="shared" si="99"/>
        <v>U</v>
      </c>
      <c r="L3184" s="5" t="s">
        <v>2293</v>
      </c>
      <c r="M3184" s="5" t="s">
        <v>9648</v>
      </c>
      <c r="N3184" s="5" t="s">
        <v>9649</v>
      </c>
      <c r="O3184" s="5" t="s">
        <v>3030</v>
      </c>
      <c r="P3184" s="5" t="s">
        <v>2992</v>
      </c>
      <c r="Q3184" s="11">
        <v>46306.5</v>
      </c>
      <c r="R3184" s="6"/>
      <c r="S3184" s="6"/>
      <c r="T3184" s="6"/>
      <c r="U3184" s="5">
        <f>MATCH(B3184,Manual_Review!$A$6:$A$238,0)</f>
        <v>199</v>
      </c>
      <c r="V3184" s="5" t="str">
        <f>IF(INDEX(Manual_Review!$G$6:$G$238,U3184)="","",INDEX(Manual_Review!$G$6:$G$238,U3184))</f>
        <v/>
      </c>
      <c r="W3184" s="11" t="str">
        <f>IF(INDEX(Manual_Review!$H$6:$H$238,U3184)="","",INDEX(Manual_Review!$H$6:$H$238,U3184))</f>
        <v/>
      </c>
      <c r="X3184" s="5" t="str">
        <f>IF(INDEX(Manual_Review!$I$6:$I$238,U3184)="","",INDEX(Manual_Review!$I$6:$I$238,U3184))</f>
        <v/>
      </c>
      <c r="Y3184" s="5" t="s">
        <v>2859</v>
      </c>
    </row>
    <row r="3185" spans="1:25" ht="25.5">
      <c r="A3185" s="5" t="s">
        <v>9650</v>
      </c>
      <c r="B3185" s="5" t="s">
        <v>2281</v>
      </c>
      <c r="C3185" s="5" t="s">
        <v>2282</v>
      </c>
      <c r="D3185" s="5" t="s">
        <v>118</v>
      </c>
      <c r="E3185" s="5" t="s">
        <v>2792</v>
      </c>
      <c r="F3185" s="5" t="s">
        <v>2762</v>
      </c>
      <c r="G3185" s="5">
        <v>1</v>
      </c>
      <c r="H3185" s="5" t="s">
        <v>2864</v>
      </c>
      <c r="I3185" s="5" t="str">
        <f>IF(INDEX(Manual_Review!$V$6:$V$238,U3185)="","",INDEX(Manual_Review!$V$6:$V$238,U3185))</f>
        <v/>
      </c>
      <c r="J3185" s="5" t="str">
        <f t="shared" si="98"/>
        <v>AI provisional</v>
      </c>
      <c r="K3185" s="5" t="str">
        <f t="shared" si="99"/>
        <v>U</v>
      </c>
      <c r="L3185" s="5" t="s">
        <v>2293</v>
      </c>
      <c r="M3185" s="5" t="s">
        <v>9651</v>
      </c>
      <c r="N3185" s="5" t="s">
        <v>9652</v>
      </c>
      <c r="O3185" s="5" t="s">
        <v>3947</v>
      </c>
      <c r="P3185" s="5" t="s">
        <v>2992</v>
      </c>
      <c r="Q3185" s="11">
        <v>46306.5</v>
      </c>
      <c r="R3185" s="6"/>
      <c r="S3185" s="6"/>
      <c r="T3185" s="6"/>
      <c r="U3185" s="5">
        <f>MATCH(B3185,Manual_Review!$A$6:$A$238,0)</f>
        <v>199</v>
      </c>
      <c r="V3185" s="5" t="str">
        <f>IF(INDEX(Manual_Review!$G$6:$G$238,U3185)="","",INDEX(Manual_Review!$G$6:$G$238,U3185))</f>
        <v/>
      </c>
      <c r="W3185" s="11" t="str">
        <f>IF(INDEX(Manual_Review!$H$6:$H$238,U3185)="","",INDEX(Manual_Review!$H$6:$H$238,U3185))</f>
        <v/>
      </c>
      <c r="X3185" s="5" t="str">
        <f>IF(INDEX(Manual_Review!$I$6:$I$238,U3185)="","",INDEX(Manual_Review!$I$6:$I$238,U3185))</f>
        <v/>
      </c>
      <c r="Y3185" s="5" t="s">
        <v>2859</v>
      </c>
    </row>
    <row r="3186" spans="1:25" ht="38.25">
      <c r="A3186" s="5" t="s">
        <v>9653</v>
      </c>
      <c r="B3186" s="5" t="s">
        <v>2281</v>
      </c>
      <c r="C3186" s="5" t="s">
        <v>2282</v>
      </c>
      <c r="D3186" s="5" t="s">
        <v>118</v>
      </c>
      <c r="E3186" s="5" t="s">
        <v>2793</v>
      </c>
      <c r="F3186" s="5" t="s">
        <v>2762</v>
      </c>
      <c r="G3186" s="5">
        <v>1</v>
      </c>
      <c r="H3186" s="5" t="s">
        <v>2854</v>
      </c>
      <c r="I3186" s="5" t="str">
        <f>IF(INDEX(Manual_Review!$W$6:$W$238,U3186)="","",INDEX(Manual_Review!$W$6:$W$238,U3186))</f>
        <v/>
      </c>
      <c r="J3186" s="5" t="str">
        <f t="shared" si="98"/>
        <v>AI provisional</v>
      </c>
      <c r="K3186" s="5" t="str">
        <f t="shared" si="99"/>
        <v>Y</v>
      </c>
      <c r="L3186" s="5" t="s">
        <v>2293</v>
      </c>
      <c r="M3186" s="5" t="s">
        <v>9654</v>
      </c>
      <c r="N3186" s="5" t="s">
        <v>9655</v>
      </c>
      <c r="O3186" s="5" t="s">
        <v>3038</v>
      </c>
      <c r="P3186" s="5" t="s">
        <v>2992</v>
      </c>
      <c r="Q3186" s="11">
        <v>46306.5</v>
      </c>
      <c r="R3186" s="6"/>
      <c r="S3186" s="6"/>
      <c r="T3186" s="6"/>
      <c r="U3186" s="5">
        <f>MATCH(B3186,Manual_Review!$A$6:$A$238,0)</f>
        <v>199</v>
      </c>
      <c r="V3186" s="5" t="str">
        <f>IF(INDEX(Manual_Review!$G$6:$G$238,U3186)="","",INDEX(Manual_Review!$G$6:$G$238,U3186))</f>
        <v/>
      </c>
      <c r="W3186" s="11" t="str">
        <f>IF(INDEX(Manual_Review!$H$6:$H$238,U3186)="","",INDEX(Manual_Review!$H$6:$H$238,U3186))</f>
        <v/>
      </c>
      <c r="X3186" s="5" t="str">
        <f>IF(INDEX(Manual_Review!$I$6:$I$238,U3186)="","",INDEX(Manual_Review!$I$6:$I$238,U3186))</f>
        <v/>
      </c>
      <c r="Y3186" s="5" t="s">
        <v>2859</v>
      </c>
    </row>
    <row r="3187" spans="1:25" ht="25.5">
      <c r="A3187" s="5" t="s">
        <v>9656</v>
      </c>
      <c r="B3187" s="5" t="s">
        <v>2281</v>
      </c>
      <c r="C3187" s="5" t="s">
        <v>2282</v>
      </c>
      <c r="D3187" s="5" t="s">
        <v>118</v>
      </c>
      <c r="E3187" s="5" t="s">
        <v>2794</v>
      </c>
      <c r="F3187" s="5" t="s">
        <v>2764</v>
      </c>
      <c r="G3187" s="5">
        <v>1</v>
      </c>
      <c r="H3187" s="5" t="s">
        <v>2854</v>
      </c>
      <c r="I3187" s="5" t="str">
        <f>IF(INDEX(Manual_Review!$X$6:$X$238,U3187)="","",INDEX(Manual_Review!$X$6:$X$238,U3187))</f>
        <v/>
      </c>
      <c r="J3187" s="5" t="str">
        <f t="shared" si="98"/>
        <v>AI provisional</v>
      </c>
      <c r="K3187" s="5" t="str">
        <f t="shared" si="99"/>
        <v>Y</v>
      </c>
      <c r="L3187" s="5" t="s">
        <v>2293</v>
      </c>
      <c r="M3187" s="5" t="s">
        <v>9657</v>
      </c>
      <c r="N3187" s="5" t="s">
        <v>9658</v>
      </c>
      <c r="O3187" s="5" t="s">
        <v>3042</v>
      </c>
      <c r="P3187" s="5" t="s">
        <v>2992</v>
      </c>
      <c r="Q3187" s="11">
        <v>46306.5</v>
      </c>
      <c r="R3187" s="6"/>
      <c r="S3187" s="6"/>
      <c r="T3187" s="6"/>
      <c r="U3187" s="5">
        <f>MATCH(B3187,Manual_Review!$A$6:$A$238,0)</f>
        <v>199</v>
      </c>
      <c r="V3187" s="5" t="str">
        <f>IF(INDEX(Manual_Review!$G$6:$G$238,U3187)="","",INDEX(Manual_Review!$G$6:$G$238,U3187))</f>
        <v/>
      </c>
      <c r="W3187" s="11" t="str">
        <f>IF(INDEX(Manual_Review!$H$6:$H$238,U3187)="","",INDEX(Manual_Review!$H$6:$H$238,U3187))</f>
        <v/>
      </c>
      <c r="X3187" s="5" t="str">
        <f>IF(INDEX(Manual_Review!$I$6:$I$238,U3187)="","",INDEX(Manual_Review!$I$6:$I$238,U3187))</f>
        <v/>
      </c>
      <c r="Y3187" s="5" t="s">
        <v>2859</v>
      </c>
    </row>
    <row r="3188" spans="1:25" ht="25.5">
      <c r="A3188" s="5" t="s">
        <v>9659</v>
      </c>
      <c r="B3188" s="5" t="s">
        <v>2281</v>
      </c>
      <c r="C3188" s="5" t="s">
        <v>2282</v>
      </c>
      <c r="D3188" s="5" t="s">
        <v>118</v>
      </c>
      <c r="E3188" s="5" t="s">
        <v>2795</v>
      </c>
      <c r="F3188" s="5" t="s">
        <v>2764</v>
      </c>
      <c r="G3188" s="5">
        <v>1</v>
      </c>
      <c r="H3188" s="5" t="s">
        <v>2864</v>
      </c>
      <c r="I3188" s="5" t="str">
        <f>IF(INDEX(Manual_Review!$Y$6:$Y$238,U3188)="","",INDEX(Manual_Review!$Y$6:$Y$238,U3188))</f>
        <v/>
      </c>
      <c r="J3188" s="5" t="str">
        <f t="shared" si="98"/>
        <v>AI provisional</v>
      </c>
      <c r="K3188" s="5" t="str">
        <f t="shared" si="99"/>
        <v>U</v>
      </c>
      <c r="L3188" s="5" t="s">
        <v>2293</v>
      </c>
      <c r="M3188" s="5" t="s">
        <v>9660</v>
      </c>
      <c r="N3188" s="5" t="s">
        <v>9661</v>
      </c>
      <c r="O3188" s="5" t="s">
        <v>3469</v>
      </c>
      <c r="P3188" s="5" t="s">
        <v>2992</v>
      </c>
      <c r="Q3188" s="11">
        <v>46306.5</v>
      </c>
      <c r="R3188" s="6"/>
      <c r="S3188" s="6"/>
      <c r="T3188" s="6"/>
      <c r="U3188" s="5">
        <f>MATCH(B3188,Manual_Review!$A$6:$A$238,0)</f>
        <v>199</v>
      </c>
      <c r="V3188" s="5" t="str">
        <f>IF(INDEX(Manual_Review!$G$6:$G$238,U3188)="","",INDEX(Manual_Review!$G$6:$G$238,U3188))</f>
        <v/>
      </c>
      <c r="W3188" s="11" t="str">
        <f>IF(INDEX(Manual_Review!$H$6:$H$238,U3188)="","",INDEX(Manual_Review!$H$6:$H$238,U3188))</f>
        <v/>
      </c>
      <c r="X3188" s="5" t="str">
        <f>IF(INDEX(Manual_Review!$I$6:$I$238,U3188)="","",INDEX(Manual_Review!$I$6:$I$238,U3188))</f>
        <v/>
      </c>
      <c r="Y3188" s="5" t="s">
        <v>2859</v>
      </c>
    </row>
    <row r="3189" spans="1:25" ht="38.25">
      <c r="A3189" s="5" t="s">
        <v>9662</v>
      </c>
      <c r="B3189" s="5" t="s">
        <v>2281</v>
      </c>
      <c r="C3189" s="5" t="s">
        <v>2282</v>
      </c>
      <c r="D3189" s="5" t="s">
        <v>118</v>
      </c>
      <c r="E3189" s="5" t="s">
        <v>2796</v>
      </c>
      <c r="F3189" s="5" t="s">
        <v>2764</v>
      </c>
      <c r="G3189" s="5">
        <v>1</v>
      </c>
      <c r="H3189" s="5" t="s">
        <v>2864</v>
      </c>
      <c r="I3189" s="5" t="str">
        <f>IF(INDEX(Manual_Review!$Z$6:$Z$238,U3189)="","",INDEX(Manual_Review!$Z$6:$Z$238,U3189))</f>
        <v/>
      </c>
      <c r="J3189" s="5" t="str">
        <f t="shared" si="98"/>
        <v>AI provisional</v>
      </c>
      <c r="K3189" s="5" t="str">
        <f t="shared" si="99"/>
        <v>U</v>
      </c>
      <c r="L3189" s="5" t="s">
        <v>2293</v>
      </c>
      <c r="M3189" s="5" t="s">
        <v>9663</v>
      </c>
      <c r="N3189" s="5" t="s">
        <v>9664</v>
      </c>
      <c r="O3189" s="5" t="s">
        <v>3050</v>
      </c>
      <c r="P3189" s="5" t="s">
        <v>2992</v>
      </c>
      <c r="Q3189" s="11">
        <v>46306.5</v>
      </c>
      <c r="R3189" s="6"/>
      <c r="S3189" s="6"/>
      <c r="T3189" s="6"/>
      <c r="U3189" s="5">
        <f>MATCH(B3189,Manual_Review!$A$6:$A$238,0)</f>
        <v>199</v>
      </c>
      <c r="V3189" s="5" t="str">
        <f>IF(INDEX(Manual_Review!$G$6:$G$238,U3189)="","",INDEX(Manual_Review!$G$6:$G$238,U3189))</f>
        <v/>
      </c>
      <c r="W3189" s="11" t="str">
        <f>IF(INDEX(Manual_Review!$H$6:$H$238,U3189)="","",INDEX(Manual_Review!$H$6:$H$238,U3189))</f>
        <v/>
      </c>
      <c r="X3189" s="5" t="str">
        <f>IF(INDEX(Manual_Review!$I$6:$I$238,U3189)="","",INDEX(Manual_Review!$I$6:$I$238,U3189))</f>
        <v/>
      </c>
      <c r="Y3189" s="5" t="s">
        <v>2859</v>
      </c>
    </row>
    <row r="3190" spans="1:25" ht="25.5">
      <c r="A3190" s="5" t="s">
        <v>9665</v>
      </c>
      <c r="B3190" s="5" t="s">
        <v>2295</v>
      </c>
      <c r="C3190" s="5" t="s">
        <v>2296</v>
      </c>
      <c r="D3190" s="5" t="s">
        <v>118</v>
      </c>
      <c r="E3190" s="5" t="s">
        <v>2781</v>
      </c>
      <c r="F3190" s="5" t="s">
        <v>2754</v>
      </c>
      <c r="G3190" s="5">
        <v>1</v>
      </c>
      <c r="H3190" s="5" t="s">
        <v>2854</v>
      </c>
      <c r="I3190" s="5" t="str">
        <f>IF(INDEX(Manual_Review!$K$6:$K$238,U3190)="","",INDEX(Manual_Review!$K$6:$K$238,U3190))</f>
        <v/>
      </c>
      <c r="J3190" s="5" t="str">
        <f t="shared" si="98"/>
        <v>AI provisional</v>
      </c>
      <c r="K3190" s="5" t="str">
        <f t="shared" si="99"/>
        <v>Y</v>
      </c>
      <c r="L3190" s="5" t="s">
        <v>2307</v>
      </c>
      <c r="M3190" s="5" t="s">
        <v>9666</v>
      </c>
      <c r="N3190" s="5" t="s">
        <v>9667</v>
      </c>
      <c r="O3190" s="5" t="s">
        <v>2991</v>
      </c>
      <c r="P3190" s="5" t="s">
        <v>2992</v>
      </c>
      <c r="Q3190" s="11">
        <v>46306.5</v>
      </c>
      <c r="R3190" s="6"/>
      <c r="S3190" s="6"/>
      <c r="T3190" s="6"/>
      <c r="U3190" s="5">
        <f>MATCH(B3190,Manual_Review!$A$6:$A$238,0)</f>
        <v>200</v>
      </c>
      <c r="V3190" s="5" t="str">
        <f>IF(INDEX(Manual_Review!$G$6:$G$238,U3190)="","",INDEX(Manual_Review!$G$6:$G$238,U3190))</f>
        <v/>
      </c>
      <c r="W3190" s="11" t="str">
        <f>IF(INDEX(Manual_Review!$H$6:$H$238,U3190)="","",INDEX(Manual_Review!$H$6:$H$238,U3190))</f>
        <v/>
      </c>
      <c r="X3190" s="5" t="str">
        <f>IF(INDEX(Manual_Review!$I$6:$I$238,U3190)="","",INDEX(Manual_Review!$I$6:$I$238,U3190))</f>
        <v/>
      </c>
      <c r="Y3190" s="5" t="s">
        <v>2859</v>
      </c>
    </row>
    <row r="3191" spans="1:25" ht="25.5">
      <c r="A3191" s="5" t="s">
        <v>9668</v>
      </c>
      <c r="B3191" s="5" t="s">
        <v>2295</v>
      </c>
      <c r="C3191" s="5" t="s">
        <v>2296</v>
      </c>
      <c r="D3191" s="5" t="s">
        <v>118</v>
      </c>
      <c r="E3191" s="5" t="s">
        <v>2782</v>
      </c>
      <c r="F3191" s="5" t="s">
        <v>2754</v>
      </c>
      <c r="G3191" s="5">
        <v>1</v>
      </c>
      <c r="H3191" s="5" t="s">
        <v>2854</v>
      </c>
      <c r="I3191" s="5" t="str">
        <f>IF(INDEX(Manual_Review!$L$6:$L$238,U3191)="","",INDEX(Manual_Review!$L$6:$L$238,U3191))</f>
        <v/>
      </c>
      <c r="J3191" s="5" t="str">
        <f t="shared" si="98"/>
        <v>AI provisional</v>
      </c>
      <c r="K3191" s="5" t="str">
        <f t="shared" si="99"/>
        <v>Y</v>
      </c>
      <c r="L3191" s="5" t="s">
        <v>2307</v>
      </c>
      <c r="M3191" s="5" t="s">
        <v>9669</v>
      </c>
      <c r="N3191" s="5" t="s">
        <v>9670</v>
      </c>
      <c r="O3191" s="5" t="s">
        <v>2996</v>
      </c>
      <c r="P3191" s="5" t="s">
        <v>2992</v>
      </c>
      <c r="Q3191" s="11">
        <v>46306.5</v>
      </c>
      <c r="R3191" s="6"/>
      <c r="S3191" s="6"/>
      <c r="T3191" s="6"/>
      <c r="U3191" s="5">
        <f>MATCH(B3191,Manual_Review!$A$6:$A$238,0)</f>
        <v>200</v>
      </c>
      <c r="V3191" s="5" t="str">
        <f>IF(INDEX(Manual_Review!$G$6:$G$238,U3191)="","",INDEX(Manual_Review!$G$6:$G$238,U3191))</f>
        <v/>
      </c>
      <c r="W3191" s="11" t="str">
        <f>IF(INDEX(Manual_Review!$H$6:$H$238,U3191)="","",INDEX(Manual_Review!$H$6:$H$238,U3191))</f>
        <v/>
      </c>
      <c r="X3191" s="5" t="str">
        <f>IF(INDEX(Manual_Review!$I$6:$I$238,U3191)="","",INDEX(Manual_Review!$I$6:$I$238,U3191))</f>
        <v/>
      </c>
      <c r="Y3191" s="5" t="s">
        <v>2859</v>
      </c>
    </row>
    <row r="3192" spans="1:25" ht="25.5">
      <c r="A3192" s="5" t="s">
        <v>9671</v>
      </c>
      <c r="B3192" s="5" t="s">
        <v>2295</v>
      </c>
      <c r="C3192" s="5" t="s">
        <v>2296</v>
      </c>
      <c r="D3192" s="5" t="s">
        <v>118</v>
      </c>
      <c r="E3192" s="5" t="s">
        <v>2783</v>
      </c>
      <c r="F3192" s="5" t="s">
        <v>2754</v>
      </c>
      <c r="G3192" s="5">
        <v>1</v>
      </c>
      <c r="H3192" s="5" t="s">
        <v>2854</v>
      </c>
      <c r="I3192" s="5" t="str">
        <f>IF(INDEX(Manual_Review!$M$6:$M$238,U3192)="","",INDEX(Manual_Review!$M$6:$M$238,U3192))</f>
        <v/>
      </c>
      <c r="J3192" s="5" t="str">
        <f t="shared" si="98"/>
        <v>AI provisional</v>
      </c>
      <c r="K3192" s="5" t="str">
        <f t="shared" si="99"/>
        <v>Y</v>
      </c>
      <c r="L3192" s="5" t="s">
        <v>2307</v>
      </c>
      <c r="M3192" s="5" t="s">
        <v>9672</v>
      </c>
      <c r="N3192" s="5" t="s">
        <v>9673</v>
      </c>
      <c r="O3192" s="5" t="s">
        <v>3000</v>
      </c>
      <c r="P3192" s="5" t="s">
        <v>2992</v>
      </c>
      <c r="Q3192" s="11">
        <v>46306.5</v>
      </c>
      <c r="R3192" s="6"/>
      <c r="S3192" s="6"/>
      <c r="T3192" s="6"/>
      <c r="U3192" s="5">
        <f>MATCH(B3192,Manual_Review!$A$6:$A$238,0)</f>
        <v>200</v>
      </c>
      <c r="V3192" s="5" t="str">
        <f>IF(INDEX(Manual_Review!$G$6:$G$238,U3192)="","",INDEX(Manual_Review!$G$6:$G$238,U3192))</f>
        <v/>
      </c>
      <c r="W3192" s="11" t="str">
        <f>IF(INDEX(Manual_Review!$H$6:$H$238,U3192)="","",INDEX(Manual_Review!$H$6:$H$238,U3192))</f>
        <v/>
      </c>
      <c r="X3192" s="5" t="str">
        <f>IF(INDEX(Manual_Review!$I$6:$I$238,U3192)="","",INDEX(Manual_Review!$I$6:$I$238,U3192))</f>
        <v/>
      </c>
      <c r="Y3192" s="5" t="s">
        <v>2859</v>
      </c>
    </row>
    <row r="3193" spans="1:25" ht="25.5">
      <c r="A3193" s="5" t="s">
        <v>9674</v>
      </c>
      <c r="B3193" s="5" t="s">
        <v>2295</v>
      </c>
      <c r="C3193" s="5" t="s">
        <v>2296</v>
      </c>
      <c r="D3193" s="5" t="s">
        <v>118</v>
      </c>
      <c r="E3193" s="5" t="s">
        <v>2784</v>
      </c>
      <c r="F3193" s="5" t="s">
        <v>2756</v>
      </c>
      <c r="G3193" s="5">
        <v>1</v>
      </c>
      <c r="H3193" s="5" t="s">
        <v>2854</v>
      </c>
      <c r="I3193" s="5" t="str">
        <f>IF(INDEX(Manual_Review!$N$6:$N$238,U3193)="","",INDEX(Manual_Review!$N$6:$N$238,U3193))</f>
        <v/>
      </c>
      <c r="J3193" s="5" t="str">
        <f t="shared" si="98"/>
        <v>AI provisional</v>
      </c>
      <c r="K3193" s="5" t="str">
        <f t="shared" si="99"/>
        <v>Y</v>
      </c>
      <c r="L3193" s="5" t="s">
        <v>2307</v>
      </c>
      <c r="M3193" s="5" t="s">
        <v>9675</v>
      </c>
      <c r="N3193" s="5" t="s">
        <v>9676</v>
      </c>
      <c r="O3193" s="5" t="s">
        <v>3004</v>
      </c>
      <c r="P3193" s="5" t="s">
        <v>2992</v>
      </c>
      <c r="Q3193" s="11">
        <v>46306.5</v>
      </c>
      <c r="R3193" s="6"/>
      <c r="S3193" s="6"/>
      <c r="T3193" s="6"/>
      <c r="U3193" s="5">
        <f>MATCH(B3193,Manual_Review!$A$6:$A$238,0)</f>
        <v>200</v>
      </c>
      <c r="V3193" s="5" t="str">
        <f>IF(INDEX(Manual_Review!$G$6:$G$238,U3193)="","",INDEX(Manual_Review!$G$6:$G$238,U3193))</f>
        <v/>
      </c>
      <c r="W3193" s="11" t="str">
        <f>IF(INDEX(Manual_Review!$H$6:$H$238,U3193)="","",INDEX(Manual_Review!$H$6:$H$238,U3193))</f>
        <v/>
      </c>
      <c r="X3193" s="5" t="str">
        <f>IF(INDEX(Manual_Review!$I$6:$I$238,U3193)="","",INDEX(Manual_Review!$I$6:$I$238,U3193))</f>
        <v/>
      </c>
      <c r="Y3193" s="5" t="s">
        <v>2859</v>
      </c>
    </row>
    <row r="3194" spans="1:25" ht="25.5">
      <c r="A3194" s="5" t="s">
        <v>9677</v>
      </c>
      <c r="B3194" s="5" t="s">
        <v>2295</v>
      </c>
      <c r="C3194" s="5" t="s">
        <v>2296</v>
      </c>
      <c r="D3194" s="5" t="s">
        <v>118</v>
      </c>
      <c r="E3194" s="5" t="s">
        <v>2785</v>
      </c>
      <c r="F3194" s="5" t="s">
        <v>2756</v>
      </c>
      <c r="G3194" s="5">
        <v>1</v>
      </c>
      <c r="H3194" s="5" t="s">
        <v>2864</v>
      </c>
      <c r="I3194" s="5" t="str">
        <f>IF(INDEX(Manual_Review!$O$6:$O$238,U3194)="","",INDEX(Manual_Review!$O$6:$O$238,U3194))</f>
        <v/>
      </c>
      <c r="J3194" s="5" t="str">
        <f t="shared" si="98"/>
        <v>AI provisional</v>
      </c>
      <c r="K3194" s="5" t="str">
        <f t="shared" si="99"/>
        <v>U</v>
      </c>
      <c r="L3194" s="5" t="s">
        <v>2307</v>
      </c>
      <c r="M3194" s="5" t="s">
        <v>9675</v>
      </c>
      <c r="N3194" s="5" t="s">
        <v>9676</v>
      </c>
      <c r="O3194" s="5" t="s">
        <v>3006</v>
      </c>
      <c r="P3194" s="5" t="s">
        <v>2992</v>
      </c>
      <c r="Q3194" s="11">
        <v>46306.5</v>
      </c>
      <c r="R3194" s="6"/>
      <c r="S3194" s="6"/>
      <c r="T3194" s="6"/>
      <c r="U3194" s="5">
        <f>MATCH(B3194,Manual_Review!$A$6:$A$238,0)</f>
        <v>200</v>
      </c>
      <c r="V3194" s="5" t="str">
        <f>IF(INDEX(Manual_Review!$G$6:$G$238,U3194)="","",INDEX(Manual_Review!$G$6:$G$238,U3194))</f>
        <v/>
      </c>
      <c r="W3194" s="11" t="str">
        <f>IF(INDEX(Manual_Review!$H$6:$H$238,U3194)="","",INDEX(Manual_Review!$H$6:$H$238,U3194))</f>
        <v/>
      </c>
      <c r="X3194" s="5" t="str">
        <f>IF(INDEX(Manual_Review!$I$6:$I$238,U3194)="","",INDEX(Manual_Review!$I$6:$I$238,U3194))</f>
        <v/>
      </c>
      <c r="Y3194" s="5" t="s">
        <v>2859</v>
      </c>
    </row>
    <row r="3195" spans="1:25" ht="25.5">
      <c r="A3195" s="5" t="s">
        <v>9678</v>
      </c>
      <c r="B3195" s="5" t="s">
        <v>2295</v>
      </c>
      <c r="C3195" s="5" t="s">
        <v>2296</v>
      </c>
      <c r="D3195" s="5" t="s">
        <v>118</v>
      </c>
      <c r="E3195" s="5" t="s">
        <v>2786</v>
      </c>
      <c r="F3195" s="5" t="s">
        <v>2756</v>
      </c>
      <c r="G3195" s="5">
        <v>1</v>
      </c>
      <c r="H3195" s="5" t="s">
        <v>2864</v>
      </c>
      <c r="I3195" s="5" t="str">
        <f>IF(INDEX(Manual_Review!$P$6:$P$238,U3195)="","",INDEX(Manual_Review!$P$6:$P$238,U3195))</f>
        <v/>
      </c>
      <c r="J3195" s="5" t="str">
        <f t="shared" si="98"/>
        <v>AI provisional</v>
      </c>
      <c r="K3195" s="5" t="str">
        <f t="shared" si="99"/>
        <v>U</v>
      </c>
      <c r="L3195" s="5" t="s">
        <v>2307</v>
      </c>
      <c r="M3195" s="5" t="s">
        <v>9679</v>
      </c>
      <c r="N3195" s="5" t="s">
        <v>9680</v>
      </c>
      <c r="O3195" s="5" t="s">
        <v>3010</v>
      </c>
      <c r="P3195" s="5" t="s">
        <v>2992</v>
      </c>
      <c r="Q3195" s="11">
        <v>46306.5</v>
      </c>
      <c r="R3195" s="6"/>
      <c r="S3195" s="6"/>
      <c r="T3195" s="6"/>
      <c r="U3195" s="5">
        <f>MATCH(B3195,Manual_Review!$A$6:$A$238,0)</f>
        <v>200</v>
      </c>
      <c r="V3195" s="5" t="str">
        <f>IF(INDEX(Manual_Review!$G$6:$G$238,U3195)="","",INDEX(Manual_Review!$G$6:$G$238,U3195))</f>
        <v/>
      </c>
      <c r="W3195" s="11" t="str">
        <f>IF(INDEX(Manual_Review!$H$6:$H$238,U3195)="","",INDEX(Manual_Review!$H$6:$H$238,U3195))</f>
        <v/>
      </c>
      <c r="X3195" s="5" t="str">
        <f>IF(INDEX(Manual_Review!$I$6:$I$238,U3195)="","",INDEX(Manual_Review!$I$6:$I$238,U3195))</f>
        <v/>
      </c>
      <c r="Y3195" s="5" t="s">
        <v>2859</v>
      </c>
    </row>
    <row r="3196" spans="1:25" ht="25.5">
      <c r="A3196" s="5" t="s">
        <v>9681</v>
      </c>
      <c r="B3196" s="5" t="s">
        <v>2295</v>
      </c>
      <c r="C3196" s="5" t="s">
        <v>2296</v>
      </c>
      <c r="D3196" s="5" t="s">
        <v>118</v>
      </c>
      <c r="E3196" s="5" t="s">
        <v>2787</v>
      </c>
      <c r="F3196" s="5" t="s">
        <v>2758</v>
      </c>
      <c r="G3196" s="5">
        <v>1</v>
      </c>
      <c r="H3196" s="5" t="s">
        <v>2864</v>
      </c>
      <c r="I3196" s="5" t="str">
        <f>IF(INDEX(Manual_Review!$Q$6:$Q$238,U3196)="","",INDEX(Manual_Review!$Q$6:$Q$238,U3196))</f>
        <v/>
      </c>
      <c r="J3196" s="5" t="str">
        <f t="shared" si="98"/>
        <v>AI provisional</v>
      </c>
      <c r="K3196" s="5" t="str">
        <f t="shared" si="99"/>
        <v>U</v>
      </c>
      <c r="L3196" s="5" t="s">
        <v>2307</v>
      </c>
      <c r="M3196" s="5" t="s">
        <v>9682</v>
      </c>
      <c r="N3196" s="5" t="s">
        <v>9683</v>
      </c>
      <c r="O3196" s="5" t="s">
        <v>3014</v>
      </c>
      <c r="P3196" s="5" t="s">
        <v>2992</v>
      </c>
      <c r="Q3196" s="11">
        <v>46306.5</v>
      </c>
      <c r="R3196" s="6"/>
      <c r="S3196" s="6"/>
      <c r="T3196" s="6"/>
      <c r="U3196" s="5">
        <f>MATCH(B3196,Manual_Review!$A$6:$A$238,0)</f>
        <v>200</v>
      </c>
      <c r="V3196" s="5" t="str">
        <f>IF(INDEX(Manual_Review!$G$6:$G$238,U3196)="","",INDEX(Manual_Review!$G$6:$G$238,U3196))</f>
        <v/>
      </c>
      <c r="W3196" s="11" t="str">
        <f>IF(INDEX(Manual_Review!$H$6:$H$238,U3196)="","",INDEX(Manual_Review!$H$6:$H$238,U3196))</f>
        <v/>
      </c>
      <c r="X3196" s="5" t="str">
        <f>IF(INDEX(Manual_Review!$I$6:$I$238,U3196)="","",INDEX(Manual_Review!$I$6:$I$238,U3196))</f>
        <v/>
      </c>
      <c r="Y3196" s="5" t="s">
        <v>2859</v>
      </c>
    </row>
    <row r="3197" spans="1:25" ht="38.25">
      <c r="A3197" s="5" t="s">
        <v>9684</v>
      </c>
      <c r="B3197" s="5" t="s">
        <v>2295</v>
      </c>
      <c r="C3197" s="5" t="s">
        <v>2296</v>
      </c>
      <c r="D3197" s="5" t="s">
        <v>118</v>
      </c>
      <c r="E3197" s="5" t="s">
        <v>2788</v>
      </c>
      <c r="F3197" s="5" t="s">
        <v>2758</v>
      </c>
      <c r="G3197" s="5">
        <v>1</v>
      </c>
      <c r="H3197" s="5" t="s">
        <v>2854</v>
      </c>
      <c r="I3197" s="5" t="str">
        <f>IF(INDEX(Manual_Review!$R$6:$R$238,U3197)="","",INDEX(Manual_Review!$R$6:$R$238,U3197))</f>
        <v/>
      </c>
      <c r="J3197" s="5" t="str">
        <f t="shared" si="98"/>
        <v>AI provisional</v>
      </c>
      <c r="K3197" s="5" t="str">
        <f t="shared" si="99"/>
        <v>Y</v>
      </c>
      <c r="L3197" s="5" t="s">
        <v>2307</v>
      </c>
      <c r="M3197" s="5" t="s">
        <v>9685</v>
      </c>
      <c r="N3197" s="5" t="s">
        <v>9686</v>
      </c>
      <c r="O3197" s="5" t="s">
        <v>3018</v>
      </c>
      <c r="P3197" s="5" t="s">
        <v>2992</v>
      </c>
      <c r="Q3197" s="11">
        <v>46306.5</v>
      </c>
      <c r="R3197" s="6"/>
      <c r="S3197" s="6"/>
      <c r="T3197" s="6"/>
      <c r="U3197" s="5">
        <f>MATCH(B3197,Manual_Review!$A$6:$A$238,0)</f>
        <v>200</v>
      </c>
      <c r="V3197" s="5" t="str">
        <f>IF(INDEX(Manual_Review!$G$6:$G$238,U3197)="","",INDEX(Manual_Review!$G$6:$G$238,U3197))</f>
        <v/>
      </c>
      <c r="W3197" s="11" t="str">
        <f>IF(INDEX(Manual_Review!$H$6:$H$238,U3197)="","",INDEX(Manual_Review!$H$6:$H$238,U3197))</f>
        <v/>
      </c>
      <c r="X3197" s="5" t="str">
        <f>IF(INDEX(Manual_Review!$I$6:$I$238,U3197)="","",INDEX(Manual_Review!$I$6:$I$238,U3197))</f>
        <v/>
      </c>
      <c r="Y3197" s="5" t="s">
        <v>2859</v>
      </c>
    </row>
    <row r="3198" spans="1:25" ht="38.25">
      <c r="A3198" s="5" t="s">
        <v>9687</v>
      </c>
      <c r="B3198" s="5" t="s">
        <v>2295</v>
      </c>
      <c r="C3198" s="5" t="s">
        <v>2296</v>
      </c>
      <c r="D3198" s="5" t="s">
        <v>118</v>
      </c>
      <c r="E3198" s="5" t="s">
        <v>2789</v>
      </c>
      <c r="F3198" s="5" t="s">
        <v>2758</v>
      </c>
      <c r="G3198" s="5">
        <v>1</v>
      </c>
      <c r="H3198" s="5" t="s">
        <v>2854</v>
      </c>
      <c r="I3198" s="5" t="str">
        <f>IF(INDEX(Manual_Review!$S$6:$S$238,U3198)="","",INDEX(Manual_Review!$S$6:$S$238,U3198))</f>
        <v/>
      </c>
      <c r="J3198" s="5" t="str">
        <f t="shared" si="98"/>
        <v>AI provisional</v>
      </c>
      <c r="K3198" s="5" t="str">
        <f t="shared" si="99"/>
        <v>Y</v>
      </c>
      <c r="L3198" s="5" t="s">
        <v>2307</v>
      </c>
      <c r="M3198" s="5" t="s">
        <v>9688</v>
      </c>
      <c r="N3198" s="5" t="s">
        <v>9689</v>
      </c>
      <c r="O3198" s="5" t="s">
        <v>3022</v>
      </c>
      <c r="P3198" s="5" t="s">
        <v>2992</v>
      </c>
      <c r="Q3198" s="11">
        <v>46306.5</v>
      </c>
      <c r="R3198" s="6"/>
      <c r="S3198" s="6"/>
      <c r="T3198" s="6"/>
      <c r="U3198" s="5">
        <f>MATCH(B3198,Manual_Review!$A$6:$A$238,0)</f>
        <v>200</v>
      </c>
      <c r="V3198" s="5" t="str">
        <f>IF(INDEX(Manual_Review!$G$6:$G$238,U3198)="","",INDEX(Manual_Review!$G$6:$G$238,U3198))</f>
        <v/>
      </c>
      <c r="W3198" s="11" t="str">
        <f>IF(INDEX(Manual_Review!$H$6:$H$238,U3198)="","",INDEX(Manual_Review!$H$6:$H$238,U3198))</f>
        <v/>
      </c>
      <c r="X3198" s="5" t="str">
        <f>IF(INDEX(Manual_Review!$I$6:$I$238,U3198)="","",INDEX(Manual_Review!$I$6:$I$238,U3198))</f>
        <v/>
      </c>
      <c r="Y3198" s="5" t="s">
        <v>2859</v>
      </c>
    </row>
    <row r="3199" spans="1:25" ht="25.5">
      <c r="A3199" s="5" t="s">
        <v>9690</v>
      </c>
      <c r="B3199" s="5" t="s">
        <v>2295</v>
      </c>
      <c r="C3199" s="5" t="s">
        <v>2296</v>
      </c>
      <c r="D3199" s="5" t="s">
        <v>118</v>
      </c>
      <c r="E3199" s="5" t="s">
        <v>2790</v>
      </c>
      <c r="F3199" s="5" t="s">
        <v>2760</v>
      </c>
      <c r="G3199" s="5">
        <v>1</v>
      </c>
      <c r="H3199" s="5" t="s">
        <v>2854</v>
      </c>
      <c r="I3199" s="5" t="str">
        <f>IF(INDEX(Manual_Review!$T$6:$T$238,U3199)="","",INDEX(Manual_Review!$T$6:$T$238,U3199))</f>
        <v/>
      </c>
      <c r="J3199" s="5" t="str">
        <f t="shared" si="98"/>
        <v>AI provisional</v>
      </c>
      <c r="K3199" s="5" t="str">
        <f t="shared" si="99"/>
        <v>Y</v>
      </c>
      <c r="L3199" s="5" t="s">
        <v>2307</v>
      </c>
      <c r="M3199" s="5" t="s">
        <v>9691</v>
      </c>
      <c r="N3199" s="5" t="s">
        <v>9692</v>
      </c>
      <c r="O3199" s="5" t="s">
        <v>3451</v>
      </c>
      <c r="P3199" s="5" t="s">
        <v>2992</v>
      </c>
      <c r="Q3199" s="11">
        <v>46306.5</v>
      </c>
      <c r="R3199" s="6"/>
      <c r="S3199" s="6"/>
      <c r="T3199" s="6"/>
      <c r="U3199" s="5">
        <f>MATCH(B3199,Manual_Review!$A$6:$A$238,0)</f>
        <v>200</v>
      </c>
      <c r="V3199" s="5" t="str">
        <f>IF(INDEX(Manual_Review!$G$6:$G$238,U3199)="","",INDEX(Manual_Review!$G$6:$G$238,U3199))</f>
        <v/>
      </c>
      <c r="W3199" s="11" t="str">
        <f>IF(INDEX(Manual_Review!$H$6:$H$238,U3199)="","",INDEX(Manual_Review!$H$6:$H$238,U3199))</f>
        <v/>
      </c>
      <c r="X3199" s="5" t="str">
        <f>IF(INDEX(Manual_Review!$I$6:$I$238,U3199)="","",INDEX(Manual_Review!$I$6:$I$238,U3199))</f>
        <v/>
      </c>
      <c r="Y3199" s="5" t="s">
        <v>2859</v>
      </c>
    </row>
    <row r="3200" spans="1:25" ht="25.5">
      <c r="A3200" s="5" t="s">
        <v>9693</v>
      </c>
      <c r="B3200" s="5" t="s">
        <v>2295</v>
      </c>
      <c r="C3200" s="5" t="s">
        <v>2296</v>
      </c>
      <c r="D3200" s="5" t="s">
        <v>118</v>
      </c>
      <c r="E3200" s="5" t="s">
        <v>2791</v>
      </c>
      <c r="F3200" s="5" t="s">
        <v>2760</v>
      </c>
      <c r="G3200" s="5">
        <v>1</v>
      </c>
      <c r="H3200" s="5" t="s">
        <v>2864</v>
      </c>
      <c r="I3200" s="5" t="str">
        <f>IF(INDEX(Manual_Review!$U$6:$U$238,U3200)="","",INDEX(Manual_Review!$U$6:$U$238,U3200))</f>
        <v/>
      </c>
      <c r="J3200" s="5" t="str">
        <f t="shared" si="98"/>
        <v>AI provisional</v>
      </c>
      <c r="K3200" s="5" t="str">
        <f t="shared" si="99"/>
        <v>U</v>
      </c>
      <c r="L3200" s="5" t="s">
        <v>2307</v>
      </c>
      <c r="M3200" s="5" t="s">
        <v>9694</v>
      </c>
      <c r="N3200" s="5" t="s">
        <v>9695</v>
      </c>
      <c r="O3200" s="5" t="s">
        <v>3030</v>
      </c>
      <c r="P3200" s="5" t="s">
        <v>2992</v>
      </c>
      <c r="Q3200" s="11">
        <v>46306.5</v>
      </c>
      <c r="R3200" s="6"/>
      <c r="S3200" s="6"/>
      <c r="T3200" s="6"/>
      <c r="U3200" s="5">
        <f>MATCH(B3200,Manual_Review!$A$6:$A$238,0)</f>
        <v>200</v>
      </c>
      <c r="V3200" s="5" t="str">
        <f>IF(INDEX(Manual_Review!$G$6:$G$238,U3200)="","",INDEX(Manual_Review!$G$6:$G$238,U3200))</f>
        <v/>
      </c>
      <c r="W3200" s="11" t="str">
        <f>IF(INDEX(Manual_Review!$H$6:$H$238,U3200)="","",INDEX(Manual_Review!$H$6:$H$238,U3200))</f>
        <v/>
      </c>
      <c r="X3200" s="5" t="str">
        <f>IF(INDEX(Manual_Review!$I$6:$I$238,U3200)="","",INDEX(Manual_Review!$I$6:$I$238,U3200))</f>
        <v/>
      </c>
      <c r="Y3200" s="5" t="s">
        <v>2859</v>
      </c>
    </row>
    <row r="3201" spans="1:25" ht="25.5">
      <c r="A3201" s="5" t="s">
        <v>9696</v>
      </c>
      <c r="B3201" s="5" t="s">
        <v>2295</v>
      </c>
      <c r="C3201" s="5" t="s">
        <v>2296</v>
      </c>
      <c r="D3201" s="5" t="s">
        <v>118</v>
      </c>
      <c r="E3201" s="5" t="s">
        <v>2792</v>
      </c>
      <c r="F3201" s="5" t="s">
        <v>2762</v>
      </c>
      <c r="G3201" s="5">
        <v>1</v>
      </c>
      <c r="H3201" s="5" t="s">
        <v>2854</v>
      </c>
      <c r="I3201" s="5" t="str">
        <f>IF(INDEX(Manual_Review!$V$6:$V$238,U3201)="","",INDEX(Manual_Review!$V$6:$V$238,U3201))</f>
        <v/>
      </c>
      <c r="J3201" s="5" t="str">
        <f t="shared" si="98"/>
        <v>AI provisional</v>
      </c>
      <c r="K3201" s="5" t="str">
        <f t="shared" si="99"/>
        <v>Y</v>
      </c>
      <c r="L3201" s="5" t="s">
        <v>2307</v>
      </c>
      <c r="M3201" s="5" t="s">
        <v>9697</v>
      </c>
      <c r="N3201" s="5" t="s">
        <v>9698</v>
      </c>
      <c r="O3201" s="5" t="s">
        <v>3034</v>
      </c>
      <c r="P3201" s="5" t="s">
        <v>2992</v>
      </c>
      <c r="Q3201" s="11">
        <v>46306.5</v>
      </c>
      <c r="R3201" s="6"/>
      <c r="S3201" s="6"/>
      <c r="T3201" s="6"/>
      <c r="U3201" s="5">
        <f>MATCH(B3201,Manual_Review!$A$6:$A$238,0)</f>
        <v>200</v>
      </c>
      <c r="V3201" s="5" t="str">
        <f>IF(INDEX(Manual_Review!$G$6:$G$238,U3201)="","",INDEX(Manual_Review!$G$6:$G$238,U3201))</f>
        <v/>
      </c>
      <c r="W3201" s="11" t="str">
        <f>IF(INDEX(Manual_Review!$H$6:$H$238,U3201)="","",INDEX(Manual_Review!$H$6:$H$238,U3201))</f>
        <v/>
      </c>
      <c r="X3201" s="5" t="str">
        <f>IF(INDEX(Manual_Review!$I$6:$I$238,U3201)="","",INDEX(Manual_Review!$I$6:$I$238,U3201))</f>
        <v/>
      </c>
      <c r="Y3201" s="5" t="s">
        <v>2859</v>
      </c>
    </row>
    <row r="3202" spans="1:25" ht="38.25">
      <c r="A3202" s="5" t="s">
        <v>9699</v>
      </c>
      <c r="B3202" s="5" t="s">
        <v>2295</v>
      </c>
      <c r="C3202" s="5" t="s">
        <v>2296</v>
      </c>
      <c r="D3202" s="5" t="s">
        <v>118</v>
      </c>
      <c r="E3202" s="5" t="s">
        <v>2793</v>
      </c>
      <c r="F3202" s="5" t="s">
        <v>2762</v>
      </c>
      <c r="G3202" s="5">
        <v>1</v>
      </c>
      <c r="H3202" s="5" t="s">
        <v>2854</v>
      </c>
      <c r="I3202" s="5" t="str">
        <f>IF(INDEX(Manual_Review!$W$6:$W$238,U3202)="","",INDEX(Manual_Review!$W$6:$W$238,U3202))</f>
        <v/>
      </c>
      <c r="J3202" s="5" t="str">
        <f t="shared" si="98"/>
        <v>AI provisional</v>
      </c>
      <c r="K3202" s="5" t="str">
        <f t="shared" si="99"/>
        <v>Y</v>
      </c>
      <c r="L3202" s="5" t="s">
        <v>2307</v>
      </c>
      <c r="M3202" s="5" t="s">
        <v>9700</v>
      </c>
      <c r="N3202" s="5" t="s">
        <v>9701</v>
      </c>
      <c r="O3202" s="5" t="s">
        <v>3038</v>
      </c>
      <c r="P3202" s="5" t="s">
        <v>2992</v>
      </c>
      <c r="Q3202" s="11">
        <v>46306.5</v>
      </c>
      <c r="R3202" s="6"/>
      <c r="S3202" s="6"/>
      <c r="T3202" s="6"/>
      <c r="U3202" s="5">
        <f>MATCH(B3202,Manual_Review!$A$6:$A$238,0)</f>
        <v>200</v>
      </c>
      <c r="V3202" s="5" t="str">
        <f>IF(INDEX(Manual_Review!$G$6:$G$238,U3202)="","",INDEX(Manual_Review!$G$6:$G$238,U3202))</f>
        <v/>
      </c>
      <c r="W3202" s="11" t="str">
        <f>IF(INDEX(Manual_Review!$H$6:$H$238,U3202)="","",INDEX(Manual_Review!$H$6:$H$238,U3202))</f>
        <v/>
      </c>
      <c r="X3202" s="5" t="str">
        <f>IF(INDEX(Manual_Review!$I$6:$I$238,U3202)="","",INDEX(Manual_Review!$I$6:$I$238,U3202))</f>
        <v/>
      </c>
      <c r="Y3202" s="5" t="s">
        <v>2859</v>
      </c>
    </row>
    <row r="3203" spans="1:25" ht="25.5">
      <c r="A3203" s="5" t="s">
        <v>9702</v>
      </c>
      <c r="B3203" s="5" t="s">
        <v>2295</v>
      </c>
      <c r="C3203" s="5" t="s">
        <v>2296</v>
      </c>
      <c r="D3203" s="5" t="s">
        <v>118</v>
      </c>
      <c r="E3203" s="5" t="s">
        <v>2794</v>
      </c>
      <c r="F3203" s="5" t="s">
        <v>2764</v>
      </c>
      <c r="G3203" s="5">
        <v>1</v>
      </c>
      <c r="H3203" s="5" t="s">
        <v>2854</v>
      </c>
      <c r="I3203" s="5" t="str">
        <f>IF(INDEX(Manual_Review!$X$6:$X$238,U3203)="","",INDEX(Manual_Review!$X$6:$X$238,U3203))</f>
        <v/>
      </c>
      <c r="J3203" s="5" t="str">
        <f t="shared" si="98"/>
        <v>AI provisional</v>
      </c>
      <c r="K3203" s="5" t="str">
        <f t="shared" si="99"/>
        <v>Y</v>
      </c>
      <c r="L3203" s="5" t="s">
        <v>2307</v>
      </c>
      <c r="M3203" s="5" t="s">
        <v>9703</v>
      </c>
      <c r="N3203" s="5" t="s">
        <v>9704</v>
      </c>
      <c r="O3203" s="5" t="s">
        <v>3042</v>
      </c>
      <c r="P3203" s="5" t="s">
        <v>2992</v>
      </c>
      <c r="Q3203" s="11">
        <v>46306.5</v>
      </c>
      <c r="R3203" s="6"/>
      <c r="S3203" s="6"/>
      <c r="T3203" s="6"/>
      <c r="U3203" s="5">
        <f>MATCH(B3203,Manual_Review!$A$6:$A$238,0)</f>
        <v>200</v>
      </c>
      <c r="V3203" s="5" t="str">
        <f>IF(INDEX(Manual_Review!$G$6:$G$238,U3203)="","",INDEX(Manual_Review!$G$6:$G$238,U3203))</f>
        <v/>
      </c>
      <c r="W3203" s="11" t="str">
        <f>IF(INDEX(Manual_Review!$H$6:$H$238,U3203)="","",INDEX(Manual_Review!$H$6:$H$238,U3203))</f>
        <v/>
      </c>
      <c r="X3203" s="5" t="str">
        <f>IF(INDEX(Manual_Review!$I$6:$I$238,U3203)="","",INDEX(Manual_Review!$I$6:$I$238,U3203))</f>
        <v/>
      </c>
      <c r="Y3203" s="5" t="s">
        <v>2859</v>
      </c>
    </row>
    <row r="3204" spans="1:25" ht="25.5">
      <c r="A3204" s="5" t="s">
        <v>9705</v>
      </c>
      <c r="B3204" s="5" t="s">
        <v>2295</v>
      </c>
      <c r="C3204" s="5" t="s">
        <v>2296</v>
      </c>
      <c r="D3204" s="5" t="s">
        <v>118</v>
      </c>
      <c r="E3204" s="5" t="s">
        <v>2795</v>
      </c>
      <c r="F3204" s="5" t="s">
        <v>2764</v>
      </c>
      <c r="G3204" s="5">
        <v>1</v>
      </c>
      <c r="H3204" s="5" t="s">
        <v>2864</v>
      </c>
      <c r="I3204" s="5" t="str">
        <f>IF(INDEX(Manual_Review!$Y$6:$Y$238,U3204)="","",INDEX(Manual_Review!$Y$6:$Y$238,U3204))</f>
        <v/>
      </c>
      <c r="J3204" s="5" t="str">
        <f t="shared" si="98"/>
        <v>AI provisional</v>
      </c>
      <c r="K3204" s="5" t="str">
        <f t="shared" si="99"/>
        <v>U</v>
      </c>
      <c r="L3204" s="5" t="s">
        <v>2307</v>
      </c>
      <c r="M3204" s="5" t="s">
        <v>9706</v>
      </c>
      <c r="N3204" s="5" t="s">
        <v>9707</v>
      </c>
      <c r="O3204" s="5" t="s">
        <v>3469</v>
      </c>
      <c r="P3204" s="5" t="s">
        <v>2992</v>
      </c>
      <c r="Q3204" s="11">
        <v>46306.5</v>
      </c>
      <c r="R3204" s="6"/>
      <c r="S3204" s="6"/>
      <c r="T3204" s="6"/>
      <c r="U3204" s="5">
        <f>MATCH(B3204,Manual_Review!$A$6:$A$238,0)</f>
        <v>200</v>
      </c>
      <c r="V3204" s="5" t="str">
        <f>IF(INDEX(Manual_Review!$G$6:$G$238,U3204)="","",INDEX(Manual_Review!$G$6:$G$238,U3204))</f>
        <v/>
      </c>
      <c r="W3204" s="11" t="str">
        <f>IF(INDEX(Manual_Review!$H$6:$H$238,U3204)="","",INDEX(Manual_Review!$H$6:$H$238,U3204))</f>
        <v/>
      </c>
      <c r="X3204" s="5" t="str">
        <f>IF(INDEX(Manual_Review!$I$6:$I$238,U3204)="","",INDEX(Manual_Review!$I$6:$I$238,U3204))</f>
        <v/>
      </c>
      <c r="Y3204" s="5" t="s">
        <v>2859</v>
      </c>
    </row>
    <row r="3205" spans="1:25" ht="38.25">
      <c r="A3205" s="5" t="s">
        <v>9708</v>
      </c>
      <c r="B3205" s="5" t="s">
        <v>2295</v>
      </c>
      <c r="C3205" s="5" t="s">
        <v>2296</v>
      </c>
      <c r="D3205" s="5" t="s">
        <v>118</v>
      </c>
      <c r="E3205" s="5" t="s">
        <v>2796</v>
      </c>
      <c r="F3205" s="5" t="s">
        <v>2764</v>
      </c>
      <c r="G3205" s="5">
        <v>1</v>
      </c>
      <c r="H3205" s="5" t="s">
        <v>2864</v>
      </c>
      <c r="I3205" s="5" t="str">
        <f>IF(INDEX(Manual_Review!$Z$6:$Z$238,U3205)="","",INDEX(Manual_Review!$Z$6:$Z$238,U3205))</f>
        <v/>
      </c>
      <c r="J3205" s="5" t="str">
        <f t="shared" si="98"/>
        <v>AI provisional</v>
      </c>
      <c r="K3205" s="5" t="str">
        <f t="shared" si="99"/>
        <v>U</v>
      </c>
      <c r="L3205" s="5" t="s">
        <v>2307</v>
      </c>
      <c r="M3205" s="5" t="s">
        <v>9709</v>
      </c>
      <c r="N3205" s="5" t="s">
        <v>9710</v>
      </c>
      <c r="O3205" s="5" t="s">
        <v>3050</v>
      </c>
      <c r="P3205" s="5" t="s">
        <v>2992</v>
      </c>
      <c r="Q3205" s="11">
        <v>46306.5</v>
      </c>
      <c r="R3205" s="6"/>
      <c r="S3205" s="6"/>
      <c r="T3205" s="6"/>
      <c r="U3205" s="5">
        <f>MATCH(B3205,Manual_Review!$A$6:$A$238,0)</f>
        <v>200</v>
      </c>
      <c r="V3205" s="5" t="str">
        <f>IF(INDEX(Manual_Review!$G$6:$G$238,U3205)="","",INDEX(Manual_Review!$G$6:$G$238,U3205))</f>
        <v/>
      </c>
      <c r="W3205" s="11" t="str">
        <f>IF(INDEX(Manual_Review!$H$6:$H$238,U3205)="","",INDEX(Manual_Review!$H$6:$H$238,U3205))</f>
        <v/>
      </c>
      <c r="X3205" s="5" t="str">
        <f>IF(INDEX(Manual_Review!$I$6:$I$238,U3205)="","",INDEX(Manual_Review!$I$6:$I$238,U3205))</f>
        <v/>
      </c>
      <c r="Y3205" s="5" t="s">
        <v>2859</v>
      </c>
    </row>
    <row r="3206" spans="1:25" ht="25.5">
      <c r="A3206" s="5" t="s">
        <v>9711</v>
      </c>
      <c r="B3206" s="5" t="s">
        <v>2309</v>
      </c>
      <c r="C3206" s="5" t="s">
        <v>2310</v>
      </c>
      <c r="D3206" s="5" t="s">
        <v>118</v>
      </c>
      <c r="E3206" s="5" t="s">
        <v>2781</v>
      </c>
      <c r="F3206" s="5" t="s">
        <v>2754</v>
      </c>
      <c r="G3206" s="5">
        <v>1</v>
      </c>
      <c r="H3206" s="5" t="s">
        <v>2854</v>
      </c>
      <c r="I3206" s="5" t="str">
        <f>IF(INDEX(Manual_Review!$K$6:$K$238,U3206)="","",INDEX(Manual_Review!$K$6:$K$238,U3206))</f>
        <v/>
      </c>
      <c r="J3206" s="5" t="str">
        <f t="shared" ref="J3206:J3269" si="100">IF(G3206=0,"Not applicable",IF(I3206="","AI provisional",IF(AND(OR(I3206="Y",I3206="N",I3206="U",I3206="X"),V3206&lt;&gt;"",ISNUMBER(W3206),W3206&gt;0,X3206="Confirmed",R3206&lt;&gt;"",S3206&lt;&gt;"",T3206&lt;&gt;""),"Human valid","Evidence needed")))</f>
        <v>AI provisional</v>
      </c>
      <c r="K3206" s="5" t="str">
        <f t="shared" ref="K3206:K3269" si="101">IF(G3206=0,"N/A",IF(I3206="",H3206,IF(J3206="Human valid",I3206,"U")))</f>
        <v>Y</v>
      </c>
      <c r="L3206" s="5" t="s">
        <v>2321</v>
      </c>
      <c r="M3206" s="5" t="s">
        <v>9712</v>
      </c>
      <c r="N3206" s="5" t="s">
        <v>9713</v>
      </c>
      <c r="O3206" s="5" t="s">
        <v>2991</v>
      </c>
      <c r="P3206" s="5" t="s">
        <v>2992</v>
      </c>
      <c r="Q3206" s="11">
        <v>46306.5</v>
      </c>
      <c r="R3206" s="6"/>
      <c r="S3206" s="6"/>
      <c r="T3206" s="6"/>
      <c r="U3206" s="5">
        <f>MATCH(B3206,Manual_Review!$A$6:$A$238,0)</f>
        <v>201</v>
      </c>
      <c r="V3206" s="5" t="str">
        <f>IF(INDEX(Manual_Review!$G$6:$G$238,U3206)="","",INDEX(Manual_Review!$G$6:$G$238,U3206))</f>
        <v/>
      </c>
      <c r="W3206" s="11" t="str">
        <f>IF(INDEX(Manual_Review!$H$6:$H$238,U3206)="","",INDEX(Manual_Review!$H$6:$H$238,U3206))</f>
        <v/>
      </c>
      <c r="X3206" s="5" t="str">
        <f>IF(INDEX(Manual_Review!$I$6:$I$238,U3206)="","",INDEX(Manual_Review!$I$6:$I$238,U3206))</f>
        <v/>
      </c>
      <c r="Y3206" s="5" t="s">
        <v>2859</v>
      </c>
    </row>
    <row r="3207" spans="1:25" ht="25.5">
      <c r="A3207" s="5" t="s">
        <v>9714</v>
      </c>
      <c r="B3207" s="5" t="s">
        <v>2309</v>
      </c>
      <c r="C3207" s="5" t="s">
        <v>2310</v>
      </c>
      <c r="D3207" s="5" t="s">
        <v>118</v>
      </c>
      <c r="E3207" s="5" t="s">
        <v>2782</v>
      </c>
      <c r="F3207" s="5" t="s">
        <v>2754</v>
      </c>
      <c r="G3207" s="5">
        <v>1</v>
      </c>
      <c r="H3207" s="5" t="s">
        <v>2854</v>
      </c>
      <c r="I3207" s="5" t="str">
        <f>IF(INDEX(Manual_Review!$L$6:$L$238,U3207)="","",INDEX(Manual_Review!$L$6:$L$238,U3207))</f>
        <v/>
      </c>
      <c r="J3207" s="5" t="str">
        <f t="shared" si="100"/>
        <v>AI provisional</v>
      </c>
      <c r="K3207" s="5" t="str">
        <f t="shared" si="101"/>
        <v>Y</v>
      </c>
      <c r="L3207" s="5" t="s">
        <v>2321</v>
      </c>
      <c r="M3207" s="5" t="s">
        <v>9715</v>
      </c>
      <c r="N3207" s="5" t="s">
        <v>9716</v>
      </c>
      <c r="O3207" s="5" t="s">
        <v>2996</v>
      </c>
      <c r="P3207" s="5" t="s">
        <v>2992</v>
      </c>
      <c r="Q3207" s="11">
        <v>46306.5</v>
      </c>
      <c r="R3207" s="6"/>
      <c r="S3207" s="6"/>
      <c r="T3207" s="6"/>
      <c r="U3207" s="5">
        <f>MATCH(B3207,Manual_Review!$A$6:$A$238,0)</f>
        <v>201</v>
      </c>
      <c r="V3207" s="5" t="str">
        <f>IF(INDEX(Manual_Review!$G$6:$G$238,U3207)="","",INDEX(Manual_Review!$G$6:$G$238,U3207))</f>
        <v/>
      </c>
      <c r="W3207" s="11" t="str">
        <f>IF(INDEX(Manual_Review!$H$6:$H$238,U3207)="","",INDEX(Manual_Review!$H$6:$H$238,U3207))</f>
        <v/>
      </c>
      <c r="X3207" s="5" t="str">
        <f>IF(INDEX(Manual_Review!$I$6:$I$238,U3207)="","",INDEX(Manual_Review!$I$6:$I$238,U3207))</f>
        <v/>
      </c>
      <c r="Y3207" s="5" t="s">
        <v>2859</v>
      </c>
    </row>
    <row r="3208" spans="1:25" ht="25.5">
      <c r="A3208" s="5" t="s">
        <v>9717</v>
      </c>
      <c r="B3208" s="5" t="s">
        <v>2309</v>
      </c>
      <c r="C3208" s="5" t="s">
        <v>2310</v>
      </c>
      <c r="D3208" s="5" t="s">
        <v>118</v>
      </c>
      <c r="E3208" s="5" t="s">
        <v>2783</v>
      </c>
      <c r="F3208" s="5" t="s">
        <v>2754</v>
      </c>
      <c r="G3208" s="5">
        <v>1</v>
      </c>
      <c r="H3208" s="5" t="s">
        <v>2854</v>
      </c>
      <c r="I3208" s="5" t="str">
        <f>IF(INDEX(Manual_Review!$M$6:$M$238,U3208)="","",INDEX(Manual_Review!$M$6:$M$238,U3208))</f>
        <v/>
      </c>
      <c r="J3208" s="5" t="str">
        <f t="shared" si="100"/>
        <v>AI provisional</v>
      </c>
      <c r="K3208" s="5" t="str">
        <f t="shared" si="101"/>
        <v>Y</v>
      </c>
      <c r="L3208" s="5" t="s">
        <v>2321</v>
      </c>
      <c r="M3208" s="5" t="s">
        <v>9718</v>
      </c>
      <c r="N3208" s="5" t="s">
        <v>9719</v>
      </c>
      <c r="O3208" s="5" t="s">
        <v>3000</v>
      </c>
      <c r="P3208" s="5" t="s">
        <v>2992</v>
      </c>
      <c r="Q3208" s="11">
        <v>46306.5</v>
      </c>
      <c r="R3208" s="6"/>
      <c r="S3208" s="6"/>
      <c r="T3208" s="6"/>
      <c r="U3208" s="5">
        <f>MATCH(B3208,Manual_Review!$A$6:$A$238,0)</f>
        <v>201</v>
      </c>
      <c r="V3208" s="5" t="str">
        <f>IF(INDEX(Manual_Review!$G$6:$G$238,U3208)="","",INDEX(Manual_Review!$G$6:$G$238,U3208))</f>
        <v/>
      </c>
      <c r="W3208" s="11" t="str">
        <f>IF(INDEX(Manual_Review!$H$6:$H$238,U3208)="","",INDEX(Manual_Review!$H$6:$H$238,U3208))</f>
        <v/>
      </c>
      <c r="X3208" s="5" t="str">
        <f>IF(INDEX(Manual_Review!$I$6:$I$238,U3208)="","",INDEX(Manual_Review!$I$6:$I$238,U3208))</f>
        <v/>
      </c>
      <c r="Y3208" s="5" t="s">
        <v>2859</v>
      </c>
    </row>
    <row r="3209" spans="1:25" ht="25.5">
      <c r="A3209" s="5" t="s">
        <v>9720</v>
      </c>
      <c r="B3209" s="5" t="s">
        <v>2309</v>
      </c>
      <c r="C3209" s="5" t="s">
        <v>2310</v>
      </c>
      <c r="D3209" s="5" t="s">
        <v>118</v>
      </c>
      <c r="E3209" s="5" t="s">
        <v>2784</v>
      </c>
      <c r="F3209" s="5" t="s">
        <v>2756</v>
      </c>
      <c r="G3209" s="5">
        <v>1</v>
      </c>
      <c r="H3209" s="5" t="s">
        <v>2864</v>
      </c>
      <c r="I3209" s="5" t="str">
        <f>IF(INDEX(Manual_Review!$N$6:$N$238,U3209)="","",INDEX(Manual_Review!$N$6:$N$238,U3209))</f>
        <v/>
      </c>
      <c r="J3209" s="5" t="str">
        <f t="shared" si="100"/>
        <v>AI provisional</v>
      </c>
      <c r="K3209" s="5" t="str">
        <f t="shared" si="101"/>
        <v>U</v>
      </c>
      <c r="L3209" s="5" t="s">
        <v>2321</v>
      </c>
      <c r="M3209" s="5" t="s">
        <v>9721</v>
      </c>
      <c r="N3209" s="5" t="s">
        <v>9722</v>
      </c>
      <c r="O3209" s="5" t="s">
        <v>9214</v>
      </c>
      <c r="P3209" s="5" t="s">
        <v>2992</v>
      </c>
      <c r="Q3209" s="11">
        <v>46306.5</v>
      </c>
      <c r="R3209" s="6"/>
      <c r="S3209" s="6"/>
      <c r="T3209" s="6"/>
      <c r="U3209" s="5">
        <f>MATCH(B3209,Manual_Review!$A$6:$A$238,0)</f>
        <v>201</v>
      </c>
      <c r="V3209" s="5" t="str">
        <f>IF(INDEX(Manual_Review!$G$6:$G$238,U3209)="","",INDEX(Manual_Review!$G$6:$G$238,U3209))</f>
        <v/>
      </c>
      <c r="W3209" s="11" t="str">
        <f>IF(INDEX(Manual_Review!$H$6:$H$238,U3209)="","",INDEX(Manual_Review!$H$6:$H$238,U3209))</f>
        <v/>
      </c>
      <c r="X3209" s="5" t="str">
        <f>IF(INDEX(Manual_Review!$I$6:$I$238,U3209)="","",INDEX(Manual_Review!$I$6:$I$238,U3209))</f>
        <v/>
      </c>
      <c r="Y3209" s="5" t="s">
        <v>2859</v>
      </c>
    </row>
    <row r="3210" spans="1:25" ht="25.5">
      <c r="A3210" s="5" t="s">
        <v>9723</v>
      </c>
      <c r="B3210" s="5" t="s">
        <v>2309</v>
      </c>
      <c r="C3210" s="5" t="s">
        <v>2310</v>
      </c>
      <c r="D3210" s="5" t="s">
        <v>118</v>
      </c>
      <c r="E3210" s="5" t="s">
        <v>2785</v>
      </c>
      <c r="F3210" s="5" t="s">
        <v>2756</v>
      </c>
      <c r="G3210" s="5">
        <v>1</v>
      </c>
      <c r="H3210" s="5" t="s">
        <v>2864</v>
      </c>
      <c r="I3210" s="5" t="str">
        <f>IF(INDEX(Manual_Review!$O$6:$O$238,U3210)="","",INDEX(Manual_Review!$O$6:$O$238,U3210))</f>
        <v/>
      </c>
      <c r="J3210" s="5" t="str">
        <f t="shared" si="100"/>
        <v>AI provisional</v>
      </c>
      <c r="K3210" s="5" t="str">
        <f t="shared" si="101"/>
        <v>U</v>
      </c>
      <c r="L3210" s="5" t="s">
        <v>2321</v>
      </c>
      <c r="M3210" s="5" t="s">
        <v>9721</v>
      </c>
      <c r="N3210" s="5" t="s">
        <v>9722</v>
      </c>
      <c r="O3210" s="5" t="s">
        <v>3006</v>
      </c>
      <c r="P3210" s="5" t="s">
        <v>2992</v>
      </c>
      <c r="Q3210" s="11">
        <v>46306.5</v>
      </c>
      <c r="R3210" s="6"/>
      <c r="S3210" s="6"/>
      <c r="T3210" s="6"/>
      <c r="U3210" s="5">
        <f>MATCH(B3210,Manual_Review!$A$6:$A$238,0)</f>
        <v>201</v>
      </c>
      <c r="V3210" s="5" t="str">
        <f>IF(INDEX(Manual_Review!$G$6:$G$238,U3210)="","",INDEX(Manual_Review!$G$6:$G$238,U3210))</f>
        <v/>
      </c>
      <c r="W3210" s="11" t="str">
        <f>IF(INDEX(Manual_Review!$H$6:$H$238,U3210)="","",INDEX(Manual_Review!$H$6:$H$238,U3210))</f>
        <v/>
      </c>
      <c r="X3210" s="5" t="str">
        <f>IF(INDEX(Manual_Review!$I$6:$I$238,U3210)="","",INDEX(Manual_Review!$I$6:$I$238,U3210))</f>
        <v/>
      </c>
      <c r="Y3210" s="5" t="s">
        <v>2859</v>
      </c>
    </row>
    <row r="3211" spans="1:25" ht="25.5">
      <c r="A3211" s="5" t="s">
        <v>9724</v>
      </c>
      <c r="B3211" s="5" t="s">
        <v>2309</v>
      </c>
      <c r="C3211" s="5" t="s">
        <v>2310</v>
      </c>
      <c r="D3211" s="5" t="s">
        <v>118</v>
      </c>
      <c r="E3211" s="5" t="s">
        <v>2786</v>
      </c>
      <c r="F3211" s="5" t="s">
        <v>2756</v>
      </c>
      <c r="G3211" s="5">
        <v>1</v>
      </c>
      <c r="H3211" s="5" t="s">
        <v>2864</v>
      </c>
      <c r="I3211" s="5" t="str">
        <f>IF(INDEX(Manual_Review!$P$6:$P$238,U3211)="","",INDEX(Manual_Review!$P$6:$P$238,U3211))</f>
        <v/>
      </c>
      <c r="J3211" s="5" t="str">
        <f t="shared" si="100"/>
        <v>AI provisional</v>
      </c>
      <c r="K3211" s="5" t="str">
        <f t="shared" si="101"/>
        <v>U</v>
      </c>
      <c r="L3211" s="5" t="s">
        <v>2321</v>
      </c>
      <c r="M3211" s="5" t="s">
        <v>9725</v>
      </c>
      <c r="N3211" s="5" t="s">
        <v>9726</v>
      </c>
      <c r="O3211" s="5" t="s">
        <v>3010</v>
      </c>
      <c r="P3211" s="5" t="s">
        <v>2992</v>
      </c>
      <c r="Q3211" s="11">
        <v>46306.5</v>
      </c>
      <c r="R3211" s="6"/>
      <c r="S3211" s="6"/>
      <c r="T3211" s="6"/>
      <c r="U3211" s="5">
        <f>MATCH(B3211,Manual_Review!$A$6:$A$238,0)</f>
        <v>201</v>
      </c>
      <c r="V3211" s="5" t="str">
        <f>IF(INDEX(Manual_Review!$G$6:$G$238,U3211)="","",INDEX(Manual_Review!$G$6:$G$238,U3211))</f>
        <v/>
      </c>
      <c r="W3211" s="11" t="str">
        <f>IF(INDEX(Manual_Review!$H$6:$H$238,U3211)="","",INDEX(Manual_Review!$H$6:$H$238,U3211))</f>
        <v/>
      </c>
      <c r="X3211" s="5" t="str">
        <f>IF(INDEX(Manual_Review!$I$6:$I$238,U3211)="","",INDEX(Manual_Review!$I$6:$I$238,U3211))</f>
        <v/>
      </c>
      <c r="Y3211" s="5" t="s">
        <v>2859</v>
      </c>
    </row>
    <row r="3212" spans="1:25" ht="25.5">
      <c r="A3212" s="5" t="s">
        <v>9727</v>
      </c>
      <c r="B3212" s="5" t="s">
        <v>2309</v>
      </c>
      <c r="C3212" s="5" t="s">
        <v>2310</v>
      </c>
      <c r="D3212" s="5" t="s">
        <v>118</v>
      </c>
      <c r="E3212" s="5" t="s">
        <v>2787</v>
      </c>
      <c r="F3212" s="5" t="s">
        <v>2758</v>
      </c>
      <c r="G3212" s="5">
        <v>1</v>
      </c>
      <c r="H3212" s="5" t="s">
        <v>2854</v>
      </c>
      <c r="I3212" s="5" t="str">
        <f>IF(INDEX(Manual_Review!$Q$6:$Q$238,U3212)="","",INDEX(Manual_Review!$Q$6:$Q$238,U3212))</f>
        <v/>
      </c>
      <c r="J3212" s="5" t="str">
        <f t="shared" si="100"/>
        <v>AI provisional</v>
      </c>
      <c r="K3212" s="5" t="str">
        <f t="shared" si="101"/>
        <v>Y</v>
      </c>
      <c r="L3212" s="5" t="s">
        <v>2321</v>
      </c>
      <c r="M3212" s="5" t="s">
        <v>9728</v>
      </c>
      <c r="N3212" s="5" t="s">
        <v>9729</v>
      </c>
      <c r="O3212" s="5" t="s">
        <v>3819</v>
      </c>
      <c r="P3212" s="5" t="s">
        <v>2992</v>
      </c>
      <c r="Q3212" s="11">
        <v>46306.5</v>
      </c>
      <c r="R3212" s="6"/>
      <c r="S3212" s="6"/>
      <c r="T3212" s="6"/>
      <c r="U3212" s="5">
        <f>MATCH(B3212,Manual_Review!$A$6:$A$238,0)</f>
        <v>201</v>
      </c>
      <c r="V3212" s="5" t="str">
        <f>IF(INDEX(Manual_Review!$G$6:$G$238,U3212)="","",INDEX(Manual_Review!$G$6:$G$238,U3212))</f>
        <v/>
      </c>
      <c r="W3212" s="11" t="str">
        <f>IF(INDEX(Manual_Review!$H$6:$H$238,U3212)="","",INDEX(Manual_Review!$H$6:$H$238,U3212))</f>
        <v/>
      </c>
      <c r="X3212" s="5" t="str">
        <f>IF(INDEX(Manual_Review!$I$6:$I$238,U3212)="","",INDEX(Manual_Review!$I$6:$I$238,U3212))</f>
        <v/>
      </c>
      <c r="Y3212" s="5" t="s">
        <v>2859</v>
      </c>
    </row>
    <row r="3213" spans="1:25" ht="38.25">
      <c r="A3213" s="5" t="s">
        <v>9730</v>
      </c>
      <c r="B3213" s="5" t="s">
        <v>2309</v>
      </c>
      <c r="C3213" s="5" t="s">
        <v>2310</v>
      </c>
      <c r="D3213" s="5" t="s">
        <v>118</v>
      </c>
      <c r="E3213" s="5" t="s">
        <v>2788</v>
      </c>
      <c r="F3213" s="5" t="s">
        <v>2758</v>
      </c>
      <c r="G3213" s="5">
        <v>1</v>
      </c>
      <c r="H3213" s="5" t="s">
        <v>2854</v>
      </c>
      <c r="I3213" s="5" t="str">
        <f>IF(INDEX(Manual_Review!$R$6:$R$238,U3213)="","",INDEX(Manual_Review!$R$6:$R$238,U3213))</f>
        <v/>
      </c>
      <c r="J3213" s="5" t="str">
        <f t="shared" si="100"/>
        <v>AI provisional</v>
      </c>
      <c r="K3213" s="5" t="str">
        <f t="shared" si="101"/>
        <v>Y</v>
      </c>
      <c r="L3213" s="5" t="s">
        <v>2321</v>
      </c>
      <c r="M3213" s="5" t="s">
        <v>9731</v>
      </c>
      <c r="N3213" s="5" t="s">
        <v>9732</v>
      </c>
      <c r="O3213" s="5" t="s">
        <v>3018</v>
      </c>
      <c r="P3213" s="5" t="s">
        <v>2992</v>
      </c>
      <c r="Q3213" s="11">
        <v>46306.5</v>
      </c>
      <c r="R3213" s="6"/>
      <c r="S3213" s="6"/>
      <c r="T3213" s="6"/>
      <c r="U3213" s="5">
        <f>MATCH(B3213,Manual_Review!$A$6:$A$238,0)</f>
        <v>201</v>
      </c>
      <c r="V3213" s="5" t="str">
        <f>IF(INDEX(Manual_Review!$G$6:$G$238,U3213)="","",INDEX(Manual_Review!$G$6:$G$238,U3213))</f>
        <v/>
      </c>
      <c r="W3213" s="11" t="str">
        <f>IF(INDEX(Manual_Review!$H$6:$H$238,U3213)="","",INDEX(Manual_Review!$H$6:$H$238,U3213))</f>
        <v/>
      </c>
      <c r="X3213" s="5" t="str">
        <f>IF(INDEX(Manual_Review!$I$6:$I$238,U3213)="","",INDEX(Manual_Review!$I$6:$I$238,U3213))</f>
        <v/>
      </c>
      <c r="Y3213" s="5" t="s">
        <v>2859</v>
      </c>
    </row>
    <row r="3214" spans="1:25" ht="38.25">
      <c r="A3214" s="5" t="s">
        <v>9733</v>
      </c>
      <c r="B3214" s="5" t="s">
        <v>2309</v>
      </c>
      <c r="C3214" s="5" t="s">
        <v>2310</v>
      </c>
      <c r="D3214" s="5" t="s">
        <v>118</v>
      </c>
      <c r="E3214" s="5" t="s">
        <v>2789</v>
      </c>
      <c r="F3214" s="5" t="s">
        <v>2758</v>
      </c>
      <c r="G3214" s="5">
        <v>1</v>
      </c>
      <c r="H3214" s="5" t="s">
        <v>2854</v>
      </c>
      <c r="I3214" s="5" t="str">
        <f>IF(INDEX(Manual_Review!$S$6:$S$238,U3214)="","",INDEX(Manual_Review!$S$6:$S$238,U3214))</f>
        <v/>
      </c>
      <c r="J3214" s="5" t="str">
        <f t="shared" si="100"/>
        <v>AI provisional</v>
      </c>
      <c r="K3214" s="5" t="str">
        <f t="shared" si="101"/>
        <v>Y</v>
      </c>
      <c r="L3214" s="5" t="s">
        <v>2321</v>
      </c>
      <c r="M3214" s="5" t="s">
        <v>9734</v>
      </c>
      <c r="N3214" s="5" t="s">
        <v>9735</v>
      </c>
      <c r="O3214" s="5" t="s">
        <v>3022</v>
      </c>
      <c r="P3214" s="5" t="s">
        <v>2992</v>
      </c>
      <c r="Q3214" s="11">
        <v>46306.5</v>
      </c>
      <c r="R3214" s="6"/>
      <c r="S3214" s="6"/>
      <c r="T3214" s="6"/>
      <c r="U3214" s="5">
        <f>MATCH(B3214,Manual_Review!$A$6:$A$238,0)</f>
        <v>201</v>
      </c>
      <c r="V3214" s="5" t="str">
        <f>IF(INDEX(Manual_Review!$G$6:$G$238,U3214)="","",INDEX(Manual_Review!$G$6:$G$238,U3214))</f>
        <v/>
      </c>
      <c r="W3214" s="11" t="str">
        <f>IF(INDEX(Manual_Review!$H$6:$H$238,U3214)="","",INDEX(Manual_Review!$H$6:$H$238,U3214))</f>
        <v/>
      </c>
      <c r="X3214" s="5" t="str">
        <f>IF(INDEX(Manual_Review!$I$6:$I$238,U3214)="","",INDEX(Manual_Review!$I$6:$I$238,U3214))</f>
        <v/>
      </c>
      <c r="Y3214" s="5" t="s">
        <v>2859</v>
      </c>
    </row>
    <row r="3215" spans="1:25" ht="25.5">
      <c r="A3215" s="5" t="s">
        <v>9736</v>
      </c>
      <c r="B3215" s="5" t="s">
        <v>2309</v>
      </c>
      <c r="C3215" s="5" t="s">
        <v>2310</v>
      </c>
      <c r="D3215" s="5" t="s">
        <v>118</v>
      </c>
      <c r="E3215" s="5" t="s">
        <v>2790</v>
      </c>
      <c r="F3215" s="5" t="s">
        <v>2760</v>
      </c>
      <c r="G3215" s="5">
        <v>1</v>
      </c>
      <c r="H3215" s="5" t="s">
        <v>2854</v>
      </c>
      <c r="I3215" s="5" t="str">
        <f>IF(INDEX(Manual_Review!$T$6:$T$238,U3215)="","",INDEX(Manual_Review!$T$6:$T$238,U3215))</f>
        <v/>
      </c>
      <c r="J3215" s="5" t="str">
        <f t="shared" si="100"/>
        <v>AI provisional</v>
      </c>
      <c r="K3215" s="5" t="str">
        <f t="shared" si="101"/>
        <v>Y</v>
      </c>
      <c r="L3215" s="5" t="s">
        <v>2321</v>
      </c>
      <c r="M3215" s="5" t="s">
        <v>9737</v>
      </c>
      <c r="N3215" s="5" t="s">
        <v>9738</v>
      </c>
      <c r="O3215" s="5" t="s">
        <v>3451</v>
      </c>
      <c r="P3215" s="5" t="s">
        <v>2992</v>
      </c>
      <c r="Q3215" s="11">
        <v>46306.5</v>
      </c>
      <c r="R3215" s="6"/>
      <c r="S3215" s="6"/>
      <c r="T3215" s="6"/>
      <c r="U3215" s="5">
        <f>MATCH(B3215,Manual_Review!$A$6:$A$238,0)</f>
        <v>201</v>
      </c>
      <c r="V3215" s="5" t="str">
        <f>IF(INDEX(Manual_Review!$G$6:$G$238,U3215)="","",INDEX(Manual_Review!$G$6:$G$238,U3215))</f>
        <v/>
      </c>
      <c r="W3215" s="11" t="str">
        <f>IF(INDEX(Manual_Review!$H$6:$H$238,U3215)="","",INDEX(Manual_Review!$H$6:$H$238,U3215))</f>
        <v/>
      </c>
      <c r="X3215" s="5" t="str">
        <f>IF(INDEX(Manual_Review!$I$6:$I$238,U3215)="","",INDEX(Manual_Review!$I$6:$I$238,U3215))</f>
        <v/>
      </c>
      <c r="Y3215" s="5" t="s">
        <v>2859</v>
      </c>
    </row>
    <row r="3216" spans="1:25" ht="25.5">
      <c r="A3216" s="5" t="s">
        <v>9739</v>
      </c>
      <c r="B3216" s="5" t="s">
        <v>2309</v>
      </c>
      <c r="C3216" s="5" t="s">
        <v>2310</v>
      </c>
      <c r="D3216" s="5" t="s">
        <v>118</v>
      </c>
      <c r="E3216" s="5" t="s">
        <v>2791</v>
      </c>
      <c r="F3216" s="5" t="s">
        <v>2760</v>
      </c>
      <c r="G3216" s="5">
        <v>1</v>
      </c>
      <c r="H3216" s="5" t="s">
        <v>2864</v>
      </c>
      <c r="I3216" s="5" t="str">
        <f>IF(INDEX(Manual_Review!$U$6:$U$238,U3216)="","",INDEX(Manual_Review!$U$6:$U$238,U3216))</f>
        <v/>
      </c>
      <c r="J3216" s="5" t="str">
        <f t="shared" si="100"/>
        <v>AI provisional</v>
      </c>
      <c r="K3216" s="5" t="str">
        <f t="shared" si="101"/>
        <v>U</v>
      </c>
      <c r="L3216" s="5" t="s">
        <v>2321</v>
      </c>
      <c r="M3216" s="5" t="s">
        <v>9740</v>
      </c>
      <c r="N3216" s="5" t="s">
        <v>9741</v>
      </c>
      <c r="O3216" s="5" t="s">
        <v>3030</v>
      </c>
      <c r="P3216" s="5" t="s">
        <v>2992</v>
      </c>
      <c r="Q3216" s="11">
        <v>46306.5</v>
      </c>
      <c r="R3216" s="6"/>
      <c r="S3216" s="6"/>
      <c r="T3216" s="6"/>
      <c r="U3216" s="5">
        <f>MATCH(B3216,Manual_Review!$A$6:$A$238,0)</f>
        <v>201</v>
      </c>
      <c r="V3216" s="5" t="str">
        <f>IF(INDEX(Manual_Review!$G$6:$G$238,U3216)="","",INDEX(Manual_Review!$G$6:$G$238,U3216))</f>
        <v/>
      </c>
      <c r="W3216" s="11" t="str">
        <f>IF(INDEX(Manual_Review!$H$6:$H$238,U3216)="","",INDEX(Manual_Review!$H$6:$H$238,U3216))</f>
        <v/>
      </c>
      <c r="X3216" s="5" t="str">
        <f>IF(INDEX(Manual_Review!$I$6:$I$238,U3216)="","",INDEX(Manual_Review!$I$6:$I$238,U3216))</f>
        <v/>
      </c>
      <c r="Y3216" s="5" t="s">
        <v>2859</v>
      </c>
    </row>
    <row r="3217" spans="1:25" ht="25.5">
      <c r="A3217" s="5" t="s">
        <v>9742</v>
      </c>
      <c r="B3217" s="5" t="s">
        <v>2309</v>
      </c>
      <c r="C3217" s="5" t="s">
        <v>2310</v>
      </c>
      <c r="D3217" s="5" t="s">
        <v>118</v>
      </c>
      <c r="E3217" s="5" t="s">
        <v>2792</v>
      </c>
      <c r="F3217" s="5" t="s">
        <v>2762</v>
      </c>
      <c r="G3217" s="5">
        <v>1</v>
      </c>
      <c r="H3217" s="5" t="s">
        <v>2854</v>
      </c>
      <c r="I3217" s="5" t="str">
        <f>IF(INDEX(Manual_Review!$V$6:$V$238,U3217)="","",INDEX(Manual_Review!$V$6:$V$238,U3217))</f>
        <v/>
      </c>
      <c r="J3217" s="5" t="str">
        <f t="shared" si="100"/>
        <v>AI provisional</v>
      </c>
      <c r="K3217" s="5" t="str">
        <f t="shared" si="101"/>
        <v>Y</v>
      </c>
      <c r="L3217" s="5" t="s">
        <v>2321</v>
      </c>
      <c r="M3217" s="5" t="s">
        <v>9743</v>
      </c>
      <c r="N3217" s="5" t="s">
        <v>9744</v>
      </c>
      <c r="O3217" s="5" t="s">
        <v>3034</v>
      </c>
      <c r="P3217" s="5" t="s">
        <v>2992</v>
      </c>
      <c r="Q3217" s="11">
        <v>46306.5</v>
      </c>
      <c r="R3217" s="6"/>
      <c r="S3217" s="6"/>
      <c r="T3217" s="6"/>
      <c r="U3217" s="5">
        <f>MATCH(B3217,Manual_Review!$A$6:$A$238,0)</f>
        <v>201</v>
      </c>
      <c r="V3217" s="5" t="str">
        <f>IF(INDEX(Manual_Review!$G$6:$G$238,U3217)="","",INDEX(Manual_Review!$G$6:$G$238,U3217))</f>
        <v/>
      </c>
      <c r="W3217" s="11" t="str">
        <f>IF(INDEX(Manual_Review!$H$6:$H$238,U3217)="","",INDEX(Manual_Review!$H$6:$H$238,U3217))</f>
        <v/>
      </c>
      <c r="X3217" s="5" t="str">
        <f>IF(INDEX(Manual_Review!$I$6:$I$238,U3217)="","",INDEX(Manual_Review!$I$6:$I$238,U3217))</f>
        <v/>
      </c>
      <c r="Y3217" s="5" t="s">
        <v>2859</v>
      </c>
    </row>
    <row r="3218" spans="1:25" ht="38.25">
      <c r="A3218" s="5" t="s">
        <v>9745</v>
      </c>
      <c r="B3218" s="5" t="s">
        <v>2309</v>
      </c>
      <c r="C3218" s="5" t="s">
        <v>2310</v>
      </c>
      <c r="D3218" s="5" t="s">
        <v>118</v>
      </c>
      <c r="E3218" s="5" t="s">
        <v>2793</v>
      </c>
      <c r="F3218" s="5" t="s">
        <v>2762</v>
      </c>
      <c r="G3218" s="5">
        <v>1</v>
      </c>
      <c r="H3218" s="5" t="s">
        <v>2854</v>
      </c>
      <c r="I3218" s="5" t="str">
        <f>IF(INDEX(Manual_Review!$W$6:$W$238,U3218)="","",INDEX(Manual_Review!$W$6:$W$238,U3218))</f>
        <v/>
      </c>
      <c r="J3218" s="5" t="str">
        <f t="shared" si="100"/>
        <v>AI provisional</v>
      </c>
      <c r="K3218" s="5" t="str">
        <f t="shared" si="101"/>
        <v>Y</v>
      </c>
      <c r="L3218" s="5" t="s">
        <v>2321</v>
      </c>
      <c r="M3218" s="5" t="s">
        <v>9746</v>
      </c>
      <c r="N3218" s="5" t="s">
        <v>9747</v>
      </c>
      <c r="O3218" s="5" t="s">
        <v>3038</v>
      </c>
      <c r="P3218" s="5" t="s">
        <v>2992</v>
      </c>
      <c r="Q3218" s="11">
        <v>46306.5</v>
      </c>
      <c r="R3218" s="6"/>
      <c r="S3218" s="6"/>
      <c r="T3218" s="6"/>
      <c r="U3218" s="5">
        <f>MATCH(B3218,Manual_Review!$A$6:$A$238,0)</f>
        <v>201</v>
      </c>
      <c r="V3218" s="5" t="str">
        <f>IF(INDEX(Manual_Review!$G$6:$G$238,U3218)="","",INDEX(Manual_Review!$G$6:$G$238,U3218))</f>
        <v/>
      </c>
      <c r="W3218" s="11" t="str">
        <f>IF(INDEX(Manual_Review!$H$6:$H$238,U3218)="","",INDEX(Manual_Review!$H$6:$H$238,U3218))</f>
        <v/>
      </c>
      <c r="X3218" s="5" t="str">
        <f>IF(INDEX(Manual_Review!$I$6:$I$238,U3218)="","",INDEX(Manual_Review!$I$6:$I$238,U3218))</f>
        <v/>
      </c>
      <c r="Y3218" s="5" t="s">
        <v>2859</v>
      </c>
    </row>
    <row r="3219" spans="1:25" ht="25.5">
      <c r="A3219" s="5" t="s">
        <v>9748</v>
      </c>
      <c r="B3219" s="5" t="s">
        <v>2309</v>
      </c>
      <c r="C3219" s="5" t="s">
        <v>2310</v>
      </c>
      <c r="D3219" s="5" t="s">
        <v>118</v>
      </c>
      <c r="E3219" s="5" t="s">
        <v>2794</v>
      </c>
      <c r="F3219" s="5" t="s">
        <v>2764</v>
      </c>
      <c r="G3219" s="5">
        <v>1</v>
      </c>
      <c r="H3219" s="5" t="s">
        <v>2854</v>
      </c>
      <c r="I3219" s="5" t="str">
        <f>IF(INDEX(Manual_Review!$X$6:$X$238,U3219)="","",INDEX(Manual_Review!$X$6:$X$238,U3219))</f>
        <v/>
      </c>
      <c r="J3219" s="5" t="str">
        <f t="shared" si="100"/>
        <v>AI provisional</v>
      </c>
      <c r="K3219" s="5" t="str">
        <f t="shared" si="101"/>
        <v>Y</v>
      </c>
      <c r="L3219" s="5" t="s">
        <v>2321</v>
      </c>
      <c r="M3219" s="5" t="s">
        <v>9749</v>
      </c>
      <c r="N3219" s="5" t="s">
        <v>9750</v>
      </c>
      <c r="O3219" s="5" t="s">
        <v>3042</v>
      </c>
      <c r="P3219" s="5" t="s">
        <v>2992</v>
      </c>
      <c r="Q3219" s="11">
        <v>46306.5</v>
      </c>
      <c r="R3219" s="6"/>
      <c r="S3219" s="6"/>
      <c r="T3219" s="6"/>
      <c r="U3219" s="5">
        <f>MATCH(B3219,Manual_Review!$A$6:$A$238,0)</f>
        <v>201</v>
      </c>
      <c r="V3219" s="5" t="str">
        <f>IF(INDEX(Manual_Review!$G$6:$G$238,U3219)="","",INDEX(Manual_Review!$G$6:$G$238,U3219))</f>
        <v/>
      </c>
      <c r="W3219" s="11" t="str">
        <f>IF(INDEX(Manual_Review!$H$6:$H$238,U3219)="","",INDEX(Manual_Review!$H$6:$H$238,U3219))</f>
        <v/>
      </c>
      <c r="X3219" s="5" t="str">
        <f>IF(INDEX(Manual_Review!$I$6:$I$238,U3219)="","",INDEX(Manual_Review!$I$6:$I$238,U3219))</f>
        <v/>
      </c>
      <c r="Y3219" s="5" t="s">
        <v>2859</v>
      </c>
    </row>
    <row r="3220" spans="1:25" ht="25.5">
      <c r="A3220" s="5" t="s">
        <v>9751</v>
      </c>
      <c r="B3220" s="5" t="s">
        <v>2309</v>
      </c>
      <c r="C3220" s="5" t="s">
        <v>2310</v>
      </c>
      <c r="D3220" s="5" t="s">
        <v>118</v>
      </c>
      <c r="E3220" s="5" t="s">
        <v>2795</v>
      </c>
      <c r="F3220" s="5" t="s">
        <v>2764</v>
      </c>
      <c r="G3220" s="5">
        <v>1</v>
      </c>
      <c r="H3220" s="5" t="s">
        <v>2864</v>
      </c>
      <c r="I3220" s="5" t="str">
        <f>IF(INDEX(Manual_Review!$Y$6:$Y$238,U3220)="","",INDEX(Manual_Review!$Y$6:$Y$238,U3220))</f>
        <v/>
      </c>
      <c r="J3220" s="5" t="str">
        <f t="shared" si="100"/>
        <v>AI provisional</v>
      </c>
      <c r="K3220" s="5" t="str">
        <f t="shared" si="101"/>
        <v>U</v>
      </c>
      <c r="L3220" s="5" t="s">
        <v>2321</v>
      </c>
      <c r="M3220" s="5" t="s">
        <v>9752</v>
      </c>
      <c r="N3220" s="5" t="s">
        <v>9753</v>
      </c>
      <c r="O3220" s="5" t="s">
        <v>3469</v>
      </c>
      <c r="P3220" s="5" t="s">
        <v>2992</v>
      </c>
      <c r="Q3220" s="11">
        <v>46306.5</v>
      </c>
      <c r="R3220" s="6"/>
      <c r="S3220" s="6"/>
      <c r="T3220" s="6"/>
      <c r="U3220" s="5">
        <f>MATCH(B3220,Manual_Review!$A$6:$A$238,0)</f>
        <v>201</v>
      </c>
      <c r="V3220" s="5" t="str">
        <f>IF(INDEX(Manual_Review!$G$6:$G$238,U3220)="","",INDEX(Manual_Review!$G$6:$G$238,U3220))</f>
        <v/>
      </c>
      <c r="W3220" s="11" t="str">
        <f>IF(INDEX(Manual_Review!$H$6:$H$238,U3220)="","",INDEX(Manual_Review!$H$6:$H$238,U3220))</f>
        <v/>
      </c>
      <c r="X3220" s="5" t="str">
        <f>IF(INDEX(Manual_Review!$I$6:$I$238,U3220)="","",INDEX(Manual_Review!$I$6:$I$238,U3220))</f>
        <v/>
      </c>
      <c r="Y3220" s="5" t="s">
        <v>2859</v>
      </c>
    </row>
    <row r="3221" spans="1:25" ht="38.25">
      <c r="A3221" s="5" t="s">
        <v>9754</v>
      </c>
      <c r="B3221" s="5" t="s">
        <v>2309</v>
      </c>
      <c r="C3221" s="5" t="s">
        <v>2310</v>
      </c>
      <c r="D3221" s="5" t="s">
        <v>118</v>
      </c>
      <c r="E3221" s="5" t="s">
        <v>2796</v>
      </c>
      <c r="F3221" s="5" t="s">
        <v>2764</v>
      </c>
      <c r="G3221" s="5">
        <v>1</v>
      </c>
      <c r="H3221" s="5" t="s">
        <v>2864</v>
      </c>
      <c r="I3221" s="5" t="str">
        <f>IF(INDEX(Manual_Review!$Z$6:$Z$238,U3221)="","",INDEX(Manual_Review!$Z$6:$Z$238,U3221))</f>
        <v/>
      </c>
      <c r="J3221" s="5" t="str">
        <f t="shared" si="100"/>
        <v>AI provisional</v>
      </c>
      <c r="K3221" s="5" t="str">
        <f t="shared" si="101"/>
        <v>U</v>
      </c>
      <c r="L3221" s="5" t="s">
        <v>2321</v>
      </c>
      <c r="M3221" s="5" t="s">
        <v>9755</v>
      </c>
      <c r="N3221" s="5" t="s">
        <v>9756</v>
      </c>
      <c r="O3221" s="5" t="s">
        <v>3050</v>
      </c>
      <c r="P3221" s="5" t="s">
        <v>2992</v>
      </c>
      <c r="Q3221" s="11">
        <v>46306.5</v>
      </c>
      <c r="R3221" s="6"/>
      <c r="S3221" s="6"/>
      <c r="T3221" s="6"/>
      <c r="U3221" s="5">
        <f>MATCH(B3221,Manual_Review!$A$6:$A$238,0)</f>
        <v>201</v>
      </c>
      <c r="V3221" s="5" t="str">
        <f>IF(INDEX(Manual_Review!$G$6:$G$238,U3221)="","",INDEX(Manual_Review!$G$6:$G$238,U3221))</f>
        <v/>
      </c>
      <c r="W3221" s="11" t="str">
        <f>IF(INDEX(Manual_Review!$H$6:$H$238,U3221)="","",INDEX(Manual_Review!$H$6:$H$238,U3221))</f>
        <v/>
      </c>
      <c r="X3221" s="5" t="str">
        <f>IF(INDEX(Manual_Review!$I$6:$I$238,U3221)="","",INDEX(Manual_Review!$I$6:$I$238,U3221))</f>
        <v/>
      </c>
      <c r="Y3221" s="5" t="s">
        <v>2859</v>
      </c>
    </row>
    <row r="3222" spans="1:25" ht="25.5">
      <c r="A3222" s="5" t="s">
        <v>9757</v>
      </c>
      <c r="B3222" s="5" t="s">
        <v>2323</v>
      </c>
      <c r="C3222" s="5" t="s">
        <v>2324</v>
      </c>
      <c r="D3222" s="5" t="s">
        <v>118</v>
      </c>
      <c r="E3222" s="5" t="s">
        <v>2781</v>
      </c>
      <c r="F3222" s="5" t="s">
        <v>2754</v>
      </c>
      <c r="G3222" s="5">
        <v>1</v>
      </c>
      <c r="H3222" s="5" t="s">
        <v>2854</v>
      </c>
      <c r="I3222" s="5" t="str">
        <f>IF(INDEX(Manual_Review!$K$6:$K$238,U3222)="","",INDEX(Manual_Review!$K$6:$K$238,U3222))</f>
        <v/>
      </c>
      <c r="J3222" s="5" t="str">
        <f t="shared" si="100"/>
        <v>AI provisional</v>
      </c>
      <c r="K3222" s="5" t="str">
        <f t="shared" si="101"/>
        <v>Y</v>
      </c>
      <c r="L3222" s="5" t="s">
        <v>2332</v>
      </c>
      <c r="M3222" s="5" t="s">
        <v>9758</v>
      </c>
      <c r="N3222" s="5" t="s">
        <v>9759</v>
      </c>
      <c r="O3222" s="5" t="s">
        <v>2991</v>
      </c>
      <c r="P3222" s="5" t="s">
        <v>2992</v>
      </c>
      <c r="Q3222" s="11">
        <v>46306.5</v>
      </c>
      <c r="R3222" s="6"/>
      <c r="S3222" s="6"/>
      <c r="T3222" s="6"/>
      <c r="U3222" s="5">
        <f>MATCH(B3222,Manual_Review!$A$6:$A$238,0)</f>
        <v>202</v>
      </c>
      <c r="V3222" s="5" t="str">
        <f>IF(INDEX(Manual_Review!$G$6:$G$238,U3222)="","",INDEX(Manual_Review!$G$6:$G$238,U3222))</f>
        <v/>
      </c>
      <c r="W3222" s="11" t="str">
        <f>IF(INDEX(Manual_Review!$H$6:$H$238,U3222)="","",INDEX(Manual_Review!$H$6:$H$238,U3222))</f>
        <v/>
      </c>
      <c r="X3222" s="5" t="str">
        <f>IF(INDEX(Manual_Review!$I$6:$I$238,U3222)="","",INDEX(Manual_Review!$I$6:$I$238,U3222))</f>
        <v/>
      </c>
      <c r="Y3222" s="5" t="s">
        <v>2859</v>
      </c>
    </row>
    <row r="3223" spans="1:25" ht="25.5">
      <c r="A3223" s="5" t="s">
        <v>9760</v>
      </c>
      <c r="B3223" s="5" t="s">
        <v>2323</v>
      </c>
      <c r="C3223" s="5" t="s">
        <v>2324</v>
      </c>
      <c r="D3223" s="5" t="s">
        <v>118</v>
      </c>
      <c r="E3223" s="5" t="s">
        <v>2782</v>
      </c>
      <c r="F3223" s="5" t="s">
        <v>2754</v>
      </c>
      <c r="G3223" s="5">
        <v>1</v>
      </c>
      <c r="H3223" s="5" t="s">
        <v>2854</v>
      </c>
      <c r="I3223" s="5" t="str">
        <f>IF(INDEX(Manual_Review!$L$6:$L$238,U3223)="","",INDEX(Manual_Review!$L$6:$L$238,U3223))</f>
        <v/>
      </c>
      <c r="J3223" s="5" t="str">
        <f t="shared" si="100"/>
        <v>AI provisional</v>
      </c>
      <c r="K3223" s="5" t="str">
        <f t="shared" si="101"/>
        <v>Y</v>
      </c>
      <c r="L3223" s="5" t="s">
        <v>2332</v>
      </c>
      <c r="M3223" s="5" t="s">
        <v>9761</v>
      </c>
      <c r="N3223" s="5" t="s">
        <v>9762</v>
      </c>
      <c r="O3223" s="5" t="s">
        <v>2996</v>
      </c>
      <c r="P3223" s="5" t="s">
        <v>2992</v>
      </c>
      <c r="Q3223" s="11">
        <v>46306.5</v>
      </c>
      <c r="R3223" s="6"/>
      <c r="S3223" s="6"/>
      <c r="T3223" s="6"/>
      <c r="U3223" s="5">
        <f>MATCH(B3223,Manual_Review!$A$6:$A$238,0)</f>
        <v>202</v>
      </c>
      <c r="V3223" s="5" t="str">
        <f>IF(INDEX(Manual_Review!$G$6:$G$238,U3223)="","",INDEX(Manual_Review!$G$6:$G$238,U3223))</f>
        <v/>
      </c>
      <c r="W3223" s="11" t="str">
        <f>IF(INDEX(Manual_Review!$H$6:$H$238,U3223)="","",INDEX(Manual_Review!$H$6:$H$238,U3223))</f>
        <v/>
      </c>
      <c r="X3223" s="5" t="str">
        <f>IF(INDEX(Manual_Review!$I$6:$I$238,U3223)="","",INDEX(Manual_Review!$I$6:$I$238,U3223))</f>
        <v/>
      </c>
      <c r="Y3223" s="5" t="s">
        <v>2859</v>
      </c>
    </row>
    <row r="3224" spans="1:25" ht="25.5">
      <c r="A3224" s="5" t="s">
        <v>9763</v>
      </c>
      <c r="B3224" s="5" t="s">
        <v>2323</v>
      </c>
      <c r="C3224" s="5" t="s">
        <v>2324</v>
      </c>
      <c r="D3224" s="5" t="s">
        <v>118</v>
      </c>
      <c r="E3224" s="5" t="s">
        <v>2783</v>
      </c>
      <c r="F3224" s="5" t="s">
        <v>2754</v>
      </c>
      <c r="G3224" s="5">
        <v>1</v>
      </c>
      <c r="H3224" s="5" t="s">
        <v>2854</v>
      </c>
      <c r="I3224" s="5" t="str">
        <f>IF(INDEX(Manual_Review!$M$6:$M$238,U3224)="","",INDEX(Manual_Review!$M$6:$M$238,U3224))</f>
        <v/>
      </c>
      <c r="J3224" s="5" t="str">
        <f t="shared" si="100"/>
        <v>AI provisional</v>
      </c>
      <c r="K3224" s="5" t="str">
        <f t="shared" si="101"/>
        <v>Y</v>
      </c>
      <c r="L3224" s="5" t="s">
        <v>2332</v>
      </c>
      <c r="M3224" s="5" t="s">
        <v>9764</v>
      </c>
      <c r="N3224" s="5" t="s">
        <v>8977</v>
      </c>
      <c r="O3224" s="5" t="s">
        <v>3000</v>
      </c>
      <c r="P3224" s="5" t="s">
        <v>2992</v>
      </c>
      <c r="Q3224" s="11">
        <v>46306.5</v>
      </c>
      <c r="R3224" s="6"/>
      <c r="S3224" s="6"/>
      <c r="T3224" s="6"/>
      <c r="U3224" s="5">
        <f>MATCH(B3224,Manual_Review!$A$6:$A$238,0)</f>
        <v>202</v>
      </c>
      <c r="V3224" s="5" t="str">
        <f>IF(INDEX(Manual_Review!$G$6:$G$238,U3224)="","",INDEX(Manual_Review!$G$6:$G$238,U3224))</f>
        <v/>
      </c>
      <c r="W3224" s="11" t="str">
        <f>IF(INDEX(Manual_Review!$H$6:$H$238,U3224)="","",INDEX(Manual_Review!$H$6:$H$238,U3224))</f>
        <v/>
      </c>
      <c r="X3224" s="5" t="str">
        <f>IF(INDEX(Manual_Review!$I$6:$I$238,U3224)="","",INDEX(Manual_Review!$I$6:$I$238,U3224))</f>
        <v/>
      </c>
      <c r="Y3224" s="5" t="s">
        <v>2859</v>
      </c>
    </row>
    <row r="3225" spans="1:25" ht="25.5">
      <c r="A3225" s="5" t="s">
        <v>9765</v>
      </c>
      <c r="B3225" s="5" t="s">
        <v>2323</v>
      </c>
      <c r="C3225" s="5" t="s">
        <v>2324</v>
      </c>
      <c r="D3225" s="5" t="s">
        <v>118</v>
      </c>
      <c r="E3225" s="5" t="s">
        <v>2784</v>
      </c>
      <c r="F3225" s="5" t="s">
        <v>2756</v>
      </c>
      <c r="G3225" s="5">
        <v>1</v>
      </c>
      <c r="H3225" s="5" t="s">
        <v>2854</v>
      </c>
      <c r="I3225" s="5" t="str">
        <f>IF(INDEX(Manual_Review!$N$6:$N$238,U3225)="","",INDEX(Manual_Review!$N$6:$N$238,U3225))</f>
        <v/>
      </c>
      <c r="J3225" s="5" t="str">
        <f t="shared" si="100"/>
        <v>AI provisional</v>
      </c>
      <c r="K3225" s="5" t="str">
        <f t="shared" si="101"/>
        <v>Y</v>
      </c>
      <c r="L3225" s="5" t="s">
        <v>2332</v>
      </c>
      <c r="M3225" s="5" t="s">
        <v>9766</v>
      </c>
      <c r="N3225" s="5" t="s">
        <v>9767</v>
      </c>
      <c r="O3225" s="5" t="s">
        <v>3004</v>
      </c>
      <c r="P3225" s="5" t="s">
        <v>2992</v>
      </c>
      <c r="Q3225" s="11">
        <v>46306.5</v>
      </c>
      <c r="R3225" s="6"/>
      <c r="S3225" s="6"/>
      <c r="T3225" s="6"/>
      <c r="U3225" s="5">
        <f>MATCH(B3225,Manual_Review!$A$6:$A$238,0)</f>
        <v>202</v>
      </c>
      <c r="V3225" s="5" t="str">
        <f>IF(INDEX(Manual_Review!$G$6:$G$238,U3225)="","",INDEX(Manual_Review!$G$6:$G$238,U3225))</f>
        <v/>
      </c>
      <c r="W3225" s="11" t="str">
        <f>IF(INDEX(Manual_Review!$H$6:$H$238,U3225)="","",INDEX(Manual_Review!$H$6:$H$238,U3225))</f>
        <v/>
      </c>
      <c r="X3225" s="5" t="str">
        <f>IF(INDEX(Manual_Review!$I$6:$I$238,U3225)="","",INDEX(Manual_Review!$I$6:$I$238,U3225))</f>
        <v/>
      </c>
      <c r="Y3225" s="5" t="s">
        <v>2859</v>
      </c>
    </row>
    <row r="3226" spans="1:25" ht="25.5">
      <c r="A3226" s="5" t="s">
        <v>9768</v>
      </c>
      <c r="B3226" s="5" t="s">
        <v>2323</v>
      </c>
      <c r="C3226" s="5" t="s">
        <v>2324</v>
      </c>
      <c r="D3226" s="5" t="s">
        <v>118</v>
      </c>
      <c r="E3226" s="5" t="s">
        <v>2785</v>
      </c>
      <c r="F3226" s="5" t="s">
        <v>2756</v>
      </c>
      <c r="G3226" s="5">
        <v>1</v>
      </c>
      <c r="H3226" s="5" t="s">
        <v>2864</v>
      </c>
      <c r="I3226" s="5" t="str">
        <f>IF(INDEX(Manual_Review!$O$6:$O$238,U3226)="","",INDEX(Manual_Review!$O$6:$O$238,U3226))</f>
        <v/>
      </c>
      <c r="J3226" s="5" t="str">
        <f t="shared" si="100"/>
        <v>AI provisional</v>
      </c>
      <c r="K3226" s="5" t="str">
        <f t="shared" si="101"/>
        <v>U</v>
      </c>
      <c r="L3226" s="5" t="s">
        <v>2332</v>
      </c>
      <c r="M3226" s="5" t="s">
        <v>9766</v>
      </c>
      <c r="N3226" s="5" t="s">
        <v>9767</v>
      </c>
      <c r="O3226" s="5" t="s">
        <v>3006</v>
      </c>
      <c r="P3226" s="5" t="s">
        <v>2992</v>
      </c>
      <c r="Q3226" s="11">
        <v>46306.5</v>
      </c>
      <c r="R3226" s="6"/>
      <c r="S3226" s="6"/>
      <c r="T3226" s="6"/>
      <c r="U3226" s="5">
        <f>MATCH(B3226,Manual_Review!$A$6:$A$238,0)</f>
        <v>202</v>
      </c>
      <c r="V3226" s="5" t="str">
        <f>IF(INDEX(Manual_Review!$G$6:$G$238,U3226)="","",INDEX(Manual_Review!$G$6:$G$238,U3226))</f>
        <v/>
      </c>
      <c r="W3226" s="11" t="str">
        <f>IF(INDEX(Manual_Review!$H$6:$H$238,U3226)="","",INDEX(Manual_Review!$H$6:$H$238,U3226))</f>
        <v/>
      </c>
      <c r="X3226" s="5" t="str">
        <f>IF(INDEX(Manual_Review!$I$6:$I$238,U3226)="","",INDEX(Manual_Review!$I$6:$I$238,U3226))</f>
        <v/>
      </c>
      <c r="Y3226" s="5" t="s">
        <v>2859</v>
      </c>
    </row>
    <row r="3227" spans="1:25" ht="38.25">
      <c r="A3227" s="5" t="s">
        <v>9769</v>
      </c>
      <c r="B3227" s="5" t="s">
        <v>2323</v>
      </c>
      <c r="C3227" s="5" t="s">
        <v>2324</v>
      </c>
      <c r="D3227" s="5" t="s">
        <v>118</v>
      </c>
      <c r="E3227" s="5" t="s">
        <v>2786</v>
      </c>
      <c r="F3227" s="5" t="s">
        <v>2756</v>
      </c>
      <c r="G3227" s="5">
        <v>1</v>
      </c>
      <c r="H3227" s="5" t="s">
        <v>2864</v>
      </c>
      <c r="I3227" s="5" t="str">
        <f>IF(INDEX(Manual_Review!$P$6:$P$238,U3227)="","",INDEX(Manual_Review!$P$6:$P$238,U3227))</f>
        <v/>
      </c>
      <c r="J3227" s="5" t="str">
        <f t="shared" si="100"/>
        <v>AI provisional</v>
      </c>
      <c r="K3227" s="5" t="str">
        <f t="shared" si="101"/>
        <v>U</v>
      </c>
      <c r="L3227" s="5" t="s">
        <v>2332</v>
      </c>
      <c r="M3227" s="5" t="s">
        <v>9770</v>
      </c>
      <c r="N3227" s="5" t="s">
        <v>9771</v>
      </c>
      <c r="O3227" s="5" t="s">
        <v>3010</v>
      </c>
      <c r="P3227" s="5" t="s">
        <v>2992</v>
      </c>
      <c r="Q3227" s="11">
        <v>46306.5</v>
      </c>
      <c r="R3227" s="6"/>
      <c r="S3227" s="6"/>
      <c r="T3227" s="6"/>
      <c r="U3227" s="5">
        <f>MATCH(B3227,Manual_Review!$A$6:$A$238,0)</f>
        <v>202</v>
      </c>
      <c r="V3227" s="5" t="str">
        <f>IF(INDEX(Manual_Review!$G$6:$G$238,U3227)="","",INDEX(Manual_Review!$G$6:$G$238,U3227))</f>
        <v/>
      </c>
      <c r="W3227" s="11" t="str">
        <f>IF(INDEX(Manual_Review!$H$6:$H$238,U3227)="","",INDEX(Manual_Review!$H$6:$H$238,U3227))</f>
        <v/>
      </c>
      <c r="X3227" s="5" t="str">
        <f>IF(INDEX(Manual_Review!$I$6:$I$238,U3227)="","",INDEX(Manual_Review!$I$6:$I$238,U3227))</f>
        <v/>
      </c>
      <c r="Y3227" s="5" t="s">
        <v>2859</v>
      </c>
    </row>
    <row r="3228" spans="1:25" ht="25.5">
      <c r="A3228" s="5" t="s">
        <v>9772</v>
      </c>
      <c r="B3228" s="5" t="s">
        <v>2323</v>
      </c>
      <c r="C3228" s="5" t="s">
        <v>2324</v>
      </c>
      <c r="D3228" s="5" t="s">
        <v>118</v>
      </c>
      <c r="E3228" s="5" t="s">
        <v>2787</v>
      </c>
      <c r="F3228" s="5" t="s">
        <v>2758</v>
      </c>
      <c r="G3228" s="5">
        <v>1</v>
      </c>
      <c r="H3228" s="5" t="s">
        <v>2864</v>
      </c>
      <c r="I3228" s="5" t="str">
        <f>IF(INDEX(Manual_Review!$Q$6:$Q$238,U3228)="","",INDEX(Manual_Review!$Q$6:$Q$238,U3228))</f>
        <v/>
      </c>
      <c r="J3228" s="5" t="str">
        <f t="shared" si="100"/>
        <v>AI provisional</v>
      </c>
      <c r="K3228" s="5" t="str">
        <f t="shared" si="101"/>
        <v>U</v>
      </c>
      <c r="L3228" s="5" t="s">
        <v>2332</v>
      </c>
      <c r="M3228" s="5" t="s">
        <v>9773</v>
      </c>
      <c r="N3228" s="5" t="s">
        <v>9774</v>
      </c>
      <c r="O3228" s="5" t="s">
        <v>3014</v>
      </c>
      <c r="P3228" s="5" t="s">
        <v>2992</v>
      </c>
      <c r="Q3228" s="11">
        <v>46306.5</v>
      </c>
      <c r="R3228" s="6"/>
      <c r="S3228" s="6"/>
      <c r="T3228" s="6"/>
      <c r="U3228" s="5">
        <f>MATCH(B3228,Manual_Review!$A$6:$A$238,0)</f>
        <v>202</v>
      </c>
      <c r="V3228" s="5" t="str">
        <f>IF(INDEX(Manual_Review!$G$6:$G$238,U3228)="","",INDEX(Manual_Review!$G$6:$G$238,U3228))</f>
        <v/>
      </c>
      <c r="W3228" s="11" t="str">
        <f>IF(INDEX(Manual_Review!$H$6:$H$238,U3228)="","",INDEX(Manual_Review!$H$6:$H$238,U3228))</f>
        <v/>
      </c>
      <c r="X3228" s="5" t="str">
        <f>IF(INDEX(Manual_Review!$I$6:$I$238,U3228)="","",INDEX(Manual_Review!$I$6:$I$238,U3228))</f>
        <v/>
      </c>
      <c r="Y3228" s="5" t="s">
        <v>2859</v>
      </c>
    </row>
    <row r="3229" spans="1:25" ht="38.25">
      <c r="A3229" s="5" t="s">
        <v>9775</v>
      </c>
      <c r="B3229" s="5" t="s">
        <v>2323</v>
      </c>
      <c r="C3229" s="5" t="s">
        <v>2324</v>
      </c>
      <c r="D3229" s="5" t="s">
        <v>118</v>
      </c>
      <c r="E3229" s="5" t="s">
        <v>2788</v>
      </c>
      <c r="F3229" s="5" t="s">
        <v>2758</v>
      </c>
      <c r="G3229" s="5">
        <v>1</v>
      </c>
      <c r="H3229" s="5" t="s">
        <v>2854</v>
      </c>
      <c r="I3229" s="5" t="str">
        <f>IF(INDEX(Manual_Review!$R$6:$R$238,U3229)="","",INDEX(Manual_Review!$R$6:$R$238,U3229))</f>
        <v/>
      </c>
      <c r="J3229" s="5" t="str">
        <f t="shared" si="100"/>
        <v>AI provisional</v>
      </c>
      <c r="K3229" s="5" t="str">
        <f t="shared" si="101"/>
        <v>Y</v>
      </c>
      <c r="L3229" s="5" t="s">
        <v>2332</v>
      </c>
      <c r="M3229" s="5" t="s">
        <v>9776</v>
      </c>
      <c r="N3229" s="5" t="s">
        <v>9777</v>
      </c>
      <c r="O3229" s="5" t="s">
        <v>3018</v>
      </c>
      <c r="P3229" s="5" t="s">
        <v>2992</v>
      </c>
      <c r="Q3229" s="11">
        <v>46306.5</v>
      </c>
      <c r="R3229" s="6"/>
      <c r="S3229" s="6"/>
      <c r="T3229" s="6"/>
      <c r="U3229" s="5">
        <f>MATCH(B3229,Manual_Review!$A$6:$A$238,0)</f>
        <v>202</v>
      </c>
      <c r="V3229" s="5" t="str">
        <f>IF(INDEX(Manual_Review!$G$6:$G$238,U3229)="","",INDEX(Manual_Review!$G$6:$G$238,U3229))</f>
        <v/>
      </c>
      <c r="W3229" s="11" t="str">
        <f>IF(INDEX(Manual_Review!$H$6:$H$238,U3229)="","",INDEX(Manual_Review!$H$6:$H$238,U3229))</f>
        <v/>
      </c>
      <c r="X3229" s="5" t="str">
        <f>IF(INDEX(Manual_Review!$I$6:$I$238,U3229)="","",INDEX(Manual_Review!$I$6:$I$238,U3229))</f>
        <v/>
      </c>
      <c r="Y3229" s="5" t="s">
        <v>2859</v>
      </c>
    </row>
    <row r="3230" spans="1:25" ht="38.25">
      <c r="A3230" s="5" t="s">
        <v>9778</v>
      </c>
      <c r="B3230" s="5" t="s">
        <v>2323</v>
      </c>
      <c r="C3230" s="5" t="s">
        <v>2324</v>
      </c>
      <c r="D3230" s="5" t="s">
        <v>118</v>
      </c>
      <c r="E3230" s="5" t="s">
        <v>2789</v>
      </c>
      <c r="F3230" s="5" t="s">
        <v>2758</v>
      </c>
      <c r="G3230" s="5">
        <v>1</v>
      </c>
      <c r="H3230" s="5" t="s">
        <v>2854</v>
      </c>
      <c r="I3230" s="5" t="str">
        <f>IF(INDEX(Manual_Review!$S$6:$S$238,U3230)="","",INDEX(Manual_Review!$S$6:$S$238,U3230))</f>
        <v/>
      </c>
      <c r="J3230" s="5" t="str">
        <f t="shared" si="100"/>
        <v>AI provisional</v>
      </c>
      <c r="K3230" s="5" t="str">
        <f t="shared" si="101"/>
        <v>Y</v>
      </c>
      <c r="L3230" s="5" t="s">
        <v>2332</v>
      </c>
      <c r="M3230" s="5" t="s">
        <v>9779</v>
      </c>
      <c r="N3230" s="5" t="s">
        <v>9780</v>
      </c>
      <c r="O3230" s="5" t="s">
        <v>3022</v>
      </c>
      <c r="P3230" s="5" t="s">
        <v>2992</v>
      </c>
      <c r="Q3230" s="11">
        <v>46306.5</v>
      </c>
      <c r="R3230" s="6"/>
      <c r="S3230" s="6"/>
      <c r="T3230" s="6"/>
      <c r="U3230" s="5">
        <f>MATCH(B3230,Manual_Review!$A$6:$A$238,0)</f>
        <v>202</v>
      </c>
      <c r="V3230" s="5" t="str">
        <f>IF(INDEX(Manual_Review!$G$6:$G$238,U3230)="","",INDEX(Manual_Review!$G$6:$G$238,U3230))</f>
        <v/>
      </c>
      <c r="W3230" s="11" t="str">
        <f>IF(INDEX(Manual_Review!$H$6:$H$238,U3230)="","",INDEX(Manual_Review!$H$6:$H$238,U3230))</f>
        <v/>
      </c>
      <c r="X3230" s="5" t="str">
        <f>IF(INDEX(Manual_Review!$I$6:$I$238,U3230)="","",INDEX(Manual_Review!$I$6:$I$238,U3230))</f>
        <v/>
      </c>
      <c r="Y3230" s="5" t="s">
        <v>2859</v>
      </c>
    </row>
    <row r="3231" spans="1:25" ht="25.5">
      <c r="A3231" s="5" t="s">
        <v>9781</v>
      </c>
      <c r="B3231" s="5" t="s">
        <v>2323</v>
      </c>
      <c r="C3231" s="5" t="s">
        <v>2324</v>
      </c>
      <c r="D3231" s="5" t="s">
        <v>118</v>
      </c>
      <c r="E3231" s="5" t="s">
        <v>2790</v>
      </c>
      <c r="F3231" s="5" t="s">
        <v>2760</v>
      </c>
      <c r="G3231" s="5">
        <v>1</v>
      </c>
      <c r="H3231" s="5" t="s">
        <v>2854</v>
      </c>
      <c r="I3231" s="5" t="str">
        <f>IF(INDEX(Manual_Review!$T$6:$T$238,U3231)="","",INDEX(Manual_Review!$T$6:$T$238,U3231))</f>
        <v/>
      </c>
      <c r="J3231" s="5" t="str">
        <f t="shared" si="100"/>
        <v>AI provisional</v>
      </c>
      <c r="K3231" s="5" t="str">
        <f t="shared" si="101"/>
        <v>Y</v>
      </c>
      <c r="L3231" s="5" t="s">
        <v>2332</v>
      </c>
      <c r="M3231" s="5" t="s">
        <v>9782</v>
      </c>
      <c r="N3231" s="5" t="s">
        <v>9783</v>
      </c>
      <c r="O3231" s="5" t="s">
        <v>3451</v>
      </c>
      <c r="P3231" s="5" t="s">
        <v>2992</v>
      </c>
      <c r="Q3231" s="11">
        <v>46306.5</v>
      </c>
      <c r="R3231" s="6"/>
      <c r="S3231" s="6"/>
      <c r="T3231" s="6"/>
      <c r="U3231" s="5">
        <f>MATCH(B3231,Manual_Review!$A$6:$A$238,0)</f>
        <v>202</v>
      </c>
      <c r="V3231" s="5" t="str">
        <f>IF(INDEX(Manual_Review!$G$6:$G$238,U3231)="","",INDEX(Manual_Review!$G$6:$G$238,U3231))</f>
        <v/>
      </c>
      <c r="W3231" s="11" t="str">
        <f>IF(INDEX(Manual_Review!$H$6:$H$238,U3231)="","",INDEX(Manual_Review!$H$6:$H$238,U3231))</f>
        <v/>
      </c>
      <c r="X3231" s="5" t="str">
        <f>IF(INDEX(Manual_Review!$I$6:$I$238,U3231)="","",INDEX(Manual_Review!$I$6:$I$238,U3231))</f>
        <v/>
      </c>
      <c r="Y3231" s="5" t="s">
        <v>2859</v>
      </c>
    </row>
    <row r="3232" spans="1:25" ht="25.5">
      <c r="A3232" s="5" t="s">
        <v>9784</v>
      </c>
      <c r="B3232" s="5" t="s">
        <v>2323</v>
      </c>
      <c r="C3232" s="5" t="s">
        <v>2324</v>
      </c>
      <c r="D3232" s="5" t="s">
        <v>118</v>
      </c>
      <c r="E3232" s="5" t="s">
        <v>2791</v>
      </c>
      <c r="F3232" s="5" t="s">
        <v>2760</v>
      </c>
      <c r="G3232" s="5">
        <v>1</v>
      </c>
      <c r="H3232" s="5" t="s">
        <v>2854</v>
      </c>
      <c r="I3232" s="5" t="str">
        <f>IF(INDEX(Manual_Review!$U$6:$U$238,U3232)="","",INDEX(Manual_Review!$U$6:$U$238,U3232))</f>
        <v/>
      </c>
      <c r="J3232" s="5" t="str">
        <f t="shared" si="100"/>
        <v>AI provisional</v>
      </c>
      <c r="K3232" s="5" t="str">
        <f t="shared" si="101"/>
        <v>Y</v>
      </c>
      <c r="L3232" s="5" t="s">
        <v>2332</v>
      </c>
      <c r="M3232" s="5" t="s">
        <v>9785</v>
      </c>
      <c r="N3232" s="5" t="s">
        <v>9786</v>
      </c>
      <c r="O3232" s="5" t="s">
        <v>3832</v>
      </c>
      <c r="P3232" s="5" t="s">
        <v>2992</v>
      </c>
      <c r="Q3232" s="11">
        <v>46306.5</v>
      </c>
      <c r="R3232" s="6"/>
      <c r="S3232" s="6"/>
      <c r="T3232" s="6"/>
      <c r="U3232" s="5">
        <f>MATCH(B3232,Manual_Review!$A$6:$A$238,0)</f>
        <v>202</v>
      </c>
      <c r="V3232" s="5" t="str">
        <f>IF(INDEX(Manual_Review!$G$6:$G$238,U3232)="","",INDEX(Manual_Review!$G$6:$G$238,U3232))</f>
        <v/>
      </c>
      <c r="W3232" s="11" t="str">
        <f>IF(INDEX(Manual_Review!$H$6:$H$238,U3232)="","",INDEX(Manual_Review!$H$6:$H$238,U3232))</f>
        <v/>
      </c>
      <c r="X3232" s="5" t="str">
        <f>IF(INDEX(Manual_Review!$I$6:$I$238,U3232)="","",INDEX(Manual_Review!$I$6:$I$238,U3232))</f>
        <v/>
      </c>
      <c r="Y3232" s="5" t="s">
        <v>2859</v>
      </c>
    </row>
    <row r="3233" spans="1:25" ht="25.5">
      <c r="A3233" s="5" t="s">
        <v>9787</v>
      </c>
      <c r="B3233" s="5" t="s">
        <v>2323</v>
      </c>
      <c r="C3233" s="5" t="s">
        <v>2324</v>
      </c>
      <c r="D3233" s="5" t="s">
        <v>118</v>
      </c>
      <c r="E3233" s="5" t="s">
        <v>2792</v>
      </c>
      <c r="F3233" s="5" t="s">
        <v>2762</v>
      </c>
      <c r="G3233" s="5">
        <v>1</v>
      </c>
      <c r="H3233" s="5" t="s">
        <v>2854</v>
      </c>
      <c r="I3233" s="5" t="str">
        <f>IF(INDEX(Manual_Review!$V$6:$V$238,U3233)="","",INDEX(Manual_Review!$V$6:$V$238,U3233))</f>
        <v/>
      </c>
      <c r="J3233" s="5" t="str">
        <f t="shared" si="100"/>
        <v>AI provisional</v>
      </c>
      <c r="K3233" s="5" t="str">
        <f t="shared" si="101"/>
        <v>Y</v>
      </c>
      <c r="L3233" s="5" t="s">
        <v>2332</v>
      </c>
      <c r="M3233" s="5" t="s">
        <v>9788</v>
      </c>
      <c r="N3233" s="5" t="s">
        <v>9789</v>
      </c>
      <c r="O3233" s="5" t="s">
        <v>3034</v>
      </c>
      <c r="P3233" s="5" t="s">
        <v>2992</v>
      </c>
      <c r="Q3233" s="11">
        <v>46306.5</v>
      </c>
      <c r="R3233" s="6"/>
      <c r="S3233" s="6"/>
      <c r="T3233" s="6"/>
      <c r="U3233" s="5">
        <f>MATCH(B3233,Manual_Review!$A$6:$A$238,0)</f>
        <v>202</v>
      </c>
      <c r="V3233" s="5" t="str">
        <f>IF(INDEX(Manual_Review!$G$6:$G$238,U3233)="","",INDEX(Manual_Review!$G$6:$G$238,U3233))</f>
        <v/>
      </c>
      <c r="W3233" s="11" t="str">
        <f>IF(INDEX(Manual_Review!$H$6:$H$238,U3233)="","",INDEX(Manual_Review!$H$6:$H$238,U3233))</f>
        <v/>
      </c>
      <c r="X3233" s="5" t="str">
        <f>IF(INDEX(Manual_Review!$I$6:$I$238,U3233)="","",INDEX(Manual_Review!$I$6:$I$238,U3233))</f>
        <v/>
      </c>
      <c r="Y3233" s="5" t="s">
        <v>2859</v>
      </c>
    </row>
    <row r="3234" spans="1:25" ht="38.25">
      <c r="A3234" s="5" t="s">
        <v>9790</v>
      </c>
      <c r="B3234" s="5" t="s">
        <v>2323</v>
      </c>
      <c r="C3234" s="5" t="s">
        <v>2324</v>
      </c>
      <c r="D3234" s="5" t="s">
        <v>118</v>
      </c>
      <c r="E3234" s="5" t="s">
        <v>2793</v>
      </c>
      <c r="F3234" s="5" t="s">
        <v>2762</v>
      </c>
      <c r="G3234" s="5">
        <v>1</v>
      </c>
      <c r="H3234" s="5" t="s">
        <v>2854</v>
      </c>
      <c r="I3234" s="5" t="str">
        <f>IF(INDEX(Manual_Review!$W$6:$W$238,U3234)="","",INDEX(Manual_Review!$W$6:$W$238,U3234))</f>
        <v/>
      </c>
      <c r="J3234" s="5" t="str">
        <f t="shared" si="100"/>
        <v>AI provisional</v>
      </c>
      <c r="K3234" s="5" t="str">
        <f t="shared" si="101"/>
        <v>Y</v>
      </c>
      <c r="L3234" s="5" t="s">
        <v>2332</v>
      </c>
      <c r="M3234" s="5" t="s">
        <v>9791</v>
      </c>
      <c r="N3234" s="5" t="s">
        <v>9792</v>
      </c>
      <c r="O3234" s="5" t="s">
        <v>3038</v>
      </c>
      <c r="P3234" s="5" t="s">
        <v>2992</v>
      </c>
      <c r="Q3234" s="11">
        <v>46306.5</v>
      </c>
      <c r="R3234" s="6"/>
      <c r="S3234" s="6"/>
      <c r="T3234" s="6"/>
      <c r="U3234" s="5">
        <f>MATCH(B3234,Manual_Review!$A$6:$A$238,0)</f>
        <v>202</v>
      </c>
      <c r="V3234" s="5" t="str">
        <f>IF(INDEX(Manual_Review!$G$6:$G$238,U3234)="","",INDEX(Manual_Review!$G$6:$G$238,U3234))</f>
        <v/>
      </c>
      <c r="W3234" s="11" t="str">
        <f>IF(INDEX(Manual_Review!$H$6:$H$238,U3234)="","",INDEX(Manual_Review!$H$6:$H$238,U3234))</f>
        <v/>
      </c>
      <c r="X3234" s="5" t="str">
        <f>IF(INDEX(Manual_Review!$I$6:$I$238,U3234)="","",INDEX(Manual_Review!$I$6:$I$238,U3234))</f>
        <v/>
      </c>
      <c r="Y3234" s="5" t="s">
        <v>2859</v>
      </c>
    </row>
    <row r="3235" spans="1:25" ht="25.5">
      <c r="A3235" s="5" t="s">
        <v>9793</v>
      </c>
      <c r="B3235" s="5" t="s">
        <v>2323</v>
      </c>
      <c r="C3235" s="5" t="s">
        <v>2324</v>
      </c>
      <c r="D3235" s="5" t="s">
        <v>118</v>
      </c>
      <c r="E3235" s="5" t="s">
        <v>2794</v>
      </c>
      <c r="F3235" s="5" t="s">
        <v>2764</v>
      </c>
      <c r="G3235" s="5">
        <v>1</v>
      </c>
      <c r="H3235" s="5" t="s">
        <v>2854</v>
      </c>
      <c r="I3235" s="5" t="str">
        <f>IF(INDEX(Manual_Review!$X$6:$X$238,U3235)="","",INDEX(Manual_Review!$X$6:$X$238,U3235))</f>
        <v/>
      </c>
      <c r="J3235" s="5" t="str">
        <f t="shared" si="100"/>
        <v>AI provisional</v>
      </c>
      <c r="K3235" s="5" t="str">
        <f t="shared" si="101"/>
        <v>Y</v>
      </c>
      <c r="L3235" s="5" t="s">
        <v>2332</v>
      </c>
      <c r="M3235" s="5" t="s">
        <v>9794</v>
      </c>
      <c r="N3235" s="5" t="s">
        <v>9795</v>
      </c>
      <c r="O3235" s="5" t="s">
        <v>3042</v>
      </c>
      <c r="P3235" s="5" t="s">
        <v>2992</v>
      </c>
      <c r="Q3235" s="11">
        <v>46306.5</v>
      </c>
      <c r="R3235" s="6"/>
      <c r="S3235" s="6"/>
      <c r="T3235" s="6"/>
      <c r="U3235" s="5">
        <f>MATCH(B3235,Manual_Review!$A$6:$A$238,0)</f>
        <v>202</v>
      </c>
      <c r="V3235" s="5" t="str">
        <f>IF(INDEX(Manual_Review!$G$6:$G$238,U3235)="","",INDEX(Manual_Review!$G$6:$G$238,U3235))</f>
        <v/>
      </c>
      <c r="W3235" s="11" t="str">
        <f>IF(INDEX(Manual_Review!$H$6:$H$238,U3235)="","",INDEX(Manual_Review!$H$6:$H$238,U3235))</f>
        <v/>
      </c>
      <c r="X3235" s="5" t="str">
        <f>IF(INDEX(Manual_Review!$I$6:$I$238,U3235)="","",INDEX(Manual_Review!$I$6:$I$238,U3235))</f>
        <v/>
      </c>
      <c r="Y3235" s="5" t="s">
        <v>2859</v>
      </c>
    </row>
    <row r="3236" spans="1:25" ht="25.5">
      <c r="A3236" s="5" t="s">
        <v>9796</v>
      </c>
      <c r="B3236" s="5" t="s">
        <v>2323</v>
      </c>
      <c r="C3236" s="5" t="s">
        <v>2324</v>
      </c>
      <c r="D3236" s="5" t="s">
        <v>118</v>
      </c>
      <c r="E3236" s="5" t="s">
        <v>2795</v>
      </c>
      <c r="F3236" s="5" t="s">
        <v>2764</v>
      </c>
      <c r="G3236" s="5">
        <v>1</v>
      </c>
      <c r="H3236" s="5" t="s">
        <v>2864</v>
      </c>
      <c r="I3236" s="5" t="str">
        <f>IF(INDEX(Manual_Review!$Y$6:$Y$238,U3236)="","",INDEX(Manual_Review!$Y$6:$Y$238,U3236))</f>
        <v/>
      </c>
      <c r="J3236" s="5" t="str">
        <f t="shared" si="100"/>
        <v>AI provisional</v>
      </c>
      <c r="K3236" s="5" t="str">
        <f t="shared" si="101"/>
        <v>U</v>
      </c>
      <c r="L3236" s="5" t="s">
        <v>2332</v>
      </c>
      <c r="M3236" s="5" t="s">
        <v>9797</v>
      </c>
      <c r="N3236" s="5" t="s">
        <v>9798</v>
      </c>
      <c r="O3236" s="5" t="s">
        <v>3469</v>
      </c>
      <c r="P3236" s="5" t="s">
        <v>2992</v>
      </c>
      <c r="Q3236" s="11">
        <v>46306.5</v>
      </c>
      <c r="R3236" s="6"/>
      <c r="S3236" s="6"/>
      <c r="T3236" s="6"/>
      <c r="U3236" s="5">
        <f>MATCH(B3236,Manual_Review!$A$6:$A$238,0)</f>
        <v>202</v>
      </c>
      <c r="V3236" s="5" t="str">
        <f>IF(INDEX(Manual_Review!$G$6:$G$238,U3236)="","",INDEX(Manual_Review!$G$6:$G$238,U3236))</f>
        <v/>
      </c>
      <c r="W3236" s="11" t="str">
        <f>IF(INDEX(Manual_Review!$H$6:$H$238,U3236)="","",INDEX(Manual_Review!$H$6:$H$238,U3236))</f>
        <v/>
      </c>
      <c r="X3236" s="5" t="str">
        <f>IF(INDEX(Manual_Review!$I$6:$I$238,U3236)="","",INDEX(Manual_Review!$I$6:$I$238,U3236))</f>
        <v/>
      </c>
      <c r="Y3236" s="5" t="s">
        <v>2859</v>
      </c>
    </row>
    <row r="3237" spans="1:25" ht="38.25">
      <c r="A3237" s="5" t="s">
        <v>9799</v>
      </c>
      <c r="B3237" s="5" t="s">
        <v>2323</v>
      </c>
      <c r="C3237" s="5" t="s">
        <v>2324</v>
      </c>
      <c r="D3237" s="5" t="s">
        <v>118</v>
      </c>
      <c r="E3237" s="5" t="s">
        <v>2796</v>
      </c>
      <c r="F3237" s="5" t="s">
        <v>2764</v>
      </c>
      <c r="G3237" s="5">
        <v>1</v>
      </c>
      <c r="H3237" s="5" t="s">
        <v>2864</v>
      </c>
      <c r="I3237" s="5" t="str">
        <f>IF(INDEX(Manual_Review!$Z$6:$Z$238,U3237)="","",INDEX(Manual_Review!$Z$6:$Z$238,U3237))</f>
        <v/>
      </c>
      <c r="J3237" s="5" t="str">
        <f t="shared" si="100"/>
        <v>AI provisional</v>
      </c>
      <c r="K3237" s="5" t="str">
        <f t="shared" si="101"/>
        <v>U</v>
      </c>
      <c r="L3237" s="5" t="s">
        <v>2332</v>
      </c>
      <c r="M3237" s="5" t="s">
        <v>9800</v>
      </c>
      <c r="N3237" s="5" t="s">
        <v>9801</v>
      </c>
      <c r="O3237" s="5" t="s">
        <v>3050</v>
      </c>
      <c r="P3237" s="5" t="s">
        <v>2992</v>
      </c>
      <c r="Q3237" s="11">
        <v>46306.5</v>
      </c>
      <c r="R3237" s="6"/>
      <c r="S3237" s="6"/>
      <c r="T3237" s="6"/>
      <c r="U3237" s="5">
        <f>MATCH(B3237,Manual_Review!$A$6:$A$238,0)</f>
        <v>202</v>
      </c>
      <c r="V3237" s="5" t="str">
        <f>IF(INDEX(Manual_Review!$G$6:$G$238,U3237)="","",INDEX(Manual_Review!$G$6:$G$238,U3237))</f>
        <v/>
      </c>
      <c r="W3237" s="11" t="str">
        <f>IF(INDEX(Manual_Review!$H$6:$H$238,U3237)="","",INDEX(Manual_Review!$H$6:$H$238,U3237))</f>
        <v/>
      </c>
      <c r="X3237" s="5" t="str">
        <f>IF(INDEX(Manual_Review!$I$6:$I$238,U3237)="","",INDEX(Manual_Review!$I$6:$I$238,U3237))</f>
        <v/>
      </c>
      <c r="Y3237" s="5" t="s">
        <v>2859</v>
      </c>
    </row>
    <row r="3238" spans="1:25" ht="25.5">
      <c r="A3238" s="5" t="s">
        <v>9802</v>
      </c>
      <c r="B3238" s="5" t="s">
        <v>2334</v>
      </c>
      <c r="C3238" s="5" t="s">
        <v>2335</v>
      </c>
      <c r="D3238" s="5" t="s">
        <v>118</v>
      </c>
      <c r="E3238" s="5" t="s">
        <v>2781</v>
      </c>
      <c r="F3238" s="5" t="s">
        <v>2754</v>
      </c>
      <c r="G3238" s="5">
        <v>1</v>
      </c>
      <c r="H3238" s="5" t="s">
        <v>2854</v>
      </c>
      <c r="I3238" s="5" t="str">
        <f>IF(INDEX(Manual_Review!$K$6:$K$238,U3238)="","",INDEX(Manual_Review!$K$6:$K$238,U3238))</f>
        <v/>
      </c>
      <c r="J3238" s="5" t="str">
        <f t="shared" si="100"/>
        <v>AI provisional</v>
      </c>
      <c r="K3238" s="5" t="str">
        <f t="shared" si="101"/>
        <v>Y</v>
      </c>
      <c r="L3238" s="5" t="s">
        <v>2343</v>
      </c>
      <c r="M3238" s="5" t="s">
        <v>9803</v>
      </c>
      <c r="N3238" s="5" t="s">
        <v>9804</v>
      </c>
      <c r="O3238" s="5" t="s">
        <v>2991</v>
      </c>
      <c r="P3238" s="5" t="s">
        <v>2992</v>
      </c>
      <c r="Q3238" s="11">
        <v>46306.5</v>
      </c>
      <c r="R3238" s="6"/>
      <c r="S3238" s="6"/>
      <c r="T3238" s="6"/>
      <c r="U3238" s="5">
        <f>MATCH(B3238,Manual_Review!$A$6:$A$238,0)</f>
        <v>203</v>
      </c>
      <c r="V3238" s="5" t="str">
        <f>IF(INDEX(Manual_Review!$G$6:$G$238,U3238)="","",INDEX(Manual_Review!$G$6:$G$238,U3238))</f>
        <v/>
      </c>
      <c r="W3238" s="11" t="str">
        <f>IF(INDEX(Manual_Review!$H$6:$H$238,U3238)="","",INDEX(Manual_Review!$H$6:$H$238,U3238))</f>
        <v/>
      </c>
      <c r="X3238" s="5" t="str">
        <f>IF(INDEX(Manual_Review!$I$6:$I$238,U3238)="","",INDEX(Manual_Review!$I$6:$I$238,U3238))</f>
        <v/>
      </c>
      <c r="Y3238" s="5" t="s">
        <v>2859</v>
      </c>
    </row>
    <row r="3239" spans="1:25" ht="25.5">
      <c r="A3239" s="5" t="s">
        <v>9805</v>
      </c>
      <c r="B3239" s="5" t="s">
        <v>2334</v>
      </c>
      <c r="C3239" s="5" t="s">
        <v>2335</v>
      </c>
      <c r="D3239" s="5" t="s">
        <v>118</v>
      </c>
      <c r="E3239" s="5" t="s">
        <v>2782</v>
      </c>
      <c r="F3239" s="5" t="s">
        <v>2754</v>
      </c>
      <c r="G3239" s="5">
        <v>1</v>
      </c>
      <c r="H3239" s="5" t="s">
        <v>2854</v>
      </c>
      <c r="I3239" s="5" t="str">
        <f>IF(INDEX(Manual_Review!$L$6:$L$238,U3239)="","",INDEX(Manual_Review!$L$6:$L$238,U3239))</f>
        <v/>
      </c>
      <c r="J3239" s="5" t="str">
        <f t="shared" si="100"/>
        <v>AI provisional</v>
      </c>
      <c r="K3239" s="5" t="str">
        <f t="shared" si="101"/>
        <v>Y</v>
      </c>
      <c r="L3239" s="5" t="s">
        <v>2343</v>
      </c>
      <c r="M3239" s="5" t="s">
        <v>9806</v>
      </c>
      <c r="N3239" s="5" t="s">
        <v>9807</v>
      </c>
      <c r="O3239" s="5" t="s">
        <v>2996</v>
      </c>
      <c r="P3239" s="5" t="s">
        <v>2992</v>
      </c>
      <c r="Q3239" s="11">
        <v>46306.5</v>
      </c>
      <c r="R3239" s="6"/>
      <c r="S3239" s="6"/>
      <c r="T3239" s="6"/>
      <c r="U3239" s="5">
        <f>MATCH(B3239,Manual_Review!$A$6:$A$238,0)</f>
        <v>203</v>
      </c>
      <c r="V3239" s="5" t="str">
        <f>IF(INDEX(Manual_Review!$G$6:$G$238,U3239)="","",INDEX(Manual_Review!$G$6:$G$238,U3239))</f>
        <v/>
      </c>
      <c r="W3239" s="11" t="str">
        <f>IF(INDEX(Manual_Review!$H$6:$H$238,U3239)="","",INDEX(Manual_Review!$H$6:$H$238,U3239))</f>
        <v/>
      </c>
      <c r="X3239" s="5" t="str">
        <f>IF(INDEX(Manual_Review!$I$6:$I$238,U3239)="","",INDEX(Manual_Review!$I$6:$I$238,U3239))</f>
        <v/>
      </c>
      <c r="Y3239" s="5" t="s">
        <v>2859</v>
      </c>
    </row>
    <row r="3240" spans="1:25" ht="25.5">
      <c r="A3240" s="5" t="s">
        <v>9808</v>
      </c>
      <c r="B3240" s="5" t="s">
        <v>2334</v>
      </c>
      <c r="C3240" s="5" t="s">
        <v>2335</v>
      </c>
      <c r="D3240" s="5" t="s">
        <v>118</v>
      </c>
      <c r="E3240" s="5" t="s">
        <v>2783</v>
      </c>
      <c r="F3240" s="5" t="s">
        <v>2754</v>
      </c>
      <c r="G3240" s="5">
        <v>1</v>
      </c>
      <c r="H3240" s="5" t="s">
        <v>2854</v>
      </c>
      <c r="I3240" s="5" t="str">
        <f>IF(INDEX(Manual_Review!$M$6:$M$238,U3240)="","",INDEX(Manual_Review!$M$6:$M$238,U3240))</f>
        <v/>
      </c>
      <c r="J3240" s="5" t="str">
        <f t="shared" si="100"/>
        <v>AI provisional</v>
      </c>
      <c r="K3240" s="5" t="str">
        <f t="shared" si="101"/>
        <v>Y</v>
      </c>
      <c r="L3240" s="5" t="s">
        <v>2343</v>
      </c>
      <c r="M3240" s="5" t="s">
        <v>9809</v>
      </c>
      <c r="N3240" s="5" t="s">
        <v>9719</v>
      </c>
      <c r="O3240" s="5" t="s">
        <v>3000</v>
      </c>
      <c r="P3240" s="5" t="s">
        <v>2992</v>
      </c>
      <c r="Q3240" s="11">
        <v>46306.5</v>
      </c>
      <c r="R3240" s="6"/>
      <c r="S3240" s="6"/>
      <c r="T3240" s="6"/>
      <c r="U3240" s="5">
        <f>MATCH(B3240,Manual_Review!$A$6:$A$238,0)</f>
        <v>203</v>
      </c>
      <c r="V3240" s="5" t="str">
        <f>IF(INDEX(Manual_Review!$G$6:$G$238,U3240)="","",INDEX(Manual_Review!$G$6:$G$238,U3240))</f>
        <v/>
      </c>
      <c r="W3240" s="11" t="str">
        <f>IF(INDEX(Manual_Review!$H$6:$H$238,U3240)="","",INDEX(Manual_Review!$H$6:$H$238,U3240))</f>
        <v/>
      </c>
      <c r="X3240" s="5" t="str">
        <f>IF(INDEX(Manual_Review!$I$6:$I$238,U3240)="","",INDEX(Manual_Review!$I$6:$I$238,U3240))</f>
        <v/>
      </c>
      <c r="Y3240" s="5" t="s">
        <v>2859</v>
      </c>
    </row>
    <row r="3241" spans="1:25" ht="25.5">
      <c r="A3241" s="5" t="s">
        <v>9810</v>
      </c>
      <c r="B3241" s="5" t="s">
        <v>2334</v>
      </c>
      <c r="C3241" s="5" t="s">
        <v>2335</v>
      </c>
      <c r="D3241" s="5" t="s">
        <v>118</v>
      </c>
      <c r="E3241" s="5" t="s">
        <v>2784</v>
      </c>
      <c r="F3241" s="5" t="s">
        <v>2756</v>
      </c>
      <c r="G3241" s="5">
        <v>1</v>
      </c>
      <c r="H3241" s="5" t="s">
        <v>2864</v>
      </c>
      <c r="I3241" s="5" t="str">
        <f>IF(INDEX(Manual_Review!$N$6:$N$238,U3241)="","",INDEX(Manual_Review!$N$6:$N$238,U3241))</f>
        <v/>
      </c>
      <c r="J3241" s="5" t="str">
        <f t="shared" si="100"/>
        <v>AI provisional</v>
      </c>
      <c r="K3241" s="5" t="str">
        <f t="shared" si="101"/>
        <v>U</v>
      </c>
      <c r="L3241" s="5" t="s">
        <v>2343</v>
      </c>
      <c r="M3241" s="5" t="s">
        <v>9811</v>
      </c>
      <c r="N3241" s="5" t="s">
        <v>9812</v>
      </c>
      <c r="O3241" s="5" t="s">
        <v>9214</v>
      </c>
      <c r="P3241" s="5" t="s">
        <v>2992</v>
      </c>
      <c r="Q3241" s="11">
        <v>46306.5</v>
      </c>
      <c r="R3241" s="6"/>
      <c r="S3241" s="6"/>
      <c r="T3241" s="6"/>
      <c r="U3241" s="5">
        <f>MATCH(B3241,Manual_Review!$A$6:$A$238,0)</f>
        <v>203</v>
      </c>
      <c r="V3241" s="5" t="str">
        <f>IF(INDEX(Manual_Review!$G$6:$G$238,U3241)="","",INDEX(Manual_Review!$G$6:$G$238,U3241))</f>
        <v/>
      </c>
      <c r="W3241" s="11" t="str">
        <f>IF(INDEX(Manual_Review!$H$6:$H$238,U3241)="","",INDEX(Manual_Review!$H$6:$H$238,U3241))</f>
        <v/>
      </c>
      <c r="X3241" s="5" t="str">
        <f>IF(INDEX(Manual_Review!$I$6:$I$238,U3241)="","",INDEX(Manual_Review!$I$6:$I$238,U3241))</f>
        <v/>
      </c>
      <c r="Y3241" s="5" t="s">
        <v>2859</v>
      </c>
    </row>
    <row r="3242" spans="1:25" ht="25.5">
      <c r="A3242" s="5" t="s">
        <v>9813</v>
      </c>
      <c r="B3242" s="5" t="s">
        <v>2334</v>
      </c>
      <c r="C3242" s="5" t="s">
        <v>2335</v>
      </c>
      <c r="D3242" s="5" t="s">
        <v>118</v>
      </c>
      <c r="E3242" s="5" t="s">
        <v>2785</v>
      </c>
      <c r="F3242" s="5" t="s">
        <v>2756</v>
      </c>
      <c r="G3242" s="5">
        <v>1</v>
      </c>
      <c r="H3242" s="5" t="s">
        <v>2864</v>
      </c>
      <c r="I3242" s="5" t="str">
        <f>IF(INDEX(Manual_Review!$O$6:$O$238,U3242)="","",INDEX(Manual_Review!$O$6:$O$238,U3242))</f>
        <v/>
      </c>
      <c r="J3242" s="5" t="str">
        <f t="shared" si="100"/>
        <v>AI provisional</v>
      </c>
      <c r="K3242" s="5" t="str">
        <f t="shared" si="101"/>
        <v>U</v>
      </c>
      <c r="L3242" s="5" t="s">
        <v>2343</v>
      </c>
      <c r="M3242" s="5" t="s">
        <v>9811</v>
      </c>
      <c r="N3242" s="5" t="s">
        <v>9812</v>
      </c>
      <c r="O3242" s="5" t="s">
        <v>3006</v>
      </c>
      <c r="P3242" s="5" t="s">
        <v>2992</v>
      </c>
      <c r="Q3242" s="11">
        <v>46306.5</v>
      </c>
      <c r="R3242" s="6"/>
      <c r="S3242" s="6"/>
      <c r="T3242" s="6"/>
      <c r="U3242" s="5">
        <f>MATCH(B3242,Manual_Review!$A$6:$A$238,0)</f>
        <v>203</v>
      </c>
      <c r="V3242" s="5" t="str">
        <f>IF(INDEX(Manual_Review!$G$6:$G$238,U3242)="","",INDEX(Manual_Review!$G$6:$G$238,U3242))</f>
        <v/>
      </c>
      <c r="W3242" s="11" t="str">
        <f>IF(INDEX(Manual_Review!$H$6:$H$238,U3242)="","",INDEX(Manual_Review!$H$6:$H$238,U3242))</f>
        <v/>
      </c>
      <c r="X3242" s="5" t="str">
        <f>IF(INDEX(Manual_Review!$I$6:$I$238,U3242)="","",INDEX(Manual_Review!$I$6:$I$238,U3242))</f>
        <v/>
      </c>
      <c r="Y3242" s="5" t="s">
        <v>2859</v>
      </c>
    </row>
    <row r="3243" spans="1:25" ht="25.5">
      <c r="A3243" s="5" t="s">
        <v>9814</v>
      </c>
      <c r="B3243" s="5" t="s">
        <v>2334</v>
      </c>
      <c r="C3243" s="5" t="s">
        <v>2335</v>
      </c>
      <c r="D3243" s="5" t="s">
        <v>118</v>
      </c>
      <c r="E3243" s="5" t="s">
        <v>2786</v>
      </c>
      <c r="F3243" s="5" t="s">
        <v>2756</v>
      </c>
      <c r="G3243" s="5">
        <v>1</v>
      </c>
      <c r="H3243" s="5" t="s">
        <v>2864</v>
      </c>
      <c r="I3243" s="5" t="str">
        <f>IF(INDEX(Manual_Review!$P$6:$P$238,U3243)="","",INDEX(Manual_Review!$P$6:$P$238,U3243))</f>
        <v/>
      </c>
      <c r="J3243" s="5" t="str">
        <f t="shared" si="100"/>
        <v>AI provisional</v>
      </c>
      <c r="K3243" s="5" t="str">
        <f t="shared" si="101"/>
        <v>U</v>
      </c>
      <c r="L3243" s="5" t="s">
        <v>2343</v>
      </c>
      <c r="M3243" s="5" t="s">
        <v>9815</v>
      </c>
      <c r="N3243" s="5" t="s">
        <v>9816</v>
      </c>
      <c r="O3243" s="5" t="s">
        <v>3010</v>
      </c>
      <c r="P3243" s="5" t="s">
        <v>2992</v>
      </c>
      <c r="Q3243" s="11">
        <v>46306.5</v>
      </c>
      <c r="R3243" s="6"/>
      <c r="S3243" s="6"/>
      <c r="T3243" s="6"/>
      <c r="U3243" s="5">
        <f>MATCH(B3243,Manual_Review!$A$6:$A$238,0)</f>
        <v>203</v>
      </c>
      <c r="V3243" s="5" t="str">
        <f>IF(INDEX(Manual_Review!$G$6:$G$238,U3243)="","",INDEX(Manual_Review!$G$6:$G$238,U3243))</f>
        <v/>
      </c>
      <c r="W3243" s="11" t="str">
        <f>IF(INDEX(Manual_Review!$H$6:$H$238,U3243)="","",INDEX(Manual_Review!$H$6:$H$238,U3243))</f>
        <v/>
      </c>
      <c r="X3243" s="5" t="str">
        <f>IF(INDEX(Manual_Review!$I$6:$I$238,U3243)="","",INDEX(Manual_Review!$I$6:$I$238,U3243))</f>
        <v/>
      </c>
      <c r="Y3243" s="5" t="s">
        <v>2859</v>
      </c>
    </row>
    <row r="3244" spans="1:25" ht="25.5">
      <c r="A3244" s="5" t="s">
        <v>9817</v>
      </c>
      <c r="B3244" s="5" t="s">
        <v>2334</v>
      </c>
      <c r="C3244" s="5" t="s">
        <v>2335</v>
      </c>
      <c r="D3244" s="5" t="s">
        <v>118</v>
      </c>
      <c r="E3244" s="5" t="s">
        <v>2787</v>
      </c>
      <c r="F3244" s="5" t="s">
        <v>2758</v>
      </c>
      <c r="G3244" s="5">
        <v>1</v>
      </c>
      <c r="H3244" s="5" t="s">
        <v>2864</v>
      </c>
      <c r="I3244" s="5" t="str">
        <f>IF(INDEX(Manual_Review!$Q$6:$Q$238,U3244)="","",INDEX(Manual_Review!$Q$6:$Q$238,U3244))</f>
        <v/>
      </c>
      <c r="J3244" s="5" t="str">
        <f t="shared" si="100"/>
        <v>AI provisional</v>
      </c>
      <c r="K3244" s="5" t="str">
        <f t="shared" si="101"/>
        <v>U</v>
      </c>
      <c r="L3244" s="5" t="s">
        <v>2343</v>
      </c>
      <c r="M3244" s="5" t="s">
        <v>9818</v>
      </c>
      <c r="N3244" s="5" t="s">
        <v>9819</v>
      </c>
      <c r="O3244" s="5" t="s">
        <v>3014</v>
      </c>
      <c r="P3244" s="5" t="s">
        <v>2992</v>
      </c>
      <c r="Q3244" s="11">
        <v>46306.5</v>
      </c>
      <c r="R3244" s="6"/>
      <c r="S3244" s="6"/>
      <c r="T3244" s="6"/>
      <c r="U3244" s="5">
        <f>MATCH(B3244,Manual_Review!$A$6:$A$238,0)</f>
        <v>203</v>
      </c>
      <c r="V3244" s="5" t="str">
        <f>IF(INDEX(Manual_Review!$G$6:$G$238,U3244)="","",INDEX(Manual_Review!$G$6:$G$238,U3244))</f>
        <v/>
      </c>
      <c r="W3244" s="11" t="str">
        <f>IF(INDEX(Manual_Review!$H$6:$H$238,U3244)="","",INDEX(Manual_Review!$H$6:$H$238,U3244))</f>
        <v/>
      </c>
      <c r="X3244" s="5" t="str">
        <f>IF(INDEX(Manual_Review!$I$6:$I$238,U3244)="","",INDEX(Manual_Review!$I$6:$I$238,U3244))</f>
        <v/>
      </c>
      <c r="Y3244" s="5" t="s">
        <v>2859</v>
      </c>
    </row>
    <row r="3245" spans="1:25" ht="38.25">
      <c r="A3245" s="5" t="s">
        <v>9820</v>
      </c>
      <c r="B3245" s="5" t="s">
        <v>2334</v>
      </c>
      <c r="C3245" s="5" t="s">
        <v>2335</v>
      </c>
      <c r="D3245" s="5" t="s">
        <v>118</v>
      </c>
      <c r="E3245" s="5" t="s">
        <v>2788</v>
      </c>
      <c r="F3245" s="5" t="s">
        <v>2758</v>
      </c>
      <c r="G3245" s="5">
        <v>1</v>
      </c>
      <c r="H3245" s="5" t="s">
        <v>2854</v>
      </c>
      <c r="I3245" s="5" t="str">
        <f>IF(INDEX(Manual_Review!$R$6:$R$238,U3245)="","",INDEX(Manual_Review!$R$6:$R$238,U3245))</f>
        <v/>
      </c>
      <c r="J3245" s="5" t="str">
        <f t="shared" si="100"/>
        <v>AI provisional</v>
      </c>
      <c r="K3245" s="5" t="str">
        <f t="shared" si="101"/>
        <v>Y</v>
      </c>
      <c r="L3245" s="5" t="s">
        <v>2343</v>
      </c>
      <c r="M3245" s="5" t="s">
        <v>9821</v>
      </c>
      <c r="N3245" s="5" t="s">
        <v>9822</v>
      </c>
      <c r="O3245" s="5" t="s">
        <v>3018</v>
      </c>
      <c r="P3245" s="5" t="s">
        <v>2992</v>
      </c>
      <c r="Q3245" s="11">
        <v>46306.5</v>
      </c>
      <c r="R3245" s="6"/>
      <c r="S3245" s="6"/>
      <c r="T3245" s="6"/>
      <c r="U3245" s="5">
        <f>MATCH(B3245,Manual_Review!$A$6:$A$238,0)</f>
        <v>203</v>
      </c>
      <c r="V3245" s="5" t="str">
        <f>IF(INDEX(Manual_Review!$G$6:$G$238,U3245)="","",INDEX(Manual_Review!$G$6:$G$238,U3245))</f>
        <v/>
      </c>
      <c r="W3245" s="11" t="str">
        <f>IF(INDEX(Manual_Review!$H$6:$H$238,U3245)="","",INDEX(Manual_Review!$H$6:$H$238,U3245))</f>
        <v/>
      </c>
      <c r="X3245" s="5" t="str">
        <f>IF(INDEX(Manual_Review!$I$6:$I$238,U3245)="","",INDEX(Manual_Review!$I$6:$I$238,U3245))</f>
        <v/>
      </c>
      <c r="Y3245" s="5" t="s">
        <v>2859</v>
      </c>
    </row>
    <row r="3246" spans="1:25" ht="25.5">
      <c r="A3246" s="5" t="s">
        <v>9823</v>
      </c>
      <c r="B3246" s="5" t="s">
        <v>2334</v>
      </c>
      <c r="C3246" s="5" t="s">
        <v>2335</v>
      </c>
      <c r="D3246" s="5" t="s">
        <v>118</v>
      </c>
      <c r="E3246" s="5" t="s">
        <v>2789</v>
      </c>
      <c r="F3246" s="5" t="s">
        <v>2758</v>
      </c>
      <c r="G3246" s="5">
        <v>1</v>
      </c>
      <c r="H3246" s="5" t="s">
        <v>2854</v>
      </c>
      <c r="I3246" s="5" t="str">
        <f>IF(INDEX(Manual_Review!$S$6:$S$238,U3246)="","",INDEX(Manual_Review!$S$6:$S$238,U3246))</f>
        <v/>
      </c>
      <c r="J3246" s="5" t="str">
        <f t="shared" si="100"/>
        <v>AI provisional</v>
      </c>
      <c r="K3246" s="5" t="str">
        <f t="shared" si="101"/>
        <v>Y</v>
      </c>
      <c r="L3246" s="5" t="s">
        <v>2343</v>
      </c>
      <c r="M3246" s="5" t="s">
        <v>9824</v>
      </c>
      <c r="N3246" s="5" t="s">
        <v>9825</v>
      </c>
      <c r="O3246" s="5" t="s">
        <v>3022</v>
      </c>
      <c r="P3246" s="5" t="s">
        <v>2992</v>
      </c>
      <c r="Q3246" s="11">
        <v>46306.5</v>
      </c>
      <c r="R3246" s="6"/>
      <c r="S3246" s="6"/>
      <c r="T3246" s="6"/>
      <c r="U3246" s="5">
        <f>MATCH(B3246,Manual_Review!$A$6:$A$238,0)</f>
        <v>203</v>
      </c>
      <c r="V3246" s="5" t="str">
        <f>IF(INDEX(Manual_Review!$G$6:$G$238,U3246)="","",INDEX(Manual_Review!$G$6:$G$238,U3246))</f>
        <v/>
      </c>
      <c r="W3246" s="11" t="str">
        <f>IF(INDEX(Manual_Review!$H$6:$H$238,U3246)="","",INDEX(Manual_Review!$H$6:$H$238,U3246))</f>
        <v/>
      </c>
      <c r="X3246" s="5" t="str">
        <f>IF(INDEX(Manual_Review!$I$6:$I$238,U3246)="","",INDEX(Manual_Review!$I$6:$I$238,U3246))</f>
        <v/>
      </c>
      <c r="Y3246" s="5" t="s">
        <v>2859</v>
      </c>
    </row>
    <row r="3247" spans="1:25" ht="25.5">
      <c r="A3247" s="5" t="s">
        <v>9826</v>
      </c>
      <c r="B3247" s="5" t="s">
        <v>2334</v>
      </c>
      <c r="C3247" s="5" t="s">
        <v>2335</v>
      </c>
      <c r="D3247" s="5" t="s">
        <v>118</v>
      </c>
      <c r="E3247" s="5" t="s">
        <v>2790</v>
      </c>
      <c r="F3247" s="5" t="s">
        <v>2760</v>
      </c>
      <c r="G3247" s="5">
        <v>1</v>
      </c>
      <c r="H3247" s="5" t="s">
        <v>2854</v>
      </c>
      <c r="I3247" s="5" t="str">
        <f>IF(INDEX(Manual_Review!$T$6:$T$238,U3247)="","",INDEX(Manual_Review!$T$6:$T$238,U3247))</f>
        <v/>
      </c>
      <c r="J3247" s="5" t="str">
        <f t="shared" si="100"/>
        <v>AI provisional</v>
      </c>
      <c r="K3247" s="5" t="str">
        <f t="shared" si="101"/>
        <v>Y</v>
      </c>
      <c r="L3247" s="5" t="s">
        <v>2343</v>
      </c>
      <c r="M3247" s="5" t="s">
        <v>9827</v>
      </c>
      <c r="N3247" s="5" t="s">
        <v>9828</v>
      </c>
      <c r="O3247" s="5" t="s">
        <v>3451</v>
      </c>
      <c r="P3247" s="5" t="s">
        <v>2992</v>
      </c>
      <c r="Q3247" s="11">
        <v>46306.5</v>
      </c>
      <c r="R3247" s="6"/>
      <c r="S3247" s="6"/>
      <c r="T3247" s="6"/>
      <c r="U3247" s="5">
        <f>MATCH(B3247,Manual_Review!$A$6:$A$238,0)</f>
        <v>203</v>
      </c>
      <c r="V3247" s="5" t="str">
        <f>IF(INDEX(Manual_Review!$G$6:$G$238,U3247)="","",INDEX(Manual_Review!$G$6:$G$238,U3247))</f>
        <v/>
      </c>
      <c r="W3247" s="11" t="str">
        <f>IF(INDEX(Manual_Review!$H$6:$H$238,U3247)="","",INDEX(Manual_Review!$H$6:$H$238,U3247))</f>
        <v/>
      </c>
      <c r="X3247" s="5" t="str">
        <f>IF(INDEX(Manual_Review!$I$6:$I$238,U3247)="","",INDEX(Manual_Review!$I$6:$I$238,U3247))</f>
        <v/>
      </c>
      <c r="Y3247" s="5" t="s">
        <v>2859</v>
      </c>
    </row>
    <row r="3248" spans="1:25" ht="25.5">
      <c r="A3248" s="5" t="s">
        <v>9829</v>
      </c>
      <c r="B3248" s="5" t="s">
        <v>2334</v>
      </c>
      <c r="C3248" s="5" t="s">
        <v>2335</v>
      </c>
      <c r="D3248" s="5" t="s">
        <v>118</v>
      </c>
      <c r="E3248" s="5" t="s">
        <v>2791</v>
      </c>
      <c r="F3248" s="5" t="s">
        <v>2760</v>
      </c>
      <c r="G3248" s="5">
        <v>1</v>
      </c>
      <c r="H3248" s="5" t="s">
        <v>2864</v>
      </c>
      <c r="I3248" s="5" t="str">
        <f>IF(INDEX(Manual_Review!$U$6:$U$238,U3248)="","",INDEX(Manual_Review!$U$6:$U$238,U3248))</f>
        <v/>
      </c>
      <c r="J3248" s="5" t="str">
        <f t="shared" si="100"/>
        <v>AI provisional</v>
      </c>
      <c r="K3248" s="5" t="str">
        <f t="shared" si="101"/>
        <v>U</v>
      </c>
      <c r="L3248" s="5" t="s">
        <v>2343</v>
      </c>
      <c r="M3248" s="5" t="s">
        <v>9830</v>
      </c>
      <c r="N3248" s="5" t="s">
        <v>9831</v>
      </c>
      <c r="O3248" s="5" t="s">
        <v>3030</v>
      </c>
      <c r="P3248" s="5" t="s">
        <v>2992</v>
      </c>
      <c r="Q3248" s="11">
        <v>46306.5</v>
      </c>
      <c r="R3248" s="6"/>
      <c r="S3248" s="6"/>
      <c r="T3248" s="6"/>
      <c r="U3248" s="5">
        <f>MATCH(B3248,Manual_Review!$A$6:$A$238,0)</f>
        <v>203</v>
      </c>
      <c r="V3248" s="5" t="str">
        <f>IF(INDEX(Manual_Review!$G$6:$G$238,U3248)="","",INDEX(Manual_Review!$G$6:$G$238,U3248))</f>
        <v/>
      </c>
      <c r="W3248" s="11" t="str">
        <f>IF(INDEX(Manual_Review!$H$6:$H$238,U3248)="","",INDEX(Manual_Review!$H$6:$H$238,U3248))</f>
        <v/>
      </c>
      <c r="X3248" s="5" t="str">
        <f>IF(INDEX(Manual_Review!$I$6:$I$238,U3248)="","",INDEX(Manual_Review!$I$6:$I$238,U3248))</f>
        <v/>
      </c>
      <c r="Y3248" s="5" t="s">
        <v>2859</v>
      </c>
    </row>
    <row r="3249" spans="1:25" ht="25.5">
      <c r="A3249" s="5" t="s">
        <v>9832</v>
      </c>
      <c r="B3249" s="5" t="s">
        <v>2334</v>
      </c>
      <c r="C3249" s="5" t="s">
        <v>2335</v>
      </c>
      <c r="D3249" s="5" t="s">
        <v>118</v>
      </c>
      <c r="E3249" s="5" t="s">
        <v>2792</v>
      </c>
      <c r="F3249" s="5" t="s">
        <v>2762</v>
      </c>
      <c r="G3249" s="5">
        <v>1</v>
      </c>
      <c r="H3249" s="5" t="s">
        <v>2854</v>
      </c>
      <c r="I3249" s="5" t="str">
        <f>IF(INDEX(Manual_Review!$V$6:$V$238,U3249)="","",INDEX(Manual_Review!$V$6:$V$238,U3249))</f>
        <v/>
      </c>
      <c r="J3249" s="5" t="str">
        <f t="shared" si="100"/>
        <v>AI provisional</v>
      </c>
      <c r="K3249" s="5" t="str">
        <f t="shared" si="101"/>
        <v>Y</v>
      </c>
      <c r="L3249" s="5" t="s">
        <v>2343</v>
      </c>
      <c r="M3249" s="5" t="s">
        <v>9833</v>
      </c>
      <c r="N3249" s="5" t="s">
        <v>9834</v>
      </c>
      <c r="O3249" s="5" t="s">
        <v>3034</v>
      </c>
      <c r="P3249" s="5" t="s">
        <v>2992</v>
      </c>
      <c r="Q3249" s="11">
        <v>46306.5</v>
      </c>
      <c r="R3249" s="6"/>
      <c r="S3249" s="6"/>
      <c r="T3249" s="6"/>
      <c r="U3249" s="5">
        <f>MATCH(B3249,Manual_Review!$A$6:$A$238,0)</f>
        <v>203</v>
      </c>
      <c r="V3249" s="5" t="str">
        <f>IF(INDEX(Manual_Review!$G$6:$G$238,U3249)="","",INDEX(Manual_Review!$G$6:$G$238,U3249))</f>
        <v/>
      </c>
      <c r="W3249" s="11" t="str">
        <f>IF(INDEX(Manual_Review!$H$6:$H$238,U3249)="","",INDEX(Manual_Review!$H$6:$H$238,U3249))</f>
        <v/>
      </c>
      <c r="X3249" s="5" t="str">
        <f>IF(INDEX(Manual_Review!$I$6:$I$238,U3249)="","",INDEX(Manual_Review!$I$6:$I$238,U3249))</f>
        <v/>
      </c>
      <c r="Y3249" s="5" t="s">
        <v>2859</v>
      </c>
    </row>
    <row r="3250" spans="1:25" ht="38.25">
      <c r="A3250" s="5" t="s">
        <v>9835</v>
      </c>
      <c r="B3250" s="5" t="s">
        <v>2334</v>
      </c>
      <c r="C3250" s="5" t="s">
        <v>2335</v>
      </c>
      <c r="D3250" s="5" t="s">
        <v>118</v>
      </c>
      <c r="E3250" s="5" t="s">
        <v>2793</v>
      </c>
      <c r="F3250" s="5" t="s">
        <v>2762</v>
      </c>
      <c r="G3250" s="5">
        <v>1</v>
      </c>
      <c r="H3250" s="5" t="s">
        <v>2854</v>
      </c>
      <c r="I3250" s="5" t="str">
        <f>IF(INDEX(Manual_Review!$W$6:$W$238,U3250)="","",INDEX(Manual_Review!$W$6:$W$238,U3250))</f>
        <v/>
      </c>
      <c r="J3250" s="5" t="str">
        <f t="shared" si="100"/>
        <v>AI provisional</v>
      </c>
      <c r="K3250" s="5" t="str">
        <f t="shared" si="101"/>
        <v>Y</v>
      </c>
      <c r="L3250" s="5" t="s">
        <v>2343</v>
      </c>
      <c r="M3250" s="5" t="s">
        <v>9836</v>
      </c>
      <c r="N3250" s="5" t="s">
        <v>9837</v>
      </c>
      <c r="O3250" s="5" t="s">
        <v>3038</v>
      </c>
      <c r="P3250" s="5" t="s">
        <v>2992</v>
      </c>
      <c r="Q3250" s="11">
        <v>46306.5</v>
      </c>
      <c r="R3250" s="6"/>
      <c r="S3250" s="6"/>
      <c r="T3250" s="6"/>
      <c r="U3250" s="5">
        <f>MATCH(B3250,Manual_Review!$A$6:$A$238,0)</f>
        <v>203</v>
      </c>
      <c r="V3250" s="5" t="str">
        <f>IF(INDEX(Manual_Review!$G$6:$G$238,U3250)="","",INDEX(Manual_Review!$G$6:$G$238,U3250))</f>
        <v/>
      </c>
      <c r="W3250" s="11" t="str">
        <f>IF(INDEX(Manual_Review!$H$6:$H$238,U3250)="","",INDEX(Manual_Review!$H$6:$H$238,U3250))</f>
        <v/>
      </c>
      <c r="X3250" s="5" t="str">
        <f>IF(INDEX(Manual_Review!$I$6:$I$238,U3250)="","",INDEX(Manual_Review!$I$6:$I$238,U3250))</f>
        <v/>
      </c>
      <c r="Y3250" s="5" t="s">
        <v>2859</v>
      </c>
    </row>
    <row r="3251" spans="1:25" ht="25.5">
      <c r="A3251" s="5" t="s">
        <v>9838</v>
      </c>
      <c r="B3251" s="5" t="s">
        <v>2334</v>
      </c>
      <c r="C3251" s="5" t="s">
        <v>2335</v>
      </c>
      <c r="D3251" s="5" t="s">
        <v>118</v>
      </c>
      <c r="E3251" s="5" t="s">
        <v>2794</v>
      </c>
      <c r="F3251" s="5" t="s">
        <v>2764</v>
      </c>
      <c r="G3251" s="5">
        <v>1</v>
      </c>
      <c r="H3251" s="5" t="s">
        <v>2854</v>
      </c>
      <c r="I3251" s="5" t="str">
        <f>IF(INDEX(Manual_Review!$X$6:$X$238,U3251)="","",INDEX(Manual_Review!$X$6:$X$238,U3251))</f>
        <v/>
      </c>
      <c r="J3251" s="5" t="str">
        <f t="shared" si="100"/>
        <v>AI provisional</v>
      </c>
      <c r="K3251" s="5" t="str">
        <f t="shared" si="101"/>
        <v>Y</v>
      </c>
      <c r="L3251" s="5" t="s">
        <v>2343</v>
      </c>
      <c r="M3251" s="5" t="s">
        <v>9839</v>
      </c>
      <c r="N3251" s="5" t="s">
        <v>9840</v>
      </c>
      <c r="O3251" s="5" t="s">
        <v>3042</v>
      </c>
      <c r="P3251" s="5" t="s">
        <v>2992</v>
      </c>
      <c r="Q3251" s="11">
        <v>46306.5</v>
      </c>
      <c r="R3251" s="6"/>
      <c r="S3251" s="6"/>
      <c r="T3251" s="6"/>
      <c r="U3251" s="5">
        <f>MATCH(B3251,Manual_Review!$A$6:$A$238,0)</f>
        <v>203</v>
      </c>
      <c r="V3251" s="5" t="str">
        <f>IF(INDEX(Manual_Review!$G$6:$G$238,U3251)="","",INDEX(Manual_Review!$G$6:$G$238,U3251))</f>
        <v/>
      </c>
      <c r="W3251" s="11" t="str">
        <f>IF(INDEX(Manual_Review!$H$6:$H$238,U3251)="","",INDEX(Manual_Review!$H$6:$H$238,U3251))</f>
        <v/>
      </c>
      <c r="X3251" s="5" t="str">
        <f>IF(INDEX(Manual_Review!$I$6:$I$238,U3251)="","",INDEX(Manual_Review!$I$6:$I$238,U3251))</f>
        <v/>
      </c>
      <c r="Y3251" s="5" t="s">
        <v>2859</v>
      </c>
    </row>
    <row r="3252" spans="1:25" ht="25.5">
      <c r="A3252" s="5" t="s">
        <v>9841</v>
      </c>
      <c r="B3252" s="5" t="s">
        <v>2334</v>
      </c>
      <c r="C3252" s="5" t="s">
        <v>2335</v>
      </c>
      <c r="D3252" s="5" t="s">
        <v>118</v>
      </c>
      <c r="E3252" s="5" t="s">
        <v>2795</v>
      </c>
      <c r="F3252" s="5" t="s">
        <v>2764</v>
      </c>
      <c r="G3252" s="5">
        <v>1</v>
      </c>
      <c r="H3252" s="5" t="s">
        <v>2854</v>
      </c>
      <c r="I3252" s="5" t="str">
        <f>IF(INDEX(Manual_Review!$Y$6:$Y$238,U3252)="","",INDEX(Manual_Review!$Y$6:$Y$238,U3252))</f>
        <v/>
      </c>
      <c r="J3252" s="5" t="str">
        <f t="shared" si="100"/>
        <v>AI provisional</v>
      </c>
      <c r="K3252" s="5" t="str">
        <f t="shared" si="101"/>
        <v>Y</v>
      </c>
      <c r="L3252" s="5" t="s">
        <v>2343</v>
      </c>
      <c r="M3252" s="5" t="s">
        <v>9842</v>
      </c>
      <c r="N3252" s="5" t="s">
        <v>9843</v>
      </c>
      <c r="O3252" s="5" t="s">
        <v>3046</v>
      </c>
      <c r="P3252" s="5" t="s">
        <v>2992</v>
      </c>
      <c r="Q3252" s="11">
        <v>46306.5</v>
      </c>
      <c r="R3252" s="6"/>
      <c r="S3252" s="6"/>
      <c r="T3252" s="6"/>
      <c r="U3252" s="5">
        <f>MATCH(B3252,Manual_Review!$A$6:$A$238,0)</f>
        <v>203</v>
      </c>
      <c r="V3252" s="5" t="str">
        <f>IF(INDEX(Manual_Review!$G$6:$G$238,U3252)="","",INDEX(Manual_Review!$G$6:$G$238,U3252))</f>
        <v/>
      </c>
      <c r="W3252" s="11" t="str">
        <f>IF(INDEX(Manual_Review!$H$6:$H$238,U3252)="","",INDEX(Manual_Review!$H$6:$H$238,U3252))</f>
        <v/>
      </c>
      <c r="X3252" s="5" t="str">
        <f>IF(INDEX(Manual_Review!$I$6:$I$238,U3252)="","",INDEX(Manual_Review!$I$6:$I$238,U3252))</f>
        <v/>
      </c>
      <c r="Y3252" s="5" t="s">
        <v>2859</v>
      </c>
    </row>
    <row r="3253" spans="1:25" ht="38.25">
      <c r="A3253" s="5" t="s">
        <v>9844</v>
      </c>
      <c r="B3253" s="5" t="s">
        <v>2334</v>
      </c>
      <c r="C3253" s="5" t="s">
        <v>2335</v>
      </c>
      <c r="D3253" s="5" t="s">
        <v>118</v>
      </c>
      <c r="E3253" s="5" t="s">
        <v>2796</v>
      </c>
      <c r="F3253" s="5" t="s">
        <v>2764</v>
      </c>
      <c r="G3253" s="5">
        <v>1</v>
      </c>
      <c r="H3253" s="5" t="s">
        <v>2864</v>
      </c>
      <c r="I3253" s="5" t="str">
        <f>IF(INDEX(Manual_Review!$Z$6:$Z$238,U3253)="","",INDEX(Manual_Review!$Z$6:$Z$238,U3253))</f>
        <v/>
      </c>
      <c r="J3253" s="5" t="str">
        <f t="shared" si="100"/>
        <v>AI provisional</v>
      </c>
      <c r="K3253" s="5" t="str">
        <f t="shared" si="101"/>
        <v>U</v>
      </c>
      <c r="L3253" s="5" t="s">
        <v>2343</v>
      </c>
      <c r="M3253" s="5" t="s">
        <v>9845</v>
      </c>
      <c r="N3253" s="5" t="s">
        <v>9846</v>
      </c>
      <c r="O3253" s="5" t="s">
        <v>3050</v>
      </c>
      <c r="P3253" s="5" t="s">
        <v>2992</v>
      </c>
      <c r="Q3253" s="11">
        <v>46306.5</v>
      </c>
      <c r="R3253" s="6"/>
      <c r="S3253" s="6"/>
      <c r="T3253" s="6"/>
      <c r="U3253" s="5">
        <f>MATCH(B3253,Manual_Review!$A$6:$A$238,0)</f>
        <v>203</v>
      </c>
      <c r="V3253" s="5" t="str">
        <f>IF(INDEX(Manual_Review!$G$6:$G$238,U3253)="","",INDEX(Manual_Review!$G$6:$G$238,U3253))</f>
        <v/>
      </c>
      <c r="W3253" s="11" t="str">
        <f>IF(INDEX(Manual_Review!$H$6:$H$238,U3253)="","",INDEX(Manual_Review!$H$6:$H$238,U3253))</f>
        <v/>
      </c>
      <c r="X3253" s="5" t="str">
        <f>IF(INDEX(Manual_Review!$I$6:$I$238,U3253)="","",INDEX(Manual_Review!$I$6:$I$238,U3253))</f>
        <v/>
      </c>
      <c r="Y3253" s="5" t="s">
        <v>2859</v>
      </c>
    </row>
    <row r="3254" spans="1:25" ht="25.5">
      <c r="A3254" s="5" t="s">
        <v>9847</v>
      </c>
      <c r="B3254" s="5" t="s">
        <v>2345</v>
      </c>
      <c r="C3254" s="5" t="s">
        <v>2346</v>
      </c>
      <c r="D3254" s="5" t="s">
        <v>118</v>
      </c>
      <c r="E3254" s="5" t="s">
        <v>2781</v>
      </c>
      <c r="F3254" s="5" t="s">
        <v>2754</v>
      </c>
      <c r="G3254" s="5">
        <v>1</v>
      </c>
      <c r="H3254" s="5" t="s">
        <v>2854</v>
      </c>
      <c r="I3254" s="5" t="str">
        <f>IF(INDEX(Manual_Review!$K$6:$K$238,U3254)="","",INDEX(Manual_Review!$K$6:$K$238,U3254))</f>
        <v/>
      </c>
      <c r="J3254" s="5" t="str">
        <f t="shared" si="100"/>
        <v>AI provisional</v>
      </c>
      <c r="K3254" s="5" t="str">
        <f t="shared" si="101"/>
        <v>Y</v>
      </c>
      <c r="L3254" s="5" t="s">
        <v>2357</v>
      </c>
      <c r="M3254" s="5" t="s">
        <v>9848</v>
      </c>
      <c r="N3254" s="5" t="s">
        <v>9849</v>
      </c>
      <c r="O3254" s="5" t="s">
        <v>2991</v>
      </c>
      <c r="P3254" s="5" t="s">
        <v>2992</v>
      </c>
      <c r="Q3254" s="11">
        <v>46306.5</v>
      </c>
      <c r="R3254" s="6"/>
      <c r="S3254" s="6"/>
      <c r="T3254" s="6"/>
      <c r="U3254" s="5">
        <f>MATCH(B3254,Manual_Review!$A$6:$A$238,0)</f>
        <v>204</v>
      </c>
      <c r="V3254" s="5" t="str">
        <f>IF(INDEX(Manual_Review!$G$6:$G$238,U3254)="","",INDEX(Manual_Review!$G$6:$G$238,U3254))</f>
        <v/>
      </c>
      <c r="W3254" s="11" t="str">
        <f>IF(INDEX(Manual_Review!$H$6:$H$238,U3254)="","",INDEX(Manual_Review!$H$6:$H$238,U3254))</f>
        <v/>
      </c>
      <c r="X3254" s="5" t="str">
        <f>IF(INDEX(Manual_Review!$I$6:$I$238,U3254)="","",INDEX(Manual_Review!$I$6:$I$238,U3254))</f>
        <v/>
      </c>
      <c r="Y3254" s="5" t="s">
        <v>2859</v>
      </c>
    </row>
    <row r="3255" spans="1:25" ht="25.5">
      <c r="A3255" s="5" t="s">
        <v>9850</v>
      </c>
      <c r="B3255" s="5" t="s">
        <v>2345</v>
      </c>
      <c r="C3255" s="5" t="s">
        <v>2346</v>
      </c>
      <c r="D3255" s="5" t="s">
        <v>118</v>
      </c>
      <c r="E3255" s="5" t="s">
        <v>2782</v>
      </c>
      <c r="F3255" s="5" t="s">
        <v>2754</v>
      </c>
      <c r="G3255" s="5">
        <v>1</v>
      </c>
      <c r="H3255" s="5" t="s">
        <v>2854</v>
      </c>
      <c r="I3255" s="5" t="str">
        <f>IF(INDEX(Manual_Review!$L$6:$L$238,U3255)="","",INDEX(Manual_Review!$L$6:$L$238,U3255))</f>
        <v/>
      </c>
      <c r="J3255" s="5" t="str">
        <f t="shared" si="100"/>
        <v>AI provisional</v>
      </c>
      <c r="K3255" s="5" t="str">
        <f t="shared" si="101"/>
        <v>Y</v>
      </c>
      <c r="L3255" s="5" t="s">
        <v>2357</v>
      </c>
      <c r="M3255" s="5" t="s">
        <v>9851</v>
      </c>
      <c r="N3255" s="5" t="s">
        <v>9852</v>
      </c>
      <c r="O3255" s="5" t="s">
        <v>2996</v>
      </c>
      <c r="P3255" s="5" t="s">
        <v>2992</v>
      </c>
      <c r="Q3255" s="11">
        <v>46306.5</v>
      </c>
      <c r="R3255" s="6"/>
      <c r="S3255" s="6"/>
      <c r="T3255" s="6"/>
      <c r="U3255" s="5">
        <f>MATCH(B3255,Manual_Review!$A$6:$A$238,0)</f>
        <v>204</v>
      </c>
      <c r="V3255" s="5" t="str">
        <f>IF(INDEX(Manual_Review!$G$6:$G$238,U3255)="","",INDEX(Manual_Review!$G$6:$G$238,U3255))</f>
        <v/>
      </c>
      <c r="W3255" s="11" t="str">
        <f>IF(INDEX(Manual_Review!$H$6:$H$238,U3255)="","",INDEX(Manual_Review!$H$6:$H$238,U3255))</f>
        <v/>
      </c>
      <c r="X3255" s="5" t="str">
        <f>IF(INDEX(Manual_Review!$I$6:$I$238,U3255)="","",INDEX(Manual_Review!$I$6:$I$238,U3255))</f>
        <v/>
      </c>
      <c r="Y3255" s="5" t="s">
        <v>2859</v>
      </c>
    </row>
    <row r="3256" spans="1:25" ht="25.5">
      <c r="A3256" s="5" t="s">
        <v>9853</v>
      </c>
      <c r="B3256" s="5" t="s">
        <v>2345</v>
      </c>
      <c r="C3256" s="5" t="s">
        <v>2346</v>
      </c>
      <c r="D3256" s="5" t="s">
        <v>118</v>
      </c>
      <c r="E3256" s="5" t="s">
        <v>2783</v>
      </c>
      <c r="F3256" s="5" t="s">
        <v>2754</v>
      </c>
      <c r="G3256" s="5">
        <v>1</v>
      </c>
      <c r="H3256" s="5" t="s">
        <v>2854</v>
      </c>
      <c r="I3256" s="5" t="str">
        <f>IF(INDEX(Manual_Review!$M$6:$M$238,U3256)="","",INDEX(Manual_Review!$M$6:$M$238,U3256))</f>
        <v/>
      </c>
      <c r="J3256" s="5" t="str">
        <f t="shared" si="100"/>
        <v>AI provisional</v>
      </c>
      <c r="K3256" s="5" t="str">
        <f t="shared" si="101"/>
        <v>Y</v>
      </c>
      <c r="L3256" s="5" t="s">
        <v>2357</v>
      </c>
      <c r="M3256" s="5" t="s">
        <v>9854</v>
      </c>
      <c r="N3256" s="5" t="s">
        <v>9855</v>
      </c>
      <c r="O3256" s="5" t="s">
        <v>3000</v>
      </c>
      <c r="P3256" s="5" t="s">
        <v>2992</v>
      </c>
      <c r="Q3256" s="11">
        <v>46306.5</v>
      </c>
      <c r="R3256" s="6"/>
      <c r="S3256" s="6"/>
      <c r="T3256" s="6"/>
      <c r="U3256" s="5">
        <f>MATCH(B3256,Manual_Review!$A$6:$A$238,0)</f>
        <v>204</v>
      </c>
      <c r="V3256" s="5" t="str">
        <f>IF(INDEX(Manual_Review!$G$6:$G$238,U3256)="","",INDEX(Manual_Review!$G$6:$G$238,U3256))</f>
        <v/>
      </c>
      <c r="W3256" s="11" t="str">
        <f>IF(INDEX(Manual_Review!$H$6:$H$238,U3256)="","",INDEX(Manual_Review!$H$6:$H$238,U3256))</f>
        <v/>
      </c>
      <c r="X3256" s="5" t="str">
        <f>IF(INDEX(Manual_Review!$I$6:$I$238,U3256)="","",INDEX(Manual_Review!$I$6:$I$238,U3256))</f>
        <v/>
      </c>
      <c r="Y3256" s="5" t="s">
        <v>2859</v>
      </c>
    </row>
    <row r="3257" spans="1:25" ht="25.5">
      <c r="A3257" s="5" t="s">
        <v>9856</v>
      </c>
      <c r="B3257" s="5" t="s">
        <v>2345</v>
      </c>
      <c r="C3257" s="5" t="s">
        <v>2346</v>
      </c>
      <c r="D3257" s="5" t="s">
        <v>118</v>
      </c>
      <c r="E3257" s="5" t="s">
        <v>2784</v>
      </c>
      <c r="F3257" s="5" t="s">
        <v>2756</v>
      </c>
      <c r="G3257" s="5">
        <v>1</v>
      </c>
      <c r="H3257" s="5" t="s">
        <v>2864</v>
      </c>
      <c r="I3257" s="5" t="str">
        <f>IF(INDEX(Manual_Review!$N$6:$N$238,U3257)="","",INDEX(Manual_Review!$N$6:$N$238,U3257))</f>
        <v/>
      </c>
      <c r="J3257" s="5" t="str">
        <f t="shared" si="100"/>
        <v>AI provisional</v>
      </c>
      <c r="K3257" s="5" t="str">
        <f t="shared" si="101"/>
        <v>U</v>
      </c>
      <c r="L3257" s="5" t="s">
        <v>2357</v>
      </c>
      <c r="M3257" s="5" t="s">
        <v>9857</v>
      </c>
      <c r="N3257" s="5" t="s">
        <v>9858</v>
      </c>
      <c r="O3257" s="5" t="s">
        <v>9214</v>
      </c>
      <c r="P3257" s="5" t="s">
        <v>2992</v>
      </c>
      <c r="Q3257" s="11">
        <v>46306.5</v>
      </c>
      <c r="R3257" s="6"/>
      <c r="S3257" s="6"/>
      <c r="T3257" s="6"/>
      <c r="U3257" s="5">
        <f>MATCH(B3257,Manual_Review!$A$6:$A$238,0)</f>
        <v>204</v>
      </c>
      <c r="V3257" s="5" t="str">
        <f>IF(INDEX(Manual_Review!$G$6:$G$238,U3257)="","",INDEX(Manual_Review!$G$6:$G$238,U3257))</f>
        <v/>
      </c>
      <c r="W3257" s="11" t="str">
        <f>IF(INDEX(Manual_Review!$H$6:$H$238,U3257)="","",INDEX(Manual_Review!$H$6:$H$238,U3257))</f>
        <v/>
      </c>
      <c r="X3257" s="5" t="str">
        <f>IF(INDEX(Manual_Review!$I$6:$I$238,U3257)="","",INDEX(Manual_Review!$I$6:$I$238,U3257))</f>
        <v/>
      </c>
      <c r="Y3257" s="5" t="s">
        <v>2859</v>
      </c>
    </row>
    <row r="3258" spans="1:25" ht="25.5">
      <c r="A3258" s="5" t="s">
        <v>9859</v>
      </c>
      <c r="B3258" s="5" t="s">
        <v>2345</v>
      </c>
      <c r="C3258" s="5" t="s">
        <v>2346</v>
      </c>
      <c r="D3258" s="5" t="s">
        <v>118</v>
      </c>
      <c r="E3258" s="5" t="s">
        <v>2785</v>
      </c>
      <c r="F3258" s="5" t="s">
        <v>2756</v>
      </c>
      <c r="G3258" s="5">
        <v>1</v>
      </c>
      <c r="H3258" s="5" t="s">
        <v>2864</v>
      </c>
      <c r="I3258" s="5" t="str">
        <f>IF(INDEX(Manual_Review!$O$6:$O$238,U3258)="","",INDEX(Manual_Review!$O$6:$O$238,U3258))</f>
        <v/>
      </c>
      <c r="J3258" s="5" t="str">
        <f t="shared" si="100"/>
        <v>AI provisional</v>
      </c>
      <c r="K3258" s="5" t="str">
        <f t="shared" si="101"/>
        <v>U</v>
      </c>
      <c r="L3258" s="5" t="s">
        <v>2357</v>
      </c>
      <c r="M3258" s="5" t="s">
        <v>9857</v>
      </c>
      <c r="N3258" s="5" t="s">
        <v>9858</v>
      </c>
      <c r="O3258" s="5" t="s">
        <v>3006</v>
      </c>
      <c r="P3258" s="5" t="s">
        <v>2992</v>
      </c>
      <c r="Q3258" s="11">
        <v>46306.5</v>
      </c>
      <c r="R3258" s="6"/>
      <c r="S3258" s="6"/>
      <c r="T3258" s="6"/>
      <c r="U3258" s="5">
        <f>MATCH(B3258,Manual_Review!$A$6:$A$238,0)</f>
        <v>204</v>
      </c>
      <c r="V3258" s="5" t="str">
        <f>IF(INDEX(Manual_Review!$G$6:$G$238,U3258)="","",INDEX(Manual_Review!$G$6:$G$238,U3258))</f>
        <v/>
      </c>
      <c r="W3258" s="11" t="str">
        <f>IF(INDEX(Manual_Review!$H$6:$H$238,U3258)="","",INDEX(Manual_Review!$H$6:$H$238,U3258))</f>
        <v/>
      </c>
      <c r="X3258" s="5" t="str">
        <f>IF(INDEX(Manual_Review!$I$6:$I$238,U3258)="","",INDEX(Manual_Review!$I$6:$I$238,U3258))</f>
        <v/>
      </c>
      <c r="Y3258" s="5" t="s">
        <v>2859</v>
      </c>
    </row>
    <row r="3259" spans="1:25" ht="25.5">
      <c r="A3259" s="5" t="s">
        <v>9860</v>
      </c>
      <c r="B3259" s="5" t="s">
        <v>2345</v>
      </c>
      <c r="C3259" s="5" t="s">
        <v>2346</v>
      </c>
      <c r="D3259" s="5" t="s">
        <v>118</v>
      </c>
      <c r="E3259" s="5" t="s">
        <v>2786</v>
      </c>
      <c r="F3259" s="5" t="s">
        <v>2756</v>
      </c>
      <c r="G3259" s="5">
        <v>1</v>
      </c>
      <c r="H3259" s="5" t="s">
        <v>2864</v>
      </c>
      <c r="I3259" s="5" t="str">
        <f>IF(INDEX(Manual_Review!$P$6:$P$238,U3259)="","",INDEX(Manual_Review!$P$6:$P$238,U3259))</f>
        <v/>
      </c>
      <c r="J3259" s="5" t="str">
        <f t="shared" si="100"/>
        <v>AI provisional</v>
      </c>
      <c r="K3259" s="5" t="str">
        <f t="shared" si="101"/>
        <v>U</v>
      </c>
      <c r="L3259" s="5" t="s">
        <v>2357</v>
      </c>
      <c r="M3259" s="5" t="s">
        <v>9861</v>
      </c>
      <c r="N3259" s="5" t="s">
        <v>9862</v>
      </c>
      <c r="O3259" s="5" t="s">
        <v>3010</v>
      </c>
      <c r="P3259" s="5" t="s">
        <v>2992</v>
      </c>
      <c r="Q3259" s="11">
        <v>46306.5</v>
      </c>
      <c r="R3259" s="6"/>
      <c r="S3259" s="6"/>
      <c r="T3259" s="6"/>
      <c r="U3259" s="5">
        <f>MATCH(B3259,Manual_Review!$A$6:$A$238,0)</f>
        <v>204</v>
      </c>
      <c r="V3259" s="5" t="str">
        <f>IF(INDEX(Manual_Review!$G$6:$G$238,U3259)="","",INDEX(Manual_Review!$G$6:$G$238,U3259))</f>
        <v/>
      </c>
      <c r="W3259" s="11" t="str">
        <f>IF(INDEX(Manual_Review!$H$6:$H$238,U3259)="","",INDEX(Manual_Review!$H$6:$H$238,U3259))</f>
        <v/>
      </c>
      <c r="X3259" s="5" t="str">
        <f>IF(INDEX(Manual_Review!$I$6:$I$238,U3259)="","",INDEX(Manual_Review!$I$6:$I$238,U3259))</f>
        <v/>
      </c>
      <c r="Y3259" s="5" t="s">
        <v>2859</v>
      </c>
    </row>
    <row r="3260" spans="1:25" ht="25.5">
      <c r="A3260" s="5" t="s">
        <v>9863</v>
      </c>
      <c r="B3260" s="5" t="s">
        <v>2345</v>
      </c>
      <c r="C3260" s="5" t="s">
        <v>2346</v>
      </c>
      <c r="D3260" s="5" t="s">
        <v>118</v>
      </c>
      <c r="E3260" s="5" t="s">
        <v>2787</v>
      </c>
      <c r="F3260" s="5" t="s">
        <v>2758</v>
      </c>
      <c r="G3260" s="5">
        <v>1</v>
      </c>
      <c r="H3260" s="5" t="s">
        <v>2864</v>
      </c>
      <c r="I3260" s="5" t="str">
        <f>IF(INDEX(Manual_Review!$Q$6:$Q$238,U3260)="","",INDEX(Manual_Review!$Q$6:$Q$238,U3260))</f>
        <v/>
      </c>
      <c r="J3260" s="5" t="str">
        <f t="shared" si="100"/>
        <v>AI provisional</v>
      </c>
      <c r="K3260" s="5" t="str">
        <f t="shared" si="101"/>
        <v>U</v>
      </c>
      <c r="L3260" s="5" t="s">
        <v>2357</v>
      </c>
      <c r="M3260" s="5" t="s">
        <v>9864</v>
      </c>
      <c r="N3260" s="5" t="s">
        <v>9865</v>
      </c>
      <c r="O3260" s="5" t="s">
        <v>3014</v>
      </c>
      <c r="P3260" s="5" t="s">
        <v>2992</v>
      </c>
      <c r="Q3260" s="11">
        <v>46306.5</v>
      </c>
      <c r="R3260" s="6"/>
      <c r="S3260" s="6"/>
      <c r="T3260" s="6"/>
      <c r="U3260" s="5">
        <f>MATCH(B3260,Manual_Review!$A$6:$A$238,0)</f>
        <v>204</v>
      </c>
      <c r="V3260" s="5" t="str">
        <f>IF(INDEX(Manual_Review!$G$6:$G$238,U3260)="","",INDEX(Manual_Review!$G$6:$G$238,U3260))</f>
        <v/>
      </c>
      <c r="W3260" s="11" t="str">
        <f>IF(INDEX(Manual_Review!$H$6:$H$238,U3260)="","",INDEX(Manual_Review!$H$6:$H$238,U3260))</f>
        <v/>
      </c>
      <c r="X3260" s="5" t="str">
        <f>IF(INDEX(Manual_Review!$I$6:$I$238,U3260)="","",INDEX(Manual_Review!$I$6:$I$238,U3260))</f>
        <v/>
      </c>
      <c r="Y3260" s="5" t="s">
        <v>2859</v>
      </c>
    </row>
    <row r="3261" spans="1:25" ht="38.25">
      <c r="A3261" s="5" t="s">
        <v>9866</v>
      </c>
      <c r="B3261" s="5" t="s">
        <v>2345</v>
      </c>
      <c r="C3261" s="5" t="s">
        <v>2346</v>
      </c>
      <c r="D3261" s="5" t="s">
        <v>118</v>
      </c>
      <c r="E3261" s="5" t="s">
        <v>2788</v>
      </c>
      <c r="F3261" s="5" t="s">
        <v>2758</v>
      </c>
      <c r="G3261" s="5">
        <v>1</v>
      </c>
      <c r="H3261" s="5" t="s">
        <v>2854</v>
      </c>
      <c r="I3261" s="5" t="str">
        <f>IF(INDEX(Manual_Review!$R$6:$R$238,U3261)="","",INDEX(Manual_Review!$R$6:$R$238,U3261))</f>
        <v/>
      </c>
      <c r="J3261" s="5" t="str">
        <f t="shared" si="100"/>
        <v>AI provisional</v>
      </c>
      <c r="K3261" s="5" t="str">
        <f t="shared" si="101"/>
        <v>Y</v>
      </c>
      <c r="L3261" s="5" t="s">
        <v>2357</v>
      </c>
      <c r="M3261" s="5" t="s">
        <v>9867</v>
      </c>
      <c r="N3261" s="5" t="s">
        <v>9868</v>
      </c>
      <c r="O3261" s="5" t="s">
        <v>9869</v>
      </c>
      <c r="P3261" s="5" t="s">
        <v>2992</v>
      </c>
      <c r="Q3261" s="11">
        <v>46306.5</v>
      </c>
      <c r="R3261" s="6"/>
      <c r="S3261" s="6"/>
      <c r="T3261" s="6"/>
      <c r="U3261" s="5">
        <f>MATCH(B3261,Manual_Review!$A$6:$A$238,0)</f>
        <v>204</v>
      </c>
      <c r="V3261" s="5" t="str">
        <f>IF(INDEX(Manual_Review!$G$6:$G$238,U3261)="","",INDEX(Manual_Review!$G$6:$G$238,U3261))</f>
        <v/>
      </c>
      <c r="W3261" s="11" t="str">
        <f>IF(INDEX(Manual_Review!$H$6:$H$238,U3261)="","",INDEX(Manual_Review!$H$6:$H$238,U3261))</f>
        <v/>
      </c>
      <c r="X3261" s="5" t="str">
        <f>IF(INDEX(Manual_Review!$I$6:$I$238,U3261)="","",INDEX(Manual_Review!$I$6:$I$238,U3261))</f>
        <v/>
      </c>
      <c r="Y3261" s="5" t="s">
        <v>2859</v>
      </c>
    </row>
    <row r="3262" spans="1:25" ht="38.25">
      <c r="A3262" s="5" t="s">
        <v>9870</v>
      </c>
      <c r="B3262" s="5" t="s">
        <v>2345</v>
      </c>
      <c r="C3262" s="5" t="s">
        <v>2346</v>
      </c>
      <c r="D3262" s="5" t="s">
        <v>118</v>
      </c>
      <c r="E3262" s="5" t="s">
        <v>2789</v>
      </c>
      <c r="F3262" s="5" t="s">
        <v>2758</v>
      </c>
      <c r="G3262" s="5">
        <v>1</v>
      </c>
      <c r="H3262" s="5" t="s">
        <v>2854</v>
      </c>
      <c r="I3262" s="5" t="str">
        <f>IF(INDEX(Manual_Review!$S$6:$S$238,U3262)="","",INDEX(Manual_Review!$S$6:$S$238,U3262))</f>
        <v/>
      </c>
      <c r="J3262" s="5" t="str">
        <f t="shared" si="100"/>
        <v>AI provisional</v>
      </c>
      <c r="K3262" s="5" t="str">
        <f t="shared" si="101"/>
        <v>Y</v>
      </c>
      <c r="L3262" s="5" t="s">
        <v>2357</v>
      </c>
      <c r="M3262" s="5" t="s">
        <v>9871</v>
      </c>
      <c r="N3262" s="5" t="s">
        <v>9872</v>
      </c>
      <c r="O3262" s="5" t="s">
        <v>3022</v>
      </c>
      <c r="P3262" s="5" t="s">
        <v>2992</v>
      </c>
      <c r="Q3262" s="11">
        <v>46306.5</v>
      </c>
      <c r="R3262" s="6"/>
      <c r="S3262" s="6"/>
      <c r="T3262" s="6"/>
      <c r="U3262" s="5">
        <f>MATCH(B3262,Manual_Review!$A$6:$A$238,0)</f>
        <v>204</v>
      </c>
      <c r="V3262" s="5" t="str">
        <f>IF(INDEX(Manual_Review!$G$6:$G$238,U3262)="","",INDEX(Manual_Review!$G$6:$G$238,U3262))</f>
        <v/>
      </c>
      <c r="W3262" s="11" t="str">
        <f>IF(INDEX(Manual_Review!$H$6:$H$238,U3262)="","",INDEX(Manual_Review!$H$6:$H$238,U3262))</f>
        <v/>
      </c>
      <c r="X3262" s="5" t="str">
        <f>IF(INDEX(Manual_Review!$I$6:$I$238,U3262)="","",INDEX(Manual_Review!$I$6:$I$238,U3262))</f>
        <v/>
      </c>
      <c r="Y3262" s="5" t="s">
        <v>2859</v>
      </c>
    </row>
    <row r="3263" spans="1:25" ht="25.5">
      <c r="A3263" s="5" t="s">
        <v>9873</v>
      </c>
      <c r="B3263" s="5" t="s">
        <v>2345</v>
      </c>
      <c r="C3263" s="5" t="s">
        <v>2346</v>
      </c>
      <c r="D3263" s="5" t="s">
        <v>118</v>
      </c>
      <c r="E3263" s="5" t="s">
        <v>2790</v>
      </c>
      <c r="F3263" s="5" t="s">
        <v>2760</v>
      </c>
      <c r="G3263" s="5">
        <v>1</v>
      </c>
      <c r="H3263" s="5" t="s">
        <v>2854</v>
      </c>
      <c r="I3263" s="5" t="str">
        <f>IF(INDEX(Manual_Review!$T$6:$T$238,U3263)="","",INDEX(Manual_Review!$T$6:$T$238,U3263))</f>
        <v/>
      </c>
      <c r="J3263" s="5" t="str">
        <f t="shared" si="100"/>
        <v>AI provisional</v>
      </c>
      <c r="K3263" s="5" t="str">
        <f t="shared" si="101"/>
        <v>Y</v>
      </c>
      <c r="L3263" s="5" t="s">
        <v>2357</v>
      </c>
      <c r="M3263" s="5" t="s">
        <v>9874</v>
      </c>
      <c r="N3263" s="5" t="s">
        <v>9875</v>
      </c>
      <c r="O3263" s="5" t="s">
        <v>3451</v>
      </c>
      <c r="P3263" s="5" t="s">
        <v>2992</v>
      </c>
      <c r="Q3263" s="11">
        <v>46306.5</v>
      </c>
      <c r="R3263" s="6"/>
      <c r="S3263" s="6"/>
      <c r="T3263" s="6"/>
      <c r="U3263" s="5">
        <f>MATCH(B3263,Manual_Review!$A$6:$A$238,0)</f>
        <v>204</v>
      </c>
      <c r="V3263" s="5" t="str">
        <f>IF(INDEX(Manual_Review!$G$6:$G$238,U3263)="","",INDEX(Manual_Review!$G$6:$G$238,U3263))</f>
        <v/>
      </c>
      <c r="W3263" s="11" t="str">
        <f>IF(INDEX(Manual_Review!$H$6:$H$238,U3263)="","",INDEX(Manual_Review!$H$6:$H$238,U3263))</f>
        <v/>
      </c>
      <c r="X3263" s="5" t="str">
        <f>IF(INDEX(Manual_Review!$I$6:$I$238,U3263)="","",INDEX(Manual_Review!$I$6:$I$238,U3263))</f>
        <v/>
      </c>
      <c r="Y3263" s="5" t="s">
        <v>2859</v>
      </c>
    </row>
    <row r="3264" spans="1:25" ht="25.5">
      <c r="A3264" s="5" t="s">
        <v>9876</v>
      </c>
      <c r="B3264" s="5" t="s">
        <v>2345</v>
      </c>
      <c r="C3264" s="5" t="s">
        <v>2346</v>
      </c>
      <c r="D3264" s="5" t="s">
        <v>118</v>
      </c>
      <c r="E3264" s="5" t="s">
        <v>2791</v>
      </c>
      <c r="F3264" s="5" t="s">
        <v>2760</v>
      </c>
      <c r="G3264" s="5">
        <v>1</v>
      </c>
      <c r="H3264" s="5" t="s">
        <v>2864</v>
      </c>
      <c r="I3264" s="5" t="str">
        <f>IF(INDEX(Manual_Review!$U$6:$U$238,U3264)="","",INDEX(Manual_Review!$U$6:$U$238,U3264))</f>
        <v/>
      </c>
      <c r="J3264" s="5" t="str">
        <f t="shared" si="100"/>
        <v>AI provisional</v>
      </c>
      <c r="K3264" s="5" t="str">
        <f t="shared" si="101"/>
        <v>U</v>
      </c>
      <c r="L3264" s="5" t="s">
        <v>2357</v>
      </c>
      <c r="M3264" s="5" t="s">
        <v>9877</v>
      </c>
      <c r="N3264" s="5" t="s">
        <v>9878</v>
      </c>
      <c r="O3264" s="5" t="s">
        <v>3030</v>
      </c>
      <c r="P3264" s="5" t="s">
        <v>2992</v>
      </c>
      <c r="Q3264" s="11">
        <v>46306.5</v>
      </c>
      <c r="R3264" s="6"/>
      <c r="S3264" s="6"/>
      <c r="T3264" s="6"/>
      <c r="U3264" s="5">
        <f>MATCH(B3264,Manual_Review!$A$6:$A$238,0)</f>
        <v>204</v>
      </c>
      <c r="V3264" s="5" t="str">
        <f>IF(INDEX(Manual_Review!$G$6:$G$238,U3264)="","",INDEX(Manual_Review!$G$6:$G$238,U3264))</f>
        <v/>
      </c>
      <c r="W3264" s="11" t="str">
        <f>IF(INDEX(Manual_Review!$H$6:$H$238,U3264)="","",INDEX(Manual_Review!$H$6:$H$238,U3264))</f>
        <v/>
      </c>
      <c r="X3264" s="5" t="str">
        <f>IF(INDEX(Manual_Review!$I$6:$I$238,U3264)="","",INDEX(Manual_Review!$I$6:$I$238,U3264))</f>
        <v/>
      </c>
      <c r="Y3264" s="5" t="s">
        <v>2859</v>
      </c>
    </row>
    <row r="3265" spans="1:25" ht="25.5">
      <c r="A3265" s="5" t="s">
        <v>9879</v>
      </c>
      <c r="B3265" s="5" t="s">
        <v>2345</v>
      </c>
      <c r="C3265" s="5" t="s">
        <v>2346</v>
      </c>
      <c r="D3265" s="5" t="s">
        <v>118</v>
      </c>
      <c r="E3265" s="5" t="s">
        <v>2792</v>
      </c>
      <c r="F3265" s="5" t="s">
        <v>2762</v>
      </c>
      <c r="G3265" s="5">
        <v>1</v>
      </c>
      <c r="H3265" s="5" t="s">
        <v>2854</v>
      </c>
      <c r="I3265" s="5" t="str">
        <f>IF(INDEX(Manual_Review!$V$6:$V$238,U3265)="","",INDEX(Manual_Review!$V$6:$V$238,U3265))</f>
        <v/>
      </c>
      <c r="J3265" s="5" t="str">
        <f t="shared" si="100"/>
        <v>AI provisional</v>
      </c>
      <c r="K3265" s="5" t="str">
        <f t="shared" si="101"/>
        <v>Y</v>
      </c>
      <c r="L3265" s="5" t="s">
        <v>2357</v>
      </c>
      <c r="M3265" s="5" t="s">
        <v>9880</v>
      </c>
      <c r="N3265" s="5" t="s">
        <v>9881</v>
      </c>
      <c r="O3265" s="5" t="s">
        <v>3034</v>
      </c>
      <c r="P3265" s="5" t="s">
        <v>2992</v>
      </c>
      <c r="Q3265" s="11">
        <v>46306.5</v>
      </c>
      <c r="R3265" s="6"/>
      <c r="S3265" s="6"/>
      <c r="T3265" s="6"/>
      <c r="U3265" s="5">
        <f>MATCH(B3265,Manual_Review!$A$6:$A$238,0)</f>
        <v>204</v>
      </c>
      <c r="V3265" s="5" t="str">
        <f>IF(INDEX(Manual_Review!$G$6:$G$238,U3265)="","",INDEX(Manual_Review!$G$6:$G$238,U3265))</f>
        <v/>
      </c>
      <c r="W3265" s="11" t="str">
        <f>IF(INDEX(Manual_Review!$H$6:$H$238,U3265)="","",INDEX(Manual_Review!$H$6:$H$238,U3265))</f>
        <v/>
      </c>
      <c r="X3265" s="5" t="str">
        <f>IF(INDEX(Manual_Review!$I$6:$I$238,U3265)="","",INDEX(Manual_Review!$I$6:$I$238,U3265))</f>
        <v/>
      </c>
      <c r="Y3265" s="5" t="s">
        <v>2859</v>
      </c>
    </row>
    <row r="3266" spans="1:25" ht="51">
      <c r="A3266" s="5" t="s">
        <v>9882</v>
      </c>
      <c r="B3266" s="5" t="s">
        <v>2345</v>
      </c>
      <c r="C3266" s="5" t="s">
        <v>2346</v>
      </c>
      <c r="D3266" s="5" t="s">
        <v>118</v>
      </c>
      <c r="E3266" s="5" t="s">
        <v>2793</v>
      </c>
      <c r="F3266" s="5" t="s">
        <v>2762</v>
      </c>
      <c r="G3266" s="5">
        <v>1</v>
      </c>
      <c r="H3266" s="5" t="s">
        <v>2854</v>
      </c>
      <c r="I3266" s="5" t="str">
        <f>IF(INDEX(Manual_Review!$W$6:$W$238,U3266)="","",INDEX(Manual_Review!$W$6:$W$238,U3266))</f>
        <v/>
      </c>
      <c r="J3266" s="5" t="str">
        <f t="shared" si="100"/>
        <v>AI provisional</v>
      </c>
      <c r="K3266" s="5" t="str">
        <f t="shared" si="101"/>
        <v>Y</v>
      </c>
      <c r="L3266" s="5" t="s">
        <v>2357</v>
      </c>
      <c r="M3266" s="5" t="s">
        <v>9883</v>
      </c>
      <c r="N3266" s="5" t="s">
        <v>9884</v>
      </c>
      <c r="O3266" s="5" t="s">
        <v>3038</v>
      </c>
      <c r="P3266" s="5" t="s">
        <v>2992</v>
      </c>
      <c r="Q3266" s="11">
        <v>46306.5</v>
      </c>
      <c r="R3266" s="6"/>
      <c r="S3266" s="6"/>
      <c r="T3266" s="6"/>
      <c r="U3266" s="5">
        <f>MATCH(B3266,Manual_Review!$A$6:$A$238,0)</f>
        <v>204</v>
      </c>
      <c r="V3266" s="5" t="str">
        <f>IF(INDEX(Manual_Review!$G$6:$G$238,U3266)="","",INDEX(Manual_Review!$G$6:$G$238,U3266))</f>
        <v/>
      </c>
      <c r="W3266" s="11" t="str">
        <f>IF(INDEX(Manual_Review!$H$6:$H$238,U3266)="","",INDEX(Manual_Review!$H$6:$H$238,U3266))</f>
        <v/>
      </c>
      <c r="X3266" s="5" t="str">
        <f>IF(INDEX(Manual_Review!$I$6:$I$238,U3266)="","",INDEX(Manual_Review!$I$6:$I$238,U3266))</f>
        <v/>
      </c>
      <c r="Y3266" s="5" t="s">
        <v>2859</v>
      </c>
    </row>
    <row r="3267" spans="1:25" ht="25.5">
      <c r="A3267" s="5" t="s">
        <v>9885</v>
      </c>
      <c r="B3267" s="5" t="s">
        <v>2345</v>
      </c>
      <c r="C3267" s="5" t="s">
        <v>2346</v>
      </c>
      <c r="D3267" s="5" t="s">
        <v>118</v>
      </c>
      <c r="E3267" s="5" t="s">
        <v>2794</v>
      </c>
      <c r="F3267" s="5" t="s">
        <v>2764</v>
      </c>
      <c r="G3267" s="5">
        <v>1</v>
      </c>
      <c r="H3267" s="5" t="s">
        <v>2854</v>
      </c>
      <c r="I3267" s="5" t="str">
        <f>IF(INDEX(Manual_Review!$X$6:$X$238,U3267)="","",INDEX(Manual_Review!$X$6:$X$238,U3267))</f>
        <v/>
      </c>
      <c r="J3267" s="5" t="str">
        <f t="shared" si="100"/>
        <v>AI provisional</v>
      </c>
      <c r="K3267" s="5" t="str">
        <f t="shared" si="101"/>
        <v>Y</v>
      </c>
      <c r="L3267" s="5" t="s">
        <v>2357</v>
      </c>
      <c r="M3267" s="5" t="s">
        <v>9886</v>
      </c>
      <c r="N3267" s="5" t="s">
        <v>9887</v>
      </c>
      <c r="O3267" s="5" t="s">
        <v>3042</v>
      </c>
      <c r="P3267" s="5" t="s">
        <v>2992</v>
      </c>
      <c r="Q3267" s="11">
        <v>46306.5</v>
      </c>
      <c r="R3267" s="6"/>
      <c r="S3267" s="6"/>
      <c r="T3267" s="6"/>
      <c r="U3267" s="5">
        <f>MATCH(B3267,Manual_Review!$A$6:$A$238,0)</f>
        <v>204</v>
      </c>
      <c r="V3267" s="5" t="str">
        <f>IF(INDEX(Manual_Review!$G$6:$G$238,U3267)="","",INDEX(Manual_Review!$G$6:$G$238,U3267))</f>
        <v/>
      </c>
      <c r="W3267" s="11" t="str">
        <f>IF(INDEX(Manual_Review!$H$6:$H$238,U3267)="","",INDEX(Manual_Review!$H$6:$H$238,U3267))</f>
        <v/>
      </c>
      <c r="X3267" s="5" t="str">
        <f>IF(INDEX(Manual_Review!$I$6:$I$238,U3267)="","",INDEX(Manual_Review!$I$6:$I$238,U3267))</f>
        <v/>
      </c>
      <c r="Y3267" s="5" t="s">
        <v>2859</v>
      </c>
    </row>
    <row r="3268" spans="1:25" ht="25.5">
      <c r="A3268" s="5" t="s">
        <v>9888</v>
      </c>
      <c r="B3268" s="5" t="s">
        <v>2345</v>
      </c>
      <c r="C3268" s="5" t="s">
        <v>2346</v>
      </c>
      <c r="D3268" s="5" t="s">
        <v>118</v>
      </c>
      <c r="E3268" s="5" t="s">
        <v>2795</v>
      </c>
      <c r="F3268" s="5" t="s">
        <v>2764</v>
      </c>
      <c r="G3268" s="5">
        <v>1</v>
      </c>
      <c r="H3268" s="5" t="s">
        <v>2854</v>
      </c>
      <c r="I3268" s="5" t="str">
        <f>IF(INDEX(Manual_Review!$Y$6:$Y$238,U3268)="","",INDEX(Manual_Review!$Y$6:$Y$238,U3268))</f>
        <v/>
      </c>
      <c r="J3268" s="5" t="str">
        <f t="shared" si="100"/>
        <v>AI provisional</v>
      </c>
      <c r="K3268" s="5" t="str">
        <f t="shared" si="101"/>
        <v>Y</v>
      </c>
      <c r="L3268" s="5" t="s">
        <v>2357</v>
      </c>
      <c r="M3268" s="5" t="s">
        <v>9889</v>
      </c>
      <c r="N3268" s="5" t="s">
        <v>9890</v>
      </c>
      <c r="O3268" s="5" t="s">
        <v>3046</v>
      </c>
      <c r="P3268" s="5" t="s">
        <v>2992</v>
      </c>
      <c r="Q3268" s="11">
        <v>46306.5</v>
      </c>
      <c r="R3268" s="6"/>
      <c r="S3268" s="6"/>
      <c r="T3268" s="6"/>
      <c r="U3268" s="5">
        <f>MATCH(B3268,Manual_Review!$A$6:$A$238,0)</f>
        <v>204</v>
      </c>
      <c r="V3268" s="5" t="str">
        <f>IF(INDEX(Manual_Review!$G$6:$G$238,U3268)="","",INDEX(Manual_Review!$G$6:$G$238,U3268))</f>
        <v/>
      </c>
      <c r="W3268" s="11" t="str">
        <f>IF(INDEX(Manual_Review!$H$6:$H$238,U3268)="","",INDEX(Manual_Review!$H$6:$H$238,U3268))</f>
        <v/>
      </c>
      <c r="X3268" s="5" t="str">
        <f>IF(INDEX(Manual_Review!$I$6:$I$238,U3268)="","",INDEX(Manual_Review!$I$6:$I$238,U3268))</f>
        <v/>
      </c>
      <c r="Y3268" s="5" t="s">
        <v>2859</v>
      </c>
    </row>
    <row r="3269" spans="1:25" ht="38.25">
      <c r="A3269" s="5" t="s">
        <v>9891</v>
      </c>
      <c r="B3269" s="5" t="s">
        <v>2345</v>
      </c>
      <c r="C3269" s="5" t="s">
        <v>2346</v>
      </c>
      <c r="D3269" s="5" t="s">
        <v>118</v>
      </c>
      <c r="E3269" s="5" t="s">
        <v>2796</v>
      </c>
      <c r="F3269" s="5" t="s">
        <v>2764</v>
      </c>
      <c r="G3269" s="5">
        <v>1</v>
      </c>
      <c r="H3269" s="5" t="s">
        <v>2864</v>
      </c>
      <c r="I3269" s="5" t="str">
        <f>IF(INDEX(Manual_Review!$Z$6:$Z$238,U3269)="","",INDEX(Manual_Review!$Z$6:$Z$238,U3269))</f>
        <v/>
      </c>
      <c r="J3269" s="5" t="str">
        <f t="shared" si="100"/>
        <v>AI provisional</v>
      </c>
      <c r="K3269" s="5" t="str">
        <f t="shared" si="101"/>
        <v>U</v>
      </c>
      <c r="L3269" s="5" t="s">
        <v>2357</v>
      </c>
      <c r="M3269" s="5" t="s">
        <v>9892</v>
      </c>
      <c r="N3269" s="5" t="s">
        <v>9893</v>
      </c>
      <c r="O3269" s="5" t="s">
        <v>3050</v>
      </c>
      <c r="P3269" s="5" t="s">
        <v>2992</v>
      </c>
      <c r="Q3269" s="11">
        <v>46306.5</v>
      </c>
      <c r="R3269" s="6"/>
      <c r="S3269" s="6"/>
      <c r="T3269" s="6"/>
      <c r="U3269" s="5">
        <f>MATCH(B3269,Manual_Review!$A$6:$A$238,0)</f>
        <v>204</v>
      </c>
      <c r="V3269" s="5" t="str">
        <f>IF(INDEX(Manual_Review!$G$6:$G$238,U3269)="","",INDEX(Manual_Review!$G$6:$G$238,U3269))</f>
        <v/>
      </c>
      <c r="W3269" s="11" t="str">
        <f>IF(INDEX(Manual_Review!$H$6:$H$238,U3269)="","",INDEX(Manual_Review!$H$6:$H$238,U3269))</f>
        <v/>
      </c>
      <c r="X3269" s="5" t="str">
        <f>IF(INDEX(Manual_Review!$I$6:$I$238,U3269)="","",INDEX(Manual_Review!$I$6:$I$238,U3269))</f>
        <v/>
      </c>
      <c r="Y3269" s="5" t="s">
        <v>2859</v>
      </c>
    </row>
    <row r="3270" spans="1:25" ht="25.5">
      <c r="A3270" s="5" t="s">
        <v>9894</v>
      </c>
      <c r="B3270" s="5" t="s">
        <v>2359</v>
      </c>
      <c r="C3270" s="5" t="s">
        <v>2360</v>
      </c>
      <c r="D3270" s="5" t="s">
        <v>118</v>
      </c>
      <c r="E3270" s="5" t="s">
        <v>2781</v>
      </c>
      <c r="F3270" s="5" t="s">
        <v>2754</v>
      </c>
      <c r="G3270" s="5">
        <v>1</v>
      </c>
      <c r="H3270" s="5" t="s">
        <v>2854</v>
      </c>
      <c r="I3270" s="5" t="str">
        <f>IF(INDEX(Manual_Review!$K$6:$K$238,U3270)="","",INDEX(Manual_Review!$K$6:$K$238,U3270))</f>
        <v/>
      </c>
      <c r="J3270" s="5" t="str">
        <f t="shared" ref="J3270:J3333" si="102">IF(G3270=0,"Not applicable",IF(I3270="","AI provisional",IF(AND(OR(I3270="Y",I3270="N",I3270="U",I3270="X"),V3270&lt;&gt;"",ISNUMBER(W3270),W3270&gt;0,X3270="Confirmed",R3270&lt;&gt;"",S3270&lt;&gt;"",T3270&lt;&gt;""),"Human valid","Evidence needed")))</f>
        <v>AI provisional</v>
      </c>
      <c r="K3270" s="5" t="str">
        <f t="shared" ref="K3270:K3333" si="103">IF(G3270=0,"N/A",IF(I3270="",H3270,IF(J3270="Human valid",I3270,"U")))</f>
        <v>Y</v>
      </c>
      <c r="L3270" s="5" t="s">
        <v>2370</v>
      </c>
      <c r="M3270" s="5" t="s">
        <v>9895</v>
      </c>
      <c r="N3270" s="5" t="s">
        <v>9896</v>
      </c>
      <c r="O3270" s="5" t="s">
        <v>2991</v>
      </c>
      <c r="P3270" s="5" t="s">
        <v>2992</v>
      </c>
      <c r="Q3270" s="11">
        <v>46306.5</v>
      </c>
      <c r="R3270" s="6"/>
      <c r="S3270" s="6"/>
      <c r="T3270" s="6"/>
      <c r="U3270" s="5">
        <f>MATCH(B3270,Manual_Review!$A$6:$A$238,0)</f>
        <v>205</v>
      </c>
      <c r="V3270" s="5" t="str">
        <f>IF(INDEX(Manual_Review!$G$6:$G$238,U3270)="","",INDEX(Manual_Review!$G$6:$G$238,U3270))</f>
        <v/>
      </c>
      <c r="W3270" s="11" t="str">
        <f>IF(INDEX(Manual_Review!$H$6:$H$238,U3270)="","",INDEX(Manual_Review!$H$6:$H$238,U3270))</f>
        <v/>
      </c>
      <c r="X3270" s="5" t="str">
        <f>IF(INDEX(Manual_Review!$I$6:$I$238,U3270)="","",INDEX(Manual_Review!$I$6:$I$238,U3270))</f>
        <v/>
      </c>
      <c r="Y3270" s="5" t="s">
        <v>2859</v>
      </c>
    </row>
    <row r="3271" spans="1:25" ht="25.5">
      <c r="A3271" s="5" t="s">
        <v>9897</v>
      </c>
      <c r="B3271" s="5" t="s">
        <v>2359</v>
      </c>
      <c r="C3271" s="5" t="s">
        <v>2360</v>
      </c>
      <c r="D3271" s="5" t="s">
        <v>118</v>
      </c>
      <c r="E3271" s="5" t="s">
        <v>2782</v>
      </c>
      <c r="F3271" s="5" t="s">
        <v>2754</v>
      </c>
      <c r="G3271" s="5">
        <v>1</v>
      </c>
      <c r="H3271" s="5" t="s">
        <v>2864</v>
      </c>
      <c r="I3271" s="5" t="str">
        <f>IF(INDEX(Manual_Review!$L$6:$L$238,U3271)="","",INDEX(Manual_Review!$L$6:$L$238,U3271))</f>
        <v/>
      </c>
      <c r="J3271" s="5" t="str">
        <f t="shared" si="102"/>
        <v>AI provisional</v>
      </c>
      <c r="K3271" s="5" t="str">
        <f t="shared" si="103"/>
        <v>U</v>
      </c>
      <c r="L3271" s="5" t="s">
        <v>2370</v>
      </c>
      <c r="M3271" s="5" t="s">
        <v>9898</v>
      </c>
      <c r="N3271" s="5" t="s">
        <v>9899</v>
      </c>
      <c r="O3271" s="5" t="s">
        <v>8572</v>
      </c>
      <c r="P3271" s="5" t="s">
        <v>2992</v>
      </c>
      <c r="Q3271" s="11">
        <v>46306.5</v>
      </c>
      <c r="R3271" s="6"/>
      <c r="S3271" s="6"/>
      <c r="T3271" s="6"/>
      <c r="U3271" s="5">
        <f>MATCH(B3271,Manual_Review!$A$6:$A$238,0)</f>
        <v>205</v>
      </c>
      <c r="V3271" s="5" t="str">
        <f>IF(INDEX(Manual_Review!$G$6:$G$238,U3271)="","",INDEX(Manual_Review!$G$6:$G$238,U3271))</f>
        <v/>
      </c>
      <c r="W3271" s="11" t="str">
        <f>IF(INDEX(Manual_Review!$H$6:$H$238,U3271)="","",INDEX(Manual_Review!$H$6:$H$238,U3271))</f>
        <v/>
      </c>
      <c r="X3271" s="5" t="str">
        <f>IF(INDEX(Manual_Review!$I$6:$I$238,U3271)="","",INDEX(Manual_Review!$I$6:$I$238,U3271))</f>
        <v/>
      </c>
      <c r="Y3271" s="5" t="s">
        <v>2859</v>
      </c>
    </row>
    <row r="3272" spans="1:25" ht="25.5">
      <c r="A3272" s="5" t="s">
        <v>9900</v>
      </c>
      <c r="B3272" s="5" t="s">
        <v>2359</v>
      </c>
      <c r="C3272" s="5" t="s">
        <v>2360</v>
      </c>
      <c r="D3272" s="5" t="s">
        <v>118</v>
      </c>
      <c r="E3272" s="5" t="s">
        <v>2783</v>
      </c>
      <c r="F3272" s="5" t="s">
        <v>2754</v>
      </c>
      <c r="G3272" s="5">
        <v>1</v>
      </c>
      <c r="H3272" s="5" t="s">
        <v>2864</v>
      </c>
      <c r="I3272" s="5" t="str">
        <f>IF(INDEX(Manual_Review!$M$6:$M$238,U3272)="","",INDEX(Manual_Review!$M$6:$M$238,U3272))</f>
        <v/>
      </c>
      <c r="J3272" s="5" t="str">
        <f t="shared" si="102"/>
        <v>AI provisional</v>
      </c>
      <c r="K3272" s="5" t="str">
        <f t="shared" si="103"/>
        <v>U</v>
      </c>
      <c r="L3272" s="5" t="s">
        <v>2370</v>
      </c>
      <c r="M3272" s="5" t="s">
        <v>9901</v>
      </c>
      <c r="N3272" s="5" t="s">
        <v>9902</v>
      </c>
      <c r="O3272" s="5" t="s">
        <v>3808</v>
      </c>
      <c r="P3272" s="5" t="s">
        <v>2992</v>
      </c>
      <c r="Q3272" s="11">
        <v>46306.5</v>
      </c>
      <c r="R3272" s="6"/>
      <c r="S3272" s="6"/>
      <c r="T3272" s="6"/>
      <c r="U3272" s="5">
        <f>MATCH(B3272,Manual_Review!$A$6:$A$238,0)</f>
        <v>205</v>
      </c>
      <c r="V3272" s="5" t="str">
        <f>IF(INDEX(Manual_Review!$G$6:$G$238,U3272)="","",INDEX(Manual_Review!$G$6:$G$238,U3272))</f>
        <v/>
      </c>
      <c r="W3272" s="11" t="str">
        <f>IF(INDEX(Manual_Review!$H$6:$H$238,U3272)="","",INDEX(Manual_Review!$H$6:$H$238,U3272))</f>
        <v/>
      </c>
      <c r="X3272" s="5" t="str">
        <f>IF(INDEX(Manual_Review!$I$6:$I$238,U3272)="","",INDEX(Manual_Review!$I$6:$I$238,U3272))</f>
        <v/>
      </c>
      <c r="Y3272" s="5" t="s">
        <v>2859</v>
      </c>
    </row>
    <row r="3273" spans="1:25" ht="25.5">
      <c r="A3273" s="5" t="s">
        <v>9903</v>
      </c>
      <c r="B3273" s="5" t="s">
        <v>2359</v>
      </c>
      <c r="C3273" s="5" t="s">
        <v>2360</v>
      </c>
      <c r="D3273" s="5" t="s">
        <v>118</v>
      </c>
      <c r="E3273" s="5" t="s">
        <v>2784</v>
      </c>
      <c r="F3273" s="5" t="s">
        <v>2756</v>
      </c>
      <c r="G3273" s="5">
        <v>1</v>
      </c>
      <c r="H3273" s="5" t="s">
        <v>2864</v>
      </c>
      <c r="I3273" s="5" t="str">
        <f>IF(INDEX(Manual_Review!$N$6:$N$238,U3273)="","",INDEX(Manual_Review!$N$6:$N$238,U3273))</f>
        <v/>
      </c>
      <c r="J3273" s="5" t="str">
        <f t="shared" si="102"/>
        <v>AI provisional</v>
      </c>
      <c r="K3273" s="5" t="str">
        <f t="shared" si="103"/>
        <v>U</v>
      </c>
      <c r="L3273" s="5" t="s">
        <v>2370</v>
      </c>
      <c r="M3273" s="5" t="s">
        <v>9904</v>
      </c>
      <c r="N3273" s="5" t="s">
        <v>9905</v>
      </c>
      <c r="O3273" s="5" t="s">
        <v>9214</v>
      </c>
      <c r="P3273" s="5" t="s">
        <v>2992</v>
      </c>
      <c r="Q3273" s="11">
        <v>46306.5</v>
      </c>
      <c r="R3273" s="6"/>
      <c r="S3273" s="6"/>
      <c r="T3273" s="6"/>
      <c r="U3273" s="5">
        <f>MATCH(B3273,Manual_Review!$A$6:$A$238,0)</f>
        <v>205</v>
      </c>
      <c r="V3273" s="5" t="str">
        <f>IF(INDEX(Manual_Review!$G$6:$G$238,U3273)="","",INDEX(Manual_Review!$G$6:$G$238,U3273))</f>
        <v/>
      </c>
      <c r="W3273" s="11" t="str">
        <f>IF(INDEX(Manual_Review!$H$6:$H$238,U3273)="","",INDEX(Manual_Review!$H$6:$H$238,U3273))</f>
        <v/>
      </c>
      <c r="X3273" s="5" t="str">
        <f>IF(INDEX(Manual_Review!$I$6:$I$238,U3273)="","",INDEX(Manual_Review!$I$6:$I$238,U3273))</f>
        <v/>
      </c>
      <c r="Y3273" s="5" t="s">
        <v>2859</v>
      </c>
    </row>
    <row r="3274" spans="1:25" ht="25.5">
      <c r="A3274" s="5" t="s">
        <v>9906</v>
      </c>
      <c r="B3274" s="5" t="s">
        <v>2359</v>
      </c>
      <c r="C3274" s="5" t="s">
        <v>2360</v>
      </c>
      <c r="D3274" s="5" t="s">
        <v>118</v>
      </c>
      <c r="E3274" s="5" t="s">
        <v>2785</v>
      </c>
      <c r="F3274" s="5" t="s">
        <v>2756</v>
      </c>
      <c r="G3274" s="5">
        <v>1</v>
      </c>
      <c r="H3274" s="5" t="s">
        <v>2864</v>
      </c>
      <c r="I3274" s="5" t="str">
        <f>IF(INDEX(Manual_Review!$O$6:$O$238,U3274)="","",INDEX(Manual_Review!$O$6:$O$238,U3274))</f>
        <v/>
      </c>
      <c r="J3274" s="5" t="str">
        <f t="shared" si="102"/>
        <v>AI provisional</v>
      </c>
      <c r="K3274" s="5" t="str">
        <f t="shared" si="103"/>
        <v>U</v>
      </c>
      <c r="L3274" s="5" t="s">
        <v>2370</v>
      </c>
      <c r="M3274" s="5" t="s">
        <v>9904</v>
      </c>
      <c r="N3274" s="5" t="s">
        <v>9905</v>
      </c>
      <c r="O3274" s="5" t="s">
        <v>3006</v>
      </c>
      <c r="P3274" s="5" t="s">
        <v>2992</v>
      </c>
      <c r="Q3274" s="11">
        <v>46306.5</v>
      </c>
      <c r="R3274" s="6"/>
      <c r="S3274" s="6"/>
      <c r="T3274" s="6"/>
      <c r="U3274" s="5">
        <f>MATCH(B3274,Manual_Review!$A$6:$A$238,0)</f>
        <v>205</v>
      </c>
      <c r="V3274" s="5" t="str">
        <f>IF(INDEX(Manual_Review!$G$6:$G$238,U3274)="","",INDEX(Manual_Review!$G$6:$G$238,U3274))</f>
        <v/>
      </c>
      <c r="W3274" s="11" t="str">
        <f>IF(INDEX(Manual_Review!$H$6:$H$238,U3274)="","",INDEX(Manual_Review!$H$6:$H$238,U3274))</f>
        <v/>
      </c>
      <c r="X3274" s="5" t="str">
        <f>IF(INDEX(Manual_Review!$I$6:$I$238,U3274)="","",INDEX(Manual_Review!$I$6:$I$238,U3274))</f>
        <v/>
      </c>
      <c r="Y3274" s="5" t="s">
        <v>2859</v>
      </c>
    </row>
    <row r="3275" spans="1:25" ht="25.5">
      <c r="A3275" s="5" t="s">
        <v>9907</v>
      </c>
      <c r="B3275" s="5" t="s">
        <v>2359</v>
      </c>
      <c r="C3275" s="5" t="s">
        <v>2360</v>
      </c>
      <c r="D3275" s="5" t="s">
        <v>118</v>
      </c>
      <c r="E3275" s="5" t="s">
        <v>2786</v>
      </c>
      <c r="F3275" s="5" t="s">
        <v>2756</v>
      </c>
      <c r="G3275" s="5">
        <v>1</v>
      </c>
      <c r="H3275" s="5" t="s">
        <v>2864</v>
      </c>
      <c r="I3275" s="5" t="str">
        <f>IF(INDEX(Manual_Review!$P$6:$P$238,U3275)="","",INDEX(Manual_Review!$P$6:$P$238,U3275))</f>
        <v/>
      </c>
      <c r="J3275" s="5" t="str">
        <f t="shared" si="102"/>
        <v>AI provisional</v>
      </c>
      <c r="K3275" s="5" t="str">
        <f t="shared" si="103"/>
        <v>U</v>
      </c>
      <c r="L3275" s="5" t="s">
        <v>2370</v>
      </c>
      <c r="M3275" s="5" t="s">
        <v>9908</v>
      </c>
      <c r="N3275" s="5" t="s">
        <v>9909</v>
      </c>
      <c r="O3275" s="5" t="s">
        <v>3010</v>
      </c>
      <c r="P3275" s="5" t="s">
        <v>2992</v>
      </c>
      <c r="Q3275" s="11">
        <v>46306.5</v>
      </c>
      <c r="R3275" s="6"/>
      <c r="S3275" s="6"/>
      <c r="T3275" s="6"/>
      <c r="U3275" s="5">
        <f>MATCH(B3275,Manual_Review!$A$6:$A$238,0)</f>
        <v>205</v>
      </c>
      <c r="V3275" s="5" t="str">
        <f>IF(INDEX(Manual_Review!$G$6:$G$238,U3275)="","",INDEX(Manual_Review!$G$6:$G$238,U3275))</f>
        <v/>
      </c>
      <c r="W3275" s="11" t="str">
        <f>IF(INDEX(Manual_Review!$H$6:$H$238,U3275)="","",INDEX(Manual_Review!$H$6:$H$238,U3275))</f>
        <v/>
      </c>
      <c r="X3275" s="5" t="str">
        <f>IF(INDEX(Manual_Review!$I$6:$I$238,U3275)="","",INDEX(Manual_Review!$I$6:$I$238,U3275))</f>
        <v/>
      </c>
      <c r="Y3275" s="5" t="s">
        <v>2859</v>
      </c>
    </row>
    <row r="3276" spans="1:25" ht="25.5">
      <c r="A3276" s="5" t="s">
        <v>9910</v>
      </c>
      <c r="B3276" s="5" t="s">
        <v>2359</v>
      </c>
      <c r="C3276" s="5" t="s">
        <v>2360</v>
      </c>
      <c r="D3276" s="5" t="s">
        <v>118</v>
      </c>
      <c r="E3276" s="5" t="s">
        <v>2787</v>
      </c>
      <c r="F3276" s="5" t="s">
        <v>2758</v>
      </c>
      <c r="G3276" s="5">
        <v>1</v>
      </c>
      <c r="H3276" s="5" t="s">
        <v>2864</v>
      </c>
      <c r="I3276" s="5" t="str">
        <f>IF(INDEX(Manual_Review!$Q$6:$Q$238,U3276)="","",INDEX(Manual_Review!$Q$6:$Q$238,U3276))</f>
        <v/>
      </c>
      <c r="J3276" s="5" t="str">
        <f t="shared" si="102"/>
        <v>AI provisional</v>
      </c>
      <c r="K3276" s="5" t="str">
        <f t="shared" si="103"/>
        <v>U</v>
      </c>
      <c r="L3276" s="5" t="s">
        <v>2370</v>
      </c>
      <c r="M3276" s="5" t="s">
        <v>9911</v>
      </c>
      <c r="N3276" s="5" t="s">
        <v>9912</v>
      </c>
      <c r="O3276" s="5" t="s">
        <v>3014</v>
      </c>
      <c r="P3276" s="5" t="s">
        <v>2992</v>
      </c>
      <c r="Q3276" s="11">
        <v>46306.5</v>
      </c>
      <c r="R3276" s="6"/>
      <c r="S3276" s="6"/>
      <c r="T3276" s="6"/>
      <c r="U3276" s="5">
        <f>MATCH(B3276,Manual_Review!$A$6:$A$238,0)</f>
        <v>205</v>
      </c>
      <c r="V3276" s="5" t="str">
        <f>IF(INDEX(Manual_Review!$G$6:$G$238,U3276)="","",INDEX(Manual_Review!$G$6:$G$238,U3276))</f>
        <v/>
      </c>
      <c r="W3276" s="11" t="str">
        <f>IF(INDEX(Manual_Review!$H$6:$H$238,U3276)="","",INDEX(Manual_Review!$H$6:$H$238,U3276))</f>
        <v/>
      </c>
      <c r="X3276" s="5" t="str">
        <f>IF(INDEX(Manual_Review!$I$6:$I$238,U3276)="","",INDEX(Manual_Review!$I$6:$I$238,U3276))</f>
        <v/>
      </c>
      <c r="Y3276" s="5" t="s">
        <v>2859</v>
      </c>
    </row>
    <row r="3277" spans="1:25" ht="38.25">
      <c r="A3277" s="5" t="s">
        <v>9913</v>
      </c>
      <c r="B3277" s="5" t="s">
        <v>2359</v>
      </c>
      <c r="C3277" s="5" t="s">
        <v>2360</v>
      </c>
      <c r="D3277" s="5" t="s">
        <v>118</v>
      </c>
      <c r="E3277" s="5" t="s">
        <v>2788</v>
      </c>
      <c r="F3277" s="5" t="s">
        <v>2758</v>
      </c>
      <c r="G3277" s="5">
        <v>1</v>
      </c>
      <c r="H3277" s="5" t="s">
        <v>2854</v>
      </c>
      <c r="I3277" s="5" t="str">
        <f>IF(INDEX(Manual_Review!$R$6:$R$238,U3277)="","",INDEX(Manual_Review!$R$6:$R$238,U3277))</f>
        <v/>
      </c>
      <c r="J3277" s="5" t="str">
        <f t="shared" si="102"/>
        <v>AI provisional</v>
      </c>
      <c r="K3277" s="5" t="str">
        <f t="shared" si="103"/>
        <v>Y</v>
      </c>
      <c r="L3277" s="5" t="s">
        <v>2370</v>
      </c>
      <c r="M3277" s="5" t="s">
        <v>9914</v>
      </c>
      <c r="N3277" s="5" t="s">
        <v>9915</v>
      </c>
      <c r="O3277" s="5" t="s">
        <v>3018</v>
      </c>
      <c r="P3277" s="5" t="s">
        <v>2992</v>
      </c>
      <c r="Q3277" s="11">
        <v>46306.5</v>
      </c>
      <c r="R3277" s="6"/>
      <c r="S3277" s="6"/>
      <c r="T3277" s="6"/>
      <c r="U3277" s="5">
        <f>MATCH(B3277,Manual_Review!$A$6:$A$238,0)</f>
        <v>205</v>
      </c>
      <c r="V3277" s="5" t="str">
        <f>IF(INDEX(Manual_Review!$G$6:$G$238,U3277)="","",INDEX(Manual_Review!$G$6:$G$238,U3277))</f>
        <v/>
      </c>
      <c r="W3277" s="11" t="str">
        <f>IF(INDEX(Manual_Review!$H$6:$H$238,U3277)="","",INDEX(Manual_Review!$H$6:$H$238,U3277))</f>
        <v/>
      </c>
      <c r="X3277" s="5" t="str">
        <f>IF(INDEX(Manual_Review!$I$6:$I$238,U3277)="","",INDEX(Manual_Review!$I$6:$I$238,U3277))</f>
        <v/>
      </c>
      <c r="Y3277" s="5" t="s">
        <v>2859</v>
      </c>
    </row>
    <row r="3278" spans="1:25" ht="38.25">
      <c r="A3278" s="5" t="s">
        <v>9916</v>
      </c>
      <c r="B3278" s="5" t="s">
        <v>2359</v>
      </c>
      <c r="C3278" s="5" t="s">
        <v>2360</v>
      </c>
      <c r="D3278" s="5" t="s">
        <v>118</v>
      </c>
      <c r="E3278" s="5" t="s">
        <v>2789</v>
      </c>
      <c r="F3278" s="5" t="s">
        <v>2758</v>
      </c>
      <c r="G3278" s="5">
        <v>1</v>
      </c>
      <c r="H3278" s="5" t="s">
        <v>2864</v>
      </c>
      <c r="I3278" s="5" t="str">
        <f>IF(INDEX(Manual_Review!$S$6:$S$238,U3278)="","",INDEX(Manual_Review!$S$6:$S$238,U3278))</f>
        <v/>
      </c>
      <c r="J3278" s="5" t="str">
        <f t="shared" si="102"/>
        <v>AI provisional</v>
      </c>
      <c r="K3278" s="5" t="str">
        <f t="shared" si="103"/>
        <v>U</v>
      </c>
      <c r="L3278" s="5" t="s">
        <v>2370</v>
      </c>
      <c r="M3278" s="5" t="s">
        <v>9917</v>
      </c>
      <c r="N3278" s="5" t="s">
        <v>9918</v>
      </c>
      <c r="O3278" s="5" t="s">
        <v>3447</v>
      </c>
      <c r="P3278" s="5" t="s">
        <v>2992</v>
      </c>
      <c r="Q3278" s="11">
        <v>46306.5</v>
      </c>
      <c r="R3278" s="6"/>
      <c r="S3278" s="6"/>
      <c r="T3278" s="6"/>
      <c r="U3278" s="5">
        <f>MATCH(B3278,Manual_Review!$A$6:$A$238,0)</f>
        <v>205</v>
      </c>
      <c r="V3278" s="5" t="str">
        <f>IF(INDEX(Manual_Review!$G$6:$G$238,U3278)="","",INDEX(Manual_Review!$G$6:$G$238,U3278))</f>
        <v/>
      </c>
      <c r="W3278" s="11" t="str">
        <f>IF(INDEX(Manual_Review!$H$6:$H$238,U3278)="","",INDEX(Manual_Review!$H$6:$H$238,U3278))</f>
        <v/>
      </c>
      <c r="X3278" s="5" t="str">
        <f>IF(INDEX(Manual_Review!$I$6:$I$238,U3278)="","",INDEX(Manual_Review!$I$6:$I$238,U3278))</f>
        <v/>
      </c>
      <c r="Y3278" s="5" t="s">
        <v>2859</v>
      </c>
    </row>
    <row r="3279" spans="1:25" ht="25.5">
      <c r="A3279" s="5" t="s">
        <v>9919</v>
      </c>
      <c r="B3279" s="5" t="s">
        <v>2359</v>
      </c>
      <c r="C3279" s="5" t="s">
        <v>2360</v>
      </c>
      <c r="D3279" s="5" t="s">
        <v>118</v>
      </c>
      <c r="E3279" s="5" t="s">
        <v>2790</v>
      </c>
      <c r="F3279" s="5" t="s">
        <v>2760</v>
      </c>
      <c r="G3279" s="5">
        <v>1</v>
      </c>
      <c r="H3279" s="5" t="s">
        <v>2854</v>
      </c>
      <c r="I3279" s="5" t="str">
        <f>IF(INDEX(Manual_Review!$T$6:$T$238,U3279)="","",INDEX(Manual_Review!$T$6:$T$238,U3279))</f>
        <v/>
      </c>
      <c r="J3279" s="5" t="str">
        <f t="shared" si="102"/>
        <v>AI provisional</v>
      </c>
      <c r="K3279" s="5" t="str">
        <f t="shared" si="103"/>
        <v>Y</v>
      </c>
      <c r="L3279" s="5" t="s">
        <v>2370</v>
      </c>
      <c r="M3279" s="5" t="s">
        <v>9920</v>
      </c>
      <c r="N3279" s="5" t="s">
        <v>9921</v>
      </c>
      <c r="O3279" s="5" t="s">
        <v>3451</v>
      </c>
      <c r="P3279" s="5" t="s">
        <v>2992</v>
      </c>
      <c r="Q3279" s="11">
        <v>46306.5</v>
      </c>
      <c r="R3279" s="6"/>
      <c r="S3279" s="6"/>
      <c r="T3279" s="6"/>
      <c r="U3279" s="5">
        <f>MATCH(B3279,Manual_Review!$A$6:$A$238,0)</f>
        <v>205</v>
      </c>
      <c r="V3279" s="5" t="str">
        <f>IF(INDEX(Manual_Review!$G$6:$G$238,U3279)="","",INDEX(Manual_Review!$G$6:$G$238,U3279))</f>
        <v/>
      </c>
      <c r="W3279" s="11" t="str">
        <f>IF(INDEX(Manual_Review!$H$6:$H$238,U3279)="","",INDEX(Manual_Review!$H$6:$H$238,U3279))</f>
        <v/>
      </c>
      <c r="X3279" s="5" t="str">
        <f>IF(INDEX(Manual_Review!$I$6:$I$238,U3279)="","",INDEX(Manual_Review!$I$6:$I$238,U3279))</f>
        <v/>
      </c>
      <c r="Y3279" s="5" t="s">
        <v>2859</v>
      </c>
    </row>
    <row r="3280" spans="1:25" ht="25.5">
      <c r="A3280" s="5" t="s">
        <v>9922</v>
      </c>
      <c r="B3280" s="5" t="s">
        <v>2359</v>
      </c>
      <c r="C3280" s="5" t="s">
        <v>2360</v>
      </c>
      <c r="D3280" s="5" t="s">
        <v>118</v>
      </c>
      <c r="E3280" s="5" t="s">
        <v>2791</v>
      </c>
      <c r="F3280" s="5" t="s">
        <v>2760</v>
      </c>
      <c r="G3280" s="5">
        <v>1</v>
      </c>
      <c r="H3280" s="5" t="s">
        <v>2864</v>
      </c>
      <c r="I3280" s="5" t="str">
        <f>IF(INDEX(Manual_Review!$U$6:$U$238,U3280)="","",INDEX(Manual_Review!$U$6:$U$238,U3280))</f>
        <v/>
      </c>
      <c r="J3280" s="5" t="str">
        <f t="shared" si="102"/>
        <v>AI provisional</v>
      </c>
      <c r="K3280" s="5" t="str">
        <f t="shared" si="103"/>
        <v>U</v>
      </c>
      <c r="L3280" s="5" t="s">
        <v>2370</v>
      </c>
      <c r="M3280" s="5" t="s">
        <v>9923</v>
      </c>
      <c r="N3280" s="5" t="s">
        <v>9924</v>
      </c>
      <c r="O3280" s="5" t="s">
        <v>3030</v>
      </c>
      <c r="P3280" s="5" t="s">
        <v>2992</v>
      </c>
      <c r="Q3280" s="11">
        <v>46306.5</v>
      </c>
      <c r="R3280" s="6"/>
      <c r="S3280" s="6"/>
      <c r="T3280" s="6"/>
      <c r="U3280" s="5">
        <f>MATCH(B3280,Manual_Review!$A$6:$A$238,0)</f>
        <v>205</v>
      </c>
      <c r="V3280" s="5" t="str">
        <f>IF(INDEX(Manual_Review!$G$6:$G$238,U3280)="","",INDEX(Manual_Review!$G$6:$G$238,U3280))</f>
        <v/>
      </c>
      <c r="W3280" s="11" t="str">
        <f>IF(INDEX(Manual_Review!$H$6:$H$238,U3280)="","",INDEX(Manual_Review!$H$6:$H$238,U3280))</f>
        <v/>
      </c>
      <c r="X3280" s="5" t="str">
        <f>IF(INDEX(Manual_Review!$I$6:$I$238,U3280)="","",INDEX(Manual_Review!$I$6:$I$238,U3280))</f>
        <v/>
      </c>
      <c r="Y3280" s="5" t="s">
        <v>2859</v>
      </c>
    </row>
    <row r="3281" spans="1:25" ht="25.5">
      <c r="A3281" s="5" t="s">
        <v>9925</v>
      </c>
      <c r="B3281" s="5" t="s">
        <v>2359</v>
      </c>
      <c r="C3281" s="5" t="s">
        <v>2360</v>
      </c>
      <c r="D3281" s="5" t="s">
        <v>118</v>
      </c>
      <c r="E3281" s="5" t="s">
        <v>2792</v>
      </c>
      <c r="F3281" s="5" t="s">
        <v>2762</v>
      </c>
      <c r="G3281" s="5">
        <v>1</v>
      </c>
      <c r="H3281" s="5" t="s">
        <v>2854</v>
      </c>
      <c r="I3281" s="5" t="str">
        <f>IF(INDEX(Manual_Review!$V$6:$V$238,U3281)="","",INDEX(Manual_Review!$V$6:$V$238,U3281))</f>
        <v/>
      </c>
      <c r="J3281" s="5" t="str">
        <f t="shared" si="102"/>
        <v>AI provisional</v>
      </c>
      <c r="K3281" s="5" t="str">
        <f t="shared" si="103"/>
        <v>Y</v>
      </c>
      <c r="L3281" s="5" t="s">
        <v>2370</v>
      </c>
      <c r="M3281" s="5" t="s">
        <v>9926</v>
      </c>
      <c r="N3281" s="5" t="s">
        <v>9927</v>
      </c>
      <c r="O3281" s="5" t="s">
        <v>3034</v>
      </c>
      <c r="P3281" s="5" t="s">
        <v>2992</v>
      </c>
      <c r="Q3281" s="11">
        <v>46306.5</v>
      </c>
      <c r="R3281" s="6"/>
      <c r="S3281" s="6"/>
      <c r="T3281" s="6"/>
      <c r="U3281" s="5">
        <f>MATCH(B3281,Manual_Review!$A$6:$A$238,0)</f>
        <v>205</v>
      </c>
      <c r="V3281" s="5" t="str">
        <f>IF(INDEX(Manual_Review!$G$6:$G$238,U3281)="","",INDEX(Manual_Review!$G$6:$G$238,U3281))</f>
        <v/>
      </c>
      <c r="W3281" s="11" t="str">
        <f>IF(INDEX(Manual_Review!$H$6:$H$238,U3281)="","",INDEX(Manual_Review!$H$6:$H$238,U3281))</f>
        <v/>
      </c>
      <c r="X3281" s="5" t="str">
        <f>IF(INDEX(Manual_Review!$I$6:$I$238,U3281)="","",INDEX(Manual_Review!$I$6:$I$238,U3281))</f>
        <v/>
      </c>
      <c r="Y3281" s="5" t="s">
        <v>2859</v>
      </c>
    </row>
    <row r="3282" spans="1:25" ht="38.25">
      <c r="A3282" s="5" t="s">
        <v>9928</v>
      </c>
      <c r="B3282" s="5" t="s">
        <v>2359</v>
      </c>
      <c r="C3282" s="5" t="s">
        <v>2360</v>
      </c>
      <c r="D3282" s="5" t="s">
        <v>118</v>
      </c>
      <c r="E3282" s="5" t="s">
        <v>2793</v>
      </c>
      <c r="F3282" s="5" t="s">
        <v>2762</v>
      </c>
      <c r="G3282" s="5">
        <v>1</v>
      </c>
      <c r="H3282" s="5" t="s">
        <v>2854</v>
      </c>
      <c r="I3282" s="5" t="str">
        <f>IF(INDEX(Manual_Review!$W$6:$W$238,U3282)="","",INDEX(Manual_Review!$W$6:$W$238,U3282))</f>
        <v/>
      </c>
      <c r="J3282" s="5" t="str">
        <f t="shared" si="102"/>
        <v>AI provisional</v>
      </c>
      <c r="K3282" s="5" t="str">
        <f t="shared" si="103"/>
        <v>Y</v>
      </c>
      <c r="L3282" s="5" t="s">
        <v>2370</v>
      </c>
      <c r="M3282" s="5" t="s">
        <v>9929</v>
      </c>
      <c r="N3282" s="5" t="s">
        <v>9930</v>
      </c>
      <c r="O3282" s="5" t="s">
        <v>3038</v>
      </c>
      <c r="P3282" s="5" t="s">
        <v>2992</v>
      </c>
      <c r="Q3282" s="11">
        <v>46306.5</v>
      </c>
      <c r="R3282" s="6"/>
      <c r="S3282" s="6"/>
      <c r="T3282" s="6"/>
      <c r="U3282" s="5">
        <f>MATCH(B3282,Manual_Review!$A$6:$A$238,0)</f>
        <v>205</v>
      </c>
      <c r="V3282" s="5" t="str">
        <f>IF(INDEX(Manual_Review!$G$6:$G$238,U3282)="","",INDEX(Manual_Review!$G$6:$G$238,U3282))</f>
        <v/>
      </c>
      <c r="W3282" s="11" t="str">
        <f>IF(INDEX(Manual_Review!$H$6:$H$238,U3282)="","",INDEX(Manual_Review!$H$6:$H$238,U3282))</f>
        <v/>
      </c>
      <c r="X3282" s="5" t="str">
        <f>IF(INDEX(Manual_Review!$I$6:$I$238,U3282)="","",INDEX(Manual_Review!$I$6:$I$238,U3282))</f>
        <v/>
      </c>
      <c r="Y3282" s="5" t="s">
        <v>2859</v>
      </c>
    </row>
    <row r="3283" spans="1:25" ht="25.5">
      <c r="A3283" s="5" t="s">
        <v>9931</v>
      </c>
      <c r="B3283" s="5" t="s">
        <v>2359</v>
      </c>
      <c r="C3283" s="5" t="s">
        <v>2360</v>
      </c>
      <c r="D3283" s="5" t="s">
        <v>118</v>
      </c>
      <c r="E3283" s="5" t="s">
        <v>2794</v>
      </c>
      <c r="F3283" s="5" t="s">
        <v>2764</v>
      </c>
      <c r="G3283" s="5">
        <v>1</v>
      </c>
      <c r="H3283" s="5" t="s">
        <v>2854</v>
      </c>
      <c r="I3283" s="5" t="str">
        <f>IF(INDEX(Manual_Review!$X$6:$X$238,U3283)="","",INDEX(Manual_Review!$X$6:$X$238,U3283))</f>
        <v/>
      </c>
      <c r="J3283" s="5" t="str">
        <f t="shared" si="102"/>
        <v>AI provisional</v>
      </c>
      <c r="K3283" s="5" t="str">
        <f t="shared" si="103"/>
        <v>Y</v>
      </c>
      <c r="L3283" s="5" t="s">
        <v>2370</v>
      </c>
      <c r="M3283" s="5" t="s">
        <v>9932</v>
      </c>
      <c r="N3283" s="5" t="s">
        <v>9933</v>
      </c>
      <c r="O3283" s="5" t="s">
        <v>3042</v>
      </c>
      <c r="P3283" s="5" t="s">
        <v>2992</v>
      </c>
      <c r="Q3283" s="11">
        <v>46306.5</v>
      </c>
      <c r="R3283" s="6"/>
      <c r="S3283" s="6"/>
      <c r="T3283" s="6"/>
      <c r="U3283" s="5">
        <f>MATCH(B3283,Manual_Review!$A$6:$A$238,0)</f>
        <v>205</v>
      </c>
      <c r="V3283" s="5" t="str">
        <f>IF(INDEX(Manual_Review!$G$6:$G$238,U3283)="","",INDEX(Manual_Review!$G$6:$G$238,U3283))</f>
        <v/>
      </c>
      <c r="W3283" s="11" t="str">
        <f>IF(INDEX(Manual_Review!$H$6:$H$238,U3283)="","",INDEX(Manual_Review!$H$6:$H$238,U3283))</f>
        <v/>
      </c>
      <c r="X3283" s="5" t="str">
        <f>IF(INDEX(Manual_Review!$I$6:$I$238,U3283)="","",INDEX(Manual_Review!$I$6:$I$238,U3283))</f>
        <v/>
      </c>
      <c r="Y3283" s="5" t="s">
        <v>2859</v>
      </c>
    </row>
    <row r="3284" spans="1:25" ht="25.5">
      <c r="A3284" s="5" t="s">
        <v>9934</v>
      </c>
      <c r="B3284" s="5" t="s">
        <v>2359</v>
      </c>
      <c r="C3284" s="5" t="s">
        <v>2360</v>
      </c>
      <c r="D3284" s="5" t="s">
        <v>118</v>
      </c>
      <c r="E3284" s="5" t="s">
        <v>2795</v>
      </c>
      <c r="F3284" s="5" t="s">
        <v>2764</v>
      </c>
      <c r="G3284" s="5">
        <v>1</v>
      </c>
      <c r="H3284" s="5" t="s">
        <v>2864</v>
      </c>
      <c r="I3284" s="5" t="str">
        <f>IF(INDEX(Manual_Review!$Y$6:$Y$238,U3284)="","",INDEX(Manual_Review!$Y$6:$Y$238,U3284))</f>
        <v/>
      </c>
      <c r="J3284" s="5" t="str">
        <f t="shared" si="102"/>
        <v>AI provisional</v>
      </c>
      <c r="K3284" s="5" t="str">
        <f t="shared" si="103"/>
        <v>U</v>
      </c>
      <c r="L3284" s="5" t="s">
        <v>2370</v>
      </c>
      <c r="M3284" s="5" t="s">
        <v>9935</v>
      </c>
      <c r="N3284" s="5" t="s">
        <v>9936</v>
      </c>
      <c r="O3284" s="5" t="s">
        <v>3469</v>
      </c>
      <c r="P3284" s="5" t="s">
        <v>2992</v>
      </c>
      <c r="Q3284" s="11">
        <v>46306.5</v>
      </c>
      <c r="R3284" s="6"/>
      <c r="S3284" s="6"/>
      <c r="T3284" s="6"/>
      <c r="U3284" s="5">
        <f>MATCH(B3284,Manual_Review!$A$6:$A$238,0)</f>
        <v>205</v>
      </c>
      <c r="V3284" s="5" t="str">
        <f>IF(INDEX(Manual_Review!$G$6:$G$238,U3284)="","",INDEX(Manual_Review!$G$6:$G$238,U3284))</f>
        <v/>
      </c>
      <c r="W3284" s="11" t="str">
        <f>IF(INDEX(Manual_Review!$H$6:$H$238,U3284)="","",INDEX(Manual_Review!$H$6:$H$238,U3284))</f>
        <v/>
      </c>
      <c r="X3284" s="5" t="str">
        <f>IF(INDEX(Manual_Review!$I$6:$I$238,U3284)="","",INDEX(Manual_Review!$I$6:$I$238,U3284))</f>
        <v/>
      </c>
      <c r="Y3284" s="5" t="s">
        <v>2859</v>
      </c>
    </row>
    <row r="3285" spans="1:25" ht="38.25">
      <c r="A3285" s="5" t="s">
        <v>9937</v>
      </c>
      <c r="B3285" s="5" t="s">
        <v>2359</v>
      </c>
      <c r="C3285" s="5" t="s">
        <v>2360</v>
      </c>
      <c r="D3285" s="5" t="s">
        <v>118</v>
      </c>
      <c r="E3285" s="5" t="s">
        <v>2796</v>
      </c>
      <c r="F3285" s="5" t="s">
        <v>2764</v>
      </c>
      <c r="G3285" s="5">
        <v>1</v>
      </c>
      <c r="H3285" s="5" t="s">
        <v>2864</v>
      </c>
      <c r="I3285" s="5" t="str">
        <f>IF(INDEX(Manual_Review!$Z$6:$Z$238,U3285)="","",INDEX(Manual_Review!$Z$6:$Z$238,U3285))</f>
        <v/>
      </c>
      <c r="J3285" s="5" t="str">
        <f t="shared" si="102"/>
        <v>AI provisional</v>
      </c>
      <c r="K3285" s="5" t="str">
        <f t="shared" si="103"/>
        <v>U</v>
      </c>
      <c r="L3285" s="5" t="s">
        <v>2370</v>
      </c>
      <c r="M3285" s="5" t="s">
        <v>9938</v>
      </c>
      <c r="N3285" s="5" t="s">
        <v>9939</v>
      </c>
      <c r="O3285" s="5" t="s">
        <v>3050</v>
      </c>
      <c r="P3285" s="5" t="s">
        <v>2992</v>
      </c>
      <c r="Q3285" s="11">
        <v>46306.5</v>
      </c>
      <c r="R3285" s="6"/>
      <c r="S3285" s="6"/>
      <c r="T3285" s="6"/>
      <c r="U3285" s="5">
        <f>MATCH(B3285,Manual_Review!$A$6:$A$238,0)</f>
        <v>205</v>
      </c>
      <c r="V3285" s="5" t="str">
        <f>IF(INDEX(Manual_Review!$G$6:$G$238,U3285)="","",INDEX(Manual_Review!$G$6:$G$238,U3285))</f>
        <v/>
      </c>
      <c r="W3285" s="11" t="str">
        <f>IF(INDEX(Manual_Review!$H$6:$H$238,U3285)="","",INDEX(Manual_Review!$H$6:$H$238,U3285))</f>
        <v/>
      </c>
      <c r="X3285" s="5" t="str">
        <f>IF(INDEX(Manual_Review!$I$6:$I$238,U3285)="","",INDEX(Manual_Review!$I$6:$I$238,U3285))</f>
        <v/>
      </c>
      <c r="Y3285" s="5" t="s">
        <v>2859</v>
      </c>
    </row>
    <row r="3286" spans="1:25" ht="25.5">
      <c r="A3286" s="5" t="s">
        <v>9940</v>
      </c>
      <c r="B3286" s="5" t="s">
        <v>2372</v>
      </c>
      <c r="C3286" s="5" t="s">
        <v>2373</v>
      </c>
      <c r="D3286" s="5" t="s">
        <v>118</v>
      </c>
      <c r="E3286" s="5" t="s">
        <v>2781</v>
      </c>
      <c r="F3286" s="5" t="s">
        <v>2754</v>
      </c>
      <c r="G3286" s="5">
        <v>1</v>
      </c>
      <c r="H3286" s="5" t="s">
        <v>2854</v>
      </c>
      <c r="I3286" s="5" t="str">
        <f>IF(INDEX(Manual_Review!$K$6:$K$238,U3286)="","",INDEX(Manual_Review!$K$6:$K$238,U3286))</f>
        <v/>
      </c>
      <c r="J3286" s="5" t="str">
        <f t="shared" si="102"/>
        <v>AI provisional</v>
      </c>
      <c r="K3286" s="5" t="str">
        <f t="shared" si="103"/>
        <v>Y</v>
      </c>
      <c r="L3286" s="5" t="s">
        <v>2384</v>
      </c>
      <c r="M3286" s="5" t="s">
        <v>9941</v>
      </c>
      <c r="N3286" s="5" t="s">
        <v>9942</v>
      </c>
      <c r="O3286" s="5" t="s">
        <v>2991</v>
      </c>
      <c r="P3286" s="5" t="s">
        <v>2992</v>
      </c>
      <c r="Q3286" s="11">
        <v>46306.5</v>
      </c>
      <c r="R3286" s="6"/>
      <c r="S3286" s="6"/>
      <c r="T3286" s="6"/>
      <c r="U3286" s="5">
        <f>MATCH(B3286,Manual_Review!$A$6:$A$238,0)</f>
        <v>206</v>
      </c>
      <c r="V3286" s="5" t="str">
        <f>IF(INDEX(Manual_Review!$G$6:$G$238,U3286)="","",INDEX(Manual_Review!$G$6:$G$238,U3286))</f>
        <v/>
      </c>
      <c r="W3286" s="11" t="str">
        <f>IF(INDEX(Manual_Review!$H$6:$H$238,U3286)="","",INDEX(Manual_Review!$H$6:$H$238,U3286))</f>
        <v/>
      </c>
      <c r="X3286" s="5" t="str">
        <f>IF(INDEX(Manual_Review!$I$6:$I$238,U3286)="","",INDEX(Manual_Review!$I$6:$I$238,U3286))</f>
        <v/>
      </c>
      <c r="Y3286" s="5" t="s">
        <v>2859</v>
      </c>
    </row>
    <row r="3287" spans="1:25" ht="25.5">
      <c r="A3287" s="5" t="s">
        <v>9943</v>
      </c>
      <c r="B3287" s="5" t="s">
        <v>2372</v>
      </c>
      <c r="C3287" s="5" t="s">
        <v>2373</v>
      </c>
      <c r="D3287" s="5" t="s">
        <v>118</v>
      </c>
      <c r="E3287" s="5" t="s">
        <v>2782</v>
      </c>
      <c r="F3287" s="5" t="s">
        <v>2754</v>
      </c>
      <c r="G3287" s="5">
        <v>1</v>
      </c>
      <c r="H3287" s="5" t="s">
        <v>2854</v>
      </c>
      <c r="I3287" s="5" t="str">
        <f>IF(INDEX(Manual_Review!$L$6:$L$238,U3287)="","",INDEX(Manual_Review!$L$6:$L$238,U3287))</f>
        <v/>
      </c>
      <c r="J3287" s="5" t="str">
        <f t="shared" si="102"/>
        <v>AI provisional</v>
      </c>
      <c r="K3287" s="5" t="str">
        <f t="shared" si="103"/>
        <v>Y</v>
      </c>
      <c r="L3287" s="5" t="s">
        <v>2384</v>
      </c>
      <c r="M3287" s="5" t="s">
        <v>9944</v>
      </c>
      <c r="N3287" s="5" t="s">
        <v>9945</v>
      </c>
      <c r="O3287" s="5" t="s">
        <v>2996</v>
      </c>
      <c r="P3287" s="5" t="s">
        <v>2992</v>
      </c>
      <c r="Q3287" s="11">
        <v>46306.5</v>
      </c>
      <c r="R3287" s="6"/>
      <c r="S3287" s="6"/>
      <c r="T3287" s="6"/>
      <c r="U3287" s="5">
        <f>MATCH(B3287,Manual_Review!$A$6:$A$238,0)</f>
        <v>206</v>
      </c>
      <c r="V3287" s="5" t="str">
        <f>IF(INDEX(Manual_Review!$G$6:$G$238,U3287)="","",INDEX(Manual_Review!$G$6:$G$238,U3287))</f>
        <v/>
      </c>
      <c r="W3287" s="11" t="str">
        <f>IF(INDEX(Manual_Review!$H$6:$H$238,U3287)="","",INDEX(Manual_Review!$H$6:$H$238,U3287))</f>
        <v/>
      </c>
      <c r="X3287" s="5" t="str">
        <f>IF(INDEX(Manual_Review!$I$6:$I$238,U3287)="","",INDEX(Manual_Review!$I$6:$I$238,U3287))</f>
        <v/>
      </c>
      <c r="Y3287" s="5" t="s">
        <v>2859</v>
      </c>
    </row>
    <row r="3288" spans="1:25" ht="25.5">
      <c r="A3288" s="5" t="s">
        <v>9946</v>
      </c>
      <c r="B3288" s="5" t="s">
        <v>2372</v>
      </c>
      <c r="C3288" s="5" t="s">
        <v>2373</v>
      </c>
      <c r="D3288" s="5" t="s">
        <v>118</v>
      </c>
      <c r="E3288" s="5" t="s">
        <v>2783</v>
      </c>
      <c r="F3288" s="5" t="s">
        <v>2754</v>
      </c>
      <c r="G3288" s="5">
        <v>1</v>
      </c>
      <c r="H3288" s="5" t="s">
        <v>2854</v>
      </c>
      <c r="I3288" s="5" t="str">
        <f>IF(INDEX(Manual_Review!$M$6:$M$238,U3288)="","",INDEX(Manual_Review!$M$6:$M$238,U3288))</f>
        <v/>
      </c>
      <c r="J3288" s="5" t="str">
        <f t="shared" si="102"/>
        <v>AI provisional</v>
      </c>
      <c r="K3288" s="5" t="str">
        <f t="shared" si="103"/>
        <v>Y</v>
      </c>
      <c r="L3288" s="5" t="s">
        <v>2384</v>
      </c>
      <c r="M3288" s="5" t="s">
        <v>9947</v>
      </c>
      <c r="N3288" s="5" t="s">
        <v>9948</v>
      </c>
      <c r="O3288" s="5" t="s">
        <v>3000</v>
      </c>
      <c r="P3288" s="5" t="s">
        <v>2992</v>
      </c>
      <c r="Q3288" s="11">
        <v>46306.5</v>
      </c>
      <c r="R3288" s="6"/>
      <c r="S3288" s="6"/>
      <c r="T3288" s="6"/>
      <c r="U3288" s="5">
        <f>MATCH(B3288,Manual_Review!$A$6:$A$238,0)</f>
        <v>206</v>
      </c>
      <c r="V3288" s="5" t="str">
        <f>IF(INDEX(Manual_Review!$G$6:$G$238,U3288)="","",INDEX(Manual_Review!$G$6:$G$238,U3288))</f>
        <v/>
      </c>
      <c r="W3288" s="11" t="str">
        <f>IF(INDEX(Manual_Review!$H$6:$H$238,U3288)="","",INDEX(Manual_Review!$H$6:$H$238,U3288))</f>
        <v/>
      </c>
      <c r="X3288" s="5" t="str">
        <f>IF(INDEX(Manual_Review!$I$6:$I$238,U3288)="","",INDEX(Manual_Review!$I$6:$I$238,U3288))</f>
        <v/>
      </c>
      <c r="Y3288" s="5" t="s">
        <v>2859</v>
      </c>
    </row>
    <row r="3289" spans="1:25" ht="25.5">
      <c r="A3289" s="5" t="s">
        <v>9949</v>
      </c>
      <c r="B3289" s="5" t="s">
        <v>2372</v>
      </c>
      <c r="C3289" s="5" t="s">
        <v>2373</v>
      </c>
      <c r="D3289" s="5" t="s">
        <v>118</v>
      </c>
      <c r="E3289" s="5" t="s">
        <v>2784</v>
      </c>
      <c r="F3289" s="5" t="s">
        <v>2756</v>
      </c>
      <c r="G3289" s="5">
        <v>1</v>
      </c>
      <c r="H3289" s="5" t="s">
        <v>2864</v>
      </c>
      <c r="I3289" s="5" t="str">
        <f>IF(INDEX(Manual_Review!$N$6:$N$238,U3289)="","",INDEX(Manual_Review!$N$6:$N$238,U3289))</f>
        <v/>
      </c>
      <c r="J3289" s="5" t="str">
        <f t="shared" si="102"/>
        <v>AI provisional</v>
      </c>
      <c r="K3289" s="5" t="str">
        <f t="shared" si="103"/>
        <v>U</v>
      </c>
      <c r="L3289" s="5" t="s">
        <v>2384</v>
      </c>
      <c r="M3289" s="5" t="s">
        <v>9950</v>
      </c>
      <c r="N3289" s="5" t="s">
        <v>9951</v>
      </c>
      <c r="O3289" s="5" t="s">
        <v>9214</v>
      </c>
      <c r="P3289" s="5" t="s">
        <v>2992</v>
      </c>
      <c r="Q3289" s="11">
        <v>46306.5</v>
      </c>
      <c r="R3289" s="6"/>
      <c r="S3289" s="6"/>
      <c r="T3289" s="6"/>
      <c r="U3289" s="5">
        <f>MATCH(B3289,Manual_Review!$A$6:$A$238,0)</f>
        <v>206</v>
      </c>
      <c r="V3289" s="5" t="str">
        <f>IF(INDEX(Manual_Review!$G$6:$G$238,U3289)="","",INDEX(Manual_Review!$G$6:$G$238,U3289))</f>
        <v/>
      </c>
      <c r="W3289" s="11" t="str">
        <f>IF(INDEX(Manual_Review!$H$6:$H$238,U3289)="","",INDEX(Manual_Review!$H$6:$H$238,U3289))</f>
        <v/>
      </c>
      <c r="X3289" s="5" t="str">
        <f>IF(INDEX(Manual_Review!$I$6:$I$238,U3289)="","",INDEX(Manual_Review!$I$6:$I$238,U3289))</f>
        <v/>
      </c>
      <c r="Y3289" s="5" t="s">
        <v>2859</v>
      </c>
    </row>
    <row r="3290" spans="1:25" ht="25.5">
      <c r="A3290" s="5" t="s">
        <v>9952</v>
      </c>
      <c r="B3290" s="5" t="s">
        <v>2372</v>
      </c>
      <c r="C3290" s="5" t="s">
        <v>2373</v>
      </c>
      <c r="D3290" s="5" t="s">
        <v>118</v>
      </c>
      <c r="E3290" s="5" t="s">
        <v>2785</v>
      </c>
      <c r="F3290" s="5" t="s">
        <v>2756</v>
      </c>
      <c r="G3290" s="5">
        <v>1</v>
      </c>
      <c r="H3290" s="5" t="s">
        <v>2864</v>
      </c>
      <c r="I3290" s="5" t="str">
        <f>IF(INDEX(Manual_Review!$O$6:$O$238,U3290)="","",INDEX(Manual_Review!$O$6:$O$238,U3290))</f>
        <v/>
      </c>
      <c r="J3290" s="5" t="str">
        <f t="shared" si="102"/>
        <v>AI provisional</v>
      </c>
      <c r="K3290" s="5" t="str">
        <f t="shared" si="103"/>
        <v>U</v>
      </c>
      <c r="L3290" s="5" t="s">
        <v>2384</v>
      </c>
      <c r="M3290" s="5" t="s">
        <v>9950</v>
      </c>
      <c r="N3290" s="5" t="s">
        <v>9951</v>
      </c>
      <c r="O3290" s="5" t="s">
        <v>3006</v>
      </c>
      <c r="P3290" s="5" t="s">
        <v>2992</v>
      </c>
      <c r="Q3290" s="11">
        <v>46306.5</v>
      </c>
      <c r="R3290" s="6"/>
      <c r="S3290" s="6"/>
      <c r="T3290" s="6"/>
      <c r="U3290" s="5">
        <f>MATCH(B3290,Manual_Review!$A$6:$A$238,0)</f>
        <v>206</v>
      </c>
      <c r="V3290" s="5" t="str">
        <f>IF(INDEX(Manual_Review!$G$6:$G$238,U3290)="","",INDEX(Manual_Review!$G$6:$G$238,U3290))</f>
        <v/>
      </c>
      <c r="W3290" s="11" t="str">
        <f>IF(INDEX(Manual_Review!$H$6:$H$238,U3290)="","",INDEX(Manual_Review!$H$6:$H$238,U3290))</f>
        <v/>
      </c>
      <c r="X3290" s="5" t="str">
        <f>IF(INDEX(Manual_Review!$I$6:$I$238,U3290)="","",INDEX(Manual_Review!$I$6:$I$238,U3290))</f>
        <v/>
      </c>
      <c r="Y3290" s="5" t="s">
        <v>2859</v>
      </c>
    </row>
    <row r="3291" spans="1:25" ht="38.25">
      <c r="A3291" s="5" t="s">
        <v>9953</v>
      </c>
      <c r="B3291" s="5" t="s">
        <v>2372</v>
      </c>
      <c r="C3291" s="5" t="s">
        <v>2373</v>
      </c>
      <c r="D3291" s="5" t="s">
        <v>118</v>
      </c>
      <c r="E3291" s="5" t="s">
        <v>2786</v>
      </c>
      <c r="F3291" s="5" t="s">
        <v>2756</v>
      </c>
      <c r="G3291" s="5">
        <v>1</v>
      </c>
      <c r="H3291" s="5" t="s">
        <v>2864</v>
      </c>
      <c r="I3291" s="5" t="str">
        <f>IF(INDEX(Manual_Review!$P$6:$P$238,U3291)="","",INDEX(Manual_Review!$P$6:$P$238,U3291))</f>
        <v/>
      </c>
      <c r="J3291" s="5" t="str">
        <f t="shared" si="102"/>
        <v>AI provisional</v>
      </c>
      <c r="K3291" s="5" t="str">
        <f t="shared" si="103"/>
        <v>U</v>
      </c>
      <c r="L3291" s="5" t="s">
        <v>2384</v>
      </c>
      <c r="M3291" s="5" t="s">
        <v>9954</v>
      </c>
      <c r="N3291" s="5" t="s">
        <v>9955</v>
      </c>
      <c r="O3291" s="5" t="s">
        <v>3010</v>
      </c>
      <c r="P3291" s="5" t="s">
        <v>2992</v>
      </c>
      <c r="Q3291" s="11">
        <v>46306.5</v>
      </c>
      <c r="R3291" s="6"/>
      <c r="S3291" s="6"/>
      <c r="T3291" s="6"/>
      <c r="U3291" s="5">
        <f>MATCH(B3291,Manual_Review!$A$6:$A$238,0)</f>
        <v>206</v>
      </c>
      <c r="V3291" s="5" t="str">
        <f>IF(INDEX(Manual_Review!$G$6:$G$238,U3291)="","",INDEX(Manual_Review!$G$6:$G$238,U3291))</f>
        <v/>
      </c>
      <c r="W3291" s="11" t="str">
        <f>IF(INDEX(Manual_Review!$H$6:$H$238,U3291)="","",INDEX(Manual_Review!$H$6:$H$238,U3291))</f>
        <v/>
      </c>
      <c r="X3291" s="5" t="str">
        <f>IF(INDEX(Manual_Review!$I$6:$I$238,U3291)="","",INDEX(Manual_Review!$I$6:$I$238,U3291))</f>
        <v/>
      </c>
      <c r="Y3291" s="5" t="s">
        <v>2859</v>
      </c>
    </row>
    <row r="3292" spans="1:25" ht="25.5">
      <c r="A3292" s="5" t="s">
        <v>9956</v>
      </c>
      <c r="B3292" s="5" t="s">
        <v>2372</v>
      </c>
      <c r="C3292" s="5" t="s">
        <v>2373</v>
      </c>
      <c r="D3292" s="5" t="s">
        <v>118</v>
      </c>
      <c r="E3292" s="5" t="s">
        <v>2787</v>
      </c>
      <c r="F3292" s="5" t="s">
        <v>2758</v>
      </c>
      <c r="G3292" s="5">
        <v>1</v>
      </c>
      <c r="H3292" s="5" t="s">
        <v>2864</v>
      </c>
      <c r="I3292" s="5" t="str">
        <f>IF(INDEX(Manual_Review!$Q$6:$Q$238,U3292)="","",INDEX(Manual_Review!$Q$6:$Q$238,U3292))</f>
        <v/>
      </c>
      <c r="J3292" s="5" t="str">
        <f t="shared" si="102"/>
        <v>AI provisional</v>
      </c>
      <c r="K3292" s="5" t="str">
        <f t="shared" si="103"/>
        <v>U</v>
      </c>
      <c r="L3292" s="5" t="s">
        <v>2384</v>
      </c>
      <c r="M3292" s="5" t="s">
        <v>9957</v>
      </c>
      <c r="N3292" s="5" t="s">
        <v>9958</v>
      </c>
      <c r="O3292" s="5" t="s">
        <v>3014</v>
      </c>
      <c r="P3292" s="5" t="s">
        <v>2992</v>
      </c>
      <c r="Q3292" s="11">
        <v>46306.5</v>
      </c>
      <c r="R3292" s="6"/>
      <c r="S3292" s="6"/>
      <c r="T3292" s="6"/>
      <c r="U3292" s="5">
        <f>MATCH(B3292,Manual_Review!$A$6:$A$238,0)</f>
        <v>206</v>
      </c>
      <c r="V3292" s="5" t="str">
        <f>IF(INDEX(Manual_Review!$G$6:$G$238,U3292)="","",INDEX(Manual_Review!$G$6:$G$238,U3292))</f>
        <v/>
      </c>
      <c r="W3292" s="11" t="str">
        <f>IF(INDEX(Manual_Review!$H$6:$H$238,U3292)="","",INDEX(Manual_Review!$H$6:$H$238,U3292))</f>
        <v/>
      </c>
      <c r="X3292" s="5" t="str">
        <f>IF(INDEX(Manual_Review!$I$6:$I$238,U3292)="","",INDEX(Manual_Review!$I$6:$I$238,U3292))</f>
        <v/>
      </c>
      <c r="Y3292" s="5" t="s">
        <v>2859</v>
      </c>
    </row>
    <row r="3293" spans="1:25" ht="51">
      <c r="A3293" s="5" t="s">
        <v>9959</v>
      </c>
      <c r="B3293" s="5" t="s">
        <v>2372</v>
      </c>
      <c r="C3293" s="5" t="s">
        <v>2373</v>
      </c>
      <c r="D3293" s="5" t="s">
        <v>118</v>
      </c>
      <c r="E3293" s="5" t="s">
        <v>2788</v>
      </c>
      <c r="F3293" s="5" t="s">
        <v>2758</v>
      </c>
      <c r="G3293" s="5">
        <v>1</v>
      </c>
      <c r="H3293" s="5" t="s">
        <v>2854</v>
      </c>
      <c r="I3293" s="5" t="str">
        <f>IF(INDEX(Manual_Review!$R$6:$R$238,U3293)="","",INDEX(Manual_Review!$R$6:$R$238,U3293))</f>
        <v/>
      </c>
      <c r="J3293" s="5" t="str">
        <f t="shared" si="102"/>
        <v>AI provisional</v>
      </c>
      <c r="K3293" s="5" t="str">
        <f t="shared" si="103"/>
        <v>Y</v>
      </c>
      <c r="L3293" s="5" t="s">
        <v>2384</v>
      </c>
      <c r="M3293" s="5" t="s">
        <v>9960</v>
      </c>
      <c r="N3293" s="5" t="s">
        <v>9961</v>
      </c>
      <c r="O3293" s="5" t="s">
        <v>3018</v>
      </c>
      <c r="P3293" s="5" t="s">
        <v>2992</v>
      </c>
      <c r="Q3293" s="11">
        <v>46306.5</v>
      </c>
      <c r="R3293" s="6"/>
      <c r="S3293" s="6"/>
      <c r="T3293" s="6"/>
      <c r="U3293" s="5">
        <f>MATCH(B3293,Manual_Review!$A$6:$A$238,0)</f>
        <v>206</v>
      </c>
      <c r="V3293" s="5" t="str">
        <f>IF(INDEX(Manual_Review!$G$6:$G$238,U3293)="","",INDEX(Manual_Review!$G$6:$G$238,U3293))</f>
        <v/>
      </c>
      <c r="W3293" s="11" t="str">
        <f>IF(INDEX(Manual_Review!$H$6:$H$238,U3293)="","",INDEX(Manual_Review!$H$6:$H$238,U3293))</f>
        <v/>
      </c>
      <c r="X3293" s="5" t="str">
        <f>IF(INDEX(Manual_Review!$I$6:$I$238,U3293)="","",INDEX(Manual_Review!$I$6:$I$238,U3293))</f>
        <v/>
      </c>
      <c r="Y3293" s="5" t="s">
        <v>2859</v>
      </c>
    </row>
    <row r="3294" spans="1:25" ht="38.25">
      <c r="A3294" s="5" t="s">
        <v>9962</v>
      </c>
      <c r="B3294" s="5" t="s">
        <v>2372</v>
      </c>
      <c r="C3294" s="5" t="s">
        <v>2373</v>
      </c>
      <c r="D3294" s="5" t="s">
        <v>118</v>
      </c>
      <c r="E3294" s="5" t="s">
        <v>2789</v>
      </c>
      <c r="F3294" s="5" t="s">
        <v>2758</v>
      </c>
      <c r="G3294" s="5">
        <v>1</v>
      </c>
      <c r="H3294" s="5" t="s">
        <v>2854</v>
      </c>
      <c r="I3294" s="5" t="str">
        <f>IF(INDEX(Manual_Review!$S$6:$S$238,U3294)="","",INDEX(Manual_Review!$S$6:$S$238,U3294))</f>
        <v/>
      </c>
      <c r="J3294" s="5" t="str">
        <f t="shared" si="102"/>
        <v>AI provisional</v>
      </c>
      <c r="K3294" s="5" t="str">
        <f t="shared" si="103"/>
        <v>Y</v>
      </c>
      <c r="L3294" s="5" t="s">
        <v>2384</v>
      </c>
      <c r="M3294" s="5" t="s">
        <v>9963</v>
      </c>
      <c r="N3294" s="5" t="s">
        <v>9964</v>
      </c>
      <c r="O3294" s="5" t="s">
        <v>3022</v>
      </c>
      <c r="P3294" s="5" t="s">
        <v>2992</v>
      </c>
      <c r="Q3294" s="11">
        <v>46306.5</v>
      </c>
      <c r="R3294" s="6"/>
      <c r="S3294" s="6"/>
      <c r="T3294" s="6"/>
      <c r="U3294" s="5">
        <f>MATCH(B3294,Manual_Review!$A$6:$A$238,0)</f>
        <v>206</v>
      </c>
      <c r="V3294" s="5" t="str">
        <f>IF(INDEX(Manual_Review!$G$6:$G$238,U3294)="","",INDEX(Manual_Review!$G$6:$G$238,U3294))</f>
        <v/>
      </c>
      <c r="W3294" s="11" t="str">
        <f>IF(INDEX(Manual_Review!$H$6:$H$238,U3294)="","",INDEX(Manual_Review!$H$6:$H$238,U3294))</f>
        <v/>
      </c>
      <c r="X3294" s="5" t="str">
        <f>IF(INDEX(Manual_Review!$I$6:$I$238,U3294)="","",INDEX(Manual_Review!$I$6:$I$238,U3294))</f>
        <v/>
      </c>
      <c r="Y3294" s="5" t="s">
        <v>2859</v>
      </c>
    </row>
    <row r="3295" spans="1:25" ht="25.5">
      <c r="A3295" s="5" t="s">
        <v>9965</v>
      </c>
      <c r="B3295" s="5" t="s">
        <v>2372</v>
      </c>
      <c r="C3295" s="5" t="s">
        <v>2373</v>
      </c>
      <c r="D3295" s="5" t="s">
        <v>118</v>
      </c>
      <c r="E3295" s="5" t="s">
        <v>2790</v>
      </c>
      <c r="F3295" s="5" t="s">
        <v>2760</v>
      </c>
      <c r="G3295" s="5">
        <v>1</v>
      </c>
      <c r="H3295" s="5" t="s">
        <v>2864</v>
      </c>
      <c r="I3295" s="5" t="str">
        <f>IF(INDEX(Manual_Review!$T$6:$T$238,U3295)="","",INDEX(Manual_Review!$T$6:$T$238,U3295))</f>
        <v/>
      </c>
      <c r="J3295" s="5" t="str">
        <f t="shared" si="102"/>
        <v>AI provisional</v>
      </c>
      <c r="K3295" s="5" t="str">
        <f t="shared" si="103"/>
        <v>U</v>
      </c>
      <c r="L3295" s="5" t="s">
        <v>2384</v>
      </c>
      <c r="M3295" s="5" t="s">
        <v>9966</v>
      </c>
      <c r="N3295" s="5" t="s">
        <v>9967</v>
      </c>
      <c r="O3295" s="5" t="s">
        <v>5273</v>
      </c>
      <c r="P3295" s="5" t="s">
        <v>2992</v>
      </c>
      <c r="Q3295" s="11">
        <v>46306.5</v>
      </c>
      <c r="R3295" s="6"/>
      <c r="S3295" s="6"/>
      <c r="T3295" s="6"/>
      <c r="U3295" s="5">
        <f>MATCH(B3295,Manual_Review!$A$6:$A$238,0)</f>
        <v>206</v>
      </c>
      <c r="V3295" s="5" t="str">
        <f>IF(INDEX(Manual_Review!$G$6:$G$238,U3295)="","",INDEX(Manual_Review!$G$6:$G$238,U3295))</f>
        <v/>
      </c>
      <c r="W3295" s="11" t="str">
        <f>IF(INDEX(Manual_Review!$H$6:$H$238,U3295)="","",INDEX(Manual_Review!$H$6:$H$238,U3295))</f>
        <v/>
      </c>
      <c r="X3295" s="5" t="str">
        <f>IF(INDEX(Manual_Review!$I$6:$I$238,U3295)="","",INDEX(Manual_Review!$I$6:$I$238,U3295))</f>
        <v/>
      </c>
      <c r="Y3295" s="5" t="s">
        <v>2859</v>
      </c>
    </row>
    <row r="3296" spans="1:25" ht="25.5">
      <c r="A3296" s="5" t="s">
        <v>9968</v>
      </c>
      <c r="B3296" s="5" t="s">
        <v>2372</v>
      </c>
      <c r="C3296" s="5" t="s">
        <v>2373</v>
      </c>
      <c r="D3296" s="5" t="s">
        <v>118</v>
      </c>
      <c r="E3296" s="5" t="s">
        <v>2791</v>
      </c>
      <c r="F3296" s="5" t="s">
        <v>2760</v>
      </c>
      <c r="G3296" s="5">
        <v>1</v>
      </c>
      <c r="H3296" s="5" t="s">
        <v>2864</v>
      </c>
      <c r="I3296" s="5" t="str">
        <f>IF(INDEX(Manual_Review!$U$6:$U$238,U3296)="","",INDEX(Manual_Review!$U$6:$U$238,U3296))</f>
        <v/>
      </c>
      <c r="J3296" s="5" t="str">
        <f t="shared" si="102"/>
        <v>AI provisional</v>
      </c>
      <c r="K3296" s="5" t="str">
        <f t="shared" si="103"/>
        <v>U</v>
      </c>
      <c r="L3296" s="5" t="s">
        <v>2384</v>
      </c>
      <c r="M3296" s="5" t="s">
        <v>9969</v>
      </c>
      <c r="N3296" s="5" t="s">
        <v>9970</v>
      </c>
      <c r="O3296" s="5" t="s">
        <v>3030</v>
      </c>
      <c r="P3296" s="5" t="s">
        <v>2992</v>
      </c>
      <c r="Q3296" s="11">
        <v>46306.5</v>
      </c>
      <c r="R3296" s="6"/>
      <c r="S3296" s="6"/>
      <c r="T3296" s="6"/>
      <c r="U3296" s="5">
        <f>MATCH(B3296,Manual_Review!$A$6:$A$238,0)</f>
        <v>206</v>
      </c>
      <c r="V3296" s="5" t="str">
        <f>IF(INDEX(Manual_Review!$G$6:$G$238,U3296)="","",INDEX(Manual_Review!$G$6:$G$238,U3296))</f>
        <v/>
      </c>
      <c r="W3296" s="11" t="str">
        <f>IF(INDEX(Manual_Review!$H$6:$H$238,U3296)="","",INDEX(Manual_Review!$H$6:$H$238,U3296))</f>
        <v/>
      </c>
      <c r="X3296" s="5" t="str">
        <f>IF(INDEX(Manual_Review!$I$6:$I$238,U3296)="","",INDEX(Manual_Review!$I$6:$I$238,U3296))</f>
        <v/>
      </c>
      <c r="Y3296" s="5" t="s">
        <v>2859</v>
      </c>
    </row>
    <row r="3297" spans="1:25" ht="25.5">
      <c r="A3297" s="5" t="s">
        <v>9971</v>
      </c>
      <c r="B3297" s="5" t="s">
        <v>2372</v>
      </c>
      <c r="C3297" s="5" t="s">
        <v>2373</v>
      </c>
      <c r="D3297" s="5" t="s">
        <v>118</v>
      </c>
      <c r="E3297" s="5" t="s">
        <v>2792</v>
      </c>
      <c r="F3297" s="5" t="s">
        <v>2762</v>
      </c>
      <c r="G3297" s="5">
        <v>1</v>
      </c>
      <c r="H3297" s="5" t="s">
        <v>2854</v>
      </c>
      <c r="I3297" s="5" t="str">
        <f>IF(INDEX(Manual_Review!$V$6:$V$238,U3297)="","",INDEX(Manual_Review!$V$6:$V$238,U3297))</f>
        <v/>
      </c>
      <c r="J3297" s="5" t="str">
        <f t="shared" si="102"/>
        <v>AI provisional</v>
      </c>
      <c r="K3297" s="5" t="str">
        <f t="shared" si="103"/>
        <v>Y</v>
      </c>
      <c r="L3297" s="5" t="s">
        <v>2384</v>
      </c>
      <c r="M3297" s="5" t="s">
        <v>9972</v>
      </c>
      <c r="N3297" s="5" t="s">
        <v>9973</v>
      </c>
      <c r="O3297" s="5" t="s">
        <v>3034</v>
      </c>
      <c r="P3297" s="5" t="s">
        <v>2992</v>
      </c>
      <c r="Q3297" s="11">
        <v>46306.5</v>
      </c>
      <c r="R3297" s="6"/>
      <c r="S3297" s="6"/>
      <c r="T3297" s="6"/>
      <c r="U3297" s="5">
        <f>MATCH(B3297,Manual_Review!$A$6:$A$238,0)</f>
        <v>206</v>
      </c>
      <c r="V3297" s="5" t="str">
        <f>IF(INDEX(Manual_Review!$G$6:$G$238,U3297)="","",INDEX(Manual_Review!$G$6:$G$238,U3297))</f>
        <v/>
      </c>
      <c r="W3297" s="11" t="str">
        <f>IF(INDEX(Manual_Review!$H$6:$H$238,U3297)="","",INDEX(Manual_Review!$H$6:$H$238,U3297))</f>
        <v/>
      </c>
      <c r="X3297" s="5" t="str">
        <f>IF(INDEX(Manual_Review!$I$6:$I$238,U3297)="","",INDEX(Manual_Review!$I$6:$I$238,U3297))</f>
        <v/>
      </c>
      <c r="Y3297" s="5" t="s">
        <v>2859</v>
      </c>
    </row>
    <row r="3298" spans="1:25" ht="51">
      <c r="A3298" s="5" t="s">
        <v>9974</v>
      </c>
      <c r="B3298" s="5" t="s">
        <v>2372</v>
      </c>
      <c r="C3298" s="5" t="s">
        <v>2373</v>
      </c>
      <c r="D3298" s="5" t="s">
        <v>118</v>
      </c>
      <c r="E3298" s="5" t="s">
        <v>2793</v>
      </c>
      <c r="F3298" s="5" t="s">
        <v>2762</v>
      </c>
      <c r="G3298" s="5">
        <v>1</v>
      </c>
      <c r="H3298" s="5" t="s">
        <v>2854</v>
      </c>
      <c r="I3298" s="5" t="str">
        <f>IF(INDEX(Manual_Review!$W$6:$W$238,U3298)="","",INDEX(Manual_Review!$W$6:$W$238,U3298))</f>
        <v/>
      </c>
      <c r="J3298" s="5" t="str">
        <f t="shared" si="102"/>
        <v>AI provisional</v>
      </c>
      <c r="K3298" s="5" t="str">
        <f t="shared" si="103"/>
        <v>Y</v>
      </c>
      <c r="L3298" s="5" t="s">
        <v>2384</v>
      </c>
      <c r="M3298" s="5" t="s">
        <v>9975</v>
      </c>
      <c r="N3298" s="5" t="s">
        <v>9976</v>
      </c>
      <c r="O3298" s="5" t="s">
        <v>3038</v>
      </c>
      <c r="P3298" s="5" t="s">
        <v>2992</v>
      </c>
      <c r="Q3298" s="11">
        <v>46306.5</v>
      </c>
      <c r="R3298" s="6"/>
      <c r="S3298" s="6"/>
      <c r="T3298" s="6"/>
      <c r="U3298" s="5">
        <f>MATCH(B3298,Manual_Review!$A$6:$A$238,0)</f>
        <v>206</v>
      </c>
      <c r="V3298" s="5" t="str">
        <f>IF(INDEX(Manual_Review!$G$6:$G$238,U3298)="","",INDEX(Manual_Review!$G$6:$G$238,U3298))</f>
        <v/>
      </c>
      <c r="W3298" s="11" t="str">
        <f>IF(INDEX(Manual_Review!$H$6:$H$238,U3298)="","",INDEX(Manual_Review!$H$6:$H$238,U3298))</f>
        <v/>
      </c>
      <c r="X3298" s="5" t="str">
        <f>IF(INDEX(Manual_Review!$I$6:$I$238,U3298)="","",INDEX(Manual_Review!$I$6:$I$238,U3298))</f>
        <v/>
      </c>
      <c r="Y3298" s="5" t="s">
        <v>2859</v>
      </c>
    </row>
    <row r="3299" spans="1:25" ht="25.5">
      <c r="A3299" s="5" t="s">
        <v>9977</v>
      </c>
      <c r="B3299" s="5" t="s">
        <v>2372</v>
      </c>
      <c r="C3299" s="5" t="s">
        <v>2373</v>
      </c>
      <c r="D3299" s="5" t="s">
        <v>118</v>
      </c>
      <c r="E3299" s="5" t="s">
        <v>2794</v>
      </c>
      <c r="F3299" s="5" t="s">
        <v>2764</v>
      </c>
      <c r="G3299" s="5">
        <v>1</v>
      </c>
      <c r="H3299" s="5" t="s">
        <v>2854</v>
      </c>
      <c r="I3299" s="5" t="str">
        <f>IF(INDEX(Manual_Review!$X$6:$X$238,U3299)="","",INDEX(Manual_Review!$X$6:$X$238,U3299))</f>
        <v/>
      </c>
      <c r="J3299" s="5" t="str">
        <f t="shared" si="102"/>
        <v>AI provisional</v>
      </c>
      <c r="K3299" s="5" t="str">
        <f t="shared" si="103"/>
        <v>Y</v>
      </c>
      <c r="L3299" s="5" t="s">
        <v>2384</v>
      </c>
      <c r="M3299" s="5" t="s">
        <v>9978</v>
      </c>
      <c r="N3299" s="5" t="s">
        <v>9979</v>
      </c>
      <c r="O3299" s="5" t="s">
        <v>3042</v>
      </c>
      <c r="P3299" s="5" t="s">
        <v>2992</v>
      </c>
      <c r="Q3299" s="11">
        <v>46306.5</v>
      </c>
      <c r="R3299" s="6"/>
      <c r="S3299" s="6"/>
      <c r="T3299" s="6"/>
      <c r="U3299" s="5">
        <f>MATCH(B3299,Manual_Review!$A$6:$A$238,0)</f>
        <v>206</v>
      </c>
      <c r="V3299" s="5" t="str">
        <f>IF(INDEX(Manual_Review!$G$6:$G$238,U3299)="","",INDEX(Manual_Review!$G$6:$G$238,U3299))</f>
        <v/>
      </c>
      <c r="W3299" s="11" t="str">
        <f>IF(INDEX(Manual_Review!$H$6:$H$238,U3299)="","",INDEX(Manual_Review!$H$6:$H$238,U3299))</f>
        <v/>
      </c>
      <c r="X3299" s="5" t="str">
        <f>IF(INDEX(Manual_Review!$I$6:$I$238,U3299)="","",INDEX(Manual_Review!$I$6:$I$238,U3299))</f>
        <v/>
      </c>
      <c r="Y3299" s="5" t="s">
        <v>2859</v>
      </c>
    </row>
    <row r="3300" spans="1:25" ht="25.5">
      <c r="A3300" s="5" t="s">
        <v>9980</v>
      </c>
      <c r="B3300" s="5" t="s">
        <v>2372</v>
      </c>
      <c r="C3300" s="5" t="s">
        <v>2373</v>
      </c>
      <c r="D3300" s="5" t="s">
        <v>118</v>
      </c>
      <c r="E3300" s="5" t="s">
        <v>2795</v>
      </c>
      <c r="F3300" s="5" t="s">
        <v>2764</v>
      </c>
      <c r="G3300" s="5">
        <v>1</v>
      </c>
      <c r="H3300" s="5" t="s">
        <v>2854</v>
      </c>
      <c r="I3300" s="5" t="str">
        <f>IF(INDEX(Manual_Review!$Y$6:$Y$238,U3300)="","",INDEX(Manual_Review!$Y$6:$Y$238,U3300))</f>
        <v/>
      </c>
      <c r="J3300" s="5" t="str">
        <f t="shared" si="102"/>
        <v>AI provisional</v>
      </c>
      <c r="K3300" s="5" t="str">
        <f t="shared" si="103"/>
        <v>Y</v>
      </c>
      <c r="L3300" s="5" t="s">
        <v>2384</v>
      </c>
      <c r="M3300" s="5" t="s">
        <v>9981</v>
      </c>
      <c r="N3300" s="5" t="s">
        <v>9982</v>
      </c>
      <c r="O3300" s="5" t="s">
        <v>9983</v>
      </c>
      <c r="P3300" s="5" t="s">
        <v>2992</v>
      </c>
      <c r="Q3300" s="11">
        <v>46306.5</v>
      </c>
      <c r="R3300" s="6"/>
      <c r="S3300" s="6"/>
      <c r="T3300" s="6"/>
      <c r="U3300" s="5">
        <f>MATCH(B3300,Manual_Review!$A$6:$A$238,0)</f>
        <v>206</v>
      </c>
      <c r="V3300" s="5" t="str">
        <f>IF(INDEX(Manual_Review!$G$6:$G$238,U3300)="","",INDEX(Manual_Review!$G$6:$G$238,U3300))</f>
        <v/>
      </c>
      <c r="W3300" s="11" t="str">
        <f>IF(INDEX(Manual_Review!$H$6:$H$238,U3300)="","",INDEX(Manual_Review!$H$6:$H$238,U3300))</f>
        <v/>
      </c>
      <c r="X3300" s="5" t="str">
        <f>IF(INDEX(Manual_Review!$I$6:$I$238,U3300)="","",INDEX(Manual_Review!$I$6:$I$238,U3300))</f>
        <v/>
      </c>
      <c r="Y3300" s="5" t="s">
        <v>2859</v>
      </c>
    </row>
    <row r="3301" spans="1:25" ht="51">
      <c r="A3301" s="5" t="s">
        <v>9984</v>
      </c>
      <c r="B3301" s="5" t="s">
        <v>2372</v>
      </c>
      <c r="C3301" s="5" t="s">
        <v>2373</v>
      </c>
      <c r="D3301" s="5" t="s">
        <v>118</v>
      </c>
      <c r="E3301" s="5" t="s">
        <v>2796</v>
      </c>
      <c r="F3301" s="5" t="s">
        <v>2764</v>
      </c>
      <c r="G3301" s="5">
        <v>1</v>
      </c>
      <c r="H3301" s="5" t="s">
        <v>2864</v>
      </c>
      <c r="I3301" s="5" t="str">
        <f>IF(INDEX(Manual_Review!$Z$6:$Z$238,U3301)="","",INDEX(Manual_Review!$Z$6:$Z$238,U3301))</f>
        <v/>
      </c>
      <c r="J3301" s="5" t="str">
        <f t="shared" si="102"/>
        <v>AI provisional</v>
      </c>
      <c r="K3301" s="5" t="str">
        <f t="shared" si="103"/>
        <v>U</v>
      </c>
      <c r="L3301" s="5" t="s">
        <v>2384</v>
      </c>
      <c r="M3301" s="5" t="s">
        <v>9985</v>
      </c>
      <c r="N3301" s="5" t="s">
        <v>9986</v>
      </c>
      <c r="O3301" s="5" t="s">
        <v>3050</v>
      </c>
      <c r="P3301" s="5" t="s">
        <v>2992</v>
      </c>
      <c r="Q3301" s="11">
        <v>46306.5</v>
      </c>
      <c r="R3301" s="6"/>
      <c r="S3301" s="6"/>
      <c r="T3301" s="6"/>
      <c r="U3301" s="5">
        <f>MATCH(B3301,Manual_Review!$A$6:$A$238,0)</f>
        <v>206</v>
      </c>
      <c r="V3301" s="5" t="str">
        <f>IF(INDEX(Manual_Review!$G$6:$G$238,U3301)="","",INDEX(Manual_Review!$G$6:$G$238,U3301))</f>
        <v/>
      </c>
      <c r="W3301" s="11" t="str">
        <f>IF(INDEX(Manual_Review!$H$6:$H$238,U3301)="","",INDEX(Manual_Review!$H$6:$H$238,U3301))</f>
        <v/>
      </c>
      <c r="X3301" s="5" t="str">
        <f>IF(INDEX(Manual_Review!$I$6:$I$238,U3301)="","",INDEX(Manual_Review!$I$6:$I$238,U3301))</f>
        <v/>
      </c>
      <c r="Y3301" s="5" t="s">
        <v>2859</v>
      </c>
    </row>
    <row r="3302" spans="1:25" ht="25.5">
      <c r="A3302" s="5" t="s">
        <v>9987</v>
      </c>
      <c r="B3302" s="5" t="s">
        <v>2386</v>
      </c>
      <c r="C3302" s="5" t="s">
        <v>2387</v>
      </c>
      <c r="D3302" s="5" t="s">
        <v>118</v>
      </c>
      <c r="E3302" s="5" t="s">
        <v>2781</v>
      </c>
      <c r="F3302" s="5" t="s">
        <v>2754</v>
      </c>
      <c r="G3302" s="5">
        <v>1</v>
      </c>
      <c r="H3302" s="5" t="s">
        <v>2854</v>
      </c>
      <c r="I3302" s="5" t="str">
        <f>IF(INDEX(Manual_Review!$K$6:$K$238,U3302)="","",INDEX(Manual_Review!$K$6:$K$238,U3302))</f>
        <v/>
      </c>
      <c r="J3302" s="5" t="str">
        <f t="shared" si="102"/>
        <v>AI provisional</v>
      </c>
      <c r="K3302" s="5" t="str">
        <f t="shared" si="103"/>
        <v>Y</v>
      </c>
      <c r="L3302" s="5" t="s">
        <v>2398</v>
      </c>
      <c r="M3302" s="5" t="s">
        <v>9988</v>
      </c>
      <c r="N3302" s="5" t="s">
        <v>9989</v>
      </c>
      <c r="O3302" s="5" t="s">
        <v>2991</v>
      </c>
      <c r="P3302" s="5" t="s">
        <v>2992</v>
      </c>
      <c r="Q3302" s="11">
        <v>46306.5</v>
      </c>
      <c r="R3302" s="6"/>
      <c r="S3302" s="6"/>
      <c r="T3302" s="6"/>
      <c r="U3302" s="5">
        <f>MATCH(B3302,Manual_Review!$A$6:$A$238,0)</f>
        <v>207</v>
      </c>
      <c r="V3302" s="5" t="str">
        <f>IF(INDEX(Manual_Review!$G$6:$G$238,U3302)="","",INDEX(Manual_Review!$G$6:$G$238,U3302))</f>
        <v/>
      </c>
      <c r="W3302" s="11" t="str">
        <f>IF(INDEX(Manual_Review!$H$6:$H$238,U3302)="","",INDEX(Manual_Review!$H$6:$H$238,U3302))</f>
        <v/>
      </c>
      <c r="X3302" s="5" t="str">
        <f>IF(INDEX(Manual_Review!$I$6:$I$238,U3302)="","",INDEX(Manual_Review!$I$6:$I$238,U3302))</f>
        <v/>
      </c>
      <c r="Y3302" s="5" t="s">
        <v>2859</v>
      </c>
    </row>
    <row r="3303" spans="1:25" ht="25.5">
      <c r="A3303" s="5" t="s">
        <v>9990</v>
      </c>
      <c r="B3303" s="5" t="s">
        <v>2386</v>
      </c>
      <c r="C3303" s="5" t="s">
        <v>2387</v>
      </c>
      <c r="D3303" s="5" t="s">
        <v>118</v>
      </c>
      <c r="E3303" s="5" t="s">
        <v>2782</v>
      </c>
      <c r="F3303" s="5" t="s">
        <v>2754</v>
      </c>
      <c r="G3303" s="5">
        <v>1</v>
      </c>
      <c r="H3303" s="5" t="s">
        <v>2854</v>
      </c>
      <c r="I3303" s="5" t="str">
        <f>IF(INDEX(Manual_Review!$L$6:$L$238,U3303)="","",INDEX(Manual_Review!$L$6:$L$238,U3303))</f>
        <v/>
      </c>
      <c r="J3303" s="5" t="str">
        <f t="shared" si="102"/>
        <v>AI provisional</v>
      </c>
      <c r="K3303" s="5" t="str">
        <f t="shared" si="103"/>
        <v>Y</v>
      </c>
      <c r="L3303" s="5" t="s">
        <v>2398</v>
      </c>
      <c r="M3303" s="5" t="s">
        <v>9991</v>
      </c>
      <c r="N3303" s="5" t="s">
        <v>9992</v>
      </c>
      <c r="O3303" s="5" t="s">
        <v>2996</v>
      </c>
      <c r="P3303" s="5" t="s">
        <v>2992</v>
      </c>
      <c r="Q3303" s="11">
        <v>46306.5</v>
      </c>
      <c r="R3303" s="6"/>
      <c r="S3303" s="6"/>
      <c r="T3303" s="6"/>
      <c r="U3303" s="5">
        <f>MATCH(B3303,Manual_Review!$A$6:$A$238,0)</f>
        <v>207</v>
      </c>
      <c r="V3303" s="5" t="str">
        <f>IF(INDEX(Manual_Review!$G$6:$G$238,U3303)="","",INDEX(Manual_Review!$G$6:$G$238,U3303))</f>
        <v/>
      </c>
      <c r="W3303" s="11" t="str">
        <f>IF(INDEX(Manual_Review!$H$6:$H$238,U3303)="","",INDEX(Manual_Review!$H$6:$H$238,U3303))</f>
        <v/>
      </c>
      <c r="X3303" s="5" t="str">
        <f>IF(INDEX(Manual_Review!$I$6:$I$238,U3303)="","",INDEX(Manual_Review!$I$6:$I$238,U3303))</f>
        <v/>
      </c>
      <c r="Y3303" s="5" t="s">
        <v>2859</v>
      </c>
    </row>
    <row r="3304" spans="1:25" ht="25.5">
      <c r="A3304" s="5" t="s">
        <v>9993</v>
      </c>
      <c r="B3304" s="5" t="s">
        <v>2386</v>
      </c>
      <c r="C3304" s="5" t="s">
        <v>2387</v>
      </c>
      <c r="D3304" s="5" t="s">
        <v>118</v>
      </c>
      <c r="E3304" s="5" t="s">
        <v>2783</v>
      </c>
      <c r="F3304" s="5" t="s">
        <v>2754</v>
      </c>
      <c r="G3304" s="5">
        <v>1</v>
      </c>
      <c r="H3304" s="5" t="s">
        <v>2864</v>
      </c>
      <c r="I3304" s="5" t="str">
        <f>IF(INDEX(Manual_Review!$M$6:$M$238,U3304)="","",INDEX(Manual_Review!$M$6:$M$238,U3304))</f>
        <v/>
      </c>
      <c r="J3304" s="5" t="str">
        <f t="shared" si="102"/>
        <v>AI provisional</v>
      </c>
      <c r="K3304" s="5" t="str">
        <f t="shared" si="103"/>
        <v>U</v>
      </c>
      <c r="L3304" s="5" t="s">
        <v>2398</v>
      </c>
      <c r="M3304" s="5" t="s">
        <v>9994</v>
      </c>
      <c r="N3304" s="5" t="s">
        <v>9995</v>
      </c>
      <c r="O3304" s="5" t="s">
        <v>3808</v>
      </c>
      <c r="P3304" s="5" t="s">
        <v>2992</v>
      </c>
      <c r="Q3304" s="11">
        <v>46306.5</v>
      </c>
      <c r="R3304" s="6"/>
      <c r="S3304" s="6"/>
      <c r="T3304" s="6"/>
      <c r="U3304" s="5">
        <f>MATCH(B3304,Manual_Review!$A$6:$A$238,0)</f>
        <v>207</v>
      </c>
      <c r="V3304" s="5" t="str">
        <f>IF(INDEX(Manual_Review!$G$6:$G$238,U3304)="","",INDEX(Manual_Review!$G$6:$G$238,U3304))</f>
        <v/>
      </c>
      <c r="W3304" s="11" t="str">
        <f>IF(INDEX(Manual_Review!$H$6:$H$238,U3304)="","",INDEX(Manual_Review!$H$6:$H$238,U3304))</f>
        <v/>
      </c>
      <c r="X3304" s="5" t="str">
        <f>IF(INDEX(Manual_Review!$I$6:$I$238,U3304)="","",INDEX(Manual_Review!$I$6:$I$238,U3304))</f>
        <v/>
      </c>
      <c r="Y3304" s="5" t="s">
        <v>2859</v>
      </c>
    </row>
    <row r="3305" spans="1:25" ht="25.5">
      <c r="A3305" s="5" t="s">
        <v>9996</v>
      </c>
      <c r="B3305" s="5" t="s">
        <v>2386</v>
      </c>
      <c r="C3305" s="5" t="s">
        <v>2387</v>
      </c>
      <c r="D3305" s="5" t="s">
        <v>118</v>
      </c>
      <c r="E3305" s="5" t="s">
        <v>2784</v>
      </c>
      <c r="F3305" s="5" t="s">
        <v>2756</v>
      </c>
      <c r="G3305" s="5">
        <v>1</v>
      </c>
      <c r="H3305" s="5" t="s">
        <v>2864</v>
      </c>
      <c r="I3305" s="5" t="str">
        <f>IF(INDEX(Manual_Review!$N$6:$N$238,U3305)="","",INDEX(Manual_Review!$N$6:$N$238,U3305))</f>
        <v/>
      </c>
      <c r="J3305" s="5" t="str">
        <f t="shared" si="102"/>
        <v>AI provisional</v>
      </c>
      <c r="K3305" s="5" t="str">
        <f t="shared" si="103"/>
        <v>U</v>
      </c>
      <c r="L3305" s="5" t="s">
        <v>2398</v>
      </c>
      <c r="M3305" s="5" t="s">
        <v>9997</v>
      </c>
      <c r="N3305" s="5" t="s">
        <v>9998</v>
      </c>
      <c r="O3305" s="5" t="s">
        <v>9214</v>
      </c>
      <c r="P3305" s="5" t="s">
        <v>2992</v>
      </c>
      <c r="Q3305" s="11">
        <v>46306.5</v>
      </c>
      <c r="R3305" s="6"/>
      <c r="S3305" s="6"/>
      <c r="T3305" s="6"/>
      <c r="U3305" s="5">
        <f>MATCH(B3305,Manual_Review!$A$6:$A$238,0)</f>
        <v>207</v>
      </c>
      <c r="V3305" s="5" t="str">
        <f>IF(INDEX(Manual_Review!$G$6:$G$238,U3305)="","",INDEX(Manual_Review!$G$6:$G$238,U3305))</f>
        <v/>
      </c>
      <c r="W3305" s="11" t="str">
        <f>IF(INDEX(Manual_Review!$H$6:$H$238,U3305)="","",INDEX(Manual_Review!$H$6:$H$238,U3305))</f>
        <v/>
      </c>
      <c r="X3305" s="5" t="str">
        <f>IF(INDEX(Manual_Review!$I$6:$I$238,U3305)="","",INDEX(Manual_Review!$I$6:$I$238,U3305))</f>
        <v/>
      </c>
      <c r="Y3305" s="5" t="s">
        <v>2859</v>
      </c>
    </row>
    <row r="3306" spans="1:25" ht="25.5">
      <c r="A3306" s="5" t="s">
        <v>9999</v>
      </c>
      <c r="B3306" s="5" t="s">
        <v>2386</v>
      </c>
      <c r="C3306" s="5" t="s">
        <v>2387</v>
      </c>
      <c r="D3306" s="5" t="s">
        <v>118</v>
      </c>
      <c r="E3306" s="5" t="s">
        <v>2785</v>
      </c>
      <c r="F3306" s="5" t="s">
        <v>2756</v>
      </c>
      <c r="G3306" s="5">
        <v>1</v>
      </c>
      <c r="H3306" s="5" t="s">
        <v>2864</v>
      </c>
      <c r="I3306" s="5" t="str">
        <f>IF(INDEX(Manual_Review!$O$6:$O$238,U3306)="","",INDEX(Manual_Review!$O$6:$O$238,U3306))</f>
        <v/>
      </c>
      <c r="J3306" s="5" t="str">
        <f t="shared" si="102"/>
        <v>AI provisional</v>
      </c>
      <c r="K3306" s="5" t="str">
        <f t="shared" si="103"/>
        <v>U</v>
      </c>
      <c r="L3306" s="5" t="s">
        <v>2398</v>
      </c>
      <c r="M3306" s="5" t="s">
        <v>9997</v>
      </c>
      <c r="N3306" s="5" t="s">
        <v>9998</v>
      </c>
      <c r="O3306" s="5" t="s">
        <v>3006</v>
      </c>
      <c r="P3306" s="5" t="s">
        <v>2992</v>
      </c>
      <c r="Q3306" s="11">
        <v>46306.5</v>
      </c>
      <c r="R3306" s="6"/>
      <c r="S3306" s="6"/>
      <c r="T3306" s="6"/>
      <c r="U3306" s="5">
        <f>MATCH(B3306,Manual_Review!$A$6:$A$238,0)</f>
        <v>207</v>
      </c>
      <c r="V3306" s="5" t="str">
        <f>IF(INDEX(Manual_Review!$G$6:$G$238,U3306)="","",INDEX(Manual_Review!$G$6:$G$238,U3306))</f>
        <v/>
      </c>
      <c r="W3306" s="11" t="str">
        <f>IF(INDEX(Manual_Review!$H$6:$H$238,U3306)="","",INDEX(Manual_Review!$H$6:$H$238,U3306))</f>
        <v/>
      </c>
      <c r="X3306" s="5" t="str">
        <f>IF(INDEX(Manual_Review!$I$6:$I$238,U3306)="","",INDEX(Manual_Review!$I$6:$I$238,U3306))</f>
        <v/>
      </c>
      <c r="Y3306" s="5" t="s">
        <v>2859</v>
      </c>
    </row>
    <row r="3307" spans="1:25" ht="38.25">
      <c r="A3307" s="5" t="s">
        <v>10000</v>
      </c>
      <c r="B3307" s="5" t="s">
        <v>2386</v>
      </c>
      <c r="C3307" s="5" t="s">
        <v>2387</v>
      </c>
      <c r="D3307" s="5" t="s">
        <v>118</v>
      </c>
      <c r="E3307" s="5" t="s">
        <v>2786</v>
      </c>
      <c r="F3307" s="5" t="s">
        <v>2756</v>
      </c>
      <c r="G3307" s="5">
        <v>1</v>
      </c>
      <c r="H3307" s="5" t="s">
        <v>2864</v>
      </c>
      <c r="I3307" s="5" t="str">
        <f>IF(INDEX(Manual_Review!$P$6:$P$238,U3307)="","",INDEX(Manual_Review!$P$6:$P$238,U3307))</f>
        <v/>
      </c>
      <c r="J3307" s="5" t="str">
        <f t="shared" si="102"/>
        <v>AI provisional</v>
      </c>
      <c r="K3307" s="5" t="str">
        <f t="shared" si="103"/>
        <v>U</v>
      </c>
      <c r="L3307" s="5" t="s">
        <v>2398</v>
      </c>
      <c r="M3307" s="5" t="s">
        <v>10001</v>
      </c>
      <c r="N3307" s="5" t="s">
        <v>10002</v>
      </c>
      <c r="O3307" s="5" t="s">
        <v>3010</v>
      </c>
      <c r="P3307" s="5" t="s">
        <v>2992</v>
      </c>
      <c r="Q3307" s="11">
        <v>46306.5</v>
      </c>
      <c r="R3307" s="6"/>
      <c r="S3307" s="6"/>
      <c r="T3307" s="6"/>
      <c r="U3307" s="5">
        <f>MATCH(B3307,Manual_Review!$A$6:$A$238,0)</f>
        <v>207</v>
      </c>
      <c r="V3307" s="5" t="str">
        <f>IF(INDEX(Manual_Review!$G$6:$G$238,U3307)="","",INDEX(Manual_Review!$G$6:$G$238,U3307))</f>
        <v/>
      </c>
      <c r="W3307" s="11" t="str">
        <f>IF(INDEX(Manual_Review!$H$6:$H$238,U3307)="","",INDEX(Manual_Review!$H$6:$H$238,U3307))</f>
        <v/>
      </c>
      <c r="X3307" s="5" t="str">
        <f>IF(INDEX(Manual_Review!$I$6:$I$238,U3307)="","",INDEX(Manual_Review!$I$6:$I$238,U3307))</f>
        <v/>
      </c>
      <c r="Y3307" s="5" t="s">
        <v>2859</v>
      </c>
    </row>
    <row r="3308" spans="1:25" ht="25.5">
      <c r="A3308" s="5" t="s">
        <v>10003</v>
      </c>
      <c r="B3308" s="5" t="s">
        <v>2386</v>
      </c>
      <c r="C3308" s="5" t="s">
        <v>2387</v>
      </c>
      <c r="D3308" s="5" t="s">
        <v>118</v>
      </c>
      <c r="E3308" s="5" t="s">
        <v>2787</v>
      </c>
      <c r="F3308" s="5" t="s">
        <v>2758</v>
      </c>
      <c r="G3308" s="5">
        <v>1</v>
      </c>
      <c r="H3308" s="5" t="s">
        <v>2864</v>
      </c>
      <c r="I3308" s="5" t="str">
        <f>IF(INDEX(Manual_Review!$Q$6:$Q$238,U3308)="","",INDEX(Manual_Review!$Q$6:$Q$238,U3308))</f>
        <v/>
      </c>
      <c r="J3308" s="5" t="str">
        <f t="shared" si="102"/>
        <v>AI provisional</v>
      </c>
      <c r="K3308" s="5" t="str">
        <f t="shared" si="103"/>
        <v>U</v>
      </c>
      <c r="L3308" s="5" t="s">
        <v>2398</v>
      </c>
      <c r="M3308" s="5" t="s">
        <v>10004</v>
      </c>
      <c r="N3308" s="5" t="s">
        <v>10005</v>
      </c>
      <c r="O3308" s="5" t="s">
        <v>3014</v>
      </c>
      <c r="P3308" s="5" t="s">
        <v>2992</v>
      </c>
      <c r="Q3308" s="11">
        <v>46306.5</v>
      </c>
      <c r="R3308" s="6"/>
      <c r="S3308" s="6"/>
      <c r="T3308" s="6"/>
      <c r="U3308" s="5">
        <f>MATCH(B3308,Manual_Review!$A$6:$A$238,0)</f>
        <v>207</v>
      </c>
      <c r="V3308" s="5" t="str">
        <f>IF(INDEX(Manual_Review!$G$6:$G$238,U3308)="","",INDEX(Manual_Review!$G$6:$G$238,U3308))</f>
        <v/>
      </c>
      <c r="W3308" s="11" t="str">
        <f>IF(INDEX(Manual_Review!$H$6:$H$238,U3308)="","",INDEX(Manual_Review!$H$6:$H$238,U3308))</f>
        <v/>
      </c>
      <c r="X3308" s="5" t="str">
        <f>IF(INDEX(Manual_Review!$I$6:$I$238,U3308)="","",INDEX(Manual_Review!$I$6:$I$238,U3308))</f>
        <v/>
      </c>
      <c r="Y3308" s="5" t="s">
        <v>2859</v>
      </c>
    </row>
    <row r="3309" spans="1:25" ht="51">
      <c r="A3309" s="5" t="s">
        <v>10006</v>
      </c>
      <c r="B3309" s="5" t="s">
        <v>2386</v>
      </c>
      <c r="C3309" s="5" t="s">
        <v>2387</v>
      </c>
      <c r="D3309" s="5" t="s">
        <v>118</v>
      </c>
      <c r="E3309" s="5" t="s">
        <v>2788</v>
      </c>
      <c r="F3309" s="5" t="s">
        <v>2758</v>
      </c>
      <c r="G3309" s="5">
        <v>1</v>
      </c>
      <c r="H3309" s="5" t="s">
        <v>2854</v>
      </c>
      <c r="I3309" s="5" t="str">
        <f>IF(INDEX(Manual_Review!$R$6:$R$238,U3309)="","",INDEX(Manual_Review!$R$6:$R$238,U3309))</f>
        <v/>
      </c>
      <c r="J3309" s="5" t="str">
        <f t="shared" si="102"/>
        <v>AI provisional</v>
      </c>
      <c r="K3309" s="5" t="str">
        <f t="shared" si="103"/>
        <v>Y</v>
      </c>
      <c r="L3309" s="5" t="s">
        <v>2398</v>
      </c>
      <c r="M3309" s="5" t="s">
        <v>10007</v>
      </c>
      <c r="N3309" s="5" t="s">
        <v>10008</v>
      </c>
      <c r="O3309" s="5" t="s">
        <v>3018</v>
      </c>
      <c r="P3309" s="5" t="s">
        <v>2992</v>
      </c>
      <c r="Q3309" s="11">
        <v>46306.5</v>
      </c>
      <c r="R3309" s="6"/>
      <c r="S3309" s="6"/>
      <c r="T3309" s="6"/>
      <c r="U3309" s="5">
        <f>MATCH(B3309,Manual_Review!$A$6:$A$238,0)</f>
        <v>207</v>
      </c>
      <c r="V3309" s="5" t="str">
        <f>IF(INDEX(Manual_Review!$G$6:$G$238,U3309)="","",INDEX(Manual_Review!$G$6:$G$238,U3309))</f>
        <v/>
      </c>
      <c r="W3309" s="11" t="str">
        <f>IF(INDEX(Manual_Review!$H$6:$H$238,U3309)="","",INDEX(Manual_Review!$H$6:$H$238,U3309))</f>
        <v/>
      </c>
      <c r="X3309" s="5" t="str">
        <f>IF(INDEX(Manual_Review!$I$6:$I$238,U3309)="","",INDEX(Manual_Review!$I$6:$I$238,U3309))</f>
        <v/>
      </c>
      <c r="Y3309" s="5" t="s">
        <v>2859</v>
      </c>
    </row>
    <row r="3310" spans="1:25" ht="38.25">
      <c r="A3310" s="5" t="s">
        <v>10009</v>
      </c>
      <c r="B3310" s="5" t="s">
        <v>2386</v>
      </c>
      <c r="C3310" s="5" t="s">
        <v>2387</v>
      </c>
      <c r="D3310" s="5" t="s">
        <v>118</v>
      </c>
      <c r="E3310" s="5" t="s">
        <v>2789</v>
      </c>
      <c r="F3310" s="5" t="s">
        <v>2758</v>
      </c>
      <c r="G3310" s="5">
        <v>1</v>
      </c>
      <c r="H3310" s="5" t="s">
        <v>2854</v>
      </c>
      <c r="I3310" s="5" t="str">
        <f>IF(INDEX(Manual_Review!$S$6:$S$238,U3310)="","",INDEX(Manual_Review!$S$6:$S$238,U3310))</f>
        <v/>
      </c>
      <c r="J3310" s="5" t="str">
        <f t="shared" si="102"/>
        <v>AI provisional</v>
      </c>
      <c r="K3310" s="5" t="str">
        <f t="shared" si="103"/>
        <v>Y</v>
      </c>
      <c r="L3310" s="5" t="s">
        <v>2398</v>
      </c>
      <c r="M3310" s="5" t="s">
        <v>10010</v>
      </c>
      <c r="N3310" s="5" t="s">
        <v>10011</v>
      </c>
      <c r="O3310" s="5" t="s">
        <v>3022</v>
      </c>
      <c r="P3310" s="5" t="s">
        <v>2992</v>
      </c>
      <c r="Q3310" s="11">
        <v>46306.5</v>
      </c>
      <c r="R3310" s="6"/>
      <c r="S3310" s="6"/>
      <c r="T3310" s="6"/>
      <c r="U3310" s="5">
        <f>MATCH(B3310,Manual_Review!$A$6:$A$238,0)</f>
        <v>207</v>
      </c>
      <c r="V3310" s="5" t="str">
        <f>IF(INDEX(Manual_Review!$G$6:$G$238,U3310)="","",INDEX(Manual_Review!$G$6:$G$238,U3310))</f>
        <v/>
      </c>
      <c r="W3310" s="11" t="str">
        <f>IF(INDEX(Manual_Review!$H$6:$H$238,U3310)="","",INDEX(Manual_Review!$H$6:$H$238,U3310))</f>
        <v/>
      </c>
      <c r="X3310" s="5" t="str">
        <f>IF(INDEX(Manual_Review!$I$6:$I$238,U3310)="","",INDEX(Manual_Review!$I$6:$I$238,U3310))</f>
        <v/>
      </c>
      <c r="Y3310" s="5" t="s">
        <v>2859</v>
      </c>
    </row>
    <row r="3311" spans="1:25" ht="25.5">
      <c r="A3311" s="5" t="s">
        <v>10012</v>
      </c>
      <c r="B3311" s="5" t="s">
        <v>2386</v>
      </c>
      <c r="C3311" s="5" t="s">
        <v>2387</v>
      </c>
      <c r="D3311" s="5" t="s">
        <v>118</v>
      </c>
      <c r="E3311" s="5" t="s">
        <v>2790</v>
      </c>
      <c r="F3311" s="5" t="s">
        <v>2760</v>
      </c>
      <c r="G3311" s="5">
        <v>1</v>
      </c>
      <c r="H3311" s="5" t="s">
        <v>2854</v>
      </c>
      <c r="I3311" s="5" t="str">
        <f>IF(INDEX(Manual_Review!$T$6:$T$238,U3311)="","",INDEX(Manual_Review!$T$6:$T$238,U3311))</f>
        <v/>
      </c>
      <c r="J3311" s="5" t="str">
        <f t="shared" si="102"/>
        <v>AI provisional</v>
      </c>
      <c r="K3311" s="5" t="str">
        <f t="shared" si="103"/>
        <v>Y</v>
      </c>
      <c r="L3311" s="5" t="s">
        <v>2398</v>
      </c>
      <c r="M3311" s="5" t="s">
        <v>10013</v>
      </c>
      <c r="N3311" s="5" t="s">
        <v>10014</v>
      </c>
      <c r="O3311" s="5" t="s">
        <v>3451</v>
      </c>
      <c r="P3311" s="5" t="s">
        <v>2992</v>
      </c>
      <c r="Q3311" s="11">
        <v>46306.5</v>
      </c>
      <c r="R3311" s="6"/>
      <c r="S3311" s="6"/>
      <c r="T3311" s="6"/>
      <c r="U3311" s="5">
        <f>MATCH(B3311,Manual_Review!$A$6:$A$238,0)</f>
        <v>207</v>
      </c>
      <c r="V3311" s="5" t="str">
        <f>IF(INDEX(Manual_Review!$G$6:$G$238,U3311)="","",INDEX(Manual_Review!$G$6:$G$238,U3311))</f>
        <v/>
      </c>
      <c r="W3311" s="11" t="str">
        <f>IF(INDEX(Manual_Review!$H$6:$H$238,U3311)="","",INDEX(Manual_Review!$H$6:$H$238,U3311))</f>
        <v/>
      </c>
      <c r="X3311" s="5" t="str">
        <f>IF(INDEX(Manual_Review!$I$6:$I$238,U3311)="","",INDEX(Manual_Review!$I$6:$I$238,U3311))</f>
        <v/>
      </c>
      <c r="Y3311" s="5" t="s">
        <v>2859</v>
      </c>
    </row>
    <row r="3312" spans="1:25" ht="25.5">
      <c r="A3312" s="5" t="s">
        <v>10015</v>
      </c>
      <c r="B3312" s="5" t="s">
        <v>2386</v>
      </c>
      <c r="C3312" s="5" t="s">
        <v>2387</v>
      </c>
      <c r="D3312" s="5" t="s">
        <v>118</v>
      </c>
      <c r="E3312" s="5" t="s">
        <v>2791</v>
      </c>
      <c r="F3312" s="5" t="s">
        <v>2760</v>
      </c>
      <c r="G3312" s="5">
        <v>1</v>
      </c>
      <c r="H3312" s="5" t="s">
        <v>2854</v>
      </c>
      <c r="I3312" s="5" t="str">
        <f>IF(INDEX(Manual_Review!$U$6:$U$238,U3312)="","",INDEX(Manual_Review!$U$6:$U$238,U3312))</f>
        <v/>
      </c>
      <c r="J3312" s="5" t="str">
        <f t="shared" si="102"/>
        <v>AI provisional</v>
      </c>
      <c r="K3312" s="5" t="str">
        <f t="shared" si="103"/>
        <v>Y</v>
      </c>
      <c r="L3312" s="5" t="s">
        <v>2398</v>
      </c>
      <c r="M3312" s="5" t="s">
        <v>10016</v>
      </c>
      <c r="N3312" s="5" t="s">
        <v>10017</v>
      </c>
      <c r="O3312" s="5" t="s">
        <v>3832</v>
      </c>
      <c r="P3312" s="5" t="s">
        <v>2992</v>
      </c>
      <c r="Q3312" s="11">
        <v>46306.5</v>
      </c>
      <c r="R3312" s="6"/>
      <c r="S3312" s="6"/>
      <c r="T3312" s="6"/>
      <c r="U3312" s="5">
        <f>MATCH(B3312,Manual_Review!$A$6:$A$238,0)</f>
        <v>207</v>
      </c>
      <c r="V3312" s="5" t="str">
        <f>IF(INDEX(Manual_Review!$G$6:$G$238,U3312)="","",INDEX(Manual_Review!$G$6:$G$238,U3312))</f>
        <v/>
      </c>
      <c r="W3312" s="11" t="str">
        <f>IF(INDEX(Manual_Review!$H$6:$H$238,U3312)="","",INDEX(Manual_Review!$H$6:$H$238,U3312))</f>
        <v/>
      </c>
      <c r="X3312" s="5" t="str">
        <f>IF(INDEX(Manual_Review!$I$6:$I$238,U3312)="","",INDEX(Manual_Review!$I$6:$I$238,U3312))</f>
        <v/>
      </c>
      <c r="Y3312" s="5" t="s">
        <v>2859</v>
      </c>
    </row>
    <row r="3313" spans="1:25" ht="25.5">
      <c r="A3313" s="5" t="s">
        <v>10018</v>
      </c>
      <c r="B3313" s="5" t="s">
        <v>2386</v>
      </c>
      <c r="C3313" s="5" t="s">
        <v>2387</v>
      </c>
      <c r="D3313" s="5" t="s">
        <v>118</v>
      </c>
      <c r="E3313" s="5" t="s">
        <v>2792</v>
      </c>
      <c r="F3313" s="5" t="s">
        <v>2762</v>
      </c>
      <c r="G3313" s="5">
        <v>1</v>
      </c>
      <c r="H3313" s="5" t="s">
        <v>2854</v>
      </c>
      <c r="I3313" s="5" t="str">
        <f>IF(INDEX(Manual_Review!$V$6:$V$238,U3313)="","",INDEX(Manual_Review!$V$6:$V$238,U3313))</f>
        <v/>
      </c>
      <c r="J3313" s="5" t="str">
        <f t="shared" si="102"/>
        <v>AI provisional</v>
      </c>
      <c r="K3313" s="5" t="str">
        <f t="shared" si="103"/>
        <v>Y</v>
      </c>
      <c r="L3313" s="5" t="s">
        <v>2398</v>
      </c>
      <c r="M3313" s="5" t="s">
        <v>10019</v>
      </c>
      <c r="N3313" s="5" t="s">
        <v>10020</v>
      </c>
      <c r="O3313" s="5" t="s">
        <v>3034</v>
      </c>
      <c r="P3313" s="5" t="s">
        <v>2992</v>
      </c>
      <c r="Q3313" s="11">
        <v>46306.5</v>
      </c>
      <c r="R3313" s="6"/>
      <c r="S3313" s="6"/>
      <c r="T3313" s="6"/>
      <c r="U3313" s="5">
        <f>MATCH(B3313,Manual_Review!$A$6:$A$238,0)</f>
        <v>207</v>
      </c>
      <c r="V3313" s="5" t="str">
        <f>IF(INDEX(Manual_Review!$G$6:$G$238,U3313)="","",INDEX(Manual_Review!$G$6:$G$238,U3313))</f>
        <v/>
      </c>
      <c r="W3313" s="11" t="str">
        <f>IF(INDEX(Manual_Review!$H$6:$H$238,U3313)="","",INDEX(Manual_Review!$H$6:$H$238,U3313))</f>
        <v/>
      </c>
      <c r="X3313" s="5" t="str">
        <f>IF(INDEX(Manual_Review!$I$6:$I$238,U3313)="","",INDEX(Manual_Review!$I$6:$I$238,U3313))</f>
        <v/>
      </c>
      <c r="Y3313" s="5" t="s">
        <v>2859</v>
      </c>
    </row>
    <row r="3314" spans="1:25" ht="51">
      <c r="A3314" s="5" t="s">
        <v>10021</v>
      </c>
      <c r="B3314" s="5" t="s">
        <v>2386</v>
      </c>
      <c r="C3314" s="5" t="s">
        <v>2387</v>
      </c>
      <c r="D3314" s="5" t="s">
        <v>118</v>
      </c>
      <c r="E3314" s="5" t="s">
        <v>2793</v>
      </c>
      <c r="F3314" s="5" t="s">
        <v>2762</v>
      </c>
      <c r="G3314" s="5">
        <v>1</v>
      </c>
      <c r="H3314" s="5" t="s">
        <v>2854</v>
      </c>
      <c r="I3314" s="5" t="str">
        <f>IF(INDEX(Manual_Review!$W$6:$W$238,U3314)="","",INDEX(Manual_Review!$W$6:$W$238,U3314))</f>
        <v/>
      </c>
      <c r="J3314" s="5" t="str">
        <f t="shared" si="102"/>
        <v>AI provisional</v>
      </c>
      <c r="K3314" s="5" t="str">
        <f t="shared" si="103"/>
        <v>Y</v>
      </c>
      <c r="L3314" s="5" t="s">
        <v>2398</v>
      </c>
      <c r="M3314" s="5" t="s">
        <v>10022</v>
      </c>
      <c r="N3314" s="5" t="s">
        <v>10023</v>
      </c>
      <c r="O3314" s="5" t="s">
        <v>3038</v>
      </c>
      <c r="P3314" s="5" t="s">
        <v>2992</v>
      </c>
      <c r="Q3314" s="11">
        <v>46306.5</v>
      </c>
      <c r="R3314" s="6"/>
      <c r="S3314" s="6"/>
      <c r="T3314" s="6"/>
      <c r="U3314" s="5">
        <f>MATCH(B3314,Manual_Review!$A$6:$A$238,0)</f>
        <v>207</v>
      </c>
      <c r="V3314" s="5" t="str">
        <f>IF(INDEX(Manual_Review!$G$6:$G$238,U3314)="","",INDEX(Manual_Review!$G$6:$G$238,U3314))</f>
        <v/>
      </c>
      <c r="W3314" s="11" t="str">
        <f>IF(INDEX(Manual_Review!$H$6:$H$238,U3314)="","",INDEX(Manual_Review!$H$6:$H$238,U3314))</f>
        <v/>
      </c>
      <c r="X3314" s="5" t="str">
        <f>IF(INDEX(Manual_Review!$I$6:$I$238,U3314)="","",INDEX(Manual_Review!$I$6:$I$238,U3314))</f>
        <v/>
      </c>
      <c r="Y3314" s="5" t="s">
        <v>2859</v>
      </c>
    </row>
    <row r="3315" spans="1:25" ht="25.5">
      <c r="A3315" s="5" t="s">
        <v>10024</v>
      </c>
      <c r="B3315" s="5" t="s">
        <v>2386</v>
      </c>
      <c r="C3315" s="5" t="s">
        <v>2387</v>
      </c>
      <c r="D3315" s="5" t="s">
        <v>118</v>
      </c>
      <c r="E3315" s="5" t="s">
        <v>2794</v>
      </c>
      <c r="F3315" s="5" t="s">
        <v>2764</v>
      </c>
      <c r="G3315" s="5">
        <v>1</v>
      </c>
      <c r="H3315" s="5" t="s">
        <v>2854</v>
      </c>
      <c r="I3315" s="5" t="str">
        <f>IF(INDEX(Manual_Review!$X$6:$X$238,U3315)="","",INDEX(Manual_Review!$X$6:$X$238,U3315))</f>
        <v/>
      </c>
      <c r="J3315" s="5" t="str">
        <f t="shared" si="102"/>
        <v>AI provisional</v>
      </c>
      <c r="K3315" s="5" t="str">
        <f t="shared" si="103"/>
        <v>Y</v>
      </c>
      <c r="L3315" s="5" t="s">
        <v>2398</v>
      </c>
      <c r="M3315" s="5" t="s">
        <v>10025</v>
      </c>
      <c r="N3315" s="5" t="s">
        <v>10026</v>
      </c>
      <c r="O3315" s="5" t="s">
        <v>3042</v>
      </c>
      <c r="P3315" s="5" t="s">
        <v>2992</v>
      </c>
      <c r="Q3315" s="11">
        <v>46306.5</v>
      </c>
      <c r="R3315" s="6"/>
      <c r="S3315" s="6"/>
      <c r="T3315" s="6"/>
      <c r="U3315" s="5">
        <f>MATCH(B3315,Manual_Review!$A$6:$A$238,0)</f>
        <v>207</v>
      </c>
      <c r="V3315" s="5" t="str">
        <f>IF(INDEX(Manual_Review!$G$6:$G$238,U3315)="","",INDEX(Manual_Review!$G$6:$G$238,U3315))</f>
        <v/>
      </c>
      <c r="W3315" s="11" t="str">
        <f>IF(INDEX(Manual_Review!$H$6:$H$238,U3315)="","",INDEX(Manual_Review!$H$6:$H$238,U3315))</f>
        <v/>
      </c>
      <c r="X3315" s="5" t="str">
        <f>IF(INDEX(Manual_Review!$I$6:$I$238,U3315)="","",INDEX(Manual_Review!$I$6:$I$238,U3315))</f>
        <v/>
      </c>
      <c r="Y3315" s="5" t="s">
        <v>2859</v>
      </c>
    </row>
    <row r="3316" spans="1:25" ht="25.5">
      <c r="A3316" s="5" t="s">
        <v>10027</v>
      </c>
      <c r="B3316" s="5" t="s">
        <v>2386</v>
      </c>
      <c r="C3316" s="5" t="s">
        <v>2387</v>
      </c>
      <c r="D3316" s="5" t="s">
        <v>118</v>
      </c>
      <c r="E3316" s="5" t="s">
        <v>2795</v>
      </c>
      <c r="F3316" s="5" t="s">
        <v>2764</v>
      </c>
      <c r="G3316" s="5">
        <v>1</v>
      </c>
      <c r="H3316" s="5" t="s">
        <v>2864</v>
      </c>
      <c r="I3316" s="5" t="str">
        <f>IF(INDEX(Manual_Review!$Y$6:$Y$238,U3316)="","",INDEX(Manual_Review!$Y$6:$Y$238,U3316))</f>
        <v/>
      </c>
      <c r="J3316" s="5" t="str">
        <f t="shared" si="102"/>
        <v>AI provisional</v>
      </c>
      <c r="K3316" s="5" t="str">
        <f t="shared" si="103"/>
        <v>U</v>
      </c>
      <c r="L3316" s="5" t="s">
        <v>2398</v>
      </c>
      <c r="M3316" s="5" t="s">
        <v>10028</v>
      </c>
      <c r="N3316" s="5" t="s">
        <v>10029</v>
      </c>
      <c r="O3316" s="5" t="s">
        <v>3469</v>
      </c>
      <c r="P3316" s="5" t="s">
        <v>2992</v>
      </c>
      <c r="Q3316" s="11">
        <v>46306.5</v>
      </c>
      <c r="R3316" s="6"/>
      <c r="S3316" s="6"/>
      <c r="T3316" s="6"/>
      <c r="U3316" s="5">
        <f>MATCH(B3316,Manual_Review!$A$6:$A$238,0)</f>
        <v>207</v>
      </c>
      <c r="V3316" s="5" t="str">
        <f>IF(INDEX(Manual_Review!$G$6:$G$238,U3316)="","",INDEX(Manual_Review!$G$6:$G$238,U3316))</f>
        <v/>
      </c>
      <c r="W3316" s="11" t="str">
        <f>IF(INDEX(Manual_Review!$H$6:$H$238,U3316)="","",INDEX(Manual_Review!$H$6:$H$238,U3316))</f>
        <v/>
      </c>
      <c r="X3316" s="5" t="str">
        <f>IF(INDEX(Manual_Review!$I$6:$I$238,U3316)="","",INDEX(Manual_Review!$I$6:$I$238,U3316))</f>
        <v/>
      </c>
      <c r="Y3316" s="5" t="s">
        <v>2859</v>
      </c>
    </row>
    <row r="3317" spans="1:25" ht="51">
      <c r="A3317" s="5" t="s">
        <v>10030</v>
      </c>
      <c r="B3317" s="5" t="s">
        <v>2386</v>
      </c>
      <c r="C3317" s="5" t="s">
        <v>2387</v>
      </c>
      <c r="D3317" s="5" t="s">
        <v>118</v>
      </c>
      <c r="E3317" s="5" t="s">
        <v>2796</v>
      </c>
      <c r="F3317" s="5" t="s">
        <v>2764</v>
      </c>
      <c r="G3317" s="5">
        <v>1</v>
      </c>
      <c r="H3317" s="5" t="s">
        <v>2864</v>
      </c>
      <c r="I3317" s="5" t="str">
        <f>IF(INDEX(Manual_Review!$Z$6:$Z$238,U3317)="","",INDEX(Manual_Review!$Z$6:$Z$238,U3317))</f>
        <v/>
      </c>
      <c r="J3317" s="5" t="str">
        <f t="shared" si="102"/>
        <v>AI provisional</v>
      </c>
      <c r="K3317" s="5" t="str">
        <f t="shared" si="103"/>
        <v>U</v>
      </c>
      <c r="L3317" s="5" t="s">
        <v>2398</v>
      </c>
      <c r="M3317" s="5" t="s">
        <v>10031</v>
      </c>
      <c r="N3317" s="5" t="s">
        <v>10032</v>
      </c>
      <c r="O3317" s="5" t="s">
        <v>3050</v>
      </c>
      <c r="P3317" s="5" t="s">
        <v>2992</v>
      </c>
      <c r="Q3317" s="11">
        <v>46306.5</v>
      </c>
      <c r="R3317" s="6"/>
      <c r="S3317" s="6"/>
      <c r="T3317" s="6"/>
      <c r="U3317" s="5">
        <f>MATCH(B3317,Manual_Review!$A$6:$A$238,0)</f>
        <v>207</v>
      </c>
      <c r="V3317" s="5" t="str">
        <f>IF(INDEX(Manual_Review!$G$6:$G$238,U3317)="","",INDEX(Manual_Review!$G$6:$G$238,U3317))</f>
        <v/>
      </c>
      <c r="W3317" s="11" t="str">
        <f>IF(INDEX(Manual_Review!$H$6:$H$238,U3317)="","",INDEX(Manual_Review!$H$6:$H$238,U3317))</f>
        <v/>
      </c>
      <c r="X3317" s="5" t="str">
        <f>IF(INDEX(Manual_Review!$I$6:$I$238,U3317)="","",INDEX(Manual_Review!$I$6:$I$238,U3317))</f>
        <v/>
      </c>
      <c r="Y3317" s="5" t="s">
        <v>2859</v>
      </c>
    </row>
    <row r="3318" spans="1:25" ht="25.5">
      <c r="A3318" s="5" t="s">
        <v>10033</v>
      </c>
      <c r="B3318" s="5" t="s">
        <v>2400</v>
      </c>
      <c r="C3318" s="5" t="s">
        <v>2401</v>
      </c>
      <c r="D3318" s="5" t="s">
        <v>118</v>
      </c>
      <c r="E3318" s="5" t="s">
        <v>2781</v>
      </c>
      <c r="F3318" s="5" t="s">
        <v>2754</v>
      </c>
      <c r="G3318" s="5">
        <v>1</v>
      </c>
      <c r="H3318" s="5" t="s">
        <v>2854</v>
      </c>
      <c r="I3318" s="5" t="str">
        <f>IF(INDEX(Manual_Review!$K$6:$K$238,U3318)="","",INDEX(Manual_Review!$K$6:$K$238,U3318))</f>
        <v/>
      </c>
      <c r="J3318" s="5" t="str">
        <f t="shared" si="102"/>
        <v>AI provisional</v>
      </c>
      <c r="K3318" s="5" t="str">
        <f t="shared" si="103"/>
        <v>Y</v>
      </c>
      <c r="L3318" s="5" t="s">
        <v>2411</v>
      </c>
      <c r="M3318" s="5" t="s">
        <v>10034</v>
      </c>
      <c r="N3318" s="5" t="s">
        <v>10035</v>
      </c>
      <c r="O3318" s="5" t="s">
        <v>2991</v>
      </c>
      <c r="P3318" s="5" t="s">
        <v>2992</v>
      </c>
      <c r="Q3318" s="11">
        <v>46306.5</v>
      </c>
      <c r="R3318" s="6"/>
      <c r="S3318" s="6"/>
      <c r="T3318" s="6"/>
      <c r="U3318" s="5">
        <f>MATCH(B3318,Manual_Review!$A$6:$A$238,0)</f>
        <v>208</v>
      </c>
      <c r="V3318" s="5" t="str">
        <f>IF(INDEX(Manual_Review!$G$6:$G$238,U3318)="","",INDEX(Manual_Review!$G$6:$G$238,U3318))</f>
        <v/>
      </c>
      <c r="W3318" s="11" t="str">
        <f>IF(INDEX(Manual_Review!$H$6:$H$238,U3318)="","",INDEX(Manual_Review!$H$6:$H$238,U3318))</f>
        <v/>
      </c>
      <c r="X3318" s="5" t="str">
        <f>IF(INDEX(Manual_Review!$I$6:$I$238,U3318)="","",INDEX(Manual_Review!$I$6:$I$238,U3318))</f>
        <v/>
      </c>
      <c r="Y3318" s="5" t="s">
        <v>2859</v>
      </c>
    </row>
    <row r="3319" spans="1:25" ht="25.5">
      <c r="A3319" s="5" t="s">
        <v>10036</v>
      </c>
      <c r="B3319" s="5" t="s">
        <v>2400</v>
      </c>
      <c r="C3319" s="5" t="s">
        <v>2401</v>
      </c>
      <c r="D3319" s="5" t="s">
        <v>118</v>
      </c>
      <c r="E3319" s="5" t="s">
        <v>2782</v>
      </c>
      <c r="F3319" s="5" t="s">
        <v>2754</v>
      </c>
      <c r="G3319" s="5">
        <v>1</v>
      </c>
      <c r="H3319" s="5" t="s">
        <v>2854</v>
      </c>
      <c r="I3319" s="5" t="str">
        <f>IF(INDEX(Manual_Review!$L$6:$L$238,U3319)="","",INDEX(Manual_Review!$L$6:$L$238,U3319))</f>
        <v/>
      </c>
      <c r="J3319" s="5" t="str">
        <f t="shared" si="102"/>
        <v>AI provisional</v>
      </c>
      <c r="K3319" s="5" t="str">
        <f t="shared" si="103"/>
        <v>Y</v>
      </c>
      <c r="L3319" s="5" t="s">
        <v>2411</v>
      </c>
      <c r="M3319" s="5" t="s">
        <v>10037</v>
      </c>
      <c r="N3319" s="5" t="s">
        <v>10038</v>
      </c>
      <c r="O3319" s="5" t="s">
        <v>2996</v>
      </c>
      <c r="P3319" s="5" t="s">
        <v>2992</v>
      </c>
      <c r="Q3319" s="11">
        <v>46306.5</v>
      </c>
      <c r="R3319" s="6"/>
      <c r="S3319" s="6"/>
      <c r="T3319" s="6"/>
      <c r="U3319" s="5">
        <f>MATCH(B3319,Manual_Review!$A$6:$A$238,0)</f>
        <v>208</v>
      </c>
      <c r="V3319" s="5" t="str">
        <f>IF(INDEX(Manual_Review!$G$6:$G$238,U3319)="","",INDEX(Manual_Review!$G$6:$G$238,U3319))</f>
        <v/>
      </c>
      <c r="W3319" s="11" t="str">
        <f>IF(INDEX(Manual_Review!$H$6:$H$238,U3319)="","",INDEX(Manual_Review!$H$6:$H$238,U3319))</f>
        <v/>
      </c>
      <c r="X3319" s="5" t="str">
        <f>IF(INDEX(Manual_Review!$I$6:$I$238,U3319)="","",INDEX(Manual_Review!$I$6:$I$238,U3319))</f>
        <v/>
      </c>
      <c r="Y3319" s="5" t="s">
        <v>2859</v>
      </c>
    </row>
    <row r="3320" spans="1:25" ht="25.5">
      <c r="A3320" s="5" t="s">
        <v>10039</v>
      </c>
      <c r="B3320" s="5" t="s">
        <v>2400</v>
      </c>
      <c r="C3320" s="5" t="s">
        <v>2401</v>
      </c>
      <c r="D3320" s="5" t="s">
        <v>118</v>
      </c>
      <c r="E3320" s="5" t="s">
        <v>2783</v>
      </c>
      <c r="F3320" s="5" t="s">
        <v>2754</v>
      </c>
      <c r="G3320" s="5">
        <v>1</v>
      </c>
      <c r="H3320" s="5" t="s">
        <v>2854</v>
      </c>
      <c r="I3320" s="5" t="str">
        <f>IF(INDEX(Manual_Review!$M$6:$M$238,U3320)="","",INDEX(Manual_Review!$M$6:$M$238,U3320))</f>
        <v/>
      </c>
      <c r="J3320" s="5" t="str">
        <f t="shared" si="102"/>
        <v>AI provisional</v>
      </c>
      <c r="K3320" s="5" t="str">
        <f t="shared" si="103"/>
        <v>Y</v>
      </c>
      <c r="L3320" s="5" t="s">
        <v>2411</v>
      </c>
      <c r="M3320" s="5" t="s">
        <v>10040</v>
      </c>
      <c r="N3320" s="5" t="s">
        <v>10041</v>
      </c>
      <c r="O3320" s="5" t="s">
        <v>3000</v>
      </c>
      <c r="P3320" s="5" t="s">
        <v>2992</v>
      </c>
      <c r="Q3320" s="11">
        <v>46306.5</v>
      </c>
      <c r="R3320" s="6"/>
      <c r="S3320" s="6"/>
      <c r="T3320" s="6"/>
      <c r="U3320" s="5">
        <f>MATCH(B3320,Manual_Review!$A$6:$A$238,0)</f>
        <v>208</v>
      </c>
      <c r="V3320" s="5" t="str">
        <f>IF(INDEX(Manual_Review!$G$6:$G$238,U3320)="","",INDEX(Manual_Review!$G$6:$G$238,U3320))</f>
        <v/>
      </c>
      <c r="W3320" s="11" t="str">
        <f>IF(INDEX(Manual_Review!$H$6:$H$238,U3320)="","",INDEX(Manual_Review!$H$6:$H$238,U3320))</f>
        <v/>
      </c>
      <c r="X3320" s="5" t="str">
        <f>IF(INDEX(Manual_Review!$I$6:$I$238,U3320)="","",INDEX(Manual_Review!$I$6:$I$238,U3320))</f>
        <v/>
      </c>
      <c r="Y3320" s="5" t="s">
        <v>2859</v>
      </c>
    </row>
    <row r="3321" spans="1:25" ht="25.5">
      <c r="A3321" s="5" t="s">
        <v>10042</v>
      </c>
      <c r="B3321" s="5" t="s">
        <v>2400</v>
      </c>
      <c r="C3321" s="5" t="s">
        <v>2401</v>
      </c>
      <c r="D3321" s="5" t="s">
        <v>118</v>
      </c>
      <c r="E3321" s="5" t="s">
        <v>2784</v>
      </c>
      <c r="F3321" s="5" t="s">
        <v>2756</v>
      </c>
      <c r="G3321" s="5">
        <v>1</v>
      </c>
      <c r="H3321" s="5" t="s">
        <v>2854</v>
      </c>
      <c r="I3321" s="5" t="str">
        <f>IF(INDEX(Manual_Review!$N$6:$N$238,U3321)="","",INDEX(Manual_Review!$N$6:$N$238,U3321))</f>
        <v/>
      </c>
      <c r="J3321" s="5" t="str">
        <f t="shared" si="102"/>
        <v>AI provisional</v>
      </c>
      <c r="K3321" s="5" t="str">
        <f t="shared" si="103"/>
        <v>Y</v>
      </c>
      <c r="L3321" s="5" t="s">
        <v>2411</v>
      </c>
      <c r="M3321" s="5" t="s">
        <v>10043</v>
      </c>
      <c r="N3321" s="5" t="s">
        <v>10044</v>
      </c>
      <c r="O3321" s="5" t="s">
        <v>3004</v>
      </c>
      <c r="P3321" s="5" t="s">
        <v>2992</v>
      </c>
      <c r="Q3321" s="11">
        <v>46306.5</v>
      </c>
      <c r="R3321" s="6"/>
      <c r="S3321" s="6"/>
      <c r="T3321" s="6"/>
      <c r="U3321" s="5">
        <f>MATCH(B3321,Manual_Review!$A$6:$A$238,0)</f>
        <v>208</v>
      </c>
      <c r="V3321" s="5" t="str">
        <f>IF(INDEX(Manual_Review!$G$6:$G$238,U3321)="","",INDEX(Manual_Review!$G$6:$G$238,U3321))</f>
        <v/>
      </c>
      <c r="W3321" s="11" t="str">
        <f>IF(INDEX(Manual_Review!$H$6:$H$238,U3321)="","",INDEX(Manual_Review!$H$6:$H$238,U3321))</f>
        <v/>
      </c>
      <c r="X3321" s="5" t="str">
        <f>IF(INDEX(Manual_Review!$I$6:$I$238,U3321)="","",INDEX(Manual_Review!$I$6:$I$238,U3321))</f>
        <v/>
      </c>
      <c r="Y3321" s="5" t="s">
        <v>2859</v>
      </c>
    </row>
    <row r="3322" spans="1:25" ht="25.5">
      <c r="A3322" s="5" t="s">
        <v>10045</v>
      </c>
      <c r="B3322" s="5" t="s">
        <v>2400</v>
      </c>
      <c r="C3322" s="5" t="s">
        <v>2401</v>
      </c>
      <c r="D3322" s="5" t="s">
        <v>118</v>
      </c>
      <c r="E3322" s="5" t="s">
        <v>2785</v>
      </c>
      <c r="F3322" s="5" t="s">
        <v>2756</v>
      </c>
      <c r="G3322" s="5">
        <v>1</v>
      </c>
      <c r="H3322" s="5" t="s">
        <v>2864</v>
      </c>
      <c r="I3322" s="5" t="str">
        <f>IF(INDEX(Manual_Review!$O$6:$O$238,U3322)="","",INDEX(Manual_Review!$O$6:$O$238,U3322))</f>
        <v/>
      </c>
      <c r="J3322" s="5" t="str">
        <f t="shared" si="102"/>
        <v>AI provisional</v>
      </c>
      <c r="K3322" s="5" t="str">
        <f t="shared" si="103"/>
        <v>U</v>
      </c>
      <c r="L3322" s="5" t="s">
        <v>2411</v>
      </c>
      <c r="M3322" s="5" t="s">
        <v>10043</v>
      </c>
      <c r="N3322" s="5" t="s">
        <v>10044</v>
      </c>
      <c r="O3322" s="5" t="s">
        <v>3006</v>
      </c>
      <c r="P3322" s="5" t="s">
        <v>2992</v>
      </c>
      <c r="Q3322" s="11">
        <v>46306.5</v>
      </c>
      <c r="R3322" s="6"/>
      <c r="S3322" s="6"/>
      <c r="T3322" s="6"/>
      <c r="U3322" s="5">
        <f>MATCH(B3322,Manual_Review!$A$6:$A$238,0)</f>
        <v>208</v>
      </c>
      <c r="V3322" s="5" t="str">
        <f>IF(INDEX(Manual_Review!$G$6:$G$238,U3322)="","",INDEX(Manual_Review!$G$6:$G$238,U3322))</f>
        <v/>
      </c>
      <c r="W3322" s="11" t="str">
        <f>IF(INDEX(Manual_Review!$H$6:$H$238,U3322)="","",INDEX(Manual_Review!$H$6:$H$238,U3322))</f>
        <v/>
      </c>
      <c r="X3322" s="5" t="str">
        <f>IF(INDEX(Manual_Review!$I$6:$I$238,U3322)="","",INDEX(Manual_Review!$I$6:$I$238,U3322))</f>
        <v/>
      </c>
      <c r="Y3322" s="5" t="s">
        <v>2859</v>
      </c>
    </row>
    <row r="3323" spans="1:25" ht="25.5">
      <c r="A3323" s="5" t="s">
        <v>10046</v>
      </c>
      <c r="B3323" s="5" t="s">
        <v>2400</v>
      </c>
      <c r="C3323" s="5" t="s">
        <v>2401</v>
      </c>
      <c r="D3323" s="5" t="s">
        <v>118</v>
      </c>
      <c r="E3323" s="5" t="s">
        <v>2786</v>
      </c>
      <c r="F3323" s="5" t="s">
        <v>2756</v>
      </c>
      <c r="G3323" s="5">
        <v>1</v>
      </c>
      <c r="H3323" s="5" t="s">
        <v>2864</v>
      </c>
      <c r="I3323" s="5" t="str">
        <f>IF(INDEX(Manual_Review!$P$6:$P$238,U3323)="","",INDEX(Manual_Review!$P$6:$P$238,U3323))</f>
        <v/>
      </c>
      <c r="J3323" s="5" t="str">
        <f t="shared" si="102"/>
        <v>AI provisional</v>
      </c>
      <c r="K3323" s="5" t="str">
        <f t="shared" si="103"/>
        <v>U</v>
      </c>
      <c r="L3323" s="5" t="s">
        <v>2411</v>
      </c>
      <c r="M3323" s="5" t="s">
        <v>10047</v>
      </c>
      <c r="N3323" s="5" t="s">
        <v>10048</v>
      </c>
      <c r="O3323" s="5" t="s">
        <v>3010</v>
      </c>
      <c r="P3323" s="5" t="s">
        <v>2992</v>
      </c>
      <c r="Q3323" s="11">
        <v>46306.5</v>
      </c>
      <c r="R3323" s="6"/>
      <c r="S3323" s="6"/>
      <c r="T3323" s="6"/>
      <c r="U3323" s="5">
        <f>MATCH(B3323,Manual_Review!$A$6:$A$238,0)</f>
        <v>208</v>
      </c>
      <c r="V3323" s="5" t="str">
        <f>IF(INDEX(Manual_Review!$G$6:$G$238,U3323)="","",INDEX(Manual_Review!$G$6:$G$238,U3323))</f>
        <v/>
      </c>
      <c r="W3323" s="11" t="str">
        <f>IF(INDEX(Manual_Review!$H$6:$H$238,U3323)="","",INDEX(Manual_Review!$H$6:$H$238,U3323))</f>
        <v/>
      </c>
      <c r="X3323" s="5" t="str">
        <f>IF(INDEX(Manual_Review!$I$6:$I$238,U3323)="","",INDEX(Manual_Review!$I$6:$I$238,U3323))</f>
        <v/>
      </c>
      <c r="Y3323" s="5" t="s">
        <v>2859</v>
      </c>
    </row>
    <row r="3324" spans="1:25" ht="25.5">
      <c r="A3324" s="5" t="s">
        <v>10049</v>
      </c>
      <c r="B3324" s="5" t="s">
        <v>2400</v>
      </c>
      <c r="C3324" s="5" t="s">
        <v>2401</v>
      </c>
      <c r="D3324" s="5" t="s">
        <v>118</v>
      </c>
      <c r="E3324" s="5" t="s">
        <v>2787</v>
      </c>
      <c r="F3324" s="5" t="s">
        <v>2758</v>
      </c>
      <c r="G3324" s="5">
        <v>1</v>
      </c>
      <c r="H3324" s="5" t="s">
        <v>2864</v>
      </c>
      <c r="I3324" s="5" t="str">
        <f>IF(INDEX(Manual_Review!$Q$6:$Q$238,U3324)="","",INDEX(Manual_Review!$Q$6:$Q$238,U3324))</f>
        <v/>
      </c>
      <c r="J3324" s="5" t="str">
        <f t="shared" si="102"/>
        <v>AI provisional</v>
      </c>
      <c r="K3324" s="5" t="str">
        <f t="shared" si="103"/>
        <v>U</v>
      </c>
      <c r="L3324" s="5" t="s">
        <v>2411</v>
      </c>
      <c r="M3324" s="5" t="s">
        <v>10050</v>
      </c>
      <c r="N3324" s="5" t="s">
        <v>10051</v>
      </c>
      <c r="O3324" s="5" t="s">
        <v>3014</v>
      </c>
      <c r="P3324" s="5" t="s">
        <v>2992</v>
      </c>
      <c r="Q3324" s="11">
        <v>46306.5</v>
      </c>
      <c r="R3324" s="6"/>
      <c r="S3324" s="6"/>
      <c r="T3324" s="6"/>
      <c r="U3324" s="5">
        <f>MATCH(B3324,Manual_Review!$A$6:$A$238,0)</f>
        <v>208</v>
      </c>
      <c r="V3324" s="5" t="str">
        <f>IF(INDEX(Manual_Review!$G$6:$G$238,U3324)="","",INDEX(Manual_Review!$G$6:$G$238,U3324))</f>
        <v/>
      </c>
      <c r="W3324" s="11" t="str">
        <f>IF(INDEX(Manual_Review!$H$6:$H$238,U3324)="","",INDEX(Manual_Review!$H$6:$H$238,U3324))</f>
        <v/>
      </c>
      <c r="X3324" s="5" t="str">
        <f>IF(INDEX(Manual_Review!$I$6:$I$238,U3324)="","",INDEX(Manual_Review!$I$6:$I$238,U3324))</f>
        <v/>
      </c>
      <c r="Y3324" s="5" t="s">
        <v>2859</v>
      </c>
    </row>
    <row r="3325" spans="1:25" ht="38.25">
      <c r="A3325" s="5" t="s">
        <v>10052</v>
      </c>
      <c r="B3325" s="5" t="s">
        <v>2400</v>
      </c>
      <c r="C3325" s="5" t="s">
        <v>2401</v>
      </c>
      <c r="D3325" s="5" t="s">
        <v>118</v>
      </c>
      <c r="E3325" s="5" t="s">
        <v>2788</v>
      </c>
      <c r="F3325" s="5" t="s">
        <v>2758</v>
      </c>
      <c r="G3325" s="5">
        <v>1</v>
      </c>
      <c r="H3325" s="5" t="s">
        <v>2854</v>
      </c>
      <c r="I3325" s="5" t="str">
        <f>IF(INDEX(Manual_Review!$R$6:$R$238,U3325)="","",INDEX(Manual_Review!$R$6:$R$238,U3325))</f>
        <v/>
      </c>
      <c r="J3325" s="5" t="str">
        <f t="shared" si="102"/>
        <v>AI provisional</v>
      </c>
      <c r="K3325" s="5" t="str">
        <f t="shared" si="103"/>
        <v>Y</v>
      </c>
      <c r="L3325" s="5" t="s">
        <v>2411</v>
      </c>
      <c r="M3325" s="5" t="s">
        <v>10053</v>
      </c>
      <c r="N3325" s="5" t="s">
        <v>10054</v>
      </c>
      <c r="O3325" s="5" t="s">
        <v>3018</v>
      </c>
      <c r="P3325" s="5" t="s">
        <v>2992</v>
      </c>
      <c r="Q3325" s="11">
        <v>46306.5</v>
      </c>
      <c r="R3325" s="6"/>
      <c r="S3325" s="6"/>
      <c r="T3325" s="6"/>
      <c r="U3325" s="5">
        <f>MATCH(B3325,Manual_Review!$A$6:$A$238,0)</f>
        <v>208</v>
      </c>
      <c r="V3325" s="5" t="str">
        <f>IF(INDEX(Manual_Review!$G$6:$G$238,U3325)="","",INDEX(Manual_Review!$G$6:$G$238,U3325))</f>
        <v/>
      </c>
      <c r="W3325" s="11" t="str">
        <f>IF(INDEX(Manual_Review!$H$6:$H$238,U3325)="","",INDEX(Manual_Review!$H$6:$H$238,U3325))</f>
        <v/>
      </c>
      <c r="X3325" s="5" t="str">
        <f>IF(INDEX(Manual_Review!$I$6:$I$238,U3325)="","",INDEX(Manual_Review!$I$6:$I$238,U3325))</f>
        <v/>
      </c>
      <c r="Y3325" s="5" t="s">
        <v>2859</v>
      </c>
    </row>
    <row r="3326" spans="1:25" ht="25.5">
      <c r="A3326" s="5" t="s">
        <v>10055</v>
      </c>
      <c r="B3326" s="5" t="s">
        <v>2400</v>
      </c>
      <c r="C3326" s="5" t="s">
        <v>2401</v>
      </c>
      <c r="D3326" s="5" t="s">
        <v>118</v>
      </c>
      <c r="E3326" s="5" t="s">
        <v>2789</v>
      </c>
      <c r="F3326" s="5" t="s">
        <v>2758</v>
      </c>
      <c r="G3326" s="5">
        <v>1</v>
      </c>
      <c r="H3326" s="5" t="s">
        <v>2854</v>
      </c>
      <c r="I3326" s="5" t="str">
        <f>IF(INDEX(Manual_Review!$S$6:$S$238,U3326)="","",INDEX(Manual_Review!$S$6:$S$238,U3326))</f>
        <v/>
      </c>
      <c r="J3326" s="5" t="str">
        <f t="shared" si="102"/>
        <v>AI provisional</v>
      </c>
      <c r="K3326" s="5" t="str">
        <f t="shared" si="103"/>
        <v>Y</v>
      </c>
      <c r="L3326" s="5" t="s">
        <v>2411</v>
      </c>
      <c r="M3326" s="5" t="s">
        <v>10056</v>
      </c>
      <c r="N3326" s="5" t="s">
        <v>10057</v>
      </c>
      <c r="O3326" s="5" t="s">
        <v>3022</v>
      </c>
      <c r="P3326" s="5" t="s">
        <v>2992</v>
      </c>
      <c r="Q3326" s="11">
        <v>46306.5</v>
      </c>
      <c r="R3326" s="6"/>
      <c r="S3326" s="6"/>
      <c r="T3326" s="6"/>
      <c r="U3326" s="5">
        <f>MATCH(B3326,Manual_Review!$A$6:$A$238,0)</f>
        <v>208</v>
      </c>
      <c r="V3326" s="5" t="str">
        <f>IF(INDEX(Manual_Review!$G$6:$G$238,U3326)="","",INDEX(Manual_Review!$G$6:$G$238,U3326))</f>
        <v/>
      </c>
      <c r="W3326" s="11" t="str">
        <f>IF(INDEX(Manual_Review!$H$6:$H$238,U3326)="","",INDEX(Manual_Review!$H$6:$H$238,U3326))</f>
        <v/>
      </c>
      <c r="X3326" s="5" t="str">
        <f>IF(INDEX(Manual_Review!$I$6:$I$238,U3326)="","",INDEX(Manual_Review!$I$6:$I$238,U3326))</f>
        <v/>
      </c>
      <c r="Y3326" s="5" t="s">
        <v>2859</v>
      </c>
    </row>
    <row r="3327" spans="1:25" ht="25.5">
      <c r="A3327" s="5" t="s">
        <v>10058</v>
      </c>
      <c r="B3327" s="5" t="s">
        <v>2400</v>
      </c>
      <c r="C3327" s="5" t="s">
        <v>2401</v>
      </c>
      <c r="D3327" s="5" t="s">
        <v>118</v>
      </c>
      <c r="E3327" s="5" t="s">
        <v>2790</v>
      </c>
      <c r="F3327" s="5" t="s">
        <v>2760</v>
      </c>
      <c r="G3327" s="5">
        <v>1</v>
      </c>
      <c r="H3327" s="5" t="s">
        <v>2854</v>
      </c>
      <c r="I3327" s="5" t="str">
        <f>IF(INDEX(Manual_Review!$T$6:$T$238,U3327)="","",INDEX(Manual_Review!$T$6:$T$238,U3327))</f>
        <v/>
      </c>
      <c r="J3327" s="5" t="str">
        <f t="shared" si="102"/>
        <v>AI provisional</v>
      </c>
      <c r="K3327" s="5" t="str">
        <f t="shared" si="103"/>
        <v>Y</v>
      </c>
      <c r="L3327" s="5" t="s">
        <v>2411</v>
      </c>
      <c r="M3327" s="5" t="s">
        <v>10059</v>
      </c>
      <c r="N3327" s="5" t="s">
        <v>10060</v>
      </c>
      <c r="O3327" s="5" t="s">
        <v>3451</v>
      </c>
      <c r="P3327" s="5" t="s">
        <v>2992</v>
      </c>
      <c r="Q3327" s="11">
        <v>46306.5</v>
      </c>
      <c r="R3327" s="6"/>
      <c r="S3327" s="6"/>
      <c r="T3327" s="6"/>
      <c r="U3327" s="5">
        <f>MATCH(B3327,Manual_Review!$A$6:$A$238,0)</f>
        <v>208</v>
      </c>
      <c r="V3327" s="5" t="str">
        <f>IF(INDEX(Manual_Review!$G$6:$G$238,U3327)="","",INDEX(Manual_Review!$G$6:$G$238,U3327))</f>
        <v/>
      </c>
      <c r="W3327" s="11" t="str">
        <f>IF(INDEX(Manual_Review!$H$6:$H$238,U3327)="","",INDEX(Manual_Review!$H$6:$H$238,U3327))</f>
        <v/>
      </c>
      <c r="X3327" s="5" t="str">
        <f>IF(INDEX(Manual_Review!$I$6:$I$238,U3327)="","",INDEX(Manual_Review!$I$6:$I$238,U3327))</f>
        <v/>
      </c>
      <c r="Y3327" s="5" t="s">
        <v>2859</v>
      </c>
    </row>
    <row r="3328" spans="1:25" ht="25.5">
      <c r="A3328" s="5" t="s">
        <v>10061</v>
      </c>
      <c r="B3328" s="5" t="s">
        <v>2400</v>
      </c>
      <c r="C3328" s="5" t="s">
        <v>2401</v>
      </c>
      <c r="D3328" s="5" t="s">
        <v>118</v>
      </c>
      <c r="E3328" s="5" t="s">
        <v>2791</v>
      </c>
      <c r="F3328" s="5" t="s">
        <v>2760</v>
      </c>
      <c r="G3328" s="5">
        <v>1</v>
      </c>
      <c r="H3328" s="5" t="s">
        <v>2854</v>
      </c>
      <c r="I3328" s="5" t="str">
        <f>IF(INDEX(Manual_Review!$U$6:$U$238,U3328)="","",INDEX(Manual_Review!$U$6:$U$238,U3328))</f>
        <v/>
      </c>
      <c r="J3328" s="5" t="str">
        <f t="shared" si="102"/>
        <v>AI provisional</v>
      </c>
      <c r="K3328" s="5" t="str">
        <f t="shared" si="103"/>
        <v>Y</v>
      </c>
      <c r="L3328" s="5" t="s">
        <v>2411</v>
      </c>
      <c r="M3328" s="5" t="s">
        <v>10062</v>
      </c>
      <c r="N3328" s="5" t="s">
        <v>10063</v>
      </c>
      <c r="O3328" s="5" t="s">
        <v>3832</v>
      </c>
      <c r="P3328" s="5" t="s">
        <v>2992</v>
      </c>
      <c r="Q3328" s="11">
        <v>46306.5</v>
      </c>
      <c r="R3328" s="6"/>
      <c r="S3328" s="6"/>
      <c r="T3328" s="6"/>
      <c r="U3328" s="5">
        <f>MATCH(B3328,Manual_Review!$A$6:$A$238,0)</f>
        <v>208</v>
      </c>
      <c r="V3328" s="5" t="str">
        <f>IF(INDEX(Manual_Review!$G$6:$G$238,U3328)="","",INDEX(Manual_Review!$G$6:$G$238,U3328))</f>
        <v/>
      </c>
      <c r="W3328" s="11" t="str">
        <f>IF(INDEX(Manual_Review!$H$6:$H$238,U3328)="","",INDEX(Manual_Review!$H$6:$H$238,U3328))</f>
        <v/>
      </c>
      <c r="X3328" s="5" t="str">
        <f>IF(INDEX(Manual_Review!$I$6:$I$238,U3328)="","",INDEX(Manual_Review!$I$6:$I$238,U3328))</f>
        <v/>
      </c>
      <c r="Y3328" s="5" t="s">
        <v>2859</v>
      </c>
    </row>
    <row r="3329" spans="1:25" ht="25.5">
      <c r="A3329" s="5" t="s">
        <v>10064</v>
      </c>
      <c r="B3329" s="5" t="s">
        <v>2400</v>
      </c>
      <c r="C3329" s="5" t="s">
        <v>2401</v>
      </c>
      <c r="D3329" s="5" t="s">
        <v>118</v>
      </c>
      <c r="E3329" s="5" t="s">
        <v>2792</v>
      </c>
      <c r="F3329" s="5" t="s">
        <v>2762</v>
      </c>
      <c r="G3329" s="5">
        <v>1</v>
      </c>
      <c r="H3329" s="5" t="s">
        <v>2854</v>
      </c>
      <c r="I3329" s="5" t="str">
        <f>IF(INDEX(Manual_Review!$V$6:$V$238,U3329)="","",INDEX(Manual_Review!$V$6:$V$238,U3329))</f>
        <v/>
      </c>
      <c r="J3329" s="5" t="str">
        <f t="shared" si="102"/>
        <v>AI provisional</v>
      </c>
      <c r="K3329" s="5" t="str">
        <f t="shared" si="103"/>
        <v>Y</v>
      </c>
      <c r="L3329" s="5" t="s">
        <v>2411</v>
      </c>
      <c r="M3329" s="5" t="s">
        <v>10065</v>
      </c>
      <c r="N3329" s="5" t="s">
        <v>10066</v>
      </c>
      <c r="O3329" s="5" t="s">
        <v>3034</v>
      </c>
      <c r="P3329" s="5" t="s">
        <v>2992</v>
      </c>
      <c r="Q3329" s="11">
        <v>46306.5</v>
      </c>
      <c r="R3329" s="6"/>
      <c r="S3329" s="6"/>
      <c r="T3329" s="6"/>
      <c r="U3329" s="5">
        <f>MATCH(B3329,Manual_Review!$A$6:$A$238,0)</f>
        <v>208</v>
      </c>
      <c r="V3329" s="5" t="str">
        <f>IF(INDEX(Manual_Review!$G$6:$G$238,U3329)="","",INDEX(Manual_Review!$G$6:$G$238,U3329))</f>
        <v/>
      </c>
      <c r="W3329" s="11" t="str">
        <f>IF(INDEX(Manual_Review!$H$6:$H$238,U3329)="","",INDEX(Manual_Review!$H$6:$H$238,U3329))</f>
        <v/>
      </c>
      <c r="X3329" s="5" t="str">
        <f>IF(INDEX(Manual_Review!$I$6:$I$238,U3329)="","",INDEX(Manual_Review!$I$6:$I$238,U3329))</f>
        <v/>
      </c>
      <c r="Y3329" s="5" t="s">
        <v>2859</v>
      </c>
    </row>
    <row r="3330" spans="1:25" ht="38.25">
      <c r="A3330" s="5" t="s">
        <v>10067</v>
      </c>
      <c r="B3330" s="5" t="s">
        <v>2400</v>
      </c>
      <c r="C3330" s="5" t="s">
        <v>2401</v>
      </c>
      <c r="D3330" s="5" t="s">
        <v>118</v>
      </c>
      <c r="E3330" s="5" t="s">
        <v>2793</v>
      </c>
      <c r="F3330" s="5" t="s">
        <v>2762</v>
      </c>
      <c r="G3330" s="5">
        <v>1</v>
      </c>
      <c r="H3330" s="5" t="s">
        <v>2854</v>
      </c>
      <c r="I3330" s="5" t="str">
        <f>IF(INDEX(Manual_Review!$W$6:$W$238,U3330)="","",INDEX(Manual_Review!$W$6:$W$238,U3330))</f>
        <v/>
      </c>
      <c r="J3330" s="5" t="str">
        <f t="shared" si="102"/>
        <v>AI provisional</v>
      </c>
      <c r="K3330" s="5" t="str">
        <f t="shared" si="103"/>
        <v>Y</v>
      </c>
      <c r="L3330" s="5" t="s">
        <v>2411</v>
      </c>
      <c r="M3330" s="5" t="s">
        <v>10068</v>
      </c>
      <c r="N3330" s="5" t="s">
        <v>10069</v>
      </c>
      <c r="O3330" s="5" t="s">
        <v>3038</v>
      </c>
      <c r="P3330" s="5" t="s">
        <v>2992</v>
      </c>
      <c r="Q3330" s="11">
        <v>46306.5</v>
      </c>
      <c r="R3330" s="6"/>
      <c r="S3330" s="6"/>
      <c r="T3330" s="6"/>
      <c r="U3330" s="5">
        <f>MATCH(B3330,Manual_Review!$A$6:$A$238,0)</f>
        <v>208</v>
      </c>
      <c r="V3330" s="5" t="str">
        <f>IF(INDEX(Manual_Review!$G$6:$G$238,U3330)="","",INDEX(Manual_Review!$G$6:$G$238,U3330))</f>
        <v/>
      </c>
      <c r="W3330" s="11" t="str">
        <f>IF(INDEX(Manual_Review!$H$6:$H$238,U3330)="","",INDEX(Manual_Review!$H$6:$H$238,U3330))</f>
        <v/>
      </c>
      <c r="X3330" s="5" t="str">
        <f>IF(INDEX(Manual_Review!$I$6:$I$238,U3330)="","",INDEX(Manual_Review!$I$6:$I$238,U3330))</f>
        <v/>
      </c>
      <c r="Y3330" s="5" t="s">
        <v>2859</v>
      </c>
    </row>
    <row r="3331" spans="1:25" ht="25.5">
      <c r="A3331" s="5" t="s">
        <v>10070</v>
      </c>
      <c r="B3331" s="5" t="s">
        <v>2400</v>
      </c>
      <c r="C3331" s="5" t="s">
        <v>2401</v>
      </c>
      <c r="D3331" s="5" t="s">
        <v>118</v>
      </c>
      <c r="E3331" s="5" t="s">
        <v>2794</v>
      </c>
      <c r="F3331" s="5" t="s">
        <v>2764</v>
      </c>
      <c r="G3331" s="5">
        <v>1</v>
      </c>
      <c r="H3331" s="5" t="s">
        <v>2854</v>
      </c>
      <c r="I3331" s="5" t="str">
        <f>IF(INDEX(Manual_Review!$X$6:$X$238,U3331)="","",INDEX(Manual_Review!$X$6:$X$238,U3331))</f>
        <v/>
      </c>
      <c r="J3331" s="5" t="str">
        <f t="shared" si="102"/>
        <v>AI provisional</v>
      </c>
      <c r="K3331" s="5" t="str">
        <f t="shared" si="103"/>
        <v>Y</v>
      </c>
      <c r="L3331" s="5" t="s">
        <v>2411</v>
      </c>
      <c r="M3331" s="5" t="s">
        <v>10071</v>
      </c>
      <c r="N3331" s="5" t="s">
        <v>10072</v>
      </c>
      <c r="O3331" s="5" t="s">
        <v>3042</v>
      </c>
      <c r="P3331" s="5" t="s">
        <v>2992</v>
      </c>
      <c r="Q3331" s="11">
        <v>46306.5</v>
      </c>
      <c r="R3331" s="6"/>
      <c r="S3331" s="6"/>
      <c r="T3331" s="6"/>
      <c r="U3331" s="5">
        <f>MATCH(B3331,Manual_Review!$A$6:$A$238,0)</f>
        <v>208</v>
      </c>
      <c r="V3331" s="5" t="str">
        <f>IF(INDEX(Manual_Review!$G$6:$G$238,U3331)="","",INDEX(Manual_Review!$G$6:$G$238,U3331))</f>
        <v/>
      </c>
      <c r="W3331" s="11" t="str">
        <f>IF(INDEX(Manual_Review!$H$6:$H$238,U3331)="","",INDEX(Manual_Review!$H$6:$H$238,U3331))</f>
        <v/>
      </c>
      <c r="X3331" s="5" t="str">
        <f>IF(INDEX(Manual_Review!$I$6:$I$238,U3331)="","",INDEX(Manual_Review!$I$6:$I$238,U3331))</f>
        <v/>
      </c>
      <c r="Y3331" s="5" t="s">
        <v>2859</v>
      </c>
    </row>
    <row r="3332" spans="1:25" ht="25.5">
      <c r="A3332" s="5" t="s">
        <v>10073</v>
      </c>
      <c r="B3332" s="5" t="s">
        <v>2400</v>
      </c>
      <c r="C3332" s="5" t="s">
        <v>2401</v>
      </c>
      <c r="D3332" s="5" t="s">
        <v>118</v>
      </c>
      <c r="E3332" s="5" t="s">
        <v>2795</v>
      </c>
      <c r="F3332" s="5" t="s">
        <v>2764</v>
      </c>
      <c r="G3332" s="5">
        <v>1</v>
      </c>
      <c r="H3332" s="5" t="s">
        <v>2864</v>
      </c>
      <c r="I3332" s="5" t="str">
        <f>IF(INDEX(Manual_Review!$Y$6:$Y$238,U3332)="","",INDEX(Manual_Review!$Y$6:$Y$238,U3332))</f>
        <v/>
      </c>
      <c r="J3332" s="5" t="str">
        <f t="shared" si="102"/>
        <v>AI provisional</v>
      </c>
      <c r="K3332" s="5" t="str">
        <f t="shared" si="103"/>
        <v>U</v>
      </c>
      <c r="L3332" s="5" t="s">
        <v>2411</v>
      </c>
      <c r="M3332" s="5" t="s">
        <v>10074</v>
      </c>
      <c r="N3332" s="5" t="s">
        <v>10075</v>
      </c>
      <c r="O3332" s="5" t="s">
        <v>3469</v>
      </c>
      <c r="P3332" s="5" t="s">
        <v>2992</v>
      </c>
      <c r="Q3332" s="11">
        <v>46306.5</v>
      </c>
      <c r="R3332" s="6"/>
      <c r="S3332" s="6"/>
      <c r="T3332" s="6"/>
      <c r="U3332" s="5">
        <f>MATCH(B3332,Manual_Review!$A$6:$A$238,0)</f>
        <v>208</v>
      </c>
      <c r="V3332" s="5" t="str">
        <f>IF(INDEX(Manual_Review!$G$6:$G$238,U3332)="","",INDEX(Manual_Review!$G$6:$G$238,U3332))</f>
        <v/>
      </c>
      <c r="W3332" s="11" t="str">
        <f>IF(INDEX(Manual_Review!$H$6:$H$238,U3332)="","",INDEX(Manual_Review!$H$6:$H$238,U3332))</f>
        <v/>
      </c>
      <c r="X3332" s="5" t="str">
        <f>IF(INDEX(Manual_Review!$I$6:$I$238,U3332)="","",INDEX(Manual_Review!$I$6:$I$238,U3332))</f>
        <v/>
      </c>
      <c r="Y3332" s="5" t="s">
        <v>2859</v>
      </c>
    </row>
    <row r="3333" spans="1:25" ht="38.25">
      <c r="A3333" s="5" t="s">
        <v>10076</v>
      </c>
      <c r="B3333" s="5" t="s">
        <v>2400</v>
      </c>
      <c r="C3333" s="5" t="s">
        <v>2401</v>
      </c>
      <c r="D3333" s="5" t="s">
        <v>118</v>
      </c>
      <c r="E3333" s="5" t="s">
        <v>2796</v>
      </c>
      <c r="F3333" s="5" t="s">
        <v>2764</v>
      </c>
      <c r="G3333" s="5">
        <v>1</v>
      </c>
      <c r="H3333" s="5" t="s">
        <v>2864</v>
      </c>
      <c r="I3333" s="5" t="str">
        <f>IF(INDEX(Manual_Review!$Z$6:$Z$238,U3333)="","",INDEX(Manual_Review!$Z$6:$Z$238,U3333))</f>
        <v/>
      </c>
      <c r="J3333" s="5" t="str">
        <f t="shared" si="102"/>
        <v>AI provisional</v>
      </c>
      <c r="K3333" s="5" t="str">
        <f t="shared" si="103"/>
        <v>U</v>
      </c>
      <c r="L3333" s="5" t="s">
        <v>2411</v>
      </c>
      <c r="M3333" s="5" t="s">
        <v>10077</v>
      </c>
      <c r="N3333" s="5" t="s">
        <v>10078</v>
      </c>
      <c r="O3333" s="5" t="s">
        <v>3050</v>
      </c>
      <c r="P3333" s="5" t="s">
        <v>2992</v>
      </c>
      <c r="Q3333" s="11">
        <v>46306.5</v>
      </c>
      <c r="R3333" s="6"/>
      <c r="S3333" s="6"/>
      <c r="T3333" s="6"/>
      <c r="U3333" s="5">
        <f>MATCH(B3333,Manual_Review!$A$6:$A$238,0)</f>
        <v>208</v>
      </c>
      <c r="V3333" s="5" t="str">
        <f>IF(INDEX(Manual_Review!$G$6:$G$238,U3333)="","",INDEX(Manual_Review!$G$6:$G$238,U3333))</f>
        <v/>
      </c>
      <c r="W3333" s="11" t="str">
        <f>IF(INDEX(Manual_Review!$H$6:$H$238,U3333)="","",INDEX(Manual_Review!$H$6:$H$238,U3333))</f>
        <v/>
      </c>
      <c r="X3333" s="5" t="str">
        <f>IF(INDEX(Manual_Review!$I$6:$I$238,U3333)="","",INDEX(Manual_Review!$I$6:$I$238,U3333))</f>
        <v/>
      </c>
      <c r="Y3333" s="5" t="s">
        <v>2859</v>
      </c>
    </row>
    <row r="3334" spans="1:25" ht="25.5">
      <c r="A3334" s="5" t="s">
        <v>10079</v>
      </c>
      <c r="B3334" s="5" t="s">
        <v>2413</v>
      </c>
      <c r="C3334" s="5" t="s">
        <v>2414</v>
      </c>
      <c r="D3334" s="5" t="s">
        <v>118</v>
      </c>
      <c r="E3334" s="5" t="s">
        <v>2781</v>
      </c>
      <c r="F3334" s="5" t="s">
        <v>2754</v>
      </c>
      <c r="G3334" s="5">
        <v>1</v>
      </c>
      <c r="H3334" s="5" t="s">
        <v>2854</v>
      </c>
      <c r="I3334" s="5" t="str">
        <f>IF(INDEX(Manual_Review!$K$6:$K$238,U3334)="","",INDEX(Manual_Review!$K$6:$K$238,U3334))</f>
        <v/>
      </c>
      <c r="J3334" s="5" t="str">
        <f t="shared" ref="J3334:J3397" si="104">IF(G3334=0,"Not applicable",IF(I3334="","AI provisional",IF(AND(OR(I3334="Y",I3334="N",I3334="U",I3334="X"),V3334&lt;&gt;"",ISNUMBER(W3334),W3334&gt;0,X3334="Confirmed",R3334&lt;&gt;"",S3334&lt;&gt;"",T3334&lt;&gt;""),"Human valid","Evidence needed")))</f>
        <v>AI provisional</v>
      </c>
      <c r="K3334" s="5" t="str">
        <f t="shared" ref="K3334:K3397" si="105">IF(G3334=0,"N/A",IF(I3334="",H3334,IF(J3334="Human valid",I3334,"U")))</f>
        <v>Y</v>
      </c>
      <c r="L3334" s="5" t="s">
        <v>2424</v>
      </c>
      <c r="M3334" s="5" t="s">
        <v>10080</v>
      </c>
      <c r="N3334" s="5" t="s">
        <v>10081</v>
      </c>
      <c r="O3334" s="5" t="s">
        <v>2991</v>
      </c>
      <c r="P3334" s="5" t="s">
        <v>2992</v>
      </c>
      <c r="Q3334" s="11">
        <v>46306.5</v>
      </c>
      <c r="R3334" s="6"/>
      <c r="S3334" s="6"/>
      <c r="T3334" s="6"/>
      <c r="U3334" s="5">
        <f>MATCH(B3334,Manual_Review!$A$6:$A$238,0)</f>
        <v>209</v>
      </c>
      <c r="V3334" s="5" t="str">
        <f>IF(INDEX(Manual_Review!$G$6:$G$238,U3334)="","",INDEX(Manual_Review!$G$6:$G$238,U3334))</f>
        <v/>
      </c>
      <c r="W3334" s="11" t="str">
        <f>IF(INDEX(Manual_Review!$H$6:$H$238,U3334)="","",INDEX(Manual_Review!$H$6:$H$238,U3334))</f>
        <v/>
      </c>
      <c r="X3334" s="5" t="str">
        <f>IF(INDEX(Manual_Review!$I$6:$I$238,U3334)="","",INDEX(Manual_Review!$I$6:$I$238,U3334))</f>
        <v/>
      </c>
      <c r="Y3334" s="5" t="s">
        <v>2859</v>
      </c>
    </row>
    <row r="3335" spans="1:25" ht="25.5">
      <c r="A3335" s="5" t="s">
        <v>10082</v>
      </c>
      <c r="B3335" s="5" t="s">
        <v>2413</v>
      </c>
      <c r="C3335" s="5" t="s">
        <v>2414</v>
      </c>
      <c r="D3335" s="5" t="s">
        <v>118</v>
      </c>
      <c r="E3335" s="5" t="s">
        <v>2782</v>
      </c>
      <c r="F3335" s="5" t="s">
        <v>2754</v>
      </c>
      <c r="G3335" s="5">
        <v>1</v>
      </c>
      <c r="H3335" s="5" t="s">
        <v>2854</v>
      </c>
      <c r="I3335" s="5" t="str">
        <f>IF(INDEX(Manual_Review!$L$6:$L$238,U3335)="","",INDEX(Manual_Review!$L$6:$L$238,U3335))</f>
        <v/>
      </c>
      <c r="J3335" s="5" t="str">
        <f t="shared" si="104"/>
        <v>AI provisional</v>
      </c>
      <c r="K3335" s="5" t="str">
        <f t="shared" si="105"/>
        <v>Y</v>
      </c>
      <c r="L3335" s="5" t="s">
        <v>2424</v>
      </c>
      <c r="M3335" s="5" t="s">
        <v>10083</v>
      </c>
      <c r="N3335" s="5" t="s">
        <v>10084</v>
      </c>
      <c r="O3335" s="5" t="s">
        <v>2996</v>
      </c>
      <c r="P3335" s="5" t="s">
        <v>2992</v>
      </c>
      <c r="Q3335" s="11">
        <v>46306.5</v>
      </c>
      <c r="R3335" s="6"/>
      <c r="S3335" s="6"/>
      <c r="T3335" s="6"/>
      <c r="U3335" s="5">
        <f>MATCH(B3335,Manual_Review!$A$6:$A$238,0)</f>
        <v>209</v>
      </c>
      <c r="V3335" s="5" t="str">
        <f>IF(INDEX(Manual_Review!$G$6:$G$238,U3335)="","",INDEX(Manual_Review!$G$6:$G$238,U3335))</f>
        <v/>
      </c>
      <c r="W3335" s="11" t="str">
        <f>IF(INDEX(Manual_Review!$H$6:$H$238,U3335)="","",INDEX(Manual_Review!$H$6:$H$238,U3335))</f>
        <v/>
      </c>
      <c r="X3335" s="5" t="str">
        <f>IF(INDEX(Manual_Review!$I$6:$I$238,U3335)="","",INDEX(Manual_Review!$I$6:$I$238,U3335))</f>
        <v/>
      </c>
      <c r="Y3335" s="5" t="s">
        <v>2859</v>
      </c>
    </row>
    <row r="3336" spans="1:25" ht="25.5">
      <c r="A3336" s="5" t="s">
        <v>10085</v>
      </c>
      <c r="B3336" s="5" t="s">
        <v>2413</v>
      </c>
      <c r="C3336" s="5" t="s">
        <v>2414</v>
      </c>
      <c r="D3336" s="5" t="s">
        <v>118</v>
      </c>
      <c r="E3336" s="5" t="s">
        <v>2783</v>
      </c>
      <c r="F3336" s="5" t="s">
        <v>2754</v>
      </c>
      <c r="G3336" s="5">
        <v>1</v>
      </c>
      <c r="H3336" s="5" t="s">
        <v>2854</v>
      </c>
      <c r="I3336" s="5" t="str">
        <f>IF(INDEX(Manual_Review!$M$6:$M$238,U3336)="","",INDEX(Manual_Review!$M$6:$M$238,U3336))</f>
        <v/>
      </c>
      <c r="J3336" s="5" t="str">
        <f t="shared" si="104"/>
        <v>AI provisional</v>
      </c>
      <c r="K3336" s="5" t="str">
        <f t="shared" si="105"/>
        <v>Y</v>
      </c>
      <c r="L3336" s="5" t="s">
        <v>2424</v>
      </c>
      <c r="M3336" s="5" t="s">
        <v>10086</v>
      </c>
      <c r="N3336" s="5" t="s">
        <v>10087</v>
      </c>
      <c r="O3336" s="5" t="s">
        <v>3000</v>
      </c>
      <c r="P3336" s="5" t="s">
        <v>2992</v>
      </c>
      <c r="Q3336" s="11">
        <v>46306.5</v>
      </c>
      <c r="R3336" s="6"/>
      <c r="S3336" s="6"/>
      <c r="T3336" s="6"/>
      <c r="U3336" s="5">
        <f>MATCH(B3336,Manual_Review!$A$6:$A$238,0)</f>
        <v>209</v>
      </c>
      <c r="V3336" s="5" t="str">
        <f>IF(INDEX(Manual_Review!$G$6:$G$238,U3336)="","",INDEX(Manual_Review!$G$6:$G$238,U3336))</f>
        <v/>
      </c>
      <c r="W3336" s="11" t="str">
        <f>IF(INDEX(Manual_Review!$H$6:$H$238,U3336)="","",INDEX(Manual_Review!$H$6:$H$238,U3336))</f>
        <v/>
      </c>
      <c r="X3336" s="5" t="str">
        <f>IF(INDEX(Manual_Review!$I$6:$I$238,U3336)="","",INDEX(Manual_Review!$I$6:$I$238,U3336))</f>
        <v/>
      </c>
      <c r="Y3336" s="5" t="s">
        <v>2859</v>
      </c>
    </row>
    <row r="3337" spans="1:25" ht="25.5">
      <c r="A3337" s="5" t="s">
        <v>10088</v>
      </c>
      <c r="B3337" s="5" t="s">
        <v>2413</v>
      </c>
      <c r="C3337" s="5" t="s">
        <v>2414</v>
      </c>
      <c r="D3337" s="5" t="s">
        <v>118</v>
      </c>
      <c r="E3337" s="5" t="s">
        <v>2784</v>
      </c>
      <c r="F3337" s="5" t="s">
        <v>2756</v>
      </c>
      <c r="G3337" s="5">
        <v>1</v>
      </c>
      <c r="H3337" s="5" t="s">
        <v>2854</v>
      </c>
      <c r="I3337" s="5" t="str">
        <f>IF(INDEX(Manual_Review!$N$6:$N$238,U3337)="","",INDEX(Manual_Review!$N$6:$N$238,U3337))</f>
        <v/>
      </c>
      <c r="J3337" s="5" t="str">
        <f t="shared" si="104"/>
        <v>AI provisional</v>
      </c>
      <c r="K3337" s="5" t="str">
        <f t="shared" si="105"/>
        <v>Y</v>
      </c>
      <c r="L3337" s="5" t="s">
        <v>2424</v>
      </c>
      <c r="M3337" s="5" t="s">
        <v>10089</v>
      </c>
      <c r="N3337" s="5" t="s">
        <v>10090</v>
      </c>
      <c r="O3337" s="5" t="s">
        <v>3004</v>
      </c>
      <c r="P3337" s="5" t="s">
        <v>2992</v>
      </c>
      <c r="Q3337" s="11">
        <v>46306.5</v>
      </c>
      <c r="R3337" s="6"/>
      <c r="S3337" s="6"/>
      <c r="T3337" s="6"/>
      <c r="U3337" s="5">
        <f>MATCH(B3337,Manual_Review!$A$6:$A$238,0)</f>
        <v>209</v>
      </c>
      <c r="V3337" s="5" t="str">
        <f>IF(INDEX(Manual_Review!$G$6:$G$238,U3337)="","",INDEX(Manual_Review!$G$6:$G$238,U3337))</f>
        <v/>
      </c>
      <c r="W3337" s="11" t="str">
        <f>IF(INDEX(Manual_Review!$H$6:$H$238,U3337)="","",INDEX(Manual_Review!$H$6:$H$238,U3337))</f>
        <v/>
      </c>
      <c r="X3337" s="5" t="str">
        <f>IF(INDEX(Manual_Review!$I$6:$I$238,U3337)="","",INDEX(Manual_Review!$I$6:$I$238,U3337))</f>
        <v/>
      </c>
      <c r="Y3337" s="5" t="s">
        <v>2859</v>
      </c>
    </row>
    <row r="3338" spans="1:25" ht="25.5">
      <c r="A3338" s="5" t="s">
        <v>10091</v>
      </c>
      <c r="B3338" s="5" t="s">
        <v>2413</v>
      </c>
      <c r="C3338" s="5" t="s">
        <v>2414</v>
      </c>
      <c r="D3338" s="5" t="s">
        <v>118</v>
      </c>
      <c r="E3338" s="5" t="s">
        <v>2785</v>
      </c>
      <c r="F3338" s="5" t="s">
        <v>2756</v>
      </c>
      <c r="G3338" s="5">
        <v>1</v>
      </c>
      <c r="H3338" s="5" t="s">
        <v>2864</v>
      </c>
      <c r="I3338" s="5" t="str">
        <f>IF(INDEX(Manual_Review!$O$6:$O$238,U3338)="","",INDEX(Manual_Review!$O$6:$O$238,U3338))</f>
        <v/>
      </c>
      <c r="J3338" s="5" t="str">
        <f t="shared" si="104"/>
        <v>AI provisional</v>
      </c>
      <c r="K3338" s="5" t="str">
        <f t="shared" si="105"/>
        <v>U</v>
      </c>
      <c r="L3338" s="5" t="s">
        <v>2424</v>
      </c>
      <c r="M3338" s="5" t="s">
        <v>10089</v>
      </c>
      <c r="N3338" s="5" t="s">
        <v>10090</v>
      </c>
      <c r="O3338" s="5" t="s">
        <v>3006</v>
      </c>
      <c r="P3338" s="5" t="s">
        <v>2992</v>
      </c>
      <c r="Q3338" s="11">
        <v>46306.5</v>
      </c>
      <c r="R3338" s="6"/>
      <c r="S3338" s="6"/>
      <c r="T3338" s="6"/>
      <c r="U3338" s="5">
        <f>MATCH(B3338,Manual_Review!$A$6:$A$238,0)</f>
        <v>209</v>
      </c>
      <c r="V3338" s="5" t="str">
        <f>IF(INDEX(Manual_Review!$G$6:$G$238,U3338)="","",INDEX(Manual_Review!$G$6:$G$238,U3338))</f>
        <v/>
      </c>
      <c r="W3338" s="11" t="str">
        <f>IF(INDEX(Manual_Review!$H$6:$H$238,U3338)="","",INDEX(Manual_Review!$H$6:$H$238,U3338))</f>
        <v/>
      </c>
      <c r="X3338" s="5" t="str">
        <f>IF(INDEX(Manual_Review!$I$6:$I$238,U3338)="","",INDEX(Manual_Review!$I$6:$I$238,U3338))</f>
        <v/>
      </c>
      <c r="Y3338" s="5" t="s">
        <v>2859</v>
      </c>
    </row>
    <row r="3339" spans="1:25" ht="25.5">
      <c r="A3339" s="5" t="s">
        <v>10092</v>
      </c>
      <c r="B3339" s="5" t="s">
        <v>2413</v>
      </c>
      <c r="C3339" s="5" t="s">
        <v>2414</v>
      </c>
      <c r="D3339" s="5" t="s">
        <v>118</v>
      </c>
      <c r="E3339" s="5" t="s">
        <v>2786</v>
      </c>
      <c r="F3339" s="5" t="s">
        <v>2756</v>
      </c>
      <c r="G3339" s="5">
        <v>1</v>
      </c>
      <c r="H3339" s="5" t="s">
        <v>2864</v>
      </c>
      <c r="I3339" s="5" t="str">
        <f>IF(INDEX(Manual_Review!$P$6:$P$238,U3339)="","",INDEX(Manual_Review!$P$6:$P$238,U3339))</f>
        <v/>
      </c>
      <c r="J3339" s="5" t="str">
        <f t="shared" si="104"/>
        <v>AI provisional</v>
      </c>
      <c r="K3339" s="5" t="str">
        <f t="shared" si="105"/>
        <v>U</v>
      </c>
      <c r="L3339" s="5" t="s">
        <v>2424</v>
      </c>
      <c r="M3339" s="5" t="s">
        <v>10093</v>
      </c>
      <c r="N3339" s="5" t="s">
        <v>10094</v>
      </c>
      <c r="O3339" s="5" t="s">
        <v>3010</v>
      </c>
      <c r="P3339" s="5" t="s">
        <v>2992</v>
      </c>
      <c r="Q3339" s="11">
        <v>46306.5</v>
      </c>
      <c r="R3339" s="6"/>
      <c r="S3339" s="6"/>
      <c r="T3339" s="6"/>
      <c r="U3339" s="5">
        <f>MATCH(B3339,Manual_Review!$A$6:$A$238,0)</f>
        <v>209</v>
      </c>
      <c r="V3339" s="5" t="str">
        <f>IF(INDEX(Manual_Review!$G$6:$G$238,U3339)="","",INDEX(Manual_Review!$G$6:$G$238,U3339))</f>
        <v/>
      </c>
      <c r="W3339" s="11" t="str">
        <f>IF(INDEX(Manual_Review!$H$6:$H$238,U3339)="","",INDEX(Manual_Review!$H$6:$H$238,U3339))</f>
        <v/>
      </c>
      <c r="X3339" s="5" t="str">
        <f>IF(INDEX(Manual_Review!$I$6:$I$238,U3339)="","",INDEX(Manual_Review!$I$6:$I$238,U3339))</f>
        <v/>
      </c>
      <c r="Y3339" s="5" t="s">
        <v>2859</v>
      </c>
    </row>
    <row r="3340" spans="1:25" ht="25.5">
      <c r="A3340" s="5" t="s">
        <v>10095</v>
      </c>
      <c r="B3340" s="5" t="s">
        <v>2413</v>
      </c>
      <c r="C3340" s="5" t="s">
        <v>2414</v>
      </c>
      <c r="D3340" s="5" t="s">
        <v>118</v>
      </c>
      <c r="E3340" s="5" t="s">
        <v>2787</v>
      </c>
      <c r="F3340" s="5" t="s">
        <v>2758</v>
      </c>
      <c r="G3340" s="5">
        <v>1</v>
      </c>
      <c r="H3340" s="5" t="s">
        <v>2864</v>
      </c>
      <c r="I3340" s="5" t="str">
        <f>IF(INDEX(Manual_Review!$Q$6:$Q$238,U3340)="","",INDEX(Manual_Review!$Q$6:$Q$238,U3340))</f>
        <v/>
      </c>
      <c r="J3340" s="5" t="str">
        <f t="shared" si="104"/>
        <v>AI provisional</v>
      </c>
      <c r="K3340" s="5" t="str">
        <f t="shared" si="105"/>
        <v>U</v>
      </c>
      <c r="L3340" s="5" t="s">
        <v>2424</v>
      </c>
      <c r="M3340" s="5" t="s">
        <v>10096</v>
      </c>
      <c r="N3340" s="5" t="s">
        <v>10097</v>
      </c>
      <c r="O3340" s="5" t="s">
        <v>3014</v>
      </c>
      <c r="P3340" s="5" t="s">
        <v>2992</v>
      </c>
      <c r="Q3340" s="11">
        <v>46306.5</v>
      </c>
      <c r="R3340" s="6"/>
      <c r="S3340" s="6"/>
      <c r="T3340" s="6"/>
      <c r="U3340" s="5">
        <f>MATCH(B3340,Manual_Review!$A$6:$A$238,0)</f>
        <v>209</v>
      </c>
      <c r="V3340" s="5" t="str">
        <f>IF(INDEX(Manual_Review!$G$6:$G$238,U3340)="","",INDEX(Manual_Review!$G$6:$G$238,U3340))</f>
        <v/>
      </c>
      <c r="W3340" s="11" t="str">
        <f>IF(INDEX(Manual_Review!$H$6:$H$238,U3340)="","",INDEX(Manual_Review!$H$6:$H$238,U3340))</f>
        <v/>
      </c>
      <c r="X3340" s="5" t="str">
        <f>IF(INDEX(Manual_Review!$I$6:$I$238,U3340)="","",INDEX(Manual_Review!$I$6:$I$238,U3340))</f>
        <v/>
      </c>
      <c r="Y3340" s="5" t="s">
        <v>2859</v>
      </c>
    </row>
    <row r="3341" spans="1:25" ht="38.25">
      <c r="A3341" s="5" t="s">
        <v>10098</v>
      </c>
      <c r="B3341" s="5" t="s">
        <v>2413</v>
      </c>
      <c r="C3341" s="5" t="s">
        <v>2414</v>
      </c>
      <c r="D3341" s="5" t="s">
        <v>118</v>
      </c>
      <c r="E3341" s="5" t="s">
        <v>2788</v>
      </c>
      <c r="F3341" s="5" t="s">
        <v>2758</v>
      </c>
      <c r="G3341" s="5">
        <v>1</v>
      </c>
      <c r="H3341" s="5" t="s">
        <v>2854</v>
      </c>
      <c r="I3341" s="5" t="str">
        <f>IF(INDEX(Manual_Review!$R$6:$R$238,U3341)="","",INDEX(Manual_Review!$R$6:$R$238,U3341))</f>
        <v/>
      </c>
      <c r="J3341" s="5" t="str">
        <f t="shared" si="104"/>
        <v>AI provisional</v>
      </c>
      <c r="K3341" s="5" t="str">
        <f t="shared" si="105"/>
        <v>Y</v>
      </c>
      <c r="L3341" s="5" t="s">
        <v>2424</v>
      </c>
      <c r="M3341" s="5" t="s">
        <v>10099</v>
      </c>
      <c r="N3341" s="5" t="s">
        <v>10100</v>
      </c>
      <c r="O3341" s="5" t="s">
        <v>3018</v>
      </c>
      <c r="P3341" s="5" t="s">
        <v>2992</v>
      </c>
      <c r="Q3341" s="11">
        <v>46306.5</v>
      </c>
      <c r="R3341" s="6"/>
      <c r="S3341" s="6"/>
      <c r="T3341" s="6"/>
      <c r="U3341" s="5">
        <f>MATCH(B3341,Manual_Review!$A$6:$A$238,0)</f>
        <v>209</v>
      </c>
      <c r="V3341" s="5" t="str">
        <f>IF(INDEX(Manual_Review!$G$6:$G$238,U3341)="","",INDEX(Manual_Review!$G$6:$G$238,U3341))</f>
        <v/>
      </c>
      <c r="W3341" s="11" t="str">
        <f>IF(INDEX(Manual_Review!$H$6:$H$238,U3341)="","",INDEX(Manual_Review!$H$6:$H$238,U3341))</f>
        <v/>
      </c>
      <c r="X3341" s="5" t="str">
        <f>IF(INDEX(Manual_Review!$I$6:$I$238,U3341)="","",INDEX(Manual_Review!$I$6:$I$238,U3341))</f>
        <v/>
      </c>
      <c r="Y3341" s="5" t="s">
        <v>2859</v>
      </c>
    </row>
    <row r="3342" spans="1:25" ht="38.25">
      <c r="A3342" s="5" t="s">
        <v>10101</v>
      </c>
      <c r="B3342" s="5" t="s">
        <v>2413</v>
      </c>
      <c r="C3342" s="5" t="s">
        <v>2414</v>
      </c>
      <c r="D3342" s="5" t="s">
        <v>118</v>
      </c>
      <c r="E3342" s="5" t="s">
        <v>2789</v>
      </c>
      <c r="F3342" s="5" t="s">
        <v>2758</v>
      </c>
      <c r="G3342" s="5">
        <v>1</v>
      </c>
      <c r="H3342" s="5" t="s">
        <v>2854</v>
      </c>
      <c r="I3342" s="5" t="str">
        <f>IF(INDEX(Manual_Review!$S$6:$S$238,U3342)="","",INDEX(Manual_Review!$S$6:$S$238,U3342))</f>
        <v/>
      </c>
      <c r="J3342" s="5" t="str">
        <f t="shared" si="104"/>
        <v>AI provisional</v>
      </c>
      <c r="K3342" s="5" t="str">
        <f t="shared" si="105"/>
        <v>Y</v>
      </c>
      <c r="L3342" s="5" t="s">
        <v>2424</v>
      </c>
      <c r="M3342" s="5" t="s">
        <v>10102</v>
      </c>
      <c r="N3342" s="5" t="s">
        <v>10103</v>
      </c>
      <c r="O3342" s="5" t="s">
        <v>3022</v>
      </c>
      <c r="P3342" s="5" t="s">
        <v>2992</v>
      </c>
      <c r="Q3342" s="11">
        <v>46306.5</v>
      </c>
      <c r="R3342" s="6"/>
      <c r="S3342" s="6"/>
      <c r="T3342" s="6"/>
      <c r="U3342" s="5">
        <f>MATCH(B3342,Manual_Review!$A$6:$A$238,0)</f>
        <v>209</v>
      </c>
      <c r="V3342" s="5" t="str">
        <f>IF(INDEX(Manual_Review!$G$6:$G$238,U3342)="","",INDEX(Manual_Review!$G$6:$G$238,U3342))</f>
        <v/>
      </c>
      <c r="W3342" s="11" t="str">
        <f>IF(INDEX(Manual_Review!$H$6:$H$238,U3342)="","",INDEX(Manual_Review!$H$6:$H$238,U3342))</f>
        <v/>
      </c>
      <c r="X3342" s="5" t="str">
        <f>IF(INDEX(Manual_Review!$I$6:$I$238,U3342)="","",INDEX(Manual_Review!$I$6:$I$238,U3342))</f>
        <v/>
      </c>
      <c r="Y3342" s="5" t="s">
        <v>2859</v>
      </c>
    </row>
    <row r="3343" spans="1:25" ht="25.5">
      <c r="A3343" s="5" t="s">
        <v>10104</v>
      </c>
      <c r="B3343" s="5" t="s">
        <v>2413</v>
      </c>
      <c r="C3343" s="5" t="s">
        <v>2414</v>
      </c>
      <c r="D3343" s="5" t="s">
        <v>118</v>
      </c>
      <c r="E3343" s="5" t="s">
        <v>2790</v>
      </c>
      <c r="F3343" s="5" t="s">
        <v>2760</v>
      </c>
      <c r="G3343" s="5">
        <v>1</v>
      </c>
      <c r="H3343" s="5" t="s">
        <v>2854</v>
      </c>
      <c r="I3343" s="5" t="str">
        <f>IF(INDEX(Manual_Review!$T$6:$T$238,U3343)="","",INDEX(Manual_Review!$T$6:$T$238,U3343))</f>
        <v/>
      </c>
      <c r="J3343" s="5" t="str">
        <f t="shared" si="104"/>
        <v>AI provisional</v>
      </c>
      <c r="K3343" s="5" t="str">
        <f t="shared" si="105"/>
        <v>Y</v>
      </c>
      <c r="L3343" s="5" t="s">
        <v>2424</v>
      </c>
      <c r="M3343" s="5" t="s">
        <v>10105</v>
      </c>
      <c r="N3343" s="5" t="s">
        <v>10106</v>
      </c>
      <c r="O3343" s="5" t="s">
        <v>3451</v>
      </c>
      <c r="P3343" s="5" t="s">
        <v>2992</v>
      </c>
      <c r="Q3343" s="11">
        <v>46306.5</v>
      </c>
      <c r="R3343" s="6"/>
      <c r="S3343" s="6"/>
      <c r="T3343" s="6"/>
      <c r="U3343" s="5">
        <f>MATCH(B3343,Manual_Review!$A$6:$A$238,0)</f>
        <v>209</v>
      </c>
      <c r="V3343" s="5" t="str">
        <f>IF(INDEX(Manual_Review!$G$6:$G$238,U3343)="","",INDEX(Manual_Review!$G$6:$G$238,U3343))</f>
        <v/>
      </c>
      <c r="W3343" s="11" t="str">
        <f>IF(INDEX(Manual_Review!$H$6:$H$238,U3343)="","",INDEX(Manual_Review!$H$6:$H$238,U3343))</f>
        <v/>
      </c>
      <c r="X3343" s="5" t="str">
        <f>IF(INDEX(Manual_Review!$I$6:$I$238,U3343)="","",INDEX(Manual_Review!$I$6:$I$238,U3343))</f>
        <v/>
      </c>
      <c r="Y3343" s="5" t="s">
        <v>2859</v>
      </c>
    </row>
    <row r="3344" spans="1:25" ht="25.5">
      <c r="A3344" s="5" t="s">
        <v>10107</v>
      </c>
      <c r="B3344" s="5" t="s">
        <v>2413</v>
      </c>
      <c r="C3344" s="5" t="s">
        <v>2414</v>
      </c>
      <c r="D3344" s="5" t="s">
        <v>118</v>
      </c>
      <c r="E3344" s="5" t="s">
        <v>2791</v>
      </c>
      <c r="F3344" s="5" t="s">
        <v>2760</v>
      </c>
      <c r="G3344" s="5">
        <v>1</v>
      </c>
      <c r="H3344" s="5" t="s">
        <v>2864</v>
      </c>
      <c r="I3344" s="5" t="str">
        <f>IF(INDEX(Manual_Review!$U$6:$U$238,U3344)="","",INDEX(Manual_Review!$U$6:$U$238,U3344))</f>
        <v/>
      </c>
      <c r="J3344" s="5" t="str">
        <f t="shared" si="104"/>
        <v>AI provisional</v>
      </c>
      <c r="K3344" s="5" t="str">
        <f t="shared" si="105"/>
        <v>U</v>
      </c>
      <c r="L3344" s="5" t="s">
        <v>2424</v>
      </c>
      <c r="M3344" s="5" t="s">
        <v>10108</v>
      </c>
      <c r="N3344" s="5" t="s">
        <v>10109</v>
      </c>
      <c r="O3344" s="5" t="s">
        <v>3030</v>
      </c>
      <c r="P3344" s="5" t="s">
        <v>2992</v>
      </c>
      <c r="Q3344" s="11">
        <v>46306.5</v>
      </c>
      <c r="R3344" s="6"/>
      <c r="S3344" s="6"/>
      <c r="T3344" s="6"/>
      <c r="U3344" s="5">
        <f>MATCH(B3344,Manual_Review!$A$6:$A$238,0)</f>
        <v>209</v>
      </c>
      <c r="V3344" s="5" t="str">
        <f>IF(INDEX(Manual_Review!$G$6:$G$238,U3344)="","",INDEX(Manual_Review!$G$6:$G$238,U3344))</f>
        <v/>
      </c>
      <c r="W3344" s="11" t="str">
        <f>IF(INDEX(Manual_Review!$H$6:$H$238,U3344)="","",INDEX(Manual_Review!$H$6:$H$238,U3344))</f>
        <v/>
      </c>
      <c r="X3344" s="5" t="str">
        <f>IF(INDEX(Manual_Review!$I$6:$I$238,U3344)="","",INDEX(Manual_Review!$I$6:$I$238,U3344))</f>
        <v/>
      </c>
      <c r="Y3344" s="5" t="s">
        <v>2859</v>
      </c>
    </row>
    <row r="3345" spans="1:25" ht="25.5">
      <c r="A3345" s="5" t="s">
        <v>10110</v>
      </c>
      <c r="B3345" s="5" t="s">
        <v>2413</v>
      </c>
      <c r="C3345" s="5" t="s">
        <v>2414</v>
      </c>
      <c r="D3345" s="5" t="s">
        <v>118</v>
      </c>
      <c r="E3345" s="5" t="s">
        <v>2792</v>
      </c>
      <c r="F3345" s="5" t="s">
        <v>2762</v>
      </c>
      <c r="G3345" s="5">
        <v>1</v>
      </c>
      <c r="H3345" s="5" t="s">
        <v>2864</v>
      </c>
      <c r="I3345" s="5" t="str">
        <f>IF(INDEX(Manual_Review!$V$6:$V$238,U3345)="","",INDEX(Manual_Review!$V$6:$V$238,U3345))</f>
        <v/>
      </c>
      <c r="J3345" s="5" t="str">
        <f t="shared" si="104"/>
        <v>AI provisional</v>
      </c>
      <c r="K3345" s="5" t="str">
        <f t="shared" si="105"/>
        <v>U</v>
      </c>
      <c r="L3345" s="5" t="s">
        <v>2424</v>
      </c>
      <c r="M3345" s="5" t="s">
        <v>10111</v>
      </c>
      <c r="N3345" s="5" t="s">
        <v>10112</v>
      </c>
      <c r="O3345" s="5" t="s">
        <v>3947</v>
      </c>
      <c r="P3345" s="5" t="s">
        <v>2992</v>
      </c>
      <c r="Q3345" s="11">
        <v>46306.5</v>
      </c>
      <c r="R3345" s="6"/>
      <c r="S3345" s="6"/>
      <c r="T3345" s="6"/>
      <c r="U3345" s="5">
        <f>MATCH(B3345,Manual_Review!$A$6:$A$238,0)</f>
        <v>209</v>
      </c>
      <c r="V3345" s="5" t="str">
        <f>IF(INDEX(Manual_Review!$G$6:$G$238,U3345)="","",INDEX(Manual_Review!$G$6:$G$238,U3345))</f>
        <v/>
      </c>
      <c r="W3345" s="11" t="str">
        <f>IF(INDEX(Manual_Review!$H$6:$H$238,U3345)="","",INDEX(Manual_Review!$H$6:$H$238,U3345))</f>
        <v/>
      </c>
      <c r="X3345" s="5" t="str">
        <f>IF(INDEX(Manual_Review!$I$6:$I$238,U3345)="","",INDEX(Manual_Review!$I$6:$I$238,U3345))</f>
        <v/>
      </c>
      <c r="Y3345" s="5" t="s">
        <v>2859</v>
      </c>
    </row>
    <row r="3346" spans="1:25" ht="38.25">
      <c r="A3346" s="5" t="s">
        <v>10113</v>
      </c>
      <c r="B3346" s="5" t="s">
        <v>2413</v>
      </c>
      <c r="C3346" s="5" t="s">
        <v>2414</v>
      </c>
      <c r="D3346" s="5" t="s">
        <v>118</v>
      </c>
      <c r="E3346" s="5" t="s">
        <v>2793</v>
      </c>
      <c r="F3346" s="5" t="s">
        <v>2762</v>
      </c>
      <c r="G3346" s="5">
        <v>1</v>
      </c>
      <c r="H3346" s="5" t="s">
        <v>2854</v>
      </c>
      <c r="I3346" s="5" t="str">
        <f>IF(INDEX(Manual_Review!$W$6:$W$238,U3346)="","",INDEX(Manual_Review!$W$6:$W$238,U3346))</f>
        <v/>
      </c>
      <c r="J3346" s="5" t="str">
        <f t="shared" si="104"/>
        <v>AI provisional</v>
      </c>
      <c r="K3346" s="5" t="str">
        <f t="shared" si="105"/>
        <v>Y</v>
      </c>
      <c r="L3346" s="5" t="s">
        <v>2424</v>
      </c>
      <c r="M3346" s="5" t="s">
        <v>10114</v>
      </c>
      <c r="N3346" s="5" t="s">
        <v>10115</v>
      </c>
      <c r="O3346" s="5" t="s">
        <v>3038</v>
      </c>
      <c r="P3346" s="5" t="s">
        <v>2992</v>
      </c>
      <c r="Q3346" s="11">
        <v>46306.5</v>
      </c>
      <c r="R3346" s="6"/>
      <c r="S3346" s="6"/>
      <c r="T3346" s="6"/>
      <c r="U3346" s="5">
        <f>MATCH(B3346,Manual_Review!$A$6:$A$238,0)</f>
        <v>209</v>
      </c>
      <c r="V3346" s="5" t="str">
        <f>IF(INDEX(Manual_Review!$G$6:$G$238,U3346)="","",INDEX(Manual_Review!$G$6:$G$238,U3346))</f>
        <v/>
      </c>
      <c r="W3346" s="11" t="str">
        <f>IF(INDEX(Manual_Review!$H$6:$H$238,U3346)="","",INDEX(Manual_Review!$H$6:$H$238,U3346))</f>
        <v/>
      </c>
      <c r="X3346" s="5" t="str">
        <f>IF(INDEX(Manual_Review!$I$6:$I$238,U3346)="","",INDEX(Manual_Review!$I$6:$I$238,U3346))</f>
        <v/>
      </c>
      <c r="Y3346" s="5" t="s">
        <v>2859</v>
      </c>
    </row>
    <row r="3347" spans="1:25" ht="25.5">
      <c r="A3347" s="5" t="s">
        <v>10116</v>
      </c>
      <c r="B3347" s="5" t="s">
        <v>2413</v>
      </c>
      <c r="C3347" s="5" t="s">
        <v>2414</v>
      </c>
      <c r="D3347" s="5" t="s">
        <v>118</v>
      </c>
      <c r="E3347" s="5" t="s">
        <v>2794</v>
      </c>
      <c r="F3347" s="5" t="s">
        <v>2764</v>
      </c>
      <c r="G3347" s="5">
        <v>1</v>
      </c>
      <c r="H3347" s="5" t="s">
        <v>2854</v>
      </c>
      <c r="I3347" s="5" t="str">
        <f>IF(INDEX(Manual_Review!$X$6:$X$238,U3347)="","",INDEX(Manual_Review!$X$6:$X$238,U3347))</f>
        <v/>
      </c>
      <c r="J3347" s="5" t="str">
        <f t="shared" si="104"/>
        <v>AI provisional</v>
      </c>
      <c r="K3347" s="5" t="str">
        <f t="shared" si="105"/>
        <v>Y</v>
      </c>
      <c r="L3347" s="5" t="s">
        <v>2424</v>
      </c>
      <c r="M3347" s="5" t="s">
        <v>10117</v>
      </c>
      <c r="N3347" s="5" t="s">
        <v>10118</v>
      </c>
      <c r="O3347" s="5" t="s">
        <v>3042</v>
      </c>
      <c r="P3347" s="5" t="s">
        <v>2992</v>
      </c>
      <c r="Q3347" s="11">
        <v>46306.5</v>
      </c>
      <c r="R3347" s="6"/>
      <c r="S3347" s="6"/>
      <c r="T3347" s="6"/>
      <c r="U3347" s="5">
        <f>MATCH(B3347,Manual_Review!$A$6:$A$238,0)</f>
        <v>209</v>
      </c>
      <c r="V3347" s="5" t="str">
        <f>IF(INDEX(Manual_Review!$G$6:$G$238,U3347)="","",INDEX(Manual_Review!$G$6:$G$238,U3347))</f>
        <v/>
      </c>
      <c r="W3347" s="11" t="str">
        <f>IF(INDEX(Manual_Review!$H$6:$H$238,U3347)="","",INDEX(Manual_Review!$H$6:$H$238,U3347))</f>
        <v/>
      </c>
      <c r="X3347" s="5" t="str">
        <f>IF(INDEX(Manual_Review!$I$6:$I$238,U3347)="","",INDEX(Manual_Review!$I$6:$I$238,U3347))</f>
        <v/>
      </c>
      <c r="Y3347" s="5" t="s">
        <v>2859</v>
      </c>
    </row>
    <row r="3348" spans="1:25" ht="25.5">
      <c r="A3348" s="5" t="s">
        <v>10119</v>
      </c>
      <c r="B3348" s="5" t="s">
        <v>2413</v>
      </c>
      <c r="C3348" s="5" t="s">
        <v>2414</v>
      </c>
      <c r="D3348" s="5" t="s">
        <v>118</v>
      </c>
      <c r="E3348" s="5" t="s">
        <v>2795</v>
      </c>
      <c r="F3348" s="5" t="s">
        <v>2764</v>
      </c>
      <c r="G3348" s="5">
        <v>1</v>
      </c>
      <c r="H3348" s="5" t="s">
        <v>2864</v>
      </c>
      <c r="I3348" s="5" t="str">
        <f>IF(INDEX(Manual_Review!$Y$6:$Y$238,U3348)="","",INDEX(Manual_Review!$Y$6:$Y$238,U3348))</f>
        <v/>
      </c>
      <c r="J3348" s="5" t="str">
        <f t="shared" si="104"/>
        <v>AI provisional</v>
      </c>
      <c r="K3348" s="5" t="str">
        <f t="shared" si="105"/>
        <v>U</v>
      </c>
      <c r="L3348" s="5" t="s">
        <v>2424</v>
      </c>
      <c r="M3348" s="5" t="s">
        <v>10120</v>
      </c>
      <c r="N3348" s="5" t="s">
        <v>10121</v>
      </c>
      <c r="O3348" s="5" t="s">
        <v>3469</v>
      </c>
      <c r="P3348" s="5" t="s">
        <v>2992</v>
      </c>
      <c r="Q3348" s="11">
        <v>46306.5</v>
      </c>
      <c r="R3348" s="6"/>
      <c r="S3348" s="6"/>
      <c r="T3348" s="6"/>
      <c r="U3348" s="5">
        <f>MATCH(B3348,Manual_Review!$A$6:$A$238,0)</f>
        <v>209</v>
      </c>
      <c r="V3348" s="5" t="str">
        <f>IF(INDEX(Manual_Review!$G$6:$G$238,U3348)="","",INDEX(Manual_Review!$G$6:$G$238,U3348))</f>
        <v/>
      </c>
      <c r="W3348" s="11" t="str">
        <f>IF(INDEX(Manual_Review!$H$6:$H$238,U3348)="","",INDEX(Manual_Review!$H$6:$H$238,U3348))</f>
        <v/>
      </c>
      <c r="X3348" s="5" t="str">
        <f>IF(INDEX(Manual_Review!$I$6:$I$238,U3348)="","",INDEX(Manual_Review!$I$6:$I$238,U3348))</f>
        <v/>
      </c>
      <c r="Y3348" s="5" t="s">
        <v>2859</v>
      </c>
    </row>
    <row r="3349" spans="1:25" ht="38.25">
      <c r="A3349" s="5" t="s">
        <v>10122</v>
      </c>
      <c r="B3349" s="5" t="s">
        <v>2413</v>
      </c>
      <c r="C3349" s="5" t="s">
        <v>2414</v>
      </c>
      <c r="D3349" s="5" t="s">
        <v>118</v>
      </c>
      <c r="E3349" s="5" t="s">
        <v>2796</v>
      </c>
      <c r="F3349" s="5" t="s">
        <v>2764</v>
      </c>
      <c r="G3349" s="5">
        <v>1</v>
      </c>
      <c r="H3349" s="5" t="s">
        <v>2854</v>
      </c>
      <c r="I3349" s="5" t="str">
        <f>IF(INDEX(Manual_Review!$Z$6:$Z$238,U3349)="","",INDEX(Manual_Review!$Z$6:$Z$238,U3349))</f>
        <v/>
      </c>
      <c r="J3349" s="5" t="str">
        <f t="shared" si="104"/>
        <v>AI provisional</v>
      </c>
      <c r="K3349" s="5" t="str">
        <f t="shared" si="105"/>
        <v>Y</v>
      </c>
      <c r="L3349" s="5" t="s">
        <v>2424</v>
      </c>
      <c r="M3349" s="5" t="s">
        <v>10123</v>
      </c>
      <c r="N3349" s="5" t="s">
        <v>10124</v>
      </c>
      <c r="O3349" s="5" t="s">
        <v>3960</v>
      </c>
      <c r="P3349" s="5" t="s">
        <v>2992</v>
      </c>
      <c r="Q3349" s="11">
        <v>46306.5</v>
      </c>
      <c r="R3349" s="6"/>
      <c r="S3349" s="6"/>
      <c r="T3349" s="6"/>
      <c r="U3349" s="5">
        <f>MATCH(B3349,Manual_Review!$A$6:$A$238,0)</f>
        <v>209</v>
      </c>
      <c r="V3349" s="5" t="str">
        <f>IF(INDEX(Manual_Review!$G$6:$G$238,U3349)="","",INDEX(Manual_Review!$G$6:$G$238,U3349))</f>
        <v/>
      </c>
      <c r="W3349" s="11" t="str">
        <f>IF(INDEX(Manual_Review!$H$6:$H$238,U3349)="","",INDEX(Manual_Review!$H$6:$H$238,U3349))</f>
        <v/>
      </c>
      <c r="X3349" s="5" t="str">
        <f>IF(INDEX(Manual_Review!$I$6:$I$238,U3349)="","",INDEX(Manual_Review!$I$6:$I$238,U3349))</f>
        <v/>
      </c>
      <c r="Y3349" s="5" t="s">
        <v>2859</v>
      </c>
    </row>
    <row r="3350" spans="1:25" ht="25.5">
      <c r="A3350" s="5" t="s">
        <v>10125</v>
      </c>
      <c r="B3350" s="5" t="s">
        <v>2426</v>
      </c>
      <c r="C3350" s="5" t="s">
        <v>2427</v>
      </c>
      <c r="D3350" s="5" t="s">
        <v>1336</v>
      </c>
      <c r="E3350" s="5" t="s">
        <v>2781</v>
      </c>
      <c r="F3350" s="5" t="s">
        <v>2754</v>
      </c>
      <c r="G3350" s="5">
        <v>1</v>
      </c>
      <c r="H3350" s="5" t="s">
        <v>2854</v>
      </c>
      <c r="I3350" s="5" t="str">
        <f>IF(INDEX(Manual_Review!$K$6:$K$238,U3350)="","",INDEX(Manual_Review!$K$6:$K$238,U3350))</f>
        <v/>
      </c>
      <c r="J3350" s="5" t="str">
        <f t="shared" si="104"/>
        <v>AI provisional</v>
      </c>
      <c r="K3350" s="5" t="str">
        <f t="shared" si="105"/>
        <v>Y</v>
      </c>
      <c r="L3350" s="5" t="s">
        <v>2437</v>
      </c>
      <c r="M3350" s="5" t="s">
        <v>10126</v>
      </c>
      <c r="N3350" s="5" t="s">
        <v>10127</v>
      </c>
      <c r="O3350" s="5" t="s">
        <v>2991</v>
      </c>
      <c r="P3350" s="5" t="s">
        <v>2992</v>
      </c>
      <c r="Q3350" s="11">
        <v>46306.5</v>
      </c>
      <c r="R3350" s="6"/>
      <c r="S3350" s="6"/>
      <c r="T3350" s="6"/>
      <c r="U3350" s="5">
        <f>MATCH(B3350,Manual_Review!$A$6:$A$238,0)</f>
        <v>210</v>
      </c>
      <c r="V3350" s="5" t="str">
        <f>IF(INDEX(Manual_Review!$G$6:$G$238,U3350)="","",INDEX(Manual_Review!$G$6:$G$238,U3350))</f>
        <v/>
      </c>
      <c r="W3350" s="11" t="str">
        <f>IF(INDEX(Manual_Review!$H$6:$H$238,U3350)="","",INDEX(Manual_Review!$H$6:$H$238,U3350))</f>
        <v/>
      </c>
      <c r="X3350" s="5" t="str">
        <f>IF(INDEX(Manual_Review!$I$6:$I$238,U3350)="","",INDEX(Manual_Review!$I$6:$I$238,U3350))</f>
        <v/>
      </c>
      <c r="Y3350" s="5" t="s">
        <v>2859</v>
      </c>
    </row>
    <row r="3351" spans="1:25" ht="25.5">
      <c r="A3351" s="5" t="s">
        <v>10128</v>
      </c>
      <c r="B3351" s="5" t="s">
        <v>2426</v>
      </c>
      <c r="C3351" s="5" t="s">
        <v>2427</v>
      </c>
      <c r="D3351" s="5" t="s">
        <v>1336</v>
      </c>
      <c r="E3351" s="5" t="s">
        <v>2782</v>
      </c>
      <c r="F3351" s="5" t="s">
        <v>2754</v>
      </c>
      <c r="G3351" s="5">
        <v>1</v>
      </c>
      <c r="H3351" s="5" t="s">
        <v>2854</v>
      </c>
      <c r="I3351" s="5" t="str">
        <f>IF(INDEX(Manual_Review!$L$6:$L$238,U3351)="","",INDEX(Manual_Review!$L$6:$L$238,U3351))</f>
        <v/>
      </c>
      <c r="J3351" s="5" t="str">
        <f t="shared" si="104"/>
        <v>AI provisional</v>
      </c>
      <c r="K3351" s="5" t="str">
        <f t="shared" si="105"/>
        <v>Y</v>
      </c>
      <c r="L3351" s="5" t="s">
        <v>2437</v>
      </c>
      <c r="M3351" s="5" t="s">
        <v>10129</v>
      </c>
      <c r="N3351" s="5" t="s">
        <v>10130</v>
      </c>
      <c r="O3351" s="5" t="s">
        <v>2996</v>
      </c>
      <c r="P3351" s="5" t="s">
        <v>2992</v>
      </c>
      <c r="Q3351" s="11">
        <v>46306.5</v>
      </c>
      <c r="R3351" s="6"/>
      <c r="S3351" s="6"/>
      <c r="T3351" s="6"/>
      <c r="U3351" s="5">
        <f>MATCH(B3351,Manual_Review!$A$6:$A$238,0)</f>
        <v>210</v>
      </c>
      <c r="V3351" s="5" t="str">
        <f>IF(INDEX(Manual_Review!$G$6:$G$238,U3351)="","",INDEX(Manual_Review!$G$6:$G$238,U3351))</f>
        <v/>
      </c>
      <c r="W3351" s="11" t="str">
        <f>IF(INDEX(Manual_Review!$H$6:$H$238,U3351)="","",INDEX(Manual_Review!$H$6:$H$238,U3351))</f>
        <v/>
      </c>
      <c r="X3351" s="5" t="str">
        <f>IF(INDEX(Manual_Review!$I$6:$I$238,U3351)="","",INDEX(Manual_Review!$I$6:$I$238,U3351))</f>
        <v/>
      </c>
      <c r="Y3351" s="5" t="s">
        <v>2859</v>
      </c>
    </row>
    <row r="3352" spans="1:25" ht="25.5">
      <c r="A3352" s="5" t="s">
        <v>10131</v>
      </c>
      <c r="B3352" s="5" t="s">
        <v>2426</v>
      </c>
      <c r="C3352" s="5" t="s">
        <v>2427</v>
      </c>
      <c r="D3352" s="5" t="s">
        <v>1336</v>
      </c>
      <c r="E3352" s="5" t="s">
        <v>2783</v>
      </c>
      <c r="F3352" s="5" t="s">
        <v>2754</v>
      </c>
      <c r="G3352" s="5">
        <v>1</v>
      </c>
      <c r="H3352" s="5" t="s">
        <v>2864</v>
      </c>
      <c r="I3352" s="5" t="str">
        <f>IF(INDEX(Manual_Review!$M$6:$M$238,U3352)="","",INDEX(Manual_Review!$M$6:$M$238,U3352))</f>
        <v/>
      </c>
      <c r="J3352" s="5" t="str">
        <f t="shared" si="104"/>
        <v>AI provisional</v>
      </c>
      <c r="K3352" s="5" t="str">
        <f t="shared" si="105"/>
        <v>U</v>
      </c>
      <c r="L3352" s="5" t="s">
        <v>2437</v>
      </c>
      <c r="M3352" s="5" t="s">
        <v>10132</v>
      </c>
      <c r="N3352" s="5" t="s">
        <v>10133</v>
      </c>
      <c r="O3352" s="5" t="s">
        <v>10134</v>
      </c>
      <c r="P3352" s="5" t="s">
        <v>2992</v>
      </c>
      <c r="Q3352" s="11">
        <v>46306.5</v>
      </c>
      <c r="R3352" s="6"/>
      <c r="S3352" s="6"/>
      <c r="T3352" s="6"/>
      <c r="U3352" s="5">
        <f>MATCH(B3352,Manual_Review!$A$6:$A$238,0)</f>
        <v>210</v>
      </c>
      <c r="V3352" s="5" t="str">
        <f>IF(INDEX(Manual_Review!$G$6:$G$238,U3352)="","",INDEX(Manual_Review!$G$6:$G$238,U3352))</f>
        <v/>
      </c>
      <c r="W3352" s="11" t="str">
        <f>IF(INDEX(Manual_Review!$H$6:$H$238,U3352)="","",INDEX(Manual_Review!$H$6:$H$238,U3352))</f>
        <v/>
      </c>
      <c r="X3352" s="5" t="str">
        <f>IF(INDEX(Manual_Review!$I$6:$I$238,U3352)="","",INDEX(Manual_Review!$I$6:$I$238,U3352))</f>
        <v/>
      </c>
      <c r="Y3352" s="5" t="s">
        <v>2859</v>
      </c>
    </row>
    <row r="3353" spans="1:25" ht="25.5">
      <c r="A3353" s="5" t="s">
        <v>10135</v>
      </c>
      <c r="B3353" s="5" t="s">
        <v>2426</v>
      </c>
      <c r="C3353" s="5" t="s">
        <v>2427</v>
      </c>
      <c r="D3353" s="5" t="s">
        <v>1336</v>
      </c>
      <c r="E3353" s="5" t="s">
        <v>2784</v>
      </c>
      <c r="F3353" s="5" t="s">
        <v>2756</v>
      </c>
      <c r="G3353" s="5">
        <v>0</v>
      </c>
      <c r="H3353" s="5" t="s">
        <v>6577</v>
      </c>
      <c r="I3353" s="5" t="str">
        <f>IF(INDEX(Manual_Review!$N$6:$N$238,U3353)="","",INDEX(Manual_Review!$N$6:$N$238,U3353))</f>
        <v/>
      </c>
      <c r="J3353" s="5" t="str">
        <f t="shared" si="104"/>
        <v>Not applicable</v>
      </c>
      <c r="K3353" s="5" t="str">
        <f t="shared" si="105"/>
        <v>N/A</v>
      </c>
      <c r="L3353" s="5" t="s">
        <v>2437</v>
      </c>
      <c r="M3353" s="5" t="s">
        <v>2771</v>
      </c>
      <c r="N3353" s="5" t="s">
        <v>10136</v>
      </c>
      <c r="O3353" s="5" t="s">
        <v>10137</v>
      </c>
      <c r="P3353" s="5" t="s">
        <v>10138</v>
      </c>
      <c r="Q3353" s="11"/>
      <c r="R3353" s="6"/>
      <c r="S3353" s="6"/>
      <c r="T3353" s="6"/>
      <c r="U3353" s="5">
        <f>MATCH(B3353,Manual_Review!$A$6:$A$238,0)</f>
        <v>210</v>
      </c>
      <c r="V3353" s="5" t="str">
        <f>IF(INDEX(Manual_Review!$G$6:$G$238,U3353)="","",INDEX(Manual_Review!$G$6:$G$238,U3353))</f>
        <v/>
      </c>
      <c r="W3353" s="11" t="str">
        <f>IF(INDEX(Manual_Review!$H$6:$H$238,U3353)="","",INDEX(Manual_Review!$H$6:$H$238,U3353))</f>
        <v/>
      </c>
      <c r="X3353" s="5" t="str">
        <f>IF(INDEX(Manual_Review!$I$6:$I$238,U3353)="","",INDEX(Manual_Review!$I$6:$I$238,U3353))</f>
        <v/>
      </c>
      <c r="Y3353" s="5" t="s">
        <v>2859</v>
      </c>
    </row>
    <row r="3354" spans="1:25" ht="25.5">
      <c r="A3354" s="5" t="s">
        <v>10139</v>
      </c>
      <c r="B3354" s="5" t="s">
        <v>2426</v>
      </c>
      <c r="C3354" s="5" t="s">
        <v>2427</v>
      </c>
      <c r="D3354" s="5" t="s">
        <v>1336</v>
      </c>
      <c r="E3354" s="5" t="s">
        <v>2785</v>
      </c>
      <c r="F3354" s="5" t="s">
        <v>2756</v>
      </c>
      <c r="G3354" s="5">
        <v>0</v>
      </c>
      <c r="H3354" s="5" t="s">
        <v>6577</v>
      </c>
      <c r="I3354" s="5" t="str">
        <f>IF(INDEX(Manual_Review!$O$6:$O$238,U3354)="","",INDEX(Manual_Review!$O$6:$O$238,U3354))</f>
        <v/>
      </c>
      <c r="J3354" s="5" t="str">
        <f t="shared" si="104"/>
        <v>Not applicable</v>
      </c>
      <c r="K3354" s="5" t="str">
        <f t="shared" si="105"/>
        <v>N/A</v>
      </c>
      <c r="L3354" s="5" t="s">
        <v>2437</v>
      </c>
      <c r="M3354" s="5" t="s">
        <v>2771</v>
      </c>
      <c r="N3354" s="5" t="s">
        <v>10136</v>
      </c>
      <c r="O3354" s="5" t="s">
        <v>10137</v>
      </c>
      <c r="P3354" s="5" t="s">
        <v>10138</v>
      </c>
      <c r="Q3354" s="11"/>
      <c r="R3354" s="6"/>
      <c r="S3354" s="6"/>
      <c r="T3354" s="6"/>
      <c r="U3354" s="5">
        <f>MATCH(B3354,Manual_Review!$A$6:$A$238,0)</f>
        <v>210</v>
      </c>
      <c r="V3354" s="5" t="str">
        <f>IF(INDEX(Manual_Review!$G$6:$G$238,U3354)="","",INDEX(Manual_Review!$G$6:$G$238,U3354))</f>
        <v/>
      </c>
      <c r="W3354" s="11" t="str">
        <f>IF(INDEX(Manual_Review!$H$6:$H$238,U3354)="","",INDEX(Manual_Review!$H$6:$H$238,U3354))</f>
        <v/>
      </c>
      <c r="X3354" s="5" t="str">
        <f>IF(INDEX(Manual_Review!$I$6:$I$238,U3354)="","",INDEX(Manual_Review!$I$6:$I$238,U3354))</f>
        <v/>
      </c>
      <c r="Y3354" s="5" t="s">
        <v>2859</v>
      </c>
    </row>
    <row r="3355" spans="1:25" ht="25.5">
      <c r="A3355" s="5" t="s">
        <v>10140</v>
      </c>
      <c r="B3355" s="5" t="s">
        <v>2426</v>
      </c>
      <c r="C3355" s="5" t="s">
        <v>2427</v>
      </c>
      <c r="D3355" s="5" t="s">
        <v>1336</v>
      </c>
      <c r="E3355" s="5" t="s">
        <v>2786</v>
      </c>
      <c r="F3355" s="5" t="s">
        <v>2756</v>
      </c>
      <c r="G3355" s="5">
        <v>0</v>
      </c>
      <c r="H3355" s="5" t="s">
        <v>6577</v>
      </c>
      <c r="I3355" s="5" t="str">
        <f>IF(INDEX(Manual_Review!$P$6:$P$238,U3355)="","",INDEX(Manual_Review!$P$6:$P$238,U3355))</f>
        <v/>
      </c>
      <c r="J3355" s="5" t="str">
        <f t="shared" si="104"/>
        <v>Not applicable</v>
      </c>
      <c r="K3355" s="5" t="str">
        <f t="shared" si="105"/>
        <v>N/A</v>
      </c>
      <c r="L3355" s="5" t="s">
        <v>2437</v>
      </c>
      <c r="M3355" s="5" t="s">
        <v>2771</v>
      </c>
      <c r="N3355" s="5" t="s">
        <v>10136</v>
      </c>
      <c r="O3355" s="5" t="s">
        <v>10137</v>
      </c>
      <c r="P3355" s="5" t="s">
        <v>10138</v>
      </c>
      <c r="Q3355" s="11"/>
      <c r="R3355" s="6"/>
      <c r="S3355" s="6"/>
      <c r="T3355" s="6"/>
      <c r="U3355" s="5">
        <f>MATCH(B3355,Manual_Review!$A$6:$A$238,0)</f>
        <v>210</v>
      </c>
      <c r="V3355" s="5" t="str">
        <f>IF(INDEX(Manual_Review!$G$6:$G$238,U3355)="","",INDEX(Manual_Review!$G$6:$G$238,U3355))</f>
        <v/>
      </c>
      <c r="W3355" s="11" t="str">
        <f>IF(INDEX(Manual_Review!$H$6:$H$238,U3355)="","",INDEX(Manual_Review!$H$6:$H$238,U3355))</f>
        <v/>
      </c>
      <c r="X3355" s="5" t="str">
        <f>IF(INDEX(Manual_Review!$I$6:$I$238,U3355)="","",INDEX(Manual_Review!$I$6:$I$238,U3355))</f>
        <v/>
      </c>
      <c r="Y3355" s="5" t="s">
        <v>2859</v>
      </c>
    </row>
    <row r="3356" spans="1:25" ht="25.5">
      <c r="A3356" s="5" t="s">
        <v>10141</v>
      </c>
      <c r="B3356" s="5" t="s">
        <v>2426</v>
      </c>
      <c r="C3356" s="5" t="s">
        <v>2427</v>
      </c>
      <c r="D3356" s="5" t="s">
        <v>1336</v>
      </c>
      <c r="E3356" s="5" t="s">
        <v>2787</v>
      </c>
      <c r="F3356" s="5" t="s">
        <v>2758</v>
      </c>
      <c r="G3356" s="5">
        <v>1</v>
      </c>
      <c r="H3356" s="5" t="s">
        <v>2854</v>
      </c>
      <c r="I3356" s="5" t="str">
        <f>IF(INDEX(Manual_Review!$Q$6:$Q$238,U3356)="","",INDEX(Manual_Review!$Q$6:$Q$238,U3356))</f>
        <v/>
      </c>
      <c r="J3356" s="5" t="str">
        <f t="shared" si="104"/>
        <v>AI provisional</v>
      </c>
      <c r="K3356" s="5" t="str">
        <f t="shared" si="105"/>
        <v>Y</v>
      </c>
      <c r="L3356" s="5" t="s">
        <v>2437</v>
      </c>
      <c r="M3356" s="5" t="s">
        <v>10142</v>
      </c>
      <c r="N3356" s="5" t="s">
        <v>10143</v>
      </c>
      <c r="O3356" s="5" t="s">
        <v>3819</v>
      </c>
      <c r="P3356" s="5" t="s">
        <v>2992</v>
      </c>
      <c r="Q3356" s="11">
        <v>46306.5</v>
      </c>
      <c r="R3356" s="6"/>
      <c r="S3356" s="6"/>
      <c r="T3356" s="6"/>
      <c r="U3356" s="5">
        <f>MATCH(B3356,Manual_Review!$A$6:$A$238,0)</f>
        <v>210</v>
      </c>
      <c r="V3356" s="5" t="str">
        <f>IF(INDEX(Manual_Review!$G$6:$G$238,U3356)="","",INDEX(Manual_Review!$G$6:$G$238,U3356))</f>
        <v/>
      </c>
      <c r="W3356" s="11" t="str">
        <f>IF(INDEX(Manual_Review!$H$6:$H$238,U3356)="","",INDEX(Manual_Review!$H$6:$H$238,U3356))</f>
        <v/>
      </c>
      <c r="X3356" s="5" t="str">
        <f>IF(INDEX(Manual_Review!$I$6:$I$238,U3356)="","",INDEX(Manual_Review!$I$6:$I$238,U3356))</f>
        <v/>
      </c>
      <c r="Y3356" s="5" t="s">
        <v>2859</v>
      </c>
    </row>
    <row r="3357" spans="1:25" ht="38.25">
      <c r="A3357" s="5" t="s">
        <v>10144</v>
      </c>
      <c r="B3357" s="5" t="s">
        <v>2426</v>
      </c>
      <c r="C3357" s="5" t="s">
        <v>2427</v>
      </c>
      <c r="D3357" s="5" t="s">
        <v>1336</v>
      </c>
      <c r="E3357" s="5" t="s">
        <v>2788</v>
      </c>
      <c r="F3357" s="5" t="s">
        <v>2758</v>
      </c>
      <c r="G3357" s="5">
        <v>1</v>
      </c>
      <c r="H3357" s="5" t="s">
        <v>2854</v>
      </c>
      <c r="I3357" s="5" t="str">
        <f>IF(INDEX(Manual_Review!$R$6:$R$238,U3357)="","",INDEX(Manual_Review!$R$6:$R$238,U3357))</f>
        <v/>
      </c>
      <c r="J3357" s="5" t="str">
        <f t="shared" si="104"/>
        <v>AI provisional</v>
      </c>
      <c r="K3357" s="5" t="str">
        <f t="shared" si="105"/>
        <v>Y</v>
      </c>
      <c r="L3357" s="5" t="s">
        <v>2437</v>
      </c>
      <c r="M3357" s="5" t="s">
        <v>10145</v>
      </c>
      <c r="N3357" s="5" t="s">
        <v>10146</v>
      </c>
      <c r="O3357" s="5" t="s">
        <v>3018</v>
      </c>
      <c r="P3357" s="5" t="s">
        <v>2992</v>
      </c>
      <c r="Q3357" s="11">
        <v>46306.5</v>
      </c>
      <c r="R3357" s="6"/>
      <c r="S3357" s="6"/>
      <c r="T3357" s="6"/>
      <c r="U3357" s="5">
        <f>MATCH(B3357,Manual_Review!$A$6:$A$238,0)</f>
        <v>210</v>
      </c>
      <c r="V3357" s="5" t="str">
        <f>IF(INDEX(Manual_Review!$G$6:$G$238,U3357)="","",INDEX(Manual_Review!$G$6:$G$238,U3357))</f>
        <v/>
      </c>
      <c r="W3357" s="11" t="str">
        <f>IF(INDEX(Manual_Review!$H$6:$H$238,U3357)="","",INDEX(Manual_Review!$H$6:$H$238,U3357))</f>
        <v/>
      </c>
      <c r="X3357" s="5" t="str">
        <f>IF(INDEX(Manual_Review!$I$6:$I$238,U3357)="","",INDEX(Manual_Review!$I$6:$I$238,U3357))</f>
        <v/>
      </c>
      <c r="Y3357" s="5" t="s">
        <v>2859</v>
      </c>
    </row>
    <row r="3358" spans="1:25" ht="25.5">
      <c r="A3358" s="5" t="s">
        <v>10147</v>
      </c>
      <c r="B3358" s="5" t="s">
        <v>2426</v>
      </c>
      <c r="C3358" s="5" t="s">
        <v>2427</v>
      </c>
      <c r="D3358" s="5" t="s">
        <v>1336</v>
      </c>
      <c r="E3358" s="5" t="s">
        <v>2789</v>
      </c>
      <c r="F3358" s="5" t="s">
        <v>2758</v>
      </c>
      <c r="G3358" s="5">
        <v>1</v>
      </c>
      <c r="H3358" s="5" t="s">
        <v>2854</v>
      </c>
      <c r="I3358" s="5" t="str">
        <f>IF(INDEX(Manual_Review!$S$6:$S$238,U3358)="","",INDEX(Manual_Review!$S$6:$S$238,U3358))</f>
        <v/>
      </c>
      <c r="J3358" s="5" t="str">
        <f t="shared" si="104"/>
        <v>AI provisional</v>
      </c>
      <c r="K3358" s="5" t="str">
        <f t="shared" si="105"/>
        <v>Y</v>
      </c>
      <c r="L3358" s="5" t="s">
        <v>2437</v>
      </c>
      <c r="M3358" s="5" t="s">
        <v>10148</v>
      </c>
      <c r="N3358" s="5" t="s">
        <v>10149</v>
      </c>
      <c r="O3358" s="5" t="s">
        <v>3022</v>
      </c>
      <c r="P3358" s="5" t="s">
        <v>2992</v>
      </c>
      <c r="Q3358" s="11">
        <v>46306.5</v>
      </c>
      <c r="R3358" s="6"/>
      <c r="S3358" s="6"/>
      <c r="T3358" s="6"/>
      <c r="U3358" s="5">
        <f>MATCH(B3358,Manual_Review!$A$6:$A$238,0)</f>
        <v>210</v>
      </c>
      <c r="V3358" s="5" t="str">
        <f>IF(INDEX(Manual_Review!$G$6:$G$238,U3358)="","",INDEX(Manual_Review!$G$6:$G$238,U3358))</f>
        <v/>
      </c>
      <c r="W3358" s="11" t="str">
        <f>IF(INDEX(Manual_Review!$H$6:$H$238,U3358)="","",INDEX(Manual_Review!$H$6:$H$238,U3358))</f>
        <v/>
      </c>
      <c r="X3358" s="5" t="str">
        <f>IF(INDEX(Manual_Review!$I$6:$I$238,U3358)="","",INDEX(Manual_Review!$I$6:$I$238,U3358))</f>
        <v/>
      </c>
      <c r="Y3358" s="5" t="s">
        <v>2859</v>
      </c>
    </row>
    <row r="3359" spans="1:25" ht="25.5">
      <c r="A3359" s="5" t="s">
        <v>10150</v>
      </c>
      <c r="B3359" s="5" t="s">
        <v>2426</v>
      </c>
      <c r="C3359" s="5" t="s">
        <v>2427</v>
      </c>
      <c r="D3359" s="5" t="s">
        <v>1336</v>
      </c>
      <c r="E3359" s="5" t="s">
        <v>2790</v>
      </c>
      <c r="F3359" s="5" t="s">
        <v>2760</v>
      </c>
      <c r="G3359" s="5">
        <v>1</v>
      </c>
      <c r="H3359" s="5" t="s">
        <v>2854</v>
      </c>
      <c r="I3359" s="5" t="str">
        <f>IF(INDEX(Manual_Review!$T$6:$T$238,U3359)="","",INDEX(Manual_Review!$T$6:$T$238,U3359))</f>
        <v/>
      </c>
      <c r="J3359" s="5" t="str">
        <f t="shared" si="104"/>
        <v>AI provisional</v>
      </c>
      <c r="K3359" s="5" t="str">
        <f t="shared" si="105"/>
        <v>Y</v>
      </c>
      <c r="L3359" s="5" t="s">
        <v>2437</v>
      </c>
      <c r="M3359" s="5" t="s">
        <v>10151</v>
      </c>
      <c r="N3359" s="5" t="s">
        <v>10152</v>
      </c>
      <c r="O3359" s="5" t="s">
        <v>3451</v>
      </c>
      <c r="P3359" s="5" t="s">
        <v>2992</v>
      </c>
      <c r="Q3359" s="11">
        <v>46306.5</v>
      </c>
      <c r="R3359" s="6"/>
      <c r="S3359" s="6"/>
      <c r="T3359" s="6"/>
      <c r="U3359" s="5">
        <f>MATCH(B3359,Manual_Review!$A$6:$A$238,0)</f>
        <v>210</v>
      </c>
      <c r="V3359" s="5" t="str">
        <f>IF(INDEX(Manual_Review!$G$6:$G$238,U3359)="","",INDEX(Manual_Review!$G$6:$G$238,U3359))</f>
        <v/>
      </c>
      <c r="W3359" s="11" t="str">
        <f>IF(INDEX(Manual_Review!$H$6:$H$238,U3359)="","",INDEX(Manual_Review!$H$6:$H$238,U3359))</f>
        <v/>
      </c>
      <c r="X3359" s="5" t="str">
        <f>IF(INDEX(Manual_Review!$I$6:$I$238,U3359)="","",INDEX(Manual_Review!$I$6:$I$238,U3359))</f>
        <v/>
      </c>
      <c r="Y3359" s="5" t="s">
        <v>2859</v>
      </c>
    </row>
    <row r="3360" spans="1:25" ht="25.5">
      <c r="A3360" s="5" t="s">
        <v>10153</v>
      </c>
      <c r="B3360" s="5" t="s">
        <v>2426</v>
      </c>
      <c r="C3360" s="5" t="s">
        <v>2427</v>
      </c>
      <c r="D3360" s="5" t="s">
        <v>1336</v>
      </c>
      <c r="E3360" s="5" t="s">
        <v>2791</v>
      </c>
      <c r="F3360" s="5" t="s">
        <v>2760</v>
      </c>
      <c r="G3360" s="5">
        <v>1</v>
      </c>
      <c r="H3360" s="5" t="s">
        <v>2864</v>
      </c>
      <c r="I3360" s="5" t="str">
        <f>IF(INDEX(Manual_Review!$U$6:$U$238,U3360)="","",INDEX(Manual_Review!$U$6:$U$238,U3360))</f>
        <v/>
      </c>
      <c r="J3360" s="5" t="str">
        <f t="shared" si="104"/>
        <v>AI provisional</v>
      </c>
      <c r="K3360" s="5" t="str">
        <f t="shared" si="105"/>
        <v>U</v>
      </c>
      <c r="L3360" s="5" t="s">
        <v>2437</v>
      </c>
      <c r="M3360" s="5" t="s">
        <v>10154</v>
      </c>
      <c r="N3360" s="5" t="s">
        <v>10155</v>
      </c>
      <c r="O3360" s="5" t="s">
        <v>3030</v>
      </c>
      <c r="P3360" s="5" t="s">
        <v>2992</v>
      </c>
      <c r="Q3360" s="11">
        <v>46306.5</v>
      </c>
      <c r="R3360" s="6"/>
      <c r="S3360" s="6"/>
      <c r="T3360" s="6"/>
      <c r="U3360" s="5">
        <f>MATCH(B3360,Manual_Review!$A$6:$A$238,0)</f>
        <v>210</v>
      </c>
      <c r="V3360" s="5" t="str">
        <f>IF(INDEX(Manual_Review!$G$6:$G$238,U3360)="","",INDEX(Manual_Review!$G$6:$G$238,U3360))</f>
        <v/>
      </c>
      <c r="W3360" s="11" t="str">
        <f>IF(INDEX(Manual_Review!$H$6:$H$238,U3360)="","",INDEX(Manual_Review!$H$6:$H$238,U3360))</f>
        <v/>
      </c>
      <c r="X3360" s="5" t="str">
        <f>IF(INDEX(Manual_Review!$I$6:$I$238,U3360)="","",INDEX(Manual_Review!$I$6:$I$238,U3360))</f>
        <v/>
      </c>
      <c r="Y3360" s="5" t="s">
        <v>2859</v>
      </c>
    </row>
    <row r="3361" spans="1:25" ht="25.5">
      <c r="A3361" s="5" t="s">
        <v>10156</v>
      </c>
      <c r="B3361" s="5" t="s">
        <v>2426</v>
      </c>
      <c r="C3361" s="5" t="s">
        <v>2427</v>
      </c>
      <c r="D3361" s="5" t="s">
        <v>1336</v>
      </c>
      <c r="E3361" s="5" t="s">
        <v>2792</v>
      </c>
      <c r="F3361" s="5" t="s">
        <v>2762</v>
      </c>
      <c r="G3361" s="5">
        <v>1</v>
      </c>
      <c r="H3361" s="5" t="s">
        <v>2854</v>
      </c>
      <c r="I3361" s="5" t="str">
        <f>IF(INDEX(Manual_Review!$V$6:$V$238,U3361)="","",INDEX(Manual_Review!$V$6:$V$238,U3361))</f>
        <v/>
      </c>
      <c r="J3361" s="5" t="str">
        <f t="shared" si="104"/>
        <v>AI provisional</v>
      </c>
      <c r="K3361" s="5" t="str">
        <f t="shared" si="105"/>
        <v>Y</v>
      </c>
      <c r="L3361" s="5" t="s">
        <v>2437</v>
      </c>
      <c r="M3361" s="5" t="s">
        <v>10157</v>
      </c>
      <c r="N3361" s="5" t="s">
        <v>10158</v>
      </c>
      <c r="O3361" s="5" t="s">
        <v>3034</v>
      </c>
      <c r="P3361" s="5" t="s">
        <v>2992</v>
      </c>
      <c r="Q3361" s="11">
        <v>46306.5</v>
      </c>
      <c r="R3361" s="6"/>
      <c r="S3361" s="6"/>
      <c r="T3361" s="6"/>
      <c r="U3361" s="5">
        <f>MATCH(B3361,Manual_Review!$A$6:$A$238,0)</f>
        <v>210</v>
      </c>
      <c r="V3361" s="5" t="str">
        <f>IF(INDEX(Manual_Review!$G$6:$G$238,U3361)="","",INDEX(Manual_Review!$G$6:$G$238,U3361))</f>
        <v/>
      </c>
      <c r="W3361" s="11" t="str">
        <f>IF(INDEX(Manual_Review!$H$6:$H$238,U3361)="","",INDEX(Manual_Review!$H$6:$H$238,U3361))</f>
        <v/>
      </c>
      <c r="X3361" s="5" t="str">
        <f>IF(INDEX(Manual_Review!$I$6:$I$238,U3361)="","",INDEX(Manual_Review!$I$6:$I$238,U3361))</f>
        <v/>
      </c>
      <c r="Y3361" s="5" t="s">
        <v>2859</v>
      </c>
    </row>
    <row r="3362" spans="1:25" ht="38.25">
      <c r="A3362" s="5" t="s">
        <v>10159</v>
      </c>
      <c r="B3362" s="5" t="s">
        <v>2426</v>
      </c>
      <c r="C3362" s="5" t="s">
        <v>2427</v>
      </c>
      <c r="D3362" s="5" t="s">
        <v>1336</v>
      </c>
      <c r="E3362" s="5" t="s">
        <v>2793</v>
      </c>
      <c r="F3362" s="5" t="s">
        <v>2762</v>
      </c>
      <c r="G3362" s="5">
        <v>1</v>
      </c>
      <c r="H3362" s="5" t="s">
        <v>2854</v>
      </c>
      <c r="I3362" s="5" t="str">
        <f>IF(INDEX(Manual_Review!$W$6:$W$238,U3362)="","",INDEX(Manual_Review!$W$6:$W$238,U3362))</f>
        <v/>
      </c>
      <c r="J3362" s="5" t="str">
        <f t="shared" si="104"/>
        <v>AI provisional</v>
      </c>
      <c r="K3362" s="5" t="str">
        <f t="shared" si="105"/>
        <v>Y</v>
      </c>
      <c r="L3362" s="5" t="s">
        <v>2437</v>
      </c>
      <c r="M3362" s="5" t="s">
        <v>10160</v>
      </c>
      <c r="N3362" s="5" t="s">
        <v>10161</v>
      </c>
      <c r="O3362" s="5" t="s">
        <v>3038</v>
      </c>
      <c r="P3362" s="5" t="s">
        <v>2992</v>
      </c>
      <c r="Q3362" s="11">
        <v>46306.5</v>
      </c>
      <c r="R3362" s="6"/>
      <c r="S3362" s="6"/>
      <c r="T3362" s="6"/>
      <c r="U3362" s="5">
        <f>MATCH(B3362,Manual_Review!$A$6:$A$238,0)</f>
        <v>210</v>
      </c>
      <c r="V3362" s="5" t="str">
        <f>IF(INDEX(Manual_Review!$G$6:$G$238,U3362)="","",INDEX(Manual_Review!$G$6:$G$238,U3362))</f>
        <v/>
      </c>
      <c r="W3362" s="11" t="str">
        <f>IF(INDEX(Manual_Review!$H$6:$H$238,U3362)="","",INDEX(Manual_Review!$H$6:$H$238,U3362))</f>
        <v/>
      </c>
      <c r="X3362" s="5" t="str">
        <f>IF(INDEX(Manual_Review!$I$6:$I$238,U3362)="","",INDEX(Manual_Review!$I$6:$I$238,U3362))</f>
        <v/>
      </c>
      <c r="Y3362" s="5" t="s">
        <v>2859</v>
      </c>
    </row>
    <row r="3363" spans="1:25" ht="25.5">
      <c r="A3363" s="5" t="s">
        <v>10162</v>
      </c>
      <c r="B3363" s="5" t="s">
        <v>2426</v>
      </c>
      <c r="C3363" s="5" t="s">
        <v>2427</v>
      </c>
      <c r="D3363" s="5" t="s">
        <v>1336</v>
      </c>
      <c r="E3363" s="5" t="s">
        <v>2794</v>
      </c>
      <c r="F3363" s="5" t="s">
        <v>2764</v>
      </c>
      <c r="G3363" s="5">
        <v>1</v>
      </c>
      <c r="H3363" s="5" t="s">
        <v>2854</v>
      </c>
      <c r="I3363" s="5" t="str">
        <f>IF(INDEX(Manual_Review!$X$6:$X$238,U3363)="","",INDEX(Manual_Review!$X$6:$X$238,U3363))</f>
        <v/>
      </c>
      <c r="J3363" s="5" t="str">
        <f t="shared" si="104"/>
        <v>AI provisional</v>
      </c>
      <c r="K3363" s="5" t="str">
        <f t="shared" si="105"/>
        <v>Y</v>
      </c>
      <c r="L3363" s="5" t="s">
        <v>2437</v>
      </c>
      <c r="M3363" s="5" t="s">
        <v>10163</v>
      </c>
      <c r="N3363" s="5" t="s">
        <v>10164</v>
      </c>
      <c r="O3363" s="5" t="s">
        <v>3042</v>
      </c>
      <c r="P3363" s="5" t="s">
        <v>2992</v>
      </c>
      <c r="Q3363" s="11">
        <v>46306.5</v>
      </c>
      <c r="R3363" s="6"/>
      <c r="S3363" s="6"/>
      <c r="T3363" s="6"/>
      <c r="U3363" s="5">
        <f>MATCH(B3363,Manual_Review!$A$6:$A$238,0)</f>
        <v>210</v>
      </c>
      <c r="V3363" s="5" t="str">
        <f>IF(INDEX(Manual_Review!$G$6:$G$238,U3363)="","",INDEX(Manual_Review!$G$6:$G$238,U3363))</f>
        <v/>
      </c>
      <c r="W3363" s="11" t="str">
        <f>IF(INDEX(Manual_Review!$H$6:$H$238,U3363)="","",INDEX(Manual_Review!$H$6:$H$238,U3363))</f>
        <v/>
      </c>
      <c r="X3363" s="5" t="str">
        <f>IF(INDEX(Manual_Review!$I$6:$I$238,U3363)="","",INDEX(Manual_Review!$I$6:$I$238,U3363))</f>
        <v/>
      </c>
      <c r="Y3363" s="5" t="s">
        <v>2859</v>
      </c>
    </row>
    <row r="3364" spans="1:25" ht="25.5">
      <c r="A3364" s="5" t="s">
        <v>10165</v>
      </c>
      <c r="B3364" s="5" t="s">
        <v>2426</v>
      </c>
      <c r="C3364" s="5" t="s">
        <v>2427</v>
      </c>
      <c r="D3364" s="5" t="s">
        <v>1336</v>
      </c>
      <c r="E3364" s="5" t="s">
        <v>2795</v>
      </c>
      <c r="F3364" s="5" t="s">
        <v>2764</v>
      </c>
      <c r="G3364" s="5">
        <v>1</v>
      </c>
      <c r="H3364" s="5" t="s">
        <v>2864</v>
      </c>
      <c r="I3364" s="5" t="str">
        <f>IF(INDEX(Manual_Review!$Y$6:$Y$238,U3364)="","",INDEX(Manual_Review!$Y$6:$Y$238,U3364))</f>
        <v/>
      </c>
      <c r="J3364" s="5" t="str">
        <f t="shared" si="104"/>
        <v>AI provisional</v>
      </c>
      <c r="K3364" s="5" t="str">
        <f t="shared" si="105"/>
        <v>U</v>
      </c>
      <c r="L3364" s="5" t="s">
        <v>2437</v>
      </c>
      <c r="M3364" s="5" t="s">
        <v>10166</v>
      </c>
      <c r="N3364" s="5" t="s">
        <v>10167</v>
      </c>
      <c r="O3364" s="5" t="s">
        <v>3469</v>
      </c>
      <c r="P3364" s="5" t="s">
        <v>2992</v>
      </c>
      <c r="Q3364" s="11">
        <v>46306.5</v>
      </c>
      <c r="R3364" s="6"/>
      <c r="S3364" s="6"/>
      <c r="T3364" s="6"/>
      <c r="U3364" s="5">
        <f>MATCH(B3364,Manual_Review!$A$6:$A$238,0)</f>
        <v>210</v>
      </c>
      <c r="V3364" s="5" t="str">
        <f>IF(INDEX(Manual_Review!$G$6:$G$238,U3364)="","",INDEX(Manual_Review!$G$6:$G$238,U3364))</f>
        <v/>
      </c>
      <c r="W3364" s="11" t="str">
        <f>IF(INDEX(Manual_Review!$H$6:$H$238,U3364)="","",INDEX(Manual_Review!$H$6:$H$238,U3364))</f>
        <v/>
      </c>
      <c r="X3364" s="5" t="str">
        <f>IF(INDEX(Manual_Review!$I$6:$I$238,U3364)="","",INDEX(Manual_Review!$I$6:$I$238,U3364))</f>
        <v/>
      </c>
      <c r="Y3364" s="5" t="s">
        <v>2859</v>
      </c>
    </row>
    <row r="3365" spans="1:25" ht="38.25">
      <c r="A3365" s="5" t="s">
        <v>10168</v>
      </c>
      <c r="B3365" s="5" t="s">
        <v>2426</v>
      </c>
      <c r="C3365" s="5" t="s">
        <v>2427</v>
      </c>
      <c r="D3365" s="5" t="s">
        <v>1336</v>
      </c>
      <c r="E3365" s="5" t="s">
        <v>2796</v>
      </c>
      <c r="F3365" s="5" t="s">
        <v>2764</v>
      </c>
      <c r="G3365" s="5">
        <v>1</v>
      </c>
      <c r="H3365" s="5" t="s">
        <v>2864</v>
      </c>
      <c r="I3365" s="5" t="str">
        <f>IF(INDEX(Manual_Review!$Z$6:$Z$238,U3365)="","",INDEX(Manual_Review!$Z$6:$Z$238,U3365))</f>
        <v/>
      </c>
      <c r="J3365" s="5" t="str">
        <f t="shared" si="104"/>
        <v>AI provisional</v>
      </c>
      <c r="K3365" s="5" t="str">
        <f t="shared" si="105"/>
        <v>U</v>
      </c>
      <c r="L3365" s="5" t="s">
        <v>2437</v>
      </c>
      <c r="M3365" s="5" t="s">
        <v>10169</v>
      </c>
      <c r="N3365" s="5" t="s">
        <v>10170</v>
      </c>
      <c r="O3365" s="5" t="s">
        <v>3050</v>
      </c>
      <c r="P3365" s="5" t="s">
        <v>2992</v>
      </c>
      <c r="Q3365" s="11">
        <v>46306.5</v>
      </c>
      <c r="R3365" s="6"/>
      <c r="S3365" s="6"/>
      <c r="T3365" s="6"/>
      <c r="U3365" s="5">
        <f>MATCH(B3365,Manual_Review!$A$6:$A$238,0)</f>
        <v>210</v>
      </c>
      <c r="V3365" s="5" t="str">
        <f>IF(INDEX(Manual_Review!$G$6:$G$238,U3365)="","",INDEX(Manual_Review!$G$6:$G$238,U3365))</f>
        <v/>
      </c>
      <c r="W3365" s="11" t="str">
        <f>IF(INDEX(Manual_Review!$H$6:$H$238,U3365)="","",INDEX(Manual_Review!$H$6:$H$238,U3365))</f>
        <v/>
      </c>
      <c r="X3365" s="5" t="str">
        <f>IF(INDEX(Manual_Review!$I$6:$I$238,U3365)="","",INDEX(Manual_Review!$I$6:$I$238,U3365))</f>
        <v/>
      </c>
      <c r="Y3365" s="5" t="s">
        <v>2859</v>
      </c>
    </row>
    <row r="3366" spans="1:25" ht="25.5">
      <c r="A3366" s="5" t="s">
        <v>10171</v>
      </c>
      <c r="B3366" s="5" t="s">
        <v>2439</v>
      </c>
      <c r="C3366" s="5" t="s">
        <v>2440</v>
      </c>
      <c r="D3366" s="5" t="s">
        <v>118</v>
      </c>
      <c r="E3366" s="5" t="s">
        <v>2781</v>
      </c>
      <c r="F3366" s="5" t="s">
        <v>2754</v>
      </c>
      <c r="G3366" s="5">
        <v>1</v>
      </c>
      <c r="H3366" s="5" t="s">
        <v>2854</v>
      </c>
      <c r="I3366" s="5" t="str">
        <f>IF(INDEX(Manual_Review!$K$6:$K$238,U3366)="","",INDEX(Manual_Review!$K$6:$K$238,U3366))</f>
        <v/>
      </c>
      <c r="J3366" s="5" t="str">
        <f t="shared" si="104"/>
        <v>AI provisional</v>
      </c>
      <c r="K3366" s="5" t="str">
        <f t="shared" si="105"/>
        <v>Y</v>
      </c>
      <c r="L3366" s="5" t="s">
        <v>2449</v>
      </c>
      <c r="M3366" s="5" t="s">
        <v>10172</v>
      </c>
      <c r="N3366" s="5" t="s">
        <v>10173</v>
      </c>
      <c r="O3366" s="5" t="s">
        <v>2991</v>
      </c>
      <c r="P3366" s="5" t="s">
        <v>2992</v>
      </c>
      <c r="Q3366" s="11">
        <v>46306.5</v>
      </c>
      <c r="R3366" s="6"/>
      <c r="S3366" s="6"/>
      <c r="T3366" s="6"/>
      <c r="U3366" s="5">
        <f>MATCH(B3366,Manual_Review!$A$6:$A$238,0)</f>
        <v>211</v>
      </c>
      <c r="V3366" s="5" t="str">
        <f>IF(INDEX(Manual_Review!$G$6:$G$238,U3366)="","",INDEX(Manual_Review!$G$6:$G$238,U3366))</f>
        <v/>
      </c>
      <c r="W3366" s="11" t="str">
        <f>IF(INDEX(Manual_Review!$H$6:$H$238,U3366)="","",INDEX(Manual_Review!$H$6:$H$238,U3366))</f>
        <v/>
      </c>
      <c r="X3366" s="5" t="str">
        <f>IF(INDEX(Manual_Review!$I$6:$I$238,U3366)="","",INDEX(Manual_Review!$I$6:$I$238,U3366))</f>
        <v/>
      </c>
      <c r="Y3366" s="5" t="s">
        <v>2859</v>
      </c>
    </row>
    <row r="3367" spans="1:25" ht="25.5">
      <c r="A3367" s="5" t="s">
        <v>10174</v>
      </c>
      <c r="B3367" s="5" t="s">
        <v>2439</v>
      </c>
      <c r="C3367" s="5" t="s">
        <v>2440</v>
      </c>
      <c r="D3367" s="5" t="s">
        <v>118</v>
      </c>
      <c r="E3367" s="5" t="s">
        <v>2782</v>
      </c>
      <c r="F3367" s="5" t="s">
        <v>2754</v>
      </c>
      <c r="G3367" s="5">
        <v>1</v>
      </c>
      <c r="H3367" s="5" t="s">
        <v>2864</v>
      </c>
      <c r="I3367" s="5" t="str">
        <f>IF(INDEX(Manual_Review!$L$6:$L$238,U3367)="","",INDEX(Manual_Review!$L$6:$L$238,U3367))</f>
        <v/>
      </c>
      <c r="J3367" s="5" t="str">
        <f t="shared" si="104"/>
        <v>AI provisional</v>
      </c>
      <c r="K3367" s="5" t="str">
        <f t="shared" si="105"/>
        <v>U</v>
      </c>
      <c r="L3367" s="5" t="s">
        <v>2449</v>
      </c>
      <c r="M3367" s="5" t="s">
        <v>10175</v>
      </c>
      <c r="N3367" s="5" t="s">
        <v>10176</v>
      </c>
      <c r="O3367" s="5" t="s">
        <v>8572</v>
      </c>
      <c r="P3367" s="5" t="s">
        <v>2992</v>
      </c>
      <c r="Q3367" s="11">
        <v>46306.5</v>
      </c>
      <c r="R3367" s="6"/>
      <c r="S3367" s="6"/>
      <c r="T3367" s="6"/>
      <c r="U3367" s="5">
        <f>MATCH(B3367,Manual_Review!$A$6:$A$238,0)</f>
        <v>211</v>
      </c>
      <c r="V3367" s="5" t="str">
        <f>IF(INDEX(Manual_Review!$G$6:$G$238,U3367)="","",INDEX(Manual_Review!$G$6:$G$238,U3367))</f>
        <v/>
      </c>
      <c r="W3367" s="11" t="str">
        <f>IF(INDEX(Manual_Review!$H$6:$H$238,U3367)="","",INDEX(Manual_Review!$H$6:$H$238,U3367))</f>
        <v/>
      </c>
      <c r="X3367" s="5" t="str">
        <f>IF(INDEX(Manual_Review!$I$6:$I$238,U3367)="","",INDEX(Manual_Review!$I$6:$I$238,U3367))</f>
        <v/>
      </c>
      <c r="Y3367" s="5" t="s">
        <v>2859</v>
      </c>
    </row>
    <row r="3368" spans="1:25" ht="25.5">
      <c r="A3368" s="5" t="s">
        <v>10177</v>
      </c>
      <c r="B3368" s="5" t="s">
        <v>2439</v>
      </c>
      <c r="C3368" s="5" t="s">
        <v>2440</v>
      </c>
      <c r="D3368" s="5" t="s">
        <v>118</v>
      </c>
      <c r="E3368" s="5" t="s">
        <v>2783</v>
      </c>
      <c r="F3368" s="5" t="s">
        <v>2754</v>
      </c>
      <c r="G3368" s="5">
        <v>1</v>
      </c>
      <c r="H3368" s="5" t="s">
        <v>2864</v>
      </c>
      <c r="I3368" s="5" t="str">
        <f>IF(INDEX(Manual_Review!$M$6:$M$238,U3368)="","",INDEX(Manual_Review!$M$6:$M$238,U3368))</f>
        <v/>
      </c>
      <c r="J3368" s="5" t="str">
        <f t="shared" si="104"/>
        <v>AI provisional</v>
      </c>
      <c r="K3368" s="5" t="str">
        <f t="shared" si="105"/>
        <v>U</v>
      </c>
      <c r="L3368" s="5" t="s">
        <v>2449</v>
      </c>
      <c r="M3368" s="5" t="s">
        <v>10178</v>
      </c>
      <c r="N3368" s="5" t="s">
        <v>10179</v>
      </c>
      <c r="O3368" s="5" t="s">
        <v>3808</v>
      </c>
      <c r="P3368" s="5" t="s">
        <v>2992</v>
      </c>
      <c r="Q3368" s="11">
        <v>46306.5</v>
      </c>
      <c r="R3368" s="6"/>
      <c r="S3368" s="6"/>
      <c r="T3368" s="6"/>
      <c r="U3368" s="5">
        <f>MATCH(B3368,Manual_Review!$A$6:$A$238,0)</f>
        <v>211</v>
      </c>
      <c r="V3368" s="5" t="str">
        <f>IF(INDEX(Manual_Review!$G$6:$G$238,U3368)="","",INDEX(Manual_Review!$G$6:$G$238,U3368))</f>
        <v/>
      </c>
      <c r="W3368" s="11" t="str">
        <f>IF(INDEX(Manual_Review!$H$6:$H$238,U3368)="","",INDEX(Manual_Review!$H$6:$H$238,U3368))</f>
        <v/>
      </c>
      <c r="X3368" s="5" t="str">
        <f>IF(INDEX(Manual_Review!$I$6:$I$238,U3368)="","",INDEX(Manual_Review!$I$6:$I$238,U3368))</f>
        <v/>
      </c>
      <c r="Y3368" s="5" t="s">
        <v>2859</v>
      </c>
    </row>
    <row r="3369" spans="1:25" ht="25.5">
      <c r="A3369" s="5" t="s">
        <v>10180</v>
      </c>
      <c r="B3369" s="5" t="s">
        <v>2439</v>
      </c>
      <c r="C3369" s="5" t="s">
        <v>2440</v>
      </c>
      <c r="D3369" s="5" t="s">
        <v>118</v>
      </c>
      <c r="E3369" s="5" t="s">
        <v>2784</v>
      </c>
      <c r="F3369" s="5" t="s">
        <v>2756</v>
      </c>
      <c r="G3369" s="5">
        <v>1</v>
      </c>
      <c r="H3369" s="5" t="s">
        <v>2864</v>
      </c>
      <c r="I3369" s="5" t="str">
        <f>IF(INDEX(Manual_Review!$N$6:$N$238,U3369)="","",INDEX(Manual_Review!$N$6:$N$238,U3369))</f>
        <v/>
      </c>
      <c r="J3369" s="5" t="str">
        <f t="shared" si="104"/>
        <v>AI provisional</v>
      </c>
      <c r="K3369" s="5" t="str">
        <f t="shared" si="105"/>
        <v>U</v>
      </c>
      <c r="L3369" s="5" t="s">
        <v>2449</v>
      </c>
      <c r="M3369" s="5" t="s">
        <v>10181</v>
      </c>
      <c r="N3369" s="5" t="s">
        <v>10182</v>
      </c>
      <c r="O3369" s="5" t="s">
        <v>9214</v>
      </c>
      <c r="P3369" s="5" t="s">
        <v>2992</v>
      </c>
      <c r="Q3369" s="11">
        <v>46306.5</v>
      </c>
      <c r="R3369" s="6"/>
      <c r="S3369" s="6"/>
      <c r="T3369" s="6"/>
      <c r="U3369" s="5">
        <f>MATCH(B3369,Manual_Review!$A$6:$A$238,0)</f>
        <v>211</v>
      </c>
      <c r="V3369" s="5" t="str">
        <f>IF(INDEX(Manual_Review!$G$6:$G$238,U3369)="","",INDEX(Manual_Review!$G$6:$G$238,U3369))</f>
        <v/>
      </c>
      <c r="W3369" s="11" t="str">
        <f>IF(INDEX(Manual_Review!$H$6:$H$238,U3369)="","",INDEX(Manual_Review!$H$6:$H$238,U3369))</f>
        <v/>
      </c>
      <c r="X3369" s="5" t="str">
        <f>IF(INDEX(Manual_Review!$I$6:$I$238,U3369)="","",INDEX(Manual_Review!$I$6:$I$238,U3369))</f>
        <v/>
      </c>
      <c r="Y3369" s="5" t="s">
        <v>2859</v>
      </c>
    </row>
    <row r="3370" spans="1:25" ht="25.5">
      <c r="A3370" s="5" t="s">
        <v>10183</v>
      </c>
      <c r="B3370" s="5" t="s">
        <v>2439</v>
      </c>
      <c r="C3370" s="5" t="s">
        <v>2440</v>
      </c>
      <c r="D3370" s="5" t="s">
        <v>118</v>
      </c>
      <c r="E3370" s="5" t="s">
        <v>2785</v>
      </c>
      <c r="F3370" s="5" t="s">
        <v>2756</v>
      </c>
      <c r="G3370" s="5">
        <v>1</v>
      </c>
      <c r="H3370" s="5" t="s">
        <v>2864</v>
      </c>
      <c r="I3370" s="5" t="str">
        <f>IF(INDEX(Manual_Review!$O$6:$O$238,U3370)="","",INDEX(Manual_Review!$O$6:$O$238,U3370))</f>
        <v/>
      </c>
      <c r="J3370" s="5" t="str">
        <f t="shared" si="104"/>
        <v>AI provisional</v>
      </c>
      <c r="K3370" s="5" t="str">
        <f t="shared" si="105"/>
        <v>U</v>
      </c>
      <c r="L3370" s="5" t="s">
        <v>2449</v>
      </c>
      <c r="M3370" s="5" t="s">
        <v>10181</v>
      </c>
      <c r="N3370" s="5" t="s">
        <v>10182</v>
      </c>
      <c r="O3370" s="5" t="s">
        <v>3006</v>
      </c>
      <c r="P3370" s="5" t="s">
        <v>2992</v>
      </c>
      <c r="Q3370" s="11">
        <v>46306.5</v>
      </c>
      <c r="R3370" s="6"/>
      <c r="S3370" s="6"/>
      <c r="T3370" s="6"/>
      <c r="U3370" s="5">
        <f>MATCH(B3370,Manual_Review!$A$6:$A$238,0)</f>
        <v>211</v>
      </c>
      <c r="V3370" s="5" t="str">
        <f>IF(INDEX(Manual_Review!$G$6:$G$238,U3370)="","",INDEX(Manual_Review!$G$6:$G$238,U3370))</f>
        <v/>
      </c>
      <c r="W3370" s="11" t="str">
        <f>IF(INDEX(Manual_Review!$H$6:$H$238,U3370)="","",INDEX(Manual_Review!$H$6:$H$238,U3370))</f>
        <v/>
      </c>
      <c r="X3370" s="5" t="str">
        <f>IF(INDEX(Manual_Review!$I$6:$I$238,U3370)="","",INDEX(Manual_Review!$I$6:$I$238,U3370))</f>
        <v/>
      </c>
      <c r="Y3370" s="5" t="s">
        <v>2859</v>
      </c>
    </row>
    <row r="3371" spans="1:25" ht="25.5">
      <c r="A3371" s="5" t="s">
        <v>10184</v>
      </c>
      <c r="B3371" s="5" t="s">
        <v>2439</v>
      </c>
      <c r="C3371" s="5" t="s">
        <v>2440</v>
      </c>
      <c r="D3371" s="5" t="s">
        <v>118</v>
      </c>
      <c r="E3371" s="5" t="s">
        <v>2786</v>
      </c>
      <c r="F3371" s="5" t="s">
        <v>2756</v>
      </c>
      <c r="G3371" s="5">
        <v>1</v>
      </c>
      <c r="H3371" s="5" t="s">
        <v>2864</v>
      </c>
      <c r="I3371" s="5" t="str">
        <f>IF(INDEX(Manual_Review!$P$6:$P$238,U3371)="","",INDEX(Manual_Review!$P$6:$P$238,U3371))</f>
        <v/>
      </c>
      <c r="J3371" s="5" t="str">
        <f t="shared" si="104"/>
        <v>AI provisional</v>
      </c>
      <c r="K3371" s="5" t="str">
        <f t="shared" si="105"/>
        <v>U</v>
      </c>
      <c r="L3371" s="5" t="s">
        <v>2449</v>
      </c>
      <c r="M3371" s="5" t="s">
        <v>10185</v>
      </c>
      <c r="N3371" s="5" t="s">
        <v>10186</v>
      </c>
      <c r="O3371" s="5" t="s">
        <v>3010</v>
      </c>
      <c r="P3371" s="5" t="s">
        <v>2992</v>
      </c>
      <c r="Q3371" s="11">
        <v>46306.5</v>
      </c>
      <c r="R3371" s="6"/>
      <c r="S3371" s="6"/>
      <c r="T3371" s="6"/>
      <c r="U3371" s="5">
        <f>MATCH(B3371,Manual_Review!$A$6:$A$238,0)</f>
        <v>211</v>
      </c>
      <c r="V3371" s="5" t="str">
        <f>IF(INDEX(Manual_Review!$G$6:$G$238,U3371)="","",INDEX(Manual_Review!$G$6:$G$238,U3371))</f>
        <v/>
      </c>
      <c r="W3371" s="11" t="str">
        <f>IF(INDEX(Manual_Review!$H$6:$H$238,U3371)="","",INDEX(Manual_Review!$H$6:$H$238,U3371))</f>
        <v/>
      </c>
      <c r="X3371" s="5" t="str">
        <f>IF(INDEX(Manual_Review!$I$6:$I$238,U3371)="","",INDEX(Manual_Review!$I$6:$I$238,U3371))</f>
        <v/>
      </c>
      <c r="Y3371" s="5" t="s">
        <v>2859</v>
      </c>
    </row>
    <row r="3372" spans="1:25" ht="25.5">
      <c r="A3372" s="5" t="s">
        <v>10187</v>
      </c>
      <c r="B3372" s="5" t="s">
        <v>2439</v>
      </c>
      <c r="C3372" s="5" t="s">
        <v>2440</v>
      </c>
      <c r="D3372" s="5" t="s">
        <v>118</v>
      </c>
      <c r="E3372" s="5" t="s">
        <v>2787</v>
      </c>
      <c r="F3372" s="5" t="s">
        <v>2758</v>
      </c>
      <c r="G3372" s="5">
        <v>1</v>
      </c>
      <c r="H3372" s="5" t="s">
        <v>2864</v>
      </c>
      <c r="I3372" s="5" t="str">
        <f>IF(INDEX(Manual_Review!$Q$6:$Q$238,U3372)="","",INDEX(Manual_Review!$Q$6:$Q$238,U3372))</f>
        <v/>
      </c>
      <c r="J3372" s="5" t="str">
        <f t="shared" si="104"/>
        <v>AI provisional</v>
      </c>
      <c r="K3372" s="5" t="str">
        <f t="shared" si="105"/>
        <v>U</v>
      </c>
      <c r="L3372" s="5" t="s">
        <v>2449</v>
      </c>
      <c r="M3372" s="5" t="s">
        <v>10188</v>
      </c>
      <c r="N3372" s="5" t="s">
        <v>10189</v>
      </c>
      <c r="O3372" s="5" t="s">
        <v>3014</v>
      </c>
      <c r="P3372" s="5" t="s">
        <v>2992</v>
      </c>
      <c r="Q3372" s="11">
        <v>46306.5</v>
      </c>
      <c r="R3372" s="6"/>
      <c r="S3372" s="6"/>
      <c r="T3372" s="6"/>
      <c r="U3372" s="5">
        <f>MATCH(B3372,Manual_Review!$A$6:$A$238,0)</f>
        <v>211</v>
      </c>
      <c r="V3372" s="5" t="str">
        <f>IF(INDEX(Manual_Review!$G$6:$G$238,U3372)="","",INDEX(Manual_Review!$G$6:$G$238,U3372))</f>
        <v/>
      </c>
      <c r="W3372" s="11" t="str">
        <f>IF(INDEX(Manual_Review!$H$6:$H$238,U3372)="","",INDEX(Manual_Review!$H$6:$H$238,U3372))</f>
        <v/>
      </c>
      <c r="X3372" s="5" t="str">
        <f>IF(INDEX(Manual_Review!$I$6:$I$238,U3372)="","",INDEX(Manual_Review!$I$6:$I$238,U3372))</f>
        <v/>
      </c>
      <c r="Y3372" s="5" t="s">
        <v>2859</v>
      </c>
    </row>
    <row r="3373" spans="1:25" ht="38.25">
      <c r="A3373" s="5" t="s">
        <v>10190</v>
      </c>
      <c r="B3373" s="5" t="s">
        <v>2439</v>
      </c>
      <c r="C3373" s="5" t="s">
        <v>2440</v>
      </c>
      <c r="D3373" s="5" t="s">
        <v>118</v>
      </c>
      <c r="E3373" s="5" t="s">
        <v>2788</v>
      </c>
      <c r="F3373" s="5" t="s">
        <v>2758</v>
      </c>
      <c r="G3373" s="5">
        <v>1</v>
      </c>
      <c r="H3373" s="5" t="s">
        <v>2864</v>
      </c>
      <c r="I3373" s="5" t="str">
        <f>IF(INDEX(Manual_Review!$R$6:$R$238,U3373)="","",INDEX(Manual_Review!$R$6:$R$238,U3373))</f>
        <v/>
      </c>
      <c r="J3373" s="5" t="str">
        <f t="shared" si="104"/>
        <v>AI provisional</v>
      </c>
      <c r="K3373" s="5" t="str">
        <f t="shared" si="105"/>
        <v>U</v>
      </c>
      <c r="L3373" s="5" t="s">
        <v>2449</v>
      </c>
      <c r="M3373" s="5" t="s">
        <v>10191</v>
      </c>
      <c r="N3373" s="5" t="s">
        <v>10192</v>
      </c>
      <c r="O3373" s="5" t="s">
        <v>9225</v>
      </c>
      <c r="P3373" s="5" t="s">
        <v>2992</v>
      </c>
      <c r="Q3373" s="11">
        <v>46306.5</v>
      </c>
      <c r="R3373" s="6"/>
      <c r="S3373" s="6"/>
      <c r="T3373" s="6"/>
      <c r="U3373" s="5">
        <f>MATCH(B3373,Manual_Review!$A$6:$A$238,0)</f>
        <v>211</v>
      </c>
      <c r="V3373" s="5" t="str">
        <f>IF(INDEX(Manual_Review!$G$6:$G$238,U3373)="","",INDEX(Manual_Review!$G$6:$G$238,U3373))</f>
        <v/>
      </c>
      <c r="W3373" s="11" t="str">
        <f>IF(INDEX(Manual_Review!$H$6:$H$238,U3373)="","",INDEX(Manual_Review!$H$6:$H$238,U3373))</f>
        <v/>
      </c>
      <c r="X3373" s="5" t="str">
        <f>IF(INDEX(Manual_Review!$I$6:$I$238,U3373)="","",INDEX(Manual_Review!$I$6:$I$238,U3373))</f>
        <v/>
      </c>
      <c r="Y3373" s="5" t="s">
        <v>2859</v>
      </c>
    </row>
    <row r="3374" spans="1:25" ht="25.5">
      <c r="A3374" s="5" t="s">
        <v>10193</v>
      </c>
      <c r="B3374" s="5" t="s">
        <v>2439</v>
      </c>
      <c r="C3374" s="5" t="s">
        <v>2440</v>
      </c>
      <c r="D3374" s="5" t="s">
        <v>118</v>
      </c>
      <c r="E3374" s="5" t="s">
        <v>2789</v>
      </c>
      <c r="F3374" s="5" t="s">
        <v>2758</v>
      </c>
      <c r="G3374" s="5">
        <v>1</v>
      </c>
      <c r="H3374" s="5" t="s">
        <v>2864</v>
      </c>
      <c r="I3374" s="5" t="str">
        <f>IF(INDEX(Manual_Review!$S$6:$S$238,U3374)="","",INDEX(Manual_Review!$S$6:$S$238,U3374))</f>
        <v/>
      </c>
      <c r="J3374" s="5" t="str">
        <f t="shared" si="104"/>
        <v>AI provisional</v>
      </c>
      <c r="K3374" s="5" t="str">
        <f t="shared" si="105"/>
        <v>U</v>
      </c>
      <c r="L3374" s="5" t="s">
        <v>2449</v>
      </c>
      <c r="M3374" s="5" t="s">
        <v>10194</v>
      </c>
      <c r="N3374" s="5" t="s">
        <v>10195</v>
      </c>
      <c r="O3374" s="5" t="s">
        <v>3447</v>
      </c>
      <c r="P3374" s="5" t="s">
        <v>2992</v>
      </c>
      <c r="Q3374" s="11">
        <v>46306.5</v>
      </c>
      <c r="R3374" s="6"/>
      <c r="S3374" s="6"/>
      <c r="T3374" s="6"/>
      <c r="U3374" s="5">
        <f>MATCH(B3374,Manual_Review!$A$6:$A$238,0)</f>
        <v>211</v>
      </c>
      <c r="V3374" s="5" t="str">
        <f>IF(INDEX(Manual_Review!$G$6:$G$238,U3374)="","",INDEX(Manual_Review!$G$6:$G$238,U3374))</f>
        <v/>
      </c>
      <c r="W3374" s="11" t="str">
        <f>IF(INDEX(Manual_Review!$H$6:$H$238,U3374)="","",INDEX(Manual_Review!$H$6:$H$238,U3374))</f>
        <v/>
      </c>
      <c r="X3374" s="5" t="str">
        <f>IF(INDEX(Manual_Review!$I$6:$I$238,U3374)="","",INDEX(Manual_Review!$I$6:$I$238,U3374))</f>
        <v/>
      </c>
      <c r="Y3374" s="5" t="s">
        <v>2859</v>
      </c>
    </row>
    <row r="3375" spans="1:25" ht="25.5">
      <c r="A3375" s="5" t="s">
        <v>10196</v>
      </c>
      <c r="B3375" s="5" t="s">
        <v>2439</v>
      </c>
      <c r="C3375" s="5" t="s">
        <v>2440</v>
      </c>
      <c r="D3375" s="5" t="s">
        <v>118</v>
      </c>
      <c r="E3375" s="5" t="s">
        <v>2790</v>
      </c>
      <c r="F3375" s="5" t="s">
        <v>2760</v>
      </c>
      <c r="G3375" s="5">
        <v>1</v>
      </c>
      <c r="H3375" s="5" t="s">
        <v>2864</v>
      </c>
      <c r="I3375" s="5" t="str">
        <f>IF(INDEX(Manual_Review!$T$6:$T$238,U3375)="","",INDEX(Manual_Review!$T$6:$T$238,U3375))</f>
        <v/>
      </c>
      <c r="J3375" s="5" t="str">
        <f t="shared" si="104"/>
        <v>AI provisional</v>
      </c>
      <c r="K3375" s="5" t="str">
        <f t="shared" si="105"/>
        <v>U</v>
      </c>
      <c r="L3375" s="5" t="s">
        <v>2449</v>
      </c>
      <c r="M3375" s="5" t="s">
        <v>10197</v>
      </c>
      <c r="N3375" s="5" t="s">
        <v>10198</v>
      </c>
      <c r="O3375" s="5" t="s">
        <v>5273</v>
      </c>
      <c r="P3375" s="5" t="s">
        <v>2992</v>
      </c>
      <c r="Q3375" s="11">
        <v>46306.5</v>
      </c>
      <c r="R3375" s="6"/>
      <c r="S3375" s="6"/>
      <c r="T3375" s="6"/>
      <c r="U3375" s="5">
        <f>MATCH(B3375,Manual_Review!$A$6:$A$238,0)</f>
        <v>211</v>
      </c>
      <c r="V3375" s="5" t="str">
        <f>IF(INDEX(Manual_Review!$G$6:$G$238,U3375)="","",INDEX(Manual_Review!$G$6:$G$238,U3375))</f>
        <v/>
      </c>
      <c r="W3375" s="11" t="str">
        <f>IF(INDEX(Manual_Review!$H$6:$H$238,U3375)="","",INDEX(Manual_Review!$H$6:$H$238,U3375))</f>
        <v/>
      </c>
      <c r="X3375" s="5" t="str">
        <f>IF(INDEX(Manual_Review!$I$6:$I$238,U3375)="","",INDEX(Manual_Review!$I$6:$I$238,U3375))</f>
        <v/>
      </c>
      <c r="Y3375" s="5" t="s">
        <v>2859</v>
      </c>
    </row>
    <row r="3376" spans="1:25" ht="25.5">
      <c r="A3376" s="5" t="s">
        <v>10199</v>
      </c>
      <c r="B3376" s="5" t="s">
        <v>2439</v>
      </c>
      <c r="C3376" s="5" t="s">
        <v>2440</v>
      </c>
      <c r="D3376" s="5" t="s">
        <v>118</v>
      </c>
      <c r="E3376" s="5" t="s">
        <v>2791</v>
      </c>
      <c r="F3376" s="5" t="s">
        <v>2760</v>
      </c>
      <c r="G3376" s="5">
        <v>1</v>
      </c>
      <c r="H3376" s="5" t="s">
        <v>2864</v>
      </c>
      <c r="I3376" s="5" t="str">
        <f>IF(INDEX(Manual_Review!$U$6:$U$238,U3376)="","",INDEX(Manual_Review!$U$6:$U$238,U3376))</f>
        <v/>
      </c>
      <c r="J3376" s="5" t="str">
        <f t="shared" si="104"/>
        <v>AI provisional</v>
      </c>
      <c r="K3376" s="5" t="str">
        <f t="shared" si="105"/>
        <v>U</v>
      </c>
      <c r="L3376" s="5" t="s">
        <v>2449</v>
      </c>
      <c r="M3376" s="5" t="s">
        <v>10200</v>
      </c>
      <c r="N3376" s="5" t="s">
        <v>10201</v>
      </c>
      <c r="O3376" s="5" t="s">
        <v>3030</v>
      </c>
      <c r="P3376" s="5" t="s">
        <v>2992</v>
      </c>
      <c r="Q3376" s="11">
        <v>46306.5</v>
      </c>
      <c r="R3376" s="6"/>
      <c r="S3376" s="6"/>
      <c r="T3376" s="6"/>
      <c r="U3376" s="5">
        <f>MATCH(B3376,Manual_Review!$A$6:$A$238,0)</f>
        <v>211</v>
      </c>
      <c r="V3376" s="5" t="str">
        <f>IF(INDEX(Manual_Review!$G$6:$G$238,U3376)="","",INDEX(Manual_Review!$G$6:$G$238,U3376))</f>
        <v/>
      </c>
      <c r="W3376" s="11" t="str">
        <f>IF(INDEX(Manual_Review!$H$6:$H$238,U3376)="","",INDEX(Manual_Review!$H$6:$H$238,U3376))</f>
        <v/>
      </c>
      <c r="X3376" s="5" t="str">
        <f>IF(INDEX(Manual_Review!$I$6:$I$238,U3376)="","",INDEX(Manual_Review!$I$6:$I$238,U3376))</f>
        <v/>
      </c>
      <c r="Y3376" s="5" t="s">
        <v>2859</v>
      </c>
    </row>
    <row r="3377" spans="1:25" ht="25.5">
      <c r="A3377" s="5" t="s">
        <v>10202</v>
      </c>
      <c r="B3377" s="5" t="s">
        <v>2439</v>
      </c>
      <c r="C3377" s="5" t="s">
        <v>2440</v>
      </c>
      <c r="D3377" s="5" t="s">
        <v>118</v>
      </c>
      <c r="E3377" s="5" t="s">
        <v>2792</v>
      </c>
      <c r="F3377" s="5" t="s">
        <v>2762</v>
      </c>
      <c r="G3377" s="5">
        <v>1</v>
      </c>
      <c r="H3377" s="5" t="s">
        <v>2854</v>
      </c>
      <c r="I3377" s="5" t="str">
        <f>IF(INDEX(Manual_Review!$V$6:$V$238,U3377)="","",INDEX(Manual_Review!$V$6:$V$238,U3377))</f>
        <v/>
      </c>
      <c r="J3377" s="5" t="str">
        <f t="shared" si="104"/>
        <v>AI provisional</v>
      </c>
      <c r="K3377" s="5" t="str">
        <f t="shared" si="105"/>
        <v>Y</v>
      </c>
      <c r="L3377" s="5" t="s">
        <v>2449</v>
      </c>
      <c r="M3377" s="5" t="s">
        <v>10203</v>
      </c>
      <c r="N3377" s="5" t="s">
        <v>10204</v>
      </c>
      <c r="O3377" s="5" t="s">
        <v>3034</v>
      </c>
      <c r="P3377" s="5" t="s">
        <v>2992</v>
      </c>
      <c r="Q3377" s="11">
        <v>46306.5</v>
      </c>
      <c r="R3377" s="6"/>
      <c r="S3377" s="6"/>
      <c r="T3377" s="6"/>
      <c r="U3377" s="5">
        <f>MATCH(B3377,Manual_Review!$A$6:$A$238,0)</f>
        <v>211</v>
      </c>
      <c r="V3377" s="5" t="str">
        <f>IF(INDEX(Manual_Review!$G$6:$G$238,U3377)="","",INDEX(Manual_Review!$G$6:$G$238,U3377))</f>
        <v/>
      </c>
      <c r="W3377" s="11" t="str">
        <f>IF(INDEX(Manual_Review!$H$6:$H$238,U3377)="","",INDEX(Manual_Review!$H$6:$H$238,U3377))</f>
        <v/>
      </c>
      <c r="X3377" s="5" t="str">
        <f>IF(INDEX(Manual_Review!$I$6:$I$238,U3377)="","",INDEX(Manual_Review!$I$6:$I$238,U3377))</f>
        <v/>
      </c>
      <c r="Y3377" s="5" t="s">
        <v>2859</v>
      </c>
    </row>
    <row r="3378" spans="1:25" ht="38.25">
      <c r="A3378" s="5" t="s">
        <v>10205</v>
      </c>
      <c r="B3378" s="5" t="s">
        <v>2439</v>
      </c>
      <c r="C3378" s="5" t="s">
        <v>2440</v>
      </c>
      <c r="D3378" s="5" t="s">
        <v>118</v>
      </c>
      <c r="E3378" s="5" t="s">
        <v>2793</v>
      </c>
      <c r="F3378" s="5" t="s">
        <v>2762</v>
      </c>
      <c r="G3378" s="5">
        <v>1</v>
      </c>
      <c r="H3378" s="5" t="s">
        <v>2864</v>
      </c>
      <c r="I3378" s="5" t="str">
        <f>IF(INDEX(Manual_Review!$W$6:$W$238,U3378)="","",INDEX(Manual_Review!$W$6:$W$238,U3378))</f>
        <v/>
      </c>
      <c r="J3378" s="5" t="str">
        <f t="shared" si="104"/>
        <v>AI provisional</v>
      </c>
      <c r="K3378" s="5" t="str">
        <f t="shared" si="105"/>
        <v>U</v>
      </c>
      <c r="L3378" s="5" t="s">
        <v>2449</v>
      </c>
      <c r="M3378" s="5" t="s">
        <v>10206</v>
      </c>
      <c r="N3378" s="5" t="s">
        <v>10207</v>
      </c>
      <c r="O3378" s="5" t="s">
        <v>3461</v>
      </c>
      <c r="P3378" s="5" t="s">
        <v>2992</v>
      </c>
      <c r="Q3378" s="11">
        <v>46306.5</v>
      </c>
      <c r="R3378" s="6"/>
      <c r="S3378" s="6"/>
      <c r="T3378" s="6"/>
      <c r="U3378" s="5">
        <f>MATCH(B3378,Manual_Review!$A$6:$A$238,0)</f>
        <v>211</v>
      </c>
      <c r="V3378" s="5" t="str">
        <f>IF(INDEX(Manual_Review!$G$6:$G$238,U3378)="","",INDEX(Manual_Review!$G$6:$G$238,U3378))</f>
        <v/>
      </c>
      <c r="W3378" s="11" t="str">
        <f>IF(INDEX(Manual_Review!$H$6:$H$238,U3378)="","",INDEX(Manual_Review!$H$6:$H$238,U3378))</f>
        <v/>
      </c>
      <c r="X3378" s="5" t="str">
        <f>IF(INDEX(Manual_Review!$I$6:$I$238,U3378)="","",INDEX(Manual_Review!$I$6:$I$238,U3378))</f>
        <v/>
      </c>
      <c r="Y3378" s="5" t="s">
        <v>2859</v>
      </c>
    </row>
    <row r="3379" spans="1:25" ht="25.5">
      <c r="A3379" s="5" t="s">
        <v>10208</v>
      </c>
      <c r="B3379" s="5" t="s">
        <v>2439</v>
      </c>
      <c r="C3379" s="5" t="s">
        <v>2440</v>
      </c>
      <c r="D3379" s="5" t="s">
        <v>118</v>
      </c>
      <c r="E3379" s="5" t="s">
        <v>2794</v>
      </c>
      <c r="F3379" s="5" t="s">
        <v>2764</v>
      </c>
      <c r="G3379" s="5">
        <v>1</v>
      </c>
      <c r="H3379" s="5" t="s">
        <v>2864</v>
      </c>
      <c r="I3379" s="5" t="str">
        <f>IF(INDEX(Manual_Review!$X$6:$X$238,U3379)="","",INDEX(Manual_Review!$X$6:$X$238,U3379))</f>
        <v/>
      </c>
      <c r="J3379" s="5" t="str">
        <f t="shared" si="104"/>
        <v>AI provisional</v>
      </c>
      <c r="K3379" s="5" t="str">
        <f t="shared" si="105"/>
        <v>U</v>
      </c>
      <c r="L3379" s="5" t="s">
        <v>2449</v>
      </c>
      <c r="M3379" s="5" t="s">
        <v>10209</v>
      </c>
      <c r="N3379" s="5" t="s">
        <v>10210</v>
      </c>
      <c r="O3379" s="5" t="s">
        <v>3465</v>
      </c>
      <c r="P3379" s="5" t="s">
        <v>2992</v>
      </c>
      <c r="Q3379" s="11">
        <v>46306.5</v>
      </c>
      <c r="R3379" s="6"/>
      <c r="S3379" s="6"/>
      <c r="T3379" s="6"/>
      <c r="U3379" s="5">
        <f>MATCH(B3379,Manual_Review!$A$6:$A$238,0)</f>
        <v>211</v>
      </c>
      <c r="V3379" s="5" t="str">
        <f>IF(INDEX(Manual_Review!$G$6:$G$238,U3379)="","",INDEX(Manual_Review!$G$6:$G$238,U3379))</f>
        <v/>
      </c>
      <c r="W3379" s="11" t="str">
        <f>IF(INDEX(Manual_Review!$H$6:$H$238,U3379)="","",INDEX(Manual_Review!$H$6:$H$238,U3379))</f>
        <v/>
      </c>
      <c r="X3379" s="5" t="str">
        <f>IF(INDEX(Manual_Review!$I$6:$I$238,U3379)="","",INDEX(Manual_Review!$I$6:$I$238,U3379))</f>
        <v/>
      </c>
      <c r="Y3379" s="5" t="s">
        <v>2859</v>
      </c>
    </row>
    <row r="3380" spans="1:25" ht="25.5">
      <c r="A3380" s="5" t="s">
        <v>10211</v>
      </c>
      <c r="B3380" s="5" t="s">
        <v>2439</v>
      </c>
      <c r="C3380" s="5" t="s">
        <v>2440</v>
      </c>
      <c r="D3380" s="5" t="s">
        <v>118</v>
      </c>
      <c r="E3380" s="5" t="s">
        <v>2795</v>
      </c>
      <c r="F3380" s="5" t="s">
        <v>2764</v>
      </c>
      <c r="G3380" s="5">
        <v>1</v>
      </c>
      <c r="H3380" s="5" t="s">
        <v>2864</v>
      </c>
      <c r="I3380" s="5" t="str">
        <f>IF(INDEX(Manual_Review!$Y$6:$Y$238,U3380)="","",INDEX(Manual_Review!$Y$6:$Y$238,U3380))</f>
        <v/>
      </c>
      <c r="J3380" s="5" t="str">
        <f t="shared" si="104"/>
        <v>AI provisional</v>
      </c>
      <c r="K3380" s="5" t="str">
        <f t="shared" si="105"/>
        <v>U</v>
      </c>
      <c r="L3380" s="5" t="s">
        <v>2449</v>
      </c>
      <c r="M3380" s="5" t="s">
        <v>10212</v>
      </c>
      <c r="N3380" s="5" t="s">
        <v>10213</v>
      </c>
      <c r="O3380" s="5" t="s">
        <v>3469</v>
      </c>
      <c r="P3380" s="5" t="s">
        <v>2992</v>
      </c>
      <c r="Q3380" s="11">
        <v>46306.5</v>
      </c>
      <c r="R3380" s="6"/>
      <c r="S3380" s="6"/>
      <c r="T3380" s="6"/>
      <c r="U3380" s="5">
        <f>MATCH(B3380,Manual_Review!$A$6:$A$238,0)</f>
        <v>211</v>
      </c>
      <c r="V3380" s="5" t="str">
        <f>IF(INDEX(Manual_Review!$G$6:$G$238,U3380)="","",INDEX(Manual_Review!$G$6:$G$238,U3380))</f>
        <v/>
      </c>
      <c r="W3380" s="11" t="str">
        <f>IF(INDEX(Manual_Review!$H$6:$H$238,U3380)="","",INDEX(Manual_Review!$H$6:$H$238,U3380))</f>
        <v/>
      </c>
      <c r="X3380" s="5" t="str">
        <f>IF(INDEX(Manual_Review!$I$6:$I$238,U3380)="","",INDEX(Manual_Review!$I$6:$I$238,U3380))</f>
        <v/>
      </c>
      <c r="Y3380" s="5" t="s">
        <v>2859</v>
      </c>
    </row>
    <row r="3381" spans="1:25" ht="38.25">
      <c r="A3381" s="5" t="s">
        <v>10214</v>
      </c>
      <c r="B3381" s="5" t="s">
        <v>2439</v>
      </c>
      <c r="C3381" s="5" t="s">
        <v>2440</v>
      </c>
      <c r="D3381" s="5" t="s">
        <v>118</v>
      </c>
      <c r="E3381" s="5" t="s">
        <v>2796</v>
      </c>
      <c r="F3381" s="5" t="s">
        <v>2764</v>
      </c>
      <c r="G3381" s="5">
        <v>1</v>
      </c>
      <c r="H3381" s="5" t="s">
        <v>2864</v>
      </c>
      <c r="I3381" s="5" t="str">
        <f>IF(INDEX(Manual_Review!$Z$6:$Z$238,U3381)="","",INDEX(Manual_Review!$Z$6:$Z$238,U3381))</f>
        <v/>
      </c>
      <c r="J3381" s="5" t="str">
        <f t="shared" si="104"/>
        <v>AI provisional</v>
      </c>
      <c r="K3381" s="5" t="str">
        <f t="shared" si="105"/>
        <v>U</v>
      </c>
      <c r="L3381" s="5" t="s">
        <v>2449</v>
      </c>
      <c r="M3381" s="5" t="s">
        <v>10215</v>
      </c>
      <c r="N3381" s="5" t="s">
        <v>10216</v>
      </c>
      <c r="O3381" s="5" t="s">
        <v>3050</v>
      </c>
      <c r="P3381" s="5" t="s">
        <v>2992</v>
      </c>
      <c r="Q3381" s="11">
        <v>46306.5</v>
      </c>
      <c r="R3381" s="6"/>
      <c r="S3381" s="6"/>
      <c r="T3381" s="6"/>
      <c r="U3381" s="5">
        <f>MATCH(B3381,Manual_Review!$A$6:$A$238,0)</f>
        <v>211</v>
      </c>
      <c r="V3381" s="5" t="str">
        <f>IF(INDEX(Manual_Review!$G$6:$G$238,U3381)="","",INDEX(Manual_Review!$G$6:$G$238,U3381))</f>
        <v/>
      </c>
      <c r="W3381" s="11" t="str">
        <f>IF(INDEX(Manual_Review!$H$6:$H$238,U3381)="","",INDEX(Manual_Review!$H$6:$H$238,U3381))</f>
        <v/>
      </c>
      <c r="X3381" s="5" t="str">
        <f>IF(INDEX(Manual_Review!$I$6:$I$238,U3381)="","",INDEX(Manual_Review!$I$6:$I$238,U3381))</f>
        <v/>
      </c>
      <c r="Y3381" s="5" t="s">
        <v>2859</v>
      </c>
    </row>
    <row r="3382" spans="1:25" ht="25.5">
      <c r="A3382" s="5" t="s">
        <v>10217</v>
      </c>
      <c r="B3382" s="5" t="s">
        <v>2451</v>
      </c>
      <c r="C3382" s="5" t="s">
        <v>2452</v>
      </c>
      <c r="D3382" s="5" t="s">
        <v>1336</v>
      </c>
      <c r="E3382" s="5" t="s">
        <v>2781</v>
      </c>
      <c r="F3382" s="5" t="s">
        <v>2754</v>
      </c>
      <c r="G3382" s="5">
        <v>1</v>
      </c>
      <c r="H3382" s="5" t="s">
        <v>2854</v>
      </c>
      <c r="I3382" s="5" t="str">
        <f>IF(INDEX(Manual_Review!$K$6:$K$238,U3382)="","",INDEX(Manual_Review!$K$6:$K$238,U3382))</f>
        <v/>
      </c>
      <c r="J3382" s="5" t="str">
        <f t="shared" si="104"/>
        <v>AI provisional</v>
      </c>
      <c r="K3382" s="5" t="str">
        <f t="shared" si="105"/>
        <v>Y</v>
      </c>
      <c r="L3382" s="5" t="s">
        <v>2463</v>
      </c>
      <c r="M3382" s="5" t="s">
        <v>10218</v>
      </c>
      <c r="N3382" s="5" t="s">
        <v>10219</v>
      </c>
      <c r="O3382" s="5" t="s">
        <v>2991</v>
      </c>
      <c r="P3382" s="5" t="s">
        <v>2992</v>
      </c>
      <c r="Q3382" s="11">
        <v>46306.5</v>
      </c>
      <c r="R3382" s="6"/>
      <c r="S3382" s="6"/>
      <c r="T3382" s="6"/>
      <c r="U3382" s="5">
        <f>MATCH(B3382,Manual_Review!$A$6:$A$238,0)</f>
        <v>212</v>
      </c>
      <c r="V3382" s="5" t="str">
        <f>IF(INDEX(Manual_Review!$G$6:$G$238,U3382)="","",INDEX(Manual_Review!$G$6:$G$238,U3382))</f>
        <v/>
      </c>
      <c r="W3382" s="11" t="str">
        <f>IF(INDEX(Manual_Review!$H$6:$H$238,U3382)="","",INDEX(Manual_Review!$H$6:$H$238,U3382))</f>
        <v/>
      </c>
      <c r="X3382" s="5" t="str">
        <f>IF(INDEX(Manual_Review!$I$6:$I$238,U3382)="","",INDEX(Manual_Review!$I$6:$I$238,U3382))</f>
        <v/>
      </c>
      <c r="Y3382" s="5" t="s">
        <v>2859</v>
      </c>
    </row>
    <row r="3383" spans="1:25" ht="25.5">
      <c r="A3383" s="5" t="s">
        <v>10220</v>
      </c>
      <c r="B3383" s="5" t="s">
        <v>2451</v>
      </c>
      <c r="C3383" s="5" t="s">
        <v>2452</v>
      </c>
      <c r="D3383" s="5" t="s">
        <v>1336</v>
      </c>
      <c r="E3383" s="5" t="s">
        <v>2782</v>
      </c>
      <c r="F3383" s="5" t="s">
        <v>2754</v>
      </c>
      <c r="G3383" s="5">
        <v>1</v>
      </c>
      <c r="H3383" s="5" t="s">
        <v>2854</v>
      </c>
      <c r="I3383" s="5" t="str">
        <f>IF(INDEX(Manual_Review!$L$6:$L$238,U3383)="","",INDEX(Manual_Review!$L$6:$L$238,U3383))</f>
        <v/>
      </c>
      <c r="J3383" s="5" t="str">
        <f t="shared" si="104"/>
        <v>AI provisional</v>
      </c>
      <c r="K3383" s="5" t="str">
        <f t="shared" si="105"/>
        <v>Y</v>
      </c>
      <c r="L3383" s="5" t="s">
        <v>2463</v>
      </c>
      <c r="M3383" s="5" t="s">
        <v>10221</v>
      </c>
      <c r="N3383" s="5" t="s">
        <v>10222</v>
      </c>
      <c r="O3383" s="5" t="s">
        <v>2996</v>
      </c>
      <c r="P3383" s="5" t="s">
        <v>2992</v>
      </c>
      <c r="Q3383" s="11">
        <v>46306.5</v>
      </c>
      <c r="R3383" s="6"/>
      <c r="S3383" s="6"/>
      <c r="T3383" s="6"/>
      <c r="U3383" s="5">
        <f>MATCH(B3383,Manual_Review!$A$6:$A$238,0)</f>
        <v>212</v>
      </c>
      <c r="V3383" s="5" t="str">
        <f>IF(INDEX(Manual_Review!$G$6:$G$238,U3383)="","",INDEX(Manual_Review!$G$6:$G$238,U3383))</f>
        <v/>
      </c>
      <c r="W3383" s="11" t="str">
        <f>IF(INDEX(Manual_Review!$H$6:$H$238,U3383)="","",INDEX(Manual_Review!$H$6:$H$238,U3383))</f>
        <v/>
      </c>
      <c r="X3383" s="5" t="str">
        <f>IF(INDEX(Manual_Review!$I$6:$I$238,U3383)="","",INDEX(Manual_Review!$I$6:$I$238,U3383))</f>
        <v/>
      </c>
      <c r="Y3383" s="5" t="s">
        <v>2859</v>
      </c>
    </row>
    <row r="3384" spans="1:25" ht="25.5">
      <c r="A3384" s="5" t="s">
        <v>10223</v>
      </c>
      <c r="B3384" s="5" t="s">
        <v>2451</v>
      </c>
      <c r="C3384" s="5" t="s">
        <v>2452</v>
      </c>
      <c r="D3384" s="5" t="s">
        <v>1336</v>
      </c>
      <c r="E3384" s="5" t="s">
        <v>2783</v>
      </c>
      <c r="F3384" s="5" t="s">
        <v>2754</v>
      </c>
      <c r="G3384" s="5">
        <v>1</v>
      </c>
      <c r="H3384" s="5" t="s">
        <v>2854</v>
      </c>
      <c r="I3384" s="5" t="str">
        <f>IF(INDEX(Manual_Review!$M$6:$M$238,U3384)="","",INDEX(Manual_Review!$M$6:$M$238,U3384))</f>
        <v/>
      </c>
      <c r="J3384" s="5" t="str">
        <f t="shared" si="104"/>
        <v>AI provisional</v>
      </c>
      <c r="K3384" s="5" t="str">
        <f t="shared" si="105"/>
        <v>Y</v>
      </c>
      <c r="L3384" s="5" t="s">
        <v>2463</v>
      </c>
      <c r="M3384" s="5" t="s">
        <v>10224</v>
      </c>
      <c r="N3384" s="5" t="s">
        <v>10225</v>
      </c>
      <c r="O3384" s="5" t="s">
        <v>3000</v>
      </c>
      <c r="P3384" s="5" t="s">
        <v>2992</v>
      </c>
      <c r="Q3384" s="11">
        <v>46306.5</v>
      </c>
      <c r="R3384" s="6"/>
      <c r="S3384" s="6"/>
      <c r="T3384" s="6"/>
      <c r="U3384" s="5">
        <f>MATCH(B3384,Manual_Review!$A$6:$A$238,0)</f>
        <v>212</v>
      </c>
      <c r="V3384" s="5" t="str">
        <f>IF(INDEX(Manual_Review!$G$6:$G$238,U3384)="","",INDEX(Manual_Review!$G$6:$G$238,U3384))</f>
        <v/>
      </c>
      <c r="W3384" s="11" t="str">
        <f>IF(INDEX(Manual_Review!$H$6:$H$238,U3384)="","",INDEX(Manual_Review!$H$6:$H$238,U3384))</f>
        <v/>
      </c>
      <c r="X3384" s="5" t="str">
        <f>IF(INDEX(Manual_Review!$I$6:$I$238,U3384)="","",INDEX(Manual_Review!$I$6:$I$238,U3384))</f>
        <v/>
      </c>
      <c r="Y3384" s="5" t="s">
        <v>2859</v>
      </c>
    </row>
    <row r="3385" spans="1:25" ht="25.5">
      <c r="A3385" s="5" t="s">
        <v>10226</v>
      </c>
      <c r="B3385" s="5" t="s">
        <v>2451</v>
      </c>
      <c r="C3385" s="5" t="s">
        <v>2452</v>
      </c>
      <c r="D3385" s="5" t="s">
        <v>1336</v>
      </c>
      <c r="E3385" s="5" t="s">
        <v>2784</v>
      </c>
      <c r="F3385" s="5" t="s">
        <v>2756</v>
      </c>
      <c r="G3385" s="5">
        <v>0</v>
      </c>
      <c r="H3385" s="5" t="s">
        <v>6577</v>
      </c>
      <c r="I3385" s="5" t="str">
        <f>IF(INDEX(Manual_Review!$N$6:$N$238,U3385)="","",INDEX(Manual_Review!$N$6:$N$238,U3385))</f>
        <v/>
      </c>
      <c r="J3385" s="5" t="str">
        <f t="shared" si="104"/>
        <v>Not applicable</v>
      </c>
      <c r="K3385" s="5" t="str">
        <f t="shared" si="105"/>
        <v>N/A</v>
      </c>
      <c r="L3385" s="5" t="s">
        <v>2463</v>
      </c>
      <c r="M3385" s="5" t="s">
        <v>2771</v>
      </c>
      <c r="N3385" s="5" t="s">
        <v>10136</v>
      </c>
      <c r="O3385" s="5" t="s">
        <v>10137</v>
      </c>
      <c r="P3385" s="5" t="s">
        <v>10138</v>
      </c>
      <c r="Q3385" s="11"/>
      <c r="R3385" s="6"/>
      <c r="S3385" s="6"/>
      <c r="T3385" s="6"/>
      <c r="U3385" s="5">
        <f>MATCH(B3385,Manual_Review!$A$6:$A$238,0)</f>
        <v>212</v>
      </c>
      <c r="V3385" s="5" t="str">
        <f>IF(INDEX(Manual_Review!$G$6:$G$238,U3385)="","",INDEX(Manual_Review!$G$6:$G$238,U3385))</f>
        <v/>
      </c>
      <c r="W3385" s="11" t="str">
        <f>IF(INDEX(Manual_Review!$H$6:$H$238,U3385)="","",INDEX(Manual_Review!$H$6:$H$238,U3385))</f>
        <v/>
      </c>
      <c r="X3385" s="5" t="str">
        <f>IF(INDEX(Manual_Review!$I$6:$I$238,U3385)="","",INDEX(Manual_Review!$I$6:$I$238,U3385))</f>
        <v/>
      </c>
      <c r="Y3385" s="5" t="s">
        <v>2859</v>
      </c>
    </row>
    <row r="3386" spans="1:25" ht="25.5">
      <c r="A3386" s="5" t="s">
        <v>10227</v>
      </c>
      <c r="B3386" s="5" t="s">
        <v>2451</v>
      </c>
      <c r="C3386" s="5" t="s">
        <v>2452</v>
      </c>
      <c r="D3386" s="5" t="s">
        <v>1336</v>
      </c>
      <c r="E3386" s="5" t="s">
        <v>2785</v>
      </c>
      <c r="F3386" s="5" t="s">
        <v>2756</v>
      </c>
      <c r="G3386" s="5">
        <v>0</v>
      </c>
      <c r="H3386" s="5" t="s">
        <v>6577</v>
      </c>
      <c r="I3386" s="5" t="str">
        <f>IF(INDEX(Manual_Review!$O$6:$O$238,U3386)="","",INDEX(Manual_Review!$O$6:$O$238,U3386))</f>
        <v/>
      </c>
      <c r="J3386" s="5" t="str">
        <f t="shared" si="104"/>
        <v>Not applicable</v>
      </c>
      <c r="K3386" s="5" t="str">
        <f t="shared" si="105"/>
        <v>N/A</v>
      </c>
      <c r="L3386" s="5" t="s">
        <v>2463</v>
      </c>
      <c r="M3386" s="5" t="s">
        <v>2771</v>
      </c>
      <c r="N3386" s="5" t="s">
        <v>10136</v>
      </c>
      <c r="O3386" s="5" t="s">
        <v>10137</v>
      </c>
      <c r="P3386" s="5" t="s">
        <v>10138</v>
      </c>
      <c r="Q3386" s="11"/>
      <c r="R3386" s="6"/>
      <c r="S3386" s="6"/>
      <c r="T3386" s="6"/>
      <c r="U3386" s="5">
        <f>MATCH(B3386,Manual_Review!$A$6:$A$238,0)</f>
        <v>212</v>
      </c>
      <c r="V3386" s="5" t="str">
        <f>IF(INDEX(Manual_Review!$G$6:$G$238,U3386)="","",INDEX(Manual_Review!$G$6:$G$238,U3386))</f>
        <v/>
      </c>
      <c r="W3386" s="11" t="str">
        <f>IF(INDEX(Manual_Review!$H$6:$H$238,U3386)="","",INDEX(Manual_Review!$H$6:$H$238,U3386))</f>
        <v/>
      </c>
      <c r="X3386" s="5" t="str">
        <f>IF(INDEX(Manual_Review!$I$6:$I$238,U3386)="","",INDEX(Manual_Review!$I$6:$I$238,U3386))</f>
        <v/>
      </c>
      <c r="Y3386" s="5" t="s">
        <v>2859</v>
      </c>
    </row>
    <row r="3387" spans="1:25" ht="25.5">
      <c r="A3387" s="5" t="s">
        <v>10228</v>
      </c>
      <c r="B3387" s="5" t="s">
        <v>2451</v>
      </c>
      <c r="C3387" s="5" t="s">
        <v>2452</v>
      </c>
      <c r="D3387" s="5" t="s">
        <v>1336</v>
      </c>
      <c r="E3387" s="5" t="s">
        <v>2786</v>
      </c>
      <c r="F3387" s="5" t="s">
        <v>2756</v>
      </c>
      <c r="G3387" s="5">
        <v>0</v>
      </c>
      <c r="H3387" s="5" t="s">
        <v>6577</v>
      </c>
      <c r="I3387" s="5" t="str">
        <f>IF(INDEX(Manual_Review!$P$6:$P$238,U3387)="","",INDEX(Manual_Review!$P$6:$P$238,U3387))</f>
        <v/>
      </c>
      <c r="J3387" s="5" t="str">
        <f t="shared" si="104"/>
        <v>Not applicable</v>
      </c>
      <c r="K3387" s="5" t="str">
        <f t="shared" si="105"/>
        <v>N/A</v>
      </c>
      <c r="L3387" s="5" t="s">
        <v>2463</v>
      </c>
      <c r="M3387" s="5" t="s">
        <v>2771</v>
      </c>
      <c r="N3387" s="5" t="s">
        <v>10136</v>
      </c>
      <c r="O3387" s="5" t="s">
        <v>10137</v>
      </c>
      <c r="P3387" s="5" t="s">
        <v>10138</v>
      </c>
      <c r="Q3387" s="11"/>
      <c r="R3387" s="6"/>
      <c r="S3387" s="6"/>
      <c r="T3387" s="6"/>
      <c r="U3387" s="5">
        <f>MATCH(B3387,Manual_Review!$A$6:$A$238,0)</f>
        <v>212</v>
      </c>
      <c r="V3387" s="5" t="str">
        <f>IF(INDEX(Manual_Review!$G$6:$G$238,U3387)="","",INDEX(Manual_Review!$G$6:$G$238,U3387))</f>
        <v/>
      </c>
      <c r="W3387" s="11" t="str">
        <f>IF(INDEX(Manual_Review!$H$6:$H$238,U3387)="","",INDEX(Manual_Review!$H$6:$H$238,U3387))</f>
        <v/>
      </c>
      <c r="X3387" s="5" t="str">
        <f>IF(INDEX(Manual_Review!$I$6:$I$238,U3387)="","",INDEX(Manual_Review!$I$6:$I$238,U3387))</f>
        <v/>
      </c>
      <c r="Y3387" s="5" t="s">
        <v>2859</v>
      </c>
    </row>
    <row r="3388" spans="1:25" ht="25.5">
      <c r="A3388" s="5" t="s">
        <v>10229</v>
      </c>
      <c r="B3388" s="5" t="s">
        <v>2451</v>
      </c>
      <c r="C3388" s="5" t="s">
        <v>2452</v>
      </c>
      <c r="D3388" s="5" t="s">
        <v>1336</v>
      </c>
      <c r="E3388" s="5" t="s">
        <v>2787</v>
      </c>
      <c r="F3388" s="5" t="s">
        <v>2758</v>
      </c>
      <c r="G3388" s="5">
        <v>1</v>
      </c>
      <c r="H3388" s="5" t="s">
        <v>2854</v>
      </c>
      <c r="I3388" s="5" t="str">
        <f>IF(INDEX(Manual_Review!$Q$6:$Q$238,U3388)="","",INDEX(Manual_Review!$Q$6:$Q$238,U3388))</f>
        <v/>
      </c>
      <c r="J3388" s="5" t="str">
        <f t="shared" si="104"/>
        <v>AI provisional</v>
      </c>
      <c r="K3388" s="5" t="str">
        <f t="shared" si="105"/>
        <v>Y</v>
      </c>
      <c r="L3388" s="5" t="s">
        <v>2463</v>
      </c>
      <c r="M3388" s="5" t="s">
        <v>10230</v>
      </c>
      <c r="N3388" s="5" t="s">
        <v>10231</v>
      </c>
      <c r="O3388" s="5" t="s">
        <v>3819</v>
      </c>
      <c r="P3388" s="5" t="s">
        <v>2992</v>
      </c>
      <c r="Q3388" s="11">
        <v>46306.5</v>
      </c>
      <c r="R3388" s="6"/>
      <c r="S3388" s="6"/>
      <c r="T3388" s="6"/>
      <c r="U3388" s="5">
        <f>MATCH(B3388,Manual_Review!$A$6:$A$238,0)</f>
        <v>212</v>
      </c>
      <c r="V3388" s="5" t="str">
        <f>IF(INDEX(Manual_Review!$G$6:$G$238,U3388)="","",INDEX(Manual_Review!$G$6:$G$238,U3388))</f>
        <v/>
      </c>
      <c r="W3388" s="11" t="str">
        <f>IF(INDEX(Manual_Review!$H$6:$H$238,U3388)="","",INDEX(Manual_Review!$H$6:$H$238,U3388))</f>
        <v/>
      </c>
      <c r="X3388" s="5" t="str">
        <f>IF(INDEX(Manual_Review!$I$6:$I$238,U3388)="","",INDEX(Manual_Review!$I$6:$I$238,U3388))</f>
        <v/>
      </c>
      <c r="Y3388" s="5" t="s">
        <v>2859</v>
      </c>
    </row>
    <row r="3389" spans="1:25" ht="38.25">
      <c r="A3389" s="5" t="s">
        <v>10232</v>
      </c>
      <c r="B3389" s="5" t="s">
        <v>2451</v>
      </c>
      <c r="C3389" s="5" t="s">
        <v>2452</v>
      </c>
      <c r="D3389" s="5" t="s">
        <v>1336</v>
      </c>
      <c r="E3389" s="5" t="s">
        <v>2788</v>
      </c>
      <c r="F3389" s="5" t="s">
        <v>2758</v>
      </c>
      <c r="G3389" s="5">
        <v>1</v>
      </c>
      <c r="H3389" s="5" t="s">
        <v>2854</v>
      </c>
      <c r="I3389" s="5" t="str">
        <f>IF(INDEX(Manual_Review!$R$6:$R$238,U3389)="","",INDEX(Manual_Review!$R$6:$R$238,U3389))</f>
        <v/>
      </c>
      <c r="J3389" s="5" t="str">
        <f t="shared" si="104"/>
        <v>AI provisional</v>
      </c>
      <c r="K3389" s="5" t="str">
        <f t="shared" si="105"/>
        <v>Y</v>
      </c>
      <c r="L3389" s="5" t="s">
        <v>2463</v>
      </c>
      <c r="M3389" s="5" t="s">
        <v>10233</v>
      </c>
      <c r="N3389" s="5" t="s">
        <v>10234</v>
      </c>
      <c r="O3389" s="5" t="s">
        <v>3018</v>
      </c>
      <c r="P3389" s="5" t="s">
        <v>2992</v>
      </c>
      <c r="Q3389" s="11">
        <v>46306.5</v>
      </c>
      <c r="R3389" s="6"/>
      <c r="S3389" s="6"/>
      <c r="T3389" s="6"/>
      <c r="U3389" s="5">
        <f>MATCH(B3389,Manual_Review!$A$6:$A$238,0)</f>
        <v>212</v>
      </c>
      <c r="V3389" s="5" t="str">
        <f>IF(INDEX(Manual_Review!$G$6:$G$238,U3389)="","",INDEX(Manual_Review!$G$6:$G$238,U3389))</f>
        <v/>
      </c>
      <c r="W3389" s="11" t="str">
        <f>IF(INDEX(Manual_Review!$H$6:$H$238,U3389)="","",INDEX(Manual_Review!$H$6:$H$238,U3389))</f>
        <v/>
      </c>
      <c r="X3389" s="5" t="str">
        <f>IF(INDEX(Manual_Review!$I$6:$I$238,U3389)="","",INDEX(Manual_Review!$I$6:$I$238,U3389))</f>
        <v/>
      </c>
      <c r="Y3389" s="5" t="s">
        <v>2859</v>
      </c>
    </row>
    <row r="3390" spans="1:25" ht="38.25">
      <c r="A3390" s="5" t="s">
        <v>10235</v>
      </c>
      <c r="B3390" s="5" t="s">
        <v>2451</v>
      </c>
      <c r="C3390" s="5" t="s">
        <v>2452</v>
      </c>
      <c r="D3390" s="5" t="s">
        <v>1336</v>
      </c>
      <c r="E3390" s="5" t="s">
        <v>2789</v>
      </c>
      <c r="F3390" s="5" t="s">
        <v>2758</v>
      </c>
      <c r="G3390" s="5">
        <v>1</v>
      </c>
      <c r="H3390" s="5" t="s">
        <v>2854</v>
      </c>
      <c r="I3390" s="5" t="str">
        <f>IF(INDEX(Manual_Review!$S$6:$S$238,U3390)="","",INDEX(Manual_Review!$S$6:$S$238,U3390))</f>
        <v/>
      </c>
      <c r="J3390" s="5" t="str">
        <f t="shared" si="104"/>
        <v>AI provisional</v>
      </c>
      <c r="K3390" s="5" t="str">
        <f t="shared" si="105"/>
        <v>Y</v>
      </c>
      <c r="L3390" s="5" t="s">
        <v>2463</v>
      </c>
      <c r="M3390" s="5" t="s">
        <v>10236</v>
      </c>
      <c r="N3390" s="5" t="s">
        <v>10237</v>
      </c>
      <c r="O3390" s="5" t="s">
        <v>3022</v>
      </c>
      <c r="P3390" s="5" t="s">
        <v>2992</v>
      </c>
      <c r="Q3390" s="11">
        <v>46306.5</v>
      </c>
      <c r="R3390" s="6"/>
      <c r="S3390" s="6"/>
      <c r="T3390" s="6"/>
      <c r="U3390" s="5">
        <f>MATCH(B3390,Manual_Review!$A$6:$A$238,0)</f>
        <v>212</v>
      </c>
      <c r="V3390" s="5" t="str">
        <f>IF(INDEX(Manual_Review!$G$6:$G$238,U3390)="","",INDEX(Manual_Review!$G$6:$G$238,U3390))</f>
        <v/>
      </c>
      <c r="W3390" s="11" t="str">
        <f>IF(INDEX(Manual_Review!$H$6:$H$238,U3390)="","",INDEX(Manual_Review!$H$6:$H$238,U3390))</f>
        <v/>
      </c>
      <c r="X3390" s="5" t="str">
        <f>IF(INDEX(Manual_Review!$I$6:$I$238,U3390)="","",INDEX(Manual_Review!$I$6:$I$238,U3390))</f>
        <v/>
      </c>
      <c r="Y3390" s="5" t="s">
        <v>2859</v>
      </c>
    </row>
    <row r="3391" spans="1:25" ht="25.5">
      <c r="A3391" s="5" t="s">
        <v>10238</v>
      </c>
      <c r="B3391" s="5" t="s">
        <v>2451</v>
      </c>
      <c r="C3391" s="5" t="s">
        <v>2452</v>
      </c>
      <c r="D3391" s="5" t="s">
        <v>1336</v>
      </c>
      <c r="E3391" s="5" t="s">
        <v>2790</v>
      </c>
      <c r="F3391" s="5" t="s">
        <v>2760</v>
      </c>
      <c r="G3391" s="5">
        <v>1</v>
      </c>
      <c r="H3391" s="5" t="s">
        <v>2864</v>
      </c>
      <c r="I3391" s="5" t="str">
        <f>IF(INDEX(Manual_Review!$T$6:$T$238,U3391)="","",INDEX(Manual_Review!$T$6:$T$238,U3391))</f>
        <v/>
      </c>
      <c r="J3391" s="5" t="str">
        <f t="shared" si="104"/>
        <v>AI provisional</v>
      </c>
      <c r="K3391" s="5" t="str">
        <f t="shared" si="105"/>
        <v>U</v>
      </c>
      <c r="L3391" s="5" t="s">
        <v>2463</v>
      </c>
      <c r="M3391" s="5" t="s">
        <v>10239</v>
      </c>
      <c r="N3391" s="5" t="s">
        <v>10240</v>
      </c>
      <c r="O3391" s="5" t="s">
        <v>5273</v>
      </c>
      <c r="P3391" s="5" t="s">
        <v>2992</v>
      </c>
      <c r="Q3391" s="11">
        <v>46306.5</v>
      </c>
      <c r="R3391" s="6"/>
      <c r="S3391" s="6"/>
      <c r="T3391" s="6"/>
      <c r="U3391" s="5">
        <f>MATCH(B3391,Manual_Review!$A$6:$A$238,0)</f>
        <v>212</v>
      </c>
      <c r="V3391" s="5" t="str">
        <f>IF(INDEX(Manual_Review!$G$6:$G$238,U3391)="","",INDEX(Manual_Review!$G$6:$G$238,U3391))</f>
        <v/>
      </c>
      <c r="W3391" s="11" t="str">
        <f>IF(INDEX(Manual_Review!$H$6:$H$238,U3391)="","",INDEX(Manual_Review!$H$6:$H$238,U3391))</f>
        <v/>
      </c>
      <c r="X3391" s="5" t="str">
        <f>IF(INDEX(Manual_Review!$I$6:$I$238,U3391)="","",INDEX(Manual_Review!$I$6:$I$238,U3391))</f>
        <v/>
      </c>
      <c r="Y3391" s="5" t="s">
        <v>2859</v>
      </c>
    </row>
    <row r="3392" spans="1:25" ht="25.5">
      <c r="A3392" s="5" t="s">
        <v>10241</v>
      </c>
      <c r="B3392" s="5" t="s">
        <v>2451</v>
      </c>
      <c r="C3392" s="5" t="s">
        <v>2452</v>
      </c>
      <c r="D3392" s="5" t="s">
        <v>1336</v>
      </c>
      <c r="E3392" s="5" t="s">
        <v>2791</v>
      </c>
      <c r="F3392" s="5" t="s">
        <v>2760</v>
      </c>
      <c r="G3392" s="5">
        <v>1</v>
      </c>
      <c r="H3392" s="5" t="s">
        <v>2864</v>
      </c>
      <c r="I3392" s="5" t="str">
        <f>IF(INDEX(Manual_Review!$U$6:$U$238,U3392)="","",INDEX(Manual_Review!$U$6:$U$238,U3392))</f>
        <v/>
      </c>
      <c r="J3392" s="5" t="str">
        <f t="shared" si="104"/>
        <v>AI provisional</v>
      </c>
      <c r="K3392" s="5" t="str">
        <f t="shared" si="105"/>
        <v>U</v>
      </c>
      <c r="L3392" s="5" t="s">
        <v>2463</v>
      </c>
      <c r="M3392" s="5" t="s">
        <v>10242</v>
      </c>
      <c r="N3392" s="5" t="s">
        <v>10243</v>
      </c>
      <c r="O3392" s="5" t="s">
        <v>3030</v>
      </c>
      <c r="P3392" s="5" t="s">
        <v>2992</v>
      </c>
      <c r="Q3392" s="11">
        <v>46306.5</v>
      </c>
      <c r="R3392" s="6"/>
      <c r="S3392" s="6"/>
      <c r="T3392" s="6"/>
      <c r="U3392" s="5">
        <f>MATCH(B3392,Manual_Review!$A$6:$A$238,0)</f>
        <v>212</v>
      </c>
      <c r="V3392" s="5" t="str">
        <f>IF(INDEX(Manual_Review!$G$6:$G$238,U3392)="","",INDEX(Manual_Review!$G$6:$G$238,U3392))</f>
        <v/>
      </c>
      <c r="W3392" s="11" t="str">
        <f>IF(INDEX(Manual_Review!$H$6:$H$238,U3392)="","",INDEX(Manual_Review!$H$6:$H$238,U3392))</f>
        <v/>
      </c>
      <c r="X3392" s="5" t="str">
        <f>IF(INDEX(Manual_Review!$I$6:$I$238,U3392)="","",INDEX(Manual_Review!$I$6:$I$238,U3392))</f>
        <v/>
      </c>
      <c r="Y3392" s="5" t="s">
        <v>2859</v>
      </c>
    </row>
    <row r="3393" spans="1:25" ht="25.5">
      <c r="A3393" s="5" t="s">
        <v>10244</v>
      </c>
      <c r="B3393" s="5" t="s">
        <v>2451</v>
      </c>
      <c r="C3393" s="5" t="s">
        <v>2452</v>
      </c>
      <c r="D3393" s="5" t="s">
        <v>1336</v>
      </c>
      <c r="E3393" s="5" t="s">
        <v>2792</v>
      </c>
      <c r="F3393" s="5" t="s">
        <v>2762</v>
      </c>
      <c r="G3393" s="5">
        <v>1</v>
      </c>
      <c r="H3393" s="5" t="s">
        <v>2854</v>
      </c>
      <c r="I3393" s="5" t="str">
        <f>IF(INDEX(Manual_Review!$V$6:$V$238,U3393)="","",INDEX(Manual_Review!$V$6:$V$238,U3393))</f>
        <v/>
      </c>
      <c r="J3393" s="5" t="str">
        <f t="shared" si="104"/>
        <v>AI provisional</v>
      </c>
      <c r="K3393" s="5" t="str">
        <f t="shared" si="105"/>
        <v>Y</v>
      </c>
      <c r="L3393" s="5" t="s">
        <v>2463</v>
      </c>
      <c r="M3393" s="5" t="s">
        <v>10245</v>
      </c>
      <c r="N3393" s="5" t="s">
        <v>10246</v>
      </c>
      <c r="O3393" s="5" t="s">
        <v>3034</v>
      </c>
      <c r="P3393" s="5" t="s">
        <v>2992</v>
      </c>
      <c r="Q3393" s="11">
        <v>46306.5</v>
      </c>
      <c r="R3393" s="6"/>
      <c r="S3393" s="6"/>
      <c r="T3393" s="6"/>
      <c r="U3393" s="5">
        <f>MATCH(B3393,Manual_Review!$A$6:$A$238,0)</f>
        <v>212</v>
      </c>
      <c r="V3393" s="5" t="str">
        <f>IF(INDEX(Manual_Review!$G$6:$G$238,U3393)="","",INDEX(Manual_Review!$G$6:$G$238,U3393))</f>
        <v/>
      </c>
      <c r="W3393" s="11" t="str">
        <f>IF(INDEX(Manual_Review!$H$6:$H$238,U3393)="","",INDEX(Manual_Review!$H$6:$H$238,U3393))</f>
        <v/>
      </c>
      <c r="X3393" s="5" t="str">
        <f>IF(INDEX(Manual_Review!$I$6:$I$238,U3393)="","",INDEX(Manual_Review!$I$6:$I$238,U3393))</f>
        <v/>
      </c>
      <c r="Y3393" s="5" t="s">
        <v>2859</v>
      </c>
    </row>
    <row r="3394" spans="1:25" ht="51">
      <c r="A3394" s="5" t="s">
        <v>10247</v>
      </c>
      <c r="B3394" s="5" t="s">
        <v>2451</v>
      </c>
      <c r="C3394" s="5" t="s">
        <v>2452</v>
      </c>
      <c r="D3394" s="5" t="s">
        <v>1336</v>
      </c>
      <c r="E3394" s="5" t="s">
        <v>2793</v>
      </c>
      <c r="F3394" s="5" t="s">
        <v>2762</v>
      </c>
      <c r="G3394" s="5">
        <v>1</v>
      </c>
      <c r="H3394" s="5" t="s">
        <v>2854</v>
      </c>
      <c r="I3394" s="5" t="str">
        <f>IF(INDEX(Manual_Review!$W$6:$W$238,U3394)="","",INDEX(Manual_Review!$W$6:$W$238,U3394))</f>
        <v/>
      </c>
      <c r="J3394" s="5" t="str">
        <f t="shared" si="104"/>
        <v>AI provisional</v>
      </c>
      <c r="K3394" s="5" t="str">
        <f t="shared" si="105"/>
        <v>Y</v>
      </c>
      <c r="L3394" s="5" t="s">
        <v>2463</v>
      </c>
      <c r="M3394" s="5" t="s">
        <v>10248</v>
      </c>
      <c r="N3394" s="5" t="s">
        <v>10249</v>
      </c>
      <c r="O3394" s="5" t="s">
        <v>3038</v>
      </c>
      <c r="P3394" s="5" t="s">
        <v>2992</v>
      </c>
      <c r="Q3394" s="11">
        <v>46306.5</v>
      </c>
      <c r="R3394" s="6"/>
      <c r="S3394" s="6"/>
      <c r="T3394" s="6"/>
      <c r="U3394" s="5">
        <f>MATCH(B3394,Manual_Review!$A$6:$A$238,0)</f>
        <v>212</v>
      </c>
      <c r="V3394" s="5" t="str">
        <f>IF(INDEX(Manual_Review!$G$6:$G$238,U3394)="","",INDEX(Manual_Review!$G$6:$G$238,U3394))</f>
        <v/>
      </c>
      <c r="W3394" s="11" t="str">
        <f>IF(INDEX(Manual_Review!$H$6:$H$238,U3394)="","",INDEX(Manual_Review!$H$6:$H$238,U3394))</f>
        <v/>
      </c>
      <c r="X3394" s="5" t="str">
        <f>IF(INDEX(Manual_Review!$I$6:$I$238,U3394)="","",INDEX(Manual_Review!$I$6:$I$238,U3394))</f>
        <v/>
      </c>
      <c r="Y3394" s="5" t="s">
        <v>2859</v>
      </c>
    </row>
    <row r="3395" spans="1:25" ht="25.5">
      <c r="A3395" s="5" t="s">
        <v>10250</v>
      </c>
      <c r="B3395" s="5" t="s">
        <v>2451</v>
      </c>
      <c r="C3395" s="5" t="s">
        <v>2452</v>
      </c>
      <c r="D3395" s="5" t="s">
        <v>1336</v>
      </c>
      <c r="E3395" s="5" t="s">
        <v>2794</v>
      </c>
      <c r="F3395" s="5" t="s">
        <v>2764</v>
      </c>
      <c r="G3395" s="5">
        <v>1</v>
      </c>
      <c r="H3395" s="5" t="s">
        <v>2854</v>
      </c>
      <c r="I3395" s="5" t="str">
        <f>IF(INDEX(Manual_Review!$X$6:$X$238,U3395)="","",INDEX(Manual_Review!$X$6:$X$238,U3395))</f>
        <v/>
      </c>
      <c r="J3395" s="5" t="str">
        <f t="shared" si="104"/>
        <v>AI provisional</v>
      </c>
      <c r="K3395" s="5" t="str">
        <f t="shared" si="105"/>
        <v>Y</v>
      </c>
      <c r="L3395" s="5" t="s">
        <v>2463</v>
      </c>
      <c r="M3395" s="5" t="s">
        <v>10251</v>
      </c>
      <c r="N3395" s="5" t="s">
        <v>10252</v>
      </c>
      <c r="O3395" s="5" t="s">
        <v>3042</v>
      </c>
      <c r="P3395" s="5" t="s">
        <v>2992</v>
      </c>
      <c r="Q3395" s="11">
        <v>46306.5</v>
      </c>
      <c r="R3395" s="6"/>
      <c r="S3395" s="6"/>
      <c r="T3395" s="6"/>
      <c r="U3395" s="5">
        <f>MATCH(B3395,Manual_Review!$A$6:$A$238,0)</f>
        <v>212</v>
      </c>
      <c r="V3395" s="5" t="str">
        <f>IF(INDEX(Manual_Review!$G$6:$G$238,U3395)="","",INDEX(Manual_Review!$G$6:$G$238,U3395))</f>
        <v/>
      </c>
      <c r="W3395" s="11" t="str">
        <f>IF(INDEX(Manual_Review!$H$6:$H$238,U3395)="","",INDEX(Manual_Review!$H$6:$H$238,U3395))</f>
        <v/>
      </c>
      <c r="X3395" s="5" t="str">
        <f>IF(INDEX(Manual_Review!$I$6:$I$238,U3395)="","",INDEX(Manual_Review!$I$6:$I$238,U3395))</f>
        <v/>
      </c>
      <c r="Y3395" s="5" t="s">
        <v>2859</v>
      </c>
    </row>
    <row r="3396" spans="1:25" ht="25.5">
      <c r="A3396" s="5" t="s">
        <v>10253</v>
      </c>
      <c r="B3396" s="5" t="s">
        <v>2451</v>
      </c>
      <c r="C3396" s="5" t="s">
        <v>2452</v>
      </c>
      <c r="D3396" s="5" t="s">
        <v>1336</v>
      </c>
      <c r="E3396" s="5" t="s">
        <v>2795</v>
      </c>
      <c r="F3396" s="5" t="s">
        <v>2764</v>
      </c>
      <c r="G3396" s="5">
        <v>1</v>
      </c>
      <c r="H3396" s="5" t="s">
        <v>2854</v>
      </c>
      <c r="I3396" s="5" t="str">
        <f>IF(INDEX(Manual_Review!$Y$6:$Y$238,U3396)="","",INDEX(Manual_Review!$Y$6:$Y$238,U3396))</f>
        <v/>
      </c>
      <c r="J3396" s="5" t="str">
        <f t="shared" si="104"/>
        <v>AI provisional</v>
      </c>
      <c r="K3396" s="5" t="str">
        <f t="shared" si="105"/>
        <v>Y</v>
      </c>
      <c r="L3396" s="5" t="s">
        <v>2463</v>
      </c>
      <c r="M3396" s="5" t="s">
        <v>10254</v>
      </c>
      <c r="N3396" s="5" t="s">
        <v>10255</v>
      </c>
      <c r="O3396" s="5" t="s">
        <v>3046</v>
      </c>
      <c r="P3396" s="5" t="s">
        <v>2992</v>
      </c>
      <c r="Q3396" s="11">
        <v>46306.5</v>
      </c>
      <c r="R3396" s="6"/>
      <c r="S3396" s="6"/>
      <c r="T3396" s="6"/>
      <c r="U3396" s="5">
        <f>MATCH(B3396,Manual_Review!$A$6:$A$238,0)</f>
        <v>212</v>
      </c>
      <c r="V3396" s="5" t="str">
        <f>IF(INDEX(Manual_Review!$G$6:$G$238,U3396)="","",INDEX(Manual_Review!$G$6:$G$238,U3396))</f>
        <v/>
      </c>
      <c r="W3396" s="11" t="str">
        <f>IF(INDEX(Manual_Review!$H$6:$H$238,U3396)="","",INDEX(Manual_Review!$H$6:$H$238,U3396))</f>
        <v/>
      </c>
      <c r="X3396" s="5" t="str">
        <f>IF(INDEX(Manual_Review!$I$6:$I$238,U3396)="","",INDEX(Manual_Review!$I$6:$I$238,U3396))</f>
        <v/>
      </c>
      <c r="Y3396" s="5" t="s">
        <v>2859</v>
      </c>
    </row>
    <row r="3397" spans="1:25" ht="38.25">
      <c r="A3397" s="5" t="s">
        <v>10256</v>
      </c>
      <c r="B3397" s="5" t="s">
        <v>2451</v>
      </c>
      <c r="C3397" s="5" t="s">
        <v>2452</v>
      </c>
      <c r="D3397" s="5" t="s">
        <v>1336</v>
      </c>
      <c r="E3397" s="5" t="s">
        <v>2796</v>
      </c>
      <c r="F3397" s="5" t="s">
        <v>2764</v>
      </c>
      <c r="G3397" s="5">
        <v>1</v>
      </c>
      <c r="H3397" s="5" t="s">
        <v>2864</v>
      </c>
      <c r="I3397" s="5" t="str">
        <f>IF(INDEX(Manual_Review!$Z$6:$Z$238,U3397)="","",INDEX(Manual_Review!$Z$6:$Z$238,U3397))</f>
        <v/>
      </c>
      <c r="J3397" s="5" t="str">
        <f t="shared" si="104"/>
        <v>AI provisional</v>
      </c>
      <c r="K3397" s="5" t="str">
        <f t="shared" si="105"/>
        <v>U</v>
      </c>
      <c r="L3397" s="5" t="s">
        <v>2463</v>
      </c>
      <c r="M3397" s="5" t="s">
        <v>10257</v>
      </c>
      <c r="N3397" s="5" t="s">
        <v>10258</v>
      </c>
      <c r="O3397" s="5" t="s">
        <v>3050</v>
      </c>
      <c r="P3397" s="5" t="s">
        <v>2992</v>
      </c>
      <c r="Q3397" s="11">
        <v>46306.5</v>
      </c>
      <c r="R3397" s="6"/>
      <c r="S3397" s="6"/>
      <c r="T3397" s="6"/>
      <c r="U3397" s="5">
        <f>MATCH(B3397,Manual_Review!$A$6:$A$238,0)</f>
        <v>212</v>
      </c>
      <c r="V3397" s="5" t="str">
        <f>IF(INDEX(Manual_Review!$G$6:$G$238,U3397)="","",INDEX(Manual_Review!$G$6:$G$238,U3397))</f>
        <v/>
      </c>
      <c r="W3397" s="11" t="str">
        <f>IF(INDEX(Manual_Review!$H$6:$H$238,U3397)="","",INDEX(Manual_Review!$H$6:$H$238,U3397))</f>
        <v/>
      </c>
      <c r="X3397" s="5" t="str">
        <f>IF(INDEX(Manual_Review!$I$6:$I$238,U3397)="","",INDEX(Manual_Review!$I$6:$I$238,U3397))</f>
        <v/>
      </c>
      <c r="Y3397" s="5" t="s">
        <v>2859</v>
      </c>
    </row>
    <row r="3398" spans="1:25" ht="25.5">
      <c r="A3398" s="5" t="s">
        <v>10259</v>
      </c>
      <c r="B3398" s="5" t="s">
        <v>2465</v>
      </c>
      <c r="C3398" s="5" t="s">
        <v>2466</v>
      </c>
      <c r="D3398" s="5" t="s">
        <v>118</v>
      </c>
      <c r="E3398" s="5" t="s">
        <v>2781</v>
      </c>
      <c r="F3398" s="5" t="s">
        <v>2754</v>
      </c>
      <c r="G3398" s="5">
        <v>1</v>
      </c>
      <c r="H3398" s="5" t="s">
        <v>2854</v>
      </c>
      <c r="I3398" s="5" t="str">
        <f>IF(INDEX(Manual_Review!$K$6:$K$238,U3398)="","",INDEX(Manual_Review!$K$6:$K$238,U3398))</f>
        <v/>
      </c>
      <c r="J3398" s="5" t="str">
        <f t="shared" ref="J3398:J3461" si="106">IF(G3398=0,"Not applicable",IF(I3398="","AI provisional",IF(AND(OR(I3398="Y",I3398="N",I3398="U",I3398="X"),V3398&lt;&gt;"",ISNUMBER(W3398),W3398&gt;0,X3398="Confirmed",R3398&lt;&gt;"",S3398&lt;&gt;"",T3398&lt;&gt;""),"Human valid","Evidence needed")))</f>
        <v>AI provisional</v>
      </c>
      <c r="K3398" s="5" t="str">
        <f t="shared" ref="K3398:K3461" si="107">IF(G3398=0,"N/A",IF(I3398="",H3398,IF(J3398="Human valid",I3398,"U")))</f>
        <v>Y</v>
      </c>
      <c r="L3398" s="5" t="s">
        <v>2476</v>
      </c>
      <c r="M3398" s="5" t="s">
        <v>10260</v>
      </c>
      <c r="N3398" s="5" t="s">
        <v>10261</v>
      </c>
      <c r="O3398" s="5" t="s">
        <v>2991</v>
      </c>
      <c r="P3398" s="5" t="s">
        <v>2992</v>
      </c>
      <c r="Q3398" s="11">
        <v>46306.5</v>
      </c>
      <c r="R3398" s="6"/>
      <c r="S3398" s="6"/>
      <c r="T3398" s="6"/>
      <c r="U3398" s="5">
        <f>MATCH(B3398,Manual_Review!$A$6:$A$238,0)</f>
        <v>213</v>
      </c>
      <c r="V3398" s="5" t="str">
        <f>IF(INDEX(Manual_Review!$G$6:$G$238,U3398)="","",INDEX(Manual_Review!$G$6:$G$238,U3398))</f>
        <v/>
      </c>
      <c r="W3398" s="11" t="str">
        <f>IF(INDEX(Manual_Review!$H$6:$H$238,U3398)="","",INDEX(Manual_Review!$H$6:$H$238,U3398))</f>
        <v/>
      </c>
      <c r="X3398" s="5" t="str">
        <f>IF(INDEX(Manual_Review!$I$6:$I$238,U3398)="","",INDEX(Manual_Review!$I$6:$I$238,U3398))</f>
        <v/>
      </c>
      <c r="Y3398" s="5" t="s">
        <v>2859</v>
      </c>
    </row>
    <row r="3399" spans="1:25" ht="25.5">
      <c r="A3399" s="5" t="s">
        <v>10262</v>
      </c>
      <c r="B3399" s="5" t="s">
        <v>2465</v>
      </c>
      <c r="C3399" s="5" t="s">
        <v>2466</v>
      </c>
      <c r="D3399" s="5" t="s">
        <v>118</v>
      </c>
      <c r="E3399" s="5" t="s">
        <v>2782</v>
      </c>
      <c r="F3399" s="5" t="s">
        <v>2754</v>
      </c>
      <c r="G3399" s="5">
        <v>1</v>
      </c>
      <c r="H3399" s="5" t="s">
        <v>2854</v>
      </c>
      <c r="I3399" s="5" t="str">
        <f>IF(INDEX(Manual_Review!$L$6:$L$238,U3399)="","",INDEX(Manual_Review!$L$6:$L$238,U3399))</f>
        <v/>
      </c>
      <c r="J3399" s="5" t="str">
        <f t="shared" si="106"/>
        <v>AI provisional</v>
      </c>
      <c r="K3399" s="5" t="str">
        <f t="shared" si="107"/>
        <v>Y</v>
      </c>
      <c r="L3399" s="5" t="s">
        <v>2476</v>
      </c>
      <c r="M3399" s="5" t="s">
        <v>10263</v>
      </c>
      <c r="N3399" s="5" t="s">
        <v>10264</v>
      </c>
      <c r="O3399" s="5" t="s">
        <v>2996</v>
      </c>
      <c r="P3399" s="5" t="s">
        <v>2992</v>
      </c>
      <c r="Q3399" s="11">
        <v>46306.5</v>
      </c>
      <c r="R3399" s="6"/>
      <c r="S3399" s="6"/>
      <c r="T3399" s="6"/>
      <c r="U3399" s="5">
        <f>MATCH(B3399,Manual_Review!$A$6:$A$238,0)</f>
        <v>213</v>
      </c>
      <c r="V3399" s="5" t="str">
        <f>IF(INDEX(Manual_Review!$G$6:$G$238,U3399)="","",INDEX(Manual_Review!$G$6:$G$238,U3399))</f>
        <v/>
      </c>
      <c r="W3399" s="11" t="str">
        <f>IF(INDEX(Manual_Review!$H$6:$H$238,U3399)="","",INDEX(Manual_Review!$H$6:$H$238,U3399))</f>
        <v/>
      </c>
      <c r="X3399" s="5" t="str">
        <f>IF(INDEX(Manual_Review!$I$6:$I$238,U3399)="","",INDEX(Manual_Review!$I$6:$I$238,U3399))</f>
        <v/>
      </c>
      <c r="Y3399" s="5" t="s">
        <v>2859</v>
      </c>
    </row>
    <row r="3400" spans="1:25" ht="25.5">
      <c r="A3400" s="5" t="s">
        <v>10265</v>
      </c>
      <c r="B3400" s="5" t="s">
        <v>2465</v>
      </c>
      <c r="C3400" s="5" t="s">
        <v>2466</v>
      </c>
      <c r="D3400" s="5" t="s">
        <v>118</v>
      </c>
      <c r="E3400" s="5" t="s">
        <v>2783</v>
      </c>
      <c r="F3400" s="5" t="s">
        <v>2754</v>
      </c>
      <c r="G3400" s="5">
        <v>1</v>
      </c>
      <c r="H3400" s="5" t="s">
        <v>2864</v>
      </c>
      <c r="I3400" s="5" t="str">
        <f>IF(INDEX(Manual_Review!$M$6:$M$238,U3400)="","",INDEX(Manual_Review!$M$6:$M$238,U3400))</f>
        <v/>
      </c>
      <c r="J3400" s="5" t="str">
        <f t="shared" si="106"/>
        <v>AI provisional</v>
      </c>
      <c r="K3400" s="5" t="str">
        <f t="shared" si="107"/>
        <v>U</v>
      </c>
      <c r="L3400" s="5" t="s">
        <v>2476</v>
      </c>
      <c r="M3400" s="5" t="s">
        <v>10266</v>
      </c>
      <c r="N3400" s="5" t="s">
        <v>10267</v>
      </c>
      <c r="O3400" s="5" t="s">
        <v>3808</v>
      </c>
      <c r="P3400" s="5" t="s">
        <v>2992</v>
      </c>
      <c r="Q3400" s="11">
        <v>46306.5</v>
      </c>
      <c r="R3400" s="6"/>
      <c r="S3400" s="6"/>
      <c r="T3400" s="6"/>
      <c r="U3400" s="5">
        <f>MATCH(B3400,Manual_Review!$A$6:$A$238,0)</f>
        <v>213</v>
      </c>
      <c r="V3400" s="5" t="str">
        <f>IF(INDEX(Manual_Review!$G$6:$G$238,U3400)="","",INDEX(Manual_Review!$G$6:$G$238,U3400))</f>
        <v/>
      </c>
      <c r="W3400" s="11" t="str">
        <f>IF(INDEX(Manual_Review!$H$6:$H$238,U3400)="","",INDEX(Manual_Review!$H$6:$H$238,U3400))</f>
        <v/>
      </c>
      <c r="X3400" s="5" t="str">
        <f>IF(INDEX(Manual_Review!$I$6:$I$238,U3400)="","",INDEX(Manual_Review!$I$6:$I$238,U3400))</f>
        <v/>
      </c>
      <c r="Y3400" s="5" t="s">
        <v>2859</v>
      </c>
    </row>
    <row r="3401" spans="1:25" ht="25.5">
      <c r="A3401" s="5" t="s">
        <v>10268</v>
      </c>
      <c r="B3401" s="5" t="s">
        <v>2465</v>
      </c>
      <c r="C3401" s="5" t="s">
        <v>2466</v>
      </c>
      <c r="D3401" s="5" t="s">
        <v>118</v>
      </c>
      <c r="E3401" s="5" t="s">
        <v>2784</v>
      </c>
      <c r="F3401" s="5" t="s">
        <v>2756</v>
      </c>
      <c r="G3401" s="5">
        <v>1</v>
      </c>
      <c r="H3401" s="5" t="s">
        <v>2854</v>
      </c>
      <c r="I3401" s="5" t="str">
        <f>IF(INDEX(Manual_Review!$N$6:$N$238,U3401)="","",INDEX(Manual_Review!$N$6:$N$238,U3401))</f>
        <v/>
      </c>
      <c r="J3401" s="5" t="str">
        <f t="shared" si="106"/>
        <v>AI provisional</v>
      </c>
      <c r="K3401" s="5" t="str">
        <f t="shared" si="107"/>
        <v>Y</v>
      </c>
      <c r="L3401" s="5" t="s">
        <v>2476</v>
      </c>
      <c r="M3401" s="5" t="s">
        <v>10269</v>
      </c>
      <c r="N3401" s="5" t="s">
        <v>10270</v>
      </c>
      <c r="O3401" s="5" t="s">
        <v>3004</v>
      </c>
      <c r="P3401" s="5" t="s">
        <v>2992</v>
      </c>
      <c r="Q3401" s="11">
        <v>46306.5</v>
      </c>
      <c r="R3401" s="6"/>
      <c r="S3401" s="6"/>
      <c r="T3401" s="6"/>
      <c r="U3401" s="5">
        <f>MATCH(B3401,Manual_Review!$A$6:$A$238,0)</f>
        <v>213</v>
      </c>
      <c r="V3401" s="5" t="str">
        <f>IF(INDEX(Manual_Review!$G$6:$G$238,U3401)="","",INDEX(Manual_Review!$G$6:$G$238,U3401))</f>
        <v/>
      </c>
      <c r="W3401" s="11" t="str">
        <f>IF(INDEX(Manual_Review!$H$6:$H$238,U3401)="","",INDEX(Manual_Review!$H$6:$H$238,U3401))</f>
        <v/>
      </c>
      <c r="X3401" s="5" t="str">
        <f>IF(INDEX(Manual_Review!$I$6:$I$238,U3401)="","",INDEX(Manual_Review!$I$6:$I$238,U3401))</f>
        <v/>
      </c>
      <c r="Y3401" s="5" t="s">
        <v>2859</v>
      </c>
    </row>
    <row r="3402" spans="1:25" ht="25.5">
      <c r="A3402" s="5" t="s">
        <v>10271</v>
      </c>
      <c r="B3402" s="5" t="s">
        <v>2465</v>
      </c>
      <c r="C3402" s="5" t="s">
        <v>2466</v>
      </c>
      <c r="D3402" s="5" t="s">
        <v>118</v>
      </c>
      <c r="E3402" s="5" t="s">
        <v>2785</v>
      </c>
      <c r="F3402" s="5" t="s">
        <v>2756</v>
      </c>
      <c r="G3402" s="5">
        <v>1</v>
      </c>
      <c r="H3402" s="5" t="s">
        <v>2864</v>
      </c>
      <c r="I3402" s="5" t="str">
        <f>IF(INDEX(Manual_Review!$O$6:$O$238,U3402)="","",INDEX(Manual_Review!$O$6:$O$238,U3402))</f>
        <v/>
      </c>
      <c r="J3402" s="5" t="str">
        <f t="shared" si="106"/>
        <v>AI provisional</v>
      </c>
      <c r="K3402" s="5" t="str">
        <f t="shared" si="107"/>
        <v>U</v>
      </c>
      <c r="L3402" s="5" t="s">
        <v>2476</v>
      </c>
      <c r="M3402" s="5" t="s">
        <v>10269</v>
      </c>
      <c r="N3402" s="5" t="s">
        <v>10270</v>
      </c>
      <c r="O3402" s="5" t="s">
        <v>3006</v>
      </c>
      <c r="P3402" s="5" t="s">
        <v>2992</v>
      </c>
      <c r="Q3402" s="11">
        <v>46306.5</v>
      </c>
      <c r="R3402" s="6"/>
      <c r="S3402" s="6"/>
      <c r="T3402" s="6"/>
      <c r="U3402" s="5">
        <f>MATCH(B3402,Manual_Review!$A$6:$A$238,0)</f>
        <v>213</v>
      </c>
      <c r="V3402" s="5" t="str">
        <f>IF(INDEX(Manual_Review!$G$6:$G$238,U3402)="","",INDEX(Manual_Review!$G$6:$G$238,U3402))</f>
        <v/>
      </c>
      <c r="W3402" s="11" t="str">
        <f>IF(INDEX(Manual_Review!$H$6:$H$238,U3402)="","",INDEX(Manual_Review!$H$6:$H$238,U3402))</f>
        <v/>
      </c>
      <c r="X3402" s="5" t="str">
        <f>IF(INDEX(Manual_Review!$I$6:$I$238,U3402)="","",INDEX(Manual_Review!$I$6:$I$238,U3402))</f>
        <v/>
      </c>
      <c r="Y3402" s="5" t="s">
        <v>2859</v>
      </c>
    </row>
    <row r="3403" spans="1:25" ht="25.5">
      <c r="A3403" s="5" t="s">
        <v>10272</v>
      </c>
      <c r="B3403" s="5" t="s">
        <v>2465</v>
      </c>
      <c r="C3403" s="5" t="s">
        <v>2466</v>
      </c>
      <c r="D3403" s="5" t="s">
        <v>118</v>
      </c>
      <c r="E3403" s="5" t="s">
        <v>2786</v>
      </c>
      <c r="F3403" s="5" t="s">
        <v>2756</v>
      </c>
      <c r="G3403" s="5">
        <v>1</v>
      </c>
      <c r="H3403" s="5" t="s">
        <v>2864</v>
      </c>
      <c r="I3403" s="5" t="str">
        <f>IF(INDEX(Manual_Review!$P$6:$P$238,U3403)="","",INDEX(Manual_Review!$P$6:$P$238,U3403))</f>
        <v/>
      </c>
      <c r="J3403" s="5" t="str">
        <f t="shared" si="106"/>
        <v>AI provisional</v>
      </c>
      <c r="K3403" s="5" t="str">
        <f t="shared" si="107"/>
        <v>U</v>
      </c>
      <c r="L3403" s="5" t="s">
        <v>2476</v>
      </c>
      <c r="M3403" s="5" t="s">
        <v>10273</v>
      </c>
      <c r="N3403" s="5" t="s">
        <v>10274</v>
      </c>
      <c r="O3403" s="5" t="s">
        <v>3010</v>
      </c>
      <c r="P3403" s="5" t="s">
        <v>2992</v>
      </c>
      <c r="Q3403" s="11">
        <v>46306.5</v>
      </c>
      <c r="R3403" s="6"/>
      <c r="S3403" s="6"/>
      <c r="T3403" s="6"/>
      <c r="U3403" s="5">
        <f>MATCH(B3403,Manual_Review!$A$6:$A$238,0)</f>
        <v>213</v>
      </c>
      <c r="V3403" s="5" t="str">
        <f>IF(INDEX(Manual_Review!$G$6:$G$238,U3403)="","",INDEX(Manual_Review!$G$6:$G$238,U3403))</f>
        <v/>
      </c>
      <c r="W3403" s="11" t="str">
        <f>IF(INDEX(Manual_Review!$H$6:$H$238,U3403)="","",INDEX(Manual_Review!$H$6:$H$238,U3403))</f>
        <v/>
      </c>
      <c r="X3403" s="5" t="str">
        <f>IF(INDEX(Manual_Review!$I$6:$I$238,U3403)="","",INDEX(Manual_Review!$I$6:$I$238,U3403))</f>
        <v/>
      </c>
      <c r="Y3403" s="5" t="s">
        <v>2859</v>
      </c>
    </row>
    <row r="3404" spans="1:25" ht="25.5">
      <c r="A3404" s="5" t="s">
        <v>10275</v>
      </c>
      <c r="B3404" s="5" t="s">
        <v>2465</v>
      </c>
      <c r="C3404" s="5" t="s">
        <v>2466</v>
      </c>
      <c r="D3404" s="5" t="s">
        <v>118</v>
      </c>
      <c r="E3404" s="5" t="s">
        <v>2787</v>
      </c>
      <c r="F3404" s="5" t="s">
        <v>2758</v>
      </c>
      <c r="G3404" s="5">
        <v>1</v>
      </c>
      <c r="H3404" s="5" t="s">
        <v>2864</v>
      </c>
      <c r="I3404" s="5" t="str">
        <f>IF(INDEX(Manual_Review!$Q$6:$Q$238,U3404)="","",INDEX(Manual_Review!$Q$6:$Q$238,U3404))</f>
        <v/>
      </c>
      <c r="J3404" s="5" t="str">
        <f t="shared" si="106"/>
        <v>AI provisional</v>
      </c>
      <c r="K3404" s="5" t="str">
        <f t="shared" si="107"/>
        <v>U</v>
      </c>
      <c r="L3404" s="5" t="s">
        <v>2476</v>
      </c>
      <c r="M3404" s="5" t="s">
        <v>10276</v>
      </c>
      <c r="N3404" s="5" t="s">
        <v>10277</v>
      </c>
      <c r="O3404" s="5" t="s">
        <v>3014</v>
      </c>
      <c r="P3404" s="5" t="s">
        <v>2992</v>
      </c>
      <c r="Q3404" s="11">
        <v>46306.5</v>
      </c>
      <c r="R3404" s="6"/>
      <c r="S3404" s="6"/>
      <c r="T3404" s="6"/>
      <c r="U3404" s="5">
        <f>MATCH(B3404,Manual_Review!$A$6:$A$238,0)</f>
        <v>213</v>
      </c>
      <c r="V3404" s="5" t="str">
        <f>IF(INDEX(Manual_Review!$G$6:$G$238,U3404)="","",INDEX(Manual_Review!$G$6:$G$238,U3404))</f>
        <v/>
      </c>
      <c r="W3404" s="11" t="str">
        <f>IF(INDEX(Manual_Review!$H$6:$H$238,U3404)="","",INDEX(Manual_Review!$H$6:$H$238,U3404))</f>
        <v/>
      </c>
      <c r="X3404" s="5" t="str">
        <f>IF(INDEX(Manual_Review!$I$6:$I$238,U3404)="","",INDEX(Manual_Review!$I$6:$I$238,U3404))</f>
        <v/>
      </c>
      <c r="Y3404" s="5" t="s">
        <v>2859</v>
      </c>
    </row>
    <row r="3405" spans="1:25" ht="38.25">
      <c r="A3405" s="5" t="s">
        <v>10278</v>
      </c>
      <c r="B3405" s="5" t="s">
        <v>2465</v>
      </c>
      <c r="C3405" s="5" t="s">
        <v>2466</v>
      </c>
      <c r="D3405" s="5" t="s">
        <v>118</v>
      </c>
      <c r="E3405" s="5" t="s">
        <v>2788</v>
      </c>
      <c r="F3405" s="5" t="s">
        <v>2758</v>
      </c>
      <c r="G3405" s="5">
        <v>1</v>
      </c>
      <c r="H3405" s="5" t="s">
        <v>2854</v>
      </c>
      <c r="I3405" s="5" t="str">
        <f>IF(INDEX(Manual_Review!$R$6:$R$238,U3405)="","",INDEX(Manual_Review!$R$6:$R$238,U3405))</f>
        <v/>
      </c>
      <c r="J3405" s="5" t="str">
        <f t="shared" si="106"/>
        <v>AI provisional</v>
      </c>
      <c r="K3405" s="5" t="str">
        <f t="shared" si="107"/>
        <v>Y</v>
      </c>
      <c r="L3405" s="5" t="s">
        <v>2476</v>
      </c>
      <c r="M3405" s="5" t="s">
        <v>10279</v>
      </c>
      <c r="N3405" s="5" t="s">
        <v>10280</v>
      </c>
      <c r="O3405" s="5" t="s">
        <v>3018</v>
      </c>
      <c r="P3405" s="5" t="s">
        <v>2992</v>
      </c>
      <c r="Q3405" s="11">
        <v>46306.5</v>
      </c>
      <c r="R3405" s="6"/>
      <c r="S3405" s="6"/>
      <c r="T3405" s="6"/>
      <c r="U3405" s="5">
        <f>MATCH(B3405,Manual_Review!$A$6:$A$238,0)</f>
        <v>213</v>
      </c>
      <c r="V3405" s="5" t="str">
        <f>IF(INDEX(Manual_Review!$G$6:$G$238,U3405)="","",INDEX(Manual_Review!$G$6:$G$238,U3405))</f>
        <v/>
      </c>
      <c r="W3405" s="11" t="str">
        <f>IF(INDEX(Manual_Review!$H$6:$H$238,U3405)="","",INDEX(Manual_Review!$H$6:$H$238,U3405))</f>
        <v/>
      </c>
      <c r="X3405" s="5" t="str">
        <f>IF(INDEX(Manual_Review!$I$6:$I$238,U3405)="","",INDEX(Manual_Review!$I$6:$I$238,U3405))</f>
        <v/>
      </c>
      <c r="Y3405" s="5" t="s">
        <v>2859</v>
      </c>
    </row>
    <row r="3406" spans="1:25" ht="38.25">
      <c r="A3406" s="5" t="s">
        <v>10281</v>
      </c>
      <c r="B3406" s="5" t="s">
        <v>2465</v>
      </c>
      <c r="C3406" s="5" t="s">
        <v>2466</v>
      </c>
      <c r="D3406" s="5" t="s">
        <v>118</v>
      </c>
      <c r="E3406" s="5" t="s">
        <v>2789</v>
      </c>
      <c r="F3406" s="5" t="s">
        <v>2758</v>
      </c>
      <c r="G3406" s="5">
        <v>1</v>
      </c>
      <c r="H3406" s="5" t="s">
        <v>2854</v>
      </c>
      <c r="I3406" s="5" t="str">
        <f>IF(INDEX(Manual_Review!$S$6:$S$238,U3406)="","",INDEX(Manual_Review!$S$6:$S$238,U3406))</f>
        <v/>
      </c>
      <c r="J3406" s="5" t="str">
        <f t="shared" si="106"/>
        <v>AI provisional</v>
      </c>
      <c r="K3406" s="5" t="str">
        <f t="shared" si="107"/>
        <v>Y</v>
      </c>
      <c r="L3406" s="5" t="s">
        <v>2476</v>
      </c>
      <c r="M3406" s="5" t="s">
        <v>10282</v>
      </c>
      <c r="N3406" s="5" t="s">
        <v>10283</v>
      </c>
      <c r="O3406" s="5" t="s">
        <v>3022</v>
      </c>
      <c r="P3406" s="5" t="s">
        <v>2992</v>
      </c>
      <c r="Q3406" s="11">
        <v>46306.5</v>
      </c>
      <c r="R3406" s="6"/>
      <c r="S3406" s="6"/>
      <c r="T3406" s="6"/>
      <c r="U3406" s="5">
        <f>MATCH(B3406,Manual_Review!$A$6:$A$238,0)</f>
        <v>213</v>
      </c>
      <c r="V3406" s="5" t="str">
        <f>IF(INDEX(Manual_Review!$G$6:$G$238,U3406)="","",INDEX(Manual_Review!$G$6:$G$238,U3406))</f>
        <v/>
      </c>
      <c r="W3406" s="11" t="str">
        <f>IF(INDEX(Manual_Review!$H$6:$H$238,U3406)="","",INDEX(Manual_Review!$H$6:$H$238,U3406))</f>
        <v/>
      </c>
      <c r="X3406" s="5" t="str">
        <f>IF(INDEX(Manual_Review!$I$6:$I$238,U3406)="","",INDEX(Manual_Review!$I$6:$I$238,U3406))</f>
        <v/>
      </c>
      <c r="Y3406" s="5" t="s">
        <v>2859</v>
      </c>
    </row>
    <row r="3407" spans="1:25" ht="25.5">
      <c r="A3407" s="5" t="s">
        <v>10284</v>
      </c>
      <c r="B3407" s="5" t="s">
        <v>2465</v>
      </c>
      <c r="C3407" s="5" t="s">
        <v>2466</v>
      </c>
      <c r="D3407" s="5" t="s">
        <v>118</v>
      </c>
      <c r="E3407" s="5" t="s">
        <v>2790</v>
      </c>
      <c r="F3407" s="5" t="s">
        <v>2760</v>
      </c>
      <c r="G3407" s="5">
        <v>1</v>
      </c>
      <c r="H3407" s="5" t="s">
        <v>2854</v>
      </c>
      <c r="I3407" s="5" t="str">
        <f>IF(INDEX(Manual_Review!$T$6:$T$238,U3407)="","",INDEX(Manual_Review!$T$6:$T$238,U3407))</f>
        <v/>
      </c>
      <c r="J3407" s="5" t="str">
        <f t="shared" si="106"/>
        <v>AI provisional</v>
      </c>
      <c r="K3407" s="5" t="str">
        <f t="shared" si="107"/>
        <v>Y</v>
      </c>
      <c r="L3407" s="5" t="s">
        <v>2476</v>
      </c>
      <c r="M3407" s="5" t="s">
        <v>10285</v>
      </c>
      <c r="N3407" s="5" t="s">
        <v>10286</v>
      </c>
      <c r="O3407" s="5" t="s">
        <v>3451</v>
      </c>
      <c r="P3407" s="5" t="s">
        <v>2992</v>
      </c>
      <c r="Q3407" s="11">
        <v>46306.5</v>
      </c>
      <c r="R3407" s="6"/>
      <c r="S3407" s="6"/>
      <c r="T3407" s="6"/>
      <c r="U3407" s="5">
        <f>MATCH(B3407,Manual_Review!$A$6:$A$238,0)</f>
        <v>213</v>
      </c>
      <c r="V3407" s="5" t="str">
        <f>IF(INDEX(Manual_Review!$G$6:$G$238,U3407)="","",INDEX(Manual_Review!$G$6:$G$238,U3407))</f>
        <v/>
      </c>
      <c r="W3407" s="11" t="str">
        <f>IF(INDEX(Manual_Review!$H$6:$H$238,U3407)="","",INDEX(Manual_Review!$H$6:$H$238,U3407))</f>
        <v/>
      </c>
      <c r="X3407" s="5" t="str">
        <f>IF(INDEX(Manual_Review!$I$6:$I$238,U3407)="","",INDEX(Manual_Review!$I$6:$I$238,U3407))</f>
        <v/>
      </c>
      <c r="Y3407" s="5" t="s">
        <v>2859</v>
      </c>
    </row>
    <row r="3408" spans="1:25" ht="25.5">
      <c r="A3408" s="5" t="s">
        <v>10287</v>
      </c>
      <c r="B3408" s="5" t="s">
        <v>2465</v>
      </c>
      <c r="C3408" s="5" t="s">
        <v>2466</v>
      </c>
      <c r="D3408" s="5" t="s">
        <v>118</v>
      </c>
      <c r="E3408" s="5" t="s">
        <v>2791</v>
      </c>
      <c r="F3408" s="5" t="s">
        <v>2760</v>
      </c>
      <c r="G3408" s="5">
        <v>1</v>
      </c>
      <c r="H3408" s="5" t="s">
        <v>2854</v>
      </c>
      <c r="I3408" s="5" t="str">
        <f>IF(INDEX(Manual_Review!$U$6:$U$238,U3408)="","",INDEX(Manual_Review!$U$6:$U$238,U3408))</f>
        <v/>
      </c>
      <c r="J3408" s="5" t="str">
        <f t="shared" si="106"/>
        <v>AI provisional</v>
      </c>
      <c r="K3408" s="5" t="str">
        <f t="shared" si="107"/>
        <v>Y</v>
      </c>
      <c r="L3408" s="5" t="s">
        <v>2476</v>
      </c>
      <c r="M3408" s="5" t="s">
        <v>10288</v>
      </c>
      <c r="N3408" s="5" t="s">
        <v>10289</v>
      </c>
      <c r="O3408" s="5" t="s">
        <v>3832</v>
      </c>
      <c r="P3408" s="5" t="s">
        <v>2992</v>
      </c>
      <c r="Q3408" s="11">
        <v>46306.5</v>
      </c>
      <c r="R3408" s="6"/>
      <c r="S3408" s="6"/>
      <c r="T3408" s="6"/>
      <c r="U3408" s="5">
        <f>MATCH(B3408,Manual_Review!$A$6:$A$238,0)</f>
        <v>213</v>
      </c>
      <c r="V3408" s="5" t="str">
        <f>IF(INDEX(Manual_Review!$G$6:$G$238,U3408)="","",INDEX(Manual_Review!$G$6:$G$238,U3408))</f>
        <v/>
      </c>
      <c r="W3408" s="11" t="str">
        <f>IF(INDEX(Manual_Review!$H$6:$H$238,U3408)="","",INDEX(Manual_Review!$H$6:$H$238,U3408))</f>
        <v/>
      </c>
      <c r="X3408" s="5" t="str">
        <f>IF(INDEX(Manual_Review!$I$6:$I$238,U3408)="","",INDEX(Manual_Review!$I$6:$I$238,U3408))</f>
        <v/>
      </c>
      <c r="Y3408" s="5" t="s">
        <v>2859</v>
      </c>
    </row>
    <row r="3409" spans="1:25" ht="25.5">
      <c r="A3409" s="5" t="s">
        <v>10290</v>
      </c>
      <c r="B3409" s="5" t="s">
        <v>2465</v>
      </c>
      <c r="C3409" s="5" t="s">
        <v>2466</v>
      </c>
      <c r="D3409" s="5" t="s">
        <v>118</v>
      </c>
      <c r="E3409" s="5" t="s">
        <v>2792</v>
      </c>
      <c r="F3409" s="5" t="s">
        <v>2762</v>
      </c>
      <c r="G3409" s="5">
        <v>1</v>
      </c>
      <c r="H3409" s="5" t="s">
        <v>2854</v>
      </c>
      <c r="I3409" s="5" t="str">
        <f>IF(INDEX(Manual_Review!$V$6:$V$238,U3409)="","",INDEX(Manual_Review!$V$6:$V$238,U3409))</f>
        <v/>
      </c>
      <c r="J3409" s="5" t="str">
        <f t="shared" si="106"/>
        <v>AI provisional</v>
      </c>
      <c r="K3409" s="5" t="str">
        <f t="shared" si="107"/>
        <v>Y</v>
      </c>
      <c r="L3409" s="5" t="s">
        <v>2476</v>
      </c>
      <c r="M3409" s="5" t="s">
        <v>10291</v>
      </c>
      <c r="N3409" s="5" t="s">
        <v>10292</v>
      </c>
      <c r="O3409" s="5" t="s">
        <v>3034</v>
      </c>
      <c r="P3409" s="5" t="s">
        <v>2992</v>
      </c>
      <c r="Q3409" s="11">
        <v>46306.5</v>
      </c>
      <c r="R3409" s="6"/>
      <c r="S3409" s="6"/>
      <c r="T3409" s="6"/>
      <c r="U3409" s="5">
        <f>MATCH(B3409,Manual_Review!$A$6:$A$238,0)</f>
        <v>213</v>
      </c>
      <c r="V3409" s="5" t="str">
        <f>IF(INDEX(Manual_Review!$G$6:$G$238,U3409)="","",INDEX(Manual_Review!$G$6:$G$238,U3409))</f>
        <v/>
      </c>
      <c r="W3409" s="11" t="str">
        <f>IF(INDEX(Manual_Review!$H$6:$H$238,U3409)="","",INDEX(Manual_Review!$H$6:$H$238,U3409))</f>
        <v/>
      </c>
      <c r="X3409" s="5" t="str">
        <f>IF(INDEX(Manual_Review!$I$6:$I$238,U3409)="","",INDEX(Manual_Review!$I$6:$I$238,U3409))</f>
        <v/>
      </c>
      <c r="Y3409" s="5" t="s">
        <v>2859</v>
      </c>
    </row>
    <row r="3410" spans="1:25" ht="51">
      <c r="A3410" s="5" t="s">
        <v>10293</v>
      </c>
      <c r="B3410" s="5" t="s">
        <v>2465</v>
      </c>
      <c r="C3410" s="5" t="s">
        <v>2466</v>
      </c>
      <c r="D3410" s="5" t="s">
        <v>118</v>
      </c>
      <c r="E3410" s="5" t="s">
        <v>2793</v>
      </c>
      <c r="F3410" s="5" t="s">
        <v>2762</v>
      </c>
      <c r="G3410" s="5">
        <v>1</v>
      </c>
      <c r="H3410" s="5" t="s">
        <v>2864</v>
      </c>
      <c r="I3410" s="5" t="str">
        <f>IF(INDEX(Manual_Review!$W$6:$W$238,U3410)="","",INDEX(Manual_Review!$W$6:$W$238,U3410))</f>
        <v/>
      </c>
      <c r="J3410" s="5" t="str">
        <f t="shared" si="106"/>
        <v>AI provisional</v>
      </c>
      <c r="K3410" s="5" t="str">
        <f t="shared" si="107"/>
        <v>U</v>
      </c>
      <c r="L3410" s="5" t="s">
        <v>2476</v>
      </c>
      <c r="M3410" s="5" t="s">
        <v>10294</v>
      </c>
      <c r="N3410" s="5" t="s">
        <v>10295</v>
      </c>
      <c r="O3410" s="5" t="s">
        <v>3461</v>
      </c>
      <c r="P3410" s="5" t="s">
        <v>2992</v>
      </c>
      <c r="Q3410" s="11">
        <v>46306.5</v>
      </c>
      <c r="R3410" s="6"/>
      <c r="S3410" s="6"/>
      <c r="T3410" s="6"/>
      <c r="U3410" s="5">
        <f>MATCH(B3410,Manual_Review!$A$6:$A$238,0)</f>
        <v>213</v>
      </c>
      <c r="V3410" s="5" t="str">
        <f>IF(INDEX(Manual_Review!$G$6:$G$238,U3410)="","",INDEX(Manual_Review!$G$6:$G$238,U3410))</f>
        <v/>
      </c>
      <c r="W3410" s="11" t="str">
        <f>IF(INDEX(Manual_Review!$H$6:$H$238,U3410)="","",INDEX(Manual_Review!$H$6:$H$238,U3410))</f>
        <v/>
      </c>
      <c r="X3410" s="5" t="str">
        <f>IF(INDEX(Manual_Review!$I$6:$I$238,U3410)="","",INDEX(Manual_Review!$I$6:$I$238,U3410))</f>
        <v/>
      </c>
      <c r="Y3410" s="5" t="s">
        <v>2859</v>
      </c>
    </row>
    <row r="3411" spans="1:25" ht="25.5">
      <c r="A3411" s="5" t="s">
        <v>10296</v>
      </c>
      <c r="B3411" s="5" t="s">
        <v>2465</v>
      </c>
      <c r="C3411" s="5" t="s">
        <v>2466</v>
      </c>
      <c r="D3411" s="5" t="s">
        <v>118</v>
      </c>
      <c r="E3411" s="5" t="s">
        <v>2794</v>
      </c>
      <c r="F3411" s="5" t="s">
        <v>2764</v>
      </c>
      <c r="G3411" s="5">
        <v>1</v>
      </c>
      <c r="H3411" s="5" t="s">
        <v>2854</v>
      </c>
      <c r="I3411" s="5" t="str">
        <f>IF(INDEX(Manual_Review!$X$6:$X$238,U3411)="","",INDEX(Manual_Review!$X$6:$X$238,U3411))</f>
        <v/>
      </c>
      <c r="J3411" s="5" t="str">
        <f t="shared" si="106"/>
        <v>AI provisional</v>
      </c>
      <c r="K3411" s="5" t="str">
        <f t="shared" si="107"/>
        <v>Y</v>
      </c>
      <c r="L3411" s="5" t="s">
        <v>2476</v>
      </c>
      <c r="M3411" s="5" t="s">
        <v>10297</v>
      </c>
      <c r="N3411" s="5" t="s">
        <v>10298</v>
      </c>
      <c r="O3411" s="5" t="s">
        <v>3042</v>
      </c>
      <c r="P3411" s="5" t="s">
        <v>2992</v>
      </c>
      <c r="Q3411" s="11">
        <v>46306.5</v>
      </c>
      <c r="R3411" s="6"/>
      <c r="S3411" s="6"/>
      <c r="T3411" s="6"/>
      <c r="U3411" s="5">
        <f>MATCH(B3411,Manual_Review!$A$6:$A$238,0)</f>
        <v>213</v>
      </c>
      <c r="V3411" s="5" t="str">
        <f>IF(INDEX(Manual_Review!$G$6:$G$238,U3411)="","",INDEX(Manual_Review!$G$6:$G$238,U3411))</f>
        <v/>
      </c>
      <c r="W3411" s="11" t="str">
        <f>IF(INDEX(Manual_Review!$H$6:$H$238,U3411)="","",INDEX(Manual_Review!$H$6:$H$238,U3411))</f>
        <v/>
      </c>
      <c r="X3411" s="5" t="str">
        <f>IF(INDEX(Manual_Review!$I$6:$I$238,U3411)="","",INDEX(Manual_Review!$I$6:$I$238,U3411))</f>
        <v/>
      </c>
      <c r="Y3411" s="5" t="s">
        <v>2859</v>
      </c>
    </row>
    <row r="3412" spans="1:25" ht="25.5">
      <c r="A3412" s="5" t="s">
        <v>10299</v>
      </c>
      <c r="B3412" s="5" t="s">
        <v>2465</v>
      </c>
      <c r="C3412" s="5" t="s">
        <v>2466</v>
      </c>
      <c r="D3412" s="5" t="s">
        <v>118</v>
      </c>
      <c r="E3412" s="5" t="s">
        <v>2795</v>
      </c>
      <c r="F3412" s="5" t="s">
        <v>2764</v>
      </c>
      <c r="G3412" s="5">
        <v>1</v>
      </c>
      <c r="H3412" s="5" t="s">
        <v>2864</v>
      </c>
      <c r="I3412" s="5" t="str">
        <f>IF(INDEX(Manual_Review!$Y$6:$Y$238,U3412)="","",INDEX(Manual_Review!$Y$6:$Y$238,U3412))</f>
        <v/>
      </c>
      <c r="J3412" s="5" t="str">
        <f t="shared" si="106"/>
        <v>AI provisional</v>
      </c>
      <c r="K3412" s="5" t="str">
        <f t="shared" si="107"/>
        <v>U</v>
      </c>
      <c r="L3412" s="5" t="s">
        <v>2476</v>
      </c>
      <c r="M3412" s="5" t="s">
        <v>10300</v>
      </c>
      <c r="N3412" s="5" t="s">
        <v>10301</v>
      </c>
      <c r="O3412" s="5" t="s">
        <v>3469</v>
      </c>
      <c r="P3412" s="5" t="s">
        <v>2992</v>
      </c>
      <c r="Q3412" s="11">
        <v>46306.5</v>
      </c>
      <c r="R3412" s="6"/>
      <c r="S3412" s="6"/>
      <c r="T3412" s="6"/>
      <c r="U3412" s="5">
        <f>MATCH(B3412,Manual_Review!$A$6:$A$238,0)</f>
        <v>213</v>
      </c>
      <c r="V3412" s="5" t="str">
        <f>IF(INDEX(Manual_Review!$G$6:$G$238,U3412)="","",INDEX(Manual_Review!$G$6:$G$238,U3412))</f>
        <v/>
      </c>
      <c r="W3412" s="11" t="str">
        <f>IF(INDEX(Manual_Review!$H$6:$H$238,U3412)="","",INDEX(Manual_Review!$H$6:$H$238,U3412))</f>
        <v/>
      </c>
      <c r="X3412" s="5" t="str">
        <f>IF(INDEX(Manual_Review!$I$6:$I$238,U3412)="","",INDEX(Manual_Review!$I$6:$I$238,U3412))</f>
        <v/>
      </c>
      <c r="Y3412" s="5" t="s">
        <v>2859</v>
      </c>
    </row>
    <row r="3413" spans="1:25" ht="38.25">
      <c r="A3413" s="5" t="s">
        <v>10302</v>
      </c>
      <c r="B3413" s="5" t="s">
        <v>2465</v>
      </c>
      <c r="C3413" s="5" t="s">
        <v>2466</v>
      </c>
      <c r="D3413" s="5" t="s">
        <v>118</v>
      </c>
      <c r="E3413" s="5" t="s">
        <v>2796</v>
      </c>
      <c r="F3413" s="5" t="s">
        <v>2764</v>
      </c>
      <c r="G3413" s="5">
        <v>1</v>
      </c>
      <c r="H3413" s="5" t="s">
        <v>2864</v>
      </c>
      <c r="I3413" s="5" t="str">
        <f>IF(INDEX(Manual_Review!$Z$6:$Z$238,U3413)="","",INDEX(Manual_Review!$Z$6:$Z$238,U3413))</f>
        <v/>
      </c>
      <c r="J3413" s="5" t="str">
        <f t="shared" si="106"/>
        <v>AI provisional</v>
      </c>
      <c r="K3413" s="5" t="str">
        <f t="shared" si="107"/>
        <v>U</v>
      </c>
      <c r="L3413" s="5" t="s">
        <v>2476</v>
      </c>
      <c r="M3413" s="5" t="s">
        <v>10303</v>
      </c>
      <c r="N3413" s="5" t="s">
        <v>10304</v>
      </c>
      <c r="O3413" s="5" t="s">
        <v>3050</v>
      </c>
      <c r="P3413" s="5" t="s">
        <v>2992</v>
      </c>
      <c r="Q3413" s="11">
        <v>46306.5</v>
      </c>
      <c r="R3413" s="6"/>
      <c r="S3413" s="6"/>
      <c r="T3413" s="6"/>
      <c r="U3413" s="5">
        <f>MATCH(B3413,Manual_Review!$A$6:$A$238,0)</f>
        <v>213</v>
      </c>
      <c r="V3413" s="5" t="str">
        <f>IF(INDEX(Manual_Review!$G$6:$G$238,U3413)="","",INDEX(Manual_Review!$G$6:$G$238,U3413))</f>
        <v/>
      </c>
      <c r="W3413" s="11" t="str">
        <f>IF(INDEX(Manual_Review!$H$6:$H$238,U3413)="","",INDEX(Manual_Review!$H$6:$H$238,U3413))</f>
        <v/>
      </c>
      <c r="X3413" s="5" t="str">
        <f>IF(INDEX(Manual_Review!$I$6:$I$238,U3413)="","",INDEX(Manual_Review!$I$6:$I$238,U3413))</f>
        <v/>
      </c>
      <c r="Y3413" s="5" t="s">
        <v>2859</v>
      </c>
    </row>
    <row r="3414" spans="1:25" ht="25.5">
      <c r="A3414" s="5" t="s">
        <v>10305</v>
      </c>
      <c r="B3414" s="5" t="s">
        <v>2478</v>
      </c>
      <c r="C3414" s="5" t="s">
        <v>2479</v>
      </c>
      <c r="D3414" s="5" t="s">
        <v>118</v>
      </c>
      <c r="E3414" s="5" t="s">
        <v>2781</v>
      </c>
      <c r="F3414" s="5" t="s">
        <v>2754</v>
      </c>
      <c r="G3414" s="5">
        <v>1</v>
      </c>
      <c r="H3414" s="5" t="s">
        <v>2854</v>
      </c>
      <c r="I3414" s="5" t="str">
        <f>IF(INDEX(Manual_Review!$K$6:$K$238,U3414)="","",INDEX(Manual_Review!$K$6:$K$238,U3414))</f>
        <v/>
      </c>
      <c r="J3414" s="5" t="str">
        <f t="shared" si="106"/>
        <v>AI provisional</v>
      </c>
      <c r="K3414" s="5" t="str">
        <f t="shared" si="107"/>
        <v>Y</v>
      </c>
      <c r="L3414" s="5" t="s">
        <v>2490</v>
      </c>
      <c r="M3414" s="5" t="s">
        <v>10306</v>
      </c>
      <c r="N3414" s="5" t="s">
        <v>10307</v>
      </c>
      <c r="O3414" s="5" t="s">
        <v>2991</v>
      </c>
      <c r="P3414" s="5" t="s">
        <v>2992</v>
      </c>
      <c r="Q3414" s="11">
        <v>46306.5</v>
      </c>
      <c r="R3414" s="6"/>
      <c r="S3414" s="6"/>
      <c r="T3414" s="6"/>
      <c r="U3414" s="5">
        <f>MATCH(B3414,Manual_Review!$A$6:$A$238,0)</f>
        <v>214</v>
      </c>
      <c r="V3414" s="5" t="str">
        <f>IF(INDEX(Manual_Review!$G$6:$G$238,U3414)="","",INDEX(Manual_Review!$G$6:$G$238,U3414))</f>
        <v/>
      </c>
      <c r="W3414" s="11" t="str">
        <f>IF(INDEX(Manual_Review!$H$6:$H$238,U3414)="","",INDEX(Manual_Review!$H$6:$H$238,U3414))</f>
        <v/>
      </c>
      <c r="X3414" s="5" t="str">
        <f>IF(INDEX(Manual_Review!$I$6:$I$238,U3414)="","",INDEX(Manual_Review!$I$6:$I$238,U3414))</f>
        <v/>
      </c>
      <c r="Y3414" s="5" t="s">
        <v>2859</v>
      </c>
    </row>
    <row r="3415" spans="1:25" ht="25.5">
      <c r="A3415" s="5" t="s">
        <v>10308</v>
      </c>
      <c r="B3415" s="5" t="s">
        <v>2478</v>
      </c>
      <c r="C3415" s="5" t="s">
        <v>2479</v>
      </c>
      <c r="D3415" s="5" t="s">
        <v>118</v>
      </c>
      <c r="E3415" s="5" t="s">
        <v>2782</v>
      </c>
      <c r="F3415" s="5" t="s">
        <v>2754</v>
      </c>
      <c r="G3415" s="5">
        <v>1</v>
      </c>
      <c r="H3415" s="5" t="s">
        <v>2854</v>
      </c>
      <c r="I3415" s="5" t="str">
        <f>IF(INDEX(Manual_Review!$L$6:$L$238,U3415)="","",INDEX(Manual_Review!$L$6:$L$238,U3415))</f>
        <v/>
      </c>
      <c r="J3415" s="5" t="str">
        <f t="shared" si="106"/>
        <v>AI provisional</v>
      </c>
      <c r="K3415" s="5" t="str">
        <f t="shared" si="107"/>
        <v>Y</v>
      </c>
      <c r="L3415" s="5" t="s">
        <v>2490</v>
      </c>
      <c r="M3415" s="5" t="s">
        <v>10309</v>
      </c>
      <c r="N3415" s="5" t="s">
        <v>10310</v>
      </c>
      <c r="O3415" s="5" t="s">
        <v>2996</v>
      </c>
      <c r="P3415" s="5" t="s">
        <v>2992</v>
      </c>
      <c r="Q3415" s="11">
        <v>46306.5</v>
      </c>
      <c r="R3415" s="6"/>
      <c r="S3415" s="6"/>
      <c r="T3415" s="6"/>
      <c r="U3415" s="5">
        <f>MATCH(B3415,Manual_Review!$A$6:$A$238,0)</f>
        <v>214</v>
      </c>
      <c r="V3415" s="5" t="str">
        <f>IF(INDEX(Manual_Review!$G$6:$G$238,U3415)="","",INDEX(Manual_Review!$G$6:$G$238,U3415))</f>
        <v/>
      </c>
      <c r="W3415" s="11" t="str">
        <f>IF(INDEX(Manual_Review!$H$6:$H$238,U3415)="","",INDEX(Manual_Review!$H$6:$H$238,U3415))</f>
        <v/>
      </c>
      <c r="X3415" s="5" t="str">
        <f>IF(INDEX(Manual_Review!$I$6:$I$238,U3415)="","",INDEX(Manual_Review!$I$6:$I$238,U3415))</f>
        <v/>
      </c>
      <c r="Y3415" s="5" t="s">
        <v>2859</v>
      </c>
    </row>
    <row r="3416" spans="1:25" ht="25.5">
      <c r="A3416" s="5" t="s">
        <v>10311</v>
      </c>
      <c r="B3416" s="5" t="s">
        <v>2478</v>
      </c>
      <c r="C3416" s="5" t="s">
        <v>2479</v>
      </c>
      <c r="D3416" s="5" t="s">
        <v>118</v>
      </c>
      <c r="E3416" s="5" t="s">
        <v>2783</v>
      </c>
      <c r="F3416" s="5" t="s">
        <v>2754</v>
      </c>
      <c r="G3416" s="5">
        <v>1</v>
      </c>
      <c r="H3416" s="5" t="s">
        <v>2854</v>
      </c>
      <c r="I3416" s="5" t="str">
        <f>IF(INDEX(Manual_Review!$M$6:$M$238,U3416)="","",INDEX(Manual_Review!$M$6:$M$238,U3416))</f>
        <v/>
      </c>
      <c r="J3416" s="5" t="str">
        <f t="shared" si="106"/>
        <v>AI provisional</v>
      </c>
      <c r="K3416" s="5" t="str">
        <f t="shared" si="107"/>
        <v>Y</v>
      </c>
      <c r="L3416" s="5" t="s">
        <v>2490</v>
      </c>
      <c r="M3416" s="5" t="s">
        <v>10312</v>
      </c>
      <c r="N3416" s="5" t="s">
        <v>10313</v>
      </c>
      <c r="O3416" s="5" t="s">
        <v>3000</v>
      </c>
      <c r="P3416" s="5" t="s">
        <v>2992</v>
      </c>
      <c r="Q3416" s="11">
        <v>46306.5</v>
      </c>
      <c r="R3416" s="6"/>
      <c r="S3416" s="6"/>
      <c r="T3416" s="6"/>
      <c r="U3416" s="5">
        <f>MATCH(B3416,Manual_Review!$A$6:$A$238,0)</f>
        <v>214</v>
      </c>
      <c r="V3416" s="5" t="str">
        <f>IF(INDEX(Manual_Review!$G$6:$G$238,U3416)="","",INDEX(Manual_Review!$G$6:$G$238,U3416))</f>
        <v/>
      </c>
      <c r="W3416" s="11" t="str">
        <f>IF(INDEX(Manual_Review!$H$6:$H$238,U3416)="","",INDEX(Manual_Review!$H$6:$H$238,U3416))</f>
        <v/>
      </c>
      <c r="X3416" s="5" t="str">
        <f>IF(INDEX(Manual_Review!$I$6:$I$238,U3416)="","",INDEX(Manual_Review!$I$6:$I$238,U3416))</f>
        <v/>
      </c>
      <c r="Y3416" s="5" t="s">
        <v>2859</v>
      </c>
    </row>
    <row r="3417" spans="1:25" ht="25.5">
      <c r="A3417" s="5" t="s">
        <v>10314</v>
      </c>
      <c r="B3417" s="5" t="s">
        <v>2478</v>
      </c>
      <c r="C3417" s="5" t="s">
        <v>2479</v>
      </c>
      <c r="D3417" s="5" t="s">
        <v>118</v>
      </c>
      <c r="E3417" s="5" t="s">
        <v>2784</v>
      </c>
      <c r="F3417" s="5" t="s">
        <v>2756</v>
      </c>
      <c r="G3417" s="5">
        <v>1</v>
      </c>
      <c r="H3417" s="5" t="s">
        <v>2864</v>
      </c>
      <c r="I3417" s="5" t="str">
        <f>IF(INDEX(Manual_Review!$N$6:$N$238,U3417)="","",INDEX(Manual_Review!$N$6:$N$238,U3417))</f>
        <v/>
      </c>
      <c r="J3417" s="5" t="str">
        <f t="shared" si="106"/>
        <v>AI provisional</v>
      </c>
      <c r="K3417" s="5" t="str">
        <f t="shared" si="107"/>
        <v>U</v>
      </c>
      <c r="L3417" s="5" t="s">
        <v>2490</v>
      </c>
      <c r="M3417" s="5" t="s">
        <v>10315</v>
      </c>
      <c r="N3417" s="5" t="s">
        <v>10316</v>
      </c>
      <c r="O3417" s="5" t="s">
        <v>9214</v>
      </c>
      <c r="P3417" s="5" t="s">
        <v>2992</v>
      </c>
      <c r="Q3417" s="11">
        <v>46306.5</v>
      </c>
      <c r="R3417" s="6"/>
      <c r="S3417" s="6"/>
      <c r="T3417" s="6"/>
      <c r="U3417" s="5">
        <f>MATCH(B3417,Manual_Review!$A$6:$A$238,0)</f>
        <v>214</v>
      </c>
      <c r="V3417" s="5" t="str">
        <f>IF(INDEX(Manual_Review!$G$6:$G$238,U3417)="","",INDEX(Manual_Review!$G$6:$G$238,U3417))</f>
        <v/>
      </c>
      <c r="W3417" s="11" t="str">
        <f>IF(INDEX(Manual_Review!$H$6:$H$238,U3417)="","",INDEX(Manual_Review!$H$6:$H$238,U3417))</f>
        <v/>
      </c>
      <c r="X3417" s="5" t="str">
        <f>IF(INDEX(Manual_Review!$I$6:$I$238,U3417)="","",INDEX(Manual_Review!$I$6:$I$238,U3417))</f>
        <v/>
      </c>
      <c r="Y3417" s="5" t="s">
        <v>2859</v>
      </c>
    </row>
    <row r="3418" spans="1:25" ht="25.5">
      <c r="A3418" s="5" t="s">
        <v>10317</v>
      </c>
      <c r="B3418" s="5" t="s">
        <v>2478</v>
      </c>
      <c r="C3418" s="5" t="s">
        <v>2479</v>
      </c>
      <c r="D3418" s="5" t="s">
        <v>118</v>
      </c>
      <c r="E3418" s="5" t="s">
        <v>2785</v>
      </c>
      <c r="F3418" s="5" t="s">
        <v>2756</v>
      </c>
      <c r="G3418" s="5">
        <v>1</v>
      </c>
      <c r="H3418" s="5" t="s">
        <v>2864</v>
      </c>
      <c r="I3418" s="5" t="str">
        <f>IF(INDEX(Manual_Review!$O$6:$O$238,U3418)="","",INDEX(Manual_Review!$O$6:$O$238,U3418))</f>
        <v/>
      </c>
      <c r="J3418" s="5" t="str">
        <f t="shared" si="106"/>
        <v>AI provisional</v>
      </c>
      <c r="K3418" s="5" t="str">
        <f t="shared" si="107"/>
        <v>U</v>
      </c>
      <c r="L3418" s="5" t="s">
        <v>2490</v>
      </c>
      <c r="M3418" s="5" t="s">
        <v>10315</v>
      </c>
      <c r="N3418" s="5" t="s">
        <v>10316</v>
      </c>
      <c r="O3418" s="5" t="s">
        <v>3006</v>
      </c>
      <c r="P3418" s="5" t="s">
        <v>2992</v>
      </c>
      <c r="Q3418" s="11">
        <v>46306.5</v>
      </c>
      <c r="R3418" s="6"/>
      <c r="S3418" s="6"/>
      <c r="T3418" s="6"/>
      <c r="U3418" s="5">
        <f>MATCH(B3418,Manual_Review!$A$6:$A$238,0)</f>
        <v>214</v>
      </c>
      <c r="V3418" s="5" t="str">
        <f>IF(INDEX(Manual_Review!$G$6:$G$238,U3418)="","",INDEX(Manual_Review!$G$6:$G$238,U3418))</f>
        <v/>
      </c>
      <c r="W3418" s="11" t="str">
        <f>IF(INDEX(Manual_Review!$H$6:$H$238,U3418)="","",INDEX(Manual_Review!$H$6:$H$238,U3418))</f>
        <v/>
      </c>
      <c r="X3418" s="5" t="str">
        <f>IF(INDEX(Manual_Review!$I$6:$I$238,U3418)="","",INDEX(Manual_Review!$I$6:$I$238,U3418))</f>
        <v/>
      </c>
      <c r="Y3418" s="5" t="s">
        <v>2859</v>
      </c>
    </row>
    <row r="3419" spans="1:25" ht="25.5">
      <c r="A3419" s="5" t="s">
        <v>10318</v>
      </c>
      <c r="B3419" s="5" t="s">
        <v>2478</v>
      </c>
      <c r="C3419" s="5" t="s">
        <v>2479</v>
      </c>
      <c r="D3419" s="5" t="s">
        <v>118</v>
      </c>
      <c r="E3419" s="5" t="s">
        <v>2786</v>
      </c>
      <c r="F3419" s="5" t="s">
        <v>2756</v>
      </c>
      <c r="G3419" s="5">
        <v>1</v>
      </c>
      <c r="H3419" s="5" t="s">
        <v>2864</v>
      </c>
      <c r="I3419" s="5" t="str">
        <f>IF(INDEX(Manual_Review!$P$6:$P$238,U3419)="","",INDEX(Manual_Review!$P$6:$P$238,U3419))</f>
        <v/>
      </c>
      <c r="J3419" s="5" t="str">
        <f t="shared" si="106"/>
        <v>AI provisional</v>
      </c>
      <c r="K3419" s="5" t="str">
        <f t="shared" si="107"/>
        <v>U</v>
      </c>
      <c r="L3419" s="5" t="s">
        <v>2490</v>
      </c>
      <c r="M3419" s="5" t="s">
        <v>10319</v>
      </c>
      <c r="N3419" s="5" t="s">
        <v>10320</v>
      </c>
      <c r="O3419" s="5" t="s">
        <v>3010</v>
      </c>
      <c r="P3419" s="5" t="s">
        <v>2992</v>
      </c>
      <c r="Q3419" s="11">
        <v>46306.5</v>
      </c>
      <c r="R3419" s="6"/>
      <c r="S3419" s="6"/>
      <c r="T3419" s="6"/>
      <c r="U3419" s="5">
        <f>MATCH(B3419,Manual_Review!$A$6:$A$238,0)</f>
        <v>214</v>
      </c>
      <c r="V3419" s="5" t="str">
        <f>IF(INDEX(Manual_Review!$G$6:$G$238,U3419)="","",INDEX(Manual_Review!$G$6:$G$238,U3419))</f>
        <v/>
      </c>
      <c r="W3419" s="11" t="str">
        <f>IF(INDEX(Manual_Review!$H$6:$H$238,U3419)="","",INDEX(Manual_Review!$H$6:$H$238,U3419))</f>
        <v/>
      </c>
      <c r="X3419" s="5" t="str">
        <f>IF(INDEX(Manual_Review!$I$6:$I$238,U3419)="","",INDEX(Manual_Review!$I$6:$I$238,U3419))</f>
        <v/>
      </c>
      <c r="Y3419" s="5" t="s">
        <v>2859</v>
      </c>
    </row>
    <row r="3420" spans="1:25" ht="25.5">
      <c r="A3420" s="5" t="s">
        <v>10321</v>
      </c>
      <c r="B3420" s="5" t="s">
        <v>2478</v>
      </c>
      <c r="C3420" s="5" t="s">
        <v>2479</v>
      </c>
      <c r="D3420" s="5" t="s">
        <v>118</v>
      </c>
      <c r="E3420" s="5" t="s">
        <v>2787</v>
      </c>
      <c r="F3420" s="5" t="s">
        <v>2758</v>
      </c>
      <c r="G3420" s="5">
        <v>1</v>
      </c>
      <c r="H3420" s="5" t="s">
        <v>2864</v>
      </c>
      <c r="I3420" s="5" t="str">
        <f>IF(INDEX(Manual_Review!$Q$6:$Q$238,U3420)="","",INDEX(Manual_Review!$Q$6:$Q$238,U3420))</f>
        <v/>
      </c>
      <c r="J3420" s="5" t="str">
        <f t="shared" si="106"/>
        <v>AI provisional</v>
      </c>
      <c r="K3420" s="5" t="str">
        <f t="shared" si="107"/>
        <v>U</v>
      </c>
      <c r="L3420" s="5" t="s">
        <v>2490</v>
      </c>
      <c r="M3420" s="5" t="s">
        <v>10322</v>
      </c>
      <c r="N3420" s="5" t="s">
        <v>10323</v>
      </c>
      <c r="O3420" s="5" t="s">
        <v>3014</v>
      </c>
      <c r="P3420" s="5" t="s">
        <v>2992</v>
      </c>
      <c r="Q3420" s="11">
        <v>46306.5</v>
      </c>
      <c r="R3420" s="6"/>
      <c r="S3420" s="6"/>
      <c r="T3420" s="6"/>
      <c r="U3420" s="5">
        <f>MATCH(B3420,Manual_Review!$A$6:$A$238,0)</f>
        <v>214</v>
      </c>
      <c r="V3420" s="5" t="str">
        <f>IF(INDEX(Manual_Review!$G$6:$G$238,U3420)="","",INDEX(Manual_Review!$G$6:$G$238,U3420))</f>
        <v/>
      </c>
      <c r="W3420" s="11" t="str">
        <f>IF(INDEX(Manual_Review!$H$6:$H$238,U3420)="","",INDEX(Manual_Review!$H$6:$H$238,U3420))</f>
        <v/>
      </c>
      <c r="X3420" s="5" t="str">
        <f>IF(INDEX(Manual_Review!$I$6:$I$238,U3420)="","",INDEX(Manual_Review!$I$6:$I$238,U3420))</f>
        <v/>
      </c>
      <c r="Y3420" s="5" t="s">
        <v>2859</v>
      </c>
    </row>
    <row r="3421" spans="1:25" ht="38.25">
      <c r="A3421" s="5" t="s">
        <v>10324</v>
      </c>
      <c r="B3421" s="5" t="s">
        <v>2478</v>
      </c>
      <c r="C3421" s="5" t="s">
        <v>2479</v>
      </c>
      <c r="D3421" s="5" t="s">
        <v>118</v>
      </c>
      <c r="E3421" s="5" t="s">
        <v>2788</v>
      </c>
      <c r="F3421" s="5" t="s">
        <v>2758</v>
      </c>
      <c r="G3421" s="5">
        <v>1</v>
      </c>
      <c r="H3421" s="5" t="s">
        <v>2854</v>
      </c>
      <c r="I3421" s="5" t="str">
        <f>IF(INDEX(Manual_Review!$R$6:$R$238,U3421)="","",INDEX(Manual_Review!$R$6:$R$238,U3421))</f>
        <v/>
      </c>
      <c r="J3421" s="5" t="str">
        <f t="shared" si="106"/>
        <v>AI provisional</v>
      </c>
      <c r="K3421" s="5" t="str">
        <f t="shared" si="107"/>
        <v>Y</v>
      </c>
      <c r="L3421" s="5" t="s">
        <v>2490</v>
      </c>
      <c r="M3421" s="5" t="s">
        <v>10325</v>
      </c>
      <c r="N3421" s="5" t="s">
        <v>10326</v>
      </c>
      <c r="O3421" s="5" t="s">
        <v>3018</v>
      </c>
      <c r="P3421" s="5" t="s">
        <v>2992</v>
      </c>
      <c r="Q3421" s="11">
        <v>46306.5</v>
      </c>
      <c r="R3421" s="6"/>
      <c r="S3421" s="6"/>
      <c r="T3421" s="6"/>
      <c r="U3421" s="5">
        <f>MATCH(B3421,Manual_Review!$A$6:$A$238,0)</f>
        <v>214</v>
      </c>
      <c r="V3421" s="5" t="str">
        <f>IF(INDEX(Manual_Review!$G$6:$G$238,U3421)="","",INDEX(Manual_Review!$G$6:$G$238,U3421))</f>
        <v/>
      </c>
      <c r="W3421" s="11" t="str">
        <f>IF(INDEX(Manual_Review!$H$6:$H$238,U3421)="","",INDEX(Manual_Review!$H$6:$H$238,U3421))</f>
        <v/>
      </c>
      <c r="X3421" s="5" t="str">
        <f>IF(INDEX(Manual_Review!$I$6:$I$238,U3421)="","",INDEX(Manual_Review!$I$6:$I$238,U3421))</f>
        <v/>
      </c>
      <c r="Y3421" s="5" t="s">
        <v>2859</v>
      </c>
    </row>
    <row r="3422" spans="1:25" ht="38.25">
      <c r="A3422" s="5" t="s">
        <v>10327</v>
      </c>
      <c r="B3422" s="5" t="s">
        <v>2478</v>
      </c>
      <c r="C3422" s="5" t="s">
        <v>2479</v>
      </c>
      <c r="D3422" s="5" t="s">
        <v>118</v>
      </c>
      <c r="E3422" s="5" t="s">
        <v>2789</v>
      </c>
      <c r="F3422" s="5" t="s">
        <v>2758</v>
      </c>
      <c r="G3422" s="5">
        <v>1</v>
      </c>
      <c r="H3422" s="5" t="s">
        <v>2854</v>
      </c>
      <c r="I3422" s="5" t="str">
        <f>IF(INDEX(Manual_Review!$S$6:$S$238,U3422)="","",INDEX(Manual_Review!$S$6:$S$238,U3422))</f>
        <v/>
      </c>
      <c r="J3422" s="5" t="str">
        <f t="shared" si="106"/>
        <v>AI provisional</v>
      </c>
      <c r="K3422" s="5" t="str">
        <f t="shared" si="107"/>
        <v>Y</v>
      </c>
      <c r="L3422" s="5" t="s">
        <v>2490</v>
      </c>
      <c r="M3422" s="5" t="s">
        <v>10328</v>
      </c>
      <c r="N3422" s="5" t="s">
        <v>10329</v>
      </c>
      <c r="O3422" s="5" t="s">
        <v>3022</v>
      </c>
      <c r="P3422" s="5" t="s">
        <v>2992</v>
      </c>
      <c r="Q3422" s="11">
        <v>46306.5</v>
      </c>
      <c r="R3422" s="6"/>
      <c r="S3422" s="6"/>
      <c r="T3422" s="6"/>
      <c r="U3422" s="5">
        <f>MATCH(B3422,Manual_Review!$A$6:$A$238,0)</f>
        <v>214</v>
      </c>
      <c r="V3422" s="5" t="str">
        <f>IF(INDEX(Manual_Review!$G$6:$G$238,U3422)="","",INDEX(Manual_Review!$G$6:$G$238,U3422))</f>
        <v/>
      </c>
      <c r="W3422" s="11" t="str">
        <f>IF(INDEX(Manual_Review!$H$6:$H$238,U3422)="","",INDEX(Manual_Review!$H$6:$H$238,U3422))</f>
        <v/>
      </c>
      <c r="X3422" s="5" t="str">
        <f>IF(INDEX(Manual_Review!$I$6:$I$238,U3422)="","",INDEX(Manual_Review!$I$6:$I$238,U3422))</f>
        <v/>
      </c>
      <c r="Y3422" s="5" t="s">
        <v>2859</v>
      </c>
    </row>
    <row r="3423" spans="1:25" ht="25.5">
      <c r="A3423" s="5" t="s">
        <v>10330</v>
      </c>
      <c r="B3423" s="5" t="s">
        <v>2478</v>
      </c>
      <c r="C3423" s="5" t="s">
        <v>2479</v>
      </c>
      <c r="D3423" s="5" t="s">
        <v>118</v>
      </c>
      <c r="E3423" s="5" t="s">
        <v>2790</v>
      </c>
      <c r="F3423" s="5" t="s">
        <v>2760</v>
      </c>
      <c r="G3423" s="5">
        <v>1</v>
      </c>
      <c r="H3423" s="5" t="s">
        <v>2864</v>
      </c>
      <c r="I3423" s="5" t="str">
        <f>IF(INDEX(Manual_Review!$T$6:$T$238,U3423)="","",INDEX(Manual_Review!$T$6:$T$238,U3423))</f>
        <v/>
      </c>
      <c r="J3423" s="5" t="str">
        <f t="shared" si="106"/>
        <v>AI provisional</v>
      </c>
      <c r="K3423" s="5" t="str">
        <f t="shared" si="107"/>
        <v>U</v>
      </c>
      <c r="L3423" s="5" t="s">
        <v>2490</v>
      </c>
      <c r="M3423" s="5" t="s">
        <v>10331</v>
      </c>
      <c r="N3423" s="5" t="s">
        <v>10332</v>
      </c>
      <c r="O3423" s="5" t="s">
        <v>5273</v>
      </c>
      <c r="P3423" s="5" t="s">
        <v>2992</v>
      </c>
      <c r="Q3423" s="11">
        <v>46306.5</v>
      </c>
      <c r="R3423" s="6"/>
      <c r="S3423" s="6"/>
      <c r="T3423" s="6"/>
      <c r="U3423" s="5">
        <f>MATCH(B3423,Manual_Review!$A$6:$A$238,0)</f>
        <v>214</v>
      </c>
      <c r="V3423" s="5" t="str">
        <f>IF(INDEX(Manual_Review!$G$6:$G$238,U3423)="","",INDEX(Manual_Review!$G$6:$G$238,U3423))</f>
        <v/>
      </c>
      <c r="W3423" s="11" t="str">
        <f>IF(INDEX(Manual_Review!$H$6:$H$238,U3423)="","",INDEX(Manual_Review!$H$6:$H$238,U3423))</f>
        <v/>
      </c>
      <c r="X3423" s="5" t="str">
        <f>IF(INDEX(Manual_Review!$I$6:$I$238,U3423)="","",INDEX(Manual_Review!$I$6:$I$238,U3423))</f>
        <v/>
      </c>
      <c r="Y3423" s="5" t="s">
        <v>2859</v>
      </c>
    </row>
    <row r="3424" spans="1:25" ht="25.5">
      <c r="A3424" s="5" t="s">
        <v>10333</v>
      </c>
      <c r="B3424" s="5" t="s">
        <v>2478</v>
      </c>
      <c r="C3424" s="5" t="s">
        <v>2479</v>
      </c>
      <c r="D3424" s="5" t="s">
        <v>118</v>
      </c>
      <c r="E3424" s="5" t="s">
        <v>2791</v>
      </c>
      <c r="F3424" s="5" t="s">
        <v>2760</v>
      </c>
      <c r="G3424" s="5">
        <v>1</v>
      </c>
      <c r="H3424" s="5" t="s">
        <v>2864</v>
      </c>
      <c r="I3424" s="5" t="str">
        <f>IF(INDEX(Manual_Review!$U$6:$U$238,U3424)="","",INDEX(Manual_Review!$U$6:$U$238,U3424))</f>
        <v/>
      </c>
      <c r="J3424" s="5" t="str">
        <f t="shared" si="106"/>
        <v>AI provisional</v>
      </c>
      <c r="K3424" s="5" t="str">
        <f t="shared" si="107"/>
        <v>U</v>
      </c>
      <c r="L3424" s="5" t="s">
        <v>2490</v>
      </c>
      <c r="M3424" s="5" t="s">
        <v>10334</v>
      </c>
      <c r="N3424" s="5" t="s">
        <v>10335</v>
      </c>
      <c r="O3424" s="5" t="s">
        <v>3030</v>
      </c>
      <c r="P3424" s="5" t="s">
        <v>2992</v>
      </c>
      <c r="Q3424" s="11">
        <v>46306.5</v>
      </c>
      <c r="R3424" s="6"/>
      <c r="S3424" s="6"/>
      <c r="T3424" s="6"/>
      <c r="U3424" s="5">
        <f>MATCH(B3424,Manual_Review!$A$6:$A$238,0)</f>
        <v>214</v>
      </c>
      <c r="V3424" s="5" t="str">
        <f>IF(INDEX(Manual_Review!$G$6:$G$238,U3424)="","",INDEX(Manual_Review!$G$6:$G$238,U3424))</f>
        <v/>
      </c>
      <c r="W3424" s="11" t="str">
        <f>IF(INDEX(Manual_Review!$H$6:$H$238,U3424)="","",INDEX(Manual_Review!$H$6:$H$238,U3424))</f>
        <v/>
      </c>
      <c r="X3424" s="5" t="str">
        <f>IF(INDEX(Manual_Review!$I$6:$I$238,U3424)="","",INDEX(Manual_Review!$I$6:$I$238,U3424))</f>
        <v/>
      </c>
      <c r="Y3424" s="5" t="s">
        <v>2859</v>
      </c>
    </row>
    <row r="3425" spans="1:25" ht="25.5">
      <c r="A3425" s="5" t="s">
        <v>10336</v>
      </c>
      <c r="B3425" s="5" t="s">
        <v>2478</v>
      </c>
      <c r="C3425" s="5" t="s">
        <v>2479</v>
      </c>
      <c r="D3425" s="5" t="s">
        <v>118</v>
      </c>
      <c r="E3425" s="5" t="s">
        <v>2792</v>
      </c>
      <c r="F3425" s="5" t="s">
        <v>2762</v>
      </c>
      <c r="G3425" s="5">
        <v>1</v>
      </c>
      <c r="H3425" s="5" t="s">
        <v>2854</v>
      </c>
      <c r="I3425" s="5" t="str">
        <f>IF(INDEX(Manual_Review!$V$6:$V$238,U3425)="","",INDEX(Manual_Review!$V$6:$V$238,U3425))</f>
        <v/>
      </c>
      <c r="J3425" s="5" t="str">
        <f t="shared" si="106"/>
        <v>AI provisional</v>
      </c>
      <c r="K3425" s="5" t="str">
        <f t="shared" si="107"/>
        <v>Y</v>
      </c>
      <c r="L3425" s="5" t="s">
        <v>2490</v>
      </c>
      <c r="M3425" s="5" t="s">
        <v>10337</v>
      </c>
      <c r="N3425" s="5" t="s">
        <v>10338</v>
      </c>
      <c r="O3425" s="5" t="s">
        <v>3034</v>
      </c>
      <c r="P3425" s="5" t="s">
        <v>2992</v>
      </c>
      <c r="Q3425" s="11">
        <v>46306.5</v>
      </c>
      <c r="R3425" s="6"/>
      <c r="S3425" s="6"/>
      <c r="T3425" s="6"/>
      <c r="U3425" s="5">
        <f>MATCH(B3425,Manual_Review!$A$6:$A$238,0)</f>
        <v>214</v>
      </c>
      <c r="V3425" s="5" t="str">
        <f>IF(INDEX(Manual_Review!$G$6:$G$238,U3425)="","",INDEX(Manual_Review!$G$6:$G$238,U3425))</f>
        <v/>
      </c>
      <c r="W3425" s="11" t="str">
        <f>IF(INDEX(Manual_Review!$H$6:$H$238,U3425)="","",INDEX(Manual_Review!$H$6:$H$238,U3425))</f>
        <v/>
      </c>
      <c r="X3425" s="5" t="str">
        <f>IF(INDEX(Manual_Review!$I$6:$I$238,U3425)="","",INDEX(Manual_Review!$I$6:$I$238,U3425))</f>
        <v/>
      </c>
      <c r="Y3425" s="5" t="s">
        <v>2859</v>
      </c>
    </row>
    <row r="3426" spans="1:25" ht="38.25">
      <c r="A3426" s="5" t="s">
        <v>10339</v>
      </c>
      <c r="B3426" s="5" t="s">
        <v>2478</v>
      </c>
      <c r="C3426" s="5" t="s">
        <v>2479</v>
      </c>
      <c r="D3426" s="5" t="s">
        <v>118</v>
      </c>
      <c r="E3426" s="5" t="s">
        <v>2793</v>
      </c>
      <c r="F3426" s="5" t="s">
        <v>2762</v>
      </c>
      <c r="G3426" s="5">
        <v>1</v>
      </c>
      <c r="H3426" s="5" t="s">
        <v>2854</v>
      </c>
      <c r="I3426" s="5" t="str">
        <f>IF(INDEX(Manual_Review!$W$6:$W$238,U3426)="","",INDEX(Manual_Review!$W$6:$W$238,U3426))</f>
        <v/>
      </c>
      <c r="J3426" s="5" t="str">
        <f t="shared" si="106"/>
        <v>AI provisional</v>
      </c>
      <c r="K3426" s="5" t="str">
        <f t="shared" si="107"/>
        <v>Y</v>
      </c>
      <c r="L3426" s="5" t="s">
        <v>2490</v>
      </c>
      <c r="M3426" s="5" t="s">
        <v>10340</v>
      </c>
      <c r="N3426" s="5" t="s">
        <v>10341</v>
      </c>
      <c r="O3426" s="5" t="s">
        <v>3038</v>
      </c>
      <c r="P3426" s="5" t="s">
        <v>2992</v>
      </c>
      <c r="Q3426" s="11">
        <v>46306.5</v>
      </c>
      <c r="R3426" s="6"/>
      <c r="S3426" s="6"/>
      <c r="T3426" s="6"/>
      <c r="U3426" s="5">
        <f>MATCH(B3426,Manual_Review!$A$6:$A$238,0)</f>
        <v>214</v>
      </c>
      <c r="V3426" s="5" t="str">
        <f>IF(INDEX(Manual_Review!$G$6:$G$238,U3426)="","",INDEX(Manual_Review!$G$6:$G$238,U3426))</f>
        <v/>
      </c>
      <c r="W3426" s="11" t="str">
        <f>IF(INDEX(Manual_Review!$H$6:$H$238,U3426)="","",INDEX(Manual_Review!$H$6:$H$238,U3426))</f>
        <v/>
      </c>
      <c r="X3426" s="5" t="str">
        <f>IF(INDEX(Manual_Review!$I$6:$I$238,U3426)="","",INDEX(Manual_Review!$I$6:$I$238,U3426))</f>
        <v/>
      </c>
      <c r="Y3426" s="5" t="s">
        <v>2859</v>
      </c>
    </row>
    <row r="3427" spans="1:25" ht="25.5">
      <c r="A3427" s="5" t="s">
        <v>10342</v>
      </c>
      <c r="B3427" s="5" t="s">
        <v>2478</v>
      </c>
      <c r="C3427" s="5" t="s">
        <v>2479</v>
      </c>
      <c r="D3427" s="5" t="s">
        <v>118</v>
      </c>
      <c r="E3427" s="5" t="s">
        <v>2794</v>
      </c>
      <c r="F3427" s="5" t="s">
        <v>2764</v>
      </c>
      <c r="G3427" s="5">
        <v>1</v>
      </c>
      <c r="H3427" s="5" t="s">
        <v>2854</v>
      </c>
      <c r="I3427" s="5" t="str">
        <f>IF(INDEX(Manual_Review!$X$6:$X$238,U3427)="","",INDEX(Manual_Review!$X$6:$X$238,U3427))</f>
        <v/>
      </c>
      <c r="J3427" s="5" t="str">
        <f t="shared" si="106"/>
        <v>AI provisional</v>
      </c>
      <c r="K3427" s="5" t="str">
        <f t="shared" si="107"/>
        <v>Y</v>
      </c>
      <c r="L3427" s="5" t="s">
        <v>2490</v>
      </c>
      <c r="M3427" s="5" t="s">
        <v>10343</v>
      </c>
      <c r="N3427" s="5" t="s">
        <v>10344</v>
      </c>
      <c r="O3427" s="5" t="s">
        <v>3042</v>
      </c>
      <c r="P3427" s="5" t="s">
        <v>2992</v>
      </c>
      <c r="Q3427" s="11">
        <v>46306.5</v>
      </c>
      <c r="R3427" s="6"/>
      <c r="S3427" s="6"/>
      <c r="T3427" s="6"/>
      <c r="U3427" s="5">
        <f>MATCH(B3427,Manual_Review!$A$6:$A$238,0)</f>
        <v>214</v>
      </c>
      <c r="V3427" s="5" t="str">
        <f>IF(INDEX(Manual_Review!$G$6:$G$238,U3427)="","",INDEX(Manual_Review!$G$6:$G$238,U3427))</f>
        <v/>
      </c>
      <c r="W3427" s="11" t="str">
        <f>IF(INDEX(Manual_Review!$H$6:$H$238,U3427)="","",INDEX(Manual_Review!$H$6:$H$238,U3427))</f>
        <v/>
      </c>
      <c r="X3427" s="5" t="str">
        <f>IF(INDEX(Manual_Review!$I$6:$I$238,U3427)="","",INDEX(Manual_Review!$I$6:$I$238,U3427))</f>
        <v/>
      </c>
      <c r="Y3427" s="5" t="s">
        <v>2859</v>
      </c>
    </row>
    <row r="3428" spans="1:25" ht="25.5">
      <c r="A3428" s="5" t="s">
        <v>10345</v>
      </c>
      <c r="B3428" s="5" t="s">
        <v>2478</v>
      </c>
      <c r="C3428" s="5" t="s">
        <v>2479</v>
      </c>
      <c r="D3428" s="5" t="s">
        <v>118</v>
      </c>
      <c r="E3428" s="5" t="s">
        <v>2795</v>
      </c>
      <c r="F3428" s="5" t="s">
        <v>2764</v>
      </c>
      <c r="G3428" s="5">
        <v>1</v>
      </c>
      <c r="H3428" s="5" t="s">
        <v>2854</v>
      </c>
      <c r="I3428" s="5" t="str">
        <f>IF(INDEX(Manual_Review!$Y$6:$Y$238,U3428)="","",INDEX(Manual_Review!$Y$6:$Y$238,U3428))</f>
        <v/>
      </c>
      <c r="J3428" s="5" t="str">
        <f t="shared" si="106"/>
        <v>AI provisional</v>
      </c>
      <c r="K3428" s="5" t="str">
        <f t="shared" si="107"/>
        <v>Y</v>
      </c>
      <c r="L3428" s="5" t="s">
        <v>2490</v>
      </c>
      <c r="M3428" s="5" t="s">
        <v>10346</v>
      </c>
      <c r="N3428" s="5" t="s">
        <v>10347</v>
      </c>
      <c r="O3428" s="5" t="s">
        <v>3046</v>
      </c>
      <c r="P3428" s="5" t="s">
        <v>2992</v>
      </c>
      <c r="Q3428" s="11">
        <v>46306.5</v>
      </c>
      <c r="R3428" s="6"/>
      <c r="S3428" s="6"/>
      <c r="T3428" s="6"/>
      <c r="U3428" s="5">
        <f>MATCH(B3428,Manual_Review!$A$6:$A$238,0)</f>
        <v>214</v>
      </c>
      <c r="V3428" s="5" t="str">
        <f>IF(INDEX(Manual_Review!$G$6:$G$238,U3428)="","",INDEX(Manual_Review!$G$6:$G$238,U3428))</f>
        <v/>
      </c>
      <c r="W3428" s="11" t="str">
        <f>IF(INDEX(Manual_Review!$H$6:$H$238,U3428)="","",INDEX(Manual_Review!$H$6:$H$238,U3428))</f>
        <v/>
      </c>
      <c r="X3428" s="5" t="str">
        <f>IF(INDEX(Manual_Review!$I$6:$I$238,U3428)="","",INDEX(Manual_Review!$I$6:$I$238,U3428))</f>
        <v/>
      </c>
      <c r="Y3428" s="5" t="s">
        <v>2859</v>
      </c>
    </row>
    <row r="3429" spans="1:25" ht="38.25">
      <c r="A3429" s="5" t="s">
        <v>10348</v>
      </c>
      <c r="B3429" s="5" t="s">
        <v>2478</v>
      </c>
      <c r="C3429" s="5" t="s">
        <v>2479</v>
      </c>
      <c r="D3429" s="5" t="s">
        <v>118</v>
      </c>
      <c r="E3429" s="5" t="s">
        <v>2796</v>
      </c>
      <c r="F3429" s="5" t="s">
        <v>2764</v>
      </c>
      <c r="G3429" s="5">
        <v>1</v>
      </c>
      <c r="H3429" s="5" t="s">
        <v>2864</v>
      </c>
      <c r="I3429" s="5" t="str">
        <f>IF(INDEX(Manual_Review!$Z$6:$Z$238,U3429)="","",INDEX(Manual_Review!$Z$6:$Z$238,U3429))</f>
        <v/>
      </c>
      <c r="J3429" s="5" t="str">
        <f t="shared" si="106"/>
        <v>AI provisional</v>
      </c>
      <c r="K3429" s="5" t="str">
        <f t="shared" si="107"/>
        <v>U</v>
      </c>
      <c r="L3429" s="5" t="s">
        <v>2490</v>
      </c>
      <c r="M3429" s="5" t="s">
        <v>10349</v>
      </c>
      <c r="N3429" s="5" t="s">
        <v>10350</v>
      </c>
      <c r="O3429" s="5" t="s">
        <v>3050</v>
      </c>
      <c r="P3429" s="5" t="s">
        <v>2992</v>
      </c>
      <c r="Q3429" s="11">
        <v>46306.5</v>
      </c>
      <c r="R3429" s="6"/>
      <c r="S3429" s="6"/>
      <c r="T3429" s="6"/>
      <c r="U3429" s="5">
        <f>MATCH(B3429,Manual_Review!$A$6:$A$238,0)</f>
        <v>214</v>
      </c>
      <c r="V3429" s="5" t="str">
        <f>IF(INDEX(Manual_Review!$G$6:$G$238,U3429)="","",INDEX(Manual_Review!$G$6:$G$238,U3429))</f>
        <v/>
      </c>
      <c r="W3429" s="11" t="str">
        <f>IF(INDEX(Manual_Review!$H$6:$H$238,U3429)="","",INDEX(Manual_Review!$H$6:$H$238,U3429))</f>
        <v/>
      </c>
      <c r="X3429" s="5" t="str">
        <f>IF(INDEX(Manual_Review!$I$6:$I$238,U3429)="","",INDEX(Manual_Review!$I$6:$I$238,U3429))</f>
        <v/>
      </c>
      <c r="Y3429" s="5" t="s">
        <v>2859</v>
      </c>
    </row>
    <row r="3430" spans="1:25" ht="25.5">
      <c r="A3430" s="5" t="s">
        <v>10351</v>
      </c>
      <c r="B3430" s="5" t="s">
        <v>2492</v>
      </c>
      <c r="C3430" s="5" t="s">
        <v>2493</v>
      </c>
      <c r="D3430" s="5" t="s">
        <v>118</v>
      </c>
      <c r="E3430" s="5" t="s">
        <v>2781</v>
      </c>
      <c r="F3430" s="5" t="s">
        <v>2754</v>
      </c>
      <c r="G3430" s="5">
        <v>1</v>
      </c>
      <c r="H3430" s="5" t="s">
        <v>2854</v>
      </c>
      <c r="I3430" s="5" t="str">
        <f>IF(INDEX(Manual_Review!$K$6:$K$238,U3430)="","",INDEX(Manual_Review!$K$6:$K$238,U3430))</f>
        <v/>
      </c>
      <c r="J3430" s="5" t="str">
        <f t="shared" si="106"/>
        <v>AI provisional</v>
      </c>
      <c r="K3430" s="5" t="str">
        <f t="shared" si="107"/>
        <v>Y</v>
      </c>
      <c r="L3430" s="5" t="s">
        <v>2502</v>
      </c>
      <c r="M3430" s="5" t="s">
        <v>10352</v>
      </c>
      <c r="N3430" s="5" t="s">
        <v>10353</v>
      </c>
      <c r="O3430" s="5" t="s">
        <v>2991</v>
      </c>
      <c r="P3430" s="5" t="s">
        <v>2992</v>
      </c>
      <c r="Q3430" s="11">
        <v>46306.5</v>
      </c>
      <c r="R3430" s="6"/>
      <c r="S3430" s="6"/>
      <c r="T3430" s="6"/>
      <c r="U3430" s="5">
        <f>MATCH(B3430,Manual_Review!$A$6:$A$238,0)</f>
        <v>215</v>
      </c>
      <c r="V3430" s="5" t="str">
        <f>IF(INDEX(Manual_Review!$G$6:$G$238,U3430)="","",INDEX(Manual_Review!$G$6:$G$238,U3430))</f>
        <v/>
      </c>
      <c r="W3430" s="11" t="str">
        <f>IF(INDEX(Manual_Review!$H$6:$H$238,U3430)="","",INDEX(Manual_Review!$H$6:$H$238,U3430))</f>
        <v/>
      </c>
      <c r="X3430" s="5" t="str">
        <f>IF(INDEX(Manual_Review!$I$6:$I$238,U3430)="","",INDEX(Manual_Review!$I$6:$I$238,U3430))</f>
        <v/>
      </c>
      <c r="Y3430" s="5" t="s">
        <v>2859</v>
      </c>
    </row>
    <row r="3431" spans="1:25" ht="25.5">
      <c r="A3431" s="5" t="s">
        <v>10354</v>
      </c>
      <c r="B3431" s="5" t="s">
        <v>2492</v>
      </c>
      <c r="C3431" s="5" t="s">
        <v>2493</v>
      </c>
      <c r="D3431" s="5" t="s">
        <v>118</v>
      </c>
      <c r="E3431" s="5" t="s">
        <v>2782</v>
      </c>
      <c r="F3431" s="5" t="s">
        <v>2754</v>
      </c>
      <c r="G3431" s="5">
        <v>1</v>
      </c>
      <c r="H3431" s="5" t="s">
        <v>2854</v>
      </c>
      <c r="I3431" s="5" t="str">
        <f>IF(INDEX(Manual_Review!$L$6:$L$238,U3431)="","",INDEX(Manual_Review!$L$6:$L$238,U3431))</f>
        <v/>
      </c>
      <c r="J3431" s="5" t="str">
        <f t="shared" si="106"/>
        <v>AI provisional</v>
      </c>
      <c r="K3431" s="5" t="str">
        <f t="shared" si="107"/>
        <v>Y</v>
      </c>
      <c r="L3431" s="5" t="s">
        <v>2502</v>
      </c>
      <c r="M3431" s="5" t="s">
        <v>10355</v>
      </c>
      <c r="N3431" s="5" t="s">
        <v>10356</v>
      </c>
      <c r="O3431" s="5" t="s">
        <v>2996</v>
      </c>
      <c r="P3431" s="5" t="s">
        <v>2992</v>
      </c>
      <c r="Q3431" s="11">
        <v>46306.5</v>
      </c>
      <c r="R3431" s="6"/>
      <c r="S3431" s="6"/>
      <c r="T3431" s="6"/>
      <c r="U3431" s="5">
        <f>MATCH(B3431,Manual_Review!$A$6:$A$238,0)</f>
        <v>215</v>
      </c>
      <c r="V3431" s="5" t="str">
        <f>IF(INDEX(Manual_Review!$G$6:$G$238,U3431)="","",INDEX(Manual_Review!$G$6:$G$238,U3431))</f>
        <v/>
      </c>
      <c r="W3431" s="11" t="str">
        <f>IF(INDEX(Manual_Review!$H$6:$H$238,U3431)="","",INDEX(Manual_Review!$H$6:$H$238,U3431))</f>
        <v/>
      </c>
      <c r="X3431" s="5" t="str">
        <f>IF(INDEX(Manual_Review!$I$6:$I$238,U3431)="","",INDEX(Manual_Review!$I$6:$I$238,U3431))</f>
        <v/>
      </c>
      <c r="Y3431" s="5" t="s">
        <v>2859</v>
      </c>
    </row>
    <row r="3432" spans="1:25" ht="25.5">
      <c r="A3432" s="5" t="s">
        <v>10357</v>
      </c>
      <c r="B3432" s="5" t="s">
        <v>2492</v>
      </c>
      <c r="C3432" s="5" t="s">
        <v>2493</v>
      </c>
      <c r="D3432" s="5" t="s">
        <v>118</v>
      </c>
      <c r="E3432" s="5" t="s">
        <v>2783</v>
      </c>
      <c r="F3432" s="5" t="s">
        <v>2754</v>
      </c>
      <c r="G3432" s="5">
        <v>1</v>
      </c>
      <c r="H3432" s="5" t="s">
        <v>2854</v>
      </c>
      <c r="I3432" s="5" t="str">
        <f>IF(INDEX(Manual_Review!$M$6:$M$238,U3432)="","",INDEX(Manual_Review!$M$6:$M$238,U3432))</f>
        <v/>
      </c>
      <c r="J3432" s="5" t="str">
        <f t="shared" si="106"/>
        <v>AI provisional</v>
      </c>
      <c r="K3432" s="5" t="str">
        <f t="shared" si="107"/>
        <v>Y</v>
      </c>
      <c r="L3432" s="5" t="s">
        <v>2502</v>
      </c>
      <c r="M3432" s="5" t="s">
        <v>10358</v>
      </c>
      <c r="N3432" s="5" t="s">
        <v>9259</v>
      </c>
      <c r="O3432" s="5" t="s">
        <v>3000</v>
      </c>
      <c r="P3432" s="5" t="s">
        <v>2992</v>
      </c>
      <c r="Q3432" s="11">
        <v>46306.5</v>
      </c>
      <c r="R3432" s="6"/>
      <c r="S3432" s="6"/>
      <c r="T3432" s="6"/>
      <c r="U3432" s="5">
        <f>MATCH(B3432,Manual_Review!$A$6:$A$238,0)</f>
        <v>215</v>
      </c>
      <c r="V3432" s="5" t="str">
        <f>IF(INDEX(Manual_Review!$G$6:$G$238,U3432)="","",INDEX(Manual_Review!$G$6:$G$238,U3432))</f>
        <v/>
      </c>
      <c r="W3432" s="11" t="str">
        <f>IF(INDEX(Manual_Review!$H$6:$H$238,U3432)="","",INDEX(Manual_Review!$H$6:$H$238,U3432))</f>
        <v/>
      </c>
      <c r="X3432" s="5" t="str">
        <f>IF(INDEX(Manual_Review!$I$6:$I$238,U3432)="","",INDEX(Manual_Review!$I$6:$I$238,U3432))</f>
        <v/>
      </c>
      <c r="Y3432" s="5" t="s">
        <v>2859</v>
      </c>
    </row>
    <row r="3433" spans="1:25" ht="25.5">
      <c r="A3433" s="5" t="s">
        <v>10359</v>
      </c>
      <c r="B3433" s="5" t="s">
        <v>2492</v>
      </c>
      <c r="C3433" s="5" t="s">
        <v>2493</v>
      </c>
      <c r="D3433" s="5" t="s">
        <v>118</v>
      </c>
      <c r="E3433" s="5" t="s">
        <v>2784</v>
      </c>
      <c r="F3433" s="5" t="s">
        <v>2756</v>
      </c>
      <c r="G3433" s="5">
        <v>1</v>
      </c>
      <c r="H3433" s="5" t="s">
        <v>2864</v>
      </c>
      <c r="I3433" s="5" t="str">
        <f>IF(INDEX(Manual_Review!$N$6:$N$238,U3433)="","",INDEX(Manual_Review!$N$6:$N$238,U3433))</f>
        <v/>
      </c>
      <c r="J3433" s="5" t="str">
        <f t="shared" si="106"/>
        <v>AI provisional</v>
      </c>
      <c r="K3433" s="5" t="str">
        <f t="shared" si="107"/>
        <v>U</v>
      </c>
      <c r="L3433" s="5" t="s">
        <v>2502</v>
      </c>
      <c r="M3433" s="5" t="s">
        <v>10360</v>
      </c>
      <c r="N3433" s="5" t="s">
        <v>10361</v>
      </c>
      <c r="O3433" s="5" t="s">
        <v>9214</v>
      </c>
      <c r="P3433" s="5" t="s">
        <v>2992</v>
      </c>
      <c r="Q3433" s="11">
        <v>46306.5</v>
      </c>
      <c r="R3433" s="6"/>
      <c r="S3433" s="6"/>
      <c r="T3433" s="6"/>
      <c r="U3433" s="5">
        <f>MATCH(B3433,Manual_Review!$A$6:$A$238,0)</f>
        <v>215</v>
      </c>
      <c r="V3433" s="5" t="str">
        <f>IF(INDEX(Manual_Review!$G$6:$G$238,U3433)="","",INDEX(Manual_Review!$G$6:$G$238,U3433))</f>
        <v/>
      </c>
      <c r="W3433" s="11" t="str">
        <f>IF(INDEX(Manual_Review!$H$6:$H$238,U3433)="","",INDEX(Manual_Review!$H$6:$H$238,U3433))</f>
        <v/>
      </c>
      <c r="X3433" s="5" t="str">
        <f>IF(INDEX(Manual_Review!$I$6:$I$238,U3433)="","",INDEX(Manual_Review!$I$6:$I$238,U3433))</f>
        <v/>
      </c>
      <c r="Y3433" s="5" t="s">
        <v>2859</v>
      </c>
    </row>
    <row r="3434" spans="1:25" ht="25.5">
      <c r="A3434" s="5" t="s">
        <v>10362</v>
      </c>
      <c r="B3434" s="5" t="s">
        <v>2492</v>
      </c>
      <c r="C3434" s="5" t="s">
        <v>2493</v>
      </c>
      <c r="D3434" s="5" t="s">
        <v>118</v>
      </c>
      <c r="E3434" s="5" t="s">
        <v>2785</v>
      </c>
      <c r="F3434" s="5" t="s">
        <v>2756</v>
      </c>
      <c r="G3434" s="5">
        <v>1</v>
      </c>
      <c r="H3434" s="5" t="s">
        <v>2864</v>
      </c>
      <c r="I3434" s="5" t="str">
        <f>IF(INDEX(Manual_Review!$O$6:$O$238,U3434)="","",INDEX(Manual_Review!$O$6:$O$238,U3434))</f>
        <v/>
      </c>
      <c r="J3434" s="5" t="str">
        <f t="shared" si="106"/>
        <v>AI provisional</v>
      </c>
      <c r="K3434" s="5" t="str">
        <f t="shared" si="107"/>
        <v>U</v>
      </c>
      <c r="L3434" s="5" t="s">
        <v>2502</v>
      </c>
      <c r="M3434" s="5" t="s">
        <v>10360</v>
      </c>
      <c r="N3434" s="5" t="s">
        <v>10361</v>
      </c>
      <c r="O3434" s="5" t="s">
        <v>3006</v>
      </c>
      <c r="P3434" s="5" t="s">
        <v>2992</v>
      </c>
      <c r="Q3434" s="11">
        <v>46306.5</v>
      </c>
      <c r="R3434" s="6"/>
      <c r="S3434" s="6"/>
      <c r="T3434" s="6"/>
      <c r="U3434" s="5">
        <f>MATCH(B3434,Manual_Review!$A$6:$A$238,0)</f>
        <v>215</v>
      </c>
      <c r="V3434" s="5" t="str">
        <f>IF(INDEX(Manual_Review!$G$6:$G$238,U3434)="","",INDEX(Manual_Review!$G$6:$G$238,U3434))</f>
        <v/>
      </c>
      <c r="W3434" s="11" t="str">
        <f>IF(INDEX(Manual_Review!$H$6:$H$238,U3434)="","",INDEX(Manual_Review!$H$6:$H$238,U3434))</f>
        <v/>
      </c>
      <c r="X3434" s="5" t="str">
        <f>IF(INDEX(Manual_Review!$I$6:$I$238,U3434)="","",INDEX(Manual_Review!$I$6:$I$238,U3434))</f>
        <v/>
      </c>
      <c r="Y3434" s="5" t="s">
        <v>2859</v>
      </c>
    </row>
    <row r="3435" spans="1:25" ht="25.5">
      <c r="A3435" s="5" t="s">
        <v>10363</v>
      </c>
      <c r="B3435" s="5" t="s">
        <v>2492</v>
      </c>
      <c r="C3435" s="5" t="s">
        <v>2493</v>
      </c>
      <c r="D3435" s="5" t="s">
        <v>118</v>
      </c>
      <c r="E3435" s="5" t="s">
        <v>2786</v>
      </c>
      <c r="F3435" s="5" t="s">
        <v>2756</v>
      </c>
      <c r="G3435" s="5">
        <v>1</v>
      </c>
      <c r="H3435" s="5" t="s">
        <v>2864</v>
      </c>
      <c r="I3435" s="5" t="str">
        <f>IF(INDEX(Manual_Review!$P$6:$P$238,U3435)="","",INDEX(Manual_Review!$P$6:$P$238,U3435))</f>
        <v/>
      </c>
      <c r="J3435" s="5" t="str">
        <f t="shared" si="106"/>
        <v>AI provisional</v>
      </c>
      <c r="K3435" s="5" t="str">
        <f t="shared" si="107"/>
        <v>U</v>
      </c>
      <c r="L3435" s="5" t="s">
        <v>2502</v>
      </c>
      <c r="M3435" s="5" t="s">
        <v>10364</v>
      </c>
      <c r="N3435" s="5" t="s">
        <v>10365</v>
      </c>
      <c r="O3435" s="5" t="s">
        <v>3010</v>
      </c>
      <c r="P3435" s="5" t="s">
        <v>2992</v>
      </c>
      <c r="Q3435" s="11">
        <v>46306.5</v>
      </c>
      <c r="R3435" s="6"/>
      <c r="S3435" s="6"/>
      <c r="T3435" s="6"/>
      <c r="U3435" s="5">
        <f>MATCH(B3435,Manual_Review!$A$6:$A$238,0)</f>
        <v>215</v>
      </c>
      <c r="V3435" s="5" t="str">
        <f>IF(INDEX(Manual_Review!$G$6:$G$238,U3435)="","",INDEX(Manual_Review!$G$6:$G$238,U3435))</f>
        <v/>
      </c>
      <c r="W3435" s="11" t="str">
        <f>IF(INDEX(Manual_Review!$H$6:$H$238,U3435)="","",INDEX(Manual_Review!$H$6:$H$238,U3435))</f>
        <v/>
      </c>
      <c r="X3435" s="5" t="str">
        <f>IF(INDEX(Manual_Review!$I$6:$I$238,U3435)="","",INDEX(Manual_Review!$I$6:$I$238,U3435))</f>
        <v/>
      </c>
      <c r="Y3435" s="5" t="s">
        <v>2859</v>
      </c>
    </row>
    <row r="3436" spans="1:25" ht="25.5">
      <c r="A3436" s="5" t="s">
        <v>10366</v>
      </c>
      <c r="B3436" s="5" t="s">
        <v>2492</v>
      </c>
      <c r="C3436" s="5" t="s">
        <v>2493</v>
      </c>
      <c r="D3436" s="5" t="s">
        <v>118</v>
      </c>
      <c r="E3436" s="5" t="s">
        <v>2787</v>
      </c>
      <c r="F3436" s="5" t="s">
        <v>2758</v>
      </c>
      <c r="G3436" s="5">
        <v>1</v>
      </c>
      <c r="H3436" s="5" t="s">
        <v>2864</v>
      </c>
      <c r="I3436" s="5" t="str">
        <f>IF(INDEX(Manual_Review!$Q$6:$Q$238,U3436)="","",INDEX(Manual_Review!$Q$6:$Q$238,U3436))</f>
        <v/>
      </c>
      <c r="J3436" s="5" t="str">
        <f t="shared" si="106"/>
        <v>AI provisional</v>
      </c>
      <c r="K3436" s="5" t="str">
        <f t="shared" si="107"/>
        <v>U</v>
      </c>
      <c r="L3436" s="5" t="s">
        <v>2502</v>
      </c>
      <c r="M3436" s="5" t="s">
        <v>10367</v>
      </c>
      <c r="N3436" s="5" t="s">
        <v>10368</v>
      </c>
      <c r="O3436" s="5" t="s">
        <v>3014</v>
      </c>
      <c r="P3436" s="5" t="s">
        <v>2992</v>
      </c>
      <c r="Q3436" s="11">
        <v>46306.5</v>
      </c>
      <c r="R3436" s="6"/>
      <c r="S3436" s="6"/>
      <c r="T3436" s="6"/>
      <c r="U3436" s="5">
        <f>MATCH(B3436,Manual_Review!$A$6:$A$238,0)</f>
        <v>215</v>
      </c>
      <c r="V3436" s="5" t="str">
        <f>IF(INDEX(Manual_Review!$G$6:$G$238,U3436)="","",INDEX(Manual_Review!$G$6:$G$238,U3436))</f>
        <v/>
      </c>
      <c r="W3436" s="11" t="str">
        <f>IF(INDEX(Manual_Review!$H$6:$H$238,U3436)="","",INDEX(Manual_Review!$H$6:$H$238,U3436))</f>
        <v/>
      </c>
      <c r="X3436" s="5" t="str">
        <f>IF(INDEX(Manual_Review!$I$6:$I$238,U3436)="","",INDEX(Manual_Review!$I$6:$I$238,U3436))</f>
        <v/>
      </c>
      <c r="Y3436" s="5" t="s">
        <v>2859</v>
      </c>
    </row>
    <row r="3437" spans="1:25" ht="38.25">
      <c r="A3437" s="5" t="s">
        <v>10369</v>
      </c>
      <c r="B3437" s="5" t="s">
        <v>2492</v>
      </c>
      <c r="C3437" s="5" t="s">
        <v>2493</v>
      </c>
      <c r="D3437" s="5" t="s">
        <v>118</v>
      </c>
      <c r="E3437" s="5" t="s">
        <v>2788</v>
      </c>
      <c r="F3437" s="5" t="s">
        <v>2758</v>
      </c>
      <c r="G3437" s="5">
        <v>1</v>
      </c>
      <c r="H3437" s="5" t="s">
        <v>2854</v>
      </c>
      <c r="I3437" s="5" t="str">
        <f>IF(INDEX(Manual_Review!$R$6:$R$238,U3437)="","",INDEX(Manual_Review!$R$6:$R$238,U3437))</f>
        <v/>
      </c>
      <c r="J3437" s="5" t="str">
        <f t="shared" si="106"/>
        <v>AI provisional</v>
      </c>
      <c r="K3437" s="5" t="str">
        <f t="shared" si="107"/>
        <v>Y</v>
      </c>
      <c r="L3437" s="5" t="s">
        <v>2502</v>
      </c>
      <c r="M3437" s="5" t="s">
        <v>10370</v>
      </c>
      <c r="N3437" s="5" t="s">
        <v>10371</v>
      </c>
      <c r="O3437" s="5" t="s">
        <v>3018</v>
      </c>
      <c r="P3437" s="5" t="s">
        <v>2992</v>
      </c>
      <c r="Q3437" s="11">
        <v>46306.5</v>
      </c>
      <c r="R3437" s="6"/>
      <c r="S3437" s="6"/>
      <c r="T3437" s="6"/>
      <c r="U3437" s="5">
        <f>MATCH(B3437,Manual_Review!$A$6:$A$238,0)</f>
        <v>215</v>
      </c>
      <c r="V3437" s="5" t="str">
        <f>IF(INDEX(Manual_Review!$G$6:$G$238,U3437)="","",INDEX(Manual_Review!$G$6:$G$238,U3437))</f>
        <v/>
      </c>
      <c r="W3437" s="11" t="str">
        <f>IF(INDEX(Manual_Review!$H$6:$H$238,U3437)="","",INDEX(Manual_Review!$H$6:$H$238,U3437))</f>
        <v/>
      </c>
      <c r="X3437" s="5" t="str">
        <f>IF(INDEX(Manual_Review!$I$6:$I$238,U3437)="","",INDEX(Manual_Review!$I$6:$I$238,U3437))</f>
        <v/>
      </c>
      <c r="Y3437" s="5" t="s">
        <v>2859</v>
      </c>
    </row>
    <row r="3438" spans="1:25" ht="25.5">
      <c r="A3438" s="5" t="s">
        <v>10372</v>
      </c>
      <c r="B3438" s="5" t="s">
        <v>2492</v>
      </c>
      <c r="C3438" s="5" t="s">
        <v>2493</v>
      </c>
      <c r="D3438" s="5" t="s">
        <v>118</v>
      </c>
      <c r="E3438" s="5" t="s">
        <v>2789</v>
      </c>
      <c r="F3438" s="5" t="s">
        <v>2758</v>
      </c>
      <c r="G3438" s="5">
        <v>1</v>
      </c>
      <c r="H3438" s="5" t="s">
        <v>2854</v>
      </c>
      <c r="I3438" s="5" t="str">
        <f>IF(INDEX(Manual_Review!$S$6:$S$238,U3438)="","",INDEX(Manual_Review!$S$6:$S$238,U3438))</f>
        <v/>
      </c>
      <c r="J3438" s="5" t="str">
        <f t="shared" si="106"/>
        <v>AI provisional</v>
      </c>
      <c r="K3438" s="5" t="str">
        <f t="shared" si="107"/>
        <v>Y</v>
      </c>
      <c r="L3438" s="5" t="s">
        <v>2502</v>
      </c>
      <c r="M3438" s="5" t="s">
        <v>10373</v>
      </c>
      <c r="N3438" s="5" t="s">
        <v>10374</v>
      </c>
      <c r="O3438" s="5" t="s">
        <v>3022</v>
      </c>
      <c r="P3438" s="5" t="s">
        <v>2992</v>
      </c>
      <c r="Q3438" s="11">
        <v>46306.5</v>
      </c>
      <c r="R3438" s="6"/>
      <c r="S3438" s="6"/>
      <c r="T3438" s="6"/>
      <c r="U3438" s="5">
        <f>MATCH(B3438,Manual_Review!$A$6:$A$238,0)</f>
        <v>215</v>
      </c>
      <c r="V3438" s="5" t="str">
        <f>IF(INDEX(Manual_Review!$G$6:$G$238,U3438)="","",INDEX(Manual_Review!$G$6:$G$238,U3438))</f>
        <v/>
      </c>
      <c r="W3438" s="11" t="str">
        <f>IF(INDEX(Manual_Review!$H$6:$H$238,U3438)="","",INDEX(Manual_Review!$H$6:$H$238,U3438))</f>
        <v/>
      </c>
      <c r="X3438" s="5" t="str">
        <f>IF(INDEX(Manual_Review!$I$6:$I$238,U3438)="","",INDEX(Manual_Review!$I$6:$I$238,U3438))</f>
        <v/>
      </c>
      <c r="Y3438" s="5" t="s">
        <v>2859</v>
      </c>
    </row>
    <row r="3439" spans="1:25" ht="25.5">
      <c r="A3439" s="5" t="s">
        <v>10375</v>
      </c>
      <c r="B3439" s="5" t="s">
        <v>2492</v>
      </c>
      <c r="C3439" s="5" t="s">
        <v>2493</v>
      </c>
      <c r="D3439" s="5" t="s">
        <v>118</v>
      </c>
      <c r="E3439" s="5" t="s">
        <v>2790</v>
      </c>
      <c r="F3439" s="5" t="s">
        <v>2760</v>
      </c>
      <c r="G3439" s="5">
        <v>1</v>
      </c>
      <c r="H3439" s="5" t="s">
        <v>2854</v>
      </c>
      <c r="I3439" s="5" t="str">
        <f>IF(INDEX(Manual_Review!$T$6:$T$238,U3439)="","",INDEX(Manual_Review!$T$6:$T$238,U3439))</f>
        <v/>
      </c>
      <c r="J3439" s="5" t="str">
        <f t="shared" si="106"/>
        <v>AI provisional</v>
      </c>
      <c r="K3439" s="5" t="str">
        <f t="shared" si="107"/>
        <v>Y</v>
      </c>
      <c r="L3439" s="5" t="s">
        <v>2502</v>
      </c>
      <c r="M3439" s="5" t="s">
        <v>10376</v>
      </c>
      <c r="N3439" s="5" t="s">
        <v>10377</v>
      </c>
      <c r="O3439" s="5" t="s">
        <v>3451</v>
      </c>
      <c r="P3439" s="5" t="s">
        <v>2992</v>
      </c>
      <c r="Q3439" s="11">
        <v>46306.5</v>
      </c>
      <c r="R3439" s="6"/>
      <c r="S3439" s="6"/>
      <c r="T3439" s="6"/>
      <c r="U3439" s="5">
        <f>MATCH(B3439,Manual_Review!$A$6:$A$238,0)</f>
        <v>215</v>
      </c>
      <c r="V3439" s="5" t="str">
        <f>IF(INDEX(Manual_Review!$G$6:$G$238,U3439)="","",INDEX(Manual_Review!$G$6:$G$238,U3439))</f>
        <v/>
      </c>
      <c r="W3439" s="11" t="str">
        <f>IF(INDEX(Manual_Review!$H$6:$H$238,U3439)="","",INDEX(Manual_Review!$H$6:$H$238,U3439))</f>
        <v/>
      </c>
      <c r="X3439" s="5" t="str">
        <f>IF(INDEX(Manual_Review!$I$6:$I$238,U3439)="","",INDEX(Manual_Review!$I$6:$I$238,U3439))</f>
        <v/>
      </c>
      <c r="Y3439" s="5" t="s">
        <v>2859</v>
      </c>
    </row>
    <row r="3440" spans="1:25" ht="25.5">
      <c r="A3440" s="5" t="s">
        <v>10378</v>
      </c>
      <c r="B3440" s="5" t="s">
        <v>2492</v>
      </c>
      <c r="C3440" s="5" t="s">
        <v>2493</v>
      </c>
      <c r="D3440" s="5" t="s">
        <v>118</v>
      </c>
      <c r="E3440" s="5" t="s">
        <v>2791</v>
      </c>
      <c r="F3440" s="5" t="s">
        <v>2760</v>
      </c>
      <c r="G3440" s="5">
        <v>1</v>
      </c>
      <c r="H3440" s="5" t="s">
        <v>2864</v>
      </c>
      <c r="I3440" s="5" t="str">
        <f>IF(INDEX(Manual_Review!$U$6:$U$238,U3440)="","",INDEX(Manual_Review!$U$6:$U$238,U3440))</f>
        <v/>
      </c>
      <c r="J3440" s="5" t="str">
        <f t="shared" si="106"/>
        <v>AI provisional</v>
      </c>
      <c r="K3440" s="5" t="str">
        <f t="shared" si="107"/>
        <v>U</v>
      </c>
      <c r="L3440" s="5" t="s">
        <v>2502</v>
      </c>
      <c r="M3440" s="5" t="s">
        <v>10379</v>
      </c>
      <c r="N3440" s="5" t="s">
        <v>10380</v>
      </c>
      <c r="O3440" s="5" t="s">
        <v>3030</v>
      </c>
      <c r="P3440" s="5" t="s">
        <v>2992</v>
      </c>
      <c r="Q3440" s="11">
        <v>46306.5</v>
      </c>
      <c r="R3440" s="6"/>
      <c r="S3440" s="6"/>
      <c r="T3440" s="6"/>
      <c r="U3440" s="5">
        <f>MATCH(B3440,Manual_Review!$A$6:$A$238,0)</f>
        <v>215</v>
      </c>
      <c r="V3440" s="5" t="str">
        <f>IF(INDEX(Manual_Review!$G$6:$G$238,U3440)="","",INDEX(Manual_Review!$G$6:$G$238,U3440))</f>
        <v/>
      </c>
      <c r="W3440" s="11" t="str">
        <f>IF(INDEX(Manual_Review!$H$6:$H$238,U3440)="","",INDEX(Manual_Review!$H$6:$H$238,U3440))</f>
        <v/>
      </c>
      <c r="X3440" s="5" t="str">
        <f>IF(INDEX(Manual_Review!$I$6:$I$238,U3440)="","",INDEX(Manual_Review!$I$6:$I$238,U3440))</f>
        <v/>
      </c>
      <c r="Y3440" s="5" t="s">
        <v>2859</v>
      </c>
    </row>
    <row r="3441" spans="1:25" ht="25.5">
      <c r="A3441" s="5" t="s">
        <v>10381</v>
      </c>
      <c r="B3441" s="5" t="s">
        <v>2492</v>
      </c>
      <c r="C3441" s="5" t="s">
        <v>2493</v>
      </c>
      <c r="D3441" s="5" t="s">
        <v>118</v>
      </c>
      <c r="E3441" s="5" t="s">
        <v>2792</v>
      </c>
      <c r="F3441" s="5" t="s">
        <v>2762</v>
      </c>
      <c r="G3441" s="5">
        <v>1</v>
      </c>
      <c r="H3441" s="5" t="s">
        <v>2854</v>
      </c>
      <c r="I3441" s="5" t="str">
        <f>IF(INDEX(Manual_Review!$V$6:$V$238,U3441)="","",INDEX(Manual_Review!$V$6:$V$238,U3441))</f>
        <v/>
      </c>
      <c r="J3441" s="5" t="str">
        <f t="shared" si="106"/>
        <v>AI provisional</v>
      </c>
      <c r="K3441" s="5" t="str">
        <f t="shared" si="107"/>
        <v>Y</v>
      </c>
      <c r="L3441" s="5" t="s">
        <v>2502</v>
      </c>
      <c r="M3441" s="5" t="s">
        <v>10382</v>
      </c>
      <c r="N3441" s="5" t="s">
        <v>10383</v>
      </c>
      <c r="O3441" s="5" t="s">
        <v>3034</v>
      </c>
      <c r="P3441" s="5" t="s">
        <v>2992</v>
      </c>
      <c r="Q3441" s="11">
        <v>46306.5</v>
      </c>
      <c r="R3441" s="6"/>
      <c r="S3441" s="6"/>
      <c r="T3441" s="6"/>
      <c r="U3441" s="5">
        <f>MATCH(B3441,Manual_Review!$A$6:$A$238,0)</f>
        <v>215</v>
      </c>
      <c r="V3441" s="5" t="str">
        <f>IF(INDEX(Manual_Review!$G$6:$G$238,U3441)="","",INDEX(Manual_Review!$G$6:$G$238,U3441))</f>
        <v/>
      </c>
      <c r="W3441" s="11" t="str">
        <f>IF(INDEX(Manual_Review!$H$6:$H$238,U3441)="","",INDEX(Manual_Review!$H$6:$H$238,U3441))</f>
        <v/>
      </c>
      <c r="X3441" s="5" t="str">
        <f>IF(INDEX(Manual_Review!$I$6:$I$238,U3441)="","",INDEX(Manual_Review!$I$6:$I$238,U3441))</f>
        <v/>
      </c>
      <c r="Y3441" s="5" t="s">
        <v>2859</v>
      </c>
    </row>
    <row r="3442" spans="1:25" ht="38.25">
      <c r="A3442" s="5" t="s">
        <v>10384</v>
      </c>
      <c r="B3442" s="5" t="s">
        <v>2492</v>
      </c>
      <c r="C3442" s="5" t="s">
        <v>2493</v>
      </c>
      <c r="D3442" s="5" t="s">
        <v>118</v>
      </c>
      <c r="E3442" s="5" t="s">
        <v>2793</v>
      </c>
      <c r="F3442" s="5" t="s">
        <v>2762</v>
      </c>
      <c r="G3442" s="5">
        <v>1</v>
      </c>
      <c r="H3442" s="5" t="s">
        <v>2854</v>
      </c>
      <c r="I3442" s="5" t="str">
        <f>IF(INDEX(Manual_Review!$W$6:$W$238,U3442)="","",INDEX(Manual_Review!$W$6:$W$238,U3442))</f>
        <v/>
      </c>
      <c r="J3442" s="5" t="str">
        <f t="shared" si="106"/>
        <v>AI provisional</v>
      </c>
      <c r="K3442" s="5" t="str">
        <f t="shared" si="107"/>
        <v>Y</v>
      </c>
      <c r="L3442" s="5" t="s">
        <v>2502</v>
      </c>
      <c r="M3442" s="5" t="s">
        <v>10385</v>
      </c>
      <c r="N3442" s="5" t="s">
        <v>10386</v>
      </c>
      <c r="O3442" s="5" t="s">
        <v>3038</v>
      </c>
      <c r="P3442" s="5" t="s">
        <v>2992</v>
      </c>
      <c r="Q3442" s="11">
        <v>46306.5</v>
      </c>
      <c r="R3442" s="6"/>
      <c r="S3442" s="6"/>
      <c r="T3442" s="6"/>
      <c r="U3442" s="5">
        <f>MATCH(B3442,Manual_Review!$A$6:$A$238,0)</f>
        <v>215</v>
      </c>
      <c r="V3442" s="5" t="str">
        <f>IF(INDEX(Manual_Review!$G$6:$G$238,U3442)="","",INDEX(Manual_Review!$G$6:$G$238,U3442))</f>
        <v/>
      </c>
      <c r="W3442" s="11" t="str">
        <f>IF(INDEX(Manual_Review!$H$6:$H$238,U3442)="","",INDEX(Manual_Review!$H$6:$H$238,U3442))</f>
        <v/>
      </c>
      <c r="X3442" s="5" t="str">
        <f>IF(INDEX(Manual_Review!$I$6:$I$238,U3442)="","",INDEX(Manual_Review!$I$6:$I$238,U3442))</f>
        <v/>
      </c>
      <c r="Y3442" s="5" t="s">
        <v>2859</v>
      </c>
    </row>
    <row r="3443" spans="1:25" ht="25.5">
      <c r="A3443" s="5" t="s">
        <v>10387</v>
      </c>
      <c r="B3443" s="5" t="s">
        <v>2492</v>
      </c>
      <c r="C3443" s="5" t="s">
        <v>2493</v>
      </c>
      <c r="D3443" s="5" t="s">
        <v>118</v>
      </c>
      <c r="E3443" s="5" t="s">
        <v>2794</v>
      </c>
      <c r="F3443" s="5" t="s">
        <v>2764</v>
      </c>
      <c r="G3443" s="5">
        <v>1</v>
      </c>
      <c r="H3443" s="5" t="s">
        <v>2854</v>
      </c>
      <c r="I3443" s="5" t="str">
        <f>IF(INDEX(Manual_Review!$X$6:$X$238,U3443)="","",INDEX(Manual_Review!$X$6:$X$238,U3443))</f>
        <v/>
      </c>
      <c r="J3443" s="5" t="str">
        <f t="shared" si="106"/>
        <v>AI provisional</v>
      </c>
      <c r="K3443" s="5" t="str">
        <f t="shared" si="107"/>
        <v>Y</v>
      </c>
      <c r="L3443" s="5" t="s">
        <v>2502</v>
      </c>
      <c r="M3443" s="5" t="s">
        <v>10388</v>
      </c>
      <c r="N3443" s="5" t="s">
        <v>10389</v>
      </c>
      <c r="O3443" s="5" t="s">
        <v>3042</v>
      </c>
      <c r="P3443" s="5" t="s">
        <v>2992</v>
      </c>
      <c r="Q3443" s="11">
        <v>46306.5</v>
      </c>
      <c r="R3443" s="6"/>
      <c r="S3443" s="6"/>
      <c r="T3443" s="6"/>
      <c r="U3443" s="5">
        <f>MATCH(B3443,Manual_Review!$A$6:$A$238,0)</f>
        <v>215</v>
      </c>
      <c r="V3443" s="5" t="str">
        <f>IF(INDEX(Manual_Review!$G$6:$G$238,U3443)="","",INDEX(Manual_Review!$G$6:$G$238,U3443))</f>
        <v/>
      </c>
      <c r="W3443" s="11" t="str">
        <f>IF(INDEX(Manual_Review!$H$6:$H$238,U3443)="","",INDEX(Manual_Review!$H$6:$H$238,U3443))</f>
        <v/>
      </c>
      <c r="X3443" s="5" t="str">
        <f>IF(INDEX(Manual_Review!$I$6:$I$238,U3443)="","",INDEX(Manual_Review!$I$6:$I$238,U3443))</f>
        <v/>
      </c>
      <c r="Y3443" s="5" t="s">
        <v>2859</v>
      </c>
    </row>
    <row r="3444" spans="1:25" ht="25.5">
      <c r="A3444" s="5" t="s">
        <v>10390</v>
      </c>
      <c r="B3444" s="5" t="s">
        <v>2492</v>
      </c>
      <c r="C3444" s="5" t="s">
        <v>2493</v>
      </c>
      <c r="D3444" s="5" t="s">
        <v>118</v>
      </c>
      <c r="E3444" s="5" t="s">
        <v>2795</v>
      </c>
      <c r="F3444" s="5" t="s">
        <v>2764</v>
      </c>
      <c r="G3444" s="5">
        <v>1</v>
      </c>
      <c r="H3444" s="5" t="s">
        <v>2864</v>
      </c>
      <c r="I3444" s="5" t="str">
        <f>IF(INDEX(Manual_Review!$Y$6:$Y$238,U3444)="","",INDEX(Manual_Review!$Y$6:$Y$238,U3444))</f>
        <v/>
      </c>
      <c r="J3444" s="5" t="str">
        <f t="shared" si="106"/>
        <v>AI provisional</v>
      </c>
      <c r="K3444" s="5" t="str">
        <f t="shared" si="107"/>
        <v>U</v>
      </c>
      <c r="L3444" s="5" t="s">
        <v>2502</v>
      </c>
      <c r="M3444" s="5" t="s">
        <v>10391</v>
      </c>
      <c r="N3444" s="5" t="s">
        <v>10392</v>
      </c>
      <c r="O3444" s="5" t="s">
        <v>3469</v>
      </c>
      <c r="P3444" s="5" t="s">
        <v>2992</v>
      </c>
      <c r="Q3444" s="11">
        <v>46306.5</v>
      </c>
      <c r="R3444" s="6"/>
      <c r="S3444" s="6"/>
      <c r="T3444" s="6"/>
      <c r="U3444" s="5">
        <f>MATCH(B3444,Manual_Review!$A$6:$A$238,0)</f>
        <v>215</v>
      </c>
      <c r="V3444" s="5" t="str">
        <f>IF(INDEX(Manual_Review!$G$6:$G$238,U3444)="","",INDEX(Manual_Review!$G$6:$G$238,U3444))</f>
        <v/>
      </c>
      <c r="W3444" s="11" t="str">
        <f>IF(INDEX(Manual_Review!$H$6:$H$238,U3444)="","",INDEX(Manual_Review!$H$6:$H$238,U3444))</f>
        <v/>
      </c>
      <c r="X3444" s="5" t="str">
        <f>IF(INDEX(Manual_Review!$I$6:$I$238,U3444)="","",INDEX(Manual_Review!$I$6:$I$238,U3444))</f>
        <v/>
      </c>
      <c r="Y3444" s="5" t="s">
        <v>2859</v>
      </c>
    </row>
    <row r="3445" spans="1:25" ht="38.25">
      <c r="A3445" s="5" t="s">
        <v>10393</v>
      </c>
      <c r="B3445" s="5" t="s">
        <v>2492</v>
      </c>
      <c r="C3445" s="5" t="s">
        <v>2493</v>
      </c>
      <c r="D3445" s="5" t="s">
        <v>118</v>
      </c>
      <c r="E3445" s="5" t="s">
        <v>2796</v>
      </c>
      <c r="F3445" s="5" t="s">
        <v>2764</v>
      </c>
      <c r="G3445" s="5">
        <v>1</v>
      </c>
      <c r="H3445" s="5" t="s">
        <v>2864</v>
      </c>
      <c r="I3445" s="5" t="str">
        <f>IF(INDEX(Manual_Review!$Z$6:$Z$238,U3445)="","",INDEX(Manual_Review!$Z$6:$Z$238,U3445))</f>
        <v/>
      </c>
      <c r="J3445" s="5" t="str">
        <f t="shared" si="106"/>
        <v>AI provisional</v>
      </c>
      <c r="K3445" s="5" t="str">
        <f t="shared" si="107"/>
        <v>U</v>
      </c>
      <c r="L3445" s="5" t="s">
        <v>2502</v>
      </c>
      <c r="M3445" s="5" t="s">
        <v>10394</v>
      </c>
      <c r="N3445" s="5" t="s">
        <v>10395</v>
      </c>
      <c r="O3445" s="5" t="s">
        <v>3050</v>
      </c>
      <c r="P3445" s="5" t="s">
        <v>2992</v>
      </c>
      <c r="Q3445" s="11">
        <v>46306.5</v>
      </c>
      <c r="R3445" s="6"/>
      <c r="S3445" s="6"/>
      <c r="T3445" s="6"/>
      <c r="U3445" s="5">
        <f>MATCH(B3445,Manual_Review!$A$6:$A$238,0)</f>
        <v>215</v>
      </c>
      <c r="V3445" s="5" t="str">
        <f>IF(INDEX(Manual_Review!$G$6:$G$238,U3445)="","",INDEX(Manual_Review!$G$6:$G$238,U3445))</f>
        <v/>
      </c>
      <c r="W3445" s="11" t="str">
        <f>IF(INDEX(Manual_Review!$H$6:$H$238,U3445)="","",INDEX(Manual_Review!$H$6:$H$238,U3445))</f>
        <v/>
      </c>
      <c r="X3445" s="5" t="str">
        <f>IF(INDEX(Manual_Review!$I$6:$I$238,U3445)="","",INDEX(Manual_Review!$I$6:$I$238,U3445))</f>
        <v/>
      </c>
      <c r="Y3445" s="5" t="s">
        <v>2859</v>
      </c>
    </row>
    <row r="3446" spans="1:25" ht="25.5">
      <c r="A3446" s="5" t="s">
        <v>10396</v>
      </c>
      <c r="B3446" s="5" t="s">
        <v>2504</v>
      </c>
      <c r="C3446" s="5" t="s">
        <v>2505</v>
      </c>
      <c r="D3446" s="5" t="s">
        <v>118</v>
      </c>
      <c r="E3446" s="5" t="s">
        <v>2781</v>
      </c>
      <c r="F3446" s="5" t="s">
        <v>2754</v>
      </c>
      <c r="G3446" s="5">
        <v>1</v>
      </c>
      <c r="H3446" s="5" t="s">
        <v>2854</v>
      </c>
      <c r="I3446" s="5" t="str">
        <f>IF(INDEX(Manual_Review!$K$6:$K$238,U3446)="","",INDEX(Manual_Review!$K$6:$K$238,U3446))</f>
        <v/>
      </c>
      <c r="J3446" s="5" t="str">
        <f t="shared" si="106"/>
        <v>AI provisional</v>
      </c>
      <c r="K3446" s="5" t="str">
        <f t="shared" si="107"/>
        <v>Y</v>
      </c>
      <c r="L3446" s="5" t="s">
        <v>2515</v>
      </c>
      <c r="M3446" s="5" t="s">
        <v>10397</v>
      </c>
      <c r="N3446" s="5" t="s">
        <v>10398</v>
      </c>
      <c r="O3446" s="5" t="s">
        <v>2991</v>
      </c>
      <c r="P3446" s="5" t="s">
        <v>2992</v>
      </c>
      <c r="Q3446" s="11">
        <v>46306.5</v>
      </c>
      <c r="R3446" s="6"/>
      <c r="S3446" s="6"/>
      <c r="T3446" s="6"/>
      <c r="U3446" s="5">
        <f>MATCH(B3446,Manual_Review!$A$6:$A$238,0)</f>
        <v>216</v>
      </c>
      <c r="V3446" s="5" t="str">
        <f>IF(INDEX(Manual_Review!$G$6:$G$238,U3446)="","",INDEX(Manual_Review!$G$6:$G$238,U3446))</f>
        <v/>
      </c>
      <c r="W3446" s="11" t="str">
        <f>IF(INDEX(Manual_Review!$H$6:$H$238,U3446)="","",INDEX(Manual_Review!$H$6:$H$238,U3446))</f>
        <v/>
      </c>
      <c r="X3446" s="5" t="str">
        <f>IF(INDEX(Manual_Review!$I$6:$I$238,U3446)="","",INDEX(Manual_Review!$I$6:$I$238,U3446))</f>
        <v/>
      </c>
      <c r="Y3446" s="5" t="s">
        <v>2859</v>
      </c>
    </row>
    <row r="3447" spans="1:25" ht="25.5">
      <c r="A3447" s="5" t="s">
        <v>10399</v>
      </c>
      <c r="B3447" s="5" t="s">
        <v>2504</v>
      </c>
      <c r="C3447" s="5" t="s">
        <v>2505</v>
      </c>
      <c r="D3447" s="5" t="s">
        <v>118</v>
      </c>
      <c r="E3447" s="5" t="s">
        <v>2782</v>
      </c>
      <c r="F3447" s="5" t="s">
        <v>2754</v>
      </c>
      <c r="G3447" s="5">
        <v>1</v>
      </c>
      <c r="H3447" s="5" t="s">
        <v>2854</v>
      </c>
      <c r="I3447" s="5" t="str">
        <f>IF(INDEX(Manual_Review!$L$6:$L$238,U3447)="","",INDEX(Manual_Review!$L$6:$L$238,U3447))</f>
        <v/>
      </c>
      <c r="J3447" s="5" t="str">
        <f t="shared" si="106"/>
        <v>AI provisional</v>
      </c>
      <c r="K3447" s="5" t="str">
        <f t="shared" si="107"/>
        <v>Y</v>
      </c>
      <c r="L3447" s="5" t="s">
        <v>2515</v>
      </c>
      <c r="M3447" s="5" t="s">
        <v>10400</v>
      </c>
      <c r="N3447" s="5" t="s">
        <v>10401</v>
      </c>
      <c r="O3447" s="5" t="s">
        <v>2996</v>
      </c>
      <c r="P3447" s="5" t="s">
        <v>2992</v>
      </c>
      <c r="Q3447" s="11">
        <v>46306.5</v>
      </c>
      <c r="R3447" s="6"/>
      <c r="S3447" s="6"/>
      <c r="T3447" s="6"/>
      <c r="U3447" s="5">
        <f>MATCH(B3447,Manual_Review!$A$6:$A$238,0)</f>
        <v>216</v>
      </c>
      <c r="V3447" s="5" t="str">
        <f>IF(INDEX(Manual_Review!$G$6:$G$238,U3447)="","",INDEX(Manual_Review!$G$6:$G$238,U3447))</f>
        <v/>
      </c>
      <c r="W3447" s="11" t="str">
        <f>IF(INDEX(Manual_Review!$H$6:$H$238,U3447)="","",INDEX(Manual_Review!$H$6:$H$238,U3447))</f>
        <v/>
      </c>
      <c r="X3447" s="5" t="str">
        <f>IF(INDEX(Manual_Review!$I$6:$I$238,U3447)="","",INDEX(Manual_Review!$I$6:$I$238,U3447))</f>
        <v/>
      </c>
      <c r="Y3447" s="5" t="s">
        <v>2859</v>
      </c>
    </row>
    <row r="3448" spans="1:25" ht="25.5">
      <c r="A3448" s="5" t="s">
        <v>10402</v>
      </c>
      <c r="B3448" s="5" t="s">
        <v>2504</v>
      </c>
      <c r="C3448" s="5" t="s">
        <v>2505</v>
      </c>
      <c r="D3448" s="5" t="s">
        <v>118</v>
      </c>
      <c r="E3448" s="5" t="s">
        <v>2783</v>
      </c>
      <c r="F3448" s="5" t="s">
        <v>2754</v>
      </c>
      <c r="G3448" s="5">
        <v>1</v>
      </c>
      <c r="H3448" s="5" t="s">
        <v>2854</v>
      </c>
      <c r="I3448" s="5" t="str">
        <f>IF(INDEX(Manual_Review!$M$6:$M$238,U3448)="","",INDEX(Manual_Review!$M$6:$M$238,U3448))</f>
        <v/>
      </c>
      <c r="J3448" s="5" t="str">
        <f t="shared" si="106"/>
        <v>AI provisional</v>
      </c>
      <c r="K3448" s="5" t="str">
        <f t="shared" si="107"/>
        <v>Y</v>
      </c>
      <c r="L3448" s="5" t="s">
        <v>2515</v>
      </c>
      <c r="M3448" s="5" t="s">
        <v>10403</v>
      </c>
      <c r="N3448" s="5" t="s">
        <v>8977</v>
      </c>
      <c r="O3448" s="5" t="s">
        <v>3000</v>
      </c>
      <c r="P3448" s="5" t="s">
        <v>2992</v>
      </c>
      <c r="Q3448" s="11">
        <v>46306.5</v>
      </c>
      <c r="R3448" s="6"/>
      <c r="S3448" s="6"/>
      <c r="T3448" s="6"/>
      <c r="U3448" s="5">
        <f>MATCH(B3448,Manual_Review!$A$6:$A$238,0)</f>
        <v>216</v>
      </c>
      <c r="V3448" s="5" t="str">
        <f>IF(INDEX(Manual_Review!$G$6:$G$238,U3448)="","",INDEX(Manual_Review!$G$6:$G$238,U3448))</f>
        <v/>
      </c>
      <c r="W3448" s="11" t="str">
        <f>IF(INDEX(Manual_Review!$H$6:$H$238,U3448)="","",INDEX(Manual_Review!$H$6:$H$238,U3448))</f>
        <v/>
      </c>
      <c r="X3448" s="5" t="str">
        <f>IF(INDEX(Manual_Review!$I$6:$I$238,U3448)="","",INDEX(Manual_Review!$I$6:$I$238,U3448))</f>
        <v/>
      </c>
      <c r="Y3448" s="5" t="s">
        <v>2859</v>
      </c>
    </row>
    <row r="3449" spans="1:25" ht="25.5">
      <c r="A3449" s="5" t="s">
        <v>10404</v>
      </c>
      <c r="B3449" s="5" t="s">
        <v>2504</v>
      </c>
      <c r="C3449" s="5" t="s">
        <v>2505</v>
      </c>
      <c r="D3449" s="5" t="s">
        <v>118</v>
      </c>
      <c r="E3449" s="5" t="s">
        <v>2784</v>
      </c>
      <c r="F3449" s="5" t="s">
        <v>2756</v>
      </c>
      <c r="G3449" s="5">
        <v>1</v>
      </c>
      <c r="H3449" s="5" t="s">
        <v>2854</v>
      </c>
      <c r="I3449" s="5" t="str">
        <f>IF(INDEX(Manual_Review!$N$6:$N$238,U3449)="","",INDEX(Manual_Review!$N$6:$N$238,U3449))</f>
        <v/>
      </c>
      <c r="J3449" s="5" t="str">
        <f t="shared" si="106"/>
        <v>AI provisional</v>
      </c>
      <c r="K3449" s="5" t="str">
        <f t="shared" si="107"/>
        <v>Y</v>
      </c>
      <c r="L3449" s="5" t="s">
        <v>2515</v>
      </c>
      <c r="M3449" s="5" t="s">
        <v>10405</v>
      </c>
      <c r="N3449" s="5" t="s">
        <v>10406</v>
      </c>
      <c r="O3449" s="5" t="s">
        <v>3004</v>
      </c>
      <c r="P3449" s="5" t="s">
        <v>2992</v>
      </c>
      <c r="Q3449" s="11">
        <v>46306.5</v>
      </c>
      <c r="R3449" s="6"/>
      <c r="S3449" s="6"/>
      <c r="T3449" s="6"/>
      <c r="U3449" s="5">
        <f>MATCH(B3449,Manual_Review!$A$6:$A$238,0)</f>
        <v>216</v>
      </c>
      <c r="V3449" s="5" t="str">
        <f>IF(INDEX(Manual_Review!$G$6:$G$238,U3449)="","",INDEX(Manual_Review!$G$6:$G$238,U3449))</f>
        <v/>
      </c>
      <c r="W3449" s="11" t="str">
        <f>IF(INDEX(Manual_Review!$H$6:$H$238,U3449)="","",INDEX(Manual_Review!$H$6:$H$238,U3449))</f>
        <v/>
      </c>
      <c r="X3449" s="5" t="str">
        <f>IF(INDEX(Manual_Review!$I$6:$I$238,U3449)="","",INDEX(Manual_Review!$I$6:$I$238,U3449))</f>
        <v/>
      </c>
      <c r="Y3449" s="5" t="s">
        <v>2859</v>
      </c>
    </row>
    <row r="3450" spans="1:25" ht="25.5">
      <c r="A3450" s="5" t="s">
        <v>10407</v>
      </c>
      <c r="B3450" s="5" t="s">
        <v>2504</v>
      </c>
      <c r="C3450" s="5" t="s">
        <v>2505</v>
      </c>
      <c r="D3450" s="5" t="s">
        <v>118</v>
      </c>
      <c r="E3450" s="5" t="s">
        <v>2785</v>
      </c>
      <c r="F3450" s="5" t="s">
        <v>2756</v>
      </c>
      <c r="G3450" s="5">
        <v>1</v>
      </c>
      <c r="H3450" s="5" t="s">
        <v>2864</v>
      </c>
      <c r="I3450" s="5" t="str">
        <f>IF(INDEX(Manual_Review!$O$6:$O$238,U3450)="","",INDEX(Manual_Review!$O$6:$O$238,U3450))</f>
        <v/>
      </c>
      <c r="J3450" s="5" t="str">
        <f t="shared" si="106"/>
        <v>AI provisional</v>
      </c>
      <c r="K3450" s="5" t="str">
        <f t="shared" si="107"/>
        <v>U</v>
      </c>
      <c r="L3450" s="5" t="s">
        <v>2515</v>
      </c>
      <c r="M3450" s="5" t="s">
        <v>10405</v>
      </c>
      <c r="N3450" s="5" t="s">
        <v>10406</v>
      </c>
      <c r="O3450" s="5" t="s">
        <v>3006</v>
      </c>
      <c r="P3450" s="5" t="s">
        <v>2992</v>
      </c>
      <c r="Q3450" s="11">
        <v>46306.5</v>
      </c>
      <c r="R3450" s="6"/>
      <c r="S3450" s="6"/>
      <c r="T3450" s="6"/>
      <c r="U3450" s="5">
        <f>MATCH(B3450,Manual_Review!$A$6:$A$238,0)</f>
        <v>216</v>
      </c>
      <c r="V3450" s="5" t="str">
        <f>IF(INDEX(Manual_Review!$G$6:$G$238,U3450)="","",INDEX(Manual_Review!$G$6:$G$238,U3450))</f>
        <v/>
      </c>
      <c r="W3450" s="11" t="str">
        <f>IF(INDEX(Manual_Review!$H$6:$H$238,U3450)="","",INDEX(Manual_Review!$H$6:$H$238,U3450))</f>
        <v/>
      </c>
      <c r="X3450" s="5" t="str">
        <f>IF(INDEX(Manual_Review!$I$6:$I$238,U3450)="","",INDEX(Manual_Review!$I$6:$I$238,U3450))</f>
        <v/>
      </c>
      <c r="Y3450" s="5" t="s">
        <v>2859</v>
      </c>
    </row>
    <row r="3451" spans="1:25" ht="38.25">
      <c r="A3451" s="5" t="s">
        <v>10408</v>
      </c>
      <c r="B3451" s="5" t="s">
        <v>2504</v>
      </c>
      <c r="C3451" s="5" t="s">
        <v>2505</v>
      </c>
      <c r="D3451" s="5" t="s">
        <v>118</v>
      </c>
      <c r="E3451" s="5" t="s">
        <v>2786</v>
      </c>
      <c r="F3451" s="5" t="s">
        <v>2756</v>
      </c>
      <c r="G3451" s="5">
        <v>1</v>
      </c>
      <c r="H3451" s="5" t="s">
        <v>2864</v>
      </c>
      <c r="I3451" s="5" t="str">
        <f>IF(INDEX(Manual_Review!$P$6:$P$238,U3451)="","",INDEX(Manual_Review!$P$6:$P$238,U3451))</f>
        <v/>
      </c>
      <c r="J3451" s="5" t="str">
        <f t="shared" si="106"/>
        <v>AI provisional</v>
      </c>
      <c r="K3451" s="5" t="str">
        <f t="shared" si="107"/>
        <v>U</v>
      </c>
      <c r="L3451" s="5" t="s">
        <v>2515</v>
      </c>
      <c r="M3451" s="5" t="s">
        <v>10409</v>
      </c>
      <c r="N3451" s="5" t="s">
        <v>10410</v>
      </c>
      <c r="O3451" s="5" t="s">
        <v>3010</v>
      </c>
      <c r="P3451" s="5" t="s">
        <v>2992</v>
      </c>
      <c r="Q3451" s="11">
        <v>46306.5</v>
      </c>
      <c r="R3451" s="6"/>
      <c r="S3451" s="6"/>
      <c r="T3451" s="6"/>
      <c r="U3451" s="5">
        <f>MATCH(B3451,Manual_Review!$A$6:$A$238,0)</f>
        <v>216</v>
      </c>
      <c r="V3451" s="5" t="str">
        <f>IF(INDEX(Manual_Review!$G$6:$G$238,U3451)="","",INDEX(Manual_Review!$G$6:$G$238,U3451))</f>
        <v/>
      </c>
      <c r="W3451" s="11" t="str">
        <f>IF(INDEX(Manual_Review!$H$6:$H$238,U3451)="","",INDEX(Manual_Review!$H$6:$H$238,U3451))</f>
        <v/>
      </c>
      <c r="X3451" s="5" t="str">
        <f>IF(INDEX(Manual_Review!$I$6:$I$238,U3451)="","",INDEX(Manual_Review!$I$6:$I$238,U3451))</f>
        <v/>
      </c>
      <c r="Y3451" s="5" t="s">
        <v>2859</v>
      </c>
    </row>
    <row r="3452" spans="1:25" ht="25.5">
      <c r="A3452" s="5" t="s">
        <v>10411</v>
      </c>
      <c r="B3452" s="5" t="s">
        <v>2504</v>
      </c>
      <c r="C3452" s="5" t="s">
        <v>2505</v>
      </c>
      <c r="D3452" s="5" t="s">
        <v>118</v>
      </c>
      <c r="E3452" s="5" t="s">
        <v>2787</v>
      </c>
      <c r="F3452" s="5" t="s">
        <v>2758</v>
      </c>
      <c r="G3452" s="5">
        <v>1</v>
      </c>
      <c r="H3452" s="5" t="s">
        <v>2864</v>
      </c>
      <c r="I3452" s="5" t="str">
        <f>IF(INDEX(Manual_Review!$Q$6:$Q$238,U3452)="","",INDEX(Manual_Review!$Q$6:$Q$238,U3452))</f>
        <v/>
      </c>
      <c r="J3452" s="5" t="str">
        <f t="shared" si="106"/>
        <v>AI provisional</v>
      </c>
      <c r="K3452" s="5" t="str">
        <f t="shared" si="107"/>
        <v>U</v>
      </c>
      <c r="L3452" s="5" t="s">
        <v>2515</v>
      </c>
      <c r="M3452" s="5" t="s">
        <v>10412</v>
      </c>
      <c r="N3452" s="5" t="s">
        <v>10413</v>
      </c>
      <c r="O3452" s="5" t="s">
        <v>3014</v>
      </c>
      <c r="P3452" s="5" t="s">
        <v>2992</v>
      </c>
      <c r="Q3452" s="11">
        <v>46306.5</v>
      </c>
      <c r="R3452" s="6"/>
      <c r="S3452" s="6"/>
      <c r="T3452" s="6"/>
      <c r="U3452" s="5">
        <f>MATCH(B3452,Manual_Review!$A$6:$A$238,0)</f>
        <v>216</v>
      </c>
      <c r="V3452" s="5" t="str">
        <f>IF(INDEX(Manual_Review!$G$6:$G$238,U3452)="","",INDEX(Manual_Review!$G$6:$G$238,U3452))</f>
        <v/>
      </c>
      <c r="W3452" s="11" t="str">
        <f>IF(INDEX(Manual_Review!$H$6:$H$238,U3452)="","",INDEX(Manual_Review!$H$6:$H$238,U3452))</f>
        <v/>
      </c>
      <c r="X3452" s="5" t="str">
        <f>IF(INDEX(Manual_Review!$I$6:$I$238,U3452)="","",INDEX(Manual_Review!$I$6:$I$238,U3452))</f>
        <v/>
      </c>
      <c r="Y3452" s="5" t="s">
        <v>2859</v>
      </c>
    </row>
    <row r="3453" spans="1:25" ht="38.25">
      <c r="A3453" s="5" t="s">
        <v>10414</v>
      </c>
      <c r="B3453" s="5" t="s">
        <v>2504</v>
      </c>
      <c r="C3453" s="5" t="s">
        <v>2505</v>
      </c>
      <c r="D3453" s="5" t="s">
        <v>118</v>
      </c>
      <c r="E3453" s="5" t="s">
        <v>2788</v>
      </c>
      <c r="F3453" s="5" t="s">
        <v>2758</v>
      </c>
      <c r="G3453" s="5">
        <v>1</v>
      </c>
      <c r="H3453" s="5" t="s">
        <v>2854</v>
      </c>
      <c r="I3453" s="5" t="str">
        <f>IF(INDEX(Manual_Review!$R$6:$R$238,U3453)="","",INDEX(Manual_Review!$R$6:$R$238,U3453))</f>
        <v/>
      </c>
      <c r="J3453" s="5" t="str">
        <f t="shared" si="106"/>
        <v>AI provisional</v>
      </c>
      <c r="K3453" s="5" t="str">
        <f t="shared" si="107"/>
        <v>Y</v>
      </c>
      <c r="L3453" s="5" t="s">
        <v>2515</v>
      </c>
      <c r="M3453" s="5" t="s">
        <v>10415</v>
      </c>
      <c r="N3453" s="5" t="s">
        <v>10416</v>
      </c>
      <c r="O3453" s="5" t="s">
        <v>3018</v>
      </c>
      <c r="P3453" s="5" t="s">
        <v>2992</v>
      </c>
      <c r="Q3453" s="11">
        <v>46306.5</v>
      </c>
      <c r="R3453" s="6"/>
      <c r="S3453" s="6"/>
      <c r="T3453" s="6"/>
      <c r="U3453" s="5">
        <f>MATCH(B3453,Manual_Review!$A$6:$A$238,0)</f>
        <v>216</v>
      </c>
      <c r="V3453" s="5" t="str">
        <f>IF(INDEX(Manual_Review!$G$6:$G$238,U3453)="","",INDEX(Manual_Review!$G$6:$G$238,U3453))</f>
        <v/>
      </c>
      <c r="W3453" s="11" t="str">
        <f>IF(INDEX(Manual_Review!$H$6:$H$238,U3453)="","",INDEX(Manual_Review!$H$6:$H$238,U3453))</f>
        <v/>
      </c>
      <c r="X3453" s="5" t="str">
        <f>IF(INDEX(Manual_Review!$I$6:$I$238,U3453)="","",INDEX(Manual_Review!$I$6:$I$238,U3453))</f>
        <v/>
      </c>
      <c r="Y3453" s="5" t="s">
        <v>2859</v>
      </c>
    </row>
    <row r="3454" spans="1:25" ht="38.25">
      <c r="A3454" s="5" t="s">
        <v>10417</v>
      </c>
      <c r="B3454" s="5" t="s">
        <v>2504</v>
      </c>
      <c r="C3454" s="5" t="s">
        <v>2505</v>
      </c>
      <c r="D3454" s="5" t="s">
        <v>118</v>
      </c>
      <c r="E3454" s="5" t="s">
        <v>2789</v>
      </c>
      <c r="F3454" s="5" t="s">
        <v>2758</v>
      </c>
      <c r="G3454" s="5">
        <v>1</v>
      </c>
      <c r="H3454" s="5" t="s">
        <v>2854</v>
      </c>
      <c r="I3454" s="5" t="str">
        <f>IF(INDEX(Manual_Review!$S$6:$S$238,U3454)="","",INDEX(Manual_Review!$S$6:$S$238,U3454))</f>
        <v/>
      </c>
      <c r="J3454" s="5" t="str">
        <f t="shared" si="106"/>
        <v>AI provisional</v>
      </c>
      <c r="K3454" s="5" t="str">
        <f t="shared" si="107"/>
        <v>Y</v>
      </c>
      <c r="L3454" s="5" t="s">
        <v>2515</v>
      </c>
      <c r="M3454" s="5" t="s">
        <v>10418</v>
      </c>
      <c r="N3454" s="5" t="s">
        <v>10419</v>
      </c>
      <c r="O3454" s="5" t="s">
        <v>3022</v>
      </c>
      <c r="P3454" s="5" t="s">
        <v>2992</v>
      </c>
      <c r="Q3454" s="11">
        <v>46306.5</v>
      </c>
      <c r="R3454" s="6"/>
      <c r="S3454" s="6"/>
      <c r="T3454" s="6"/>
      <c r="U3454" s="5">
        <f>MATCH(B3454,Manual_Review!$A$6:$A$238,0)</f>
        <v>216</v>
      </c>
      <c r="V3454" s="5" t="str">
        <f>IF(INDEX(Manual_Review!$G$6:$G$238,U3454)="","",INDEX(Manual_Review!$G$6:$G$238,U3454))</f>
        <v/>
      </c>
      <c r="W3454" s="11" t="str">
        <f>IF(INDEX(Manual_Review!$H$6:$H$238,U3454)="","",INDEX(Manual_Review!$H$6:$H$238,U3454))</f>
        <v/>
      </c>
      <c r="X3454" s="5" t="str">
        <f>IF(INDEX(Manual_Review!$I$6:$I$238,U3454)="","",INDEX(Manual_Review!$I$6:$I$238,U3454))</f>
        <v/>
      </c>
      <c r="Y3454" s="5" t="s">
        <v>2859</v>
      </c>
    </row>
    <row r="3455" spans="1:25" ht="25.5">
      <c r="A3455" s="5" t="s">
        <v>10420</v>
      </c>
      <c r="B3455" s="5" t="s">
        <v>2504</v>
      </c>
      <c r="C3455" s="5" t="s">
        <v>2505</v>
      </c>
      <c r="D3455" s="5" t="s">
        <v>118</v>
      </c>
      <c r="E3455" s="5" t="s">
        <v>2790</v>
      </c>
      <c r="F3455" s="5" t="s">
        <v>2760</v>
      </c>
      <c r="G3455" s="5">
        <v>1</v>
      </c>
      <c r="H3455" s="5" t="s">
        <v>2854</v>
      </c>
      <c r="I3455" s="5" t="str">
        <f>IF(INDEX(Manual_Review!$T$6:$T$238,U3455)="","",INDEX(Manual_Review!$T$6:$T$238,U3455))</f>
        <v/>
      </c>
      <c r="J3455" s="5" t="str">
        <f t="shared" si="106"/>
        <v>AI provisional</v>
      </c>
      <c r="K3455" s="5" t="str">
        <f t="shared" si="107"/>
        <v>Y</v>
      </c>
      <c r="L3455" s="5" t="s">
        <v>2515</v>
      </c>
      <c r="M3455" s="5" t="s">
        <v>10421</v>
      </c>
      <c r="N3455" s="5" t="s">
        <v>10422</v>
      </c>
      <c r="O3455" s="5" t="s">
        <v>3451</v>
      </c>
      <c r="P3455" s="5" t="s">
        <v>2992</v>
      </c>
      <c r="Q3455" s="11">
        <v>46306.5</v>
      </c>
      <c r="R3455" s="6"/>
      <c r="S3455" s="6"/>
      <c r="T3455" s="6"/>
      <c r="U3455" s="5">
        <f>MATCH(B3455,Manual_Review!$A$6:$A$238,0)</f>
        <v>216</v>
      </c>
      <c r="V3455" s="5" t="str">
        <f>IF(INDEX(Manual_Review!$G$6:$G$238,U3455)="","",INDEX(Manual_Review!$G$6:$G$238,U3455))</f>
        <v/>
      </c>
      <c r="W3455" s="11" t="str">
        <f>IF(INDEX(Manual_Review!$H$6:$H$238,U3455)="","",INDEX(Manual_Review!$H$6:$H$238,U3455))</f>
        <v/>
      </c>
      <c r="X3455" s="5" t="str">
        <f>IF(INDEX(Manual_Review!$I$6:$I$238,U3455)="","",INDEX(Manual_Review!$I$6:$I$238,U3455))</f>
        <v/>
      </c>
      <c r="Y3455" s="5" t="s">
        <v>2859</v>
      </c>
    </row>
    <row r="3456" spans="1:25" ht="25.5">
      <c r="A3456" s="5" t="s">
        <v>10423</v>
      </c>
      <c r="B3456" s="5" t="s">
        <v>2504</v>
      </c>
      <c r="C3456" s="5" t="s">
        <v>2505</v>
      </c>
      <c r="D3456" s="5" t="s">
        <v>118</v>
      </c>
      <c r="E3456" s="5" t="s">
        <v>2791</v>
      </c>
      <c r="F3456" s="5" t="s">
        <v>2760</v>
      </c>
      <c r="G3456" s="5">
        <v>1</v>
      </c>
      <c r="H3456" s="5" t="s">
        <v>2864</v>
      </c>
      <c r="I3456" s="5" t="str">
        <f>IF(INDEX(Manual_Review!$U$6:$U$238,U3456)="","",INDEX(Manual_Review!$U$6:$U$238,U3456))</f>
        <v/>
      </c>
      <c r="J3456" s="5" t="str">
        <f t="shared" si="106"/>
        <v>AI provisional</v>
      </c>
      <c r="K3456" s="5" t="str">
        <f t="shared" si="107"/>
        <v>U</v>
      </c>
      <c r="L3456" s="5" t="s">
        <v>2515</v>
      </c>
      <c r="M3456" s="5" t="s">
        <v>10424</v>
      </c>
      <c r="N3456" s="5" t="s">
        <v>10425</v>
      </c>
      <c r="O3456" s="5" t="s">
        <v>3030</v>
      </c>
      <c r="P3456" s="5" t="s">
        <v>2992</v>
      </c>
      <c r="Q3456" s="11">
        <v>46306.5</v>
      </c>
      <c r="R3456" s="6"/>
      <c r="S3456" s="6"/>
      <c r="T3456" s="6"/>
      <c r="U3456" s="5">
        <f>MATCH(B3456,Manual_Review!$A$6:$A$238,0)</f>
        <v>216</v>
      </c>
      <c r="V3456" s="5" t="str">
        <f>IF(INDEX(Manual_Review!$G$6:$G$238,U3456)="","",INDEX(Manual_Review!$G$6:$G$238,U3456))</f>
        <v/>
      </c>
      <c r="W3456" s="11" t="str">
        <f>IF(INDEX(Manual_Review!$H$6:$H$238,U3456)="","",INDEX(Manual_Review!$H$6:$H$238,U3456))</f>
        <v/>
      </c>
      <c r="X3456" s="5" t="str">
        <f>IF(INDEX(Manual_Review!$I$6:$I$238,U3456)="","",INDEX(Manual_Review!$I$6:$I$238,U3456))</f>
        <v/>
      </c>
      <c r="Y3456" s="5" t="s">
        <v>2859</v>
      </c>
    </row>
    <row r="3457" spans="1:25" ht="25.5">
      <c r="A3457" s="5" t="s">
        <v>10426</v>
      </c>
      <c r="B3457" s="5" t="s">
        <v>2504</v>
      </c>
      <c r="C3457" s="5" t="s">
        <v>2505</v>
      </c>
      <c r="D3457" s="5" t="s">
        <v>118</v>
      </c>
      <c r="E3457" s="5" t="s">
        <v>2792</v>
      </c>
      <c r="F3457" s="5" t="s">
        <v>2762</v>
      </c>
      <c r="G3457" s="5">
        <v>1</v>
      </c>
      <c r="H3457" s="5" t="s">
        <v>2854</v>
      </c>
      <c r="I3457" s="5" t="str">
        <f>IF(INDEX(Manual_Review!$V$6:$V$238,U3457)="","",INDEX(Manual_Review!$V$6:$V$238,U3457))</f>
        <v/>
      </c>
      <c r="J3457" s="5" t="str">
        <f t="shared" si="106"/>
        <v>AI provisional</v>
      </c>
      <c r="K3457" s="5" t="str">
        <f t="shared" si="107"/>
        <v>Y</v>
      </c>
      <c r="L3457" s="5" t="s">
        <v>2515</v>
      </c>
      <c r="M3457" s="5" t="s">
        <v>10427</v>
      </c>
      <c r="N3457" s="5" t="s">
        <v>10428</v>
      </c>
      <c r="O3457" s="5" t="s">
        <v>3034</v>
      </c>
      <c r="P3457" s="5" t="s">
        <v>2992</v>
      </c>
      <c r="Q3457" s="11">
        <v>46306.5</v>
      </c>
      <c r="R3457" s="6"/>
      <c r="S3457" s="6"/>
      <c r="T3457" s="6"/>
      <c r="U3457" s="5">
        <f>MATCH(B3457,Manual_Review!$A$6:$A$238,0)</f>
        <v>216</v>
      </c>
      <c r="V3457" s="5" t="str">
        <f>IF(INDEX(Manual_Review!$G$6:$G$238,U3457)="","",INDEX(Manual_Review!$G$6:$G$238,U3457))</f>
        <v/>
      </c>
      <c r="W3457" s="11" t="str">
        <f>IF(INDEX(Manual_Review!$H$6:$H$238,U3457)="","",INDEX(Manual_Review!$H$6:$H$238,U3457))</f>
        <v/>
      </c>
      <c r="X3457" s="5" t="str">
        <f>IF(INDEX(Manual_Review!$I$6:$I$238,U3457)="","",INDEX(Manual_Review!$I$6:$I$238,U3457))</f>
        <v/>
      </c>
      <c r="Y3457" s="5" t="s">
        <v>2859</v>
      </c>
    </row>
    <row r="3458" spans="1:25" ht="38.25">
      <c r="A3458" s="5" t="s">
        <v>10429</v>
      </c>
      <c r="B3458" s="5" t="s">
        <v>2504</v>
      </c>
      <c r="C3458" s="5" t="s">
        <v>2505</v>
      </c>
      <c r="D3458" s="5" t="s">
        <v>118</v>
      </c>
      <c r="E3458" s="5" t="s">
        <v>2793</v>
      </c>
      <c r="F3458" s="5" t="s">
        <v>2762</v>
      </c>
      <c r="G3458" s="5">
        <v>1</v>
      </c>
      <c r="H3458" s="5" t="s">
        <v>2854</v>
      </c>
      <c r="I3458" s="5" t="str">
        <f>IF(INDEX(Manual_Review!$W$6:$W$238,U3458)="","",INDEX(Manual_Review!$W$6:$W$238,U3458))</f>
        <v/>
      </c>
      <c r="J3458" s="5" t="str">
        <f t="shared" si="106"/>
        <v>AI provisional</v>
      </c>
      <c r="K3458" s="5" t="str">
        <f t="shared" si="107"/>
        <v>Y</v>
      </c>
      <c r="L3458" s="5" t="s">
        <v>2515</v>
      </c>
      <c r="M3458" s="5" t="s">
        <v>10430</v>
      </c>
      <c r="N3458" s="5" t="s">
        <v>10431</v>
      </c>
      <c r="O3458" s="5" t="s">
        <v>3038</v>
      </c>
      <c r="P3458" s="5" t="s">
        <v>2992</v>
      </c>
      <c r="Q3458" s="11">
        <v>46306.5</v>
      </c>
      <c r="R3458" s="6"/>
      <c r="S3458" s="6"/>
      <c r="T3458" s="6"/>
      <c r="U3458" s="5">
        <f>MATCH(B3458,Manual_Review!$A$6:$A$238,0)</f>
        <v>216</v>
      </c>
      <c r="V3458" s="5" t="str">
        <f>IF(INDEX(Manual_Review!$G$6:$G$238,U3458)="","",INDEX(Manual_Review!$G$6:$G$238,U3458))</f>
        <v/>
      </c>
      <c r="W3458" s="11" t="str">
        <f>IF(INDEX(Manual_Review!$H$6:$H$238,U3458)="","",INDEX(Manual_Review!$H$6:$H$238,U3458))</f>
        <v/>
      </c>
      <c r="X3458" s="5" t="str">
        <f>IF(INDEX(Manual_Review!$I$6:$I$238,U3458)="","",INDEX(Manual_Review!$I$6:$I$238,U3458))</f>
        <v/>
      </c>
      <c r="Y3458" s="5" t="s">
        <v>2859</v>
      </c>
    </row>
    <row r="3459" spans="1:25" ht="25.5">
      <c r="A3459" s="5" t="s">
        <v>10432</v>
      </c>
      <c r="B3459" s="5" t="s">
        <v>2504</v>
      </c>
      <c r="C3459" s="5" t="s">
        <v>2505</v>
      </c>
      <c r="D3459" s="5" t="s">
        <v>118</v>
      </c>
      <c r="E3459" s="5" t="s">
        <v>2794</v>
      </c>
      <c r="F3459" s="5" t="s">
        <v>2764</v>
      </c>
      <c r="G3459" s="5">
        <v>1</v>
      </c>
      <c r="H3459" s="5" t="s">
        <v>2854</v>
      </c>
      <c r="I3459" s="5" t="str">
        <f>IF(INDEX(Manual_Review!$X$6:$X$238,U3459)="","",INDEX(Manual_Review!$X$6:$X$238,U3459))</f>
        <v/>
      </c>
      <c r="J3459" s="5" t="str">
        <f t="shared" si="106"/>
        <v>AI provisional</v>
      </c>
      <c r="K3459" s="5" t="str">
        <f t="shared" si="107"/>
        <v>Y</v>
      </c>
      <c r="L3459" s="5" t="s">
        <v>2515</v>
      </c>
      <c r="M3459" s="5" t="s">
        <v>10433</v>
      </c>
      <c r="N3459" s="5" t="s">
        <v>10434</v>
      </c>
      <c r="O3459" s="5" t="s">
        <v>3042</v>
      </c>
      <c r="P3459" s="5" t="s">
        <v>2992</v>
      </c>
      <c r="Q3459" s="11">
        <v>46306.5</v>
      </c>
      <c r="R3459" s="6"/>
      <c r="S3459" s="6"/>
      <c r="T3459" s="6"/>
      <c r="U3459" s="5">
        <f>MATCH(B3459,Manual_Review!$A$6:$A$238,0)</f>
        <v>216</v>
      </c>
      <c r="V3459" s="5" t="str">
        <f>IF(INDEX(Manual_Review!$G$6:$G$238,U3459)="","",INDEX(Manual_Review!$G$6:$G$238,U3459))</f>
        <v/>
      </c>
      <c r="W3459" s="11" t="str">
        <f>IF(INDEX(Manual_Review!$H$6:$H$238,U3459)="","",INDEX(Manual_Review!$H$6:$H$238,U3459))</f>
        <v/>
      </c>
      <c r="X3459" s="5" t="str">
        <f>IF(INDEX(Manual_Review!$I$6:$I$238,U3459)="","",INDEX(Manual_Review!$I$6:$I$238,U3459))</f>
        <v/>
      </c>
      <c r="Y3459" s="5" t="s">
        <v>2859</v>
      </c>
    </row>
    <row r="3460" spans="1:25" ht="25.5">
      <c r="A3460" s="5" t="s">
        <v>10435</v>
      </c>
      <c r="B3460" s="5" t="s">
        <v>2504</v>
      </c>
      <c r="C3460" s="5" t="s">
        <v>2505</v>
      </c>
      <c r="D3460" s="5" t="s">
        <v>118</v>
      </c>
      <c r="E3460" s="5" t="s">
        <v>2795</v>
      </c>
      <c r="F3460" s="5" t="s">
        <v>2764</v>
      </c>
      <c r="G3460" s="5">
        <v>1</v>
      </c>
      <c r="H3460" s="5" t="s">
        <v>2854</v>
      </c>
      <c r="I3460" s="5" t="str">
        <f>IF(INDEX(Manual_Review!$Y$6:$Y$238,U3460)="","",INDEX(Manual_Review!$Y$6:$Y$238,U3460))</f>
        <v/>
      </c>
      <c r="J3460" s="5" t="str">
        <f t="shared" si="106"/>
        <v>AI provisional</v>
      </c>
      <c r="K3460" s="5" t="str">
        <f t="shared" si="107"/>
        <v>Y</v>
      </c>
      <c r="L3460" s="5" t="s">
        <v>2515</v>
      </c>
      <c r="M3460" s="5" t="s">
        <v>10436</v>
      </c>
      <c r="N3460" s="5" t="s">
        <v>10437</v>
      </c>
      <c r="O3460" s="5" t="s">
        <v>3046</v>
      </c>
      <c r="P3460" s="5" t="s">
        <v>2992</v>
      </c>
      <c r="Q3460" s="11">
        <v>46306.5</v>
      </c>
      <c r="R3460" s="6"/>
      <c r="S3460" s="6"/>
      <c r="T3460" s="6"/>
      <c r="U3460" s="5">
        <f>MATCH(B3460,Manual_Review!$A$6:$A$238,0)</f>
        <v>216</v>
      </c>
      <c r="V3460" s="5" t="str">
        <f>IF(INDEX(Manual_Review!$G$6:$G$238,U3460)="","",INDEX(Manual_Review!$G$6:$G$238,U3460))</f>
        <v/>
      </c>
      <c r="W3460" s="11" t="str">
        <f>IF(INDEX(Manual_Review!$H$6:$H$238,U3460)="","",INDEX(Manual_Review!$H$6:$H$238,U3460))</f>
        <v/>
      </c>
      <c r="X3460" s="5" t="str">
        <f>IF(INDEX(Manual_Review!$I$6:$I$238,U3460)="","",INDEX(Manual_Review!$I$6:$I$238,U3460))</f>
        <v/>
      </c>
      <c r="Y3460" s="5" t="s">
        <v>2859</v>
      </c>
    </row>
    <row r="3461" spans="1:25" ht="38.25">
      <c r="A3461" s="5" t="s">
        <v>10438</v>
      </c>
      <c r="B3461" s="5" t="s">
        <v>2504</v>
      </c>
      <c r="C3461" s="5" t="s">
        <v>2505</v>
      </c>
      <c r="D3461" s="5" t="s">
        <v>118</v>
      </c>
      <c r="E3461" s="5" t="s">
        <v>2796</v>
      </c>
      <c r="F3461" s="5" t="s">
        <v>2764</v>
      </c>
      <c r="G3461" s="5">
        <v>1</v>
      </c>
      <c r="H3461" s="5" t="s">
        <v>2864</v>
      </c>
      <c r="I3461" s="5" t="str">
        <f>IF(INDEX(Manual_Review!$Z$6:$Z$238,U3461)="","",INDEX(Manual_Review!$Z$6:$Z$238,U3461))</f>
        <v/>
      </c>
      <c r="J3461" s="5" t="str">
        <f t="shared" si="106"/>
        <v>AI provisional</v>
      </c>
      <c r="K3461" s="5" t="str">
        <f t="shared" si="107"/>
        <v>U</v>
      </c>
      <c r="L3461" s="5" t="s">
        <v>2515</v>
      </c>
      <c r="M3461" s="5" t="s">
        <v>10439</v>
      </c>
      <c r="N3461" s="5" t="s">
        <v>10440</v>
      </c>
      <c r="O3461" s="5" t="s">
        <v>3050</v>
      </c>
      <c r="P3461" s="5" t="s">
        <v>2992</v>
      </c>
      <c r="Q3461" s="11">
        <v>46306.5</v>
      </c>
      <c r="R3461" s="6"/>
      <c r="S3461" s="6"/>
      <c r="T3461" s="6"/>
      <c r="U3461" s="5">
        <f>MATCH(B3461,Manual_Review!$A$6:$A$238,0)</f>
        <v>216</v>
      </c>
      <c r="V3461" s="5" t="str">
        <f>IF(INDEX(Manual_Review!$G$6:$G$238,U3461)="","",INDEX(Manual_Review!$G$6:$G$238,U3461))</f>
        <v/>
      </c>
      <c r="W3461" s="11" t="str">
        <f>IF(INDEX(Manual_Review!$H$6:$H$238,U3461)="","",INDEX(Manual_Review!$H$6:$H$238,U3461))</f>
        <v/>
      </c>
      <c r="X3461" s="5" t="str">
        <f>IF(INDEX(Manual_Review!$I$6:$I$238,U3461)="","",INDEX(Manual_Review!$I$6:$I$238,U3461))</f>
        <v/>
      </c>
      <c r="Y3461" s="5" t="s">
        <v>2859</v>
      </c>
    </row>
    <row r="3462" spans="1:25" ht="25.5">
      <c r="A3462" s="5" t="s">
        <v>10441</v>
      </c>
      <c r="B3462" s="5" t="s">
        <v>2517</v>
      </c>
      <c r="C3462" s="5" t="s">
        <v>2518</v>
      </c>
      <c r="D3462" s="5" t="s">
        <v>1336</v>
      </c>
      <c r="E3462" s="5" t="s">
        <v>2781</v>
      </c>
      <c r="F3462" s="5" t="s">
        <v>2754</v>
      </c>
      <c r="G3462" s="5">
        <v>1</v>
      </c>
      <c r="H3462" s="5" t="s">
        <v>2854</v>
      </c>
      <c r="I3462" s="5" t="str">
        <f>IF(INDEX(Manual_Review!$K$6:$K$238,U3462)="","",INDEX(Manual_Review!$K$6:$K$238,U3462))</f>
        <v/>
      </c>
      <c r="J3462" s="5" t="str">
        <f t="shared" ref="J3462:J3525" si="108">IF(G3462=0,"Not applicable",IF(I3462="","AI provisional",IF(AND(OR(I3462="Y",I3462="N",I3462="U",I3462="X"),V3462&lt;&gt;"",ISNUMBER(W3462),W3462&gt;0,X3462="Confirmed",R3462&lt;&gt;"",S3462&lt;&gt;"",T3462&lt;&gt;""),"Human valid","Evidence needed")))</f>
        <v>AI provisional</v>
      </c>
      <c r="K3462" s="5" t="str">
        <f t="shared" ref="K3462:K3525" si="109">IF(G3462=0,"N/A",IF(I3462="",H3462,IF(J3462="Human valid",I3462,"U")))</f>
        <v>Y</v>
      </c>
      <c r="L3462" s="5" t="s">
        <v>2527</v>
      </c>
      <c r="M3462" s="5" t="s">
        <v>10442</v>
      </c>
      <c r="N3462" s="5" t="s">
        <v>10443</v>
      </c>
      <c r="O3462" s="5" t="s">
        <v>2991</v>
      </c>
      <c r="P3462" s="5" t="s">
        <v>2992</v>
      </c>
      <c r="Q3462" s="11">
        <v>46306.5</v>
      </c>
      <c r="R3462" s="6"/>
      <c r="S3462" s="6"/>
      <c r="T3462" s="6"/>
      <c r="U3462" s="5">
        <f>MATCH(B3462,Manual_Review!$A$6:$A$238,0)</f>
        <v>217</v>
      </c>
      <c r="V3462" s="5" t="str">
        <f>IF(INDEX(Manual_Review!$G$6:$G$238,U3462)="","",INDEX(Manual_Review!$G$6:$G$238,U3462))</f>
        <v/>
      </c>
      <c r="W3462" s="11" t="str">
        <f>IF(INDEX(Manual_Review!$H$6:$H$238,U3462)="","",INDEX(Manual_Review!$H$6:$H$238,U3462))</f>
        <v/>
      </c>
      <c r="X3462" s="5" t="str">
        <f>IF(INDEX(Manual_Review!$I$6:$I$238,U3462)="","",INDEX(Manual_Review!$I$6:$I$238,U3462))</f>
        <v/>
      </c>
      <c r="Y3462" s="5" t="s">
        <v>2859</v>
      </c>
    </row>
    <row r="3463" spans="1:25" ht="25.5">
      <c r="A3463" s="5" t="s">
        <v>10444</v>
      </c>
      <c r="B3463" s="5" t="s">
        <v>2517</v>
      </c>
      <c r="C3463" s="5" t="s">
        <v>2518</v>
      </c>
      <c r="D3463" s="5" t="s">
        <v>1336</v>
      </c>
      <c r="E3463" s="5" t="s">
        <v>2782</v>
      </c>
      <c r="F3463" s="5" t="s">
        <v>2754</v>
      </c>
      <c r="G3463" s="5">
        <v>1</v>
      </c>
      <c r="H3463" s="5" t="s">
        <v>2854</v>
      </c>
      <c r="I3463" s="5" t="str">
        <f>IF(INDEX(Manual_Review!$L$6:$L$238,U3463)="","",INDEX(Manual_Review!$L$6:$L$238,U3463))</f>
        <v/>
      </c>
      <c r="J3463" s="5" t="str">
        <f t="shared" si="108"/>
        <v>AI provisional</v>
      </c>
      <c r="K3463" s="5" t="str">
        <f t="shared" si="109"/>
        <v>Y</v>
      </c>
      <c r="L3463" s="5" t="s">
        <v>2527</v>
      </c>
      <c r="M3463" s="5" t="s">
        <v>10445</v>
      </c>
      <c r="N3463" s="5" t="s">
        <v>10446</v>
      </c>
      <c r="O3463" s="5" t="s">
        <v>2996</v>
      </c>
      <c r="P3463" s="5" t="s">
        <v>2992</v>
      </c>
      <c r="Q3463" s="11">
        <v>46306.5</v>
      </c>
      <c r="R3463" s="6"/>
      <c r="S3463" s="6"/>
      <c r="T3463" s="6"/>
      <c r="U3463" s="5">
        <f>MATCH(B3463,Manual_Review!$A$6:$A$238,0)</f>
        <v>217</v>
      </c>
      <c r="V3463" s="5" t="str">
        <f>IF(INDEX(Manual_Review!$G$6:$G$238,U3463)="","",INDEX(Manual_Review!$G$6:$G$238,U3463))</f>
        <v/>
      </c>
      <c r="W3463" s="11" t="str">
        <f>IF(INDEX(Manual_Review!$H$6:$H$238,U3463)="","",INDEX(Manual_Review!$H$6:$H$238,U3463))</f>
        <v/>
      </c>
      <c r="X3463" s="5" t="str">
        <f>IF(INDEX(Manual_Review!$I$6:$I$238,U3463)="","",INDEX(Manual_Review!$I$6:$I$238,U3463))</f>
        <v/>
      </c>
      <c r="Y3463" s="5" t="s">
        <v>2859</v>
      </c>
    </row>
    <row r="3464" spans="1:25" ht="25.5">
      <c r="A3464" s="5" t="s">
        <v>10447</v>
      </c>
      <c r="B3464" s="5" t="s">
        <v>2517</v>
      </c>
      <c r="C3464" s="5" t="s">
        <v>2518</v>
      </c>
      <c r="D3464" s="5" t="s">
        <v>1336</v>
      </c>
      <c r="E3464" s="5" t="s">
        <v>2783</v>
      </c>
      <c r="F3464" s="5" t="s">
        <v>2754</v>
      </c>
      <c r="G3464" s="5">
        <v>1</v>
      </c>
      <c r="H3464" s="5" t="s">
        <v>2854</v>
      </c>
      <c r="I3464" s="5" t="str">
        <f>IF(INDEX(Manual_Review!$M$6:$M$238,U3464)="","",INDEX(Manual_Review!$M$6:$M$238,U3464))</f>
        <v/>
      </c>
      <c r="J3464" s="5" t="str">
        <f t="shared" si="108"/>
        <v>AI provisional</v>
      </c>
      <c r="K3464" s="5" t="str">
        <f t="shared" si="109"/>
        <v>Y</v>
      </c>
      <c r="L3464" s="5" t="s">
        <v>2527</v>
      </c>
      <c r="M3464" s="5" t="s">
        <v>10448</v>
      </c>
      <c r="N3464" s="5" t="s">
        <v>8651</v>
      </c>
      <c r="O3464" s="5" t="s">
        <v>3000</v>
      </c>
      <c r="P3464" s="5" t="s">
        <v>2992</v>
      </c>
      <c r="Q3464" s="11">
        <v>46306.5</v>
      </c>
      <c r="R3464" s="6"/>
      <c r="S3464" s="6"/>
      <c r="T3464" s="6"/>
      <c r="U3464" s="5">
        <f>MATCH(B3464,Manual_Review!$A$6:$A$238,0)</f>
        <v>217</v>
      </c>
      <c r="V3464" s="5" t="str">
        <f>IF(INDEX(Manual_Review!$G$6:$G$238,U3464)="","",INDEX(Manual_Review!$G$6:$G$238,U3464))</f>
        <v/>
      </c>
      <c r="W3464" s="11" t="str">
        <f>IF(INDEX(Manual_Review!$H$6:$H$238,U3464)="","",INDEX(Manual_Review!$H$6:$H$238,U3464))</f>
        <v/>
      </c>
      <c r="X3464" s="5" t="str">
        <f>IF(INDEX(Manual_Review!$I$6:$I$238,U3464)="","",INDEX(Manual_Review!$I$6:$I$238,U3464))</f>
        <v/>
      </c>
      <c r="Y3464" s="5" t="s">
        <v>2859</v>
      </c>
    </row>
    <row r="3465" spans="1:25" ht="25.5">
      <c r="A3465" s="5" t="s">
        <v>10449</v>
      </c>
      <c r="B3465" s="5" t="s">
        <v>2517</v>
      </c>
      <c r="C3465" s="5" t="s">
        <v>2518</v>
      </c>
      <c r="D3465" s="5" t="s">
        <v>1336</v>
      </c>
      <c r="E3465" s="5" t="s">
        <v>2784</v>
      </c>
      <c r="F3465" s="5" t="s">
        <v>2756</v>
      </c>
      <c r="G3465" s="5">
        <v>0</v>
      </c>
      <c r="H3465" s="5" t="s">
        <v>6577</v>
      </c>
      <c r="I3465" s="5" t="str">
        <f>IF(INDEX(Manual_Review!$N$6:$N$238,U3465)="","",INDEX(Manual_Review!$N$6:$N$238,U3465))</f>
        <v/>
      </c>
      <c r="J3465" s="5" t="str">
        <f t="shared" si="108"/>
        <v>Not applicable</v>
      </c>
      <c r="K3465" s="5" t="str">
        <f t="shared" si="109"/>
        <v>N/A</v>
      </c>
      <c r="L3465" s="5" t="s">
        <v>2527</v>
      </c>
      <c r="M3465" s="5" t="s">
        <v>2771</v>
      </c>
      <c r="N3465" s="5" t="s">
        <v>10136</v>
      </c>
      <c r="O3465" s="5" t="s">
        <v>10137</v>
      </c>
      <c r="P3465" s="5" t="s">
        <v>10138</v>
      </c>
      <c r="Q3465" s="11"/>
      <c r="R3465" s="6"/>
      <c r="S3465" s="6"/>
      <c r="T3465" s="6"/>
      <c r="U3465" s="5">
        <f>MATCH(B3465,Manual_Review!$A$6:$A$238,0)</f>
        <v>217</v>
      </c>
      <c r="V3465" s="5" t="str">
        <f>IF(INDEX(Manual_Review!$G$6:$G$238,U3465)="","",INDEX(Manual_Review!$G$6:$G$238,U3465))</f>
        <v/>
      </c>
      <c r="W3465" s="11" t="str">
        <f>IF(INDEX(Manual_Review!$H$6:$H$238,U3465)="","",INDEX(Manual_Review!$H$6:$H$238,U3465))</f>
        <v/>
      </c>
      <c r="X3465" s="5" t="str">
        <f>IF(INDEX(Manual_Review!$I$6:$I$238,U3465)="","",INDEX(Manual_Review!$I$6:$I$238,U3465))</f>
        <v/>
      </c>
      <c r="Y3465" s="5" t="s">
        <v>2859</v>
      </c>
    </row>
    <row r="3466" spans="1:25" ht="25.5">
      <c r="A3466" s="5" t="s">
        <v>10450</v>
      </c>
      <c r="B3466" s="5" t="s">
        <v>2517</v>
      </c>
      <c r="C3466" s="5" t="s">
        <v>2518</v>
      </c>
      <c r="D3466" s="5" t="s">
        <v>1336</v>
      </c>
      <c r="E3466" s="5" t="s">
        <v>2785</v>
      </c>
      <c r="F3466" s="5" t="s">
        <v>2756</v>
      </c>
      <c r="G3466" s="5">
        <v>0</v>
      </c>
      <c r="H3466" s="5" t="s">
        <v>6577</v>
      </c>
      <c r="I3466" s="5" t="str">
        <f>IF(INDEX(Manual_Review!$O$6:$O$238,U3466)="","",INDEX(Manual_Review!$O$6:$O$238,U3466))</f>
        <v/>
      </c>
      <c r="J3466" s="5" t="str">
        <f t="shared" si="108"/>
        <v>Not applicable</v>
      </c>
      <c r="K3466" s="5" t="str">
        <f t="shared" si="109"/>
        <v>N/A</v>
      </c>
      <c r="L3466" s="5" t="s">
        <v>2527</v>
      </c>
      <c r="M3466" s="5" t="s">
        <v>2771</v>
      </c>
      <c r="N3466" s="5" t="s">
        <v>10136</v>
      </c>
      <c r="O3466" s="5" t="s">
        <v>10137</v>
      </c>
      <c r="P3466" s="5" t="s">
        <v>10138</v>
      </c>
      <c r="Q3466" s="11"/>
      <c r="R3466" s="6"/>
      <c r="S3466" s="6"/>
      <c r="T3466" s="6"/>
      <c r="U3466" s="5">
        <f>MATCH(B3466,Manual_Review!$A$6:$A$238,0)</f>
        <v>217</v>
      </c>
      <c r="V3466" s="5" t="str">
        <f>IF(INDEX(Manual_Review!$G$6:$G$238,U3466)="","",INDEX(Manual_Review!$G$6:$G$238,U3466))</f>
        <v/>
      </c>
      <c r="W3466" s="11" t="str">
        <f>IF(INDEX(Manual_Review!$H$6:$H$238,U3466)="","",INDEX(Manual_Review!$H$6:$H$238,U3466))</f>
        <v/>
      </c>
      <c r="X3466" s="5" t="str">
        <f>IF(INDEX(Manual_Review!$I$6:$I$238,U3466)="","",INDEX(Manual_Review!$I$6:$I$238,U3466))</f>
        <v/>
      </c>
      <c r="Y3466" s="5" t="s">
        <v>2859</v>
      </c>
    </row>
    <row r="3467" spans="1:25" ht="25.5">
      <c r="A3467" s="5" t="s">
        <v>10451</v>
      </c>
      <c r="B3467" s="5" t="s">
        <v>2517</v>
      </c>
      <c r="C3467" s="5" t="s">
        <v>2518</v>
      </c>
      <c r="D3467" s="5" t="s">
        <v>1336</v>
      </c>
      <c r="E3467" s="5" t="s">
        <v>2786</v>
      </c>
      <c r="F3467" s="5" t="s">
        <v>2756</v>
      </c>
      <c r="G3467" s="5">
        <v>0</v>
      </c>
      <c r="H3467" s="5" t="s">
        <v>6577</v>
      </c>
      <c r="I3467" s="5" t="str">
        <f>IF(INDEX(Manual_Review!$P$6:$P$238,U3467)="","",INDEX(Manual_Review!$P$6:$P$238,U3467))</f>
        <v/>
      </c>
      <c r="J3467" s="5" t="str">
        <f t="shared" si="108"/>
        <v>Not applicable</v>
      </c>
      <c r="K3467" s="5" t="str">
        <f t="shared" si="109"/>
        <v>N/A</v>
      </c>
      <c r="L3467" s="5" t="s">
        <v>2527</v>
      </c>
      <c r="M3467" s="5" t="s">
        <v>2771</v>
      </c>
      <c r="N3467" s="5" t="s">
        <v>10136</v>
      </c>
      <c r="O3467" s="5" t="s">
        <v>10137</v>
      </c>
      <c r="P3467" s="5" t="s">
        <v>10138</v>
      </c>
      <c r="Q3467" s="11"/>
      <c r="R3467" s="6"/>
      <c r="S3467" s="6"/>
      <c r="T3467" s="6"/>
      <c r="U3467" s="5">
        <f>MATCH(B3467,Manual_Review!$A$6:$A$238,0)</f>
        <v>217</v>
      </c>
      <c r="V3467" s="5" t="str">
        <f>IF(INDEX(Manual_Review!$G$6:$G$238,U3467)="","",INDEX(Manual_Review!$G$6:$G$238,U3467))</f>
        <v/>
      </c>
      <c r="W3467" s="11" t="str">
        <f>IF(INDEX(Manual_Review!$H$6:$H$238,U3467)="","",INDEX(Manual_Review!$H$6:$H$238,U3467))</f>
        <v/>
      </c>
      <c r="X3467" s="5" t="str">
        <f>IF(INDEX(Manual_Review!$I$6:$I$238,U3467)="","",INDEX(Manual_Review!$I$6:$I$238,U3467))</f>
        <v/>
      </c>
      <c r="Y3467" s="5" t="s">
        <v>2859</v>
      </c>
    </row>
    <row r="3468" spans="1:25" ht="25.5">
      <c r="A3468" s="5" t="s">
        <v>10452</v>
      </c>
      <c r="B3468" s="5" t="s">
        <v>2517</v>
      </c>
      <c r="C3468" s="5" t="s">
        <v>2518</v>
      </c>
      <c r="D3468" s="5" t="s">
        <v>1336</v>
      </c>
      <c r="E3468" s="5" t="s">
        <v>2787</v>
      </c>
      <c r="F3468" s="5" t="s">
        <v>2758</v>
      </c>
      <c r="G3468" s="5">
        <v>1</v>
      </c>
      <c r="H3468" s="5" t="s">
        <v>2864</v>
      </c>
      <c r="I3468" s="5" t="str">
        <f>IF(INDEX(Manual_Review!$Q$6:$Q$238,U3468)="","",INDEX(Manual_Review!$Q$6:$Q$238,U3468))</f>
        <v/>
      </c>
      <c r="J3468" s="5" t="str">
        <f t="shared" si="108"/>
        <v>AI provisional</v>
      </c>
      <c r="K3468" s="5" t="str">
        <f t="shared" si="109"/>
        <v>U</v>
      </c>
      <c r="L3468" s="5" t="s">
        <v>2527</v>
      </c>
      <c r="M3468" s="5" t="s">
        <v>10453</v>
      </c>
      <c r="N3468" s="5" t="s">
        <v>10454</v>
      </c>
      <c r="O3468" s="5" t="s">
        <v>3014</v>
      </c>
      <c r="P3468" s="5" t="s">
        <v>2992</v>
      </c>
      <c r="Q3468" s="11">
        <v>46306.5</v>
      </c>
      <c r="R3468" s="6"/>
      <c r="S3468" s="6"/>
      <c r="T3468" s="6"/>
      <c r="U3468" s="5">
        <f>MATCH(B3468,Manual_Review!$A$6:$A$238,0)</f>
        <v>217</v>
      </c>
      <c r="V3468" s="5" t="str">
        <f>IF(INDEX(Manual_Review!$G$6:$G$238,U3468)="","",INDEX(Manual_Review!$G$6:$G$238,U3468))</f>
        <v/>
      </c>
      <c r="W3468" s="11" t="str">
        <f>IF(INDEX(Manual_Review!$H$6:$H$238,U3468)="","",INDEX(Manual_Review!$H$6:$H$238,U3468))</f>
        <v/>
      </c>
      <c r="X3468" s="5" t="str">
        <f>IF(INDEX(Manual_Review!$I$6:$I$238,U3468)="","",INDEX(Manual_Review!$I$6:$I$238,U3468))</f>
        <v/>
      </c>
      <c r="Y3468" s="5" t="s">
        <v>2859</v>
      </c>
    </row>
    <row r="3469" spans="1:25" ht="38.25">
      <c r="A3469" s="5" t="s">
        <v>10455</v>
      </c>
      <c r="B3469" s="5" t="s">
        <v>2517</v>
      </c>
      <c r="C3469" s="5" t="s">
        <v>2518</v>
      </c>
      <c r="D3469" s="5" t="s">
        <v>1336</v>
      </c>
      <c r="E3469" s="5" t="s">
        <v>2788</v>
      </c>
      <c r="F3469" s="5" t="s">
        <v>2758</v>
      </c>
      <c r="G3469" s="5">
        <v>1</v>
      </c>
      <c r="H3469" s="5" t="s">
        <v>2854</v>
      </c>
      <c r="I3469" s="5" t="str">
        <f>IF(INDEX(Manual_Review!$R$6:$R$238,U3469)="","",INDEX(Manual_Review!$R$6:$R$238,U3469))</f>
        <v/>
      </c>
      <c r="J3469" s="5" t="str">
        <f t="shared" si="108"/>
        <v>AI provisional</v>
      </c>
      <c r="K3469" s="5" t="str">
        <f t="shared" si="109"/>
        <v>Y</v>
      </c>
      <c r="L3469" s="5" t="s">
        <v>2527</v>
      </c>
      <c r="M3469" s="5" t="s">
        <v>10456</v>
      </c>
      <c r="N3469" s="5" t="s">
        <v>10457</v>
      </c>
      <c r="O3469" s="5" t="s">
        <v>3018</v>
      </c>
      <c r="P3469" s="5" t="s">
        <v>2992</v>
      </c>
      <c r="Q3469" s="11">
        <v>46306.5</v>
      </c>
      <c r="R3469" s="6"/>
      <c r="S3469" s="6"/>
      <c r="T3469" s="6"/>
      <c r="U3469" s="5">
        <f>MATCH(B3469,Manual_Review!$A$6:$A$238,0)</f>
        <v>217</v>
      </c>
      <c r="V3469" s="5" t="str">
        <f>IF(INDEX(Manual_Review!$G$6:$G$238,U3469)="","",INDEX(Manual_Review!$G$6:$G$238,U3469))</f>
        <v/>
      </c>
      <c r="W3469" s="11" t="str">
        <f>IF(INDEX(Manual_Review!$H$6:$H$238,U3469)="","",INDEX(Manual_Review!$H$6:$H$238,U3469))</f>
        <v/>
      </c>
      <c r="X3469" s="5" t="str">
        <f>IF(INDEX(Manual_Review!$I$6:$I$238,U3469)="","",INDEX(Manual_Review!$I$6:$I$238,U3469))</f>
        <v/>
      </c>
      <c r="Y3469" s="5" t="s">
        <v>2859</v>
      </c>
    </row>
    <row r="3470" spans="1:25" ht="38.25">
      <c r="A3470" s="5" t="s">
        <v>10458</v>
      </c>
      <c r="B3470" s="5" t="s">
        <v>2517</v>
      </c>
      <c r="C3470" s="5" t="s">
        <v>2518</v>
      </c>
      <c r="D3470" s="5" t="s">
        <v>1336</v>
      </c>
      <c r="E3470" s="5" t="s">
        <v>2789</v>
      </c>
      <c r="F3470" s="5" t="s">
        <v>2758</v>
      </c>
      <c r="G3470" s="5">
        <v>1</v>
      </c>
      <c r="H3470" s="5" t="s">
        <v>2854</v>
      </c>
      <c r="I3470" s="5" t="str">
        <f>IF(INDEX(Manual_Review!$S$6:$S$238,U3470)="","",INDEX(Manual_Review!$S$6:$S$238,U3470))</f>
        <v/>
      </c>
      <c r="J3470" s="5" t="str">
        <f t="shared" si="108"/>
        <v>AI provisional</v>
      </c>
      <c r="K3470" s="5" t="str">
        <f t="shared" si="109"/>
        <v>Y</v>
      </c>
      <c r="L3470" s="5" t="s">
        <v>2527</v>
      </c>
      <c r="M3470" s="5" t="s">
        <v>10459</v>
      </c>
      <c r="N3470" s="5" t="s">
        <v>10460</v>
      </c>
      <c r="O3470" s="5" t="s">
        <v>3022</v>
      </c>
      <c r="P3470" s="5" t="s">
        <v>2992</v>
      </c>
      <c r="Q3470" s="11">
        <v>46306.5</v>
      </c>
      <c r="R3470" s="6"/>
      <c r="S3470" s="6"/>
      <c r="T3470" s="6"/>
      <c r="U3470" s="5">
        <f>MATCH(B3470,Manual_Review!$A$6:$A$238,0)</f>
        <v>217</v>
      </c>
      <c r="V3470" s="5" t="str">
        <f>IF(INDEX(Manual_Review!$G$6:$G$238,U3470)="","",INDEX(Manual_Review!$G$6:$G$238,U3470))</f>
        <v/>
      </c>
      <c r="W3470" s="11" t="str">
        <f>IF(INDEX(Manual_Review!$H$6:$H$238,U3470)="","",INDEX(Manual_Review!$H$6:$H$238,U3470))</f>
        <v/>
      </c>
      <c r="X3470" s="5" t="str">
        <f>IF(INDEX(Manual_Review!$I$6:$I$238,U3470)="","",INDEX(Manual_Review!$I$6:$I$238,U3470))</f>
        <v/>
      </c>
      <c r="Y3470" s="5" t="s">
        <v>2859</v>
      </c>
    </row>
    <row r="3471" spans="1:25" ht="25.5">
      <c r="A3471" s="5" t="s">
        <v>10461</v>
      </c>
      <c r="B3471" s="5" t="s">
        <v>2517</v>
      </c>
      <c r="C3471" s="5" t="s">
        <v>2518</v>
      </c>
      <c r="D3471" s="5" t="s">
        <v>1336</v>
      </c>
      <c r="E3471" s="5" t="s">
        <v>2790</v>
      </c>
      <c r="F3471" s="5" t="s">
        <v>2760</v>
      </c>
      <c r="G3471" s="5">
        <v>1</v>
      </c>
      <c r="H3471" s="5" t="s">
        <v>2854</v>
      </c>
      <c r="I3471" s="5" t="str">
        <f>IF(INDEX(Manual_Review!$T$6:$T$238,U3471)="","",INDEX(Manual_Review!$T$6:$T$238,U3471))</f>
        <v/>
      </c>
      <c r="J3471" s="5" t="str">
        <f t="shared" si="108"/>
        <v>AI provisional</v>
      </c>
      <c r="K3471" s="5" t="str">
        <f t="shared" si="109"/>
        <v>Y</v>
      </c>
      <c r="L3471" s="5" t="s">
        <v>2527</v>
      </c>
      <c r="M3471" s="5" t="s">
        <v>10462</v>
      </c>
      <c r="N3471" s="5" t="s">
        <v>10463</v>
      </c>
      <c r="O3471" s="5" t="s">
        <v>3451</v>
      </c>
      <c r="P3471" s="5" t="s">
        <v>2992</v>
      </c>
      <c r="Q3471" s="11">
        <v>46306.5</v>
      </c>
      <c r="R3471" s="6"/>
      <c r="S3471" s="6"/>
      <c r="T3471" s="6"/>
      <c r="U3471" s="5">
        <f>MATCH(B3471,Manual_Review!$A$6:$A$238,0)</f>
        <v>217</v>
      </c>
      <c r="V3471" s="5" t="str">
        <f>IF(INDEX(Manual_Review!$G$6:$G$238,U3471)="","",INDEX(Manual_Review!$G$6:$G$238,U3471))</f>
        <v/>
      </c>
      <c r="W3471" s="11" t="str">
        <f>IF(INDEX(Manual_Review!$H$6:$H$238,U3471)="","",INDEX(Manual_Review!$H$6:$H$238,U3471))</f>
        <v/>
      </c>
      <c r="X3471" s="5" t="str">
        <f>IF(INDEX(Manual_Review!$I$6:$I$238,U3471)="","",INDEX(Manual_Review!$I$6:$I$238,U3471))</f>
        <v/>
      </c>
      <c r="Y3471" s="5" t="s">
        <v>2859</v>
      </c>
    </row>
    <row r="3472" spans="1:25" ht="25.5">
      <c r="A3472" s="5" t="s">
        <v>10464</v>
      </c>
      <c r="B3472" s="5" t="s">
        <v>2517</v>
      </c>
      <c r="C3472" s="5" t="s">
        <v>2518</v>
      </c>
      <c r="D3472" s="5" t="s">
        <v>1336</v>
      </c>
      <c r="E3472" s="5" t="s">
        <v>2791</v>
      </c>
      <c r="F3472" s="5" t="s">
        <v>2760</v>
      </c>
      <c r="G3472" s="5">
        <v>1</v>
      </c>
      <c r="H3472" s="5" t="s">
        <v>2864</v>
      </c>
      <c r="I3472" s="5" t="str">
        <f>IF(INDEX(Manual_Review!$U$6:$U$238,U3472)="","",INDEX(Manual_Review!$U$6:$U$238,U3472))</f>
        <v/>
      </c>
      <c r="J3472" s="5" t="str">
        <f t="shared" si="108"/>
        <v>AI provisional</v>
      </c>
      <c r="K3472" s="5" t="str">
        <f t="shared" si="109"/>
        <v>U</v>
      </c>
      <c r="L3472" s="5" t="s">
        <v>2527</v>
      </c>
      <c r="M3472" s="5" t="s">
        <v>10465</v>
      </c>
      <c r="N3472" s="5" t="s">
        <v>10466</v>
      </c>
      <c r="O3472" s="5" t="s">
        <v>3030</v>
      </c>
      <c r="P3472" s="5" t="s">
        <v>2992</v>
      </c>
      <c r="Q3472" s="11">
        <v>46306.5</v>
      </c>
      <c r="R3472" s="6"/>
      <c r="S3472" s="6"/>
      <c r="T3472" s="6"/>
      <c r="U3472" s="5">
        <f>MATCH(B3472,Manual_Review!$A$6:$A$238,0)</f>
        <v>217</v>
      </c>
      <c r="V3472" s="5" t="str">
        <f>IF(INDEX(Manual_Review!$G$6:$G$238,U3472)="","",INDEX(Manual_Review!$G$6:$G$238,U3472))</f>
        <v/>
      </c>
      <c r="W3472" s="11" t="str">
        <f>IF(INDEX(Manual_Review!$H$6:$H$238,U3472)="","",INDEX(Manual_Review!$H$6:$H$238,U3472))</f>
        <v/>
      </c>
      <c r="X3472" s="5" t="str">
        <f>IF(INDEX(Manual_Review!$I$6:$I$238,U3472)="","",INDEX(Manual_Review!$I$6:$I$238,U3472))</f>
        <v/>
      </c>
      <c r="Y3472" s="5" t="s">
        <v>2859</v>
      </c>
    </row>
    <row r="3473" spans="1:25" ht="25.5">
      <c r="A3473" s="5" t="s">
        <v>10467</v>
      </c>
      <c r="B3473" s="5" t="s">
        <v>2517</v>
      </c>
      <c r="C3473" s="5" t="s">
        <v>2518</v>
      </c>
      <c r="D3473" s="5" t="s">
        <v>1336</v>
      </c>
      <c r="E3473" s="5" t="s">
        <v>2792</v>
      </c>
      <c r="F3473" s="5" t="s">
        <v>2762</v>
      </c>
      <c r="G3473" s="5">
        <v>1</v>
      </c>
      <c r="H3473" s="5" t="s">
        <v>2864</v>
      </c>
      <c r="I3473" s="5" t="str">
        <f>IF(INDEX(Manual_Review!$V$6:$V$238,U3473)="","",INDEX(Manual_Review!$V$6:$V$238,U3473))</f>
        <v/>
      </c>
      <c r="J3473" s="5" t="str">
        <f t="shared" si="108"/>
        <v>AI provisional</v>
      </c>
      <c r="K3473" s="5" t="str">
        <f t="shared" si="109"/>
        <v>U</v>
      </c>
      <c r="L3473" s="5" t="s">
        <v>2527</v>
      </c>
      <c r="M3473" s="5" t="s">
        <v>10468</v>
      </c>
      <c r="N3473" s="5" t="s">
        <v>10469</v>
      </c>
      <c r="O3473" s="5" t="s">
        <v>3947</v>
      </c>
      <c r="P3473" s="5" t="s">
        <v>2992</v>
      </c>
      <c r="Q3473" s="11">
        <v>46306.5</v>
      </c>
      <c r="R3473" s="6"/>
      <c r="S3473" s="6"/>
      <c r="T3473" s="6"/>
      <c r="U3473" s="5">
        <f>MATCH(B3473,Manual_Review!$A$6:$A$238,0)</f>
        <v>217</v>
      </c>
      <c r="V3473" s="5" t="str">
        <f>IF(INDEX(Manual_Review!$G$6:$G$238,U3473)="","",INDEX(Manual_Review!$G$6:$G$238,U3473))</f>
        <v/>
      </c>
      <c r="W3473" s="11" t="str">
        <f>IF(INDEX(Manual_Review!$H$6:$H$238,U3473)="","",INDEX(Manual_Review!$H$6:$H$238,U3473))</f>
        <v/>
      </c>
      <c r="X3473" s="5" t="str">
        <f>IF(INDEX(Manual_Review!$I$6:$I$238,U3473)="","",INDEX(Manual_Review!$I$6:$I$238,U3473))</f>
        <v/>
      </c>
      <c r="Y3473" s="5" t="s">
        <v>2859</v>
      </c>
    </row>
    <row r="3474" spans="1:25" ht="38.25">
      <c r="A3474" s="5" t="s">
        <v>10470</v>
      </c>
      <c r="B3474" s="5" t="s">
        <v>2517</v>
      </c>
      <c r="C3474" s="5" t="s">
        <v>2518</v>
      </c>
      <c r="D3474" s="5" t="s">
        <v>1336</v>
      </c>
      <c r="E3474" s="5" t="s">
        <v>2793</v>
      </c>
      <c r="F3474" s="5" t="s">
        <v>2762</v>
      </c>
      <c r="G3474" s="5">
        <v>1</v>
      </c>
      <c r="H3474" s="5" t="s">
        <v>2864</v>
      </c>
      <c r="I3474" s="5" t="str">
        <f>IF(INDEX(Manual_Review!$W$6:$W$238,U3474)="","",INDEX(Manual_Review!$W$6:$W$238,U3474))</f>
        <v/>
      </c>
      <c r="J3474" s="5" t="str">
        <f t="shared" si="108"/>
        <v>AI provisional</v>
      </c>
      <c r="K3474" s="5" t="str">
        <f t="shared" si="109"/>
        <v>U</v>
      </c>
      <c r="L3474" s="5" t="s">
        <v>2527</v>
      </c>
      <c r="M3474" s="5" t="s">
        <v>10471</v>
      </c>
      <c r="N3474" s="5" t="s">
        <v>10472</v>
      </c>
      <c r="O3474" s="5" t="s">
        <v>3461</v>
      </c>
      <c r="P3474" s="5" t="s">
        <v>2992</v>
      </c>
      <c r="Q3474" s="11">
        <v>46306.5</v>
      </c>
      <c r="R3474" s="6"/>
      <c r="S3474" s="6"/>
      <c r="T3474" s="6"/>
      <c r="U3474" s="5">
        <f>MATCH(B3474,Manual_Review!$A$6:$A$238,0)</f>
        <v>217</v>
      </c>
      <c r="V3474" s="5" t="str">
        <f>IF(INDEX(Manual_Review!$G$6:$G$238,U3474)="","",INDEX(Manual_Review!$G$6:$G$238,U3474))</f>
        <v/>
      </c>
      <c r="W3474" s="11" t="str">
        <f>IF(INDEX(Manual_Review!$H$6:$H$238,U3474)="","",INDEX(Manual_Review!$H$6:$H$238,U3474))</f>
        <v/>
      </c>
      <c r="X3474" s="5" t="str">
        <f>IF(INDEX(Manual_Review!$I$6:$I$238,U3474)="","",INDEX(Manual_Review!$I$6:$I$238,U3474))</f>
        <v/>
      </c>
      <c r="Y3474" s="5" t="s">
        <v>2859</v>
      </c>
    </row>
    <row r="3475" spans="1:25" ht="25.5">
      <c r="A3475" s="5" t="s">
        <v>10473</v>
      </c>
      <c r="B3475" s="5" t="s">
        <v>2517</v>
      </c>
      <c r="C3475" s="5" t="s">
        <v>2518</v>
      </c>
      <c r="D3475" s="5" t="s">
        <v>1336</v>
      </c>
      <c r="E3475" s="5" t="s">
        <v>2794</v>
      </c>
      <c r="F3475" s="5" t="s">
        <v>2764</v>
      </c>
      <c r="G3475" s="5">
        <v>1</v>
      </c>
      <c r="H3475" s="5" t="s">
        <v>2854</v>
      </c>
      <c r="I3475" s="5" t="str">
        <f>IF(INDEX(Manual_Review!$X$6:$X$238,U3475)="","",INDEX(Manual_Review!$X$6:$X$238,U3475))</f>
        <v/>
      </c>
      <c r="J3475" s="5" t="str">
        <f t="shared" si="108"/>
        <v>AI provisional</v>
      </c>
      <c r="K3475" s="5" t="str">
        <f t="shared" si="109"/>
        <v>Y</v>
      </c>
      <c r="L3475" s="5" t="s">
        <v>2527</v>
      </c>
      <c r="M3475" s="5" t="s">
        <v>10474</v>
      </c>
      <c r="N3475" s="5" t="s">
        <v>10475</v>
      </c>
      <c r="O3475" s="5" t="s">
        <v>3042</v>
      </c>
      <c r="P3475" s="5" t="s">
        <v>2992</v>
      </c>
      <c r="Q3475" s="11">
        <v>46306.5</v>
      </c>
      <c r="R3475" s="6"/>
      <c r="S3475" s="6"/>
      <c r="T3475" s="6"/>
      <c r="U3475" s="5">
        <f>MATCH(B3475,Manual_Review!$A$6:$A$238,0)</f>
        <v>217</v>
      </c>
      <c r="V3475" s="5" t="str">
        <f>IF(INDEX(Manual_Review!$G$6:$G$238,U3475)="","",INDEX(Manual_Review!$G$6:$G$238,U3475))</f>
        <v/>
      </c>
      <c r="W3475" s="11" t="str">
        <f>IF(INDEX(Manual_Review!$H$6:$H$238,U3475)="","",INDEX(Manual_Review!$H$6:$H$238,U3475))</f>
        <v/>
      </c>
      <c r="X3475" s="5" t="str">
        <f>IF(INDEX(Manual_Review!$I$6:$I$238,U3475)="","",INDEX(Manual_Review!$I$6:$I$238,U3475))</f>
        <v/>
      </c>
      <c r="Y3475" s="5" t="s">
        <v>2859</v>
      </c>
    </row>
    <row r="3476" spans="1:25" ht="25.5">
      <c r="A3476" s="5" t="s">
        <v>10476</v>
      </c>
      <c r="B3476" s="5" t="s">
        <v>2517</v>
      </c>
      <c r="C3476" s="5" t="s">
        <v>2518</v>
      </c>
      <c r="D3476" s="5" t="s">
        <v>1336</v>
      </c>
      <c r="E3476" s="5" t="s">
        <v>2795</v>
      </c>
      <c r="F3476" s="5" t="s">
        <v>2764</v>
      </c>
      <c r="G3476" s="5">
        <v>1</v>
      </c>
      <c r="H3476" s="5" t="s">
        <v>2864</v>
      </c>
      <c r="I3476" s="5" t="str">
        <f>IF(INDEX(Manual_Review!$Y$6:$Y$238,U3476)="","",INDEX(Manual_Review!$Y$6:$Y$238,U3476))</f>
        <v/>
      </c>
      <c r="J3476" s="5" t="str">
        <f t="shared" si="108"/>
        <v>AI provisional</v>
      </c>
      <c r="K3476" s="5" t="str">
        <f t="shared" si="109"/>
        <v>U</v>
      </c>
      <c r="L3476" s="5" t="s">
        <v>2527</v>
      </c>
      <c r="M3476" s="5" t="s">
        <v>10477</v>
      </c>
      <c r="N3476" s="5" t="s">
        <v>10478</v>
      </c>
      <c r="O3476" s="5" t="s">
        <v>3469</v>
      </c>
      <c r="P3476" s="5" t="s">
        <v>2992</v>
      </c>
      <c r="Q3476" s="11">
        <v>46306.5</v>
      </c>
      <c r="R3476" s="6"/>
      <c r="S3476" s="6"/>
      <c r="T3476" s="6"/>
      <c r="U3476" s="5">
        <f>MATCH(B3476,Manual_Review!$A$6:$A$238,0)</f>
        <v>217</v>
      </c>
      <c r="V3476" s="5" t="str">
        <f>IF(INDEX(Manual_Review!$G$6:$G$238,U3476)="","",INDEX(Manual_Review!$G$6:$G$238,U3476))</f>
        <v/>
      </c>
      <c r="W3476" s="11" t="str">
        <f>IF(INDEX(Manual_Review!$H$6:$H$238,U3476)="","",INDEX(Manual_Review!$H$6:$H$238,U3476))</f>
        <v/>
      </c>
      <c r="X3476" s="5" t="str">
        <f>IF(INDEX(Manual_Review!$I$6:$I$238,U3476)="","",INDEX(Manual_Review!$I$6:$I$238,U3476))</f>
        <v/>
      </c>
      <c r="Y3476" s="5" t="s">
        <v>2859</v>
      </c>
    </row>
    <row r="3477" spans="1:25" ht="38.25">
      <c r="A3477" s="5" t="s">
        <v>10479</v>
      </c>
      <c r="B3477" s="5" t="s">
        <v>2517</v>
      </c>
      <c r="C3477" s="5" t="s">
        <v>2518</v>
      </c>
      <c r="D3477" s="5" t="s">
        <v>1336</v>
      </c>
      <c r="E3477" s="5" t="s">
        <v>2796</v>
      </c>
      <c r="F3477" s="5" t="s">
        <v>2764</v>
      </c>
      <c r="G3477" s="5">
        <v>1</v>
      </c>
      <c r="H3477" s="5" t="s">
        <v>2864</v>
      </c>
      <c r="I3477" s="5" t="str">
        <f>IF(INDEX(Manual_Review!$Z$6:$Z$238,U3477)="","",INDEX(Manual_Review!$Z$6:$Z$238,U3477))</f>
        <v/>
      </c>
      <c r="J3477" s="5" t="str">
        <f t="shared" si="108"/>
        <v>AI provisional</v>
      </c>
      <c r="K3477" s="5" t="str">
        <f t="shared" si="109"/>
        <v>U</v>
      </c>
      <c r="L3477" s="5" t="s">
        <v>2527</v>
      </c>
      <c r="M3477" s="5" t="s">
        <v>10480</v>
      </c>
      <c r="N3477" s="5" t="s">
        <v>10481</v>
      </c>
      <c r="O3477" s="5" t="s">
        <v>3050</v>
      </c>
      <c r="P3477" s="5" t="s">
        <v>2992</v>
      </c>
      <c r="Q3477" s="11">
        <v>46306.5</v>
      </c>
      <c r="R3477" s="6"/>
      <c r="S3477" s="6"/>
      <c r="T3477" s="6"/>
      <c r="U3477" s="5">
        <f>MATCH(B3477,Manual_Review!$A$6:$A$238,0)</f>
        <v>217</v>
      </c>
      <c r="V3477" s="5" t="str">
        <f>IF(INDEX(Manual_Review!$G$6:$G$238,U3477)="","",INDEX(Manual_Review!$G$6:$G$238,U3477))</f>
        <v/>
      </c>
      <c r="W3477" s="11" t="str">
        <f>IF(INDEX(Manual_Review!$H$6:$H$238,U3477)="","",INDEX(Manual_Review!$H$6:$H$238,U3477))</f>
        <v/>
      </c>
      <c r="X3477" s="5" t="str">
        <f>IF(INDEX(Manual_Review!$I$6:$I$238,U3477)="","",INDEX(Manual_Review!$I$6:$I$238,U3477))</f>
        <v/>
      </c>
      <c r="Y3477" s="5" t="s">
        <v>2859</v>
      </c>
    </row>
    <row r="3478" spans="1:25" ht="25.5">
      <c r="A3478" s="5" t="s">
        <v>10482</v>
      </c>
      <c r="B3478" s="5" t="s">
        <v>2529</v>
      </c>
      <c r="C3478" s="5" t="s">
        <v>2530</v>
      </c>
      <c r="D3478" s="5" t="s">
        <v>118</v>
      </c>
      <c r="E3478" s="5" t="s">
        <v>2781</v>
      </c>
      <c r="F3478" s="5" t="s">
        <v>2754</v>
      </c>
      <c r="G3478" s="5">
        <v>1</v>
      </c>
      <c r="H3478" s="5" t="s">
        <v>2854</v>
      </c>
      <c r="I3478" s="5" t="str">
        <f>IF(INDEX(Manual_Review!$K$6:$K$238,U3478)="","",INDEX(Manual_Review!$K$6:$K$238,U3478))</f>
        <v/>
      </c>
      <c r="J3478" s="5" t="str">
        <f t="shared" si="108"/>
        <v>AI provisional</v>
      </c>
      <c r="K3478" s="5" t="str">
        <f t="shared" si="109"/>
        <v>Y</v>
      </c>
      <c r="L3478" s="5" t="s">
        <v>2540</v>
      </c>
      <c r="M3478" s="5" t="s">
        <v>10483</v>
      </c>
      <c r="N3478" s="5" t="s">
        <v>10484</v>
      </c>
      <c r="O3478" s="5" t="s">
        <v>2991</v>
      </c>
      <c r="P3478" s="5" t="s">
        <v>2992</v>
      </c>
      <c r="Q3478" s="11">
        <v>46306.5</v>
      </c>
      <c r="R3478" s="6"/>
      <c r="S3478" s="6"/>
      <c r="T3478" s="6"/>
      <c r="U3478" s="5">
        <f>MATCH(B3478,Manual_Review!$A$6:$A$238,0)</f>
        <v>218</v>
      </c>
      <c r="V3478" s="5" t="str">
        <f>IF(INDEX(Manual_Review!$G$6:$G$238,U3478)="","",INDEX(Manual_Review!$G$6:$G$238,U3478))</f>
        <v/>
      </c>
      <c r="W3478" s="11" t="str">
        <f>IF(INDEX(Manual_Review!$H$6:$H$238,U3478)="","",INDEX(Manual_Review!$H$6:$H$238,U3478))</f>
        <v/>
      </c>
      <c r="X3478" s="5" t="str">
        <f>IF(INDEX(Manual_Review!$I$6:$I$238,U3478)="","",INDEX(Manual_Review!$I$6:$I$238,U3478))</f>
        <v/>
      </c>
      <c r="Y3478" s="5" t="s">
        <v>2859</v>
      </c>
    </row>
    <row r="3479" spans="1:25" ht="25.5">
      <c r="A3479" s="5" t="s">
        <v>10485</v>
      </c>
      <c r="B3479" s="5" t="s">
        <v>2529</v>
      </c>
      <c r="C3479" s="5" t="s">
        <v>2530</v>
      </c>
      <c r="D3479" s="5" t="s">
        <v>118</v>
      </c>
      <c r="E3479" s="5" t="s">
        <v>2782</v>
      </c>
      <c r="F3479" s="5" t="s">
        <v>2754</v>
      </c>
      <c r="G3479" s="5">
        <v>1</v>
      </c>
      <c r="H3479" s="5" t="s">
        <v>2854</v>
      </c>
      <c r="I3479" s="5" t="str">
        <f>IF(INDEX(Manual_Review!$L$6:$L$238,U3479)="","",INDEX(Manual_Review!$L$6:$L$238,U3479))</f>
        <v/>
      </c>
      <c r="J3479" s="5" t="str">
        <f t="shared" si="108"/>
        <v>AI provisional</v>
      </c>
      <c r="K3479" s="5" t="str">
        <f t="shared" si="109"/>
        <v>Y</v>
      </c>
      <c r="L3479" s="5" t="s">
        <v>2540</v>
      </c>
      <c r="M3479" s="5" t="s">
        <v>10486</v>
      </c>
      <c r="N3479" s="5" t="s">
        <v>10487</v>
      </c>
      <c r="O3479" s="5" t="s">
        <v>2996</v>
      </c>
      <c r="P3479" s="5" t="s">
        <v>2992</v>
      </c>
      <c r="Q3479" s="11">
        <v>46306.5</v>
      </c>
      <c r="R3479" s="6"/>
      <c r="S3479" s="6"/>
      <c r="T3479" s="6"/>
      <c r="U3479" s="5">
        <f>MATCH(B3479,Manual_Review!$A$6:$A$238,0)</f>
        <v>218</v>
      </c>
      <c r="V3479" s="5" t="str">
        <f>IF(INDEX(Manual_Review!$G$6:$G$238,U3479)="","",INDEX(Manual_Review!$G$6:$G$238,U3479))</f>
        <v/>
      </c>
      <c r="W3479" s="11" t="str">
        <f>IF(INDEX(Manual_Review!$H$6:$H$238,U3479)="","",INDEX(Manual_Review!$H$6:$H$238,U3479))</f>
        <v/>
      </c>
      <c r="X3479" s="5" t="str">
        <f>IF(INDEX(Manual_Review!$I$6:$I$238,U3479)="","",INDEX(Manual_Review!$I$6:$I$238,U3479))</f>
        <v/>
      </c>
      <c r="Y3479" s="5" t="s">
        <v>2859</v>
      </c>
    </row>
    <row r="3480" spans="1:25" ht="25.5">
      <c r="A3480" s="5" t="s">
        <v>10488</v>
      </c>
      <c r="B3480" s="5" t="s">
        <v>2529</v>
      </c>
      <c r="C3480" s="5" t="s">
        <v>2530</v>
      </c>
      <c r="D3480" s="5" t="s">
        <v>118</v>
      </c>
      <c r="E3480" s="5" t="s">
        <v>2783</v>
      </c>
      <c r="F3480" s="5" t="s">
        <v>2754</v>
      </c>
      <c r="G3480" s="5">
        <v>1</v>
      </c>
      <c r="H3480" s="5" t="s">
        <v>2854</v>
      </c>
      <c r="I3480" s="5" t="str">
        <f>IF(INDEX(Manual_Review!$M$6:$M$238,U3480)="","",INDEX(Manual_Review!$M$6:$M$238,U3480))</f>
        <v/>
      </c>
      <c r="J3480" s="5" t="str">
        <f t="shared" si="108"/>
        <v>AI provisional</v>
      </c>
      <c r="K3480" s="5" t="str">
        <f t="shared" si="109"/>
        <v>Y</v>
      </c>
      <c r="L3480" s="5" t="s">
        <v>2540</v>
      </c>
      <c r="M3480" s="5" t="s">
        <v>10489</v>
      </c>
      <c r="N3480" s="5" t="s">
        <v>8651</v>
      </c>
      <c r="O3480" s="5" t="s">
        <v>3000</v>
      </c>
      <c r="P3480" s="5" t="s">
        <v>2992</v>
      </c>
      <c r="Q3480" s="11">
        <v>46306.5</v>
      </c>
      <c r="R3480" s="6"/>
      <c r="S3480" s="6"/>
      <c r="T3480" s="6"/>
      <c r="U3480" s="5">
        <f>MATCH(B3480,Manual_Review!$A$6:$A$238,0)</f>
        <v>218</v>
      </c>
      <c r="V3480" s="5" t="str">
        <f>IF(INDEX(Manual_Review!$G$6:$G$238,U3480)="","",INDEX(Manual_Review!$G$6:$G$238,U3480))</f>
        <v/>
      </c>
      <c r="W3480" s="11" t="str">
        <f>IF(INDEX(Manual_Review!$H$6:$H$238,U3480)="","",INDEX(Manual_Review!$H$6:$H$238,U3480))</f>
        <v/>
      </c>
      <c r="X3480" s="5" t="str">
        <f>IF(INDEX(Manual_Review!$I$6:$I$238,U3480)="","",INDEX(Manual_Review!$I$6:$I$238,U3480))</f>
        <v/>
      </c>
      <c r="Y3480" s="5" t="s">
        <v>2859</v>
      </c>
    </row>
    <row r="3481" spans="1:25" ht="25.5">
      <c r="A3481" s="5" t="s">
        <v>10490</v>
      </c>
      <c r="B3481" s="5" t="s">
        <v>2529</v>
      </c>
      <c r="C3481" s="5" t="s">
        <v>2530</v>
      </c>
      <c r="D3481" s="5" t="s">
        <v>118</v>
      </c>
      <c r="E3481" s="5" t="s">
        <v>2784</v>
      </c>
      <c r="F3481" s="5" t="s">
        <v>2756</v>
      </c>
      <c r="G3481" s="5">
        <v>1</v>
      </c>
      <c r="H3481" s="5" t="s">
        <v>2854</v>
      </c>
      <c r="I3481" s="5" t="str">
        <f>IF(INDEX(Manual_Review!$N$6:$N$238,U3481)="","",INDEX(Manual_Review!$N$6:$N$238,U3481))</f>
        <v/>
      </c>
      <c r="J3481" s="5" t="str">
        <f t="shared" si="108"/>
        <v>AI provisional</v>
      </c>
      <c r="K3481" s="5" t="str">
        <f t="shared" si="109"/>
        <v>Y</v>
      </c>
      <c r="L3481" s="5" t="s">
        <v>2540</v>
      </c>
      <c r="M3481" s="5" t="s">
        <v>10491</v>
      </c>
      <c r="N3481" s="5" t="s">
        <v>10492</v>
      </c>
      <c r="O3481" s="5" t="s">
        <v>3004</v>
      </c>
      <c r="P3481" s="5" t="s">
        <v>2992</v>
      </c>
      <c r="Q3481" s="11">
        <v>46306.5</v>
      </c>
      <c r="R3481" s="6"/>
      <c r="S3481" s="6"/>
      <c r="T3481" s="6"/>
      <c r="U3481" s="5">
        <f>MATCH(B3481,Manual_Review!$A$6:$A$238,0)</f>
        <v>218</v>
      </c>
      <c r="V3481" s="5" t="str">
        <f>IF(INDEX(Manual_Review!$G$6:$G$238,U3481)="","",INDEX(Manual_Review!$G$6:$G$238,U3481))</f>
        <v/>
      </c>
      <c r="W3481" s="11" t="str">
        <f>IF(INDEX(Manual_Review!$H$6:$H$238,U3481)="","",INDEX(Manual_Review!$H$6:$H$238,U3481))</f>
        <v/>
      </c>
      <c r="X3481" s="5" t="str">
        <f>IF(INDEX(Manual_Review!$I$6:$I$238,U3481)="","",INDEX(Manual_Review!$I$6:$I$238,U3481))</f>
        <v/>
      </c>
      <c r="Y3481" s="5" t="s">
        <v>2859</v>
      </c>
    </row>
    <row r="3482" spans="1:25" ht="25.5">
      <c r="A3482" s="5" t="s">
        <v>10493</v>
      </c>
      <c r="B3482" s="5" t="s">
        <v>2529</v>
      </c>
      <c r="C3482" s="5" t="s">
        <v>2530</v>
      </c>
      <c r="D3482" s="5" t="s">
        <v>118</v>
      </c>
      <c r="E3482" s="5" t="s">
        <v>2785</v>
      </c>
      <c r="F3482" s="5" t="s">
        <v>2756</v>
      </c>
      <c r="G3482" s="5">
        <v>1</v>
      </c>
      <c r="H3482" s="5" t="s">
        <v>2854</v>
      </c>
      <c r="I3482" s="5" t="str">
        <f>IF(INDEX(Manual_Review!$O$6:$O$238,U3482)="","",INDEX(Manual_Review!$O$6:$O$238,U3482))</f>
        <v/>
      </c>
      <c r="J3482" s="5" t="str">
        <f t="shared" si="108"/>
        <v>AI provisional</v>
      </c>
      <c r="K3482" s="5" t="str">
        <f t="shared" si="109"/>
        <v>Y</v>
      </c>
      <c r="L3482" s="5" t="s">
        <v>2540</v>
      </c>
      <c r="M3482" s="5" t="s">
        <v>10491</v>
      </c>
      <c r="N3482" s="5" t="s">
        <v>10492</v>
      </c>
      <c r="O3482" s="5" t="s">
        <v>5541</v>
      </c>
      <c r="P3482" s="5" t="s">
        <v>2992</v>
      </c>
      <c r="Q3482" s="11">
        <v>46306.5</v>
      </c>
      <c r="R3482" s="6"/>
      <c r="S3482" s="6"/>
      <c r="T3482" s="6"/>
      <c r="U3482" s="5">
        <f>MATCH(B3482,Manual_Review!$A$6:$A$238,0)</f>
        <v>218</v>
      </c>
      <c r="V3482" s="5" t="str">
        <f>IF(INDEX(Manual_Review!$G$6:$G$238,U3482)="","",INDEX(Manual_Review!$G$6:$G$238,U3482))</f>
        <v/>
      </c>
      <c r="W3482" s="11" t="str">
        <f>IF(INDEX(Manual_Review!$H$6:$H$238,U3482)="","",INDEX(Manual_Review!$H$6:$H$238,U3482))</f>
        <v/>
      </c>
      <c r="X3482" s="5" t="str">
        <f>IF(INDEX(Manual_Review!$I$6:$I$238,U3482)="","",INDEX(Manual_Review!$I$6:$I$238,U3482))</f>
        <v/>
      </c>
      <c r="Y3482" s="5" t="s">
        <v>2859</v>
      </c>
    </row>
    <row r="3483" spans="1:25" ht="38.25">
      <c r="A3483" s="5" t="s">
        <v>10494</v>
      </c>
      <c r="B3483" s="5" t="s">
        <v>2529</v>
      </c>
      <c r="C3483" s="5" t="s">
        <v>2530</v>
      </c>
      <c r="D3483" s="5" t="s">
        <v>118</v>
      </c>
      <c r="E3483" s="5" t="s">
        <v>2786</v>
      </c>
      <c r="F3483" s="5" t="s">
        <v>2756</v>
      </c>
      <c r="G3483" s="5">
        <v>1</v>
      </c>
      <c r="H3483" s="5" t="s">
        <v>2864</v>
      </c>
      <c r="I3483" s="5" t="str">
        <f>IF(INDEX(Manual_Review!$P$6:$P$238,U3483)="","",INDEX(Manual_Review!$P$6:$P$238,U3483))</f>
        <v/>
      </c>
      <c r="J3483" s="5" t="str">
        <f t="shared" si="108"/>
        <v>AI provisional</v>
      </c>
      <c r="K3483" s="5" t="str">
        <f t="shared" si="109"/>
        <v>U</v>
      </c>
      <c r="L3483" s="5" t="s">
        <v>2540</v>
      </c>
      <c r="M3483" s="5" t="s">
        <v>10495</v>
      </c>
      <c r="N3483" s="5" t="s">
        <v>10496</v>
      </c>
      <c r="O3483" s="5" t="s">
        <v>3010</v>
      </c>
      <c r="P3483" s="5" t="s">
        <v>2992</v>
      </c>
      <c r="Q3483" s="11">
        <v>46306.5</v>
      </c>
      <c r="R3483" s="6"/>
      <c r="S3483" s="6"/>
      <c r="T3483" s="6"/>
      <c r="U3483" s="5">
        <f>MATCH(B3483,Manual_Review!$A$6:$A$238,0)</f>
        <v>218</v>
      </c>
      <c r="V3483" s="5" t="str">
        <f>IF(INDEX(Manual_Review!$G$6:$G$238,U3483)="","",INDEX(Manual_Review!$G$6:$G$238,U3483))</f>
        <v/>
      </c>
      <c r="W3483" s="11" t="str">
        <f>IF(INDEX(Manual_Review!$H$6:$H$238,U3483)="","",INDEX(Manual_Review!$H$6:$H$238,U3483))</f>
        <v/>
      </c>
      <c r="X3483" s="5" t="str">
        <f>IF(INDEX(Manual_Review!$I$6:$I$238,U3483)="","",INDEX(Manual_Review!$I$6:$I$238,U3483))</f>
        <v/>
      </c>
      <c r="Y3483" s="5" t="s">
        <v>2859</v>
      </c>
    </row>
    <row r="3484" spans="1:25" ht="25.5">
      <c r="A3484" s="5" t="s">
        <v>10497</v>
      </c>
      <c r="B3484" s="5" t="s">
        <v>2529</v>
      </c>
      <c r="C3484" s="5" t="s">
        <v>2530</v>
      </c>
      <c r="D3484" s="5" t="s">
        <v>118</v>
      </c>
      <c r="E3484" s="5" t="s">
        <v>2787</v>
      </c>
      <c r="F3484" s="5" t="s">
        <v>2758</v>
      </c>
      <c r="G3484" s="5">
        <v>1</v>
      </c>
      <c r="H3484" s="5" t="s">
        <v>2854</v>
      </c>
      <c r="I3484" s="5" t="str">
        <f>IF(INDEX(Manual_Review!$Q$6:$Q$238,U3484)="","",INDEX(Manual_Review!$Q$6:$Q$238,U3484))</f>
        <v/>
      </c>
      <c r="J3484" s="5" t="str">
        <f t="shared" si="108"/>
        <v>AI provisional</v>
      </c>
      <c r="K3484" s="5" t="str">
        <f t="shared" si="109"/>
        <v>Y</v>
      </c>
      <c r="L3484" s="5" t="s">
        <v>2540</v>
      </c>
      <c r="M3484" s="5" t="s">
        <v>10498</v>
      </c>
      <c r="N3484" s="5" t="s">
        <v>10499</v>
      </c>
      <c r="O3484" s="5" t="s">
        <v>3819</v>
      </c>
      <c r="P3484" s="5" t="s">
        <v>2992</v>
      </c>
      <c r="Q3484" s="11">
        <v>46306.5</v>
      </c>
      <c r="R3484" s="6"/>
      <c r="S3484" s="6"/>
      <c r="T3484" s="6"/>
      <c r="U3484" s="5">
        <f>MATCH(B3484,Manual_Review!$A$6:$A$238,0)</f>
        <v>218</v>
      </c>
      <c r="V3484" s="5" t="str">
        <f>IF(INDEX(Manual_Review!$G$6:$G$238,U3484)="","",INDEX(Manual_Review!$G$6:$G$238,U3484))</f>
        <v/>
      </c>
      <c r="W3484" s="11" t="str">
        <f>IF(INDEX(Manual_Review!$H$6:$H$238,U3484)="","",INDEX(Manual_Review!$H$6:$H$238,U3484))</f>
        <v/>
      </c>
      <c r="X3484" s="5" t="str">
        <f>IF(INDEX(Manual_Review!$I$6:$I$238,U3484)="","",INDEX(Manual_Review!$I$6:$I$238,U3484))</f>
        <v/>
      </c>
      <c r="Y3484" s="5" t="s">
        <v>2859</v>
      </c>
    </row>
    <row r="3485" spans="1:25" ht="38.25">
      <c r="A3485" s="5" t="s">
        <v>10500</v>
      </c>
      <c r="B3485" s="5" t="s">
        <v>2529</v>
      </c>
      <c r="C3485" s="5" t="s">
        <v>2530</v>
      </c>
      <c r="D3485" s="5" t="s">
        <v>118</v>
      </c>
      <c r="E3485" s="5" t="s">
        <v>2788</v>
      </c>
      <c r="F3485" s="5" t="s">
        <v>2758</v>
      </c>
      <c r="G3485" s="5">
        <v>1</v>
      </c>
      <c r="H3485" s="5" t="s">
        <v>2854</v>
      </c>
      <c r="I3485" s="5" t="str">
        <f>IF(INDEX(Manual_Review!$R$6:$R$238,U3485)="","",INDEX(Manual_Review!$R$6:$R$238,U3485))</f>
        <v/>
      </c>
      <c r="J3485" s="5" t="str">
        <f t="shared" si="108"/>
        <v>AI provisional</v>
      </c>
      <c r="K3485" s="5" t="str">
        <f t="shared" si="109"/>
        <v>Y</v>
      </c>
      <c r="L3485" s="5" t="s">
        <v>2540</v>
      </c>
      <c r="M3485" s="5" t="s">
        <v>10501</v>
      </c>
      <c r="N3485" s="5" t="s">
        <v>10502</v>
      </c>
      <c r="O3485" s="5" t="s">
        <v>3018</v>
      </c>
      <c r="P3485" s="5" t="s">
        <v>2992</v>
      </c>
      <c r="Q3485" s="11">
        <v>46306.5</v>
      </c>
      <c r="R3485" s="6"/>
      <c r="S3485" s="6"/>
      <c r="T3485" s="6"/>
      <c r="U3485" s="5">
        <f>MATCH(B3485,Manual_Review!$A$6:$A$238,0)</f>
        <v>218</v>
      </c>
      <c r="V3485" s="5" t="str">
        <f>IF(INDEX(Manual_Review!$G$6:$G$238,U3485)="","",INDEX(Manual_Review!$G$6:$G$238,U3485))</f>
        <v/>
      </c>
      <c r="W3485" s="11" t="str">
        <f>IF(INDEX(Manual_Review!$H$6:$H$238,U3485)="","",INDEX(Manual_Review!$H$6:$H$238,U3485))</f>
        <v/>
      </c>
      <c r="X3485" s="5" t="str">
        <f>IF(INDEX(Manual_Review!$I$6:$I$238,U3485)="","",INDEX(Manual_Review!$I$6:$I$238,U3485))</f>
        <v/>
      </c>
      <c r="Y3485" s="5" t="s">
        <v>2859</v>
      </c>
    </row>
    <row r="3486" spans="1:25" ht="38.25">
      <c r="A3486" s="5" t="s">
        <v>10503</v>
      </c>
      <c r="B3486" s="5" t="s">
        <v>2529</v>
      </c>
      <c r="C3486" s="5" t="s">
        <v>2530</v>
      </c>
      <c r="D3486" s="5" t="s">
        <v>118</v>
      </c>
      <c r="E3486" s="5" t="s">
        <v>2789</v>
      </c>
      <c r="F3486" s="5" t="s">
        <v>2758</v>
      </c>
      <c r="G3486" s="5">
        <v>1</v>
      </c>
      <c r="H3486" s="5" t="s">
        <v>2854</v>
      </c>
      <c r="I3486" s="5" t="str">
        <f>IF(INDEX(Manual_Review!$S$6:$S$238,U3486)="","",INDEX(Manual_Review!$S$6:$S$238,U3486))</f>
        <v/>
      </c>
      <c r="J3486" s="5" t="str">
        <f t="shared" si="108"/>
        <v>AI provisional</v>
      </c>
      <c r="K3486" s="5" t="str">
        <f t="shared" si="109"/>
        <v>Y</v>
      </c>
      <c r="L3486" s="5" t="s">
        <v>2540</v>
      </c>
      <c r="M3486" s="5" t="s">
        <v>10504</v>
      </c>
      <c r="N3486" s="5" t="s">
        <v>10505</v>
      </c>
      <c r="O3486" s="5" t="s">
        <v>3022</v>
      </c>
      <c r="P3486" s="5" t="s">
        <v>2992</v>
      </c>
      <c r="Q3486" s="11">
        <v>46306.5</v>
      </c>
      <c r="R3486" s="6"/>
      <c r="S3486" s="6"/>
      <c r="T3486" s="6"/>
      <c r="U3486" s="5">
        <f>MATCH(B3486,Manual_Review!$A$6:$A$238,0)</f>
        <v>218</v>
      </c>
      <c r="V3486" s="5" t="str">
        <f>IF(INDEX(Manual_Review!$G$6:$G$238,U3486)="","",INDEX(Manual_Review!$G$6:$G$238,U3486))</f>
        <v/>
      </c>
      <c r="W3486" s="11" t="str">
        <f>IF(INDEX(Manual_Review!$H$6:$H$238,U3486)="","",INDEX(Manual_Review!$H$6:$H$238,U3486))</f>
        <v/>
      </c>
      <c r="X3486" s="5" t="str">
        <f>IF(INDEX(Manual_Review!$I$6:$I$238,U3486)="","",INDEX(Manual_Review!$I$6:$I$238,U3486))</f>
        <v/>
      </c>
      <c r="Y3486" s="5" t="s">
        <v>2859</v>
      </c>
    </row>
    <row r="3487" spans="1:25" ht="25.5">
      <c r="A3487" s="5" t="s">
        <v>10506</v>
      </c>
      <c r="B3487" s="5" t="s">
        <v>2529</v>
      </c>
      <c r="C3487" s="5" t="s">
        <v>2530</v>
      </c>
      <c r="D3487" s="5" t="s">
        <v>118</v>
      </c>
      <c r="E3487" s="5" t="s">
        <v>2790</v>
      </c>
      <c r="F3487" s="5" t="s">
        <v>2760</v>
      </c>
      <c r="G3487" s="5">
        <v>1</v>
      </c>
      <c r="H3487" s="5" t="s">
        <v>2854</v>
      </c>
      <c r="I3487" s="5" t="str">
        <f>IF(INDEX(Manual_Review!$T$6:$T$238,U3487)="","",INDEX(Manual_Review!$T$6:$T$238,U3487))</f>
        <v/>
      </c>
      <c r="J3487" s="5" t="str">
        <f t="shared" si="108"/>
        <v>AI provisional</v>
      </c>
      <c r="K3487" s="5" t="str">
        <f t="shared" si="109"/>
        <v>Y</v>
      </c>
      <c r="L3487" s="5" t="s">
        <v>2540</v>
      </c>
      <c r="M3487" s="5" t="s">
        <v>10507</v>
      </c>
      <c r="N3487" s="5" t="s">
        <v>10508</v>
      </c>
      <c r="O3487" s="5" t="s">
        <v>3451</v>
      </c>
      <c r="P3487" s="5" t="s">
        <v>2992</v>
      </c>
      <c r="Q3487" s="11">
        <v>46306.5</v>
      </c>
      <c r="R3487" s="6"/>
      <c r="S3487" s="6"/>
      <c r="T3487" s="6"/>
      <c r="U3487" s="5">
        <f>MATCH(B3487,Manual_Review!$A$6:$A$238,0)</f>
        <v>218</v>
      </c>
      <c r="V3487" s="5" t="str">
        <f>IF(INDEX(Manual_Review!$G$6:$G$238,U3487)="","",INDEX(Manual_Review!$G$6:$G$238,U3487))</f>
        <v/>
      </c>
      <c r="W3487" s="11" t="str">
        <f>IF(INDEX(Manual_Review!$H$6:$H$238,U3487)="","",INDEX(Manual_Review!$H$6:$H$238,U3487))</f>
        <v/>
      </c>
      <c r="X3487" s="5" t="str">
        <f>IF(INDEX(Manual_Review!$I$6:$I$238,U3487)="","",INDEX(Manual_Review!$I$6:$I$238,U3487))</f>
        <v/>
      </c>
      <c r="Y3487" s="5" t="s">
        <v>2859</v>
      </c>
    </row>
    <row r="3488" spans="1:25" ht="25.5">
      <c r="A3488" s="5" t="s">
        <v>10509</v>
      </c>
      <c r="B3488" s="5" t="s">
        <v>2529</v>
      </c>
      <c r="C3488" s="5" t="s">
        <v>2530</v>
      </c>
      <c r="D3488" s="5" t="s">
        <v>118</v>
      </c>
      <c r="E3488" s="5" t="s">
        <v>2791</v>
      </c>
      <c r="F3488" s="5" t="s">
        <v>2760</v>
      </c>
      <c r="G3488" s="5">
        <v>1</v>
      </c>
      <c r="H3488" s="5" t="s">
        <v>2854</v>
      </c>
      <c r="I3488" s="5" t="str">
        <f>IF(INDEX(Manual_Review!$U$6:$U$238,U3488)="","",INDEX(Manual_Review!$U$6:$U$238,U3488))</f>
        <v/>
      </c>
      <c r="J3488" s="5" t="str">
        <f t="shared" si="108"/>
        <v>AI provisional</v>
      </c>
      <c r="K3488" s="5" t="str">
        <f t="shared" si="109"/>
        <v>Y</v>
      </c>
      <c r="L3488" s="5" t="s">
        <v>2540</v>
      </c>
      <c r="M3488" s="5" t="s">
        <v>10510</v>
      </c>
      <c r="N3488" s="5" t="s">
        <v>10511</v>
      </c>
      <c r="O3488" s="5" t="s">
        <v>3832</v>
      </c>
      <c r="P3488" s="5" t="s">
        <v>2992</v>
      </c>
      <c r="Q3488" s="11">
        <v>46306.5</v>
      </c>
      <c r="R3488" s="6"/>
      <c r="S3488" s="6"/>
      <c r="T3488" s="6"/>
      <c r="U3488" s="5">
        <f>MATCH(B3488,Manual_Review!$A$6:$A$238,0)</f>
        <v>218</v>
      </c>
      <c r="V3488" s="5" t="str">
        <f>IF(INDEX(Manual_Review!$G$6:$G$238,U3488)="","",INDEX(Manual_Review!$G$6:$G$238,U3488))</f>
        <v/>
      </c>
      <c r="W3488" s="11" t="str">
        <f>IF(INDEX(Manual_Review!$H$6:$H$238,U3488)="","",INDEX(Manual_Review!$H$6:$H$238,U3488))</f>
        <v/>
      </c>
      <c r="X3488" s="5" t="str">
        <f>IF(INDEX(Manual_Review!$I$6:$I$238,U3488)="","",INDEX(Manual_Review!$I$6:$I$238,U3488))</f>
        <v/>
      </c>
      <c r="Y3488" s="5" t="s">
        <v>2859</v>
      </c>
    </row>
    <row r="3489" spans="1:25" ht="25.5">
      <c r="A3489" s="5" t="s">
        <v>10512</v>
      </c>
      <c r="B3489" s="5" t="s">
        <v>2529</v>
      </c>
      <c r="C3489" s="5" t="s">
        <v>2530</v>
      </c>
      <c r="D3489" s="5" t="s">
        <v>118</v>
      </c>
      <c r="E3489" s="5" t="s">
        <v>2792</v>
      </c>
      <c r="F3489" s="5" t="s">
        <v>2762</v>
      </c>
      <c r="G3489" s="5">
        <v>1</v>
      </c>
      <c r="H3489" s="5" t="s">
        <v>2854</v>
      </c>
      <c r="I3489" s="5" t="str">
        <f>IF(INDEX(Manual_Review!$V$6:$V$238,U3489)="","",INDEX(Manual_Review!$V$6:$V$238,U3489))</f>
        <v/>
      </c>
      <c r="J3489" s="5" t="str">
        <f t="shared" si="108"/>
        <v>AI provisional</v>
      </c>
      <c r="K3489" s="5" t="str">
        <f t="shared" si="109"/>
        <v>Y</v>
      </c>
      <c r="L3489" s="5" t="s">
        <v>2540</v>
      </c>
      <c r="M3489" s="5" t="s">
        <v>10513</v>
      </c>
      <c r="N3489" s="5" t="s">
        <v>10514</v>
      </c>
      <c r="O3489" s="5" t="s">
        <v>3034</v>
      </c>
      <c r="P3489" s="5" t="s">
        <v>2992</v>
      </c>
      <c r="Q3489" s="11">
        <v>46306.5</v>
      </c>
      <c r="R3489" s="6"/>
      <c r="S3489" s="6"/>
      <c r="T3489" s="6"/>
      <c r="U3489" s="5">
        <f>MATCH(B3489,Manual_Review!$A$6:$A$238,0)</f>
        <v>218</v>
      </c>
      <c r="V3489" s="5" t="str">
        <f>IF(INDEX(Manual_Review!$G$6:$G$238,U3489)="","",INDEX(Manual_Review!$G$6:$G$238,U3489))</f>
        <v/>
      </c>
      <c r="W3489" s="11" t="str">
        <f>IF(INDEX(Manual_Review!$H$6:$H$238,U3489)="","",INDEX(Manual_Review!$H$6:$H$238,U3489))</f>
        <v/>
      </c>
      <c r="X3489" s="5" t="str">
        <f>IF(INDEX(Manual_Review!$I$6:$I$238,U3489)="","",INDEX(Manual_Review!$I$6:$I$238,U3489))</f>
        <v/>
      </c>
      <c r="Y3489" s="5" t="s">
        <v>2859</v>
      </c>
    </row>
    <row r="3490" spans="1:25" ht="38.25">
      <c r="A3490" s="5" t="s">
        <v>10515</v>
      </c>
      <c r="B3490" s="5" t="s">
        <v>2529</v>
      </c>
      <c r="C3490" s="5" t="s">
        <v>2530</v>
      </c>
      <c r="D3490" s="5" t="s">
        <v>118</v>
      </c>
      <c r="E3490" s="5" t="s">
        <v>2793</v>
      </c>
      <c r="F3490" s="5" t="s">
        <v>2762</v>
      </c>
      <c r="G3490" s="5">
        <v>1</v>
      </c>
      <c r="H3490" s="5" t="s">
        <v>2854</v>
      </c>
      <c r="I3490" s="5" t="str">
        <f>IF(INDEX(Manual_Review!$W$6:$W$238,U3490)="","",INDEX(Manual_Review!$W$6:$W$238,U3490))</f>
        <v/>
      </c>
      <c r="J3490" s="5" t="str">
        <f t="shared" si="108"/>
        <v>AI provisional</v>
      </c>
      <c r="K3490" s="5" t="str">
        <f t="shared" si="109"/>
        <v>Y</v>
      </c>
      <c r="L3490" s="5" t="s">
        <v>2540</v>
      </c>
      <c r="M3490" s="5" t="s">
        <v>10516</v>
      </c>
      <c r="N3490" s="5" t="s">
        <v>10517</v>
      </c>
      <c r="O3490" s="5" t="s">
        <v>3038</v>
      </c>
      <c r="P3490" s="5" t="s">
        <v>2992</v>
      </c>
      <c r="Q3490" s="11">
        <v>46306.5</v>
      </c>
      <c r="R3490" s="6"/>
      <c r="S3490" s="6"/>
      <c r="T3490" s="6"/>
      <c r="U3490" s="5">
        <f>MATCH(B3490,Manual_Review!$A$6:$A$238,0)</f>
        <v>218</v>
      </c>
      <c r="V3490" s="5" t="str">
        <f>IF(INDEX(Manual_Review!$G$6:$G$238,U3490)="","",INDEX(Manual_Review!$G$6:$G$238,U3490))</f>
        <v/>
      </c>
      <c r="W3490" s="11" t="str">
        <f>IF(INDEX(Manual_Review!$H$6:$H$238,U3490)="","",INDEX(Manual_Review!$H$6:$H$238,U3490))</f>
        <v/>
      </c>
      <c r="X3490" s="5" t="str">
        <f>IF(INDEX(Manual_Review!$I$6:$I$238,U3490)="","",INDEX(Manual_Review!$I$6:$I$238,U3490))</f>
        <v/>
      </c>
      <c r="Y3490" s="5" t="s">
        <v>2859</v>
      </c>
    </row>
    <row r="3491" spans="1:25" ht="25.5">
      <c r="A3491" s="5" t="s">
        <v>10518</v>
      </c>
      <c r="B3491" s="5" t="s">
        <v>2529</v>
      </c>
      <c r="C3491" s="5" t="s">
        <v>2530</v>
      </c>
      <c r="D3491" s="5" t="s">
        <v>118</v>
      </c>
      <c r="E3491" s="5" t="s">
        <v>2794</v>
      </c>
      <c r="F3491" s="5" t="s">
        <v>2764</v>
      </c>
      <c r="G3491" s="5">
        <v>1</v>
      </c>
      <c r="H3491" s="5" t="s">
        <v>2854</v>
      </c>
      <c r="I3491" s="5" t="str">
        <f>IF(INDEX(Manual_Review!$X$6:$X$238,U3491)="","",INDEX(Manual_Review!$X$6:$X$238,U3491))</f>
        <v/>
      </c>
      <c r="J3491" s="5" t="str">
        <f t="shared" si="108"/>
        <v>AI provisional</v>
      </c>
      <c r="K3491" s="5" t="str">
        <f t="shared" si="109"/>
        <v>Y</v>
      </c>
      <c r="L3491" s="5" t="s">
        <v>2540</v>
      </c>
      <c r="M3491" s="5" t="s">
        <v>10519</v>
      </c>
      <c r="N3491" s="5" t="s">
        <v>10520</v>
      </c>
      <c r="O3491" s="5" t="s">
        <v>3042</v>
      </c>
      <c r="P3491" s="5" t="s">
        <v>2992</v>
      </c>
      <c r="Q3491" s="11">
        <v>46306.5</v>
      </c>
      <c r="R3491" s="6"/>
      <c r="S3491" s="6"/>
      <c r="T3491" s="6"/>
      <c r="U3491" s="5">
        <f>MATCH(B3491,Manual_Review!$A$6:$A$238,0)</f>
        <v>218</v>
      </c>
      <c r="V3491" s="5" t="str">
        <f>IF(INDEX(Manual_Review!$G$6:$G$238,U3491)="","",INDEX(Manual_Review!$G$6:$G$238,U3491))</f>
        <v/>
      </c>
      <c r="W3491" s="11" t="str">
        <f>IF(INDEX(Manual_Review!$H$6:$H$238,U3491)="","",INDEX(Manual_Review!$H$6:$H$238,U3491))</f>
        <v/>
      </c>
      <c r="X3491" s="5" t="str">
        <f>IF(INDEX(Manual_Review!$I$6:$I$238,U3491)="","",INDEX(Manual_Review!$I$6:$I$238,U3491))</f>
        <v/>
      </c>
      <c r="Y3491" s="5" t="s">
        <v>2859</v>
      </c>
    </row>
    <row r="3492" spans="1:25" ht="25.5">
      <c r="A3492" s="5" t="s">
        <v>10521</v>
      </c>
      <c r="B3492" s="5" t="s">
        <v>2529</v>
      </c>
      <c r="C3492" s="5" t="s">
        <v>2530</v>
      </c>
      <c r="D3492" s="5" t="s">
        <v>118</v>
      </c>
      <c r="E3492" s="5" t="s">
        <v>2795</v>
      </c>
      <c r="F3492" s="5" t="s">
        <v>2764</v>
      </c>
      <c r="G3492" s="5">
        <v>1</v>
      </c>
      <c r="H3492" s="5" t="s">
        <v>2864</v>
      </c>
      <c r="I3492" s="5" t="str">
        <f>IF(INDEX(Manual_Review!$Y$6:$Y$238,U3492)="","",INDEX(Manual_Review!$Y$6:$Y$238,U3492))</f>
        <v/>
      </c>
      <c r="J3492" s="5" t="str">
        <f t="shared" si="108"/>
        <v>AI provisional</v>
      </c>
      <c r="K3492" s="5" t="str">
        <f t="shared" si="109"/>
        <v>U</v>
      </c>
      <c r="L3492" s="5" t="s">
        <v>2540</v>
      </c>
      <c r="M3492" s="5" t="s">
        <v>10522</v>
      </c>
      <c r="N3492" s="5" t="s">
        <v>10523</v>
      </c>
      <c r="O3492" s="5" t="s">
        <v>3469</v>
      </c>
      <c r="P3492" s="5" t="s">
        <v>2992</v>
      </c>
      <c r="Q3492" s="11">
        <v>46306.5</v>
      </c>
      <c r="R3492" s="6"/>
      <c r="S3492" s="6"/>
      <c r="T3492" s="6"/>
      <c r="U3492" s="5">
        <f>MATCH(B3492,Manual_Review!$A$6:$A$238,0)</f>
        <v>218</v>
      </c>
      <c r="V3492" s="5" t="str">
        <f>IF(INDEX(Manual_Review!$G$6:$G$238,U3492)="","",INDEX(Manual_Review!$G$6:$G$238,U3492))</f>
        <v/>
      </c>
      <c r="W3492" s="11" t="str">
        <f>IF(INDEX(Manual_Review!$H$6:$H$238,U3492)="","",INDEX(Manual_Review!$H$6:$H$238,U3492))</f>
        <v/>
      </c>
      <c r="X3492" s="5" t="str">
        <f>IF(INDEX(Manual_Review!$I$6:$I$238,U3492)="","",INDEX(Manual_Review!$I$6:$I$238,U3492))</f>
        <v/>
      </c>
      <c r="Y3492" s="5" t="s">
        <v>2859</v>
      </c>
    </row>
    <row r="3493" spans="1:25" ht="38.25">
      <c r="A3493" s="5" t="s">
        <v>10524</v>
      </c>
      <c r="B3493" s="5" t="s">
        <v>2529</v>
      </c>
      <c r="C3493" s="5" t="s">
        <v>2530</v>
      </c>
      <c r="D3493" s="5" t="s">
        <v>118</v>
      </c>
      <c r="E3493" s="5" t="s">
        <v>2796</v>
      </c>
      <c r="F3493" s="5" t="s">
        <v>2764</v>
      </c>
      <c r="G3493" s="5">
        <v>1</v>
      </c>
      <c r="H3493" s="5" t="s">
        <v>2864</v>
      </c>
      <c r="I3493" s="5" t="str">
        <f>IF(INDEX(Manual_Review!$Z$6:$Z$238,U3493)="","",INDEX(Manual_Review!$Z$6:$Z$238,U3493))</f>
        <v/>
      </c>
      <c r="J3493" s="5" t="str">
        <f t="shared" si="108"/>
        <v>AI provisional</v>
      </c>
      <c r="K3493" s="5" t="str">
        <f t="shared" si="109"/>
        <v>U</v>
      </c>
      <c r="L3493" s="5" t="s">
        <v>2540</v>
      </c>
      <c r="M3493" s="5" t="s">
        <v>10525</v>
      </c>
      <c r="N3493" s="5" t="s">
        <v>10526</v>
      </c>
      <c r="O3493" s="5" t="s">
        <v>3050</v>
      </c>
      <c r="P3493" s="5" t="s">
        <v>2992</v>
      </c>
      <c r="Q3493" s="11">
        <v>46306.5</v>
      </c>
      <c r="R3493" s="6"/>
      <c r="S3493" s="6"/>
      <c r="T3493" s="6"/>
      <c r="U3493" s="5">
        <f>MATCH(B3493,Manual_Review!$A$6:$A$238,0)</f>
        <v>218</v>
      </c>
      <c r="V3493" s="5" t="str">
        <f>IF(INDEX(Manual_Review!$G$6:$G$238,U3493)="","",INDEX(Manual_Review!$G$6:$G$238,U3493))</f>
        <v/>
      </c>
      <c r="W3493" s="11" t="str">
        <f>IF(INDEX(Manual_Review!$H$6:$H$238,U3493)="","",INDEX(Manual_Review!$H$6:$H$238,U3493))</f>
        <v/>
      </c>
      <c r="X3493" s="5" t="str">
        <f>IF(INDEX(Manual_Review!$I$6:$I$238,U3493)="","",INDEX(Manual_Review!$I$6:$I$238,U3493))</f>
        <v/>
      </c>
      <c r="Y3493" s="5" t="s">
        <v>2859</v>
      </c>
    </row>
    <row r="3494" spans="1:25" ht="25.5">
      <c r="A3494" s="5" t="s">
        <v>10527</v>
      </c>
      <c r="B3494" s="5" t="s">
        <v>2542</v>
      </c>
      <c r="C3494" s="5" t="s">
        <v>2543</v>
      </c>
      <c r="D3494" s="5" t="s">
        <v>118</v>
      </c>
      <c r="E3494" s="5" t="s">
        <v>2781</v>
      </c>
      <c r="F3494" s="5" t="s">
        <v>2754</v>
      </c>
      <c r="G3494" s="5">
        <v>1</v>
      </c>
      <c r="H3494" s="5" t="s">
        <v>2854</v>
      </c>
      <c r="I3494" s="5" t="str">
        <f>IF(INDEX(Manual_Review!$K$6:$K$238,U3494)="","",INDEX(Manual_Review!$K$6:$K$238,U3494))</f>
        <v/>
      </c>
      <c r="J3494" s="5" t="str">
        <f t="shared" si="108"/>
        <v>AI provisional</v>
      </c>
      <c r="K3494" s="5" t="str">
        <f t="shared" si="109"/>
        <v>Y</v>
      </c>
      <c r="L3494" s="5" t="s">
        <v>2555</v>
      </c>
      <c r="M3494" s="5" t="s">
        <v>10528</v>
      </c>
      <c r="N3494" s="5" t="s">
        <v>10529</v>
      </c>
      <c r="O3494" s="5" t="s">
        <v>2991</v>
      </c>
      <c r="P3494" s="5" t="s">
        <v>2992</v>
      </c>
      <c r="Q3494" s="11">
        <v>46306.5</v>
      </c>
      <c r="R3494" s="6"/>
      <c r="S3494" s="6"/>
      <c r="T3494" s="6"/>
      <c r="U3494" s="5">
        <f>MATCH(B3494,Manual_Review!$A$6:$A$238,0)</f>
        <v>219</v>
      </c>
      <c r="V3494" s="5" t="str">
        <f>IF(INDEX(Manual_Review!$G$6:$G$238,U3494)="","",INDEX(Manual_Review!$G$6:$G$238,U3494))</f>
        <v/>
      </c>
      <c r="W3494" s="11" t="str">
        <f>IF(INDEX(Manual_Review!$H$6:$H$238,U3494)="","",INDEX(Manual_Review!$H$6:$H$238,U3494))</f>
        <v/>
      </c>
      <c r="X3494" s="5" t="str">
        <f>IF(INDEX(Manual_Review!$I$6:$I$238,U3494)="","",INDEX(Manual_Review!$I$6:$I$238,U3494))</f>
        <v/>
      </c>
      <c r="Y3494" s="5" t="s">
        <v>2859</v>
      </c>
    </row>
    <row r="3495" spans="1:25" ht="25.5">
      <c r="A3495" s="5" t="s">
        <v>10530</v>
      </c>
      <c r="B3495" s="5" t="s">
        <v>2542</v>
      </c>
      <c r="C3495" s="5" t="s">
        <v>2543</v>
      </c>
      <c r="D3495" s="5" t="s">
        <v>118</v>
      </c>
      <c r="E3495" s="5" t="s">
        <v>2782</v>
      </c>
      <c r="F3495" s="5" t="s">
        <v>2754</v>
      </c>
      <c r="G3495" s="5">
        <v>1</v>
      </c>
      <c r="H3495" s="5" t="s">
        <v>2854</v>
      </c>
      <c r="I3495" s="5" t="str">
        <f>IF(INDEX(Manual_Review!$L$6:$L$238,U3495)="","",INDEX(Manual_Review!$L$6:$L$238,U3495))</f>
        <v/>
      </c>
      <c r="J3495" s="5" t="str">
        <f t="shared" si="108"/>
        <v>AI provisional</v>
      </c>
      <c r="K3495" s="5" t="str">
        <f t="shared" si="109"/>
        <v>Y</v>
      </c>
      <c r="L3495" s="5" t="s">
        <v>2555</v>
      </c>
      <c r="M3495" s="5" t="s">
        <v>10531</v>
      </c>
      <c r="N3495" s="5" t="s">
        <v>10532</v>
      </c>
      <c r="O3495" s="5" t="s">
        <v>2996</v>
      </c>
      <c r="P3495" s="5" t="s">
        <v>2992</v>
      </c>
      <c r="Q3495" s="11">
        <v>46306.5</v>
      </c>
      <c r="R3495" s="6"/>
      <c r="S3495" s="6"/>
      <c r="T3495" s="6"/>
      <c r="U3495" s="5">
        <f>MATCH(B3495,Manual_Review!$A$6:$A$238,0)</f>
        <v>219</v>
      </c>
      <c r="V3495" s="5" t="str">
        <f>IF(INDEX(Manual_Review!$G$6:$G$238,U3495)="","",INDEX(Manual_Review!$G$6:$G$238,U3495))</f>
        <v/>
      </c>
      <c r="W3495" s="11" t="str">
        <f>IF(INDEX(Manual_Review!$H$6:$H$238,U3495)="","",INDEX(Manual_Review!$H$6:$H$238,U3495))</f>
        <v/>
      </c>
      <c r="X3495" s="5" t="str">
        <f>IF(INDEX(Manual_Review!$I$6:$I$238,U3495)="","",INDEX(Manual_Review!$I$6:$I$238,U3495))</f>
        <v/>
      </c>
      <c r="Y3495" s="5" t="s">
        <v>2859</v>
      </c>
    </row>
    <row r="3496" spans="1:25" ht="25.5">
      <c r="A3496" s="5" t="s">
        <v>10533</v>
      </c>
      <c r="B3496" s="5" t="s">
        <v>2542</v>
      </c>
      <c r="C3496" s="5" t="s">
        <v>2543</v>
      </c>
      <c r="D3496" s="5" t="s">
        <v>118</v>
      </c>
      <c r="E3496" s="5" t="s">
        <v>2783</v>
      </c>
      <c r="F3496" s="5" t="s">
        <v>2754</v>
      </c>
      <c r="G3496" s="5">
        <v>1</v>
      </c>
      <c r="H3496" s="5" t="s">
        <v>2854</v>
      </c>
      <c r="I3496" s="5" t="str">
        <f>IF(INDEX(Manual_Review!$M$6:$M$238,U3496)="","",INDEX(Manual_Review!$M$6:$M$238,U3496))</f>
        <v/>
      </c>
      <c r="J3496" s="5" t="str">
        <f t="shared" si="108"/>
        <v>AI provisional</v>
      </c>
      <c r="K3496" s="5" t="str">
        <f t="shared" si="109"/>
        <v>Y</v>
      </c>
      <c r="L3496" s="5" t="s">
        <v>2555</v>
      </c>
      <c r="M3496" s="5" t="s">
        <v>10534</v>
      </c>
      <c r="N3496" s="5" t="s">
        <v>10535</v>
      </c>
      <c r="O3496" s="5" t="s">
        <v>3000</v>
      </c>
      <c r="P3496" s="5" t="s">
        <v>2992</v>
      </c>
      <c r="Q3496" s="11">
        <v>46306.5</v>
      </c>
      <c r="R3496" s="6"/>
      <c r="S3496" s="6"/>
      <c r="T3496" s="6"/>
      <c r="U3496" s="5">
        <f>MATCH(B3496,Manual_Review!$A$6:$A$238,0)</f>
        <v>219</v>
      </c>
      <c r="V3496" s="5" t="str">
        <f>IF(INDEX(Manual_Review!$G$6:$G$238,U3496)="","",INDEX(Manual_Review!$G$6:$G$238,U3496))</f>
        <v/>
      </c>
      <c r="W3496" s="11" t="str">
        <f>IF(INDEX(Manual_Review!$H$6:$H$238,U3496)="","",INDEX(Manual_Review!$H$6:$H$238,U3496))</f>
        <v/>
      </c>
      <c r="X3496" s="5" t="str">
        <f>IF(INDEX(Manual_Review!$I$6:$I$238,U3496)="","",INDEX(Manual_Review!$I$6:$I$238,U3496))</f>
        <v/>
      </c>
      <c r="Y3496" s="5" t="s">
        <v>2859</v>
      </c>
    </row>
    <row r="3497" spans="1:25" ht="25.5">
      <c r="A3497" s="5" t="s">
        <v>10536</v>
      </c>
      <c r="B3497" s="5" t="s">
        <v>2542</v>
      </c>
      <c r="C3497" s="5" t="s">
        <v>2543</v>
      </c>
      <c r="D3497" s="5" t="s">
        <v>118</v>
      </c>
      <c r="E3497" s="5" t="s">
        <v>2784</v>
      </c>
      <c r="F3497" s="5" t="s">
        <v>2756</v>
      </c>
      <c r="G3497" s="5">
        <v>1</v>
      </c>
      <c r="H3497" s="5" t="s">
        <v>2854</v>
      </c>
      <c r="I3497" s="5" t="str">
        <f>IF(INDEX(Manual_Review!$N$6:$N$238,U3497)="","",INDEX(Manual_Review!$N$6:$N$238,U3497))</f>
        <v/>
      </c>
      <c r="J3497" s="5" t="str">
        <f t="shared" si="108"/>
        <v>AI provisional</v>
      </c>
      <c r="K3497" s="5" t="str">
        <f t="shared" si="109"/>
        <v>Y</v>
      </c>
      <c r="L3497" s="5" t="s">
        <v>2555</v>
      </c>
      <c r="M3497" s="5" t="s">
        <v>10537</v>
      </c>
      <c r="N3497" s="5" t="s">
        <v>10538</v>
      </c>
      <c r="O3497" s="5" t="s">
        <v>3004</v>
      </c>
      <c r="P3497" s="5" t="s">
        <v>2992</v>
      </c>
      <c r="Q3497" s="11">
        <v>46306.5</v>
      </c>
      <c r="R3497" s="6"/>
      <c r="S3497" s="6"/>
      <c r="T3497" s="6"/>
      <c r="U3497" s="5">
        <f>MATCH(B3497,Manual_Review!$A$6:$A$238,0)</f>
        <v>219</v>
      </c>
      <c r="V3497" s="5" t="str">
        <f>IF(INDEX(Manual_Review!$G$6:$G$238,U3497)="","",INDEX(Manual_Review!$G$6:$G$238,U3497))</f>
        <v/>
      </c>
      <c r="W3497" s="11" t="str">
        <f>IF(INDEX(Manual_Review!$H$6:$H$238,U3497)="","",INDEX(Manual_Review!$H$6:$H$238,U3497))</f>
        <v/>
      </c>
      <c r="X3497" s="5" t="str">
        <f>IF(INDEX(Manual_Review!$I$6:$I$238,U3497)="","",INDEX(Manual_Review!$I$6:$I$238,U3497))</f>
        <v/>
      </c>
      <c r="Y3497" s="5" t="s">
        <v>2859</v>
      </c>
    </row>
    <row r="3498" spans="1:25" ht="25.5">
      <c r="A3498" s="5" t="s">
        <v>10539</v>
      </c>
      <c r="B3498" s="5" t="s">
        <v>2542</v>
      </c>
      <c r="C3498" s="5" t="s">
        <v>2543</v>
      </c>
      <c r="D3498" s="5" t="s">
        <v>118</v>
      </c>
      <c r="E3498" s="5" t="s">
        <v>2785</v>
      </c>
      <c r="F3498" s="5" t="s">
        <v>2756</v>
      </c>
      <c r="G3498" s="5">
        <v>1</v>
      </c>
      <c r="H3498" s="5" t="s">
        <v>2864</v>
      </c>
      <c r="I3498" s="5" t="str">
        <f>IF(INDEX(Manual_Review!$O$6:$O$238,U3498)="","",INDEX(Manual_Review!$O$6:$O$238,U3498))</f>
        <v/>
      </c>
      <c r="J3498" s="5" t="str">
        <f t="shared" si="108"/>
        <v>AI provisional</v>
      </c>
      <c r="K3498" s="5" t="str">
        <f t="shared" si="109"/>
        <v>U</v>
      </c>
      <c r="L3498" s="5" t="s">
        <v>2555</v>
      </c>
      <c r="M3498" s="5" t="s">
        <v>10537</v>
      </c>
      <c r="N3498" s="5" t="s">
        <v>10538</v>
      </c>
      <c r="O3498" s="5" t="s">
        <v>3006</v>
      </c>
      <c r="P3498" s="5" t="s">
        <v>2992</v>
      </c>
      <c r="Q3498" s="11">
        <v>46306.5</v>
      </c>
      <c r="R3498" s="6"/>
      <c r="S3498" s="6"/>
      <c r="T3498" s="6"/>
      <c r="U3498" s="5">
        <f>MATCH(B3498,Manual_Review!$A$6:$A$238,0)</f>
        <v>219</v>
      </c>
      <c r="V3498" s="5" t="str">
        <f>IF(INDEX(Manual_Review!$G$6:$G$238,U3498)="","",INDEX(Manual_Review!$G$6:$G$238,U3498))</f>
        <v/>
      </c>
      <c r="W3498" s="11" t="str">
        <f>IF(INDEX(Manual_Review!$H$6:$H$238,U3498)="","",INDEX(Manual_Review!$H$6:$H$238,U3498))</f>
        <v/>
      </c>
      <c r="X3498" s="5" t="str">
        <f>IF(INDEX(Manual_Review!$I$6:$I$238,U3498)="","",INDEX(Manual_Review!$I$6:$I$238,U3498))</f>
        <v/>
      </c>
      <c r="Y3498" s="5" t="s">
        <v>2859</v>
      </c>
    </row>
    <row r="3499" spans="1:25" ht="38.25">
      <c r="A3499" s="5" t="s">
        <v>10540</v>
      </c>
      <c r="B3499" s="5" t="s">
        <v>2542</v>
      </c>
      <c r="C3499" s="5" t="s">
        <v>2543</v>
      </c>
      <c r="D3499" s="5" t="s">
        <v>118</v>
      </c>
      <c r="E3499" s="5" t="s">
        <v>2786</v>
      </c>
      <c r="F3499" s="5" t="s">
        <v>2756</v>
      </c>
      <c r="G3499" s="5">
        <v>1</v>
      </c>
      <c r="H3499" s="5" t="s">
        <v>2864</v>
      </c>
      <c r="I3499" s="5" t="str">
        <f>IF(INDEX(Manual_Review!$P$6:$P$238,U3499)="","",INDEX(Manual_Review!$P$6:$P$238,U3499))</f>
        <v/>
      </c>
      <c r="J3499" s="5" t="str">
        <f t="shared" si="108"/>
        <v>AI provisional</v>
      </c>
      <c r="K3499" s="5" t="str">
        <f t="shared" si="109"/>
        <v>U</v>
      </c>
      <c r="L3499" s="5" t="s">
        <v>2555</v>
      </c>
      <c r="M3499" s="5" t="s">
        <v>10541</v>
      </c>
      <c r="N3499" s="5" t="s">
        <v>10542</v>
      </c>
      <c r="O3499" s="5" t="s">
        <v>3010</v>
      </c>
      <c r="P3499" s="5" t="s">
        <v>2992</v>
      </c>
      <c r="Q3499" s="11">
        <v>46306.5</v>
      </c>
      <c r="R3499" s="6"/>
      <c r="S3499" s="6"/>
      <c r="T3499" s="6"/>
      <c r="U3499" s="5">
        <f>MATCH(B3499,Manual_Review!$A$6:$A$238,0)</f>
        <v>219</v>
      </c>
      <c r="V3499" s="5" t="str">
        <f>IF(INDEX(Manual_Review!$G$6:$G$238,U3499)="","",INDEX(Manual_Review!$G$6:$G$238,U3499))</f>
        <v/>
      </c>
      <c r="W3499" s="11" t="str">
        <f>IF(INDEX(Manual_Review!$H$6:$H$238,U3499)="","",INDEX(Manual_Review!$H$6:$H$238,U3499))</f>
        <v/>
      </c>
      <c r="X3499" s="5" t="str">
        <f>IF(INDEX(Manual_Review!$I$6:$I$238,U3499)="","",INDEX(Manual_Review!$I$6:$I$238,U3499))</f>
        <v/>
      </c>
      <c r="Y3499" s="5" t="s">
        <v>2859</v>
      </c>
    </row>
    <row r="3500" spans="1:25" ht="25.5">
      <c r="A3500" s="5" t="s">
        <v>10543</v>
      </c>
      <c r="B3500" s="5" t="s">
        <v>2542</v>
      </c>
      <c r="C3500" s="5" t="s">
        <v>2543</v>
      </c>
      <c r="D3500" s="5" t="s">
        <v>118</v>
      </c>
      <c r="E3500" s="5" t="s">
        <v>2787</v>
      </c>
      <c r="F3500" s="5" t="s">
        <v>2758</v>
      </c>
      <c r="G3500" s="5">
        <v>1</v>
      </c>
      <c r="H3500" s="5" t="s">
        <v>2864</v>
      </c>
      <c r="I3500" s="5" t="str">
        <f>IF(INDEX(Manual_Review!$Q$6:$Q$238,U3500)="","",INDEX(Manual_Review!$Q$6:$Q$238,U3500))</f>
        <v/>
      </c>
      <c r="J3500" s="5" t="str">
        <f t="shared" si="108"/>
        <v>AI provisional</v>
      </c>
      <c r="K3500" s="5" t="str">
        <f t="shared" si="109"/>
        <v>U</v>
      </c>
      <c r="L3500" s="5" t="s">
        <v>2555</v>
      </c>
      <c r="M3500" s="5" t="s">
        <v>10544</v>
      </c>
      <c r="N3500" s="5" t="s">
        <v>10545</v>
      </c>
      <c r="O3500" s="5" t="s">
        <v>3014</v>
      </c>
      <c r="P3500" s="5" t="s">
        <v>2992</v>
      </c>
      <c r="Q3500" s="11">
        <v>46306.5</v>
      </c>
      <c r="R3500" s="6"/>
      <c r="S3500" s="6"/>
      <c r="T3500" s="6"/>
      <c r="U3500" s="5">
        <f>MATCH(B3500,Manual_Review!$A$6:$A$238,0)</f>
        <v>219</v>
      </c>
      <c r="V3500" s="5" t="str">
        <f>IF(INDEX(Manual_Review!$G$6:$G$238,U3500)="","",INDEX(Manual_Review!$G$6:$G$238,U3500))</f>
        <v/>
      </c>
      <c r="W3500" s="11" t="str">
        <f>IF(INDEX(Manual_Review!$H$6:$H$238,U3500)="","",INDEX(Manual_Review!$H$6:$H$238,U3500))</f>
        <v/>
      </c>
      <c r="X3500" s="5" t="str">
        <f>IF(INDEX(Manual_Review!$I$6:$I$238,U3500)="","",INDEX(Manual_Review!$I$6:$I$238,U3500))</f>
        <v/>
      </c>
      <c r="Y3500" s="5" t="s">
        <v>2859</v>
      </c>
    </row>
    <row r="3501" spans="1:25" ht="38.25">
      <c r="A3501" s="5" t="s">
        <v>10546</v>
      </c>
      <c r="B3501" s="5" t="s">
        <v>2542</v>
      </c>
      <c r="C3501" s="5" t="s">
        <v>2543</v>
      </c>
      <c r="D3501" s="5" t="s">
        <v>118</v>
      </c>
      <c r="E3501" s="5" t="s">
        <v>2788</v>
      </c>
      <c r="F3501" s="5" t="s">
        <v>2758</v>
      </c>
      <c r="G3501" s="5">
        <v>1</v>
      </c>
      <c r="H3501" s="5" t="s">
        <v>2854</v>
      </c>
      <c r="I3501" s="5" t="str">
        <f>IF(INDEX(Manual_Review!$R$6:$R$238,U3501)="","",INDEX(Manual_Review!$R$6:$R$238,U3501))</f>
        <v/>
      </c>
      <c r="J3501" s="5" t="str">
        <f t="shared" si="108"/>
        <v>AI provisional</v>
      </c>
      <c r="K3501" s="5" t="str">
        <f t="shared" si="109"/>
        <v>Y</v>
      </c>
      <c r="L3501" s="5" t="s">
        <v>2555</v>
      </c>
      <c r="M3501" s="5" t="s">
        <v>10547</v>
      </c>
      <c r="N3501" s="5" t="s">
        <v>10548</v>
      </c>
      <c r="O3501" s="5" t="s">
        <v>3018</v>
      </c>
      <c r="P3501" s="5" t="s">
        <v>2992</v>
      </c>
      <c r="Q3501" s="11">
        <v>46306.5</v>
      </c>
      <c r="R3501" s="6"/>
      <c r="S3501" s="6"/>
      <c r="T3501" s="6"/>
      <c r="U3501" s="5">
        <f>MATCH(B3501,Manual_Review!$A$6:$A$238,0)</f>
        <v>219</v>
      </c>
      <c r="V3501" s="5" t="str">
        <f>IF(INDEX(Manual_Review!$G$6:$G$238,U3501)="","",INDEX(Manual_Review!$G$6:$G$238,U3501))</f>
        <v/>
      </c>
      <c r="W3501" s="11" t="str">
        <f>IF(INDEX(Manual_Review!$H$6:$H$238,U3501)="","",INDEX(Manual_Review!$H$6:$H$238,U3501))</f>
        <v/>
      </c>
      <c r="X3501" s="5" t="str">
        <f>IF(INDEX(Manual_Review!$I$6:$I$238,U3501)="","",INDEX(Manual_Review!$I$6:$I$238,U3501))</f>
        <v/>
      </c>
      <c r="Y3501" s="5" t="s">
        <v>2859</v>
      </c>
    </row>
    <row r="3502" spans="1:25" ht="38.25">
      <c r="A3502" s="5" t="s">
        <v>10549</v>
      </c>
      <c r="B3502" s="5" t="s">
        <v>2542</v>
      </c>
      <c r="C3502" s="5" t="s">
        <v>2543</v>
      </c>
      <c r="D3502" s="5" t="s">
        <v>118</v>
      </c>
      <c r="E3502" s="5" t="s">
        <v>2789</v>
      </c>
      <c r="F3502" s="5" t="s">
        <v>2758</v>
      </c>
      <c r="G3502" s="5">
        <v>1</v>
      </c>
      <c r="H3502" s="5" t="s">
        <v>2854</v>
      </c>
      <c r="I3502" s="5" t="str">
        <f>IF(INDEX(Manual_Review!$S$6:$S$238,U3502)="","",INDEX(Manual_Review!$S$6:$S$238,U3502))</f>
        <v/>
      </c>
      <c r="J3502" s="5" t="str">
        <f t="shared" si="108"/>
        <v>AI provisional</v>
      </c>
      <c r="K3502" s="5" t="str">
        <f t="shared" si="109"/>
        <v>Y</v>
      </c>
      <c r="L3502" s="5" t="s">
        <v>2555</v>
      </c>
      <c r="M3502" s="5" t="s">
        <v>10550</v>
      </c>
      <c r="N3502" s="5" t="s">
        <v>10551</v>
      </c>
      <c r="O3502" s="5" t="s">
        <v>3022</v>
      </c>
      <c r="P3502" s="5" t="s">
        <v>2992</v>
      </c>
      <c r="Q3502" s="11">
        <v>46306.5</v>
      </c>
      <c r="R3502" s="6"/>
      <c r="S3502" s="6"/>
      <c r="T3502" s="6"/>
      <c r="U3502" s="5">
        <f>MATCH(B3502,Manual_Review!$A$6:$A$238,0)</f>
        <v>219</v>
      </c>
      <c r="V3502" s="5" t="str">
        <f>IF(INDEX(Manual_Review!$G$6:$G$238,U3502)="","",INDEX(Manual_Review!$G$6:$G$238,U3502))</f>
        <v/>
      </c>
      <c r="W3502" s="11" t="str">
        <f>IF(INDEX(Manual_Review!$H$6:$H$238,U3502)="","",INDEX(Manual_Review!$H$6:$H$238,U3502))</f>
        <v/>
      </c>
      <c r="X3502" s="5" t="str">
        <f>IF(INDEX(Manual_Review!$I$6:$I$238,U3502)="","",INDEX(Manual_Review!$I$6:$I$238,U3502))</f>
        <v/>
      </c>
      <c r="Y3502" s="5" t="s">
        <v>2859</v>
      </c>
    </row>
    <row r="3503" spans="1:25" ht="25.5">
      <c r="A3503" s="5" t="s">
        <v>10552</v>
      </c>
      <c r="B3503" s="5" t="s">
        <v>2542</v>
      </c>
      <c r="C3503" s="5" t="s">
        <v>2543</v>
      </c>
      <c r="D3503" s="5" t="s">
        <v>118</v>
      </c>
      <c r="E3503" s="5" t="s">
        <v>2790</v>
      </c>
      <c r="F3503" s="5" t="s">
        <v>2760</v>
      </c>
      <c r="G3503" s="5">
        <v>1</v>
      </c>
      <c r="H3503" s="5" t="s">
        <v>2854</v>
      </c>
      <c r="I3503" s="5" t="str">
        <f>IF(INDEX(Manual_Review!$T$6:$T$238,U3503)="","",INDEX(Manual_Review!$T$6:$T$238,U3503))</f>
        <v/>
      </c>
      <c r="J3503" s="5" t="str">
        <f t="shared" si="108"/>
        <v>AI provisional</v>
      </c>
      <c r="K3503" s="5" t="str">
        <f t="shared" si="109"/>
        <v>Y</v>
      </c>
      <c r="L3503" s="5" t="s">
        <v>2555</v>
      </c>
      <c r="M3503" s="5" t="s">
        <v>10553</v>
      </c>
      <c r="N3503" s="5" t="s">
        <v>10554</v>
      </c>
      <c r="O3503" s="5" t="s">
        <v>3451</v>
      </c>
      <c r="P3503" s="5" t="s">
        <v>2992</v>
      </c>
      <c r="Q3503" s="11">
        <v>46306.5</v>
      </c>
      <c r="R3503" s="6"/>
      <c r="S3503" s="6"/>
      <c r="T3503" s="6"/>
      <c r="U3503" s="5">
        <f>MATCH(B3503,Manual_Review!$A$6:$A$238,0)</f>
        <v>219</v>
      </c>
      <c r="V3503" s="5" t="str">
        <f>IF(INDEX(Manual_Review!$G$6:$G$238,U3503)="","",INDEX(Manual_Review!$G$6:$G$238,U3503))</f>
        <v/>
      </c>
      <c r="W3503" s="11" t="str">
        <f>IF(INDEX(Manual_Review!$H$6:$H$238,U3503)="","",INDEX(Manual_Review!$H$6:$H$238,U3503))</f>
        <v/>
      </c>
      <c r="X3503" s="5" t="str">
        <f>IF(INDEX(Manual_Review!$I$6:$I$238,U3503)="","",INDEX(Manual_Review!$I$6:$I$238,U3503))</f>
        <v/>
      </c>
      <c r="Y3503" s="5" t="s">
        <v>2859</v>
      </c>
    </row>
    <row r="3504" spans="1:25" ht="25.5">
      <c r="A3504" s="5" t="s">
        <v>10555</v>
      </c>
      <c r="B3504" s="5" t="s">
        <v>2542</v>
      </c>
      <c r="C3504" s="5" t="s">
        <v>2543</v>
      </c>
      <c r="D3504" s="5" t="s">
        <v>118</v>
      </c>
      <c r="E3504" s="5" t="s">
        <v>2791</v>
      </c>
      <c r="F3504" s="5" t="s">
        <v>2760</v>
      </c>
      <c r="G3504" s="5">
        <v>1</v>
      </c>
      <c r="H3504" s="5" t="s">
        <v>2854</v>
      </c>
      <c r="I3504" s="5" t="str">
        <f>IF(INDEX(Manual_Review!$U$6:$U$238,U3504)="","",INDEX(Manual_Review!$U$6:$U$238,U3504))</f>
        <v/>
      </c>
      <c r="J3504" s="5" t="str">
        <f t="shared" si="108"/>
        <v>AI provisional</v>
      </c>
      <c r="K3504" s="5" t="str">
        <f t="shared" si="109"/>
        <v>Y</v>
      </c>
      <c r="L3504" s="5" t="s">
        <v>2555</v>
      </c>
      <c r="M3504" s="5" t="s">
        <v>10556</v>
      </c>
      <c r="N3504" s="5" t="s">
        <v>10557</v>
      </c>
      <c r="O3504" s="5" t="s">
        <v>3832</v>
      </c>
      <c r="P3504" s="5" t="s">
        <v>2992</v>
      </c>
      <c r="Q3504" s="11">
        <v>46306.5</v>
      </c>
      <c r="R3504" s="6"/>
      <c r="S3504" s="6"/>
      <c r="T3504" s="6"/>
      <c r="U3504" s="5">
        <f>MATCH(B3504,Manual_Review!$A$6:$A$238,0)</f>
        <v>219</v>
      </c>
      <c r="V3504" s="5" t="str">
        <f>IF(INDEX(Manual_Review!$G$6:$G$238,U3504)="","",INDEX(Manual_Review!$G$6:$G$238,U3504))</f>
        <v/>
      </c>
      <c r="W3504" s="11" t="str">
        <f>IF(INDEX(Manual_Review!$H$6:$H$238,U3504)="","",INDEX(Manual_Review!$H$6:$H$238,U3504))</f>
        <v/>
      </c>
      <c r="X3504" s="5" t="str">
        <f>IF(INDEX(Manual_Review!$I$6:$I$238,U3504)="","",INDEX(Manual_Review!$I$6:$I$238,U3504))</f>
        <v/>
      </c>
      <c r="Y3504" s="5" t="s">
        <v>2859</v>
      </c>
    </row>
    <row r="3505" spans="1:25" ht="25.5">
      <c r="A3505" s="5" t="s">
        <v>10558</v>
      </c>
      <c r="B3505" s="5" t="s">
        <v>2542</v>
      </c>
      <c r="C3505" s="5" t="s">
        <v>2543</v>
      </c>
      <c r="D3505" s="5" t="s">
        <v>118</v>
      </c>
      <c r="E3505" s="5" t="s">
        <v>2792</v>
      </c>
      <c r="F3505" s="5" t="s">
        <v>2762</v>
      </c>
      <c r="G3505" s="5">
        <v>1</v>
      </c>
      <c r="H3505" s="5" t="s">
        <v>2854</v>
      </c>
      <c r="I3505" s="5" t="str">
        <f>IF(INDEX(Manual_Review!$V$6:$V$238,U3505)="","",INDEX(Manual_Review!$V$6:$V$238,U3505))</f>
        <v/>
      </c>
      <c r="J3505" s="5" t="str">
        <f t="shared" si="108"/>
        <v>AI provisional</v>
      </c>
      <c r="K3505" s="5" t="str">
        <f t="shared" si="109"/>
        <v>Y</v>
      </c>
      <c r="L3505" s="5" t="s">
        <v>2555</v>
      </c>
      <c r="M3505" s="5" t="s">
        <v>10559</v>
      </c>
      <c r="N3505" s="5" t="s">
        <v>10560</v>
      </c>
      <c r="O3505" s="5" t="s">
        <v>3034</v>
      </c>
      <c r="P3505" s="5" t="s">
        <v>2992</v>
      </c>
      <c r="Q3505" s="11">
        <v>46306.5</v>
      </c>
      <c r="R3505" s="6"/>
      <c r="S3505" s="6"/>
      <c r="T3505" s="6"/>
      <c r="U3505" s="5">
        <f>MATCH(B3505,Manual_Review!$A$6:$A$238,0)</f>
        <v>219</v>
      </c>
      <c r="V3505" s="5" t="str">
        <f>IF(INDEX(Manual_Review!$G$6:$G$238,U3505)="","",INDEX(Manual_Review!$G$6:$G$238,U3505))</f>
        <v/>
      </c>
      <c r="W3505" s="11" t="str">
        <f>IF(INDEX(Manual_Review!$H$6:$H$238,U3505)="","",INDEX(Manual_Review!$H$6:$H$238,U3505))</f>
        <v/>
      </c>
      <c r="X3505" s="5" t="str">
        <f>IF(INDEX(Manual_Review!$I$6:$I$238,U3505)="","",INDEX(Manual_Review!$I$6:$I$238,U3505))</f>
        <v/>
      </c>
      <c r="Y3505" s="5" t="s">
        <v>2859</v>
      </c>
    </row>
    <row r="3506" spans="1:25" ht="51">
      <c r="A3506" s="5" t="s">
        <v>10561</v>
      </c>
      <c r="B3506" s="5" t="s">
        <v>2542</v>
      </c>
      <c r="C3506" s="5" t="s">
        <v>2543</v>
      </c>
      <c r="D3506" s="5" t="s">
        <v>118</v>
      </c>
      <c r="E3506" s="5" t="s">
        <v>2793</v>
      </c>
      <c r="F3506" s="5" t="s">
        <v>2762</v>
      </c>
      <c r="G3506" s="5">
        <v>1</v>
      </c>
      <c r="H3506" s="5" t="s">
        <v>2854</v>
      </c>
      <c r="I3506" s="5" t="str">
        <f>IF(INDEX(Manual_Review!$W$6:$W$238,U3506)="","",INDEX(Manual_Review!$W$6:$W$238,U3506))</f>
        <v/>
      </c>
      <c r="J3506" s="5" t="str">
        <f t="shared" si="108"/>
        <v>AI provisional</v>
      </c>
      <c r="K3506" s="5" t="str">
        <f t="shared" si="109"/>
        <v>Y</v>
      </c>
      <c r="L3506" s="5" t="s">
        <v>2555</v>
      </c>
      <c r="M3506" s="5" t="s">
        <v>10562</v>
      </c>
      <c r="N3506" s="5" t="s">
        <v>10563</v>
      </c>
      <c r="O3506" s="5" t="s">
        <v>3038</v>
      </c>
      <c r="P3506" s="5" t="s">
        <v>2992</v>
      </c>
      <c r="Q3506" s="11">
        <v>46306.5</v>
      </c>
      <c r="R3506" s="6"/>
      <c r="S3506" s="6"/>
      <c r="T3506" s="6"/>
      <c r="U3506" s="5">
        <f>MATCH(B3506,Manual_Review!$A$6:$A$238,0)</f>
        <v>219</v>
      </c>
      <c r="V3506" s="5" t="str">
        <f>IF(INDEX(Manual_Review!$G$6:$G$238,U3506)="","",INDEX(Manual_Review!$G$6:$G$238,U3506))</f>
        <v/>
      </c>
      <c r="W3506" s="11" t="str">
        <f>IF(INDEX(Manual_Review!$H$6:$H$238,U3506)="","",INDEX(Manual_Review!$H$6:$H$238,U3506))</f>
        <v/>
      </c>
      <c r="X3506" s="5" t="str">
        <f>IF(INDEX(Manual_Review!$I$6:$I$238,U3506)="","",INDEX(Manual_Review!$I$6:$I$238,U3506))</f>
        <v/>
      </c>
      <c r="Y3506" s="5" t="s">
        <v>2859</v>
      </c>
    </row>
    <row r="3507" spans="1:25" ht="25.5">
      <c r="A3507" s="5" t="s">
        <v>10564</v>
      </c>
      <c r="B3507" s="5" t="s">
        <v>2542</v>
      </c>
      <c r="C3507" s="5" t="s">
        <v>2543</v>
      </c>
      <c r="D3507" s="5" t="s">
        <v>118</v>
      </c>
      <c r="E3507" s="5" t="s">
        <v>2794</v>
      </c>
      <c r="F3507" s="5" t="s">
        <v>2764</v>
      </c>
      <c r="G3507" s="5">
        <v>1</v>
      </c>
      <c r="H3507" s="5" t="s">
        <v>2854</v>
      </c>
      <c r="I3507" s="5" t="str">
        <f>IF(INDEX(Manual_Review!$X$6:$X$238,U3507)="","",INDEX(Manual_Review!$X$6:$X$238,U3507))</f>
        <v/>
      </c>
      <c r="J3507" s="5" t="str">
        <f t="shared" si="108"/>
        <v>AI provisional</v>
      </c>
      <c r="K3507" s="5" t="str">
        <f t="shared" si="109"/>
        <v>Y</v>
      </c>
      <c r="L3507" s="5" t="s">
        <v>2555</v>
      </c>
      <c r="M3507" s="5" t="s">
        <v>10565</v>
      </c>
      <c r="N3507" s="5" t="s">
        <v>10566</v>
      </c>
      <c r="O3507" s="5" t="s">
        <v>3042</v>
      </c>
      <c r="P3507" s="5" t="s">
        <v>2992</v>
      </c>
      <c r="Q3507" s="11">
        <v>46306.5</v>
      </c>
      <c r="R3507" s="6"/>
      <c r="S3507" s="6"/>
      <c r="T3507" s="6"/>
      <c r="U3507" s="5">
        <f>MATCH(B3507,Manual_Review!$A$6:$A$238,0)</f>
        <v>219</v>
      </c>
      <c r="V3507" s="5" t="str">
        <f>IF(INDEX(Manual_Review!$G$6:$G$238,U3507)="","",INDEX(Manual_Review!$G$6:$G$238,U3507))</f>
        <v/>
      </c>
      <c r="W3507" s="11" t="str">
        <f>IF(INDEX(Manual_Review!$H$6:$H$238,U3507)="","",INDEX(Manual_Review!$H$6:$H$238,U3507))</f>
        <v/>
      </c>
      <c r="X3507" s="5" t="str">
        <f>IF(INDEX(Manual_Review!$I$6:$I$238,U3507)="","",INDEX(Manual_Review!$I$6:$I$238,U3507))</f>
        <v/>
      </c>
      <c r="Y3507" s="5" t="s">
        <v>2859</v>
      </c>
    </row>
    <row r="3508" spans="1:25" ht="25.5">
      <c r="A3508" s="5" t="s">
        <v>10567</v>
      </c>
      <c r="B3508" s="5" t="s">
        <v>2542</v>
      </c>
      <c r="C3508" s="5" t="s">
        <v>2543</v>
      </c>
      <c r="D3508" s="5" t="s">
        <v>118</v>
      </c>
      <c r="E3508" s="5" t="s">
        <v>2795</v>
      </c>
      <c r="F3508" s="5" t="s">
        <v>2764</v>
      </c>
      <c r="G3508" s="5">
        <v>1</v>
      </c>
      <c r="H3508" s="5" t="s">
        <v>2864</v>
      </c>
      <c r="I3508" s="5" t="str">
        <f>IF(INDEX(Manual_Review!$Y$6:$Y$238,U3508)="","",INDEX(Manual_Review!$Y$6:$Y$238,U3508))</f>
        <v/>
      </c>
      <c r="J3508" s="5" t="str">
        <f t="shared" si="108"/>
        <v>AI provisional</v>
      </c>
      <c r="K3508" s="5" t="str">
        <f t="shared" si="109"/>
        <v>U</v>
      </c>
      <c r="L3508" s="5" t="s">
        <v>2555</v>
      </c>
      <c r="M3508" s="5" t="s">
        <v>10568</v>
      </c>
      <c r="N3508" s="5" t="s">
        <v>10569</v>
      </c>
      <c r="O3508" s="5" t="s">
        <v>3469</v>
      </c>
      <c r="P3508" s="5" t="s">
        <v>2992</v>
      </c>
      <c r="Q3508" s="11">
        <v>46306.5</v>
      </c>
      <c r="R3508" s="6"/>
      <c r="S3508" s="6"/>
      <c r="T3508" s="6"/>
      <c r="U3508" s="5">
        <f>MATCH(B3508,Manual_Review!$A$6:$A$238,0)</f>
        <v>219</v>
      </c>
      <c r="V3508" s="5" t="str">
        <f>IF(INDEX(Manual_Review!$G$6:$G$238,U3508)="","",INDEX(Manual_Review!$G$6:$G$238,U3508))</f>
        <v/>
      </c>
      <c r="W3508" s="11" t="str">
        <f>IF(INDEX(Manual_Review!$H$6:$H$238,U3508)="","",INDEX(Manual_Review!$H$6:$H$238,U3508))</f>
        <v/>
      </c>
      <c r="X3508" s="5" t="str">
        <f>IF(INDEX(Manual_Review!$I$6:$I$238,U3508)="","",INDEX(Manual_Review!$I$6:$I$238,U3508))</f>
        <v/>
      </c>
      <c r="Y3508" s="5" t="s">
        <v>2859</v>
      </c>
    </row>
    <row r="3509" spans="1:25" ht="51">
      <c r="A3509" s="5" t="s">
        <v>10570</v>
      </c>
      <c r="B3509" s="5" t="s">
        <v>2542</v>
      </c>
      <c r="C3509" s="5" t="s">
        <v>2543</v>
      </c>
      <c r="D3509" s="5" t="s">
        <v>118</v>
      </c>
      <c r="E3509" s="5" t="s">
        <v>2796</v>
      </c>
      <c r="F3509" s="5" t="s">
        <v>2764</v>
      </c>
      <c r="G3509" s="5">
        <v>1</v>
      </c>
      <c r="H3509" s="5" t="s">
        <v>2854</v>
      </c>
      <c r="I3509" s="5" t="str">
        <f>IF(INDEX(Manual_Review!$Z$6:$Z$238,U3509)="","",INDEX(Manual_Review!$Z$6:$Z$238,U3509))</f>
        <v/>
      </c>
      <c r="J3509" s="5" t="str">
        <f t="shared" si="108"/>
        <v>AI provisional</v>
      </c>
      <c r="K3509" s="5" t="str">
        <f t="shared" si="109"/>
        <v>Y</v>
      </c>
      <c r="L3509" s="5" t="s">
        <v>2555</v>
      </c>
      <c r="M3509" s="5" t="s">
        <v>10571</v>
      </c>
      <c r="N3509" s="5" t="s">
        <v>10572</v>
      </c>
      <c r="O3509" s="5" t="s">
        <v>3960</v>
      </c>
      <c r="P3509" s="5" t="s">
        <v>2992</v>
      </c>
      <c r="Q3509" s="11">
        <v>46306.5</v>
      </c>
      <c r="R3509" s="6"/>
      <c r="S3509" s="6"/>
      <c r="T3509" s="6"/>
      <c r="U3509" s="5">
        <f>MATCH(B3509,Manual_Review!$A$6:$A$238,0)</f>
        <v>219</v>
      </c>
      <c r="V3509" s="5" t="str">
        <f>IF(INDEX(Manual_Review!$G$6:$G$238,U3509)="","",INDEX(Manual_Review!$G$6:$G$238,U3509))</f>
        <v/>
      </c>
      <c r="W3509" s="11" t="str">
        <f>IF(INDEX(Manual_Review!$H$6:$H$238,U3509)="","",INDEX(Manual_Review!$H$6:$H$238,U3509))</f>
        <v/>
      </c>
      <c r="X3509" s="5" t="str">
        <f>IF(INDEX(Manual_Review!$I$6:$I$238,U3509)="","",INDEX(Manual_Review!$I$6:$I$238,U3509))</f>
        <v/>
      </c>
      <c r="Y3509" s="5" t="s">
        <v>2859</v>
      </c>
    </row>
    <row r="3510" spans="1:25" ht="25.5">
      <c r="A3510" s="5" t="s">
        <v>10573</v>
      </c>
      <c r="B3510" s="5" t="s">
        <v>2557</v>
      </c>
      <c r="C3510" s="5" t="s">
        <v>2558</v>
      </c>
      <c r="D3510" s="5" t="s">
        <v>118</v>
      </c>
      <c r="E3510" s="5" t="s">
        <v>2781</v>
      </c>
      <c r="F3510" s="5" t="s">
        <v>2754</v>
      </c>
      <c r="G3510" s="5">
        <v>1</v>
      </c>
      <c r="H3510" s="5" t="s">
        <v>2854</v>
      </c>
      <c r="I3510" s="5" t="str">
        <f>IF(INDEX(Manual_Review!$K$6:$K$238,U3510)="","",INDEX(Manual_Review!$K$6:$K$238,U3510))</f>
        <v/>
      </c>
      <c r="J3510" s="5" t="str">
        <f t="shared" si="108"/>
        <v>AI provisional</v>
      </c>
      <c r="K3510" s="5" t="str">
        <f t="shared" si="109"/>
        <v>Y</v>
      </c>
      <c r="L3510" s="5" t="s">
        <v>2555</v>
      </c>
      <c r="M3510" s="5" t="s">
        <v>10574</v>
      </c>
      <c r="N3510" s="5" t="s">
        <v>10575</v>
      </c>
      <c r="O3510" s="5" t="s">
        <v>2991</v>
      </c>
      <c r="P3510" s="5" t="s">
        <v>2992</v>
      </c>
      <c r="Q3510" s="11">
        <v>46306.5</v>
      </c>
      <c r="R3510" s="6"/>
      <c r="S3510" s="6"/>
      <c r="T3510" s="6"/>
      <c r="U3510" s="5">
        <f>MATCH(B3510,Manual_Review!$A$6:$A$238,0)</f>
        <v>220</v>
      </c>
      <c r="V3510" s="5" t="str">
        <f>IF(INDEX(Manual_Review!$G$6:$G$238,U3510)="","",INDEX(Manual_Review!$G$6:$G$238,U3510))</f>
        <v/>
      </c>
      <c r="W3510" s="11" t="str">
        <f>IF(INDEX(Manual_Review!$H$6:$H$238,U3510)="","",INDEX(Manual_Review!$H$6:$H$238,U3510))</f>
        <v/>
      </c>
      <c r="X3510" s="5" t="str">
        <f>IF(INDEX(Manual_Review!$I$6:$I$238,U3510)="","",INDEX(Manual_Review!$I$6:$I$238,U3510))</f>
        <v/>
      </c>
      <c r="Y3510" s="5" t="s">
        <v>2859</v>
      </c>
    </row>
    <row r="3511" spans="1:25" ht="25.5">
      <c r="A3511" s="5" t="s">
        <v>10576</v>
      </c>
      <c r="B3511" s="5" t="s">
        <v>2557</v>
      </c>
      <c r="C3511" s="5" t="s">
        <v>2558</v>
      </c>
      <c r="D3511" s="5" t="s">
        <v>118</v>
      </c>
      <c r="E3511" s="5" t="s">
        <v>2782</v>
      </c>
      <c r="F3511" s="5" t="s">
        <v>2754</v>
      </c>
      <c r="G3511" s="5">
        <v>1</v>
      </c>
      <c r="H3511" s="5" t="s">
        <v>2854</v>
      </c>
      <c r="I3511" s="5" t="str">
        <f>IF(INDEX(Manual_Review!$L$6:$L$238,U3511)="","",INDEX(Manual_Review!$L$6:$L$238,U3511))</f>
        <v/>
      </c>
      <c r="J3511" s="5" t="str">
        <f t="shared" si="108"/>
        <v>AI provisional</v>
      </c>
      <c r="K3511" s="5" t="str">
        <f t="shared" si="109"/>
        <v>Y</v>
      </c>
      <c r="L3511" s="5" t="s">
        <v>2555</v>
      </c>
      <c r="M3511" s="5" t="s">
        <v>10577</v>
      </c>
      <c r="N3511" s="5" t="s">
        <v>10578</v>
      </c>
      <c r="O3511" s="5" t="s">
        <v>2996</v>
      </c>
      <c r="P3511" s="5" t="s">
        <v>2992</v>
      </c>
      <c r="Q3511" s="11">
        <v>46306.5</v>
      </c>
      <c r="R3511" s="6"/>
      <c r="S3511" s="6"/>
      <c r="T3511" s="6"/>
      <c r="U3511" s="5">
        <f>MATCH(B3511,Manual_Review!$A$6:$A$238,0)</f>
        <v>220</v>
      </c>
      <c r="V3511" s="5" t="str">
        <f>IF(INDEX(Manual_Review!$G$6:$G$238,U3511)="","",INDEX(Manual_Review!$G$6:$G$238,U3511))</f>
        <v/>
      </c>
      <c r="W3511" s="11" t="str">
        <f>IF(INDEX(Manual_Review!$H$6:$H$238,U3511)="","",INDEX(Manual_Review!$H$6:$H$238,U3511))</f>
        <v/>
      </c>
      <c r="X3511" s="5" t="str">
        <f>IF(INDEX(Manual_Review!$I$6:$I$238,U3511)="","",INDEX(Manual_Review!$I$6:$I$238,U3511))</f>
        <v/>
      </c>
      <c r="Y3511" s="5" t="s">
        <v>2859</v>
      </c>
    </row>
    <row r="3512" spans="1:25" ht="25.5">
      <c r="A3512" s="5" t="s">
        <v>10579</v>
      </c>
      <c r="B3512" s="5" t="s">
        <v>2557</v>
      </c>
      <c r="C3512" s="5" t="s">
        <v>2558</v>
      </c>
      <c r="D3512" s="5" t="s">
        <v>118</v>
      </c>
      <c r="E3512" s="5" t="s">
        <v>2783</v>
      </c>
      <c r="F3512" s="5" t="s">
        <v>2754</v>
      </c>
      <c r="G3512" s="5">
        <v>1</v>
      </c>
      <c r="H3512" s="5" t="s">
        <v>2854</v>
      </c>
      <c r="I3512" s="5" t="str">
        <f>IF(INDEX(Manual_Review!$M$6:$M$238,U3512)="","",INDEX(Manual_Review!$M$6:$M$238,U3512))</f>
        <v/>
      </c>
      <c r="J3512" s="5" t="str">
        <f t="shared" si="108"/>
        <v>AI provisional</v>
      </c>
      <c r="K3512" s="5" t="str">
        <f t="shared" si="109"/>
        <v>Y</v>
      </c>
      <c r="L3512" s="5" t="s">
        <v>2555</v>
      </c>
      <c r="M3512" s="5" t="s">
        <v>10580</v>
      </c>
      <c r="N3512" s="5" t="s">
        <v>10535</v>
      </c>
      <c r="O3512" s="5" t="s">
        <v>3000</v>
      </c>
      <c r="P3512" s="5" t="s">
        <v>2992</v>
      </c>
      <c r="Q3512" s="11">
        <v>46306.5</v>
      </c>
      <c r="R3512" s="6"/>
      <c r="S3512" s="6"/>
      <c r="T3512" s="6"/>
      <c r="U3512" s="5">
        <f>MATCH(B3512,Manual_Review!$A$6:$A$238,0)</f>
        <v>220</v>
      </c>
      <c r="V3512" s="5" t="str">
        <f>IF(INDEX(Manual_Review!$G$6:$G$238,U3512)="","",INDEX(Manual_Review!$G$6:$G$238,U3512))</f>
        <v/>
      </c>
      <c r="W3512" s="11" t="str">
        <f>IF(INDEX(Manual_Review!$H$6:$H$238,U3512)="","",INDEX(Manual_Review!$H$6:$H$238,U3512))</f>
        <v/>
      </c>
      <c r="X3512" s="5" t="str">
        <f>IF(INDEX(Manual_Review!$I$6:$I$238,U3512)="","",INDEX(Manual_Review!$I$6:$I$238,U3512))</f>
        <v/>
      </c>
      <c r="Y3512" s="5" t="s">
        <v>2859</v>
      </c>
    </row>
    <row r="3513" spans="1:25" ht="25.5">
      <c r="A3513" s="5" t="s">
        <v>10581</v>
      </c>
      <c r="B3513" s="5" t="s">
        <v>2557</v>
      </c>
      <c r="C3513" s="5" t="s">
        <v>2558</v>
      </c>
      <c r="D3513" s="5" t="s">
        <v>118</v>
      </c>
      <c r="E3513" s="5" t="s">
        <v>2784</v>
      </c>
      <c r="F3513" s="5" t="s">
        <v>2756</v>
      </c>
      <c r="G3513" s="5">
        <v>1</v>
      </c>
      <c r="H3513" s="5" t="s">
        <v>2864</v>
      </c>
      <c r="I3513" s="5" t="str">
        <f>IF(INDEX(Manual_Review!$N$6:$N$238,U3513)="","",INDEX(Manual_Review!$N$6:$N$238,U3513))</f>
        <v/>
      </c>
      <c r="J3513" s="5" t="str">
        <f t="shared" si="108"/>
        <v>AI provisional</v>
      </c>
      <c r="K3513" s="5" t="str">
        <f t="shared" si="109"/>
        <v>U</v>
      </c>
      <c r="L3513" s="5" t="s">
        <v>2555</v>
      </c>
      <c r="M3513" s="5" t="s">
        <v>10582</v>
      </c>
      <c r="N3513" s="5" t="s">
        <v>10583</v>
      </c>
      <c r="O3513" s="5" t="s">
        <v>9214</v>
      </c>
      <c r="P3513" s="5" t="s">
        <v>2992</v>
      </c>
      <c r="Q3513" s="11">
        <v>46306.5</v>
      </c>
      <c r="R3513" s="6"/>
      <c r="S3513" s="6"/>
      <c r="T3513" s="6"/>
      <c r="U3513" s="5">
        <f>MATCH(B3513,Manual_Review!$A$6:$A$238,0)</f>
        <v>220</v>
      </c>
      <c r="V3513" s="5" t="str">
        <f>IF(INDEX(Manual_Review!$G$6:$G$238,U3513)="","",INDEX(Manual_Review!$G$6:$G$238,U3513))</f>
        <v/>
      </c>
      <c r="W3513" s="11" t="str">
        <f>IF(INDEX(Manual_Review!$H$6:$H$238,U3513)="","",INDEX(Manual_Review!$H$6:$H$238,U3513))</f>
        <v/>
      </c>
      <c r="X3513" s="5" t="str">
        <f>IF(INDEX(Manual_Review!$I$6:$I$238,U3513)="","",INDEX(Manual_Review!$I$6:$I$238,U3513))</f>
        <v/>
      </c>
      <c r="Y3513" s="5" t="s">
        <v>2859</v>
      </c>
    </row>
    <row r="3514" spans="1:25" ht="25.5">
      <c r="A3514" s="5" t="s">
        <v>10584</v>
      </c>
      <c r="B3514" s="5" t="s">
        <v>2557</v>
      </c>
      <c r="C3514" s="5" t="s">
        <v>2558</v>
      </c>
      <c r="D3514" s="5" t="s">
        <v>118</v>
      </c>
      <c r="E3514" s="5" t="s">
        <v>2785</v>
      </c>
      <c r="F3514" s="5" t="s">
        <v>2756</v>
      </c>
      <c r="G3514" s="5">
        <v>1</v>
      </c>
      <c r="H3514" s="5" t="s">
        <v>2864</v>
      </c>
      <c r="I3514" s="5" t="str">
        <f>IF(INDEX(Manual_Review!$O$6:$O$238,U3514)="","",INDEX(Manual_Review!$O$6:$O$238,U3514))</f>
        <v/>
      </c>
      <c r="J3514" s="5" t="str">
        <f t="shared" si="108"/>
        <v>AI provisional</v>
      </c>
      <c r="K3514" s="5" t="str">
        <f t="shared" si="109"/>
        <v>U</v>
      </c>
      <c r="L3514" s="5" t="s">
        <v>2555</v>
      </c>
      <c r="M3514" s="5" t="s">
        <v>10582</v>
      </c>
      <c r="N3514" s="5" t="s">
        <v>10583</v>
      </c>
      <c r="O3514" s="5" t="s">
        <v>3006</v>
      </c>
      <c r="P3514" s="5" t="s">
        <v>2992</v>
      </c>
      <c r="Q3514" s="11">
        <v>46306.5</v>
      </c>
      <c r="R3514" s="6"/>
      <c r="S3514" s="6"/>
      <c r="T3514" s="6"/>
      <c r="U3514" s="5">
        <f>MATCH(B3514,Manual_Review!$A$6:$A$238,0)</f>
        <v>220</v>
      </c>
      <c r="V3514" s="5" t="str">
        <f>IF(INDEX(Manual_Review!$G$6:$G$238,U3514)="","",INDEX(Manual_Review!$G$6:$G$238,U3514))</f>
        <v/>
      </c>
      <c r="W3514" s="11" t="str">
        <f>IF(INDEX(Manual_Review!$H$6:$H$238,U3514)="","",INDEX(Manual_Review!$H$6:$H$238,U3514))</f>
        <v/>
      </c>
      <c r="X3514" s="5" t="str">
        <f>IF(INDEX(Manual_Review!$I$6:$I$238,U3514)="","",INDEX(Manual_Review!$I$6:$I$238,U3514))</f>
        <v/>
      </c>
      <c r="Y3514" s="5" t="s">
        <v>2859</v>
      </c>
    </row>
    <row r="3515" spans="1:25" ht="25.5">
      <c r="A3515" s="5" t="s">
        <v>10585</v>
      </c>
      <c r="B3515" s="5" t="s">
        <v>2557</v>
      </c>
      <c r="C3515" s="5" t="s">
        <v>2558</v>
      </c>
      <c r="D3515" s="5" t="s">
        <v>118</v>
      </c>
      <c r="E3515" s="5" t="s">
        <v>2786</v>
      </c>
      <c r="F3515" s="5" t="s">
        <v>2756</v>
      </c>
      <c r="G3515" s="5">
        <v>1</v>
      </c>
      <c r="H3515" s="5" t="s">
        <v>2864</v>
      </c>
      <c r="I3515" s="5" t="str">
        <f>IF(INDEX(Manual_Review!$P$6:$P$238,U3515)="","",INDEX(Manual_Review!$P$6:$P$238,U3515))</f>
        <v/>
      </c>
      <c r="J3515" s="5" t="str">
        <f t="shared" si="108"/>
        <v>AI provisional</v>
      </c>
      <c r="K3515" s="5" t="str">
        <f t="shared" si="109"/>
        <v>U</v>
      </c>
      <c r="L3515" s="5" t="s">
        <v>2555</v>
      </c>
      <c r="M3515" s="5" t="s">
        <v>10586</v>
      </c>
      <c r="N3515" s="5" t="s">
        <v>10587</v>
      </c>
      <c r="O3515" s="5" t="s">
        <v>3010</v>
      </c>
      <c r="P3515" s="5" t="s">
        <v>2992</v>
      </c>
      <c r="Q3515" s="11">
        <v>46306.5</v>
      </c>
      <c r="R3515" s="6"/>
      <c r="S3515" s="6"/>
      <c r="T3515" s="6"/>
      <c r="U3515" s="5">
        <f>MATCH(B3515,Manual_Review!$A$6:$A$238,0)</f>
        <v>220</v>
      </c>
      <c r="V3515" s="5" t="str">
        <f>IF(INDEX(Manual_Review!$G$6:$G$238,U3515)="","",INDEX(Manual_Review!$G$6:$G$238,U3515))</f>
        <v/>
      </c>
      <c r="W3515" s="11" t="str">
        <f>IF(INDEX(Manual_Review!$H$6:$H$238,U3515)="","",INDEX(Manual_Review!$H$6:$H$238,U3515))</f>
        <v/>
      </c>
      <c r="X3515" s="5" t="str">
        <f>IF(INDEX(Manual_Review!$I$6:$I$238,U3515)="","",INDEX(Manual_Review!$I$6:$I$238,U3515))</f>
        <v/>
      </c>
      <c r="Y3515" s="5" t="s">
        <v>2859</v>
      </c>
    </row>
    <row r="3516" spans="1:25" ht="25.5">
      <c r="A3516" s="5" t="s">
        <v>10588</v>
      </c>
      <c r="B3516" s="5" t="s">
        <v>2557</v>
      </c>
      <c r="C3516" s="5" t="s">
        <v>2558</v>
      </c>
      <c r="D3516" s="5" t="s">
        <v>118</v>
      </c>
      <c r="E3516" s="5" t="s">
        <v>2787</v>
      </c>
      <c r="F3516" s="5" t="s">
        <v>2758</v>
      </c>
      <c r="G3516" s="5">
        <v>1</v>
      </c>
      <c r="H3516" s="5" t="s">
        <v>2864</v>
      </c>
      <c r="I3516" s="5" t="str">
        <f>IF(INDEX(Manual_Review!$Q$6:$Q$238,U3516)="","",INDEX(Manual_Review!$Q$6:$Q$238,U3516))</f>
        <v/>
      </c>
      <c r="J3516" s="5" t="str">
        <f t="shared" si="108"/>
        <v>AI provisional</v>
      </c>
      <c r="K3516" s="5" t="str">
        <f t="shared" si="109"/>
        <v>U</v>
      </c>
      <c r="L3516" s="5" t="s">
        <v>2555</v>
      </c>
      <c r="M3516" s="5" t="s">
        <v>10589</v>
      </c>
      <c r="N3516" s="5" t="s">
        <v>10590</v>
      </c>
      <c r="O3516" s="5" t="s">
        <v>3014</v>
      </c>
      <c r="P3516" s="5" t="s">
        <v>2992</v>
      </c>
      <c r="Q3516" s="11">
        <v>46306.5</v>
      </c>
      <c r="R3516" s="6"/>
      <c r="S3516" s="6"/>
      <c r="T3516" s="6"/>
      <c r="U3516" s="5">
        <f>MATCH(B3516,Manual_Review!$A$6:$A$238,0)</f>
        <v>220</v>
      </c>
      <c r="V3516" s="5" t="str">
        <f>IF(INDEX(Manual_Review!$G$6:$G$238,U3516)="","",INDEX(Manual_Review!$G$6:$G$238,U3516))</f>
        <v/>
      </c>
      <c r="W3516" s="11" t="str">
        <f>IF(INDEX(Manual_Review!$H$6:$H$238,U3516)="","",INDEX(Manual_Review!$H$6:$H$238,U3516))</f>
        <v/>
      </c>
      <c r="X3516" s="5" t="str">
        <f>IF(INDEX(Manual_Review!$I$6:$I$238,U3516)="","",INDEX(Manual_Review!$I$6:$I$238,U3516))</f>
        <v/>
      </c>
      <c r="Y3516" s="5" t="s">
        <v>2859</v>
      </c>
    </row>
    <row r="3517" spans="1:25" ht="38.25">
      <c r="A3517" s="5" t="s">
        <v>10591</v>
      </c>
      <c r="B3517" s="5" t="s">
        <v>2557</v>
      </c>
      <c r="C3517" s="5" t="s">
        <v>2558</v>
      </c>
      <c r="D3517" s="5" t="s">
        <v>118</v>
      </c>
      <c r="E3517" s="5" t="s">
        <v>2788</v>
      </c>
      <c r="F3517" s="5" t="s">
        <v>2758</v>
      </c>
      <c r="G3517" s="5">
        <v>1</v>
      </c>
      <c r="H3517" s="5" t="s">
        <v>2854</v>
      </c>
      <c r="I3517" s="5" t="str">
        <f>IF(INDEX(Manual_Review!$R$6:$R$238,U3517)="","",INDEX(Manual_Review!$R$6:$R$238,U3517))</f>
        <v/>
      </c>
      <c r="J3517" s="5" t="str">
        <f t="shared" si="108"/>
        <v>AI provisional</v>
      </c>
      <c r="K3517" s="5" t="str">
        <f t="shared" si="109"/>
        <v>Y</v>
      </c>
      <c r="L3517" s="5" t="s">
        <v>2555</v>
      </c>
      <c r="M3517" s="5" t="s">
        <v>10592</v>
      </c>
      <c r="N3517" s="5" t="s">
        <v>10593</v>
      </c>
      <c r="O3517" s="5" t="s">
        <v>3018</v>
      </c>
      <c r="P3517" s="5" t="s">
        <v>2992</v>
      </c>
      <c r="Q3517" s="11">
        <v>46306.5</v>
      </c>
      <c r="R3517" s="6"/>
      <c r="S3517" s="6"/>
      <c r="T3517" s="6"/>
      <c r="U3517" s="5">
        <f>MATCH(B3517,Manual_Review!$A$6:$A$238,0)</f>
        <v>220</v>
      </c>
      <c r="V3517" s="5" t="str">
        <f>IF(INDEX(Manual_Review!$G$6:$G$238,U3517)="","",INDEX(Manual_Review!$G$6:$G$238,U3517))</f>
        <v/>
      </c>
      <c r="W3517" s="11" t="str">
        <f>IF(INDEX(Manual_Review!$H$6:$H$238,U3517)="","",INDEX(Manual_Review!$H$6:$H$238,U3517))</f>
        <v/>
      </c>
      <c r="X3517" s="5" t="str">
        <f>IF(INDEX(Manual_Review!$I$6:$I$238,U3517)="","",INDEX(Manual_Review!$I$6:$I$238,U3517))</f>
        <v/>
      </c>
      <c r="Y3517" s="5" t="s">
        <v>2859</v>
      </c>
    </row>
    <row r="3518" spans="1:25" ht="38.25">
      <c r="A3518" s="5" t="s">
        <v>10594</v>
      </c>
      <c r="B3518" s="5" t="s">
        <v>2557</v>
      </c>
      <c r="C3518" s="5" t="s">
        <v>2558</v>
      </c>
      <c r="D3518" s="5" t="s">
        <v>118</v>
      </c>
      <c r="E3518" s="5" t="s">
        <v>2789</v>
      </c>
      <c r="F3518" s="5" t="s">
        <v>2758</v>
      </c>
      <c r="G3518" s="5">
        <v>1</v>
      </c>
      <c r="H3518" s="5" t="s">
        <v>2854</v>
      </c>
      <c r="I3518" s="5" t="str">
        <f>IF(INDEX(Manual_Review!$S$6:$S$238,U3518)="","",INDEX(Manual_Review!$S$6:$S$238,U3518))</f>
        <v/>
      </c>
      <c r="J3518" s="5" t="str">
        <f t="shared" si="108"/>
        <v>AI provisional</v>
      </c>
      <c r="K3518" s="5" t="str">
        <f t="shared" si="109"/>
        <v>Y</v>
      </c>
      <c r="L3518" s="5" t="s">
        <v>2555</v>
      </c>
      <c r="M3518" s="5" t="s">
        <v>10595</v>
      </c>
      <c r="N3518" s="5" t="s">
        <v>10596</v>
      </c>
      <c r="O3518" s="5" t="s">
        <v>3022</v>
      </c>
      <c r="P3518" s="5" t="s">
        <v>2992</v>
      </c>
      <c r="Q3518" s="11">
        <v>46306.5</v>
      </c>
      <c r="R3518" s="6"/>
      <c r="S3518" s="6"/>
      <c r="T3518" s="6"/>
      <c r="U3518" s="5">
        <f>MATCH(B3518,Manual_Review!$A$6:$A$238,0)</f>
        <v>220</v>
      </c>
      <c r="V3518" s="5" t="str">
        <f>IF(INDEX(Manual_Review!$G$6:$G$238,U3518)="","",INDEX(Manual_Review!$G$6:$G$238,U3518))</f>
        <v/>
      </c>
      <c r="W3518" s="11" t="str">
        <f>IF(INDEX(Manual_Review!$H$6:$H$238,U3518)="","",INDEX(Manual_Review!$H$6:$H$238,U3518))</f>
        <v/>
      </c>
      <c r="X3518" s="5" t="str">
        <f>IF(INDEX(Manual_Review!$I$6:$I$238,U3518)="","",INDEX(Manual_Review!$I$6:$I$238,U3518))</f>
        <v/>
      </c>
      <c r="Y3518" s="5" t="s">
        <v>2859</v>
      </c>
    </row>
    <row r="3519" spans="1:25" ht="25.5">
      <c r="A3519" s="5" t="s">
        <v>10597</v>
      </c>
      <c r="B3519" s="5" t="s">
        <v>2557</v>
      </c>
      <c r="C3519" s="5" t="s">
        <v>2558</v>
      </c>
      <c r="D3519" s="5" t="s">
        <v>118</v>
      </c>
      <c r="E3519" s="5" t="s">
        <v>2790</v>
      </c>
      <c r="F3519" s="5" t="s">
        <v>2760</v>
      </c>
      <c r="G3519" s="5">
        <v>1</v>
      </c>
      <c r="H3519" s="5" t="s">
        <v>2854</v>
      </c>
      <c r="I3519" s="5" t="str">
        <f>IF(INDEX(Manual_Review!$T$6:$T$238,U3519)="","",INDEX(Manual_Review!$T$6:$T$238,U3519))</f>
        <v/>
      </c>
      <c r="J3519" s="5" t="str">
        <f t="shared" si="108"/>
        <v>AI provisional</v>
      </c>
      <c r="K3519" s="5" t="str">
        <f t="shared" si="109"/>
        <v>Y</v>
      </c>
      <c r="L3519" s="5" t="s">
        <v>2555</v>
      </c>
      <c r="M3519" s="5" t="s">
        <v>10598</v>
      </c>
      <c r="N3519" s="5" t="s">
        <v>10599</v>
      </c>
      <c r="O3519" s="5" t="s">
        <v>3451</v>
      </c>
      <c r="P3519" s="5" t="s">
        <v>2992</v>
      </c>
      <c r="Q3519" s="11">
        <v>46306.5</v>
      </c>
      <c r="R3519" s="6"/>
      <c r="S3519" s="6"/>
      <c r="T3519" s="6"/>
      <c r="U3519" s="5">
        <f>MATCH(B3519,Manual_Review!$A$6:$A$238,0)</f>
        <v>220</v>
      </c>
      <c r="V3519" s="5" t="str">
        <f>IF(INDEX(Manual_Review!$G$6:$G$238,U3519)="","",INDEX(Manual_Review!$G$6:$G$238,U3519))</f>
        <v/>
      </c>
      <c r="W3519" s="11" t="str">
        <f>IF(INDEX(Manual_Review!$H$6:$H$238,U3519)="","",INDEX(Manual_Review!$H$6:$H$238,U3519))</f>
        <v/>
      </c>
      <c r="X3519" s="5" t="str">
        <f>IF(INDEX(Manual_Review!$I$6:$I$238,U3519)="","",INDEX(Manual_Review!$I$6:$I$238,U3519))</f>
        <v/>
      </c>
      <c r="Y3519" s="5" t="s">
        <v>2859</v>
      </c>
    </row>
    <row r="3520" spans="1:25" ht="25.5">
      <c r="A3520" s="5" t="s">
        <v>10600</v>
      </c>
      <c r="B3520" s="5" t="s">
        <v>2557</v>
      </c>
      <c r="C3520" s="5" t="s">
        <v>2558</v>
      </c>
      <c r="D3520" s="5" t="s">
        <v>118</v>
      </c>
      <c r="E3520" s="5" t="s">
        <v>2791</v>
      </c>
      <c r="F3520" s="5" t="s">
        <v>2760</v>
      </c>
      <c r="G3520" s="5">
        <v>1</v>
      </c>
      <c r="H3520" s="5" t="s">
        <v>2854</v>
      </c>
      <c r="I3520" s="5" t="str">
        <f>IF(INDEX(Manual_Review!$U$6:$U$238,U3520)="","",INDEX(Manual_Review!$U$6:$U$238,U3520))</f>
        <v/>
      </c>
      <c r="J3520" s="5" t="str">
        <f t="shared" si="108"/>
        <v>AI provisional</v>
      </c>
      <c r="K3520" s="5" t="str">
        <f t="shared" si="109"/>
        <v>Y</v>
      </c>
      <c r="L3520" s="5" t="s">
        <v>2555</v>
      </c>
      <c r="M3520" s="5" t="s">
        <v>10601</v>
      </c>
      <c r="N3520" s="5" t="s">
        <v>10602</v>
      </c>
      <c r="O3520" s="5" t="s">
        <v>3832</v>
      </c>
      <c r="P3520" s="5" t="s">
        <v>2992</v>
      </c>
      <c r="Q3520" s="11">
        <v>46306.5</v>
      </c>
      <c r="R3520" s="6"/>
      <c r="S3520" s="6"/>
      <c r="T3520" s="6"/>
      <c r="U3520" s="5">
        <f>MATCH(B3520,Manual_Review!$A$6:$A$238,0)</f>
        <v>220</v>
      </c>
      <c r="V3520" s="5" t="str">
        <f>IF(INDEX(Manual_Review!$G$6:$G$238,U3520)="","",INDEX(Manual_Review!$G$6:$G$238,U3520))</f>
        <v/>
      </c>
      <c r="W3520" s="11" t="str">
        <f>IF(INDEX(Manual_Review!$H$6:$H$238,U3520)="","",INDEX(Manual_Review!$H$6:$H$238,U3520))</f>
        <v/>
      </c>
      <c r="X3520" s="5" t="str">
        <f>IF(INDEX(Manual_Review!$I$6:$I$238,U3520)="","",INDEX(Manual_Review!$I$6:$I$238,U3520))</f>
        <v/>
      </c>
      <c r="Y3520" s="5" t="s">
        <v>2859</v>
      </c>
    </row>
    <row r="3521" spans="1:25" ht="25.5">
      <c r="A3521" s="5" t="s">
        <v>10603</v>
      </c>
      <c r="B3521" s="5" t="s">
        <v>2557</v>
      </c>
      <c r="C3521" s="5" t="s">
        <v>2558</v>
      </c>
      <c r="D3521" s="5" t="s">
        <v>118</v>
      </c>
      <c r="E3521" s="5" t="s">
        <v>2792</v>
      </c>
      <c r="F3521" s="5" t="s">
        <v>2762</v>
      </c>
      <c r="G3521" s="5">
        <v>1</v>
      </c>
      <c r="H3521" s="5" t="s">
        <v>2854</v>
      </c>
      <c r="I3521" s="5" t="str">
        <f>IF(INDEX(Manual_Review!$V$6:$V$238,U3521)="","",INDEX(Manual_Review!$V$6:$V$238,U3521))</f>
        <v/>
      </c>
      <c r="J3521" s="5" t="str">
        <f t="shared" si="108"/>
        <v>AI provisional</v>
      </c>
      <c r="K3521" s="5" t="str">
        <f t="shared" si="109"/>
        <v>Y</v>
      </c>
      <c r="L3521" s="5" t="s">
        <v>2555</v>
      </c>
      <c r="M3521" s="5" t="s">
        <v>10604</v>
      </c>
      <c r="N3521" s="5" t="s">
        <v>10605</v>
      </c>
      <c r="O3521" s="5" t="s">
        <v>3034</v>
      </c>
      <c r="P3521" s="5" t="s">
        <v>2992</v>
      </c>
      <c r="Q3521" s="11">
        <v>46306.5</v>
      </c>
      <c r="R3521" s="6"/>
      <c r="S3521" s="6"/>
      <c r="T3521" s="6"/>
      <c r="U3521" s="5">
        <f>MATCH(B3521,Manual_Review!$A$6:$A$238,0)</f>
        <v>220</v>
      </c>
      <c r="V3521" s="5" t="str">
        <f>IF(INDEX(Manual_Review!$G$6:$G$238,U3521)="","",INDEX(Manual_Review!$G$6:$G$238,U3521))</f>
        <v/>
      </c>
      <c r="W3521" s="11" t="str">
        <f>IF(INDEX(Manual_Review!$H$6:$H$238,U3521)="","",INDEX(Manual_Review!$H$6:$H$238,U3521))</f>
        <v/>
      </c>
      <c r="X3521" s="5" t="str">
        <f>IF(INDEX(Manual_Review!$I$6:$I$238,U3521)="","",INDEX(Manual_Review!$I$6:$I$238,U3521))</f>
        <v/>
      </c>
      <c r="Y3521" s="5" t="s">
        <v>2859</v>
      </c>
    </row>
    <row r="3522" spans="1:25" ht="38.25">
      <c r="A3522" s="5" t="s">
        <v>10606</v>
      </c>
      <c r="B3522" s="5" t="s">
        <v>2557</v>
      </c>
      <c r="C3522" s="5" t="s">
        <v>2558</v>
      </c>
      <c r="D3522" s="5" t="s">
        <v>118</v>
      </c>
      <c r="E3522" s="5" t="s">
        <v>2793</v>
      </c>
      <c r="F3522" s="5" t="s">
        <v>2762</v>
      </c>
      <c r="G3522" s="5">
        <v>1</v>
      </c>
      <c r="H3522" s="5" t="s">
        <v>2854</v>
      </c>
      <c r="I3522" s="5" t="str">
        <f>IF(INDEX(Manual_Review!$W$6:$W$238,U3522)="","",INDEX(Manual_Review!$W$6:$W$238,U3522))</f>
        <v/>
      </c>
      <c r="J3522" s="5" t="str">
        <f t="shared" si="108"/>
        <v>AI provisional</v>
      </c>
      <c r="K3522" s="5" t="str">
        <f t="shared" si="109"/>
        <v>Y</v>
      </c>
      <c r="L3522" s="5" t="s">
        <v>2555</v>
      </c>
      <c r="M3522" s="5" t="s">
        <v>10607</v>
      </c>
      <c r="N3522" s="5" t="s">
        <v>10608</v>
      </c>
      <c r="O3522" s="5" t="s">
        <v>3038</v>
      </c>
      <c r="P3522" s="5" t="s">
        <v>2992</v>
      </c>
      <c r="Q3522" s="11">
        <v>46306.5</v>
      </c>
      <c r="R3522" s="6"/>
      <c r="S3522" s="6"/>
      <c r="T3522" s="6"/>
      <c r="U3522" s="5">
        <f>MATCH(B3522,Manual_Review!$A$6:$A$238,0)</f>
        <v>220</v>
      </c>
      <c r="V3522" s="5" t="str">
        <f>IF(INDEX(Manual_Review!$G$6:$G$238,U3522)="","",INDEX(Manual_Review!$G$6:$G$238,U3522))</f>
        <v/>
      </c>
      <c r="W3522" s="11" t="str">
        <f>IF(INDEX(Manual_Review!$H$6:$H$238,U3522)="","",INDEX(Manual_Review!$H$6:$H$238,U3522))</f>
        <v/>
      </c>
      <c r="X3522" s="5" t="str">
        <f>IF(INDEX(Manual_Review!$I$6:$I$238,U3522)="","",INDEX(Manual_Review!$I$6:$I$238,U3522))</f>
        <v/>
      </c>
      <c r="Y3522" s="5" t="s">
        <v>2859</v>
      </c>
    </row>
    <row r="3523" spans="1:25" ht="25.5">
      <c r="A3523" s="5" t="s">
        <v>10609</v>
      </c>
      <c r="B3523" s="5" t="s">
        <v>2557</v>
      </c>
      <c r="C3523" s="5" t="s">
        <v>2558</v>
      </c>
      <c r="D3523" s="5" t="s">
        <v>118</v>
      </c>
      <c r="E3523" s="5" t="s">
        <v>2794</v>
      </c>
      <c r="F3523" s="5" t="s">
        <v>2764</v>
      </c>
      <c r="G3523" s="5">
        <v>1</v>
      </c>
      <c r="H3523" s="5" t="s">
        <v>2854</v>
      </c>
      <c r="I3523" s="5" t="str">
        <f>IF(INDEX(Manual_Review!$X$6:$X$238,U3523)="","",INDEX(Manual_Review!$X$6:$X$238,U3523))</f>
        <v/>
      </c>
      <c r="J3523" s="5" t="str">
        <f t="shared" si="108"/>
        <v>AI provisional</v>
      </c>
      <c r="K3523" s="5" t="str">
        <f t="shared" si="109"/>
        <v>Y</v>
      </c>
      <c r="L3523" s="5" t="s">
        <v>2555</v>
      </c>
      <c r="M3523" s="5" t="s">
        <v>10610</v>
      </c>
      <c r="N3523" s="5" t="s">
        <v>10611</v>
      </c>
      <c r="O3523" s="5" t="s">
        <v>3042</v>
      </c>
      <c r="P3523" s="5" t="s">
        <v>2992</v>
      </c>
      <c r="Q3523" s="11">
        <v>46306.5</v>
      </c>
      <c r="R3523" s="6"/>
      <c r="S3523" s="6"/>
      <c r="T3523" s="6"/>
      <c r="U3523" s="5">
        <f>MATCH(B3523,Manual_Review!$A$6:$A$238,0)</f>
        <v>220</v>
      </c>
      <c r="V3523" s="5" t="str">
        <f>IF(INDEX(Manual_Review!$G$6:$G$238,U3523)="","",INDEX(Manual_Review!$G$6:$G$238,U3523))</f>
        <v/>
      </c>
      <c r="W3523" s="11" t="str">
        <f>IF(INDEX(Manual_Review!$H$6:$H$238,U3523)="","",INDEX(Manual_Review!$H$6:$H$238,U3523))</f>
        <v/>
      </c>
      <c r="X3523" s="5" t="str">
        <f>IF(INDEX(Manual_Review!$I$6:$I$238,U3523)="","",INDEX(Manual_Review!$I$6:$I$238,U3523))</f>
        <v/>
      </c>
      <c r="Y3523" s="5" t="s">
        <v>2859</v>
      </c>
    </row>
    <row r="3524" spans="1:25" ht="25.5">
      <c r="A3524" s="5" t="s">
        <v>10612</v>
      </c>
      <c r="B3524" s="5" t="s">
        <v>2557</v>
      </c>
      <c r="C3524" s="5" t="s">
        <v>2558</v>
      </c>
      <c r="D3524" s="5" t="s">
        <v>118</v>
      </c>
      <c r="E3524" s="5" t="s">
        <v>2795</v>
      </c>
      <c r="F3524" s="5" t="s">
        <v>2764</v>
      </c>
      <c r="G3524" s="5">
        <v>1</v>
      </c>
      <c r="H3524" s="5" t="s">
        <v>2864</v>
      </c>
      <c r="I3524" s="5" t="str">
        <f>IF(INDEX(Manual_Review!$Y$6:$Y$238,U3524)="","",INDEX(Manual_Review!$Y$6:$Y$238,U3524))</f>
        <v/>
      </c>
      <c r="J3524" s="5" t="str">
        <f t="shared" si="108"/>
        <v>AI provisional</v>
      </c>
      <c r="K3524" s="5" t="str">
        <f t="shared" si="109"/>
        <v>U</v>
      </c>
      <c r="L3524" s="5" t="s">
        <v>2555</v>
      </c>
      <c r="M3524" s="5" t="s">
        <v>10613</v>
      </c>
      <c r="N3524" s="5" t="s">
        <v>10614</v>
      </c>
      <c r="O3524" s="5" t="s">
        <v>3469</v>
      </c>
      <c r="P3524" s="5" t="s">
        <v>2992</v>
      </c>
      <c r="Q3524" s="11">
        <v>46306.5</v>
      </c>
      <c r="R3524" s="6"/>
      <c r="S3524" s="6"/>
      <c r="T3524" s="6"/>
      <c r="U3524" s="5">
        <f>MATCH(B3524,Manual_Review!$A$6:$A$238,0)</f>
        <v>220</v>
      </c>
      <c r="V3524" s="5" t="str">
        <f>IF(INDEX(Manual_Review!$G$6:$G$238,U3524)="","",INDEX(Manual_Review!$G$6:$G$238,U3524))</f>
        <v/>
      </c>
      <c r="W3524" s="11" t="str">
        <f>IF(INDEX(Manual_Review!$H$6:$H$238,U3524)="","",INDEX(Manual_Review!$H$6:$H$238,U3524))</f>
        <v/>
      </c>
      <c r="X3524" s="5" t="str">
        <f>IF(INDEX(Manual_Review!$I$6:$I$238,U3524)="","",INDEX(Manual_Review!$I$6:$I$238,U3524))</f>
        <v/>
      </c>
      <c r="Y3524" s="5" t="s">
        <v>2859</v>
      </c>
    </row>
    <row r="3525" spans="1:25" ht="38.25">
      <c r="A3525" s="5" t="s">
        <v>10615</v>
      </c>
      <c r="B3525" s="5" t="s">
        <v>2557</v>
      </c>
      <c r="C3525" s="5" t="s">
        <v>2558</v>
      </c>
      <c r="D3525" s="5" t="s">
        <v>118</v>
      </c>
      <c r="E3525" s="5" t="s">
        <v>2796</v>
      </c>
      <c r="F3525" s="5" t="s">
        <v>2764</v>
      </c>
      <c r="G3525" s="5">
        <v>1</v>
      </c>
      <c r="H3525" s="5" t="s">
        <v>2864</v>
      </c>
      <c r="I3525" s="5" t="str">
        <f>IF(INDEX(Manual_Review!$Z$6:$Z$238,U3525)="","",INDEX(Manual_Review!$Z$6:$Z$238,U3525))</f>
        <v/>
      </c>
      <c r="J3525" s="5" t="str">
        <f t="shared" si="108"/>
        <v>AI provisional</v>
      </c>
      <c r="K3525" s="5" t="str">
        <f t="shared" si="109"/>
        <v>U</v>
      </c>
      <c r="L3525" s="5" t="s">
        <v>2555</v>
      </c>
      <c r="M3525" s="5" t="s">
        <v>10616</v>
      </c>
      <c r="N3525" s="5" t="s">
        <v>10617</v>
      </c>
      <c r="O3525" s="5" t="s">
        <v>3050</v>
      </c>
      <c r="P3525" s="5" t="s">
        <v>2992</v>
      </c>
      <c r="Q3525" s="11">
        <v>46306.5</v>
      </c>
      <c r="R3525" s="6"/>
      <c r="S3525" s="6"/>
      <c r="T3525" s="6"/>
      <c r="U3525" s="5">
        <f>MATCH(B3525,Manual_Review!$A$6:$A$238,0)</f>
        <v>220</v>
      </c>
      <c r="V3525" s="5" t="str">
        <f>IF(INDEX(Manual_Review!$G$6:$G$238,U3525)="","",INDEX(Manual_Review!$G$6:$G$238,U3525))</f>
        <v/>
      </c>
      <c r="W3525" s="11" t="str">
        <f>IF(INDEX(Manual_Review!$H$6:$H$238,U3525)="","",INDEX(Manual_Review!$H$6:$H$238,U3525))</f>
        <v/>
      </c>
      <c r="X3525" s="5" t="str">
        <f>IF(INDEX(Manual_Review!$I$6:$I$238,U3525)="","",INDEX(Manual_Review!$I$6:$I$238,U3525))</f>
        <v/>
      </c>
      <c r="Y3525" s="5" t="s">
        <v>2859</v>
      </c>
    </row>
    <row r="3526" spans="1:25" ht="25.5">
      <c r="A3526" s="5" t="s">
        <v>10618</v>
      </c>
      <c r="B3526" s="5" t="s">
        <v>2568</v>
      </c>
      <c r="C3526" s="5" t="s">
        <v>2569</v>
      </c>
      <c r="D3526" s="5" t="s">
        <v>118</v>
      </c>
      <c r="E3526" s="5" t="s">
        <v>2781</v>
      </c>
      <c r="F3526" s="5" t="s">
        <v>2754</v>
      </c>
      <c r="G3526" s="5">
        <v>1</v>
      </c>
      <c r="H3526" s="5" t="s">
        <v>2854</v>
      </c>
      <c r="I3526" s="5" t="str">
        <f>IF(INDEX(Manual_Review!$K$6:$K$238,U3526)="","",INDEX(Manual_Review!$K$6:$K$238,U3526))</f>
        <v/>
      </c>
      <c r="J3526" s="5" t="str">
        <f t="shared" ref="J3526:J3589" si="110">IF(G3526=0,"Not applicable",IF(I3526="","AI provisional",IF(AND(OR(I3526="Y",I3526="N",I3526="U",I3526="X"),V3526&lt;&gt;"",ISNUMBER(W3526),W3526&gt;0,X3526="Confirmed",R3526&lt;&gt;"",S3526&lt;&gt;"",T3526&lt;&gt;""),"Human valid","Evidence needed")))</f>
        <v>AI provisional</v>
      </c>
      <c r="K3526" s="5" t="str">
        <f t="shared" ref="K3526:K3589" si="111">IF(G3526=0,"N/A",IF(I3526="",H3526,IF(J3526="Human valid",I3526,"U")))</f>
        <v>Y</v>
      </c>
      <c r="L3526" s="5" t="s">
        <v>2578</v>
      </c>
      <c r="M3526" s="5" t="s">
        <v>10619</v>
      </c>
      <c r="N3526" s="5" t="s">
        <v>10620</v>
      </c>
      <c r="O3526" s="5" t="s">
        <v>2991</v>
      </c>
      <c r="P3526" s="5" t="s">
        <v>2992</v>
      </c>
      <c r="Q3526" s="11">
        <v>46306.5</v>
      </c>
      <c r="R3526" s="6"/>
      <c r="S3526" s="6"/>
      <c r="T3526" s="6"/>
      <c r="U3526" s="5">
        <f>MATCH(B3526,Manual_Review!$A$6:$A$238,0)</f>
        <v>221</v>
      </c>
      <c r="V3526" s="5" t="str">
        <f>IF(INDEX(Manual_Review!$G$6:$G$238,U3526)="","",INDEX(Manual_Review!$G$6:$G$238,U3526))</f>
        <v/>
      </c>
      <c r="W3526" s="11" t="str">
        <f>IF(INDEX(Manual_Review!$H$6:$H$238,U3526)="","",INDEX(Manual_Review!$H$6:$H$238,U3526))</f>
        <v/>
      </c>
      <c r="X3526" s="5" t="str">
        <f>IF(INDEX(Manual_Review!$I$6:$I$238,U3526)="","",INDEX(Manual_Review!$I$6:$I$238,U3526))</f>
        <v/>
      </c>
      <c r="Y3526" s="5" t="s">
        <v>2859</v>
      </c>
    </row>
    <row r="3527" spans="1:25" ht="25.5">
      <c r="A3527" s="5" t="s">
        <v>10621</v>
      </c>
      <c r="B3527" s="5" t="s">
        <v>2568</v>
      </c>
      <c r="C3527" s="5" t="s">
        <v>2569</v>
      </c>
      <c r="D3527" s="5" t="s">
        <v>118</v>
      </c>
      <c r="E3527" s="5" t="s">
        <v>2782</v>
      </c>
      <c r="F3527" s="5" t="s">
        <v>2754</v>
      </c>
      <c r="G3527" s="5">
        <v>1</v>
      </c>
      <c r="H3527" s="5" t="s">
        <v>2854</v>
      </c>
      <c r="I3527" s="5" t="str">
        <f>IF(INDEX(Manual_Review!$L$6:$L$238,U3527)="","",INDEX(Manual_Review!$L$6:$L$238,U3527))</f>
        <v/>
      </c>
      <c r="J3527" s="5" t="str">
        <f t="shared" si="110"/>
        <v>AI provisional</v>
      </c>
      <c r="K3527" s="5" t="str">
        <f t="shared" si="111"/>
        <v>Y</v>
      </c>
      <c r="L3527" s="5" t="s">
        <v>2578</v>
      </c>
      <c r="M3527" s="5" t="s">
        <v>10622</v>
      </c>
      <c r="N3527" s="5" t="s">
        <v>10623</v>
      </c>
      <c r="O3527" s="5" t="s">
        <v>2996</v>
      </c>
      <c r="P3527" s="5" t="s">
        <v>2992</v>
      </c>
      <c r="Q3527" s="11">
        <v>46306.5</v>
      </c>
      <c r="R3527" s="6"/>
      <c r="S3527" s="6"/>
      <c r="T3527" s="6"/>
      <c r="U3527" s="5">
        <f>MATCH(B3527,Manual_Review!$A$6:$A$238,0)</f>
        <v>221</v>
      </c>
      <c r="V3527" s="5" t="str">
        <f>IF(INDEX(Manual_Review!$G$6:$G$238,U3527)="","",INDEX(Manual_Review!$G$6:$G$238,U3527))</f>
        <v/>
      </c>
      <c r="W3527" s="11" t="str">
        <f>IF(INDEX(Manual_Review!$H$6:$H$238,U3527)="","",INDEX(Manual_Review!$H$6:$H$238,U3527))</f>
        <v/>
      </c>
      <c r="X3527" s="5" t="str">
        <f>IF(INDEX(Manual_Review!$I$6:$I$238,U3527)="","",INDEX(Manual_Review!$I$6:$I$238,U3527))</f>
        <v/>
      </c>
      <c r="Y3527" s="5" t="s">
        <v>2859</v>
      </c>
    </row>
    <row r="3528" spans="1:25" ht="25.5">
      <c r="A3528" s="5" t="s">
        <v>10624</v>
      </c>
      <c r="B3528" s="5" t="s">
        <v>2568</v>
      </c>
      <c r="C3528" s="5" t="s">
        <v>2569</v>
      </c>
      <c r="D3528" s="5" t="s">
        <v>118</v>
      </c>
      <c r="E3528" s="5" t="s">
        <v>2783</v>
      </c>
      <c r="F3528" s="5" t="s">
        <v>2754</v>
      </c>
      <c r="G3528" s="5">
        <v>1</v>
      </c>
      <c r="H3528" s="5" t="s">
        <v>2854</v>
      </c>
      <c r="I3528" s="5" t="str">
        <f>IF(INDEX(Manual_Review!$M$6:$M$238,U3528)="","",INDEX(Manual_Review!$M$6:$M$238,U3528))</f>
        <v/>
      </c>
      <c r="J3528" s="5" t="str">
        <f t="shared" si="110"/>
        <v>AI provisional</v>
      </c>
      <c r="K3528" s="5" t="str">
        <f t="shared" si="111"/>
        <v>Y</v>
      </c>
      <c r="L3528" s="5" t="s">
        <v>2578</v>
      </c>
      <c r="M3528" s="5" t="s">
        <v>10625</v>
      </c>
      <c r="N3528" s="5" t="s">
        <v>10535</v>
      </c>
      <c r="O3528" s="5" t="s">
        <v>3000</v>
      </c>
      <c r="P3528" s="5" t="s">
        <v>2992</v>
      </c>
      <c r="Q3528" s="11">
        <v>46306.5</v>
      </c>
      <c r="R3528" s="6"/>
      <c r="S3528" s="6"/>
      <c r="T3528" s="6"/>
      <c r="U3528" s="5">
        <f>MATCH(B3528,Manual_Review!$A$6:$A$238,0)</f>
        <v>221</v>
      </c>
      <c r="V3528" s="5" t="str">
        <f>IF(INDEX(Manual_Review!$G$6:$G$238,U3528)="","",INDEX(Manual_Review!$G$6:$G$238,U3528))</f>
        <v/>
      </c>
      <c r="W3528" s="11" t="str">
        <f>IF(INDEX(Manual_Review!$H$6:$H$238,U3528)="","",INDEX(Manual_Review!$H$6:$H$238,U3528))</f>
        <v/>
      </c>
      <c r="X3528" s="5" t="str">
        <f>IF(INDEX(Manual_Review!$I$6:$I$238,U3528)="","",INDEX(Manual_Review!$I$6:$I$238,U3528))</f>
        <v/>
      </c>
      <c r="Y3528" s="5" t="s">
        <v>2859</v>
      </c>
    </row>
    <row r="3529" spans="1:25" ht="25.5">
      <c r="A3529" s="5" t="s">
        <v>10626</v>
      </c>
      <c r="B3529" s="5" t="s">
        <v>2568</v>
      </c>
      <c r="C3529" s="5" t="s">
        <v>2569</v>
      </c>
      <c r="D3529" s="5" t="s">
        <v>118</v>
      </c>
      <c r="E3529" s="5" t="s">
        <v>2784</v>
      </c>
      <c r="F3529" s="5" t="s">
        <v>2756</v>
      </c>
      <c r="G3529" s="5">
        <v>1</v>
      </c>
      <c r="H3529" s="5" t="s">
        <v>2854</v>
      </c>
      <c r="I3529" s="5" t="str">
        <f>IF(INDEX(Manual_Review!$N$6:$N$238,U3529)="","",INDEX(Manual_Review!$N$6:$N$238,U3529))</f>
        <v/>
      </c>
      <c r="J3529" s="5" t="str">
        <f t="shared" si="110"/>
        <v>AI provisional</v>
      </c>
      <c r="K3529" s="5" t="str">
        <f t="shared" si="111"/>
        <v>Y</v>
      </c>
      <c r="L3529" s="5" t="s">
        <v>2578</v>
      </c>
      <c r="M3529" s="5" t="s">
        <v>10627</v>
      </c>
      <c r="N3529" s="5" t="s">
        <v>10628</v>
      </c>
      <c r="O3529" s="5" t="s">
        <v>3004</v>
      </c>
      <c r="P3529" s="5" t="s">
        <v>2992</v>
      </c>
      <c r="Q3529" s="11">
        <v>46306.5</v>
      </c>
      <c r="R3529" s="6"/>
      <c r="S3529" s="6"/>
      <c r="T3529" s="6"/>
      <c r="U3529" s="5">
        <f>MATCH(B3529,Manual_Review!$A$6:$A$238,0)</f>
        <v>221</v>
      </c>
      <c r="V3529" s="5" t="str">
        <f>IF(INDEX(Manual_Review!$G$6:$G$238,U3529)="","",INDEX(Manual_Review!$G$6:$G$238,U3529))</f>
        <v/>
      </c>
      <c r="W3529" s="11" t="str">
        <f>IF(INDEX(Manual_Review!$H$6:$H$238,U3529)="","",INDEX(Manual_Review!$H$6:$H$238,U3529))</f>
        <v/>
      </c>
      <c r="X3529" s="5" t="str">
        <f>IF(INDEX(Manual_Review!$I$6:$I$238,U3529)="","",INDEX(Manual_Review!$I$6:$I$238,U3529))</f>
        <v/>
      </c>
      <c r="Y3529" s="5" t="s">
        <v>2859</v>
      </c>
    </row>
    <row r="3530" spans="1:25" ht="25.5">
      <c r="A3530" s="5" t="s">
        <v>10629</v>
      </c>
      <c r="B3530" s="5" t="s">
        <v>2568</v>
      </c>
      <c r="C3530" s="5" t="s">
        <v>2569</v>
      </c>
      <c r="D3530" s="5" t="s">
        <v>118</v>
      </c>
      <c r="E3530" s="5" t="s">
        <v>2785</v>
      </c>
      <c r="F3530" s="5" t="s">
        <v>2756</v>
      </c>
      <c r="G3530" s="5">
        <v>1</v>
      </c>
      <c r="H3530" s="5" t="s">
        <v>2864</v>
      </c>
      <c r="I3530" s="5" t="str">
        <f>IF(INDEX(Manual_Review!$O$6:$O$238,U3530)="","",INDEX(Manual_Review!$O$6:$O$238,U3530))</f>
        <v/>
      </c>
      <c r="J3530" s="5" t="str">
        <f t="shared" si="110"/>
        <v>AI provisional</v>
      </c>
      <c r="K3530" s="5" t="str">
        <f t="shared" si="111"/>
        <v>U</v>
      </c>
      <c r="L3530" s="5" t="s">
        <v>2578</v>
      </c>
      <c r="M3530" s="5" t="s">
        <v>10627</v>
      </c>
      <c r="N3530" s="5" t="s">
        <v>10628</v>
      </c>
      <c r="O3530" s="5" t="s">
        <v>3006</v>
      </c>
      <c r="P3530" s="5" t="s">
        <v>2992</v>
      </c>
      <c r="Q3530" s="11">
        <v>46306.5</v>
      </c>
      <c r="R3530" s="6"/>
      <c r="S3530" s="6"/>
      <c r="T3530" s="6"/>
      <c r="U3530" s="5">
        <f>MATCH(B3530,Manual_Review!$A$6:$A$238,0)</f>
        <v>221</v>
      </c>
      <c r="V3530" s="5" t="str">
        <f>IF(INDEX(Manual_Review!$G$6:$G$238,U3530)="","",INDEX(Manual_Review!$G$6:$G$238,U3530))</f>
        <v/>
      </c>
      <c r="W3530" s="11" t="str">
        <f>IF(INDEX(Manual_Review!$H$6:$H$238,U3530)="","",INDEX(Manual_Review!$H$6:$H$238,U3530))</f>
        <v/>
      </c>
      <c r="X3530" s="5" t="str">
        <f>IF(INDEX(Manual_Review!$I$6:$I$238,U3530)="","",INDEX(Manual_Review!$I$6:$I$238,U3530))</f>
        <v/>
      </c>
      <c r="Y3530" s="5" t="s">
        <v>2859</v>
      </c>
    </row>
    <row r="3531" spans="1:25" ht="38.25">
      <c r="A3531" s="5" t="s">
        <v>10630</v>
      </c>
      <c r="B3531" s="5" t="s">
        <v>2568</v>
      </c>
      <c r="C3531" s="5" t="s">
        <v>2569</v>
      </c>
      <c r="D3531" s="5" t="s">
        <v>118</v>
      </c>
      <c r="E3531" s="5" t="s">
        <v>2786</v>
      </c>
      <c r="F3531" s="5" t="s">
        <v>2756</v>
      </c>
      <c r="G3531" s="5">
        <v>1</v>
      </c>
      <c r="H3531" s="5" t="s">
        <v>2864</v>
      </c>
      <c r="I3531" s="5" t="str">
        <f>IF(INDEX(Manual_Review!$P$6:$P$238,U3531)="","",INDEX(Manual_Review!$P$6:$P$238,U3531))</f>
        <v/>
      </c>
      <c r="J3531" s="5" t="str">
        <f t="shared" si="110"/>
        <v>AI provisional</v>
      </c>
      <c r="K3531" s="5" t="str">
        <f t="shared" si="111"/>
        <v>U</v>
      </c>
      <c r="L3531" s="5" t="s">
        <v>2578</v>
      </c>
      <c r="M3531" s="5" t="s">
        <v>10631</v>
      </c>
      <c r="N3531" s="5" t="s">
        <v>10632</v>
      </c>
      <c r="O3531" s="5" t="s">
        <v>3010</v>
      </c>
      <c r="P3531" s="5" t="s">
        <v>2992</v>
      </c>
      <c r="Q3531" s="11">
        <v>46306.5</v>
      </c>
      <c r="R3531" s="6"/>
      <c r="S3531" s="6"/>
      <c r="T3531" s="6"/>
      <c r="U3531" s="5">
        <f>MATCH(B3531,Manual_Review!$A$6:$A$238,0)</f>
        <v>221</v>
      </c>
      <c r="V3531" s="5" t="str">
        <f>IF(INDEX(Manual_Review!$G$6:$G$238,U3531)="","",INDEX(Manual_Review!$G$6:$G$238,U3531))</f>
        <v/>
      </c>
      <c r="W3531" s="11" t="str">
        <f>IF(INDEX(Manual_Review!$H$6:$H$238,U3531)="","",INDEX(Manual_Review!$H$6:$H$238,U3531))</f>
        <v/>
      </c>
      <c r="X3531" s="5" t="str">
        <f>IF(INDEX(Manual_Review!$I$6:$I$238,U3531)="","",INDEX(Manual_Review!$I$6:$I$238,U3531))</f>
        <v/>
      </c>
      <c r="Y3531" s="5" t="s">
        <v>2859</v>
      </c>
    </row>
    <row r="3532" spans="1:25" ht="25.5">
      <c r="A3532" s="5" t="s">
        <v>10633</v>
      </c>
      <c r="B3532" s="5" t="s">
        <v>2568</v>
      </c>
      <c r="C3532" s="5" t="s">
        <v>2569</v>
      </c>
      <c r="D3532" s="5" t="s">
        <v>118</v>
      </c>
      <c r="E3532" s="5" t="s">
        <v>2787</v>
      </c>
      <c r="F3532" s="5" t="s">
        <v>2758</v>
      </c>
      <c r="G3532" s="5">
        <v>1</v>
      </c>
      <c r="H3532" s="5" t="s">
        <v>2864</v>
      </c>
      <c r="I3532" s="5" t="str">
        <f>IF(INDEX(Manual_Review!$Q$6:$Q$238,U3532)="","",INDEX(Manual_Review!$Q$6:$Q$238,U3532))</f>
        <v/>
      </c>
      <c r="J3532" s="5" t="str">
        <f t="shared" si="110"/>
        <v>AI provisional</v>
      </c>
      <c r="K3532" s="5" t="str">
        <f t="shared" si="111"/>
        <v>U</v>
      </c>
      <c r="L3532" s="5" t="s">
        <v>2578</v>
      </c>
      <c r="M3532" s="5" t="s">
        <v>10634</v>
      </c>
      <c r="N3532" s="5" t="s">
        <v>10635</v>
      </c>
      <c r="O3532" s="5" t="s">
        <v>3014</v>
      </c>
      <c r="P3532" s="5" t="s">
        <v>2992</v>
      </c>
      <c r="Q3532" s="11">
        <v>46306.5</v>
      </c>
      <c r="R3532" s="6"/>
      <c r="S3532" s="6"/>
      <c r="T3532" s="6"/>
      <c r="U3532" s="5">
        <f>MATCH(B3532,Manual_Review!$A$6:$A$238,0)</f>
        <v>221</v>
      </c>
      <c r="V3532" s="5" t="str">
        <f>IF(INDEX(Manual_Review!$G$6:$G$238,U3532)="","",INDEX(Manual_Review!$G$6:$G$238,U3532))</f>
        <v/>
      </c>
      <c r="W3532" s="11" t="str">
        <f>IF(INDEX(Manual_Review!$H$6:$H$238,U3532)="","",INDEX(Manual_Review!$H$6:$H$238,U3532))</f>
        <v/>
      </c>
      <c r="X3532" s="5" t="str">
        <f>IF(INDEX(Manual_Review!$I$6:$I$238,U3532)="","",INDEX(Manual_Review!$I$6:$I$238,U3532))</f>
        <v/>
      </c>
      <c r="Y3532" s="5" t="s">
        <v>2859</v>
      </c>
    </row>
    <row r="3533" spans="1:25" ht="38.25">
      <c r="A3533" s="5" t="s">
        <v>10636</v>
      </c>
      <c r="B3533" s="5" t="s">
        <v>2568</v>
      </c>
      <c r="C3533" s="5" t="s">
        <v>2569</v>
      </c>
      <c r="D3533" s="5" t="s">
        <v>118</v>
      </c>
      <c r="E3533" s="5" t="s">
        <v>2788</v>
      </c>
      <c r="F3533" s="5" t="s">
        <v>2758</v>
      </c>
      <c r="G3533" s="5">
        <v>1</v>
      </c>
      <c r="H3533" s="5" t="s">
        <v>2854</v>
      </c>
      <c r="I3533" s="5" t="str">
        <f>IF(INDEX(Manual_Review!$R$6:$R$238,U3533)="","",INDEX(Manual_Review!$R$6:$R$238,U3533))</f>
        <v/>
      </c>
      <c r="J3533" s="5" t="str">
        <f t="shared" si="110"/>
        <v>AI provisional</v>
      </c>
      <c r="K3533" s="5" t="str">
        <f t="shared" si="111"/>
        <v>Y</v>
      </c>
      <c r="L3533" s="5" t="s">
        <v>2578</v>
      </c>
      <c r="M3533" s="5" t="s">
        <v>10637</v>
      </c>
      <c r="N3533" s="5" t="s">
        <v>10638</v>
      </c>
      <c r="O3533" s="5" t="s">
        <v>3018</v>
      </c>
      <c r="P3533" s="5" t="s">
        <v>2992</v>
      </c>
      <c r="Q3533" s="11">
        <v>46306.5</v>
      </c>
      <c r="R3533" s="6"/>
      <c r="S3533" s="6"/>
      <c r="T3533" s="6"/>
      <c r="U3533" s="5">
        <f>MATCH(B3533,Manual_Review!$A$6:$A$238,0)</f>
        <v>221</v>
      </c>
      <c r="V3533" s="5" t="str">
        <f>IF(INDEX(Manual_Review!$G$6:$G$238,U3533)="","",INDEX(Manual_Review!$G$6:$G$238,U3533))</f>
        <v/>
      </c>
      <c r="W3533" s="11" t="str">
        <f>IF(INDEX(Manual_Review!$H$6:$H$238,U3533)="","",INDEX(Manual_Review!$H$6:$H$238,U3533))</f>
        <v/>
      </c>
      <c r="X3533" s="5" t="str">
        <f>IF(INDEX(Manual_Review!$I$6:$I$238,U3533)="","",INDEX(Manual_Review!$I$6:$I$238,U3533))</f>
        <v/>
      </c>
      <c r="Y3533" s="5" t="s">
        <v>2859</v>
      </c>
    </row>
    <row r="3534" spans="1:25" ht="38.25">
      <c r="A3534" s="5" t="s">
        <v>10639</v>
      </c>
      <c r="B3534" s="5" t="s">
        <v>2568</v>
      </c>
      <c r="C3534" s="5" t="s">
        <v>2569</v>
      </c>
      <c r="D3534" s="5" t="s">
        <v>118</v>
      </c>
      <c r="E3534" s="5" t="s">
        <v>2789</v>
      </c>
      <c r="F3534" s="5" t="s">
        <v>2758</v>
      </c>
      <c r="G3534" s="5">
        <v>1</v>
      </c>
      <c r="H3534" s="5" t="s">
        <v>2854</v>
      </c>
      <c r="I3534" s="5" t="str">
        <f>IF(INDEX(Manual_Review!$S$6:$S$238,U3534)="","",INDEX(Manual_Review!$S$6:$S$238,U3534))</f>
        <v/>
      </c>
      <c r="J3534" s="5" t="str">
        <f t="shared" si="110"/>
        <v>AI provisional</v>
      </c>
      <c r="K3534" s="5" t="str">
        <f t="shared" si="111"/>
        <v>Y</v>
      </c>
      <c r="L3534" s="5" t="s">
        <v>2578</v>
      </c>
      <c r="M3534" s="5" t="s">
        <v>10640</v>
      </c>
      <c r="N3534" s="5" t="s">
        <v>10641</v>
      </c>
      <c r="O3534" s="5" t="s">
        <v>3022</v>
      </c>
      <c r="P3534" s="5" t="s">
        <v>2992</v>
      </c>
      <c r="Q3534" s="11">
        <v>46306.5</v>
      </c>
      <c r="R3534" s="6"/>
      <c r="S3534" s="6"/>
      <c r="T3534" s="6"/>
      <c r="U3534" s="5">
        <f>MATCH(B3534,Manual_Review!$A$6:$A$238,0)</f>
        <v>221</v>
      </c>
      <c r="V3534" s="5" t="str">
        <f>IF(INDEX(Manual_Review!$G$6:$G$238,U3534)="","",INDEX(Manual_Review!$G$6:$G$238,U3534))</f>
        <v/>
      </c>
      <c r="W3534" s="11" t="str">
        <f>IF(INDEX(Manual_Review!$H$6:$H$238,U3534)="","",INDEX(Manual_Review!$H$6:$H$238,U3534))</f>
        <v/>
      </c>
      <c r="X3534" s="5" t="str">
        <f>IF(INDEX(Manual_Review!$I$6:$I$238,U3534)="","",INDEX(Manual_Review!$I$6:$I$238,U3534))</f>
        <v/>
      </c>
      <c r="Y3534" s="5" t="s">
        <v>2859</v>
      </c>
    </row>
    <row r="3535" spans="1:25" ht="25.5">
      <c r="A3535" s="5" t="s">
        <v>10642</v>
      </c>
      <c r="B3535" s="5" t="s">
        <v>2568</v>
      </c>
      <c r="C3535" s="5" t="s">
        <v>2569</v>
      </c>
      <c r="D3535" s="5" t="s">
        <v>118</v>
      </c>
      <c r="E3535" s="5" t="s">
        <v>2790</v>
      </c>
      <c r="F3535" s="5" t="s">
        <v>2760</v>
      </c>
      <c r="G3535" s="5">
        <v>1</v>
      </c>
      <c r="H3535" s="5" t="s">
        <v>2854</v>
      </c>
      <c r="I3535" s="5" t="str">
        <f>IF(INDEX(Manual_Review!$T$6:$T$238,U3535)="","",INDEX(Manual_Review!$T$6:$T$238,U3535))</f>
        <v/>
      </c>
      <c r="J3535" s="5" t="str">
        <f t="shared" si="110"/>
        <v>AI provisional</v>
      </c>
      <c r="K3535" s="5" t="str">
        <f t="shared" si="111"/>
        <v>Y</v>
      </c>
      <c r="L3535" s="5" t="s">
        <v>2578</v>
      </c>
      <c r="M3535" s="5" t="s">
        <v>10643</v>
      </c>
      <c r="N3535" s="5" t="s">
        <v>10644</v>
      </c>
      <c r="O3535" s="5" t="s">
        <v>3451</v>
      </c>
      <c r="P3535" s="5" t="s">
        <v>2992</v>
      </c>
      <c r="Q3535" s="11">
        <v>46306.5</v>
      </c>
      <c r="R3535" s="6"/>
      <c r="S3535" s="6"/>
      <c r="T3535" s="6"/>
      <c r="U3535" s="5">
        <f>MATCH(B3535,Manual_Review!$A$6:$A$238,0)</f>
        <v>221</v>
      </c>
      <c r="V3535" s="5" t="str">
        <f>IF(INDEX(Manual_Review!$G$6:$G$238,U3535)="","",INDEX(Manual_Review!$G$6:$G$238,U3535))</f>
        <v/>
      </c>
      <c r="W3535" s="11" t="str">
        <f>IF(INDEX(Manual_Review!$H$6:$H$238,U3535)="","",INDEX(Manual_Review!$H$6:$H$238,U3535))</f>
        <v/>
      </c>
      <c r="X3535" s="5" t="str">
        <f>IF(INDEX(Manual_Review!$I$6:$I$238,U3535)="","",INDEX(Manual_Review!$I$6:$I$238,U3535))</f>
        <v/>
      </c>
      <c r="Y3535" s="5" t="s">
        <v>2859</v>
      </c>
    </row>
    <row r="3536" spans="1:25" ht="25.5">
      <c r="A3536" s="5" t="s">
        <v>10645</v>
      </c>
      <c r="B3536" s="5" t="s">
        <v>2568</v>
      </c>
      <c r="C3536" s="5" t="s">
        <v>2569</v>
      </c>
      <c r="D3536" s="5" t="s">
        <v>118</v>
      </c>
      <c r="E3536" s="5" t="s">
        <v>2791</v>
      </c>
      <c r="F3536" s="5" t="s">
        <v>2760</v>
      </c>
      <c r="G3536" s="5">
        <v>1</v>
      </c>
      <c r="H3536" s="5" t="s">
        <v>2864</v>
      </c>
      <c r="I3536" s="5" t="str">
        <f>IF(INDEX(Manual_Review!$U$6:$U$238,U3536)="","",INDEX(Manual_Review!$U$6:$U$238,U3536))</f>
        <v/>
      </c>
      <c r="J3536" s="5" t="str">
        <f t="shared" si="110"/>
        <v>AI provisional</v>
      </c>
      <c r="K3536" s="5" t="str">
        <f t="shared" si="111"/>
        <v>U</v>
      </c>
      <c r="L3536" s="5" t="s">
        <v>2578</v>
      </c>
      <c r="M3536" s="5" t="s">
        <v>10646</v>
      </c>
      <c r="N3536" s="5" t="s">
        <v>10647</v>
      </c>
      <c r="O3536" s="5" t="s">
        <v>3030</v>
      </c>
      <c r="P3536" s="5" t="s">
        <v>2992</v>
      </c>
      <c r="Q3536" s="11">
        <v>46306.5</v>
      </c>
      <c r="R3536" s="6"/>
      <c r="S3536" s="6"/>
      <c r="T3536" s="6"/>
      <c r="U3536" s="5">
        <f>MATCH(B3536,Manual_Review!$A$6:$A$238,0)</f>
        <v>221</v>
      </c>
      <c r="V3536" s="5" t="str">
        <f>IF(INDEX(Manual_Review!$G$6:$G$238,U3536)="","",INDEX(Manual_Review!$G$6:$G$238,U3536))</f>
        <v/>
      </c>
      <c r="W3536" s="11" t="str">
        <f>IF(INDEX(Manual_Review!$H$6:$H$238,U3536)="","",INDEX(Manual_Review!$H$6:$H$238,U3536))</f>
        <v/>
      </c>
      <c r="X3536" s="5" t="str">
        <f>IF(INDEX(Manual_Review!$I$6:$I$238,U3536)="","",INDEX(Manual_Review!$I$6:$I$238,U3536))</f>
        <v/>
      </c>
      <c r="Y3536" s="5" t="s">
        <v>2859</v>
      </c>
    </row>
    <row r="3537" spans="1:25" ht="25.5">
      <c r="A3537" s="5" t="s">
        <v>10648</v>
      </c>
      <c r="B3537" s="5" t="s">
        <v>2568</v>
      </c>
      <c r="C3537" s="5" t="s">
        <v>2569</v>
      </c>
      <c r="D3537" s="5" t="s">
        <v>118</v>
      </c>
      <c r="E3537" s="5" t="s">
        <v>2792</v>
      </c>
      <c r="F3537" s="5" t="s">
        <v>2762</v>
      </c>
      <c r="G3537" s="5">
        <v>1</v>
      </c>
      <c r="H3537" s="5" t="s">
        <v>2854</v>
      </c>
      <c r="I3537" s="5" t="str">
        <f>IF(INDEX(Manual_Review!$V$6:$V$238,U3537)="","",INDEX(Manual_Review!$V$6:$V$238,U3537))</f>
        <v/>
      </c>
      <c r="J3537" s="5" t="str">
        <f t="shared" si="110"/>
        <v>AI provisional</v>
      </c>
      <c r="K3537" s="5" t="str">
        <f t="shared" si="111"/>
        <v>Y</v>
      </c>
      <c r="L3537" s="5" t="s">
        <v>2578</v>
      </c>
      <c r="M3537" s="5" t="s">
        <v>10649</v>
      </c>
      <c r="N3537" s="5" t="s">
        <v>10650</v>
      </c>
      <c r="O3537" s="5" t="s">
        <v>3034</v>
      </c>
      <c r="P3537" s="5" t="s">
        <v>2992</v>
      </c>
      <c r="Q3537" s="11">
        <v>46306.5</v>
      </c>
      <c r="R3537" s="6"/>
      <c r="S3537" s="6"/>
      <c r="T3537" s="6"/>
      <c r="U3537" s="5">
        <f>MATCH(B3537,Manual_Review!$A$6:$A$238,0)</f>
        <v>221</v>
      </c>
      <c r="V3537" s="5" t="str">
        <f>IF(INDEX(Manual_Review!$G$6:$G$238,U3537)="","",INDEX(Manual_Review!$G$6:$G$238,U3537))</f>
        <v/>
      </c>
      <c r="W3537" s="11" t="str">
        <f>IF(INDEX(Manual_Review!$H$6:$H$238,U3537)="","",INDEX(Manual_Review!$H$6:$H$238,U3537))</f>
        <v/>
      </c>
      <c r="X3537" s="5" t="str">
        <f>IF(INDEX(Manual_Review!$I$6:$I$238,U3537)="","",INDEX(Manual_Review!$I$6:$I$238,U3537))</f>
        <v/>
      </c>
      <c r="Y3537" s="5" t="s">
        <v>2859</v>
      </c>
    </row>
    <row r="3538" spans="1:25" ht="38.25">
      <c r="A3538" s="5" t="s">
        <v>10651</v>
      </c>
      <c r="B3538" s="5" t="s">
        <v>2568</v>
      </c>
      <c r="C3538" s="5" t="s">
        <v>2569</v>
      </c>
      <c r="D3538" s="5" t="s">
        <v>118</v>
      </c>
      <c r="E3538" s="5" t="s">
        <v>2793</v>
      </c>
      <c r="F3538" s="5" t="s">
        <v>2762</v>
      </c>
      <c r="G3538" s="5">
        <v>1</v>
      </c>
      <c r="H3538" s="5" t="s">
        <v>2854</v>
      </c>
      <c r="I3538" s="5" t="str">
        <f>IF(INDEX(Manual_Review!$W$6:$W$238,U3538)="","",INDEX(Manual_Review!$W$6:$W$238,U3538))</f>
        <v/>
      </c>
      <c r="J3538" s="5" t="str">
        <f t="shared" si="110"/>
        <v>AI provisional</v>
      </c>
      <c r="K3538" s="5" t="str">
        <f t="shared" si="111"/>
        <v>Y</v>
      </c>
      <c r="L3538" s="5" t="s">
        <v>2578</v>
      </c>
      <c r="M3538" s="5" t="s">
        <v>10652</v>
      </c>
      <c r="N3538" s="5" t="s">
        <v>10653</v>
      </c>
      <c r="O3538" s="5" t="s">
        <v>3038</v>
      </c>
      <c r="P3538" s="5" t="s">
        <v>2992</v>
      </c>
      <c r="Q3538" s="11">
        <v>46306.5</v>
      </c>
      <c r="R3538" s="6"/>
      <c r="S3538" s="6"/>
      <c r="T3538" s="6"/>
      <c r="U3538" s="5">
        <f>MATCH(B3538,Manual_Review!$A$6:$A$238,0)</f>
        <v>221</v>
      </c>
      <c r="V3538" s="5" t="str">
        <f>IF(INDEX(Manual_Review!$G$6:$G$238,U3538)="","",INDEX(Manual_Review!$G$6:$G$238,U3538))</f>
        <v/>
      </c>
      <c r="W3538" s="11" t="str">
        <f>IF(INDEX(Manual_Review!$H$6:$H$238,U3538)="","",INDEX(Manual_Review!$H$6:$H$238,U3538))</f>
        <v/>
      </c>
      <c r="X3538" s="5" t="str">
        <f>IF(INDEX(Manual_Review!$I$6:$I$238,U3538)="","",INDEX(Manual_Review!$I$6:$I$238,U3538))</f>
        <v/>
      </c>
      <c r="Y3538" s="5" t="s">
        <v>2859</v>
      </c>
    </row>
    <row r="3539" spans="1:25" ht="25.5">
      <c r="A3539" s="5" t="s">
        <v>10654</v>
      </c>
      <c r="B3539" s="5" t="s">
        <v>2568</v>
      </c>
      <c r="C3539" s="5" t="s">
        <v>2569</v>
      </c>
      <c r="D3539" s="5" t="s">
        <v>118</v>
      </c>
      <c r="E3539" s="5" t="s">
        <v>2794</v>
      </c>
      <c r="F3539" s="5" t="s">
        <v>2764</v>
      </c>
      <c r="G3539" s="5">
        <v>1</v>
      </c>
      <c r="H3539" s="5" t="s">
        <v>2854</v>
      </c>
      <c r="I3539" s="5" t="str">
        <f>IF(INDEX(Manual_Review!$X$6:$X$238,U3539)="","",INDEX(Manual_Review!$X$6:$X$238,U3539))</f>
        <v/>
      </c>
      <c r="J3539" s="5" t="str">
        <f t="shared" si="110"/>
        <v>AI provisional</v>
      </c>
      <c r="K3539" s="5" t="str">
        <f t="shared" si="111"/>
        <v>Y</v>
      </c>
      <c r="L3539" s="5" t="s">
        <v>2578</v>
      </c>
      <c r="M3539" s="5" t="s">
        <v>10655</v>
      </c>
      <c r="N3539" s="5" t="s">
        <v>10656</v>
      </c>
      <c r="O3539" s="5" t="s">
        <v>3042</v>
      </c>
      <c r="P3539" s="5" t="s">
        <v>2992</v>
      </c>
      <c r="Q3539" s="11">
        <v>46306.5</v>
      </c>
      <c r="R3539" s="6"/>
      <c r="S3539" s="6"/>
      <c r="T3539" s="6"/>
      <c r="U3539" s="5">
        <f>MATCH(B3539,Manual_Review!$A$6:$A$238,0)</f>
        <v>221</v>
      </c>
      <c r="V3539" s="5" t="str">
        <f>IF(INDEX(Manual_Review!$G$6:$G$238,U3539)="","",INDEX(Manual_Review!$G$6:$G$238,U3539))</f>
        <v/>
      </c>
      <c r="W3539" s="11" t="str">
        <f>IF(INDEX(Manual_Review!$H$6:$H$238,U3539)="","",INDEX(Manual_Review!$H$6:$H$238,U3539))</f>
        <v/>
      </c>
      <c r="X3539" s="5" t="str">
        <f>IF(INDEX(Manual_Review!$I$6:$I$238,U3539)="","",INDEX(Manual_Review!$I$6:$I$238,U3539))</f>
        <v/>
      </c>
      <c r="Y3539" s="5" t="s">
        <v>2859</v>
      </c>
    </row>
    <row r="3540" spans="1:25" ht="25.5">
      <c r="A3540" s="5" t="s">
        <v>10657</v>
      </c>
      <c r="B3540" s="5" t="s">
        <v>2568</v>
      </c>
      <c r="C3540" s="5" t="s">
        <v>2569</v>
      </c>
      <c r="D3540" s="5" t="s">
        <v>118</v>
      </c>
      <c r="E3540" s="5" t="s">
        <v>2795</v>
      </c>
      <c r="F3540" s="5" t="s">
        <v>2764</v>
      </c>
      <c r="G3540" s="5">
        <v>1</v>
      </c>
      <c r="H3540" s="5" t="s">
        <v>2864</v>
      </c>
      <c r="I3540" s="5" t="str">
        <f>IF(INDEX(Manual_Review!$Y$6:$Y$238,U3540)="","",INDEX(Manual_Review!$Y$6:$Y$238,U3540))</f>
        <v/>
      </c>
      <c r="J3540" s="5" t="str">
        <f t="shared" si="110"/>
        <v>AI provisional</v>
      </c>
      <c r="K3540" s="5" t="str">
        <f t="shared" si="111"/>
        <v>U</v>
      </c>
      <c r="L3540" s="5" t="s">
        <v>2578</v>
      </c>
      <c r="M3540" s="5" t="s">
        <v>10658</v>
      </c>
      <c r="N3540" s="5" t="s">
        <v>10659</v>
      </c>
      <c r="O3540" s="5" t="s">
        <v>3469</v>
      </c>
      <c r="P3540" s="5" t="s">
        <v>2992</v>
      </c>
      <c r="Q3540" s="11">
        <v>46306.5</v>
      </c>
      <c r="R3540" s="6"/>
      <c r="S3540" s="6"/>
      <c r="T3540" s="6"/>
      <c r="U3540" s="5">
        <f>MATCH(B3540,Manual_Review!$A$6:$A$238,0)</f>
        <v>221</v>
      </c>
      <c r="V3540" s="5" t="str">
        <f>IF(INDEX(Manual_Review!$G$6:$G$238,U3540)="","",INDEX(Manual_Review!$G$6:$G$238,U3540))</f>
        <v/>
      </c>
      <c r="W3540" s="11" t="str">
        <f>IF(INDEX(Manual_Review!$H$6:$H$238,U3540)="","",INDEX(Manual_Review!$H$6:$H$238,U3540))</f>
        <v/>
      </c>
      <c r="X3540" s="5" t="str">
        <f>IF(INDEX(Manual_Review!$I$6:$I$238,U3540)="","",INDEX(Manual_Review!$I$6:$I$238,U3540))</f>
        <v/>
      </c>
      <c r="Y3540" s="5" t="s">
        <v>2859</v>
      </c>
    </row>
    <row r="3541" spans="1:25" ht="38.25">
      <c r="A3541" s="5" t="s">
        <v>10660</v>
      </c>
      <c r="B3541" s="5" t="s">
        <v>2568</v>
      </c>
      <c r="C3541" s="5" t="s">
        <v>2569</v>
      </c>
      <c r="D3541" s="5" t="s">
        <v>118</v>
      </c>
      <c r="E3541" s="5" t="s">
        <v>2796</v>
      </c>
      <c r="F3541" s="5" t="s">
        <v>2764</v>
      </c>
      <c r="G3541" s="5">
        <v>1</v>
      </c>
      <c r="H3541" s="5" t="s">
        <v>2864</v>
      </c>
      <c r="I3541" s="5" t="str">
        <f>IF(INDEX(Manual_Review!$Z$6:$Z$238,U3541)="","",INDEX(Manual_Review!$Z$6:$Z$238,U3541))</f>
        <v/>
      </c>
      <c r="J3541" s="5" t="str">
        <f t="shared" si="110"/>
        <v>AI provisional</v>
      </c>
      <c r="K3541" s="5" t="str">
        <f t="shared" si="111"/>
        <v>U</v>
      </c>
      <c r="L3541" s="5" t="s">
        <v>2578</v>
      </c>
      <c r="M3541" s="5" t="s">
        <v>10661</v>
      </c>
      <c r="N3541" s="5" t="s">
        <v>10662</v>
      </c>
      <c r="O3541" s="5" t="s">
        <v>3050</v>
      </c>
      <c r="P3541" s="5" t="s">
        <v>2992</v>
      </c>
      <c r="Q3541" s="11">
        <v>46306.5</v>
      </c>
      <c r="R3541" s="6"/>
      <c r="S3541" s="6"/>
      <c r="T3541" s="6"/>
      <c r="U3541" s="5">
        <f>MATCH(B3541,Manual_Review!$A$6:$A$238,0)</f>
        <v>221</v>
      </c>
      <c r="V3541" s="5" t="str">
        <f>IF(INDEX(Manual_Review!$G$6:$G$238,U3541)="","",INDEX(Manual_Review!$G$6:$G$238,U3541))</f>
        <v/>
      </c>
      <c r="W3541" s="11" t="str">
        <f>IF(INDEX(Manual_Review!$H$6:$H$238,U3541)="","",INDEX(Manual_Review!$H$6:$H$238,U3541))</f>
        <v/>
      </c>
      <c r="X3541" s="5" t="str">
        <f>IF(INDEX(Manual_Review!$I$6:$I$238,U3541)="","",INDEX(Manual_Review!$I$6:$I$238,U3541))</f>
        <v/>
      </c>
      <c r="Y3541" s="5" t="s">
        <v>2859</v>
      </c>
    </row>
    <row r="3542" spans="1:25" ht="25.5">
      <c r="A3542" s="5" t="s">
        <v>10663</v>
      </c>
      <c r="B3542" s="5" t="s">
        <v>2580</v>
      </c>
      <c r="C3542" s="5" t="s">
        <v>2581</v>
      </c>
      <c r="D3542" s="5" t="s">
        <v>118</v>
      </c>
      <c r="E3542" s="5" t="s">
        <v>2781</v>
      </c>
      <c r="F3542" s="5" t="s">
        <v>2754</v>
      </c>
      <c r="G3542" s="5">
        <v>1</v>
      </c>
      <c r="H3542" s="5" t="s">
        <v>2854</v>
      </c>
      <c r="I3542" s="5" t="str">
        <f>IF(INDEX(Manual_Review!$K$6:$K$238,U3542)="","",INDEX(Manual_Review!$K$6:$K$238,U3542))</f>
        <v/>
      </c>
      <c r="J3542" s="5" t="str">
        <f t="shared" si="110"/>
        <v>AI provisional</v>
      </c>
      <c r="K3542" s="5" t="str">
        <f t="shared" si="111"/>
        <v>Y</v>
      </c>
      <c r="L3542" s="5" t="s">
        <v>2591</v>
      </c>
      <c r="M3542" s="5" t="s">
        <v>10664</v>
      </c>
      <c r="N3542" s="5" t="s">
        <v>10665</v>
      </c>
      <c r="O3542" s="5" t="s">
        <v>2991</v>
      </c>
      <c r="P3542" s="5" t="s">
        <v>2992</v>
      </c>
      <c r="Q3542" s="11">
        <v>46306.5</v>
      </c>
      <c r="R3542" s="6"/>
      <c r="S3542" s="6"/>
      <c r="T3542" s="6"/>
      <c r="U3542" s="5">
        <f>MATCH(B3542,Manual_Review!$A$6:$A$238,0)</f>
        <v>222</v>
      </c>
      <c r="V3542" s="5" t="str">
        <f>IF(INDEX(Manual_Review!$G$6:$G$238,U3542)="","",INDEX(Manual_Review!$G$6:$G$238,U3542))</f>
        <v/>
      </c>
      <c r="W3542" s="11" t="str">
        <f>IF(INDEX(Manual_Review!$H$6:$H$238,U3542)="","",INDEX(Manual_Review!$H$6:$H$238,U3542))</f>
        <v/>
      </c>
      <c r="X3542" s="5" t="str">
        <f>IF(INDEX(Manual_Review!$I$6:$I$238,U3542)="","",INDEX(Manual_Review!$I$6:$I$238,U3542))</f>
        <v/>
      </c>
      <c r="Y3542" s="5" t="s">
        <v>2859</v>
      </c>
    </row>
    <row r="3543" spans="1:25" ht="25.5">
      <c r="A3543" s="5" t="s">
        <v>10666</v>
      </c>
      <c r="B3543" s="5" t="s">
        <v>2580</v>
      </c>
      <c r="C3543" s="5" t="s">
        <v>2581</v>
      </c>
      <c r="D3543" s="5" t="s">
        <v>118</v>
      </c>
      <c r="E3543" s="5" t="s">
        <v>2782</v>
      </c>
      <c r="F3543" s="5" t="s">
        <v>2754</v>
      </c>
      <c r="G3543" s="5">
        <v>1</v>
      </c>
      <c r="H3543" s="5" t="s">
        <v>2854</v>
      </c>
      <c r="I3543" s="5" t="str">
        <f>IF(INDEX(Manual_Review!$L$6:$L$238,U3543)="","",INDEX(Manual_Review!$L$6:$L$238,U3543))</f>
        <v/>
      </c>
      <c r="J3543" s="5" t="str">
        <f t="shared" si="110"/>
        <v>AI provisional</v>
      </c>
      <c r="K3543" s="5" t="str">
        <f t="shared" si="111"/>
        <v>Y</v>
      </c>
      <c r="L3543" s="5" t="s">
        <v>2591</v>
      </c>
      <c r="M3543" s="5" t="s">
        <v>10667</v>
      </c>
      <c r="N3543" s="5" t="s">
        <v>10668</v>
      </c>
      <c r="O3543" s="5" t="s">
        <v>2996</v>
      </c>
      <c r="P3543" s="5" t="s">
        <v>2992</v>
      </c>
      <c r="Q3543" s="11">
        <v>46306.5</v>
      </c>
      <c r="R3543" s="6"/>
      <c r="S3543" s="6"/>
      <c r="T3543" s="6"/>
      <c r="U3543" s="5">
        <f>MATCH(B3543,Manual_Review!$A$6:$A$238,0)</f>
        <v>222</v>
      </c>
      <c r="V3543" s="5" t="str">
        <f>IF(INDEX(Manual_Review!$G$6:$G$238,U3543)="","",INDEX(Manual_Review!$G$6:$G$238,U3543))</f>
        <v/>
      </c>
      <c r="W3543" s="11" t="str">
        <f>IF(INDEX(Manual_Review!$H$6:$H$238,U3543)="","",INDEX(Manual_Review!$H$6:$H$238,U3543))</f>
        <v/>
      </c>
      <c r="X3543" s="5" t="str">
        <f>IF(INDEX(Manual_Review!$I$6:$I$238,U3543)="","",INDEX(Manual_Review!$I$6:$I$238,U3543))</f>
        <v/>
      </c>
      <c r="Y3543" s="5" t="s">
        <v>2859</v>
      </c>
    </row>
    <row r="3544" spans="1:25" ht="25.5">
      <c r="A3544" s="5" t="s">
        <v>10669</v>
      </c>
      <c r="B3544" s="5" t="s">
        <v>2580</v>
      </c>
      <c r="C3544" s="5" t="s">
        <v>2581</v>
      </c>
      <c r="D3544" s="5" t="s">
        <v>118</v>
      </c>
      <c r="E3544" s="5" t="s">
        <v>2783</v>
      </c>
      <c r="F3544" s="5" t="s">
        <v>2754</v>
      </c>
      <c r="G3544" s="5">
        <v>1</v>
      </c>
      <c r="H3544" s="5" t="s">
        <v>2854</v>
      </c>
      <c r="I3544" s="5" t="str">
        <f>IF(INDEX(Manual_Review!$M$6:$M$238,U3544)="","",INDEX(Manual_Review!$M$6:$M$238,U3544))</f>
        <v/>
      </c>
      <c r="J3544" s="5" t="str">
        <f t="shared" si="110"/>
        <v>AI provisional</v>
      </c>
      <c r="K3544" s="5" t="str">
        <f t="shared" si="111"/>
        <v>Y</v>
      </c>
      <c r="L3544" s="5" t="s">
        <v>2591</v>
      </c>
      <c r="M3544" s="5" t="s">
        <v>10670</v>
      </c>
      <c r="N3544" s="5" t="s">
        <v>10671</v>
      </c>
      <c r="O3544" s="5" t="s">
        <v>3000</v>
      </c>
      <c r="P3544" s="5" t="s">
        <v>2992</v>
      </c>
      <c r="Q3544" s="11">
        <v>46306.5</v>
      </c>
      <c r="R3544" s="6"/>
      <c r="S3544" s="6"/>
      <c r="T3544" s="6"/>
      <c r="U3544" s="5">
        <f>MATCH(B3544,Manual_Review!$A$6:$A$238,0)</f>
        <v>222</v>
      </c>
      <c r="V3544" s="5" t="str">
        <f>IF(INDEX(Manual_Review!$G$6:$G$238,U3544)="","",INDEX(Manual_Review!$G$6:$G$238,U3544))</f>
        <v/>
      </c>
      <c r="W3544" s="11" t="str">
        <f>IF(INDEX(Manual_Review!$H$6:$H$238,U3544)="","",INDEX(Manual_Review!$H$6:$H$238,U3544))</f>
        <v/>
      </c>
      <c r="X3544" s="5" t="str">
        <f>IF(INDEX(Manual_Review!$I$6:$I$238,U3544)="","",INDEX(Manual_Review!$I$6:$I$238,U3544))</f>
        <v/>
      </c>
      <c r="Y3544" s="5" t="s">
        <v>2859</v>
      </c>
    </row>
    <row r="3545" spans="1:25" ht="25.5">
      <c r="A3545" s="5" t="s">
        <v>10672</v>
      </c>
      <c r="B3545" s="5" t="s">
        <v>2580</v>
      </c>
      <c r="C3545" s="5" t="s">
        <v>2581</v>
      </c>
      <c r="D3545" s="5" t="s">
        <v>118</v>
      </c>
      <c r="E3545" s="5" t="s">
        <v>2784</v>
      </c>
      <c r="F3545" s="5" t="s">
        <v>2756</v>
      </c>
      <c r="G3545" s="5">
        <v>1</v>
      </c>
      <c r="H3545" s="5" t="s">
        <v>2864</v>
      </c>
      <c r="I3545" s="5" t="str">
        <f>IF(INDEX(Manual_Review!$N$6:$N$238,U3545)="","",INDEX(Manual_Review!$N$6:$N$238,U3545))</f>
        <v/>
      </c>
      <c r="J3545" s="5" t="str">
        <f t="shared" si="110"/>
        <v>AI provisional</v>
      </c>
      <c r="K3545" s="5" t="str">
        <f t="shared" si="111"/>
        <v>U</v>
      </c>
      <c r="L3545" s="5" t="s">
        <v>2591</v>
      </c>
      <c r="M3545" s="5" t="s">
        <v>10673</v>
      </c>
      <c r="N3545" s="5" t="s">
        <v>10674</v>
      </c>
      <c r="O3545" s="5" t="s">
        <v>9214</v>
      </c>
      <c r="P3545" s="5" t="s">
        <v>2992</v>
      </c>
      <c r="Q3545" s="11">
        <v>46306.5</v>
      </c>
      <c r="R3545" s="6"/>
      <c r="S3545" s="6"/>
      <c r="T3545" s="6"/>
      <c r="U3545" s="5">
        <f>MATCH(B3545,Manual_Review!$A$6:$A$238,0)</f>
        <v>222</v>
      </c>
      <c r="V3545" s="5" t="str">
        <f>IF(INDEX(Manual_Review!$G$6:$G$238,U3545)="","",INDEX(Manual_Review!$G$6:$G$238,U3545))</f>
        <v/>
      </c>
      <c r="W3545" s="11" t="str">
        <f>IF(INDEX(Manual_Review!$H$6:$H$238,U3545)="","",INDEX(Manual_Review!$H$6:$H$238,U3545))</f>
        <v/>
      </c>
      <c r="X3545" s="5" t="str">
        <f>IF(INDEX(Manual_Review!$I$6:$I$238,U3545)="","",INDEX(Manual_Review!$I$6:$I$238,U3545))</f>
        <v/>
      </c>
      <c r="Y3545" s="5" t="s">
        <v>2859</v>
      </c>
    </row>
    <row r="3546" spans="1:25" ht="25.5">
      <c r="A3546" s="5" t="s">
        <v>10675</v>
      </c>
      <c r="B3546" s="5" t="s">
        <v>2580</v>
      </c>
      <c r="C3546" s="5" t="s">
        <v>2581</v>
      </c>
      <c r="D3546" s="5" t="s">
        <v>118</v>
      </c>
      <c r="E3546" s="5" t="s">
        <v>2785</v>
      </c>
      <c r="F3546" s="5" t="s">
        <v>2756</v>
      </c>
      <c r="G3546" s="5">
        <v>1</v>
      </c>
      <c r="H3546" s="5" t="s">
        <v>2864</v>
      </c>
      <c r="I3546" s="5" t="str">
        <f>IF(INDEX(Manual_Review!$O$6:$O$238,U3546)="","",INDEX(Manual_Review!$O$6:$O$238,U3546))</f>
        <v/>
      </c>
      <c r="J3546" s="5" t="str">
        <f t="shared" si="110"/>
        <v>AI provisional</v>
      </c>
      <c r="K3546" s="5" t="str">
        <f t="shared" si="111"/>
        <v>U</v>
      </c>
      <c r="L3546" s="5" t="s">
        <v>2591</v>
      </c>
      <c r="M3546" s="5" t="s">
        <v>10673</v>
      </c>
      <c r="N3546" s="5" t="s">
        <v>10674</v>
      </c>
      <c r="O3546" s="5" t="s">
        <v>3006</v>
      </c>
      <c r="P3546" s="5" t="s">
        <v>2992</v>
      </c>
      <c r="Q3546" s="11">
        <v>46306.5</v>
      </c>
      <c r="R3546" s="6"/>
      <c r="S3546" s="6"/>
      <c r="T3546" s="6"/>
      <c r="U3546" s="5">
        <f>MATCH(B3546,Manual_Review!$A$6:$A$238,0)</f>
        <v>222</v>
      </c>
      <c r="V3546" s="5" t="str">
        <f>IF(INDEX(Manual_Review!$G$6:$G$238,U3546)="","",INDEX(Manual_Review!$G$6:$G$238,U3546))</f>
        <v/>
      </c>
      <c r="W3546" s="11" t="str">
        <f>IF(INDEX(Manual_Review!$H$6:$H$238,U3546)="","",INDEX(Manual_Review!$H$6:$H$238,U3546))</f>
        <v/>
      </c>
      <c r="X3546" s="5" t="str">
        <f>IF(INDEX(Manual_Review!$I$6:$I$238,U3546)="","",INDEX(Manual_Review!$I$6:$I$238,U3546))</f>
        <v/>
      </c>
      <c r="Y3546" s="5" t="s">
        <v>2859</v>
      </c>
    </row>
    <row r="3547" spans="1:25" ht="38.25">
      <c r="A3547" s="5" t="s">
        <v>10676</v>
      </c>
      <c r="B3547" s="5" t="s">
        <v>2580</v>
      </c>
      <c r="C3547" s="5" t="s">
        <v>2581</v>
      </c>
      <c r="D3547" s="5" t="s">
        <v>118</v>
      </c>
      <c r="E3547" s="5" t="s">
        <v>2786</v>
      </c>
      <c r="F3547" s="5" t="s">
        <v>2756</v>
      </c>
      <c r="G3547" s="5">
        <v>1</v>
      </c>
      <c r="H3547" s="5" t="s">
        <v>2864</v>
      </c>
      <c r="I3547" s="5" t="str">
        <f>IF(INDEX(Manual_Review!$P$6:$P$238,U3547)="","",INDEX(Manual_Review!$P$6:$P$238,U3547))</f>
        <v/>
      </c>
      <c r="J3547" s="5" t="str">
        <f t="shared" si="110"/>
        <v>AI provisional</v>
      </c>
      <c r="K3547" s="5" t="str">
        <f t="shared" si="111"/>
        <v>U</v>
      </c>
      <c r="L3547" s="5" t="s">
        <v>2591</v>
      </c>
      <c r="M3547" s="5" t="s">
        <v>10677</v>
      </c>
      <c r="N3547" s="5" t="s">
        <v>10678</v>
      </c>
      <c r="O3547" s="5" t="s">
        <v>3010</v>
      </c>
      <c r="P3547" s="5" t="s">
        <v>2992</v>
      </c>
      <c r="Q3547" s="11">
        <v>46306.5</v>
      </c>
      <c r="R3547" s="6"/>
      <c r="S3547" s="6"/>
      <c r="T3547" s="6"/>
      <c r="U3547" s="5">
        <f>MATCH(B3547,Manual_Review!$A$6:$A$238,0)</f>
        <v>222</v>
      </c>
      <c r="V3547" s="5" t="str">
        <f>IF(INDEX(Manual_Review!$G$6:$G$238,U3547)="","",INDEX(Manual_Review!$G$6:$G$238,U3547))</f>
        <v/>
      </c>
      <c r="W3547" s="11" t="str">
        <f>IF(INDEX(Manual_Review!$H$6:$H$238,U3547)="","",INDEX(Manual_Review!$H$6:$H$238,U3547))</f>
        <v/>
      </c>
      <c r="X3547" s="5" t="str">
        <f>IF(INDEX(Manual_Review!$I$6:$I$238,U3547)="","",INDEX(Manual_Review!$I$6:$I$238,U3547))</f>
        <v/>
      </c>
      <c r="Y3547" s="5" t="s">
        <v>2859</v>
      </c>
    </row>
    <row r="3548" spans="1:25" ht="25.5">
      <c r="A3548" s="5" t="s">
        <v>10679</v>
      </c>
      <c r="B3548" s="5" t="s">
        <v>2580</v>
      </c>
      <c r="C3548" s="5" t="s">
        <v>2581</v>
      </c>
      <c r="D3548" s="5" t="s">
        <v>118</v>
      </c>
      <c r="E3548" s="5" t="s">
        <v>2787</v>
      </c>
      <c r="F3548" s="5" t="s">
        <v>2758</v>
      </c>
      <c r="G3548" s="5">
        <v>1</v>
      </c>
      <c r="H3548" s="5" t="s">
        <v>2854</v>
      </c>
      <c r="I3548" s="5" t="str">
        <f>IF(INDEX(Manual_Review!$Q$6:$Q$238,U3548)="","",INDEX(Manual_Review!$Q$6:$Q$238,U3548))</f>
        <v/>
      </c>
      <c r="J3548" s="5" t="str">
        <f t="shared" si="110"/>
        <v>AI provisional</v>
      </c>
      <c r="K3548" s="5" t="str">
        <f t="shared" si="111"/>
        <v>Y</v>
      </c>
      <c r="L3548" s="5" t="s">
        <v>2591</v>
      </c>
      <c r="M3548" s="5" t="s">
        <v>10680</v>
      </c>
      <c r="N3548" s="5" t="s">
        <v>10681</v>
      </c>
      <c r="O3548" s="5" t="s">
        <v>3819</v>
      </c>
      <c r="P3548" s="5" t="s">
        <v>2992</v>
      </c>
      <c r="Q3548" s="11">
        <v>46306.5</v>
      </c>
      <c r="R3548" s="6"/>
      <c r="S3548" s="6"/>
      <c r="T3548" s="6"/>
      <c r="U3548" s="5">
        <f>MATCH(B3548,Manual_Review!$A$6:$A$238,0)</f>
        <v>222</v>
      </c>
      <c r="V3548" s="5" t="str">
        <f>IF(INDEX(Manual_Review!$G$6:$G$238,U3548)="","",INDEX(Manual_Review!$G$6:$G$238,U3548))</f>
        <v/>
      </c>
      <c r="W3548" s="11" t="str">
        <f>IF(INDEX(Manual_Review!$H$6:$H$238,U3548)="","",INDEX(Manual_Review!$H$6:$H$238,U3548))</f>
        <v/>
      </c>
      <c r="X3548" s="5" t="str">
        <f>IF(INDEX(Manual_Review!$I$6:$I$238,U3548)="","",INDEX(Manual_Review!$I$6:$I$238,U3548))</f>
        <v/>
      </c>
      <c r="Y3548" s="5" t="s">
        <v>2859</v>
      </c>
    </row>
    <row r="3549" spans="1:25" ht="51">
      <c r="A3549" s="5" t="s">
        <v>10682</v>
      </c>
      <c r="B3549" s="5" t="s">
        <v>2580</v>
      </c>
      <c r="C3549" s="5" t="s">
        <v>2581</v>
      </c>
      <c r="D3549" s="5" t="s">
        <v>118</v>
      </c>
      <c r="E3549" s="5" t="s">
        <v>2788</v>
      </c>
      <c r="F3549" s="5" t="s">
        <v>2758</v>
      </c>
      <c r="G3549" s="5">
        <v>1</v>
      </c>
      <c r="H3549" s="5" t="s">
        <v>2854</v>
      </c>
      <c r="I3549" s="5" t="str">
        <f>IF(INDEX(Manual_Review!$R$6:$R$238,U3549)="","",INDEX(Manual_Review!$R$6:$R$238,U3549))</f>
        <v/>
      </c>
      <c r="J3549" s="5" t="str">
        <f t="shared" si="110"/>
        <v>AI provisional</v>
      </c>
      <c r="K3549" s="5" t="str">
        <f t="shared" si="111"/>
        <v>Y</v>
      </c>
      <c r="L3549" s="5" t="s">
        <v>2591</v>
      </c>
      <c r="M3549" s="5" t="s">
        <v>10683</v>
      </c>
      <c r="N3549" s="5" t="s">
        <v>10684</v>
      </c>
      <c r="O3549" s="5" t="s">
        <v>3018</v>
      </c>
      <c r="P3549" s="5" t="s">
        <v>2992</v>
      </c>
      <c r="Q3549" s="11">
        <v>46306.5</v>
      </c>
      <c r="R3549" s="6"/>
      <c r="S3549" s="6"/>
      <c r="T3549" s="6"/>
      <c r="U3549" s="5">
        <f>MATCH(B3549,Manual_Review!$A$6:$A$238,0)</f>
        <v>222</v>
      </c>
      <c r="V3549" s="5" t="str">
        <f>IF(INDEX(Manual_Review!$G$6:$G$238,U3549)="","",INDEX(Manual_Review!$G$6:$G$238,U3549))</f>
        <v/>
      </c>
      <c r="W3549" s="11" t="str">
        <f>IF(INDEX(Manual_Review!$H$6:$H$238,U3549)="","",INDEX(Manual_Review!$H$6:$H$238,U3549))</f>
        <v/>
      </c>
      <c r="X3549" s="5" t="str">
        <f>IF(INDEX(Manual_Review!$I$6:$I$238,U3549)="","",INDEX(Manual_Review!$I$6:$I$238,U3549))</f>
        <v/>
      </c>
      <c r="Y3549" s="5" t="s">
        <v>2859</v>
      </c>
    </row>
    <row r="3550" spans="1:25" ht="38.25">
      <c r="A3550" s="5" t="s">
        <v>10685</v>
      </c>
      <c r="B3550" s="5" t="s">
        <v>2580</v>
      </c>
      <c r="C3550" s="5" t="s">
        <v>2581</v>
      </c>
      <c r="D3550" s="5" t="s">
        <v>118</v>
      </c>
      <c r="E3550" s="5" t="s">
        <v>2789</v>
      </c>
      <c r="F3550" s="5" t="s">
        <v>2758</v>
      </c>
      <c r="G3550" s="5">
        <v>1</v>
      </c>
      <c r="H3550" s="5" t="s">
        <v>2854</v>
      </c>
      <c r="I3550" s="5" t="str">
        <f>IF(INDEX(Manual_Review!$S$6:$S$238,U3550)="","",INDEX(Manual_Review!$S$6:$S$238,U3550))</f>
        <v/>
      </c>
      <c r="J3550" s="5" t="str">
        <f t="shared" si="110"/>
        <v>AI provisional</v>
      </c>
      <c r="K3550" s="5" t="str">
        <f t="shared" si="111"/>
        <v>Y</v>
      </c>
      <c r="L3550" s="5" t="s">
        <v>2591</v>
      </c>
      <c r="M3550" s="5" t="s">
        <v>10686</v>
      </c>
      <c r="N3550" s="5" t="s">
        <v>10687</v>
      </c>
      <c r="O3550" s="5" t="s">
        <v>3022</v>
      </c>
      <c r="P3550" s="5" t="s">
        <v>2992</v>
      </c>
      <c r="Q3550" s="11">
        <v>46306.5</v>
      </c>
      <c r="R3550" s="6"/>
      <c r="S3550" s="6"/>
      <c r="T3550" s="6"/>
      <c r="U3550" s="5">
        <f>MATCH(B3550,Manual_Review!$A$6:$A$238,0)</f>
        <v>222</v>
      </c>
      <c r="V3550" s="5" t="str">
        <f>IF(INDEX(Manual_Review!$G$6:$G$238,U3550)="","",INDEX(Manual_Review!$G$6:$G$238,U3550))</f>
        <v/>
      </c>
      <c r="W3550" s="11" t="str">
        <f>IF(INDEX(Manual_Review!$H$6:$H$238,U3550)="","",INDEX(Manual_Review!$H$6:$H$238,U3550))</f>
        <v/>
      </c>
      <c r="X3550" s="5" t="str">
        <f>IF(INDEX(Manual_Review!$I$6:$I$238,U3550)="","",INDEX(Manual_Review!$I$6:$I$238,U3550))</f>
        <v/>
      </c>
      <c r="Y3550" s="5" t="s">
        <v>2859</v>
      </c>
    </row>
    <row r="3551" spans="1:25" ht="25.5">
      <c r="A3551" s="5" t="s">
        <v>10688</v>
      </c>
      <c r="B3551" s="5" t="s">
        <v>2580</v>
      </c>
      <c r="C3551" s="5" t="s">
        <v>2581</v>
      </c>
      <c r="D3551" s="5" t="s">
        <v>118</v>
      </c>
      <c r="E3551" s="5" t="s">
        <v>2790</v>
      </c>
      <c r="F3551" s="5" t="s">
        <v>2760</v>
      </c>
      <c r="G3551" s="5">
        <v>1</v>
      </c>
      <c r="H3551" s="5" t="s">
        <v>2854</v>
      </c>
      <c r="I3551" s="5" t="str">
        <f>IF(INDEX(Manual_Review!$T$6:$T$238,U3551)="","",INDEX(Manual_Review!$T$6:$T$238,U3551))</f>
        <v/>
      </c>
      <c r="J3551" s="5" t="str">
        <f t="shared" si="110"/>
        <v>AI provisional</v>
      </c>
      <c r="K3551" s="5" t="str">
        <f t="shared" si="111"/>
        <v>Y</v>
      </c>
      <c r="L3551" s="5" t="s">
        <v>2591</v>
      </c>
      <c r="M3551" s="5" t="s">
        <v>10689</v>
      </c>
      <c r="N3551" s="5" t="s">
        <v>10690</v>
      </c>
      <c r="O3551" s="5" t="s">
        <v>3451</v>
      </c>
      <c r="P3551" s="5" t="s">
        <v>2992</v>
      </c>
      <c r="Q3551" s="11">
        <v>46306.5</v>
      </c>
      <c r="R3551" s="6"/>
      <c r="S3551" s="6"/>
      <c r="T3551" s="6"/>
      <c r="U3551" s="5">
        <f>MATCH(B3551,Manual_Review!$A$6:$A$238,0)</f>
        <v>222</v>
      </c>
      <c r="V3551" s="5" t="str">
        <f>IF(INDEX(Manual_Review!$G$6:$G$238,U3551)="","",INDEX(Manual_Review!$G$6:$G$238,U3551))</f>
        <v/>
      </c>
      <c r="W3551" s="11" t="str">
        <f>IF(INDEX(Manual_Review!$H$6:$H$238,U3551)="","",INDEX(Manual_Review!$H$6:$H$238,U3551))</f>
        <v/>
      </c>
      <c r="X3551" s="5" t="str">
        <f>IF(INDEX(Manual_Review!$I$6:$I$238,U3551)="","",INDEX(Manual_Review!$I$6:$I$238,U3551))</f>
        <v/>
      </c>
      <c r="Y3551" s="5" t="s">
        <v>2859</v>
      </c>
    </row>
    <row r="3552" spans="1:25" ht="25.5">
      <c r="A3552" s="5" t="s">
        <v>10691</v>
      </c>
      <c r="B3552" s="5" t="s">
        <v>2580</v>
      </c>
      <c r="C3552" s="5" t="s">
        <v>2581</v>
      </c>
      <c r="D3552" s="5" t="s">
        <v>118</v>
      </c>
      <c r="E3552" s="5" t="s">
        <v>2791</v>
      </c>
      <c r="F3552" s="5" t="s">
        <v>2760</v>
      </c>
      <c r="G3552" s="5">
        <v>1</v>
      </c>
      <c r="H3552" s="5" t="s">
        <v>2864</v>
      </c>
      <c r="I3552" s="5" t="str">
        <f>IF(INDEX(Manual_Review!$U$6:$U$238,U3552)="","",INDEX(Manual_Review!$U$6:$U$238,U3552))</f>
        <v/>
      </c>
      <c r="J3552" s="5" t="str">
        <f t="shared" si="110"/>
        <v>AI provisional</v>
      </c>
      <c r="K3552" s="5" t="str">
        <f t="shared" si="111"/>
        <v>U</v>
      </c>
      <c r="L3552" s="5" t="s">
        <v>2591</v>
      </c>
      <c r="M3552" s="5" t="s">
        <v>10692</v>
      </c>
      <c r="N3552" s="5" t="s">
        <v>10693</v>
      </c>
      <c r="O3552" s="5" t="s">
        <v>3030</v>
      </c>
      <c r="P3552" s="5" t="s">
        <v>2992</v>
      </c>
      <c r="Q3552" s="11">
        <v>46306.5</v>
      </c>
      <c r="R3552" s="6"/>
      <c r="S3552" s="6"/>
      <c r="T3552" s="6"/>
      <c r="U3552" s="5">
        <f>MATCH(B3552,Manual_Review!$A$6:$A$238,0)</f>
        <v>222</v>
      </c>
      <c r="V3552" s="5" t="str">
        <f>IF(INDEX(Manual_Review!$G$6:$G$238,U3552)="","",INDEX(Manual_Review!$G$6:$G$238,U3552))</f>
        <v/>
      </c>
      <c r="W3552" s="11" t="str">
        <f>IF(INDEX(Manual_Review!$H$6:$H$238,U3552)="","",INDEX(Manual_Review!$H$6:$H$238,U3552))</f>
        <v/>
      </c>
      <c r="X3552" s="5" t="str">
        <f>IF(INDEX(Manual_Review!$I$6:$I$238,U3552)="","",INDEX(Manual_Review!$I$6:$I$238,U3552))</f>
        <v/>
      </c>
      <c r="Y3552" s="5" t="s">
        <v>2859</v>
      </c>
    </row>
    <row r="3553" spans="1:25" ht="25.5">
      <c r="A3553" s="5" t="s">
        <v>10694</v>
      </c>
      <c r="B3553" s="5" t="s">
        <v>2580</v>
      </c>
      <c r="C3553" s="5" t="s">
        <v>2581</v>
      </c>
      <c r="D3553" s="5" t="s">
        <v>118</v>
      </c>
      <c r="E3553" s="5" t="s">
        <v>2792</v>
      </c>
      <c r="F3553" s="5" t="s">
        <v>2762</v>
      </c>
      <c r="G3553" s="5">
        <v>1</v>
      </c>
      <c r="H3553" s="5" t="s">
        <v>2854</v>
      </c>
      <c r="I3553" s="5" t="str">
        <f>IF(INDEX(Manual_Review!$V$6:$V$238,U3553)="","",INDEX(Manual_Review!$V$6:$V$238,U3553))</f>
        <v/>
      </c>
      <c r="J3553" s="5" t="str">
        <f t="shared" si="110"/>
        <v>AI provisional</v>
      </c>
      <c r="K3553" s="5" t="str">
        <f t="shared" si="111"/>
        <v>Y</v>
      </c>
      <c r="L3553" s="5" t="s">
        <v>2591</v>
      </c>
      <c r="M3553" s="5" t="s">
        <v>10695</v>
      </c>
      <c r="N3553" s="5" t="s">
        <v>10696</v>
      </c>
      <c r="O3553" s="5" t="s">
        <v>3034</v>
      </c>
      <c r="P3553" s="5" t="s">
        <v>2992</v>
      </c>
      <c r="Q3553" s="11">
        <v>46306.5</v>
      </c>
      <c r="R3553" s="6"/>
      <c r="S3553" s="6"/>
      <c r="T3553" s="6"/>
      <c r="U3553" s="5">
        <f>MATCH(B3553,Manual_Review!$A$6:$A$238,0)</f>
        <v>222</v>
      </c>
      <c r="V3553" s="5" t="str">
        <f>IF(INDEX(Manual_Review!$G$6:$G$238,U3553)="","",INDEX(Manual_Review!$G$6:$G$238,U3553))</f>
        <v/>
      </c>
      <c r="W3553" s="11" t="str">
        <f>IF(INDEX(Manual_Review!$H$6:$H$238,U3553)="","",INDEX(Manual_Review!$H$6:$H$238,U3553))</f>
        <v/>
      </c>
      <c r="X3553" s="5" t="str">
        <f>IF(INDEX(Manual_Review!$I$6:$I$238,U3553)="","",INDEX(Manual_Review!$I$6:$I$238,U3553))</f>
        <v/>
      </c>
      <c r="Y3553" s="5" t="s">
        <v>2859</v>
      </c>
    </row>
    <row r="3554" spans="1:25" ht="51">
      <c r="A3554" s="5" t="s">
        <v>10697</v>
      </c>
      <c r="B3554" s="5" t="s">
        <v>2580</v>
      </c>
      <c r="C3554" s="5" t="s">
        <v>2581</v>
      </c>
      <c r="D3554" s="5" t="s">
        <v>118</v>
      </c>
      <c r="E3554" s="5" t="s">
        <v>2793</v>
      </c>
      <c r="F3554" s="5" t="s">
        <v>2762</v>
      </c>
      <c r="G3554" s="5">
        <v>1</v>
      </c>
      <c r="H3554" s="5" t="s">
        <v>2854</v>
      </c>
      <c r="I3554" s="5" t="str">
        <f>IF(INDEX(Manual_Review!$W$6:$W$238,U3554)="","",INDEX(Manual_Review!$W$6:$W$238,U3554))</f>
        <v/>
      </c>
      <c r="J3554" s="5" t="str">
        <f t="shared" si="110"/>
        <v>AI provisional</v>
      </c>
      <c r="K3554" s="5" t="str">
        <f t="shared" si="111"/>
        <v>Y</v>
      </c>
      <c r="L3554" s="5" t="s">
        <v>2591</v>
      </c>
      <c r="M3554" s="5" t="s">
        <v>10698</v>
      </c>
      <c r="N3554" s="5" t="s">
        <v>10699</v>
      </c>
      <c r="O3554" s="5" t="s">
        <v>3038</v>
      </c>
      <c r="P3554" s="5" t="s">
        <v>2992</v>
      </c>
      <c r="Q3554" s="11">
        <v>46306.5</v>
      </c>
      <c r="R3554" s="6"/>
      <c r="S3554" s="6"/>
      <c r="T3554" s="6"/>
      <c r="U3554" s="5">
        <f>MATCH(B3554,Manual_Review!$A$6:$A$238,0)</f>
        <v>222</v>
      </c>
      <c r="V3554" s="5" t="str">
        <f>IF(INDEX(Manual_Review!$G$6:$G$238,U3554)="","",INDEX(Manual_Review!$G$6:$G$238,U3554))</f>
        <v/>
      </c>
      <c r="W3554" s="11" t="str">
        <f>IF(INDEX(Manual_Review!$H$6:$H$238,U3554)="","",INDEX(Manual_Review!$H$6:$H$238,U3554))</f>
        <v/>
      </c>
      <c r="X3554" s="5" t="str">
        <f>IF(INDEX(Manual_Review!$I$6:$I$238,U3554)="","",INDEX(Manual_Review!$I$6:$I$238,U3554))</f>
        <v/>
      </c>
      <c r="Y3554" s="5" t="s">
        <v>2859</v>
      </c>
    </row>
    <row r="3555" spans="1:25" ht="25.5">
      <c r="A3555" s="5" t="s">
        <v>10700</v>
      </c>
      <c r="B3555" s="5" t="s">
        <v>2580</v>
      </c>
      <c r="C3555" s="5" t="s">
        <v>2581</v>
      </c>
      <c r="D3555" s="5" t="s">
        <v>118</v>
      </c>
      <c r="E3555" s="5" t="s">
        <v>2794</v>
      </c>
      <c r="F3555" s="5" t="s">
        <v>2764</v>
      </c>
      <c r="G3555" s="5">
        <v>1</v>
      </c>
      <c r="H3555" s="5" t="s">
        <v>2854</v>
      </c>
      <c r="I3555" s="5" t="str">
        <f>IF(INDEX(Manual_Review!$X$6:$X$238,U3555)="","",INDEX(Manual_Review!$X$6:$X$238,U3555))</f>
        <v/>
      </c>
      <c r="J3555" s="5" t="str">
        <f t="shared" si="110"/>
        <v>AI provisional</v>
      </c>
      <c r="K3555" s="5" t="str">
        <f t="shared" si="111"/>
        <v>Y</v>
      </c>
      <c r="L3555" s="5" t="s">
        <v>2591</v>
      </c>
      <c r="M3555" s="5" t="s">
        <v>10701</v>
      </c>
      <c r="N3555" s="5" t="s">
        <v>10702</v>
      </c>
      <c r="O3555" s="5" t="s">
        <v>3042</v>
      </c>
      <c r="P3555" s="5" t="s">
        <v>2992</v>
      </c>
      <c r="Q3555" s="11">
        <v>46306.5</v>
      </c>
      <c r="R3555" s="6"/>
      <c r="S3555" s="6"/>
      <c r="T3555" s="6"/>
      <c r="U3555" s="5">
        <f>MATCH(B3555,Manual_Review!$A$6:$A$238,0)</f>
        <v>222</v>
      </c>
      <c r="V3555" s="5" t="str">
        <f>IF(INDEX(Manual_Review!$G$6:$G$238,U3555)="","",INDEX(Manual_Review!$G$6:$G$238,U3555))</f>
        <v/>
      </c>
      <c r="W3555" s="11" t="str">
        <f>IF(INDEX(Manual_Review!$H$6:$H$238,U3555)="","",INDEX(Manual_Review!$H$6:$H$238,U3555))</f>
        <v/>
      </c>
      <c r="X3555" s="5" t="str">
        <f>IF(INDEX(Manual_Review!$I$6:$I$238,U3555)="","",INDEX(Manual_Review!$I$6:$I$238,U3555))</f>
        <v/>
      </c>
      <c r="Y3555" s="5" t="s">
        <v>2859</v>
      </c>
    </row>
    <row r="3556" spans="1:25" ht="25.5">
      <c r="A3556" s="5" t="s">
        <v>10703</v>
      </c>
      <c r="B3556" s="5" t="s">
        <v>2580</v>
      </c>
      <c r="C3556" s="5" t="s">
        <v>2581</v>
      </c>
      <c r="D3556" s="5" t="s">
        <v>118</v>
      </c>
      <c r="E3556" s="5" t="s">
        <v>2795</v>
      </c>
      <c r="F3556" s="5" t="s">
        <v>2764</v>
      </c>
      <c r="G3556" s="5">
        <v>1</v>
      </c>
      <c r="H3556" s="5" t="s">
        <v>2864</v>
      </c>
      <c r="I3556" s="5" t="str">
        <f>IF(INDEX(Manual_Review!$Y$6:$Y$238,U3556)="","",INDEX(Manual_Review!$Y$6:$Y$238,U3556))</f>
        <v/>
      </c>
      <c r="J3556" s="5" t="str">
        <f t="shared" si="110"/>
        <v>AI provisional</v>
      </c>
      <c r="K3556" s="5" t="str">
        <f t="shared" si="111"/>
        <v>U</v>
      </c>
      <c r="L3556" s="5" t="s">
        <v>2591</v>
      </c>
      <c r="M3556" s="5" t="s">
        <v>10704</v>
      </c>
      <c r="N3556" s="5" t="s">
        <v>10705</v>
      </c>
      <c r="O3556" s="5" t="s">
        <v>3469</v>
      </c>
      <c r="P3556" s="5" t="s">
        <v>2992</v>
      </c>
      <c r="Q3556" s="11">
        <v>46306.5</v>
      </c>
      <c r="R3556" s="6"/>
      <c r="S3556" s="6"/>
      <c r="T3556" s="6"/>
      <c r="U3556" s="5">
        <f>MATCH(B3556,Manual_Review!$A$6:$A$238,0)</f>
        <v>222</v>
      </c>
      <c r="V3556" s="5" t="str">
        <f>IF(INDEX(Manual_Review!$G$6:$G$238,U3556)="","",INDEX(Manual_Review!$G$6:$G$238,U3556))</f>
        <v/>
      </c>
      <c r="W3556" s="11" t="str">
        <f>IF(INDEX(Manual_Review!$H$6:$H$238,U3556)="","",INDEX(Manual_Review!$H$6:$H$238,U3556))</f>
        <v/>
      </c>
      <c r="X3556" s="5" t="str">
        <f>IF(INDEX(Manual_Review!$I$6:$I$238,U3556)="","",INDEX(Manual_Review!$I$6:$I$238,U3556))</f>
        <v/>
      </c>
      <c r="Y3556" s="5" t="s">
        <v>2859</v>
      </c>
    </row>
    <row r="3557" spans="1:25" ht="51">
      <c r="A3557" s="5" t="s">
        <v>10706</v>
      </c>
      <c r="B3557" s="5" t="s">
        <v>2580</v>
      </c>
      <c r="C3557" s="5" t="s">
        <v>2581</v>
      </c>
      <c r="D3557" s="5" t="s">
        <v>118</v>
      </c>
      <c r="E3557" s="5" t="s">
        <v>2796</v>
      </c>
      <c r="F3557" s="5" t="s">
        <v>2764</v>
      </c>
      <c r="G3557" s="5">
        <v>1</v>
      </c>
      <c r="H3557" s="5" t="s">
        <v>2864</v>
      </c>
      <c r="I3557" s="5" t="str">
        <f>IF(INDEX(Manual_Review!$Z$6:$Z$238,U3557)="","",INDEX(Manual_Review!$Z$6:$Z$238,U3557))</f>
        <v/>
      </c>
      <c r="J3557" s="5" t="str">
        <f t="shared" si="110"/>
        <v>AI provisional</v>
      </c>
      <c r="K3557" s="5" t="str">
        <f t="shared" si="111"/>
        <v>U</v>
      </c>
      <c r="L3557" s="5" t="s">
        <v>2591</v>
      </c>
      <c r="M3557" s="5" t="s">
        <v>10707</v>
      </c>
      <c r="N3557" s="5" t="s">
        <v>10708</v>
      </c>
      <c r="O3557" s="5" t="s">
        <v>3050</v>
      </c>
      <c r="P3557" s="5" t="s">
        <v>2992</v>
      </c>
      <c r="Q3557" s="11">
        <v>46306.5</v>
      </c>
      <c r="R3557" s="6"/>
      <c r="S3557" s="6"/>
      <c r="T3557" s="6"/>
      <c r="U3557" s="5">
        <f>MATCH(B3557,Manual_Review!$A$6:$A$238,0)</f>
        <v>222</v>
      </c>
      <c r="V3557" s="5" t="str">
        <f>IF(INDEX(Manual_Review!$G$6:$G$238,U3557)="","",INDEX(Manual_Review!$G$6:$G$238,U3557))</f>
        <v/>
      </c>
      <c r="W3557" s="11" t="str">
        <f>IF(INDEX(Manual_Review!$H$6:$H$238,U3557)="","",INDEX(Manual_Review!$H$6:$H$238,U3557))</f>
        <v/>
      </c>
      <c r="X3557" s="5" t="str">
        <f>IF(INDEX(Manual_Review!$I$6:$I$238,U3557)="","",INDEX(Manual_Review!$I$6:$I$238,U3557))</f>
        <v/>
      </c>
      <c r="Y3557" s="5" t="s">
        <v>2859</v>
      </c>
    </row>
    <row r="3558" spans="1:25" ht="25.5">
      <c r="A3558" s="5" t="s">
        <v>10709</v>
      </c>
      <c r="B3558" s="5" t="s">
        <v>2593</v>
      </c>
      <c r="C3558" s="5" t="s">
        <v>2594</v>
      </c>
      <c r="D3558" s="5" t="s">
        <v>118</v>
      </c>
      <c r="E3558" s="5" t="s">
        <v>2781</v>
      </c>
      <c r="F3558" s="5" t="s">
        <v>2754</v>
      </c>
      <c r="G3558" s="5">
        <v>1</v>
      </c>
      <c r="H3558" s="5" t="s">
        <v>2854</v>
      </c>
      <c r="I3558" s="5" t="str">
        <f>IF(INDEX(Manual_Review!$K$6:$K$238,U3558)="","",INDEX(Manual_Review!$K$6:$K$238,U3558))</f>
        <v/>
      </c>
      <c r="J3558" s="5" t="str">
        <f t="shared" si="110"/>
        <v>AI provisional</v>
      </c>
      <c r="K3558" s="5" t="str">
        <f t="shared" si="111"/>
        <v>Y</v>
      </c>
      <c r="L3558" s="5" t="s">
        <v>2605</v>
      </c>
      <c r="M3558" s="5" t="s">
        <v>10710</v>
      </c>
      <c r="N3558" s="5" t="s">
        <v>10711</v>
      </c>
      <c r="O3558" s="5" t="s">
        <v>2991</v>
      </c>
      <c r="P3558" s="5" t="s">
        <v>2992</v>
      </c>
      <c r="Q3558" s="11">
        <v>46306.5</v>
      </c>
      <c r="R3558" s="6"/>
      <c r="S3558" s="6"/>
      <c r="T3558" s="6"/>
      <c r="U3558" s="5">
        <f>MATCH(B3558,Manual_Review!$A$6:$A$238,0)</f>
        <v>223</v>
      </c>
      <c r="V3558" s="5" t="str">
        <f>IF(INDEX(Manual_Review!$G$6:$G$238,U3558)="","",INDEX(Manual_Review!$G$6:$G$238,U3558))</f>
        <v/>
      </c>
      <c r="W3558" s="11" t="str">
        <f>IF(INDEX(Manual_Review!$H$6:$H$238,U3558)="","",INDEX(Manual_Review!$H$6:$H$238,U3558))</f>
        <v/>
      </c>
      <c r="X3558" s="5" t="str">
        <f>IF(INDEX(Manual_Review!$I$6:$I$238,U3558)="","",INDEX(Manual_Review!$I$6:$I$238,U3558))</f>
        <v/>
      </c>
      <c r="Y3558" s="5" t="s">
        <v>2859</v>
      </c>
    </row>
    <row r="3559" spans="1:25" ht="25.5">
      <c r="A3559" s="5" t="s">
        <v>10712</v>
      </c>
      <c r="B3559" s="5" t="s">
        <v>2593</v>
      </c>
      <c r="C3559" s="5" t="s">
        <v>2594</v>
      </c>
      <c r="D3559" s="5" t="s">
        <v>118</v>
      </c>
      <c r="E3559" s="5" t="s">
        <v>2782</v>
      </c>
      <c r="F3559" s="5" t="s">
        <v>2754</v>
      </c>
      <c r="G3559" s="5">
        <v>1</v>
      </c>
      <c r="H3559" s="5" t="s">
        <v>2854</v>
      </c>
      <c r="I3559" s="5" t="str">
        <f>IF(INDEX(Manual_Review!$L$6:$L$238,U3559)="","",INDEX(Manual_Review!$L$6:$L$238,U3559))</f>
        <v/>
      </c>
      <c r="J3559" s="5" t="str">
        <f t="shared" si="110"/>
        <v>AI provisional</v>
      </c>
      <c r="K3559" s="5" t="str">
        <f t="shared" si="111"/>
        <v>Y</v>
      </c>
      <c r="L3559" s="5" t="s">
        <v>2605</v>
      </c>
      <c r="M3559" s="5" t="s">
        <v>10713</v>
      </c>
      <c r="N3559" s="5" t="s">
        <v>10714</v>
      </c>
      <c r="O3559" s="5" t="s">
        <v>2996</v>
      </c>
      <c r="P3559" s="5" t="s">
        <v>2992</v>
      </c>
      <c r="Q3559" s="11">
        <v>46306.5</v>
      </c>
      <c r="R3559" s="6"/>
      <c r="S3559" s="6"/>
      <c r="T3559" s="6"/>
      <c r="U3559" s="5">
        <f>MATCH(B3559,Manual_Review!$A$6:$A$238,0)</f>
        <v>223</v>
      </c>
      <c r="V3559" s="5" t="str">
        <f>IF(INDEX(Manual_Review!$G$6:$G$238,U3559)="","",INDEX(Manual_Review!$G$6:$G$238,U3559))</f>
        <v/>
      </c>
      <c r="W3559" s="11" t="str">
        <f>IF(INDEX(Manual_Review!$H$6:$H$238,U3559)="","",INDEX(Manual_Review!$H$6:$H$238,U3559))</f>
        <v/>
      </c>
      <c r="X3559" s="5" t="str">
        <f>IF(INDEX(Manual_Review!$I$6:$I$238,U3559)="","",INDEX(Manual_Review!$I$6:$I$238,U3559))</f>
        <v/>
      </c>
      <c r="Y3559" s="5" t="s">
        <v>2859</v>
      </c>
    </row>
    <row r="3560" spans="1:25" ht="25.5">
      <c r="A3560" s="5" t="s">
        <v>10715</v>
      </c>
      <c r="B3560" s="5" t="s">
        <v>2593</v>
      </c>
      <c r="C3560" s="5" t="s">
        <v>2594</v>
      </c>
      <c r="D3560" s="5" t="s">
        <v>118</v>
      </c>
      <c r="E3560" s="5" t="s">
        <v>2783</v>
      </c>
      <c r="F3560" s="5" t="s">
        <v>2754</v>
      </c>
      <c r="G3560" s="5">
        <v>1</v>
      </c>
      <c r="H3560" s="5" t="s">
        <v>2864</v>
      </c>
      <c r="I3560" s="5" t="str">
        <f>IF(INDEX(Manual_Review!$M$6:$M$238,U3560)="","",INDEX(Manual_Review!$M$6:$M$238,U3560))</f>
        <v/>
      </c>
      <c r="J3560" s="5" t="str">
        <f t="shared" si="110"/>
        <v>AI provisional</v>
      </c>
      <c r="K3560" s="5" t="str">
        <f t="shared" si="111"/>
        <v>U</v>
      </c>
      <c r="L3560" s="5" t="s">
        <v>2605</v>
      </c>
      <c r="M3560" s="5" t="s">
        <v>10716</v>
      </c>
      <c r="N3560" s="5" t="s">
        <v>10717</v>
      </c>
      <c r="O3560" s="5" t="s">
        <v>3808</v>
      </c>
      <c r="P3560" s="5" t="s">
        <v>2992</v>
      </c>
      <c r="Q3560" s="11">
        <v>46306.5</v>
      </c>
      <c r="R3560" s="6"/>
      <c r="S3560" s="6"/>
      <c r="T3560" s="6"/>
      <c r="U3560" s="5">
        <f>MATCH(B3560,Manual_Review!$A$6:$A$238,0)</f>
        <v>223</v>
      </c>
      <c r="V3560" s="5" t="str">
        <f>IF(INDEX(Manual_Review!$G$6:$G$238,U3560)="","",INDEX(Manual_Review!$G$6:$G$238,U3560))</f>
        <v/>
      </c>
      <c r="W3560" s="11" t="str">
        <f>IF(INDEX(Manual_Review!$H$6:$H$238,U3560)="","",INDEX(Manual_Review!$H$6:$H$238,U3560))</f>
        <v/>
      </c>
      <c r="X3560" s="5" t="str">
        <f>IF(INDEX(Manual_Review!$I$6:$I$238,U3560)="","",INDEX(Manual_Review!$I$6:$I$238,U3560))</f>
        <v/>
      </c>
      <c r="Y3560" s="5" t="s">
        <v>2859</v>
      </c>
    </row>
    <row r="3561" spans="1:25" ht="25.5">
      <c r="A3561" s="5" t="s">
        <v>10718</v>
      </c>
      <c r="B3561" s="5" t="s">
        <v>2593</v>
      </c>
      <c r="C3561" s="5" t="s">
        <v>2594</v>
      </c>
      <c r="D3561" s="5" t="s">
        <v>118</v>
      </c>
      <c r="E3561" s="5" t="s">
        <v>2784</v>
      </c>
      <c r="F3561" s="5" t="s">
        <v>2756</v>
      </c>
      <c r="G3561" s="5">
        <v>1</v>
      </c>
      <c r="H3561" s="5" t="s">
        <v>2854</v>
      </c>
      <c r="I3561" s="5" t="str">
        <f>IF(INDEX(Manual_Review!$N$6:$N$238,U3561)="","",INDEX(Manual_Review!$N$6:$N$238,U3561))</f>
        <v/>
      </c>
      <c r="J3561" s="5" t="str">
        <f t="shared" si="110"/>
        <v>AI provisional</v>
      </c>
      <c r="K3561" s="5" t="str">
        <f t="shared" si="111"/>
        <v>Y</v>
      </c>
      <c r="L3561" s="5" t="s">
        <v>2605</v>
      </c>
      <c r="M3561" s="5" t="s">
        <v>10719</v>
      </c>
      <c r="N3561" s="5" t="s">
        <v>10720</v>
      </c>
      <c r="O3561" s="5" t="s">
        <v>3004</v>
      </c>
      <c r="P3561" s="5" t="s">
        <v>2992</v>
      </c>
      <c r="Q3561" s="11">
        <v>46306.5</v>
      </c>
      <c r="R3561" s="6"/>
      <c r="S3561" s="6"/>
      <c r="T3561" s="6"/>
      <c r="U3561" s="5">
        <f>MATCH(B3561,Manual_Review!$A$6:$A$238,0)</f>
        <v>223</v>
      </c>
      <c r="V3561" s="5" t="str">
        <f>IF(INDEX(Manual_Review!$G$6:$G$238,U3561)="","",INDEX(Manual_Review!$G$6:$G$238,U3561))</f>
        <v/>
      </c>
      <c r="W3561" s="11" t="str">
        <f>IF(INDEX(Manual_Review!$H$6:$H$238,U3561)="","",INDEX(Manual_Review!$H$6:$H$238,U3561))</f>
        <v/>
      </c>
      <c r="X3561" s="5" t="str">
        <f>IF(INDEX(Manual_Review!$I$6:$I$238,U3561)="","",INDEX(Manual_Review!$I$6:$I$238,U3561))</f>
        <v/>
      </c>
      <c r="Y3561" s="5" t="s">
        <v>2859</v>
      </c>
    </row>
    <row r="3562" spans="1:25" ht="25.5">
      <c r="A3562" s="5" t="s">
        <v>10721</v>
      </c>
      <c r="B3562" s="5" t="s">
        <v>2593</v>
      </c>
      <c r="C3562" s="5" t="s">
        <v>2594</v>
      </c>
      <c r="D3562" s="5" t="s">
        <v>118</v>
      </c>
      <c r="E3562" s="5" t="s">
        <v>2785</v>
      </c>
      <c r="F3562" s="5" t="s">
        <v>2756</v>
      </c>
      <c r="G3562" s="5">
        <v>1</v>
      </c>
      <c r="H3562" s="5" t="s">
        <v>2864</v>
      </c>
      <c r="I3562" s="5" t="str">
        <f>IF(INDEX(Manual_Review!$O$6:$O$238,U3562)="","",INDEX(Manual_Review!$O$6:$O$238,U3562))</f>
        <v/>
      </c>
      <c r="J3562" s="5" t="str">
        <f t="shared" si="110"/>
        <v>AI provisional</v>
      </c>
      <c r="K3562" s="5" t="str">
        <f t="shared" si="111"/>
        <v>U</v>
      </c>
      <c r="L3562" s="5" t="s">
        <v>2605</v>
      </c>
      <c r="M3562" s="5" t="s">
        <v>10719</v>
      </c>
      <c r="N3562" s="5" t="s">
        <v>10720</v>
      </c>
      <c r="O3562" s="5" t="s">
        <v>3006</v>
      </c>
      <c r="P3562" s="5" t="s">
        <v>2992</v>
      </c>
      <c r="Q3562" s="11">
        <v>46306.5</v>
      </c>
      <c r="R3562" s="6"/>
      <c r="S3562" s="6"/>
      <c r="T3562" s="6"/>
      <c r="U3562" s="5">
        <f>MATCH(B3562,Manual_Review!$A$6:$A$238,0)</f>
        <v>223</v>
      </c>
      <c r="V3562" s="5" t="str">
        <f>IF(INDEX(Manual_Review!$G$6:$G$238,U3562)="","",INDEX(Manual_Review!$G$6:$G$238,U3562))</f>
        <v/>
      </c>
      <c r="W3562" s="11" t="str">
        <f>IF(INDEX(Manual_Review!$H$6:$H$238,U3562)="","",INDEX(Manual_Review!$H$6:$H$238,U3562))</f>
        <v/>
      </c>
      <c r="X3562" s="5" t="str">
        <f>IF(INDEX(Manual_Review!$I$6:$I$238,U3562)="","",INDEX(Manual_Review!$I$6:$I$238,U3562))</f>
        <v/>
      </c>
      <c r="Y3562" s="5" t="s">
        <v>2859</v>
      </c>
    </row>
    <row r="3563" spans="1:25" ht="25.5">
      <c r="A3563" s="5" t="s">
        <v>10722</v>
      </c>
      <c r="B3563" s="5" t="s">
        <v>2593</v>
      </c>
      <c r="C3563" s="5" t="s">
        <v>2594</v>
      </c>
      <c r="D3563" s="5" t="s">
        <v>118</v>
      </c>
      <c r="E3563" s="5" t="s">
        <v>2786</v>
      </c>
      <c r="F3563" s="5" t="s">
        <v>2756</v>
      </c>
      <c r="G3563" s="5">
        <v>1</v>
      </c>
      <c r="H3563" s="5" t="s">
        <v>2864</v>
      </c>
      <c r="I3563" s="5" t="str">
        <f>IF(INDEX(Manual_Review!$P$6:$P$238,U3563)="","",INDEX(Manual_Review!$P$6:$P$238,U3563))</f>
        <v/>
      </c>
      <c r="J3563" s="5" t="str">
        <f t="shared" si="110"/>
        <v>AI provisional</v>
      </c>
      <c r="K3563" s="5" t="str">
        <f t="shared" si="111"/>
        <v>U</v>
      </c>
      <c r="L3563" s="5" t="s">
        <v>2605</v>
      </c>
      <c r="M3563" s="5" t="s">
        <v>10723</v>
      </c>
      <c r="N3563" s="5" t="s">
        <v>10724</v>
      </c>
      <c r="O3563" s="5" t="s">
        <v>3010</v>
      </c>
      <c r="P3563" s="5" t="s">
        <v>2992</v>
      </c>
      <c r="Q3563" s="11">
        <v>46306.5</v>
      </c>
      <c r="R3563" s="6"/>
      <c r="S3563" s="6"/>
      <c r="T3563" s="6"/>
      <c r="U3563" s="5">
        <f>MATCH(B3563,Manual_Review!$A$6:$A$238,0)</f>
        <v>223</v>
      </c>
      <c r="V3563" s="5" t="str">
        <f>IF(INDEX(Manual_Review!$G$6:$G$238,U3563)="","",INDEX(Manual_Review!$G$6:$G$238,U3563))</f>
        <v/>
      </c>
      <c r="W3563" s="11" t="str">
        <f>IF(INDEX(Manual_Review!$H$6:$H$238,U3563)="","",INDEX(Manual_Review!$H$6:$H$238,U3563))</f>
        <v/>
      </c>
      <c r="X3563" s="5" t="str">
        <f>IF(INDEX(Manual_Review!$I$6:$I$238,U3563)="","",INDEX(Manual_Review!$I$6:$I$238,U3563))</f>
        <v/>
      </c>
      <c r="Y3563" s="5" t="s">
        <v>2859</v>
      </c>
    </row>
    <row r="3564" spans="1:25" ht="25.5">
      <c r="A3564" s="5" t="s">
        <v>10725</v>
      </c>
      <c r="B3564" s="5" t="s">
        <v>2593</v>
      </c>
      <c r="C3564" s="5" t="s">
        <v>2594</v>
      </c>
      <c r="D3564" s="5" t="s">
        <v>118</v>
      </c>
      <c r="E3564" s="5" t="s">
        <v>2787</v>
      </c>
      <c r="F3564" s="5" t="s">
        <v>2758</v>
      </c>
      <c r="G3564" s="5">
        <v>1</v>
      </c>
      <c r="H3564" s="5" t="s">
        <v>2864</v>
      </c>
      <c r="I3564" s="5" t="str">
        <f>IF(INDEX(Manual_Review!$Q$6:$Q$238,U3564)="","",INDEX(Manual_Review!$Q$6:$Q$238,U3564))</f>
        <v/>
      </c>
      <c r="J3564" s="5" t="str">
        <f t="shared" si="110"/>
        <v>AI provisional</v>
      </c>
      <c r="K3564" s="5" t="str">
        <f t="shared" si="111"/>
        <v>U</v>
      </c>
      <c r="L3564" s="5" t="s">
        <v>2605</v>
      </c>
      <c r="M3564" s="5" t="s">
        <v>10726</v>
      </c>
      <c r="N3564" s="5" t="s">
        <v>10727</v>
      </c>
      <c r="O3564" s="5" t="s">
        <v>3014</v>
      </c>
      <c r="P3564" s="5" t="s">
        <v>2992</v>
      </c>
      <c r="Q3564" s="11">
        <v>46306.5</v>
      </c>
      <c r="R3564" s="6"/>
      <c r="S3564" s="6"/>
      <c r="T3564" s="6"/>
      <c r="U3564" s="5">
        <f>MATCH(B3564,Manual_Review!$A$6:$A$238,0)</f>
        <v>223</v>
      </c>
      <c r="V3564" s="5" t="str">
        <f>IF(INDEX(Manual_Review!$G$6:$G$238,U3564)="","",INDEX(Manual_Review!$G$6:$G$238,U3564))</f>
        <v/>
      </c>
      <c r="W3564" s="11" t="str">
        <f>IF(INDEX(Manual_Review!$H$6:$H$238,U3564)="","",INDEX(Manual_Review!$H$6:$H$238,U3564))</f>
        <v/>
      </c>
      <c r="X3564" s="5" t="str">
        <f>IF(INDEX(Manual_Review!$I$6:$I$238,U3564)="","",INDEX(Manual_Review!$I$6:$I$238,U3564))</f>
        <v/>
      </c>
      <c r="Y3564" s="5" t="s">
        <v>2859</v>
      </c>
    </row>
    <row r="3565" spans="1:25" ht="38.25">
      <c r="A3565" s="5" t="s">
        <v>10728</v>
      </c>
      <c r="B3565" s="5" t="s">
        <v>2593</v>
      </c>
      <c r="C3565" s="5" t="s">
        <v>2594</v>
      </c>
      <c r="D3565" s="5" t="s">
        <v>118</v>
      </c>
      <c r="E3565" s="5" t="s">
        <v>2788</v>
      </c>
      <c r="F3565" s="5" t="s">
        <v>2758</v>
      </c>
      <c r="G3565" s="5">
        <v>1</v>
      </c>
      <c r="H3565" s="5" t="s">
        <v>2854</v>
      </c>
      <c r="I3565" s="5" t="str">
        <f>IF(INDEX(Manual_Review!$R$6:$R$238,U3565)="","",INDEX(Manual_Review!$R$6:$R$238,U3565))</f>
        <v/>
      </c>
      <c r="J3565" s="5" t="str">
        <f t="shared" si="110"/>
        <v>AI provisional</v>
      </c>
      <c r="K3565" s="5" t="str">
        <f t="shared" si="111"/>
        <v>Y</v>
      </c>
      <c r="L3565" s="5" t="s">
        <v>2605</v>
      </c>
      <c r="M3565" s="5" t="s">
        <v>10729</v>
      </c>
      <c r="N3565" s="5" t="s">
        <v>10730</v>
      </c>
      <c r="O3565" s="5" t="s">
        <v>3018</v>
      </c>
      <c r="P3565" s="5" t="s">
        <v>2992</v>
      </c>
      <c r="Q3565" s="11">
        <v>46306.5</v>
      </c>
      <c r="R3565" s="6"/>
      <c r="S3565" s="6"/>
      <c r="T3565" s="6"/>
      <c r="U3565" s="5">
        <f>MATCH(B3565,Manual_Review!$A$6:$A$238,0)</f>
        <v>223</v>
      </c>
      <c r="V3565" s="5" t="str">
        <f>IF(INDEX(Manual_Review!$G$6:$G$238,U3565)="","",INDEX(Manual_Review!$G$6:$G$238,U3565))</f>
        <v/>
      </c>
      <c r="W3565" s="11" t="str">
        <f>IF(INDEX(Manual_Review!$H$6:$H$238,U3565)="","",INDEX(Manual_Review!$H$6:$H$238,U3565))</f>
        <v/>
      </c>
      <c r="X3565" s="5" t="str">
        <f>IF(INDEX(Manual_Review!$I$6:$I$238,U3565)="","",INDEX(Manual_Review!$I$6:$I$238,U3565))</f>
        <v/>
      </c>
      <c r="Y3565" s="5" t="s">
        <v>2859</v>
      </c>
    </row>
    <row r="3566" spans="1:25" ht="38.25">
      <c r="A3566" s="5" t="s">
        <v>10731</v>
      </c>
      <c r="B3566" s="5" t="s">
        <v>2593</v>
      </c>
      <c r="C3566" s="5" t="s">
        <v>2594</v>
      </c>
      <c r="D3566" s="5" t="s">
        <v>118</v>
      </c>
      <c r="E3566" s="5" t="s">
        <v>2789</v>
      </c>
      <c r="F3566" s="5" t="s">
        <v>2758</v>
      </c>
      <c r="G3566" s="5">
        <v>1</v>
      </c>
      <c r="H3566" s="5" t="s">
        <v>2854</v>
      </c>
      <c r="I3566" s="5" t="str">
        <f>IF(INDEX(Manual_Review!$S$6:$S$238,U3566)="","",INDEX(Manual_Review!$S$6:$S$238,U3566))</f>
        <v/>
      </c>
      <c r="J3566" s="5" t="str">
        <f t="shared" si="110"/>
        <v>AI provisional</v>
      </c>
      <c r="K3566" s="5" t="str">
        <f t="shared" si="111"/>
        <v>Y</v>
      </c>
      <c r="L3566" s="5" t="s">
        <v>2605</v>
      </c>
      <c r="M3566" s="5" t="s">
        <v>10732</v>
      </c>
      <c r="N3566" s="5" t="s">
        <v>10733</v>
      </c>
      <c r="O3566" s="5" t="s">
        <v>3022</v>
      </c>
      <c r="P3566" s="5" t="s">
        <v>2992</v>
      </c>
      <c r="Q3566" s="11">
        <v>46306.5</v>
      </c>
      <c r="R3566" s="6"/>
      <c r="S3566" s="6"/>
      <c r="T3566" s="6"/>
      <c r="U3566" s="5">
        <f>MATCH(B3566,Manual_Review!$A$6:$A$238,0)</f>
        <v>223</v>
      </c>
      <c r="V3566" s="5" t="str">
        <f>IF(INDEX(Manual_Review!$G$6:$G$238,U3566)="","",INDEX(Manual_Review!$G$6:$G$238,U3566))</f>
        <v/>
      </c>
      <c r="W3566" s="11" t="str">
        <f>IF(INDEX(Manual_Review!$H$6:$H$238,U3566)="","",INDEX(Manual_Review!$H$6:$H$238,U3566))</f>
        <v/>
      </c>
      <c r="X3566" s="5" t="str">
        <f>IF(INDEX(Manual_Review!$I$6:$I$238,U3566)="","",INDEX(Manual_Review!$I$6:$I$238,U3566))</f>
        <v/>
      </c>
      <c r="Y3566" s="5" t="s">
        <v>2859</v>
      </c>
    </row>
    <row r="3567" spans="1:25" ht="25.5">
      <c r="A3567" s="5" t="s">
        <v>10734</v>
      </c>
      <c r="B3567" s="5" t="s">
        <v>2593</v>
      </c>
      <c r="C3567" s="5" t="s">
        <v>2594</v>
      </c>
      <c r="D3567" s="5" t="s">
        <v>118</v>
      </c>
      <c r="E3567" s="5" t="s">
        <v>2790</v>
      </c>
      <c r="F3567" s="5" t="s">
        <v>2760</v>
      </c>
      <c r="G3567" s="5">
        <v>1</v>
      </c>
      <c r="H3567" s="5" t="s">
        <v>2854</v>
      </c>
      <c r="I3567" s="5" t="str">
        <f>IF(INDEX(Manual_Review!$T$6:$T$238,U3567)="","",INDEX(Manual_Review!$T$6:$T$238,U3567))</f>
        <v/>
      </c>
      <c r="J3567" s="5" t="str">
        <f t="shared" si="110"/>
        <v>AI provisional</v>
      </c>
      <c r="K3567" s="5" t="str">
        <f t="shared" si="111"/>
        <v>Y</v>
      </c>
      <c r="L3567" s="5" t="s">
        <v>2605</v>
      </c>
      <c r="M3567" s="5" t="s">
        <v>10735</v>
      </c>
      <c r="N3567" s="5" t="s">
        <v>10736</v>
      </c>
      <c r="O3567" s="5" t="s">
        <v>3451</v>
      </c>
      <c r="P3567" s="5" t="s">
        <v>2992</v>
      </c>
      <c r="Q3567" s="11">
        <v>46306.5</v>
      </c>
      <c r="R3567" s="6"/>
      <c r="S3567" s="6"/>
      <c r="T3567" s="6"/>
      <c r="U3567" s="5">
        <f>MATCH(B3567,Manual_Review!$A$6:$A$238,0)</f>
        <v>223</v>
      </c>
      <c r="V3567" s="5" t="str">
        <f>IF(INDEX(Manual_Review!$G$6:$G$238,U3567)="","",INDEX(Manual_Review!$G$6:$G$238,U3567))</f>
        <v/>
      </c>
      <c r="W3567" s="11" t="str">
        <f>IF(INDEX(Manual_Review!$H$6:$H$238,U3567)="","",INDEX(Manual_Review!$H$6:$H$238,U3567))</f>
        <v/>
      </c>
      <c r="X3567" s="5" t="str">
        <f>IF(INDEX(Manual_Review!$I$6:$I$238,U3567)="","",INDEX(Manual_Review!$I$6:$I$238,U3567))</f>
        <v/>
      </c>
      <c r="Y3567" s="5" t="s">
        <v>2859</v>
      </c>
    </row>
    <row r="3568" spans="1:25" ht="25.5">
      <c r="A3568" s="5" t="s">
        <v>10737</v>
      </c>
      <c r="B3568" s="5" t="s">
        <v>2593</v>
      </c>
      <c r="C3568" s="5" t="s">
        <v>2594</v>
      </c>
      <c r="D3568" s="5" t="s">
        <v>118</v>
      </c>
      <c r="E3568" s="5" t="s">
        <v>2791</v>
      </c>
      <c r="F3568" s="5" t="s">
        <v>2760</v>
      </c>
      <c r="G3568" s="5">
        <v>1</v>
      </c>
      <c r="H3568" s="5" t="s">
        <v>2854</v>
      </c>
      <c r="I3568" s="5" t="str">
        <f>IF(INDEX(Manual_Review!$U$6:$U$238,U3568)="","",INDEX(Manual_Review!$U$6:$U$238,U3568))</f>
        <v/>
      </c>
      <c r="J3568" s="5" t="str">
        <f t="shared" si="110"/>
        <v>AI provisional</v>
      </c>
      <c r="K3568" s="5" t="str">
        <f t="shared" si="111"/>
        <v>Y</v>
      </c>
      <c r="L3568" s="5" t="s">
        <v>2605</v>
      </c>
      <c r="M3568" s="5" t="s">
        <v>10738</v>
      </c>
      <c r="N3568" s="5" t="s">
        <v>10739</v>
      </c>
      <c r="O3568" s="5" t="s">
        <v>3832</v>
      </c>
      <c r="P3568" s="5" t="s">
        <v>2992</v>
      </c>
      <c r="Q3568" s="11">
        <v>46306.5</v>
      </c>
      <c r="R3568" s="6"/>
      <c r="S3568" s="6"/>
      <c r="T3568" s="6"/>
      <c r="U3568" s="5">
        <f>MATCH(B3568,Manual_Review!$A$6:$A$238,0)</f>
        <v>223</v>
      </c>
      <c r="V3568" s="5" t="str">
        <f>IF(INDEX(Manual_Review!$G$6:$G$238,U3568)="","",INDEX(Manual_Review!$G$6:$G$238,U3568))</f>
        <v/>
      </c>
      <c r="W3568" s="11" t="str">
        <f>IF(INDEX(Manual_Review!$H$6:$H$238,U3568)="","",INDEX(Manual_Review!$H$6:$H$238,U3568))</f>
        <v/>
      </c>
      <c r="X3568" s="5" t="str">
        <f>IF(INDEX(Manual_Review!$I$6:$I$238,U3568)="","",INDEX(Manual_Review!$I$6:$I$238,U3568))</f>
        <v/>
      </c>
      <c r="Y3568" s="5" t="s">
        <v>2859</v>
      </c>
    </row>
    <row r="3569" spans="1:25" ht="25.5">
      <c r="A3569" s="5" t="s">
        <v>10740</v>
      </c>
      <c r="B3569" s="5" t="s">
        <v>2593</v>
      </c>
      <c r="C3569" s="5" t="s">
        <v>2594</v>
      </c>
      <c r="D3569" s="5" t="s">
        <v>118</v>
      </c>
      <c r="E3569" s="5" t="s">
        <v>2792</v>
      </c>
      <c r="F3569" s="5" t="s">
        <v>2762</v>
      </c>
      <c r="G3569" s="5">
        <v>1</v>
      </c>
      <c r="H3569" s="5" t="s">
        <v>2854</v>
      </c>
      <c r="I3569" s="5" t="str">
        <f>IF(INDEX(Manual_Review!$V$6:$V$238,U3569)="","",INDEX(Manual_Review!$V$6:$V$238,U3569))</f>
        <v/>
      </c>
      <c r="J3569" s="5" t="str">
        <f t="shared" si="110"/>
        <v>AI provisional</v>
      </c>
      <c r="K3569" s="5" t="str">
        <f t="shared" si="111"/>
        <v>Y</v>
      </c>
      <c r="L3569" s="5" t="s">
        <v>2605</v>
      </c>
      <c r="M3569" s="5" t="s">
        <v>10741</v>
      </c>
      <c r="N3569" s="5" t="s">
        <v>10742</v>
      </c>
      <c r="O3569" s="5" t="s">
        <v>3034</v>
      </c>
      <c r="P3569" s="5" t="s">
        <v>2992</v>
      </c>
      <c r="Q3569" s="11">
        <v>46306.5</v>
      </c>
      <c r="R3569" s="6"/>
      <c r="S3569" s="6"/>
      <c r="T3569" s="6"/>
      <c r="U3569" s="5">
        <f>MATCH(B3569,Manual_Review!$A$6:$A$238,0)</f>
        <v>223</v>
      </c>
      <c r="V3569" s="5" t="str">
        <f>IF(INDEX(Manual_Review!$G$6:$G$238,U3569)="","",INDEX(Manual_Review!$G$6:$G$238,U3569))</f>
        <v/>
      </c>
      <c r="W3569" s="11" t="str">
        <f>IF(INDEX(Manual_Review!$H$6:$H$238,U3569)="","",INDEX(Manual_Review!$H$6:$H$238,U3569))</f>
        <v/>
      </c>
      <c r="X3569" s="5" t="str">
        <f>IF(INDEX(Manual_Review!$I$6:$I$238,U3569)="","",INDEX(Manual_Review!$I$6:$I$238,U3569))</f>
        <v/>
      </c>
      <c r="Y3569" s="5" t="s">
        <v>2859</v>
      </c>
    </row>
    <row r="3570" spans="1:25" ht="38.25">
      <c r="A3570" s="5" t="s">
        <v>10743</v>
      </c>
      <c r="B3570" s="5" t="s">
        <v>2593</v>
      </c>
      <c r="C3570" s="5" t="s">
        <v>2594</v>
      </c>
      <c r="D3570" s="5" t="s">
        <v>118</v>
      </c>
      <c r="E3570" s="5" t="s">
        <v>2793</v>
      </c>
      <c r="F3570" s="5" t="s">
        <v>2762</v>
      </c>
      <c r="G3570" s="5">
        <v>1</v>
      </c>
      <c r="H3570" s="5" t="s">
        <v>2854</v>
      </c>
      <c r="I3570" s="5" t="str">
        <f>IF(INDEX(Manual_Review!$W$6:$W$238,U3570)="","",INDEX(Manual_Review!$W$6:$W$238,U3570))</f>
        <v/>
      </c>
      <c r="J3570" s="5" t="str">
        <f t="shared" si="110"/>
        <v>AI provisional</v>
      </c>
      <c r="K3570" s="5" t="str">
        <f t="shared" si="111"/>
        <v>Y</v>
      </c>
      <c r="L3570" s="5" t="s">
        <v>2605</v>
      </c>
      <c r="M3570" s="5" t="s">
        <v>10744</v>
      </c>
      <c r="N3570" s="5" t="s">
        <v>10745</v>
      </c>
      <c r="O3570" s="5" t="s">
        <v>3038</v>
      </c>
      <c r="P3570" s="5" t="s">
        <v>2992</v>
      </c>
      <c r="Q3570" s="11">
        <v>46306.5</v>
      </c>
      <c r="R3570" s="6"/>
      <c r="S3570" s="6"/>
      <c r="T3570" s="6"/>
      <c r="U3570" s="5">
        <f>MATCH(B3570,Manual_Review!$A$6:$A$238,0)</f>
        <v>223</v>
      </c>
      <c r="V3570" s="5" t="str">
        <f>IF(INDEX(Manual_Review!$G$6:$G$238,U3570)="","",INDEX(Manual_Review!$G$6:$G$238,U3570))</f>
        <v/>
      </c>
      <c r="W3570" s="11" t="str">
        <f>IF(INDEX(Manual_Review!$H$6:$H$238,U3570)="","",INDEX(Manual_Review!$H$6:$H$238,U3570))</f>
        <v/>
      </c>
      <c r="X3570" s="5" t="str">
        <f>IF(INDEX(Manual_Review!$I$6:$I$238,U3570)="","",INDEX(Manual_Review!$I$6:$I$238,U3570))</f>
        <v/>
      </c>
      <c r="Y3570" s="5" t="s">
        <v>2859</v>
      </c>
    </row>
    <row r="3571" spans="1:25" ht="25.5">
      <c r="A3571" s="5" t="s">
        <v>10746</v>
      </c>
      <c r="B3571" s="5" t="s">
        <v>2593</v>
      </c>
      <c r="C3571" s="5" t="s">
        <v>2594</v>
      </c>
      <c r="D3571" s="5" t="s">
        <v>118</v>
      </c>
      <c r="E3571" s="5" t="s">
        <v>2794</v>
      </c>
      <c r="F3571" s="5" t="s">
        <v>2764</v>
      </c>
      <c r="G3571" s="5">
        <v>1</v>
      </c>
      <c r="H3571" s="5" t="s">
        <v>2854</v>
      </c>
      <c r="I3571" s="5" t="str">
        <f>IF(INDEX(Manual_Review!$X$6:$X$238,U3571)="","",INDEX(Manual_Review!$X$6:$X$238,U3571))</f>
        <v/>
      </c>
      <c r="J3571" s="5" t="str">
        <f t="shared" si="110"/>
        <v>AI provisional</v>
      </c>
      <c r="K3571" s="5" t="str">
        <f t="shared" si="111"/>
        <v>Y</v>
      </c>
      <c r="L3571" s="5" t="s">
        <v>2605</v>
      </c>
      <c r="M3571" s="5" t="s">
        <v>10747</v>
      </c>
      <c r="N3571" s="5" t="s">
        <v>10748</v>
      </c>
      <c r="O3571" s="5" t="s">
        <v>3042</v>
      </c>
      <c r="P3571" s="5" t="s">
        <v>2992</v>
      </c>
      <c r="Q3571" s="11">
        <v>46306.5</v>
      </c>
      <c r="R3571" s="6"/>
      <c r="S3571" s="6"/>
      <c r="T3571" s="6"/>
      <c r="U3571" s="5">
        <f>MATCH(B3571,Manual_Review!$A$6:$A$238,0)</f>
        <v>223</v>
      </c>
      <c r="V3571" s="5" t="str">
        <f>IF(INDEX(Manual_Review!$G$6:$G$238,U3571)="","",INDEX(Manual_Review!$G$6:$G$238,U3571))</f>
        <v/>
      </c>
      <c r="W3571" s="11" t="str">
        <f>IF(INDEX(Manual_Review!$H$6:$H$238,U3571)="","",INDEX(Manual_Review!$H$6:$H$238,U3571))</f>
        <v/>
      </c>
      <c r="X3571" s="5" t="str">
        <f>IF(INDEX(Manual_Review!$I$6:$I$238,U3571)="","",INDEX(Manual_Review!$I$6:$I$238,U3571))</f>
        <v/>
      </c>
      <c r="Y3571" s="5" t="s">
        <v>2859</v>
      </c>
    </row>
    <row r="3572" spans="1:25" ht="25.5">
      <c r="A3572" s="5" t="s">
        <v>10749</v>
      </c>
      <c r="B3572" s="5" t="s">
        <v>2593</v>
      </c>
      <c r="C3572" s="5" t="s">
        <v>2594</v>
      </c>
      <c r="D3572" s="5" t="s">
        <v>118</v>
      </c>
      <c r="E3572" s="5" t="s">
        <v>2795</v>
      </c>
      <c r="F3572" s="5" t="s">
        <v>2764</v>
      </c>
      <c r="G3572" s="5">
        <v>1</v>
      </c>
      <c r="H3572" s="5" t="s">
        <v>2864</v>
      </c>
      <c r="I3572" s="5" t="str">
        <f>IF(INDEX(Manual_Review!$Y$6:$Y$238,U3572)="","",INDEX(Manual_Review!$Y$6:$Y$238,U3572))</f>
        <v/>
      </c>
      <c r="J3572" s="5" t="str">
        <f t="shared" si="110"/>
        <v>AI provisional</v>
      </c>
      <c r="K3572" s="5" t="str">
        <f t="shared" si="111"/>
        <v>U</v>
      </c>
      <c r="L3572" s="5" t="s">
        <v>2605</v>
      </c>
      <c r="M3572" s="5" t="s">
        <v>10750</v>
      </c>
      <c r="N3572" s="5" t="s">
        <v>10751</v>
      </c>
      <c r="O3572" s="5" t="s">
        <v>3469</v>
      </c>
      <c r="P3572" s="5" t="s">
        <v>2992</v>
      </c>
      <c r="Q3572" s="11">
        <v>46306.5</v>
      </c>
      <c r="R3572" s="6"/>
      <c r="S3572" s="6"/>
      <c r="T3572" s="6"/>
      <c r="U3572" s="5">
        <f>MATCH(B3572,Manual_Review!$A$6:$A$238,0)</f>
        <v>223</v>
      </c>
      <c r="V3572" s="5" t="str">
        <f>IF(INDEX(Manual_Review!$G$6:$G$238,U3572)="","",INDEX(Manual_Review!$G$6:$G$238,U3572))</f>
        <v/>
      </c>
      <c r="W3572" s="11" t="str">
        <f>IF(INDEX(Manual_Review!$H$6:$H$238,U3572)="","",INDEX(Manual_Review!$H$6:$H$238,U3572))</f>
        <v/>
      </c>
      <c r="X3572" s="5" t="str">
        <f>IF(INDEX(Manual_Review!$I$6:$I$238,U3572)="","",INDEX(Manual_Review!$I$6:$I$238,U3572))</f>
        <v/>
      </c>
      <c r="Y3572" s="5" t="s">
        <v>2859</v>
      </c>
    </row>
    <row r="3573" spans="1:25" ht="38.25">
      <c r="A3573" s="5" t="s">
        <v>10752</v>
      </c>
      <c r="B3573" s="5" t="s">
        <v>2593</v>
      </c>
      <c r="C3573" s="5" t="s">
        <v>2594</v>
      </c>
      <c r="D3573" s="5" t="s">
        <v>118</v>
      </c>
      <c r="E3573" s="5" t="s">
        <v>2796</v>
      </c>
      <c r="F3573" s="5" t="s">
        <v>2764</v>
      </c>
      <c r="G3573" s="5">
        <v>1</v>
      </c>
      <c r="H3573" s="5" t="s">
        <v>2864</v>
      </c>
      <c r="I3573" s="5" t="str">
        <f>IF(INDEX(Manual_Review!$Z$6:$Z$238,U3573)="","",INDEX(Manual_Review!$Z$6:$Z$238,U3573))</f>
        <v/>
      </c>
      <c r="J3573" s="5" t="str">
        <f t="shared" si="110"/>
        <v>AI provisional</v>
      </c>
      <c r="K3573" s="5" t="str">
        <f t="shared" si="111"/>
        <v>U</v>
      </c>
      <c r="L3573" s="5" t="s">
        <v>2605</v>
      </c>
      <c r="M3573" s="5" t="s">
        <v>10753</v>
      </c>
      <c r="N3573" s="5" t="s">
        <v>10754</v>
      </c>
      <c r="O3573" s="5" t="s">
        <v>3050</v>
      </c>
      <c r="P3573" s="5" t="s">
        <v>2992</v>
      </c>
      <c r="Q3573" s="11">
        <v>46306.5</v>
      </c>
      <c r="R3573" s="6"/>
      <c r="S3573" s="6"/>
      <c r="T3573" s="6"/>
      <c r="U3573" s="5">
        <f>MATCH(B3573,Manual_Review!$A$6:$A$238,0)</f>
        <v>223</v>
      </c>
      <c r="V3573" s="5" t="str">
        <f>IF(INDEX(Manual_Review!$G$6:$G$238,U3573)="","",INDEX(Manual_Review!$G$6:$G$238,U3573))</f>
        <v/>
      </c>
      <c r="W3573" s="11" t="str">
        <f>IF(INDEX(Manual_Review!$H$6:$H$238,U3573)="","",INDEX(Manual_Review!$H$6:$H$238,U3573))</f>
        <v/>
      </c>
      <c r="X3573" s="5" t="str">
        <f>IF(INDEX(Manual_Review!$I$6:$I$238,U3573)="","",INDEX(Manual_Review!$I$6:$I$238,U3573))</f>
        <v/>
      </c>
      <c r="Y3573" s="5" t="s">
        <v>2859</v>
      </c>
    </row>
    <row r="3574" spans="1:25" ht="25.5">
      <c r="A3574" s="5" t="s">
        <v>10755</v>
      </c>
      <c r="B3574" s="5" t="s">
        <v>2607</v>
      </c>
      <c r="C3574" s="5" t="s">
        <v>2608</v>
      </c>
      <c r="D3574" s="5" t="s">
        <v>118</v>
      </c>
      <c r="E3574" s="5" t="s">
        <v>2781</v>
      </c>
      <c r="F3574" s="5" t="s">
        <v>2754</v>
      </c>
      <c r="G3574" s="5">
        <v>1</v>
      </c>
      <c r="H3574" s="5" t="s">
        <v>2854</v>
      </c>
      <c r="I3574" s="5" t="str">
        <f>IF(INDEX(Manual_Review!$K$6:$K$238,U3574)="","",INDEX(Manual_Review!$K$6:$K$238,U3574))</f>
        <v/>
      </c>
      <c r="J3574" s="5" t="str">
        <f t="shared" si="110"/>
        <v>AI provisional</v>
      </c>
      <c r="K3574" s="5" t="str">
        <f t="shared" si="111"/>
        <v>Y</v>
      </c>
      <c r="L3574" s="5" t="s">
        <v>2620</v>
      </c>
      <c r="M3574" s="5" t="s">
        <v>10756</v>
      </c>
      <c r="N3574" s="5" t="s">
        <v>10757</v>
      </c>
      <c r="O3574" s="5" t="s">
        <v>2991</v>
      </c>
      <c r="P3574" s="5" t="s">
        <v>2992</v>
      </c>
      <c r="Q3574" s="11">
        <v>46306.5</v>
      </c>
      <c r="R3574" s="6"/>
      <c r="S3574" s="6"/>
      <c r="T3574" s="6"/>
      <c r="U3574" s="5">
        <f>MATCH(B3574,Manual_Review!$A$6:$A$238,0)</f>
        <v>224</v>
      </c>
      <c r="V3574" s="5" t="str">
        <f>IF(INDEX(Manual_Review!$G$6:$G$238,U3574)="","",INDEX(Manual_Review!$G$6:$G$238,U3574))</f>
        <v/>
      </c>
      <c r="W3574" s="11" t="str">
        <f>IF(INDEX(Manual_Review!$H$6:$H$238,U3574)="","",INDEX(Manual_Review!$H$6:$H$238,U3574))</f>
        <v/>
      </c>
      <c r="X3574" s="5" t="str">
        <f>IF(INDEX(Manual_Review!$I$6:$I$238,U3574)="","",INDEX(Manual_Review!$I$6:$I$238,U3574))</f>
        <v/>
      </c>
      <c r="Y3574" s="5" t="s">
        <v>2859</v>
      </c>
    </row>
    <row r="3575" spans="1:25" ht="25.5">
      <c r="A3575" s="5" t="s">
        <v>10758</v>
      </c>
      <c r="B3575" s="5" t="s">
        <v>2607</v>
      </c>
      <c r="C3575" s="5" t="s">
        <v>2608</v>
      </c>
      <c r="D3575" s="5" t="s">
        <v>118</v>
      </c>
      <c r="E3575" s="5" t="s">
        <v>2782</v>
      </c>
      <c r="F3575" s="5" t="s">
        <v>2754</v>
      </c>
      <c r="G3575" s="5">
        <v>1</v>
      </c>
      <c r="H3575" s="5" t="s">
        <v>2854</v>
      </c>
      <c r="I3575" s="5" t="str">
        <f>IF(INDEX(Manual_Review!$L$6:$L$238,U3575)="","",INDEX(Manual_Review!$L$6:$L$238,U3575))</f>
        <v/>
      </c>
      <c r="J3575" s="5" t="str">
        <f t="shared" si="110"/>
        <v>AI provisional</v>
      </c>
      <c r="K3575" s="5" t="str">
        <f t="shared" si="111"/>
        <v>Y</v>
      </c>
      <c r="L3575" s="5" t="s">
        <v>2620</v>
      </c>
      <c r="M3575" s="5" t="s">
        <v>10759</v>
      </c>
      <c r="N3575" s="5" t="s">
        <v>10760</v>
      </c>
      <c r="O3575" s="5" t="s">
        <v>2996</v>
      </c>
      <c r="P3575" s="5" t="s">
        <v>2992</v>
      </c>
      <c r="Q3575" s="11">
        <v>46306.5</v>
      </c>
      <c r="R3575" s="6"/>
      <c r="S3575" s="6"/>
      <c r="T3575" s="6"/>
      <c r="U3575" s="5">
        <f>MATCH(B3575,Manual_Review!$A$6:$A$238,0)</f>
        <v>224</v>
      </c>
      <c r="V3575" s="5" t="str">
        <f>IF(INDEX(Manual_Review!$G$6:$G$238,U3575)="","",INDEX(Manual_Review!$G$6:$G$238,U3575))</f>
        <v/>
      </c>
      <c r="W3575" s="11" t="str">
        <f>IF(INDEX(Manual_Review!$H$6:$H$238,U3575)="","",INDEX(Manual_Review!$H$6:$H$238,U3575))</f>
        <v/>
      </c>
      <c r="X3575" s="5" t="str">
        <f>IF(INDEX(Manual_Review!$I$6:$I$238,U3575)="","",INDEX(Manual_Review!$I$6:$I$238,U3575))</f>
        <v/>
      </c>
      <c r="Y3575" s="5" t="s">
        <v>2859</v>
      </c>
    </row>
    <row r="3576" spans="1:25" ht="25.5">
      <c r="A3576" s="5" t="s">
        <v>10761</v>
      </c>
      <c r="B3576" s="5" t="s">
        <v>2607</v>
      </c>
      <c r="C3576" s="5" t="s">
        <v>2608</v>
      </c>
      <c r="D3576" s="5" t="s">
        <v>118</v>
      </c>
      <c r="E3576" s="5" t="s">
        <v>2783</v>
      </c>
      <c r="F3576" s="5" t="s">
        <v>2754</v>
      </c>
      <c r="G3576" s="5">
        <v>1</v>
      </c>
      <c r="H3576" s="5" t="s">
        <v>2864</v>
      </c>
      <c r="I3576" s="5" t="str">
        <f>IF(INDEX(Manual_Review!$M$6:$M$238,U3576)="","",INDEX(Manual_Review!$M$6:$M$238,U3576))</f>
        <v/>
      </c>
      <c r="J3576" s="5" t="str">
        <f t="shared" si="110"/>
        <v>AI provisional</v>
      </c>
      <c r="K3576" s="5" t="str">
        <f t="shared" si="111"/>
        <v>U</v>
      </c>
      <c r="L3576" s="5" t="s">
        <v>2620</v>
      </c>
      <c r="M3576" s="5" t="s">
        <v>10762</v>
      </c>
      <c r="N3576" s="5" t="s">
        <v>10763</v>
      </c>
      <c r="O3576" s="5" t="s">
        <v>10764</v>
      </c>
      <c r="P3576" s="5" t="s">
        <v>2992</v>
      </c>
      <c r="Q3576" s="11">
        <v>46306.5</v>
      </c>
      <c r="R3576" s="6"/>
      <c r="S3576" s="6"/>
      <c r="T3576" s="6"/>
      <c r="U3576" s="5">
        <f>MATCH(B3576,Manual_Review!$A$6:$A$238,0)</f>
        <v>224</v>
      </c>
      <c r="V3576" s="5" t="str">
        <f>IF(INDEX(Manual_Review!$G$6:$G$238,U3576)="","",INDEX(Manual_Review!$G$6:$G$238,U3576))</f>
        <v/>
      </c>
      <c r="W3576" s="11" t="str">
        <f>IF(INDEX(Manual_Review!$H$6:$H$238,U3576)="","",INDEX(Manual_Review!$H$6:$H$238,U3576))</f>
        <v/>
      </c>
      <c r="X3576" s="5" t="str">
        <f>IF(INDEX(Manual_Review!$I$6:$I$238,U3576)="","",INDEX(Manual_Review!$I$6:$I$238,U3576))</f>
        <v/>
      </c>
      <c r="Y3576" s="5" t="s">
        <v>2859</v>
      </c>
    </row>
    <row r="3577" spans="1:25" ht="25.5">
      <c r="A3577" s="5" t="s">
        <v>10765</v>
      </c>
      <c r="B3577" s="5" t="s">
        <v>2607</v>
      </c>
      <c r="C3577" s="5" t="s">
        <v>2608</v>
      </c>
      <c r="D3577" s="5" t="s">
        <v>118</v>
      </c>
      <c r="E3577" s="5" t="s">
        <v>2784</v>
      </c>
      <c r="F3577" s="5" t="s">
        <v>2756</v>
      </c>
      <c r="G3577" s="5">
        <v>1</v>
      </c>
      <c r="H3577" s="5" t="s">
        <v>2864</v>
      </c>
      <c r="I3577" s="5" t="str">
        <f>IF(INDEX(Manual_Review!$N$6:$N$238,U3577)="","",INDEX(Manual_Review!$N$6:$N$238,U3577))</f>
        <v/>
      </c>
      <c r="J3577" s="5" t="str">
        <f t="shared" si="110"/>
        <v>AI provisional</v>
      </c>
      <c r="K3577" s="5" t="str">
        <f t="shared" si="111"/>
        <v>U</v>
      </c>
      <c r="L3577" s="5" t="s">
        <v>2620</v>
      </c>
      <c r="M3577" s="5" t="s">
        <v>10766</v>
      </c>
      <c r="N3577" s="5" t="s">
        <v>10767</v>
      </c>
      <c r="O3577" s="5" t="s">
        <v>9214</v>
      </c>
      <c r="P3577" s="5" t="s">
        <v>2992</v>
      </c>
      <c r="Q3577" s="11">
        <v>46306.5</v>
      </c>
      <c r="R3577" s="6"/>
      <c r="S3577" s="6"/>
      <c r="T3577" s="6"/>
      <c r="U3577" s="5">
        <f>MATCH(B3577,Manual_Review!$A$6:$A$238,0)</f>
        <v>224</v>
      </c>
      <c r="V3577" s="5" t="str">
        <f>IF(INDEX(Manual_Review!$G$6:$G$238,U3577)="","",INDEX(Manual_Review!$G$6:$G$238,U3577))</f>
        <v/>
      </c>
      <c r="W3577" s="11" t="str">
        <f>IF(INDEX(Manual_Review!$H$6:$H$238,U3577)="","",INDEX(Manual_Review!$H$6:$H$238,U3577))</f>
        <v/>
      </c>
      <c r="X3577" s="5" t="str">
        <f>IF(INDEX(Manual_Review!$I$6:$I$238,U3577)="","",INDEX(Manual_Review!$I$6:$I$238,U3577))</f>
        <v/>
      </c>
      <c r="Y3577" s="5" t="s">
        <v>2859</v>
      </c>
    </row>
    <row r="3578" spans="1:25" ht="25.5">
      <c r="A3578" s="5" t="s">
        <v>10768</v>
      </c>
      <c r="B3578" s="5" t="s">
        <v>2607</v>
      </c>
      <c r="C3578" s="5" t="s">
        <v>2608</v>
      </c>
      <c r="D3578" s="5" t="s">
        <v>118</v>
      </c>
      <c r="E3578" s="5" t="s">
        <v>2785</v>
      </c>
      <c r="F3578" s="5" t="s">
        <v>2756</v>
      </c>
      <c r="G3578" s="5">
        <v>1</v>
      </c>
      <c r="H3578" s="5" t="s">
        <v>2854</v>
      </c>
      <c r="I3578" s="5" t="str">
        <f>IF(INDEX(Manual_Review!$O$6:$O$238,U3578)="","",INDEX(Manual_Review!$O$6:$O$238,U3578))</f>
        <v/>
      </c>
      <c r="J3578" s="5" t="str">
        <f t="shared" si="110"/>
        <v>AI provisional</v>
      </c>
      <c r="K3578" s="5" t="str">
        <f t="shared" si="111"/>
        <v>Y</v>
      </c>
      <c r="L3578" s="5" t="s">
        <v>2620</v>
      </c>
      <c r="M3578" s="5" t="s">
        <v>10766</v>
      </c>
      <c r="N3578" s="5" t="s">
        <v>10767</v>
      </c>
      <c r="O3578" s="5" t="s">
        <v>5541</v>
      </c>
      <c r="P3578" s="5" t="s">
        <v>2992</v>
      </c>
      <c r="Q3578" s="11">
        <v>46306.5</v>
      </c>
      <c r="R3578" s="6"/>
      <c r="S3578" s="6"/>
      <c r="T3578" s="6"/>
      <c r="U3578" s="5">
        <f>MATCH(B3578,Manual_Review!$A$6:$A$238,0)</f>
        <v>224</v>
      </c>
      <c r="V3578" s="5" t="str">
        <f>IF(INDEX(Manual_Review!$G$6:$G$238,U3578)="","",INDEX(Manual_Review!$G$6:$G$238,U3578))</f>
        <v/>
      </c>
      <c r="W3578" s="11" t="str">
        <f>IF(INDEX(Manual_Review!$H$6:$H$238,U3578)="","",INDEX(Manual_Review!$H$6:$H$238,U3578))</f>
        <v/>
      </c>
      <c r="X3578" s="5" t="str">
        <f>IF(INDEX(Manual_Review!$I$6:$I$238,U3578)="","",INDEX(Manual_Review!$I$6:$I$238,U3578))</f>
        <v/>
      </c>
      <c r="Y3578" s="5" t="s">
        <v>2859</v>
      </c>
    </row>
    <row r="3579" spans="1:25" ht="38.25">
      <c r="A3579" s="5" t="s">
        <v>10769</v>
      </c>
      <c r="B3579" s="5" t="s">
        <v>2607</v>
      </c>
      <c r="C3579" s="5" t="s">
        <v>2608</v>
      </c>
      <c r="D3579" s="5" t="s">
        <v>118</v>
      </c>
      <c r="E3579" s="5" t="s">
        <v>2786</v>
      </c>
      <c r="F3579" s="5" t="s">
        <v>2756</v>
      </c>
      <c r="G3579" s="5">
        <v>1</v>
      </c>
      <c r="H3579" s="5" t="s">
        <v>2864</v>
      </c>
      <c r="I3579" s="5" t="str">
        <f>IF(INDEX(Manual_Review!$P$6:$P$238,U3579)="","",INDEX(Manual_Review!$P$6:$P$238,U3579))</f>
        <v/>
      </c>
      <c r="J3579" s="5" t="str">
        <f t="shared" si="110"/>
        <v>AI provisional</v>
      </c>
      <c r="K3579" s="5" t="str">
        <f t="shared" si="111"/>
        <v>U</v>
      </c>
      <c r="L3579" s="5" t="s">
        <v>2620</v>
      </c>
      <c r="M3579" s="5" t="s">
        <v>10770</v>
      </c>
      <c r="N3579" s="5" t="s">
        <v>10771</v>
      </c>
      <c r="O3579" s="5" t="s">
        <v>3010</v>
      </c>
      <c r="P3579" s="5" t="s">
        <v>2992</v>
      </c>
      <c r="Q3579" s="11">
        <v>46306.5</v>
      </c>
      <c r="R3579" s="6"/>
      <c r="S3579" s="6"/>
      <c r="T3579" s="6"/>
      <c r="U3579" s="5">
        <f>MATCH(B3579,Manual_Review!$A$6:$A$238,0)</f>
        <v>224</v>
      </c>
      <c r="V3579" s="5" t="str">
        <f>IF(INDEX(Manual_Review!$G$6:$G$238,U3579)="","",INDEX(Manual_Review!$G$6:$G$238,U3579))</f>
        <v/>
      </c>
      <c r="W3579" s="11" t="str">
        <f>IF(INDEX(Manual_Review!$H$6:$H$238,U3579)="","",INDEX(Manual_Review!$H$6:$H$238,U3579))</f>
        <v/>
      </c>
      <c r="X3579" s="5" t="str">
        <f>IF(INDEX(Manual_Review!$I$6:$I$238,U3579)="","",INDEX(Manual_Review!$I$6:$I$238,U3579))</f>
        <v/>
      </c>
      <c r="Y3579" s="5" t="s">
        <v>2859</v>
      </c>
    </row>
    <row r="3580" spans="1:25" ht="25.5">
      <c r="A3580" s="5" t="s">
        <v>10772</v>
      </c>
      <c r="B3580" s="5" t="s">
        <v>2607</v>
      </c>
      <c r="C3580" s="5" t="s">
        <v>2608</v>
      </c>
      <c r="D3580" s="5" t="s">
        <v>118</v>
      </c>
      <c r="E3580" s="5" t="s">
        <v>2787</v>
      </c>
      <c r="F3580" s="5" t="s">
        <v>2758</v>
      </c>
      <c r="G3580" s="5">
        <v>1</v>
      </c>
      <c r="H3580" s="5" t="s">
        <v>2854</v>
      </c>
      <c r="I3580" s="5" t="str">
        <f>IF(INDEX(Manual_Review!$Q$6:$Q$238,U3580)="","",INDEX(Manual_Review!$Q$6:$Q$238,U3580))</f>
        <v/>
      </c>
      <c r="J3580" s="5" t="str">
        <f t="shared" si="110"/>
        <v>AI provisional</v>
      </c>
      <c r="K3580" s="5" t="str">
        <f t="shared" si="111"/>
        <v>Y</v>
      </c>
      <c r="L3580" s="5" t="s">
        <v>2620</v>
      </c>
      <c r="M3580" s="5" t="s">
        <v>10773</v>
      </c>
      <c r="N3580" s="5" t="s">
        <v>10774</v>
      </c>
      <c r="O3580" s="5" t="s">
        <v>3819</v>
      </c>
      <c r="P3580" s="5" t="s">
        <v>2992</v>
      </c>
      <c r="Q3580" s="11">
        <v>46306.5</v>
      </c>
      <c r="R3580" s="6"/>
      <c r="S3580" s="6"/>
      <c r="T3580" s="6"/>
      <c r="U3580" s="5">
        <f>MATCH(B3580,Manual_Review!$A$6:$A$238,0)</f>
        <v>224</v>
      </c>
      <c r="V3580" s="5" t="str">
        <f>IF(INDEX(Manual_Review!$G$6:$G$238,U3580)="","",INDEX(Manual_Review!$G$6:$G$238,U3580))</f>
        <v/>
      </c>
      <c r="W3580" s="11" t="str">
        <f>IF(INDEX(Manual_Review!$H$6:$H$238,U3580)="","",INDEX(Manual_Review!$H$6:$H$238,U3580))</f>
        <v/>
      </c>
      <c r="X3580" s="5" t="str">
        <f>IF(INDEX(Manual_Review!$I$6:$I$238,U3580)="","",INDEX(Manual_Review!$I$6:$I$238,U3580))</f>
        <v/>
      </c>
      <c r="Y3580" s="5" t="s">
        <v>2859</v>
      </c>
    </row>
    <row r="3581" spans="1:25" ht="51">
      <c r="A3581" s="5" t="s">
        <v>10775</v>
      </c>
      <c r="B3581" s="5" t="s">
        <v>2607</v>
      </c>
      <c r="C3581" s="5" t="s">
        <v>2608</v>
      </c>
      <c r="D3581" s="5" t="s">
        <v>118</v>
      </c>
      <c r="E3581" s="5" t="s">
        <v>2788</v>
      </c>
      <c r="F3581" s="5" t="s">
        <v>2758</v>
      </c>
      <c r="G3581" s="5">
        <v>1</v>
      </c>
      <c r="H3581" s="5" t="s">
        <v>2854</v>
      </c>
      <c r="I3581" s="5" t="str">
        <f>IF(INDEX(Manual_Review!$R$6:$R$238,U3581)="","",INDEX(Manual_Review!$R$6:$R$238,U3581))</f>
        <v/>
      </c>
      <c r="J3581" s="5" t="str">
        <f t="shared" si="110"/>
        <v>AI provisional</v>
      </c>
      <c r="K3581" s="5" t="str">
        <f t="shared" si="111"/>
        <v>Y</v>
      </c>
      <c r="L3581" s="5" t="s">
        <v>2620</v>
      </c>
      <c r="M3581" s="5" t="s">
        <v>10776</v>
      </c>
      <c r="N3581" s="5" t="s">
        <v>10777</v>
      </c>
      <c r="O3581" s="5" t="s">
        <v>3018</v>
      </c>
      <c r="P3581" s="5" t="s">
        <v>2992</v>
      </c>
      <c r="Q3581" s="11">
        <v>46306.5</v>
      </c>
      <c r="R3581" s="6"/>
      <c r="S3581" s="6"/>
      <c r="T3581" s="6"/>
      <c r="U3581" s="5">
        <f>MATCH(B3581,Manual_Review!$A$6:$A$238,0)</f>
        <v>224</v>
      </c>
      <c r="V3581" s="5" t="str">
        <f>IF(INDEX(Manual_Review!$G$6:$G$238,U3581)="","",INDEX(Manual_Review!$G$6:$G$238,U3581))</f>
        <v/>
      </c>
      <c r="W3581" s="11" t="str">
        <f>IF(INDEX(Manual_Review!$H$6:$H$238,U3581)="","",INDEX(Manual_Review!$H$6:$H$238,U3581))</f>
        <v/>
      </c>
      <c r="X3581" s="5" t="str">
        <f>IF(INDEX(Manual_Review!$I$6:$I$238,U3581)="","",INDEX(Manual_Review!$I$6:$I$238,U3581))</f>
        <v/>
      </c>
      <c r="Y3581" s="5" t="s">
        <v>2859</v>
      </c>
    </row>
    <row r="3582" spans="1:25" ht="38.25">
      <c r="A3582" s="5" t="s">
        <v>10778</v>
      </c>
      <c r="B3582" s="5" t="s">
        <v>2607</v>
      </c>
      <c r="C3582" s="5" t="s">
        <v>2608</v>
      </c>
      <c r="D3582" s="5" t="s">
        <v>118</v>
      </c>
      <c r="E3582" s="5" t="s">
        <v>2789</v>
      </c>
      <c r="F3582" s="5" t="s">
        <v>2758</v>
      </c>
      <c r="G3582" s="5">
        <v>1</v>
      </c>
      <c r="H3582" s="5" t="s">
        <v>2854</v>
      </c>
      <c r="I3582" s="5" t="str">
        <f>IF(INDEX(Manual_Review!$S$6:$S$238,U3582)="","",INDEX(Manual_Review!$S$6:$S$238,U3582))</f>
        <v/>
      </c>
      <c r="J3582" s="5" t="str">
        <f t="shared" si="110"/>
        <v>AI provisional</v>
      </c>
      <c r="K3582" s="5" t="str">
        <f t="shared" si="111"/>
        <v>Y</v>
      </c>
      <c r="L3582" s="5" t="s">
        <v>2620</v>
      </c>
      <c r="M3582" s="5" t="s">
        <v>10779</v>
      </c>
      <c r="N3582" s="5" t="s">
        <v>10780</v>
      </c>
      <c r="O3582" s="5" t="s">
        <v>3022</v>
      </c>
      <c r="P3582" s="5" t="s">
        <v>2992</v>
      </c>
      <c r="Q3582" s="11">
        <v>46306.5</v>
      </c>
      <c r="R3582" s="6"/>
      <c r="S3582" s="6"/>
      <c r="T3582" s="6"/>
      <c r="U3582" s="5">
        <f>MATCH(B3582,Manual_Review!$A$6:$A$238,0)</f>
        <v>224</v>
      </c>
      <c r="V3582" s="5" t="str">
        <f>IF(INDEX(Manual_Review!$G$6:$G$238,U3582)="","",INDEX(Manual_Review!$G$6:$G$238,U3582))</f>
        <v/>
      </c>
      <c r="W3582" s="11" t="str">
        <f>IF(INDEX(Manual_Review!$H$6:$H$238,U3582)="","",INDEX(Manual_Review!$H$6:$H$238,U3582))</f>
        <v/>
      </c>
      <c r="X3582" s="5" t="str">
        <f>IF(INDEX(Manual_Review!$I$6:$I$238,U3582)="","",INDEX(Manual_Review!$I$6:$I$238,U3582))</f>
        <v/>
      </c>
      <c r="Y3582" s="5" t="s">
        <v>2859</v>
      </c>
    </row>
    <row r="3583" spans="1:25" ht="25.5">
      <c r="A3583" s="5" t="s">
        <v>10781</v>
      </c>
      <c r="B3583" s="5" t="s">
        <v>2607</v>
      </c>
      <c r="C3583" s="5" t="s">
        <v>2608</v>
      </c>
      <c r="D3583" s="5" t="s">
        <v>118</v>
      </c>
      <c r="E3583" s="5" t="s">
        <v>2790</v>
      </c>
      <c r="F3583" s="5" t="s">
        <v>2760</v>
      </c>
      <c r="G3583" s="5">
        <v>1</v>
      </c>
      <c r="H3583" s="5" t="s">
        <v>2854</v>
      </c>
      <c r="I3583" s="5" t="str">
        <f>IF(INDEX(Manual_Review!$T$6:$T$238,U3583)="","",INDEX(Manual_Review!$T$6:$T$238,U3583))</f>
        <v/>
      </c>
      <c r="J3583" s="5" t="str">
        <f t="shared" si="110"/>
        <v>AI provisional</v>
      </c>
      <c r="K3583" s="5" t="str">
        <f t="shared" si="111"/>
        <v>Y</v>
      </c>
      <c r="L3583" s="5" t="s">
        <v>2620</v>
      </c>
      <c r="M3583" s="5" t="s">
        <v>10782</v>
      </c>
      <c r="N3583" s="5" t="s">
        <v>10783</v>
      </c>
      <c r="O3583" s="5" t="s">
        <v>3451</v>
      </c>
      <c r="P3583" s="5" t="s">
        <v>2992</v>
      </c>
      <c r="Q3583" s="11">
        <v>46306.5</v>
      </c>
      <c r="R3583" s="6"/>
      <c r="S3583" s="6"/>
      <c r="T3583" s="6"/>
      <c r="U3583" s="5">
        <f>MATCH(B3583,Manual_Review!$A$6:$A$238,0)</f>
        <v>224</v>
      </c>
      <c r="V3583" s="5" t="str">
        <f>IF(INDEX(Manual_Review!$G$6:$G$238,U3583)="","",INDEX(Manual_Review!$G$6:$G$238,U3583))</f>
        <v/>
      </c>
      <c r="W3583" s="11" t="str">
        <f>IF(INDEX(Manual_Review!$H$6:$H$238,U3583)="","",INDEX(Manual_Review!$H$6:$H$238,U3583))</f>
        <v/>
      </c>
      <c r="X3583" s="5" t="str">
        <f>IF(INDEX(Manual_Review!$I$6:$I$238,U3583)="","",INDEX(Manual_Review!$I$6:$I$238,U3583))</f>
        <v/>
      </c>
      <c r="Y3583" s="5" t="s">
        <v>2859</v>
      </c>
    </row>
    <row r="3584" spans="1:25" ht="25.5">
      <c r="A3584" s="5" t="s">
        <v>10784</v>
      </c>
      <c r="B3584" s="5" t="s">
        <v>2607</v>
      </c>
      <c r="C3584" s="5" t="s">
        <v>2608</v>
      </c>
      <c r="D3584" s="5" t="s">
        <v>118</v>
      </c>
      <c r="E3584" s="5" t="s">
        <v>2791</v>
      </c>
      <c r="F3584" s="5" t="s">
        <v>2760</v>
      </c>
      <c r="G3584" s="5">
        <v>1</v>
      </c>
      <c r="H3584" s="5" t="s">
        <v>2864</v>
      </c>
      <c r="I3584" s="5" t="str">
        <f>IF(INDEX(Manual_Review!$U$6:$U$238,U3584)="","",INDEX(Manual_Review!$U$6:$U$238,U3584))</f>
        <v/>
      </c>
      <c r="J3584" s="5" t="str">
        <f t="shared" si="110"/>
        <v>AI provisional</v>
      </c>
      <c r="K3584" s="5" t="str">
        <f t="shared" si="111"/>
        <v>U</v>
      </c>
      <c r="L3584" s="5" t="s">
        <v>2620</v>
      </c>
      <c r="M3584" s="5" t="s">
        <v>10785</v>
      </c>
      <c r="N3584" s="5" t="s">
        <v>10786</v>
      </c>
      <c r="O3584" s="5" t="s">
        <v>3030</v>
      </c>
      <c r="P3584" s="5" t="s">
        <v>2992</v>
      </c>
      <c r="Q3584" s="11">
        <v>46306.5</v>
      </c>
      <c r="R3584" s="6"/>
      <c r="S3584" s="6"/>
      <c r="T3584" s="6"/>
      <c r="U3584" s="5">
        <f>MATCH(B3584,Manual_Review!$A$6:$A$238,0)</f>
        <v>224</v>
      </c>
      <c r="V3584" s="5" t="str">
        <f>IF(INDEX(Manual_Review!$G$6:$G$238,U3584)="","",INDEX(Manual_Review!$G$6:$G$238,U3584))</f>
        <v/>
      </c>
      <c r="W3584" s="11" t="str">
        <f>IF(INDEX(Manual_Review!$H$6:$H$238,U3584)="","",INDEX(Manual_Review!$H$6:$H$238,U3584))</f>
        <v/>
      </c>
      <c r="X3584" s="5" t="str">
        <f>IF(INDEX(Manual_Review!$I$6:$I$238,U3584)="","",INDEX(Manual_Review!$I$6:$I$238,U3584))</f>
        <v/>
      </c>
      <c r="Y3584" s="5" t="s">
        <v>2859</v>
      </c>
    </row>
    <row r="3585" spans="1:25" ht="25.5">
      <c r="A3585" s="5" t="s">
        <v>10787</v>
      </c>
      <c r="B3585" s="5" t="s">
        <v>2607</v>
      </c>
      <c r="C3585" s="5" t="s">
        <v>2608</v>
      </c>
      <c r="D3585" s="5" t="s">
        <v>118</v>
      </c>
      <c r="E3585" s="5" t="s">
        <v>2792</v>
      </c>
      <c r="F3585" s="5" t="s">
        <v>2762</v>
      </c>
      <c r="G3585" s="5">
        <v>1</v>
      </c>
      <c r="H3585" s="5" t="s">
        <v>2864</v>
      </c>
      <c r="I3585" s="5" t="str">
        <f>IF(INDEX(Manual_Review!$V$6:$V$238,U3585)="","",INDEX(Manual_Review!$V$6:$V$238,U3585))</f>
        <v/>
      </c>
      <c r="J3585" s="5" t="str">
        <f t="shared" si="110"/>
        <v>AI provisional</v>
      </c>
      <c r="K3585" s="5" t="str">
        <f t="shared" si="111"/>
        <v>U</v>
      </c>
      <c r="L3585" s="5" t="s">
        <v>2620</v>
      </c>
      <c r="M3585" s="5" t="s">
        <v>10788</v>
      </c>
      <c r="N3585" s="5" t="s">
        <v>10789</v>
      </c>
      <c r="O3585" s="5" t="s">
        <v>3947</v>
      </c>
      <c r="P3585" s="5" t="s">
        <v>2992</v>
      </c>
      <c r="Q3585" s="11">
        <v>46306.5</v>
      </c>
      <c r="R3585" s="6"/>
      <c r="S3585" s="6"/>
      <c r="T3585" s="6"/>
      <c r="U3585" s="5">
        <f>MATCH(B3585,Manual_Review!$A$6:$A$238,0)</f>
        <v>224</v>
      </c>
      <c r="V3585" s="5" t="str">
        <f>IF(INDEX(Manual_Review!$G$6:$G$238,U3585)="","",INDEX(Manual_Review!$G$6:$G$238,U3585))</f>
        <v/>
      </c>
      <c r="W3585" s="11" t="str">
        <f>IF(INDEX(Manual_Review!$H$6:$H$238,U3585)="","",INDEX(Manual_Review!$H$6:$H$238,U3585))</f>
        <v/>
      </c>
      <c r="X3585" s="5" t="str">
        <f>IF(INDEX(Manual_Review!$I$6:$I$238,U3585)="","",INDEX(Manual_Review!$I$6:$I$238,U3585))</f>
        <v/>
      </c>
      <c r="Y3585" s="5" t="s">
        <v>2859</v>
      </c>
    </row>
    <row r="3586" spans="1:25" ht="51">
      <c r="A3586" s="5" t="s">
        <v>10790</v>
      </c>
      <c r="B3586" s="5" t="s">
        <v>2607</v>
      </c>
      <c r="C3586" s="5" t="s">
        <v>2608</v>
      </c>
      <c r="D3586" s="5" t="s">
        <v>118</v>
      </c>
      <c r="E3586" s="5" t="s">
        <v>2793</v>
      </c>
      <c r="F3586" s="5" t="s">
        <v>2762</v>
      </c>
      <c r="G3586" s="5">
        <v>1</v>
      </c>
      <c r="H3586" s="5" t="s">
        <v>2854</v>
      </c>
      <c r="I3586" s="5" t="str">
        <f>IF(INDEX(Manual_Review!$W$6:$W$238,U3586)="","",INDEX(Manual_Review!$W$6:$W$238,U3586))</f>
        <v/>
      </c>
      <c r="J3586" s="5" t="str">
        <f t="shared" si="110"/>
        <v>AI provisional</v>
      </c>
      <c r="K3586" s="5" t="str">
        <f t="shared" si="111"/>
        <v>Y</v>
      </c>
      <c r="L3586" s="5" t="s">
        <v>2620</v>
      </c>
      <c r="M3586" s="5" t="s">
        <v>10791</v>
      </c>
      <c r="N3586" s="5" t="s">
        <v>10792</v>
      </c>
      <c r="O3586" s="5" t="s">
        <v>3038</v>
      </c>
      <c r="P3586" s="5" t="s">
        <v>2992</v>
      </c>
      <c r="Q3586" s="11">
        <v>46306.5</v>
      </c>
      <c r="R3586" s="6"/>
      <c r="S3586" s="6"/>
      <c r="T3586" s="6"/>
      <c r="U3586" s="5">
        <f>MATCH(B3586,Manual_Review!$A$6:$A$238,0)</f>
        <v>224</v>
      </c>
      <c r="V3586" s="5" t="str">
        <f>IF(INDEX(Manual_Review!$G$6:$G$238,U3586)="","",INDEX(Manual_Review!$G$6:$G$238,U3586))</f>
        <v/>
      </c>
      <c r="W3586" s="11" t="str">
        <f>IF(INDEX(Manual_Review!$H$6:$H$238,U3586)="","",INDEX(Manual_Review!$H$6:$H$238,U3586))</f>
        <v/>
      </c>
      <c r="X3586" s="5" t="str">
        <f>IF(INDEX(Manual_Review!$I$6:$I$238,U3586)="","",INDEX(Manual_Review!$I$6:$I$238,U3586))</f>
        <v/>
      </c>
      <c r="Y3586" s="5" t="s">
        <v>2859</v>
      </c>
    </row>
    <row r="3587" spans="1:25" ht="25.5">
      <c r="A3587" s="5" t="s">
        <v>10793</v>
      </c>
      <c r="B3587" s="5" t="s">
        <v>2607</v>
      </c>
      <c r="C3587" s="5" t="s">
        <v>2608</v>
      </c>
      <c r="D3587" s="5" t="s">
        <v>118</v>
      </c>
      <c r="E3587" s="5" t="s">
        <v>2794</v>
      </c>
      <c r="F3587" s="5" t="s">
        <v>2764</v>
      </c>
      <c r="G3587" s="5">
        <v>1</v>
      </c>
      <c r="H3587" s="5" t="s">
        <v>2854</v>
      </c>
      <c r="I3587" s="5" t="str">
        <f>IF(INDEX(Manual_Review!$X$6:$X$238,U3587)="","",INDEX(Manual_Review!$X$6:$X$238,U3587))</f>
        <v/>
      </c>
      <c r="J3587" s="5" t="str">
        <f t="shared" si="110"/>
        <v>AI provisional</v>
      </c>
      <c r="K3587" s="5" t="str">
        <f t="shared" si="111"/>
        <v>Y</v>
      </c>
      <c r="L3587" s="5" t="s">
        <v>2620</v>
      </c>
      <c r="M3587" s="5" t="s">
        <v>10794</v>
      </c>
      <c r="N3587" s="5" t="s">
        <v>10795</v>
      </c>
      <c r="O3587" s="5" t="s">
        <v>3042</v>
      </c>
      <c r="P3587" s="5" t="s">
        <v>2992</v>
      </c>
      <c r="Q3587" s="11">
        <v>46306.5</v>
      </c>
      <c r="R3587" s="6"/>
      <c r="S3587" s="6"/>
      <c r="T3587" s="6"/>
      <c r="U3587" s="5">
        <f>MATCH(B3587,Manual_Review!$A$6:$A$238,0)</f>
        <v>224</v>
      </c>
      <c r="V3587" s="5" t="str">
        <f>IF(INDEX(Manual_Review!$G$6:$G$238,U3587)="","",INDEX(Manual_Review!$G$6:$G$238,U3587))</f>
        <v/>
      </c>
      <c r="W3587" s="11" t="str">
        <f>IF(INDEX(Manual_Review!$H$6:$H$238,U3587)="","",INDEX(Manual_Review!$H$6:$H$238,U3587))</f>
        <v/>
      </c>
      <c r="X3587" s="5" t="str">
        <f>IF(INDEX(Manual_Review!$I$6:$I$238,U3587)="","",INDEX(Manual_Review!$I$6:$I$238,U3587))</f>
        <v/>
      </c>
      <c r="Y3587" s="5" t="s">
        <v>2859</v>
      </c>
    </row>
    <row r="3588" spans="1:25" ht="25.5">
      <c r="A3588" s="5" t="s">
        <v>10796</v>
      </c>
      <c r="B3588" s="5" t="s">
        <v>2607</v>
      </c>
      <c r="C3588" s="5" t="s">
        <v>2608</v>
      </c>
      <c r="D3588" s="5" t="s">
        <v>118</v>
      </c>
      <c r="E3588" s="5" t="s">
        <v>2795</v>
      </c>
      <c r="F3588" s="5" t="s">
        <v>2764</v>
      </c>
      <c r="G3588" s="5">
        <v>1</v>
      </c>
      <c r="H3588" s="5" t="s">
        <v>2864</v>
      </c>
      <c r="I3588" s="5" t="str">
        <f>IF(INDEX(Manual_Review!$Y$6:$Y$238,U3588)="","",INDEX(Manual_Review!$Y$6:$Y$238,U3588))</f>
        <v/>
      </c>
      <c r="J3588" s="5" t="str">
        <f t="shared" si="110"/>
        <v>AI provisional</v>
      </c>
      <c r="K3588" s="5" t="str">
        <f t="shared" si="111"/>
        <v>U</v>
      </c>
      <c r="L3588" s="5" t="s">
        <v>2620</v>
      </c>
      <c r="M3588" s="5" t="s">
        <v>10797</v>
      </c>
      <c r="N3588" s="5" t="s">
        <v>10798</v>
      </c>
      <c r="O3588" s="5" t="s">
        <v>3469</v>
      </c>
      <c r="P3588" s="5" t="s">
        <v>2992</v>
      </c>
      <c r="Q3588" s="11">
        <v>46306.5</v>
      </c>
      <c r="R3588" s="6"/>
      <c r="S3588" s="6"/>
      <c r="T3588" s="6"/>
      <c r="U3588" s="5">
        <f>MATCH(B3588,Manual_Review!$A$6:$A$238,0)</f>
        <v>224</v>
      </c>
      <c r="V3588" s="5" t="str">
        <f>IF(INDEX(Manual_Review!$G$6:$G$238,U3588)="","",INDEX(Manual_Review!$G$6:$G$238,U3588))</f>
        <v/>
      </c>
      <c r="W3588" s="11" t="str">
        <f>IF(INDEX(Manual_Review!$H$6:$H$238,U3588)="","",INDEX(Manual_Review!$H$6:$H$238,U3588))</f>
        <v/>
      </c>
      <c r="X3588" s="5" t="str">
        <f>IF(INDEX(Manual_Review!$I$6:$I$238,U3588)="","",INDEX(Manual_Review!$I$6:$I$238,U3588))</f>
        <v/>
      </c>
      <c r="Y3588" s="5" t="s">
        <v>2859</v>
      </c>
    </row>
    <row r="3589" spans="1:25" ht="51">
      <c r="A3589" s="5" t="s">
        <v>10799</v>
      </c>
      <c r="B3589" s="5" t="s">
        <v>2607</v>
      </c>
      <c r="C3589" s="5" t="s">
        <v>2608</v>
      </c>
      <c r="D3589" s="5" t="s">
        <v>118</v>
      </c>
      <c r="E3589" s="5" t="s">
        <v>2796</v>
      </c>
      <c r="F3589" s="5" t="s">
        <v>2764</v>
      </c>
      <c r="G3589" s="5">
        <v>1</v>
      </c>
      <c r="H3589" s="5" t="s">
        <v>2854</v>
      </c>
      <c r="I3589" s="5" t="str">
        <f>IF(INDEX(Manual_Review!$Z$6:$Z$238,U3589)="","",INDEX(Manual_Review!$Z$6:$Z$238,U3589))</f>
        <v/>
      </c>
      <c r="J3589" s="5" t="str">
        <f t="shared" si="110"/>
        <v>AI provisional</v>
      </c>
      <c r="K3589" s="5" t="str">
        <f t="shared" si="111"/>
        <v>Y</v>
      </c>
      <c r="L3589" s="5" t="s">
        <v>2620</v>
      </c>
      <c r="M3589" s="5" t="s">
        <v>10800</v>
      </c>
      <c r="N3589" s="5" t="s">
        <v>10801</v>
      </c>
      <c r="O3589" s="5" t="s">
        <v>3960</v>
      </c>
      <c r="P3589" s="5" t="s">
        <v>2992</v>
      </c>
      <c r="Q3589" s="11">
        <v>46306.5</v>
      </c>
      <c r="R3589" s="6"/>
      <c r="S3589" s="6"/>
      <c r="T3589" s="6"/>
      <c r="U3589" s="5">
        <f>MATCH(B3589,Manual_Review!$A$6:$A$238,0)</f>
        <v>224</v>
      </c>
      <c r="V3589" s="5" t="str">
        <f>IF(INDEX(Manual_Review!$G$6:$G$238,U3589)="","",INDEX(Manual_Review!$G$6:$G$238,U3589))</f>
        <v/>
      </c>
      <c r="W3589" s="11" t="str">
        <f>IF(INDEX(Manual_Review!$H$6:$H$238,U3589)="","",INDEX(Manual_Review!$H$6:$H$238,U3589))</f>
        <v/>
      </c>
      <c r="X3589" s="5" t="str">
        <f>IF(INDEX(Manual_Review!$I$6:$I$238,U3589)="","",INDEX(Manual_Review!$I$6:$I$238,U3589))</f>
        <v/>
      </c>
      <c r="Y3589" s="5" t="s">
        <v>2859</v>
      </c>
    </row>
    <row r="3590" spans="1:25" ht="25.5">
      <c r="A3590" s="5" t="s">
        <v>10802</v>
      </c>
      <c r="B3590" s="5" t="s">
        <v>2622</v>
      </c>
      <c r="C3590" s="5" t="s">
        <v>2623</v>
      </c>
      <c r="D3590" s="5" t="s">
        <v>118</v>
      </c>
      <c r="E3590" s="5" t="s">
        <v>2781</v>
      </c>
      <c r="F3590" s="5" t="s">
        <v>2754</v>
      </c>
      <c r="G3590" s="5">
        <v>1</v>
      </c>
      <c r="H3590" s="5" t="s">
        <v>2854</v>
      </c>
      <c r="I3590" s="5" t="str">
        <f>IF(INDEX(Manual_Review!$K$6:$K$238,U3590)="","",INDEX(Manual_Review!$K$6:$K$238,U3590))</f>
        <v/>
      </c>
      <c r="J3590" s="5" t="str">
        <f t="shared" ref="J3590:J3653" si="112">IF(G3590=0,"Not applicable",IF(I3590="","AI provisional",IF(AND(OR(I3590="Y",I3590="N",I3590="U",I3590="X"),V3590&lt;&gt;"",ISNUMBER(W3590),W3590&gt;0,X3590="Confirmed",R3590&lt;&gt;"",S3590&lt;&gt;"",T3590&lt;&gt;""),"Human valid","Evidence needed")))</f>
        <v>AI provisional</v>
      </c>
      <c r="K3590" s="5" t="str">
        <f t="shared" ref="K3590:K3653" si="113">IF(G3590=0,"N/A",IF(I3590="",H3590,IF(J3590="Human valid",I3590,"U")))</f>
        <v>Y</v>
      </c>
      <c r="L3590" s="5" t="s">
        <v>2634</v>
      </c>
      <c r="M3590" s="5" t="s">
        <v>10803</v>
      </c>
      <c r="N3590" s="5" t="s">
        <v>10804</v>
      </c>
      <c r="O3590" s="5" t="s">
        <v>2991</v>
      </c>
      <c r="P3590" s="5" t="s">
        <v>2992</v>
      </c>
      <c r="Q3590" s="11">
        <v>46306.5</v>
      </c>
      <c r="R3590" s="6"/>
      <c r="S3590" s="6"/>
      <c r="T3590" s="6"/>
      <c r="U3590" s="5">
        <f>MATCH(B3590,Manual_Review!$A$6:$A$238,0)</f>
        <v>225</v>
      </c>
      <c r="V3590" s="5" t="str">
        <f>IF(INDEX(Manual_Review!$G$6:$G$238,U3590)="","",INDEX(Manual_Review!$G$6:$G$238,U3590))</f>
        <v/>
      </c>
      <c r="W3590" s="11" t="str">
        <f>IF(INDEX(Manual_Review!$H$6:$H$238,U3590)="","",INDEX(Manual_Review!$H$6:$H$238,U3590))</f>
        <v/>
      </c>
      <c r="X3590" s="5" t="str">
        <f>IF(INDEX(Manual_Review!$I$6:$I$238,U3590)="","",INDEX(Manual_Review!$I$6:$I$238,U3590))</f>
        <v/>
      </c>
      <c r="Y3590" s="5" t="s">
        <v>2859</v>
      </c>
    </row>
    <row r="3591" spans="1:25" ht="25.5">
      <c r="A3591" s="5" t="s">
        <v>10805</v>
      </c>
      <c r="B3591" s="5" t="s">
        <v>2622</v>
      </c>
      <c r="C3591" s="5" t="s">
        <v>2623</v>
      </c>
      <c r="D3591" s="5" t="s">
        <v>118</v>
      </c>
      <c r="E3591" s="5" t="s">
        <v>2782</v>
      </c>
      <c r="F3591" s="5" t="s">
        <v>2754</v>
      </c>
      <c r="G3591" s="5">
        <v>1</v>
      </c>
      <c r="H3591" s="5" t="s">
        <v>2854</v>
      </c>
      <c r="I3591" s="5" t="str">
        <f>IF(INDEX(Manual_Review!$L$6:$L$238,U3591)="","",INDEX(Manual_Review!$L$6:$L$238,U3591))</f>
        <v/>
      </c>
      <c r="J3591" s="5" t="str">
        <f t="shared" si="112"/>
        <v>AI provisional</v>
      </c>
      <c r="K3591" s="5" t="str">
        <f t="shared" si="113"/>
        <v>Y</v>
      </c>
      <c r="L3591" s="5" t="s">
        <v>2634</v>
      </c>
      <c r="M3591" s="5" t="s">
        <v>10806</v>
      </c>
      <c r="N3591" s="5" t="s">
        <v>10807</v>
      </c>
      <c r="O3591" s="5" t="s">
        <v>2996</v>
      </c>
      <c r="P3591" s="5" t="s">
        <v>2992</v>
      </c>
      <c r="Q3591" s="11">
        <v>46306.5</v>
      </c>
      <c r="R3591" s="6"/>
      <c r="S3591" s="6"/>
      <c r="T3591" s="6"/>
      <c r="U3591" s="5">
        <f>MATCH(B3591,Manual_Review!$A$6:$A$238,0)</f>
        <v>225</v>
      </c>
      <c r="V3591" s="5" t="str">
        <f>IF(INDEX(Manual_Review!$G$6:$G$238,U3591)="","",INDEX(Manual_Review!$G$6:$G$238,U3591))</f>
        <v/>
      </c>
      <c r="W3591" s="11" t="str">
        <f>IF(INDEX(Manual_Review!$H$6:$H$238,U3591)="","",INDEX(Manual_Review!$H$6:$H$238,U3591))</f>
        <v/>
      </c>
      <c r="X3591" s="5" t="str">
        <f>IF(INDEX(Manual_Review!$I$6:$I$238,U3591)="","",INDEX(Manual_Review!$I$6:$I$238,U3591))</f>
        <v/>
      </c>
      <c r="Y3591" s="5" t="s">
        <v>2859</v>
      </c>
    </row>
    <row r="3592" spans="1:25" ht="25.5">
      <c r="A3592" s="5" t="s">
        <v>10808</v>
      </c>
      <c r="B3592" s="5" t="s">
        <v>2622</v>
      </c>
      <c r="C3592" s="5" t="s">
        <v>2623</v>
      </c>
      <c r="D3592" s="5" t="s">
        <v>118</v>
      </c>
      <c r="E3592" s="5" t="s">
        <v>2783</v>
      </c>
      <c r="F3592" s="5" t="s">
        <v>2754</v>
      </c>
      <c r="G3592" s="5">
        <v>1</v>
      </c>
      <c r="H3592" s="5" t="s">
        <v>2854</v>
      </c>
      <c r="I3592" s="5" t="str">
        <f>IF(INDEX(Manual_Review!$M$6:$M$238,U3592)="","",INDEX(Manual_Review!$M$6:$M$238,U3592))</f>
        <v/>
      </c>
      <c r="J3592" s="5" t="str">
        <f t="shared" si="112"/>
        <v>AI provisional</v>
      </c>
      <c r="K3592" s="5" t="str">
        <f t="shared" si="113"/>
        <v>Y</v>
      </c>
      <c r="L3592" s="5" t="s">
        <v>2634</v>
      </c>
      <c r="M3592" s="5" t="s">
        <v>10809</v>
      </c>
      <c r="N3592" s="5" t="s">
        <v>10810</v>
      </c>
      <c r="O3592" s="5" t="s">
        <v>3000</v>
      </c>
      <c r="P3592" s="5" t="s">
        <v>2992</v>
      </c>
      <c r="Q3592" s="11">
        <v>46306.5</v>
      </c>
      <c r="R3592" s="6"/>
      <c r="S3592" s="6"/>
      <c r="T3592" s="6"/>
      <c r="U3592" s="5">
        <f>MATCH(B3592,Manual_Review!$A$6:$A$238,0)</f>
        <v>225</v>
      </c>
      <c r="V3592" s="5" t="str">
        <f>IF(INDEX(Manual_Review!$G$6:$G$238,U3592)="","",INDEX(Manual_Review!$G$6:$G$238,U3592))</f>
        <v/>
      </c>
      <c r="W3592" s="11" t="str">
        <f>IF(INDEX(Manual_Review!$H$6:$H$238,U3592)="","",INDEX(Manual_Review!$H$6:$H$238,U3592))</f>
        <v/>
      </c>
      <c r="X3592" s="5" t="str">
        <f>IF(INDEX(Manual_Review!$I$6:$I$238,U3592)="","",INDEX(Manual_Review!$I$6:$I$238,U3592))</f>
        <v/>
      </c>
      <c r="Y3592" s="5" t="s">
        <v>2859</v>
      </c>
    </row>
    <row r="3593" spans="1:25" ht="25.5">
      <c r="A3593" s="5" t="s">
        <v>10811</v>
      </c>
      <c r="B3593" s="5" t="s">
        <v>2622</v>
      </c>
      <c r="C3593" s="5" t="s">
        <v>2623</v>
      </c>
      <c r="D3593" s="5" t="s">
        <v>118</v>
      </c>
      <c r="E3593" s="5" t="s">
        <v>2784</v>
      </c>
      <c r="F3593" s="5" t="s">
        <v>2756</v>
      </c>
      <c r="G3593" s="5">
        <v>1</v>
      </c>
      <c r="H3593" s="5" t="s">
        <v>2864</v>
      </c>
      <c r="I3593" s="5" t="str">
        <f>IF(INDEX(Manual_Review!$N$6:$N$238,U3593)="","",INDEX(Manual_Review!$N$6:$N$238,U3593))</f>
        <v/>
      </c>
      <c r="J3593" s="5" t="str">
        <f t="shared" si="112"/>
        <v>AI provisional</v>
      </c>
      <c r="K3593" s="5" t="str">
        <f t="shared" si="113"/>
        <v>U</v>
      </c>
      <c r="L3593" s="5" t="s">
        <v>2634</v>
      </c>
      <c r="M3593" s="5" t="s">
        <v>10812</v>
      </c>
      <c r="N3593" s="5" t="s">
        <v>10813</v>
      </c>
      <c r="O3593" s="5" t="s">
        <v>9214</v>
      </c>
      <c r="P3593" s="5" t="s">
        <v>2992</v>
      </c>
      <c r="Q3593" s="11">
        <v>46306.5</v>
      </c>
      <c r="R3593" s="6"/>
      <c r="S3593" s="6"/>
      <c r="T3593" s="6"/>
      <c r="U3593" s="5">
        <f>MATCH(B3593,Manual_Review!$A$6:$A$238,0)</f>
        <v>225</v>
      </c>
      <c r="V3593" s="5" t="str">
        <f>IF(INDEX(Manual_Review!$G$6:$G$238,U3593)="","",INDEX(Manual_Review!$G$6:$G$238,U3593))</f>
        <v/>
      </c>
      <c r="W3593" s="11" t="str">
        <f>IF(INDEX(Manual_Review!$H$6:$H$238,U3593)="","",INDEX(Manual_Review!$H$6:$H$238,U3593))</f>
        <v/>
      </c>
      <c r="X3593" s="5" t="str">
        <f>IF(INDEX(Manual_Review!$I$6:$I$238,U3593)="","",INDEX(Manual_Review!$I$6:$I$238,U3593))</f>
        <v/>
      </c>
      <c r="Y3593" s="5" t="s">
        <v>2859</v>
      </c>
    </row>
    <row r="3594" spans="1:25" ht="25.5">
      <c r="A3594" s="5" t="s">
        <v>10814</v>
      </c>
      <c r="B3594" s="5" t="s">
        <v>2622</v>
      </c>
      <c r="C3594" s="5" t="s">
        <v>2623</v>
      </c>
      <c r="D3594" s="5" t="s">
        <v>118</v>
      </c>
      <c r="E3594" s="5" t="s">
        <v>2785</v>
      </c>
      <c r="F3594" s="5" t="s">
        <v>2756</v>
      </c>
      <c r="G3594" s="5">
        <v>1</v>
      </c>
      <c r="H3594" s="5" t="s">
        <v>2864</v>
      </c>
      <c r="I3594" s="5" t="str">
        <f>IF(INDEX(Manual_Review!$O$6:$O$238,U3594)="","",INDEX(Manual_Review!$O$6:$O$238,U3594))</f>
        <v/>
      </c>
      <c r="J3594" s="5" t="str">
        <f t="shared" si="112"/>
        <v>AI provisional</v>
      </c>
      <c r="K3594" s="5" t="str">
        <f t="shared" si="113"/>
        <v>U</v>
      </c>
      <c r="L3594" s="5" t="s">
        <v>2634</v>
      </c>
      <c r="M3594" s="5" t="s">
        <v>10812</v>
      </c>
      <c r="N3594" s="5" t="s">
        <v>10813</v>
      </c>
      <c r="O3594" s="5" t="s">
        <v>3006</v>
      </c>
      <c r="P3594" s="5" t="s">
        <v>2992</v>
      </c>
      <c r="Q3594" s="11">
        <v>46306.5</v>
      </c>
      <c r="R3594" s="6"/>
      <c r="S3594" s="6"/>
      <c r="T3594" s="6"/>
      <c r="U3594" s="5">
        <f>MATCH(B3594,Manual_Review!$A$6:$A$238,0)</f>
        <v>225</v>
      </c>
      <c r="V3594" s="5" t="str">
        <f>IF(INDEX(Manual_Review!$G$6:$G$238,U3594)="","",INDEX(Manual_Review!$G$6:$G$238,U3594))</f>
        <v/>
      </c>
      <c r="W3594" s="11" t="str">
        <f>IF(INDEX(Manual_Review!$H$6:$H$238,U3594)="","",INDEX(Manual_Review!$H$6:$H$238,U3594))</f>
        <v/>
      </c>
      <c r="X3594" s="5" t="str">
        <f>IF(INDEX(Manual_Review!$I$6:$I$238,U3594)="","",INDEX(Manual_Review!$I$6:$I$238,U3594))</f>
        <v/>
      </c>
      <c r="Y3594" s="5" t="s">
        <v>2859</v>
      </c>
    </row>
    <row r="3595" spans="1:25" ht="38.25">
      <c r="A3595" s="5" t="s">
        <v>10815</v>
      </c>
      <c r="B3595" s="5" t="s">
        <v>2622</v>
      </c>
      <c r="C3595" s="5" t="s">
        <v>2623</v>
      </c>
      <c r="D3595" s="5" t="s">
        <v>118</v>
      </c>
      <c r="E3595" s="5" t="s">
        <v>2786</v>
      </c>
      <c r="F3595" s="5" t="s">
        <v>2756</v>
      </c>
      <c r="G3595" s="5">
        <v>1</v>
      </c>
      <c r="H3595" s="5" t="s">
        <v>2864</v>
      </c>
      <c r="I3595" s="5" t="str">
        <f>IF(INDEX(Manual_Review!$P$6:$P$238,U3595)="","",INDEX(Manual_Review!$P$6:$P$238,U3595))</f>
        <v/>
      </c>
      <c r="J3595" s="5" t="str">
        <f t="shared" si="112"/>
        <v>AI provisional</v>
      </c>
      <c r="K3595" s="5" t="str">
        <f t="shared" si="113"/>
        <v>U</v>
      </c>
      <c r="L3595" s="5" t="s">
        <v>2634</v>
      </c>
      <c r="M3595" s="5" t="s">
        <v>10816</v>
      </c>
      <c r="N3595" s="5" t="s">
        <v>10817</v>
      </c>
      <c r="O3595" s="5" t="s">
        <v>3010</v>
      </c>
      <c r="P3595" s="5" t="s">
        <v>2992</v>
      </c>
      <c r="Q3595" s="11">
        <v>46306.5</v>
      </c>
      <c r="R3595" s="6"/>
      <c r="S3595" s="6"/>
      <c r="T3595" s="6"/>
      <c r="U3595" s="5">
        <f>MATCH(B3595,Manual_Review!$A$6:$A$238,0)</f>
        <v>225</v>
      </c>
      <c r="V3595" s="5" t="str">
        <f>IF(INDEX(Manual_Review!$G$6:$G$238,U3595)="","",INDEX(Manual_Review!$G$6:$G$238,U3595))</f>
        <v/>
      </c>
      <c r="W3595" s="11" t="str">
        <f>IF(INDEX(Manual_Review!$H$6:$H$238,U3595)="","",INDEX(Manual_Review!$H$6:$H$238,U3595))</f>
        <v/>
      </c>
      <c r="X3595" s="5" t="str">
        <f>IF(INDEX(Manual_Review!$I$6:$I$238,U3595)="","",INDEX(Manual_Review!$I$6:$I$238,U3595))</f>
        <v/>
      </c>
      <c r="Y3595" s="5" t="s">
        <v>2859</v>
      </c>
    </row>
    <row r="3596" spans="1:25" ht="25.5">
      <c r="A3596" s="5" t="s">
        <v>10818</v>
      </c>
      <c r="B3596" s="5" t="s">
        <v>2622</v>
      </c>
      <c r="C3596" s="5" t="s">
        <v>2623</v>
      </c>
      <c r="D3596" s="5" t="s">
        <v>118</v>
      </c>
      <c r="E3596" s="5" t="s">
        <v>2787</v>
      </c>
      <c r="F3596" s="5" t="s">
        <v>2758</v>
      </c>
      <c r="G3596" s="5">
        <v>1</v>
      </c>
      <c r="H3596" s="5" t="s">
        <v>2864</v>
      </c>
      <c r="I3596" s="5" t="str">
        <f>IF(INDEX(Manual_Review!$Q$6:$Q$238,U3596)="","",INDEX(Manual_Review!$Q$6:$Q$238,U3596))</f>
        <v/>
      </c>
      <c r="J3596" s="5" t="str">
        <f t="shared" si="112"/>
        <v>AI provisional</v>
      </c>
      <c r="K3596" s="5" t="str">
        <f t="shared" si="113"/>
        <v>U</v>
      </c>
      <c r="L3596" s="5" t="s">
        <v>2634</v>
      </c>
      <c r="M3596" s="5" t="s">
        <v>10819</v>
      </c>
      <c r="N3596" s="5" t="s">
        <v>10820</v>
      </c>
      <c r="O3596" s="5" t="s">
        <v>3014</v>
      </c>
      <c r="P3596" s="5" t="s">
        <v>2992</v>
      </c>
      <c r="Q3596" s="11">
        <v>46306.5</v>
      </c>
      <c r="R3596" s="6"/>
      <c r="S3596" s="6"/>
      <c r="T3596" s="6"/>
      <c r="U3596" s="5">
        <f>MATCH(B3596,Manual_Review!$A$6:$A$238,0)</f>
        <v>225</v>
      </c>
      <c r="V3596" s="5" t="str">
        <f>IF(INDEX(Manual_Review!$G$6:$G$238,U3596)="","",INDEX(Manual_Review!$G$6:$G$238,U3596))</f>
        <v/>
      </c>
      <c r="W3596" s="11" t="str">
        <f>IF(INDEX(Manual_Review!$H$6:$H$238,U3596)="","",INDEX(Manual_Review!$H$6:$H$238,U3596))</f>
        <v/>
      </c>
      <c r="X3596" s="5" t="str">
        <f>IF(INDEX(Manual_Review!$I$6:$I$238,U3596)="","",INDEX(Manual_Review!$I$6:$I$238,U3596))</f>
        <v/>
      </c>
      <c r="Y3596" s="5" t="s">
        <v>2859</v>
      </c>
    </row>
    <row r="3597" spans="1:25" ht="51">
      <c r="A3597" s="5" t="s">
        <v>10821</v>
      </c>
      <c r="B3597" s="5" t="s">
        <v>2622</v>
      </c>
      <c r="C3597" s="5" t="s">
        <v>2623</v>
      </c>
      <c r="D3597" s="5" t="s">
        <v>118</v>
      </c>
      <c r="E3597" s="5" t="s">
        <v>2788</v>
      </c>
      <c r="F3597" s="5" t="s">
        <v>2758</v>
      </c>
      <c r="G3597" s="5">
        <v>1</v>
      </c>
      <c r="H3597" s="5" t="s">
        <v>2854</v>
      </c>
      <c r="I3597" s="5" t="str">
        <f>IF(INDEX(Manual_Review!$R$6:$R$238,U3597)="","",INDEX(Manual_Review!$R$6:$R$238,U3597))</f>
        <v/>
      </c>
      <c r="J3597" s="5" t="str">
        <f t="shared" si="112"/>
        <v>AI provisional</v>
      </c>
      <c r="K3597" s="5" t="str">
        <f t="shared" si="113"/>
        <v>Y</v>
      </c>
      <c r="L3597" s="5" t="s">
        <v>2634</v>
      </c>
      <c r="M3597" s="5" t="s">
        <v>10822</v>
      </c>
      <c r="N3597" s="5" t="s">
        <v>10823</v>
      </c>
      <c r="O3597" s="5" t="s">
        <v>3018</v>
      </c>
      <c r="P3597" s="5" t="s">
        <v>2992</v>
      </c>
      <c r="Q3597" s="11">
        <v>46306.5</v>
      </c>
      <c r="R3597" s="6"/>
      <c r="S3597" s="6"/>
      <c r="T3597" s="6"/>
      <c r="U3597" s="5">
        <f>MATCH(B3597,Manual_Review!$A$6:$A$238,0)</f>
        <v>225</v>
      </c>
      <c r="V3597" s="5" t="str">
        <f>IF(INDEX(Manual_Review!$G$6:$G$238,U3597)="","",INDEX(Manual_Review!$G$6:$G$238,U3597))</f>
        <v/>
      </c>
      <c r="W3597" s="11" t="str">
        <f>IF(INDEX(Manual_Review!$H$6:$H$238,U3597)="","",INDEX(Manual_Review!$H$6:$H$238,U3597))</f>
        <v/>
      </c>
      <c r="X3597" s="5" t="str">
        <f>IF(INDEX(Manual_Review!$I$6:$I$238,U3597)="","",INDEX(Manual_Review!$I$6:$I$238,U3597))</f>
        <v/>
      </c>
      <c r="Y3597" s="5" t="s">
        <v>2859</v>
      </c>
    </row>
    <row r="3598" spans="1:25" ht="38.25">
      <c r="A3598" s="5" t="s">
        <v>10824</v>
      </c>
      <c r="B3598" s="5" t="s">
        <v>2622</v>
      </c>
      <c r="C3598" s="5" t="s">
        <v>2623</v>
      </c>
      <c r="D3598" s="5" t="s">
        <v>118</v>
      </c>
      <c r="E3598" s="5" t="s">
        <v>2789</v>
      </c>
      <c r="F3598" s="5" t="s">
        <v>2758</v>
      </c>
      <c r="G3598" s="5">
        <v>1</v>
      </c>
      <c r="H3598" s="5" t="s">
        <v>2854</v>
      </c>
      <c r="I3598" s="5" t="str">
        <f>IF(INDEX(Manual_Review!$S$6:$S$238,U3598)="","",INDEX(Manual_Review!$S$6:$S$238,U3598))</f>
        <v/>
      </c>
      <c r="J3598" s="5" t="str">
        <f t="shared" si="112"/>
        <v>AI provisional</v>
      </c>
      <c r="K3598" s="5" t="str">
        <f t="shared" si="113"/>
        <v>Y</v>
      </c>
      <c r="L3598" s="5" t="s">
        <v>2634</v>
      </c>
      <c r="M3598" s="5" t="s">
        <v>10825</v>
      </c>
      <c r="N3598" s="5" t="s">
        <v>10826</v>
      </c>
      <c r="O3598" s="5" t="s">
        <v>3022</v>
      </c>
      <c r="P3598" s="5" t="s">
        <v>2992</v>
      </c>
      <c r="Q3598" s="11">
        <v>46306.5</v>
      </c>
      <c r="R3598" s="6"/>
      <c r="S3598" s="6"/>
      <c r="T3598" s="6"/>
      <c r="U3598" s="5">
        <f>MATCH(B3598,Manual_Review!$A$6:$A$238,0)</f>
        <v>225</v>
      </c>
      <c r="V3598" s="5" t="str">
        <f>IF(INDEX(Manual_Review!$G$6:$G$238,U3598)="","",INDEX(Manual_Review!$G$6:$G$238,U3598))</f>
        <v/>
      </c>
      <c r="W3598" s="11" t="str">
        <f>IF(INDEX(Manual_Review!$H$6:$H$238,U3598)="","",INDEX(Manual_Review!$H$6:$H$238,U3598))</f>
        <v/>
      </c>
      <c r="X3598" s="5" t="str">
        <f>IF(INDEX(Manual_Review!$I$6:$I$238,U3598)="","",INDEX(Manual_Review!$I$6:$I$238,U3598))</f>
        <v/>
      </c>
      <c r="Y3598" s="5" t="s">
        <v>2859</v>
      </c>
    </row>
    <row r="3599" spans="1:25" ht="25.5">
      <c r="A3599" s="5" t="s">
        <v>10827</v>
      </c>
      <c r="B3599" s="5" t="s">
        <v>2622</v>
      </c>
      <c r="C3599" s="5" t="s">
        <v>2623</v>
      </c>
      <c r="D3599" s="5" t="s">
        <v>118</v>
      </c>
      <c r="E3599" s="5" t="s">
        <v>2790</v>
      </c>
      <c r="F3599" s="5" t="s">
        <v>2760</v>
      </c>
      <c r="G3599" s="5">
        <v>1</v>
      </c>
      <c r="H3599" s="5" t="s">
        <v>2864</v>
      </c>
      <c r="I3599" s="5" t="str">
        <f>IF(INDEX(Manual_Review!$T$6:$T$238,U3599)="","",INDEX(Manual_Review!$T$6:$T$238,U3599))</f>
        <v/>
      </c>
      <c r="J3599" s="5" t="str">
        <f t="shared" si="112"/>
        <v>AI provisional</v>
      </c>
      <c r="K3599" s="5" t="str">
        <f t="shared" si="113"/>
        <v>U</v>
      </c>
      <c r="L3599" s="5" t="s">
        <v>2634</v>
      </c>
      <c r="M3599" s="5" t="s">
        <v>10828</v>
      </c>
      <c r="N3599" s="5" t="s">
        <v>10829</v>
      </c>
      <c r="O3599" s="5" t="s">
        <v>5273</v>
      </c>
      <c r="P3599" s="5" t="s">
        <v>2992</v>
      </c>
      <c r="Q3599" s="11">
        <v>46306.5</v>
      </c>
      <c r="R3599" s="6"/>
      <c r="S3599" s="6"/>
      <c r="T3599" s="6"/>
      <c r="U3599" s="5">
        <f>MATCH(B3599,Manual_Review!$A$6:$A$238,0)</f>
        <v>225</v>
      </c>
      <c r="V3599" s="5" t="str">
        <f>IF(INDEX(Manual_Review!$G$6:$G$238,U3599)="","",INDEX(Manual_Review!$G$6:$G$238,U3599))</f>
        <v/>
      </c>
      <c r="W3599" s="11" t="str">
        <f>IF(INDEX(Manual_Review!$H$6:$H$238,U3599)="","",INDEX(Manual_Review!$H$6:$H$238,U3599))</f>
        <v/>
      </c>
      <c r="X3599" s="5" t="str">
        <f>IF(INDEX(Manual_Review!$I$6:$I$238,U3599)="","",INDEX(Manual_Review!$I$6:$I$238,U3599))</f>
        <v/>
      </c>
      <c r="Y3599" s="5" t="s">
        <v>2859</v>
      </c>
    </row>
    <row r="3600" spans="1:25" ht="25.5">
      <c r="A3600" s="5" t="s">
        <v>10830</v>
      </c>
      <c r="B3600" s="5" t="s">
        <v>2622</v>
      </c>
      <c r="C3600" s="5" t="s">
        <v>2623</v>
      </c>
      <c r="D3600" s="5" t="s">
        <v>118</v>
      </c>
      <c r="E3600" s="5" t="s">
        <v>2791</v>
      </c>
      <c r="F3600" s="5" t="s">
        <v>2760</v>
      </c>
      <c r="G3600" s="5">
        <v>1</v>
      </c>
      <c r="H3600" s="5" t="s">
        <v>2864</v>
      </c>
      <c r="I3600" s="5" t="str">
        <f>IF(INDEX(Manual_Review!$U$6:$U$238,U3600)="","",INDEX(Manual_Review!$U$6:$U$238,U3600))</f>
        <v/>
      </c>
      <c r="J3600" s="5" t="str">
        <f t="shared" si="112"/>
        <v>AI provisional</v>
      </c>
      <c r="K3600" s="5" t="str">
        <f t="shared" si="113"/>
        <v>U</v>
      </c>
      <c r="L3600" s="5" t="s">
        <v>2634</v>
      </c>
      <c r="M3600" s="5" t="s">
        <v>10831</v>
      </c>
      <c r="N3600" s="5" t="s">
        <v>10832</v>
      </c>
      <c r="O3600" s="5" t="s">
        <v>3030</v>
      </c>
      <c r="P3600" s="5" t="s">
        <v>2992</v>
      </c>
      <c r="Q3600" s="11">
        <v>46306.5</v>
      </c>
      <c r="R3600" s="6"/>
      <c r="S3600" s="6"/>
      <c r="T3600" s="6"/>
      <c r="U3600" s="5">
        <f>MATCH(B3600,Manual_Review!$A$6:$A$238,0)</f>
        <v>225</v>
      </c>
      <c r="V3600" s="5" t="str">
        <f>IF(INDEX(Manual_Review!$G$6:$G$238,U3600)="","",INDEX(Manual_Review!$G$6:$G$238,U3600))</f>
        <v/>
      </c>
      <c r="W3600" s="11" t="str">
        <f>IF(INDEX(Manual_Review!$H$6:$H$238,U3600)="","",INDEX(Manual_Review!$H$6:$H$238,U3600))</f>
        <v/>
      </c>
      <c r="X3600" s="5" t="str">
        <f>IF(INDEX(Manual_Review!$I$6:$I$238,U3600)="","",INDEX(Manual_Review!$I$6:$I$238,U3600))</f>
        <v/>
      </c>
      <c r="Y3600" s="5" t="s">
        <v>2859</v>
      </c>
    </row>
    <row r="3601" spans="1:25" ht="25.5">
      <c r="A3601" s="5" t="s">
        <v>10833</v>
      </c>
      <c r="B3601" s="5" t="s">
        <v>2622</v>
      </c>
      <c r="C3601" s="5" t="s">
        <v>2623</v>
      </c>
      <c r="D3601" s="5" t="s">
        <v>118</v>
      </c>
      <c r="E3601" s="5" t="s">
        <v>2792</v>
      </c>
      <c r="F3601" s="5" t="s">
        <v>2762</v>
      </c>
      <c r="G3601" s="5">
        <v>1</v>
      </c>
      <c r="H3601" s="5" t="s">
        <v>2854</v>
      </c>
      <c r="I3601" s="5" t="str">
        <f>IF(INDEX(Manual_Review!$V$6:$V$238,U3601)="","",INDEX(Manual_Review!$V$6:$V$238,U3601))</f>
        <v/>
      </c>
      <c r="J3601" s="5" t="str">
        <f t="shared" si="112"/>
        <v>AI provisional</v>
      </c>
      <c r="K3601" s="5" t="str">
        <f t="shared" si="113"/>
        <v>Y</v>
      </c>
      <c r="L3601" s="5" t="s">
        <v>2634</v>
      </c>
      <c r="M3601" s="5" t="s">
        <v>10834</v>
      </c>
      <c r="N3601" s="5" t="s">
        <v>10835</v>
      </c>
      <c r="O3601" s="5" t="s">
        <v>3034</v>
      </c>
      <c r="P3601" s="5" t="s">
        <v>2992</v>
      </c>
      <c r="Q3601" s="11">
        <v>46306.5</v>
      </c>
      <c r="R3601" s="6"/>
      <c r="S3601" s="6"/>
      <c r="T3601" s="6"/>
      <c r="U3601" s="5">
        <f>MATCH(B3601,Manual_Review!$A$6:$A$238,0)</f>
        <v>225</v>
      </c>
      <c r="V3601" s="5" t="str">
        <f>IF(INDEX(Manual_Review!$G$6:$G$238,U3601)="","",INDEX(Manual_Review!$G$6:$G$238,U3601))</f>
        <v/>
      </c>
      <c r="W3601" s="11" t="str">
        <f>IF(INDEX(Manual_Review!$H$6:$H$238,U3601)="","",INDEX(Manual_Review!$H$6:$H$238,U3601))</f>
        <v/>
      </c>
      <c r="X3601" s="5" t="str">
        <f>IF(INDEX(Manual_Review!$I$6:$I$238,U3601)="","",INDEX(Manual_Review!$I$6:$I$238,U3601))</f>
        <v/>
      </c>
      <c r="Y3601" s="5" t="s">
        <v>2859</v>
      </c>
    </row>
    <row r="3602" spans="1:25" ht="51">
      <c r="A3602" s="5" t="s">
        <v>10836</v>
      </c>
      <c r="B3602" s="5" t="s">
        <v>2622</v>
      </c>
      <c r="C3602" s="5" t="s">
        <v>2623</v>
      </c>
      <c r="D3602" s="5" t="s">
        <v>118</v>
      </c>
      <c r="E3602" s="5" t="s">
        <v>2793</v>
      </c>
      <c r="F3602" s="5" t="s">
        <v>2762</v>
      </c>
      <c r="G3602" s="5">
        <v>1</v>
      </c>
      <c r="H3602" s="5" t="s">
        <v>2854</v>
      </c>
      <c r="I3602" s="5" t="str">
        <f>IF(INDEX(Manual_Review!$W$6:$W$238,U3602)="","",INDEX(Manual_Review!$W$6:$W$238,U3602))</f>
        <v/>
      </c>
      <c r="J3602" s="5" t="str">
        <f t="shared" si="112"/>
        <v>AI provisional</v>
      </c>
      <c r="K3602" s="5" t="str">
        <f t="shared" si="113"/>
        <v>Y</v>
      </c>
      <c r="L3602" s="5" t="s">
        <v>2634</v>
      </c>
      <c r="M3602" s="5" t="s">
        <v>10837</v>
      </c>
      <c r="N3602" s="5" t="s">
        <v>10838</v>
      </c>
      <c r="O3602" s="5" t="s">
        <v>3038</v>
      </c>
      <c r="P3602" s="5" t="s">
        <v>2992</v>
      </c>
      <c r="Q3602" s="11">
        <v>46306.5</v>
      </c>
      <c r="R3602" s="6"/>
      <c r="S3602" s="6"/>
      <c r="T3602" s="6"/>
      <c r="U3602" s="5">
        <f>MATCH(B3602,Manual_Review!$A$6:$A$238,0)</f>
        <v>225</v>
      </c>
      <c r="V3602" s="5" t="str">
        <f>IF(INDEX(Manual_Review!$G$6:$G$238,U3602)="","",INDEX(Manual_Review!$G$6:$G$238,U3602))</f>
        <v/>
      </c>
      <c r="W3602" s="11" t="str">
        <f>IF(INDEX(Manual_Review!$H$6:$H$238,U3602)="","",INDEX(Manual_Review!$H$6:$H$238,U3602))</f>
        <v/>
      </c>
      <c r="X3602" s="5" t="str">
        <f>IF(INDEX(Manual_Review!$I$6:$I$238,U3602)="","",INDEX(Manual_Review!$I$6:$I$238,U3602))</f>
        <v/>
      </c>
      <c r="Y3602" s="5" t="s">
        <v>2859</v>
      </c>
    </row>
    <row r="3603" spans="1:25" ht="25.5">
      <c r="A3603" s="5" t="s">
        <v>10839</v>
      </c>
      <c r="B3603" s="5" t="s">
        <v>2622</v>
      </c>
      <c r="C3603" s="5" t="s">
        <v>2623</v>
      </c>
      <c r="D3603" s="5" t="s">
        <v>118</v>
      </c>
      <c r="E3603" s="5" t="s">
        <v>2794</v>
      </c>
      <c r="F3603" s="5" t="s">
        <v>2764</v>
      </c>
      <c r="G3603" s="5">
        <v>1</v>
      </c>
      <c r="H3603" s="5" t="s">
        <v>2854</v>
      </c>
      <c r="I3603" s="5" t="str">
        <f>IF(INDEX(Manual_Review!$X$6:$X$238,U3603)="","",INDEX(Manual_Review!$X$6:$X$238,U3603))</f>
        <v/>
      </c>
      <c r="J3603" s="5" t="str">
        <f t="shared" si="112"/>
        <v>AI provisional</v>
      </c>
      <c r="K3603" s="5" t="str">
        <f t="shared" si="113"/>
        <v>Y</v>
      </c>
      <c r="L3603" s="5" t="s">
        <v>2634</v>
      </c>
      <c r="M3603" s="5" t="s">
        <v>10840</v>
      </c>
      <c r="N3603" s="5" t="s">
        <v>10841</v>
      </c>
      <c r="O3603" s="5" t="s">
        <v>3042</v>
      </c>
      <c r="P3603" s="5" t="s">
        <v>2992</v>
      </c>
      <c r="Q3603" s="11">
        <v>46306.5</v>
      </c>
      <c r="R3603" s="6"/>
      <c r="S3603" s="6"/>
      <c r="T3603" s="6"/>
      <c r="U3603" s="5">
        <f>MATCH(B3603,Manual_Review!$A$6:$A$238,0)</f>
        <v>225</v>
      </c>
      <c r="V3603" s="5" t="str">
        <f>IF(INDEX(Manual_Review!$G$6:$G$238,U3603)="","",INDEX(Manual_Review!$G$6:$G$238,U3603))</f>
        <v/>
      </c>
      <c r="W3603" s="11" t="str">
        <f>IF(INDEX(Manual_Review!$H$6:$H$238,U3603)="","",INDEX(Manual_Review!$H$6:$H$238,U3603))</f>
        <v/>
      </c>
      <c r="X3603" s="5" t="str">
        <f>IF(INDEX(Manual_Review!$I$6:$I$238,U3603)="","",INDEX(Manual_Review!$I$6:$I$238,U3603))</f>
        <v/>
      </c>
      <c r="Y3603" s="5" t="s">
        <v>2859</v>
      </c>
    </row>
    <row r="3604" spans="1:25" ht="25.5">
      <c r="A3604" s="5" t="s">
        <v>10842</v>
      </c>
      <c r="B3604" s="5" t="s">
        <v>2622</v>
      </c>
      <c r="C3604" s="5" t="s">
        <v>2623</v>
      </c>
      <c r="D3604" s="5" t="s">
        <v>118</v>
      </c>
      <c r="E3604" s="5" t="s">
        <v>2795</v>
      </c>
      <c r="F3604" s="5" t="s">
        <v>2764</v>
      </c>
      <c r="G3604" s="5">
        <v>1</v>
      </c>
      <c r="H3604" s="5" t="s">
        <v>2864</v>
      </c>
      <c r="I3604" s="5" t="str">
        <f>IF(INDEX(Manual_Review!$Y$6:$Y$238,U3604)="","",INDEX(Manual_Review!$Y$6:$Y$238,U3604))</f>
        <v/>
      </c>
      <c r="J3604" s="5" t="str">
        <f t="shared" si="112"/>
        <v>AI provisional</v>
      </c>
      <c r="K3604" s="5" t="str">
        <f t="shared" si="113"/>
        <v>U</v>
      </c>
      <c r="L3604" s="5" t="s">
        <v>2634</v>
      </c>
      <c r="M3604" s="5" t="s">
        <v>10843</v>
      </c>
      <c r="N3604" s="5" t="s">
        <v>10844</v>
      </c>
      <c r="O3604" s="5" t="s">
        <v>3469</v>
      </c>
      <c r="P3604" s="5" t="s">
        <v>2992</v>
      </c>
      <c r="Q3604" s="11">
        <v>46306.5</v>
      </c>
      <c r="R3604" s="6"/>
      <c r="S3604" s="6"/>
      <c r="T3604" s="6"/>
      <c r="U3604" s="5">
        <f>MATCH(B3604,Manual_Review!$A$6:$A$238,0)</f>
        <v>225</v>
      </c>
      <c r="V3604" s="5" t="str">
        <f>IF(INDEX(Manual_Review!$G$6:$G$238,U3604)="","",INDEX(Manual_Review!$G$6:$G$238,U3604))</f>
        <v/>
      </c>
      <c r="W3604" s="11" t="str">
        <f>IF(INDEX(Manual_Review!$H$6:$H$238,U3604)="","",INDEX(Manual_Review!$H$6:$H$238,U3604))</f>
        <v/>
      </c>
      <c r="X3604" s="5" t="str">
        <f>IF(INDEX(Manual_Review!$I$6:$I$238,U3604)="","",INDEX(Manual_Review!$I$6:$I$238,U3604))</f>
        <v/>
      </c>
      <c r="Y3604" s="5" t="s">
        <v>2859</v>
      </c>
    </row>
    <row r="3605" spans="1:25" ht="51">
      <c r="A3605" s="5" t="s">
        <v>10845</v>
      </c>
      <c r="B3605" s="5" t="s">
        <v>2622</v>
      </c>
      <c r="C3605" s="5" t="s">
        <v>2623</v>
      </c>
      <c r="D3605" s="5" t="s">
        <v>118</v>
      </c>
      <c r="E3605" s="5" t="s">
        <v>2796</v>
      </c>
      <c r="F3605" s="5" t="s">
        <v>2764</v>
      </c>
      <c r="G3605" s="5">
        <v>1</v>
      </c>
      <c r="H3605" s="5" t="s">
        <v>2864</v>
      </c>
      <c r="I3605" s="5" t="str">
        <f>IF(INDEX(Manual_Review!$Z$6:$Z$238,U3605)="","",INDEX(Manual_Review!$Z$6:$Z$238,U3605))</f>
        <v/>
      </c>
      <c r="J3605" s="5" t="str">
        <f t="shared" si="112"/>
        <v>AI provisional</v>
      </c>
      <c r="K3605" s="5" t="str">
        <f t="shared" si="113"/>
        <v>U</v>
      </c>
      <c r="L3605" s="5" t="s">
        <v>2634</v>
      </c>
      <c r="M3605" s="5" t="s">
        <v>10846</v>
      </c>
      <c r="N3605" s="5" t="s">
        <v>10847</v>
      </c>
      <c r="O3605" s="5" t="s">
        <v>3050</v>
      </c>
      <c r="P3605" s="5" t="s">
        <v>2992</v>
      </c>
      <c r="Q3605" s="11">
        <v>46306.5</v>
      </c>
      <c r="R3605" s="6"/>
      <c r="S3605" s="6"/>
      <c r="T3605" s="6"/>
      <c r="U3605" s="5">
        <f>MATCH(B3605,Manual_Review!$A$6:$A$238,0)</f>
        <v>225</v>
      </c>
      <c r="V3605" s="5" t="str">
        <f>IF(INDEX(Manual_Review!$G$6:$G$238,U3605)="","",INDEX(Manual_Review!$G$6:$G$238,U3605))</f>
        <v/>
      </c>
      <c r="W3605" s="11" t="str">
        <f>IF(INDEX(Manual_Review!$H$6:$H$238,U3605)="","",INDEX(Manual_Review!$H$6:$H$238,U3605))</f>
        <v/>
      </c>
      <c r="X3605" s="5" t="str">
        <f>IF(INDEX(Manual_Review!$I$6:$I$238,U3605)="","",INDEX(Manual_Review!$I$6:$I$238,U3605))</f>
        <v/>
      </c>
      <c r="Y3605" s="5" t="s">
        <v>2859</v>
      </c>
    </row>
    <row r="3606" spans="1:25" ht="25.5">
      <c r="A3606" s="5" t="s">
        <v>10848</v>
      </c>
      <c r="B3606" s="5" t="s">
        <v>2636</v>
      </c>
      <c r="C3606" s="5" t="s">
        <v>2637</v>
      </c>
      <c r="D3606" s="5" t="s">
        <v>118</v>
      </c>
      <c r="E3606" s="5" t="s">
        <v>2781</v>
      </c>
      <c r="F3606" s="5" t="s">
        <v>2754</v>
      </c>
      <c r="G3606" s="5">
        <v>1</v>
      </c>
      <c r="H3606" s="5" t="s">
        <v>2854</v>
      </c>
      <c r="I3606" s="5" t="str">
        <f>IF(INDEX(Manual_Review!$K$6:$K$238,U3606)="","",INDEX(Manual_Review!$K$6:$K$238,U3606))</f>
        <v/>
      </c>
      <c r="J3606" s="5" t="str">
        <f t="shared" si="112"/>
        <v>AI provisional</v>
      </c>
      <c r="K3606" s="5" t="str">
        <f t="shared" si="113"/>
        <v>Y</v>
      </c>
      <c r="L3606" s="5" t="s">
        <v>2648</v>
      </c>
      <c r="M3606" s="5" t="s">
        <v>10849</v>
      </c>
      <c r="N3606" s="5" t="s">
        <v>10850</v>
      </c>
      <c r="O3606" s="5" t="s">
        <v>2991</v>
      </c>
      <c r="P3606" s="5" t="s">
        <v>2992</v>
      </c>
      <c r="Q3606" s="11">
        <v>46306.5</v>
      </c>
      <c r="R3606" s="6"/>
      <c r="S3606" s="6"/>
      <c r="T3606" s="6"/>
      <c r="U3606" s="5">
        <f>MATCH(B3606,Manual_Review!$A$6:$A$238,0)</f>
        <v>226</v>
      </c>
      <c r="V3606" s="5" t="str">
        <f>IF(INDEX(Manual_Review!$G$6:$G$238,U3606)="","",INDEX(Manual_Review!$G$6:$G$238,U3606))</f>
        <v/>
      </c>
      <c r="W3606" s="11" t="str">
        <f>IF(INDEX(Manual_Review!$H$6:$H$238,U3606)="","",INDEX(Manual_Review!$H$6:$H$238,U3606))</f>
        <v/>
      </c>
      <c r="X3606" s="5" t="str">
        <f>IF(INDEX(Manual_Review!$I$6:$I$238,U3606)="","",INDEX(Manual_Review!$I$6:$I$238,U3606))</f>
        <v/>
      </c>
      <c r="Y3606" s="5" t="s">
        <v>2859</v>
      </c>
    </row>
    <row r="3607" spans="1:25" ht="25.5">
      <c r="A3607" s="5" t="s">
        <v>10851</v>
      </c>
      <c r="B3607" s="5" t="s">
        <v>2636</v>
      </c>
      <c r="C3607" s="5" t="s">
        <v>2637</v>
      </c>
      <c r="D3607" s="5" t="s">
        <v>118</v>
      </c>
      <c r="E3607" s="5" t="s">
        <v>2782</v>
      </c>
      <c r="F3607" s="5" t="s">
        <v>2754</v>
      </c>
      <c r="G3607" s="5">
        <v>1</v>
      </c>
      <c r="H3607" s="5" t="s">
        <v>2864</v>
      </c>
      <c r="I3607" s="5" t="str">
        <f>IF(INDEX(Manual_Review!$L$6:$L$238,U3607)="","",INDEX(Manual_Review!$L$6:$L$238,U3607))</f>
        <v/>
      </c>
      <c r="J3607" s="5" t="str">
        <f t="shared" si="112"/>
        <v>AI provisional</v>
      </c>
      <c r="K3607" s="5" t="str">
        <f t="shared" si="113"/>
        <v>U</v>
      </c>
      <c r="L3607" s="5" t="s">
        <v>2648</v>
      </c>
      <c r="M3607" s="5" t="s">
        <v>10852</v>
      </c>
      <c r="N3607" s="5" t="s">
        <v>10853</v>
      </c>
      <c r="O3607" s="5" t="s">
        <v>8572</v>
      </c>
      <c r="P3607" s="5" t="s">
        <v>2992</v>
      </c>
      <c r="Q3607" s="11">
        <v>46306.5</v>
      </c>
      <c r="R3607" s="6"/>
      <c r="S3607" s="6"/>
      <c r="T3607" s="6"/>
      <c r="U3607" s="5">
        <f>MATCH(B3607,Manual_Review!$A$6:$A$238,0)</f>
        <v>226</v>
      </c>
      <c r="V3607" s="5" t="str">
        <f>IF(INDEX(Manual_Review!$G$6:$G$238,U3607)="","",INDEX(Manual_Review!$G$6:$G$238,U3607))</f>
        <v/>
      </c>
      <c r="W3607" s="11" t="str">
        <f>IF(INDEX(Manual_Review!$H$6:$H$238,U3607)="","",INDEX(Manual_Review!$H$6:$H$238,U3607))</f>
        <v/>
      </c>
      <c r="X3607" s="5" t="str">
        <f>IF(INDEX(Manual_Review!$I$6:$I$238,U3607)="","",INDEX(Manual_Review!$I$6:$I$238,U3607))</f>
        <v/>
      </c>
      <c r="Y3607" s="5" t="s">
        <v>2859</v>
      </c>
    </row>
    <row r="3608" spans="1:25" ht="25.5">
      <c r="A3608" s="5" t="s">
        <v>10854</v>
      </c>
      <c r="B3608" s="5" t="s">
        <v>2636</v>
      </c>
      <c r="C3608" s="5" t="s">
        <v>2637</v>
      </c>
      <c r="D3608" s="5" t="s">
        <v>118</v>
      </c>
      <c r="E3608" s="5" t="s">
        <v>2783</v>
      </c>
      <c r="F3608" s="5" t="s">
        <v>2754</v>
      </c>
      <c r="G3608" s="5">
        <v>1</v>
      </c>
      <c r="H3608" s="5" t="s">
        <v>2864</v>
      </c>
      <c r="I3608" s="5" t="str">
        <f>IF(INDEX(Manual_Review!$M$6:$M$238,U3608)="","",INDEX(Manual_Review!$M$6:$M$238,U3608))</f>
        <v/>
      </c>
      <c r="J3608" s="5" t="str">
        <f t="shared" si="112"/>
        <v>AI provisional</v>
      </c>
      <c r="K3608" s="5" t="str">
        <f t="shared" si="113"/>
        <v>U</v>
      </c>
      <c r="L3608" s="5" t="s">
        <v>2648</v>
      </c>
      <c r="M3608" s="5" t="s">
        <v>10855</v>
      </c>
      <c r="N3608" s="5" t="s">
        <v>10856</v>
      </c>
      <c r="O3608" s="5" t="s">
        <v>3808</v>
      </c>
      <c r="P3608" s="5" t="s">
        <v>2992</v>
      </c>
      <c r="Q3608" s="11">
        <v>46306.5</v>
      </c>
      <c r="R3608" s="6"/>
      <c r="S3608" s="6"/>
      <c r="T3608" s="6"/>
      <c r="U3608" s="5">
        <f>MATCH(B3608,Manual_Review!$A$6:$A$238,0)</f>
        <v>226</v>
      </c>
      <c r="V3608" s="5" t="str">
        <f>IF(INDEX(Manual_Review!$G$6:$G$238,U3608)="","",INDEX(Manual_Review!$G$6:$G$238,U3608))</f>
        <v/>
      </c>
      <c r="W3608" s="11" t="str">
        <f>IF(INDEX(Manual_Review!$H$6:$H$238,U3608)="","",INDEX(Manual_Review!$H$6:$H$238,U3608))</f>
        <v/>
      </c>
      <c r="X3608" s="5" t="str">
        <f>IF(INDEX(Manual_Review!$I$6:$I$238,U3608)="","",INDEX(Manual_Review!$I$6:$I$238,U3608))</f>
        <v/>
      </c>
      <c r="Y3608" s="5" t="s">
        <v>2859</v>
      </c>
    </row>
    <row r="3609" spans="1:25" ht="25.5">
      <c r="A3609" s="5" t="s">
        <v>10857</v>
      </c>
      <c r="B3609" s="5" t="s">
        <v>2636</v>
      </c>
      <c r="C3609" s="5" t="s">
        <v>2637</v>
      </c>
      <c r="D3609" s="5" t="s">
        <v>118</v>
      </c>
      <c r="E3609" s="5" t="s">
        <v>2784</v>
      </c>
      <c r="F3609" s="5" t="s">
        <v>2756</v>
      </c>
      <c r="G3609" s="5">
        <v>1</v>
      </c>
      <c r="H3609" s="5" t="s">
        <v>2864</v>
      </c>
      <c r="I3609" s="5" t="str">
        <f>IF(INDEX(Manual_Review!$N$6:$N$238,U3609)="","",INDEX(Manual_Review!$N$6:$N$238,U3609))</f>
        <v/>
      </c>
      <c r="J3609" s="5" t="str">
        <f t="shared" si="112"/>
        <v>AI provisional</v>
      </c>
      <c r="K3609" s="5" t="str">
        <f t="shared" si="113"/>
        <v>U</v>
      </c>
      <c r="L3609" s="5" t="s">
        <v>2648</v>
      </c>
      <c r="M3609" s="5" t="s">
        <v>10858</v>
      </c>
      <c r="N3609" s="5" t="s">
        <v>10859</v>
      </c>
      <c r="O3609" s="5" t="s">
        <v>9214</v>
      </c>
      <c r="P3609" s="5" t="s">
        <v>2992</v>
      </c>
      <c r="Q3609" s="11">
        <v>46306.5</v>
      </c>
      <c r="R3609" s="6"/>
      <c r="S3609" s="6"/>
      <c r="T3609" s="6"/>
      <c r="U3609" s="5">
        <f>MATCH(B3609,Manual_Review!$A$6:$A$238,0)</f>
        <v>226</v>
      </c>
      <c r="V3609" s="5" t="str">
        <f>IF(INDEX(Manual_Review!$G$6:$G$238,U3609)="","",INDEX(Manual_Review!$G$6:$G$238,U3609))</f>
        <v/>
      </c>
      <c r="W3609" s="11" t="str">
        <f>IF(INDEX(Manual_Review!$H$6:$H$238,U3609)="","",INDEX(Manual_Review!$H$6:$H$238,U3609))</f>
        <v/>
      </c>
      <c r="X3609" s="5" t="str">
        <f>IF(INDEX(Manual_Review!$I$6:$I$238,U3609)="","",INDEX(Manual_Review!$I$6:$I$238,U3609))</f>
        <v/>
      </c>
      <c r="Y3609" s="5" t="s">
        <v>2859</v>
      </c>
    </row>
    <row r="3610" spans="1:25" ht="25.5">
      <c r="A3610" s="5" t="s">
        <v>10860</v>
      </c>
      <c r="B3610" s="5" t="s">
        <v>2636</v>
      </c>
      <c r="C3610" s="5" t="s">
        <v>2637</v>
      </c>
      <c r="D3610" s="5" t="s">
        <v>118</v>
      </c>
      <c r="E3610" s="5" t="s">
        <v>2785</v>
      </c>
      <c r="F3610" s="5" t="s">
        <v>2756</v>
      </c>
      <c r="G3610" s="5">
        <v>1</v>
      </c>
      <c r="H3610" s="5" t="s">
        <v>2864</v>
      </c>
      <c r="I3610" s="5" t="str">
        <f>IF(INDEX(Manual_Review!$O$6:$O$238,U3610)="","",INDEX(Manual_Review!$O$6:$O$238,U3610))</f>
        <v/>
      </c>
      <c r="J3610" s="5" t="str">
        <f t="shared" si="112"/>
        <v>AI provisional</v>
      </c>
      <c r="K3610" s="5" t="str">
        <f t="shared" si="113"/>
        <v>U</v>
      </c>
      <c r="L3610" s="5" t="s">
        <v>2648</v>
      </c>
      <c r="M3610" s="5" t="s">
        <v>10858</v>
      </c>
      <c r="N3610" s="5" t="s">
        <v>10859</v>
      </c>
      <c r="O3610" s="5" t="s">
        <v>3006</v>
      </c>
      <c r="P3610" s="5" t="s">
        <v>2992</v>
      </c>
      <c r="Q3610" s="11">
        <v>46306.5</v>
      </c>
      <c r="R3610" s="6"/>
      <c r="S3610" s="6"/>
      <c r="T3610" s="6"/>
      <c r="U3610" s="5">
        <f>MATCH(B3610,Manual_Review!$A$6:$A$238,0)</f>
        <v>226</v>
      </c>
      <c r="V3610" s="5" t="str">
        <f>IF(INDEX(Manual_Review!$G$6:$G$238,U3610)="","",INDEX(Manual_Review!$G$6:$G$238,U3610))</f>
        <v/>
      </c>
      <c r="W3610" s="11" t="str">
        <f>IF(INDEX(Manual_Review!$H$6:$H$238,U3610)="","",INDEX(Manual_Review!$H$6:$H$238,U3610))</f>
        <v/>
      </c>
      <c r="X3610" s="5" t="str">
        <f>IF(INDEX(Manual_Review!$I$6:$I$238,U3610)="","",INDEX(Manual_Review!$I$6:$I$238,U3610))</f>
        <v/>
      </c>
      <c r="Y3610" s="5" t="s">
        <v>2859</v>
      </c>
    </row>
    <row r="3611" spans="1:25" ht="25.5">
      <c r="A3611" s="5" t="s">
        <v>10861</v>
      </c>
      <c r="B3611" s="5" t="s">
        <v>2636</v>
      </c>
      <c r="C3611" s="5" t="s">
        <v>2637</v>
      </c>
      <c r="D3611" s="5" t="s">
        <v>118</v>
      </c>
      <c r="E3611" s="5" t="s">
        <v>2786</v>
      </c>
      <c r="F3611" s="5" t="s">
        <v>2756</v>
      </c>
      <c r="G3611" s="5">
        <v>1</v>
      </c>
      <c r="H3611" s="5" t="s">
        <v>2864</v>
      </c>
      <c r="I3611" s="5" t="str">
        <f>IF(INDEX(Manual_Review!$P$6:$P$238,U3611)="","",INDEX(Manual_Review!$P$6:$P$238,U3611))</f>
        <v/>
      </c>
      <c r="J3611" s="5" t="str">
        <f t="shared" si="112"/>
        <v>AI provisional</v>
      </c>
      <c r="K3611" s="5" t="str">
        <f t="shared" si="113"/>
        <v>U</v>
      </c>
      <c r="L3611" s="5" t="s">
        <v>2648</v>
      </c>
      <c r="M3611" s="5" t="s">
        <v>10862</v>
      </c>
      <c r="N3611" s="5" t="s">
        <v>10863</v>
      </c>
      <c r="O3611" s="5" t="s">
        <v>3010</v>
      </c>
      <c r="P3611" s="5" t="s">
        <v>2992</v>
      </c>
      <c r="Q3611" s="11">
        <v>46306.5</v>
      </c>
      <c r="R3611" s="6"/>
      <c r="S3611" s="6"/>
      <c r="T3611" s="6"/>
      <c r="U3611" s="5">
        <f>MATCH(B3611,Manual_Review!$A$6:$A$238,0)</f>
        <v>226</v>
      </c>
      <c r="V3611" s="5" t="str">
        <f>IF(INDEX(Manual_Review!$G$6:$G$238,U3611)="","",INDEX(Manual_Review!$G$6:$G$238,U3611))</f>
        <v/>
      </c>
      <c r="W3611" s="11" t="str">
        <f>IF(INDEX(Manual_Review!$H$6:$H$238,U3611)="","",INDEX(Manual_Review!$H$6:$H$238,U3611))</f>
        <v/>
      </c>
      <c r="X3611" s="5" t="str">
        <f>IF(INDEX(Manual_Review!$I$6:$I$238,U3611)="","",INDEX(Manual_Review!$I$6:$I$238,U3611))</f>
        <v/>
      </c>
      <c r="Y3611" s="5" t="s">
        <v>2859</v>
      </c>
    </row>
    <row r="3612" spans="1:25" ht="25.5">
      <c r="A3612" s="5" t="s">
        <v>10864</v>
      </c>
      <c r="B3612" s="5" t="s">
        <v>2636</v>
      </c>
      <c r="C3612" s="5" t="s">
        <v>2637</v>
      </c>
      <c r="D3612" s="5" t="s">
        <v>118</v>
      </c>
      <c r="E3612" s="5" t="s">
        <v>2787</v>
      </c>
      <c r="F3612" s="5" t="s">
        <v>2758</v>
      </c>
      <c r="G3612" s="5">
        <v>1</v>
      </c>
      <c r="H3612" s="5" t="s">
        <v>2864</v>
      </c>
      <c r="I3612" s="5" t="str">
        <f>IF(INDEX(Manual_Review!$Q$6:$Q$238,U3612)="","",INDEX(Manual_Review!$Q$6:$Q$238,U3612))</f>
        <v/>
      </c>
      <c r="J3612" s="5" t="str">
        <f t="shared" si="112"/>
        <v>AI provisional</v>
      </c>
      <c r="K3612" s="5" t="str">
        <f t="shared" si="113"/>
        <v>U</v>
      </c>
      <c r="L3612" s="5" t="s">
        <v>2648</v>
      </c>
      <c r="M3612" s="5" t="s">
        <v>10865</v>
      </c>
      <c r="N3612" s="5" t="s">
        <v>10866</v>
      </c>
      <c r="O3612" s="5" t="s">
        <v>3014</v>
      </c>
      <c r="P3612" s="5" t="s">
        <v>2992</v>
      </c>
      <c r="Q3612" s="11">
        <v>46306.5</v>
      </c>
      <c r="R3612" s="6"/>
      <c r="S3612" s="6"/>
      <c r="T3612" s="6"/>
      <c r="U3612" s="5">
        <f>MATCH(B3612,Manual_Review!$A$6:$A$238,0)</f>
        <v>226</v>
      </c>
      <c r="V3612" s="5" t="str">
        <f>IF(INDEX(Manual_Review!$G$6:$G$238,U3612)="","",INDEX(Manual_Review!$G$6:$G$238,U3612))</f>
        <v/>
      </c>
      <c r="W3612" s="11" t="str">
        <f>IF(INDEX(Manual_Review!$H$6:$H$238,U3612)="","",INDEX(Manual_Review!$H$6:$H$238,U3612))</f>
        <v/>
      </c>
      <c r="X3612" s="5" t="str">
        <f>IF(INDEX(Manual_Review!$I$6:$I$238,U3612)="","",INDEX(Manual_Review!$I$6:$I$238,U3612))</f>
        <v/>
      </c>
      <c r="Y3612" s="5" t="s">
        <v>2859</v>
      </c>
    </row>
    <row r="3613" spans="1:25" ht="38.25">
      <c r="A3613" s="5" t="s">
        <v>10867</v>
      </c>
      <c r="B3613" s="5" t="s">
        <v>2636</v>
      </c>
      <c r="C3613" s="5" t="s">
        <v>2637</v>
      </c>
      <c r="D3613" s="5" t="s">
        <v>118</v>
      </c>
      <c r="E3613" s="5" t="s">
        <v>2788</v>
      </c>
      <c r="F3613" s="5" t="s">
        <v>2758</v>
      </c>
      <c r="G3613" s="5">
        <v>1</v>
      </c>
      <c r="H3613" s="5" t="s">
        <v>2854</v>
      </c>
      <c r="I3613" s="5" t="str">
        <f>IF(INDEX(Manual_Review!$R$6:$R$238,U3613)="","",INDEX(Manual_Review!$R$6:$R$238,U3613))</f>
        <v/>
      </c>
      <c r="J3613" s="5" t="str">
        <f t="shared" si="112"/>
        <v>AI provisional</v>
      </c>
      <c r="K3613" s="5" t="str">
        <f t="shared" si="113"/>
        <v>Y</v>
      </c>
      <c r="L3613" s="5" t="s">
        <v>2648</v>
      </c>
      <c r="M3613" s="5" t="s">
        <v>10868</v>
      </c>
      <c r="N3613" s="5" t="s">
        <v>10869</v>
      </c>
      <c r="O3613" s="5" t="s">
        <v>3018</v>
      </c>
      <c r="P3613" s="5" t="s">
        <v>2992</v>
      </c>
      <c r="Q3613" s="11">
        <v>46306.5</v>
      </c>
      <c r="R3613" s="6"/>
      <c r="S3613" s="6"/>
      <c r="T3613" s="6"/>
      <c r="U3613" s="5">
        <f>MATCH(B3613,Manual_Review!$A$6:$A$238,0)</f>
        <v>226</v>
      </c>
      <c r="V3613" s="5" t="str">
        <f>IF(INDEX(Manual_Review!$G$6:$G$238,U3613)="","",INDEX(Manual_Review!$G$6:$G$238,U3613))</f>
        <v/>
      </c>
      <c r="W3613" s="11" t="str">
        <f>IF(INDEX(Manual_Review!$H$6:$H$238,U3613)="","",INDEX(Manual_Review!$H$6:$H$238,U3613))</f>
        <v/>
      </c>
      <c r="X3613" s="5" t="str">
        <f>IF(INDEX(Manual_Review!$I$6:$I$238,U3613)="","",INDEX(Manual_Review!$I$6:$I$238,U3613))</f>
        <v/>
      </c>
      <c r="Y3613" s="5" t="s">
        <v>2859</v>
      </c>
    </row>
    <row r="3614" spans="1:25" ht="38.25">
      <c r="A3614" s="5" t="s">
        <v>10870</v>
      </c>
      <c r="B3614" s="5" t="s">
        <v>2636</v>
      </c>
      <c r="C3614" s="5" t="s">
        <v>2637</v>
      </c>
      <c r="D3614" s="5" t="s">
        <v>118</v>
      </c>
      <c r="E3614" s="5" t="s">
        <v>2789</v>
      </c>
      <c r="F3614" s="5" t="s">
        <v>2758</v>
      </c>
      <c r="G3614" s="5">
        <v>1</v>
      </c>
      <c r="H3614" s="5" t="s">
        <v>2864</v>
      </c>
      <c r="I3614" s="5" t="str">
        <f>IF(INDEX(Manual_Review!$S$6:$S$238,U3614)="","",INDEX(Manual_Review!$S$6:$S$238,U3614))</f>
        <v/>
      </c>
      <c r="J3614" s="5" t="str">
        <f t="shared" si="112"/>
        <v>AI provisional</v>
      </c>
      <c r="K3614" s="5" t="str">
        <f t="shared" si="113"/>
        <v>U</v>
      </c>
      <c r="L3614" s="5" t="s">
        <v>2648</v>
      </c>
      <c r="M3614" s="5" t="s">
        <v>10871</v>
      </c>
      <c r="N3614" s="5" t="s">
        <v>10872</v>
      </c>
      <c r="O3614" s="5" t="s">
        <v>3447</v>
      </c>
      <c r="P3614" s="5" t="s">
        <v>2992</v>
      </c>
      <c r="Q3614" s="11">
        <v>46306.5</v>
      </c>
      <c r="R3614" s="6"/>
      <c r="S3614" s="6"/>
      <c r="T3614" s="6"/>
      <c r="U3614" s="5">
        <f>MATCH(B3614,Manual_Review!$A$6:$A$238,0)</f>
        <v>226</v>
      </c>
      <c r="V3614" s="5" t="str">
        <f>IF(INDEX(Manual_Review!$G$6:$G$238,U3614)="","",INDEX(Manual_Review!$G$6:$G$238,U3614))</f>
        <v/>
      </c>
      <c r="W3614" s="11" t="str">
        <f>IF(INDEX(Manual_Review!$H$6:$H$238,U3614)="","",INDEX(Manual_Review!$H$6:$H$238,U3614))</f>
        <v/>
      </c>
      <c r="X3614" s="5" t="str">
        <f>IF(INDEX(Manual_Review!$I$6:$I$238,U3614)="","",INDEX(Manual_Review!$I$6:$I$238,U3614))</f>
        <v/>
      </c>
      <c r="Y3614" s="5" t="s">
        <v>2859</v>
      </c>
    </row>
    <row r="3615" spans="1:25" ht="25.5">
      <c r="A3615" s="5" t="s">
        <v>10873</v>
      </c>
      <c r="B3615" s="5" t="s">
        <v>2636</v>
      </c>
      <c r="C3615" s="5" t="s">
        <v>2637</v>
      </c>
      <c r="D3615" s="5" t="s">
        <v>118</v>
      </c>
      <c r="E3615" s="5" t="s">
        <v>2790</v>
      </c>
      <c r="F3615" s="5" t="s">
        <v>2760</v>
      </c>
      <c r="G3615" s="5">
        <v>1</v>
      </c>
      <c r="H3615" s="5" t="s">
        <v>2854</v>
      </c>
      <c r="I3615" s="5" t="str">
        <f>IF(INDEX(Manual_Review!$T$6:$T$238,U3615)="","",INDEX(Manual_Review!$T$6:$T$238,U3615))</f>
        <v/>
      </c>
      <c r="J3615" s="5" t="str">
        <f t="shared" si="112"/>
        <v>AI provisional</v>
      </c>
      <c r="K3615" s="5" t="str">
        <f t="shared" si="113"/>
        <v>Y</v>
      </c>
      <c r="L3615" s="5" t="s">
        <v>2648</v>
      </c>
      <c r="M3615" s="5" t="s">
        <v>10874</v>
      </c>
      <c r="N3615" s="5" t="s">
        <v>10875</v>
      </c>
      <c r="O3615" s="5" t="s">
        <v>3451</v>
      </c>
      <c r="P3615" s="5" t="s">
        <v>2992</v>
      </c>
      <c r="Q3615" s="11">
        <v>46306.5</v>
      </c>
      <c r="R3615" s="6"/>
      <c r="S3615" s="6"/>
      <c r="T3615" s="6"/>
      <c r="U3615" s="5">
        <f>MATCH(B3615,Manual_Review!$A$6:$A$238,0)</f>
        <v>226</v>
      </c>
      <c r="V3615" s="5" t="str">
        <f>IF(INDEX(Manual_Review!$G$6:$G$238,U3615)="","",INDEX(Manual_Review!$G$6:$G$238,U3615))</f>
        <v/>
      </c>
      <c r="W3615" s="11" t="str">
        <f>IF(INDEX(Manual_Review!$H$6:$H$238,U3615)="","",INDEX(Manual_Review!$H$6:$H$238,U3615))</f>
        <v/>
      </c>
      <c r="X3615" s="5" t="str">
        <f>IF(INDEX(Manual_Review!$I$6:$I$238,U3615)="","",INDEX(Manual_Review!$I$6:$I$238,U3615))</f>
        <v/>
      </c>
      <c r="Y3615" s="5" t="s">
        <v>2859</v>
      </c>
    </row>
    <row r="3616" spans="1:25" ht="25.5">
      <c r="A3616" s="5" t="s">
        <v>10876</v>
      </c>
      <c r="B3616" s="5" t="s">
        <v>2636</v>
      </c>
      <c r="C3616" s="5" t="s">
        <v>2637</v>
      </c>
      <c r="D3616" s="5" t="s">
        <v>118</v>
      </c>
      <c r="E3616" s="5" t="s">
        <v>2791</v>
      </c>
      <c r="F3616" s="5" t="s">
        <v>2760</v>
      </c>
      <c r="G3616" s="5">
        <v>1</v>
      </c>
      <c r="H3616" s="5" t="s">
        <v>2864</v>
      </c>
      <c r="I3616" s="5" t="str">
        <f>IF(INDEX(Manual_Review!$U$6:$U$238,U3616)="","",INDEX(Manual_Review!$U$6:$U$238,U3616))</f>
        <v/>
      </c>
      <c r="J3616" s="5" t="str">
        <f t="shared" si="112"/>
        <v>AI provisional</v>
      </c>
      <c r="K3616" s="5" t="str">
        <f t="shared" si="113"/>
        <v>U</v>
      </c>
      <c r="L3616" s="5" t="s">
        <v>2648</v>
      </c>
      <c r="M3616" s="5" t="s">
        <v>10877</v>
      </c>
      <c r="N3616" s="5" t="s">
        <v>10878</v>
      </c>
      <c r="O3616" s="5" t="s">
        <v>3030</v>
      </c>
      <c r="P3616" s="5" t="s">
        <v>2992</v>
      </c>
      <c r="Q3616" s="11">
        <v>46306.5</v>
      </c>
      <c r="R3616" s="6"/>
      <c r="S3616" s="6"/>
      <c r="T3616" s="6"/>
      <c r="U3616" s="5">
        <f>MATCH(B3616,Manual_Review!$A$6:$A$238,0)</f>
        <v>226</v>
      </c>
      <c r="V3616" s="5" t="str">
        <f>IF(INDEX(Manual_Review!$G$6:$G$238,U3616)="","",INDEX(Manual_Review!$G$6:$G$238,U3616))</f>
        <v/>
      </c>
      <c r="W3616" s="11" t="str">
        <f>IF(INDEX(Manual_Review!$H$6:$H$238,U3616)="","",INDEX(Manual_Review!$H$6:$H$238,U3616))</f>
        <v/>
      </c>
      <c r="X3616" s="5" t="str">
        <f>IF(INDEX(Manual_Review!$I$6:$I$238,U3616)="","",INDEX(Manual_Review!$I$6:$I$238,U3616))</f>
        <v/>
      </c>
      <c r="Y3616" s="5" t="s">
        <v>2859</v>
      </c>
    </row>
    <row r="3617" spans="1:25" ht="25.5">
      <c r="A3617" s="5" t="s">
        <v>10879</v>
      </c>
      <c r="B3617" s="5" t="s">
        <v>2636</v>
      </c>
      <c r="C3617" s="5" t="s">
        <v>2637</v>
      </c>
      <c r="D3617" s="5" t="s">
        <v>118</v>
      </c>
      <c r="E3617" s="5" t="s">
        <v>2792</v>
      </c>
      <c r="F3617" s="5" t="s">
        <v>2762</v>
      </c>
      <c r="G3617" s="5">
        <v>1</v>
      </c>
      <c r="H3617" s="5" t="s">
        <v>2854</v>
      </c>
      <c r="I3617" s="5" t="str">
        <f>IF(INDEX(Manual_Review!$V$6:$V$238,U3617)="","",INDEX(Manual_Review!$V$6:$V$238,U3617))</f>
        <v/>
      </c>
      <c r="J3617" s="5" t="str">
        <f t="shared" si="112"/>
        <v>AI provisional</v>
      </c>
      <c r="K3617" s="5" t="str">
        <f t="shared" si="113"/>
        <v>Y</v>
      </c>
      <c r="L3617" s="5" t="s">
        <v>2648</v>
      </c>
      <c r="M3617" s="5" t="s">
        <v>10880</v>
      </c>
      <c r="N3617" s="5" t="s">
        <v>10881</v>
      </c>
      <c r="O3617" s="5" t="s">
        <v>3034</v>
      </c>
      <c r="P3617" s="5" t="s">
        <v>2992</v>
      </c>
      <c r="Q3617" s="11">
        <v>46306.5</v>
      </c>
      <c r="R3617" s="6"/>
      <c r="S3617" s="6"/>
      <c r="T3617" s="6"/>
      <c r="U3617" s="5">
        <f>MATCH(B3617,Manual_Review!$A$6:$A$238,0)</f>
        <v>226</v>
      </c>
      <c r="V3617" s="5" t="str">
        <f>IF(INDEX(Manual_Review!$G$6:$G$238,U3617)="","",INDEX(Manual_Review!$G$6:$G$238,U3617))</f>
        <v/>
      </c>
      <c r="W3617" s="11" t="str">
        <f>IF(INDEX(Manual_Review!$H$6:$H$238,U3617)="","",INDEX(Manual_Review!$H$6:$H$238,U3617))</f>
        <v/>
      </c>
      <c r="X3617" s="5" t="str">
        <f>IF(INDEX(Manual_Review!$I$6:$I$238,U3617)="","",INDEX(Manual_Review!$I$6:$I$238,U3617))</f>
        <v/>
      </c>
      <c r="Y3617" s="5" t="s">
        <v>2859</v>
      </c>
    </row>
    <row r="3618" spans="1:25" ht="38.25">
      <c r="A3618" s="5" t="s">
        <v>10882</v>
      </c>
      <c r="B3618" s="5" t="s">
        <v>2636</v>
      </c>
      <c r="C3618" s="5" t="s">
        <v>2637</v>
      </c>
      <c r="D3618" s="5" t="s">
        <v>118</v>
      </c>
      <c r="E3618" s="5" t="s">
        <v>2793</v>
      </c>
      <c r="F3618" s="5" t="s">
        <v>2762</v>
      </c>
      <c r="G3618" s="5">
        <v>1</v>
      </c>
      <c r="H3618" s="5" t="s">
        <v>2854</v>
      </c>
      <c r="I3618" s="5" t="str">
        <f>IF(INDEX(Manual_Review!$W$6:$W$238,U3618)="","",INDEX(Manual_Review!$W$6:$W$238,U3618))</f>
        <v/>
      </c>
      <c r="J3618" s="5" t="str">
        <f t="shared" si="112"/>
        <v>AI provisional</v>
      </c>
      <c r="K3618" s="5" t="str">
        <f t="shared" si="113"/>
        <v>Y</v>
      </c>
      <c r="L3618" s="5" t="s">
        <v>2648</v>
      </c>
      <c r="M3618" s="5" t="s">
        <v>10883</v>
      </c>
      <c r="N3618" s="5" t="s">
        <v>10884</v>
      </c>
      <c r="O3618" s="5" t="s">
        <v>3038</v>
      </c>
      <c r="P3618" s="5" t="s">
        <v>2992</v>
      </c>
      <c r="Q3618" s="11">
        <v>46306.5</v>
      </c>
      <c r="R3618" s="6"/>
      <c r="S3618" s="6"/>
      <c r="T3618" s="6"/>
      <c r="U3618" s="5">
        <f>MATCH(B3618,Manual_Review!$A$6:$A$238,0)</f>
        <v>226</v>
      </c>
      <c r="V3618" s="5" t="str">
        <f>IF(INDEX(Manual_Review!$G$6:$G$238,U3618)="","",INDEX(Manual_Review!$G$6:$G$238,U3618))</f>
        <v/>
      </c>
      <c r="W3618" s="11" t="str">
        <f>IF(INDEX(Manual_Review!$H$6:$H$238,U3618)="","",INDEX(Manual_Review!$H$6:$H$238,U3618))</f>
        <v/>
      </c>
      <c r="X3618" s="5" t="str">
        <f>IF(INDEX(Manual_Review!$I$6:$I$238,U3618)="","",INDEX(Manual_Review!$I$6:$I$238,U3618))</f>
        <v/>
      </c>
      <c r="Y3618" s="5" t="s">
        <v>2859</v>
      </c>
    </row>
    <row r="3619" spans="1:25" ht="25.5">
      <c r="A3619" s="5" t="s">
        <v>10885</v>
      </c>
      <c r="B3619" s="5" t="s">
        <v>2636</v>
      </c>
      <c r="C3619" s="5" t="s">
        <v>2637</v>
      </c>
      <c r="D3619" s="5" t="s">
        <v>118</v>
      </c>
      <c r="E3619" s="5" t="s">
        <v>2794</v>
      </c>
      <c r="F3619" s="5" t="s">
        <v>2764</v>
      </c>
      <c r="G3619" s="5">
        <v>1</v>
      </c>
      <c r="H3619" s="5" t="s">
        <v>2854</v>
      </c>
      <c r="I3619" s="5" t="str">
        <f>IF(INDEX(Manual_Review!$X$6:$X$238,U3619)="","",INDEX(Manual_Review!$X$6:$X$238,U3619))</f>
        <v/>
      </c>
      <c r="J3619" s="5" t="str">
        <f t="shared" si="112"/>
        <v>AI provisional</v>
      </c>
      <c r="K3619" s="5" t="str">
        <f t="shared" si="113"/>
        <v>Y</v>
      </c>
      <c r="L3619" s="5" t="s">
        <v>2648</v>
      </c>
      <c r="M3619" s="5" t="s">
        <v>10886</v>
      </c>
      <c r="N3619" s="5" t="s">
        <v>10887</v>
      </c>
      <c r="O3619" s="5" t="s">
        <v>3042</v>
      </c>
      <c r="P3619" s="5" t="s">
        <v>2992</v>
      </c>
      <c r="Q3619" s="11">
        <v>46306.5</v>
      </c>
      <c r="R3619" s="6"/>
      <c r="S3619" s="6"/>
      <c r="T3619" s="6"/>
      <c r="U3619" s="5">
        <f>MATCH(B3619,Manual_Review!$A$6:$A$238,0)</f>
        <v>226</v>
      </c>
      <c r="V3619" s="5" t="str">
        <f>IF(INDEX(Manual_Review!$G$6:$G$238,U3619)="","",INDEX(Manual_Review!$G$6:$G$238,U3619))</f>
        <v/>
      </c>
      <c r="W3619" s="11" t="str">
        <f>IF(INDEX(Manual_Review!$H$6:$H$238,U3619)="","",INDEX(Manual_Review!$H$6:$H$238,U3619))</f>
        <v/>
      </c>
      <c r="X3619" s="5" t="str">
        <f>IF(INDEX(Manual_Review!$I$6:$I$238,U3619)="","",INDEX(Manual_Review!$I$6:$I$238,U3619))</f>
        <v/>
      </c>
      <c r="Y3619" s="5" t="s">
        <v>2859</v>
      </c>
    </row>
    <row r="3620" spans="1:25" ht="25.5">
      <c r="A3620" s="5" t="s">
        <v>10888</v>
      </c>
      <c r="B3620" s="5" t="s">
        <v>2636</v>
      </c>
      <c r="C3620" s="5" t="s">
        <v>2637</v>
      </c>
      <c r="D3620" s="5" t="s">
        <v>118</v>
      </c>
      <c r="E3620" s="5" t="s">
        <v>2795</v>
      </c>
      <c r="F3620" s="5" t="s">
        <v>2764</v>
      </c>
      <c r="G3620" s="5">
        <v>1</v>
      </c>
      <c r="H3620" s="5" t="s">
        <v>2864</v>
      </c>
      <c r="I3620" s="5" t="str">
        <f>IF(INDEX(Manual_Review!$Y$6:$Y$238,U3620)="","",INDEX(Manual_Review!$Y$6:$Y$238,U3620))</f>
        <v/>
      </c>
      <c r="J3620" s="5" t="str">
        <f t="shared" si="112"/>
        <v>AI provisional</v>
      </c>
      <c r="K3620" s="5" t="str">
        <f t="shared" si="113"/>
        <v>U</v>
      </c>
      <c r="L3620" s="5" t="s">
        <v>2648</v>
      </c>
      <c r="M3620" s="5" t="s">
        <v>10889</v>
      </c>
      <c r="N3620" s="5" t="s">
        <v>10890</v>
      </c>
      <c r="O3620" s="5" t="s">
        <v>3469</v>
      </c>
      <c r="P3620" s="5" t="s">
        <v>2992</v>
      </c>
      <c r="Q3620" s="11">
        <v>46306.5</v>
      </c>
      <c r="R3620" s="6"/>
      <c r="S3620" s="6"/>
      <c r="T3620" s="6"/>
      <c r="U3620" s="5">
        <f>MATCH(B3620,Manual_Review!$A$6:$A$238,0)</f>
        <v>226</v>
      </c>
      <c r="V3620" s="5" t="str">
        <f>IF(INDEX(Manual_Review!$G$6:$G$238,U3620)="","",INDEX(Manual_Review!$G$6:$G$238,U3620))</f>
        <v/>
      </c>
      <c r="W3620" s="11" t="str">
        <f>IF(INDEX(Manual_Review!$H$6:$H$238,U3620)="","",INDEX(Manual_Review!$H$6:$H$238,U3620))</f>
        <v/>
      </c>
      <c r="X3620" s="5" t="str">
        <f>IF(INDEX(Manual_Review!$I$6:$I$238,U3620)="","",INDEX(Manual_Review!$I$6:$I$238,U3620))</f>
        <v/>
      </c>
      <c r="Y3620" s="5" t="s">
        <v>2859</v>
      </c>
    </row>
    <row r="3621" spans="1:25" ht="38.25">
      <c r="A3621" s="5" t="s">
        <v>10891</v>
      </c>
      <c r="B3621" s="5" t="s">
        <v>2636</v>
      </c>
      <c r="C3621" s="5" t="s">
        <v>2637</v>
      </c>
      <c r="D3621" s="5" t="s">
        <v>118</v>
      </c>
      <c r="E3621" s="5" t="s">
        <v>2796</v>
      </c>
      <c r="F3621" s="5" t="s">
        <v>2764</v>
      </c>
      <c r="G3621" s="5">
        <v>1</v>
      </c>
      <c r="H3621" s="5" t="s">
        <v>2864</v>
      </c>
      <c r="I3621" s="5" t="str">
        <f>IF(INDEX(Manual_Review!$Z$6:$Z$238,U3621)="","",INDEX(Manual_Review!$Z$6:$Z$238,U3621))</f>
        <v/>
      </c>
      <c r="J3621" s="5" t="str">
        <f t="shared" si="112"/>
        <v>AI provisional</v>
      </c>
      <c r="K3621" s="5" t="str">
        <f t="shared" si="113"/>
        <v>U</v>
      </c>
      <c r="L3621" s="5" t="s">
        <v>2648</v>
      </c>
      <c r="M3621" s="5" t="s">
        <v>10892</v>
      </c>
      <c r="N3621" s="5" t="s">
        <v>10893</v>
      </c>
      <c r="O3621" s="5" t="s">
        <v>3050</v>
      </c>
      <c r="P3621" s="5" t="s">
        <v>2992</v>
      </c>
      <c r="Q3621" s="11">
        <v>46306.5</v>
      </c>
      <c r="R3621" s="6"/>
      <c r="S3621" s="6"/>
      <c r="T3621" s="6"/>
      <c r="U3621" s="5">
        <f>MATCH(B3621,Manual_Review!$A$6:$A$238,0)</f>
        <v>226</v>
      </c>
      <c r="V3621" s="5" t="str">
        <f>IF(INDEX(Manual_Review!$G$6:$G$238,U3621)="","",INDEX(Manual_Review!$G$6:$G$238,U3621))</f>
        <v/>
      </c>
      <c r="W3621" s="11" t="str">
        <f>IF(INDEX(Manual_Review!$H$6:$H$238,U3621)="","",INDEX(Manual_Review!$H$6:$H$238,U3621))</f>
        <v/>
      </c>
      <c r="X3621" s="5" t="str">
        <f>IF(INDEX(Manual_Review!$I$6:$I$238,U3621)="","",INDEX(Manual_Review!$I$6:$I$238,U3621))</f>
        <v/>
      </c>
      <c r="Y3621" s="5" t="s">
        <v>2859</v>
      </c>
    </row>
    <row r="3622" spans="1:25" ht="25.5">
      <c r="A3622" s="5" t="s">
        <v>10894</v>
      </c>
      <c r="B3622" s="5" t="s">
        <v>2650</v>
      </c>
      <c r="C3622" s="5" t="s">
        <v>2651</v>
      </c>
      <c r="D3622" s="5" t="s">
        <v>118</v>
      </c>
      <c r="E3622" s="5" t="s">
        <v>2781</v>
      </c>
      <c r="F3622" s="5" t="s">
        <v>2754</v>
      </c>
      <c r="G3622" s="5">
        <v>1</v>
      </c>
      <c r="H3622" s="5" t="s">
        <v>2854</v>
      </c>
      <c r="I3622" s="5" t="str">
        <f>IF(INDEX(Manual_Review!$K$6:$K$238,U3622)="","",INDEX(Manual_Review!$K$6:$K$238,U3622))</f>
        <v/>
      </c>
      <c r="J3622" s="5" t="str">
        <f t="shared" si="112"/>
        <v>AI provisional</v>
      </c>
      <c r="K3622" s="5" t="str">
        <f t="shared" si="113"/>
        <v>Y</v>
      </c>
      <c r="L3622" s="5" t="s">
        <v>2661</v>
      </c>
      <c r="M3622" s="5" t="s">
        <v>10895</v>
      </c>
      <c r="N3622" s="5" t="s">
        <v>10896</v>
      </c>
      <c r="O3622" s="5" t="s">
        <v>2991</v>
      </c>
      <c r="P3622" s="5" t="s">
        <v>2992</v>
      </c>
      <c r="Q3622" s="11">
        <v>46306.5</v>
      </c>
      <c r="R3622" s="6"/>
      <c r="S3622" s="6"/>
      <c r="T3622" s="6"/>
      <c r="U3622" s="5">
        <f>MATCH(B3622,Manual_Review!$A$6:$A$238,0)</f>
        <v>227</v>
      </c>
      <c r="V3622" s="5" t="str">
        <f>IF(INDEX(Manual_Review!$G$6:$G$238,U3622)="","",INDEX(Manual_Review!$G$6:$G$238,U3622))</f>
        <v/>
      </c>
      <c r="W3622" s="11" t="str">
        <f>IF(INDEX(Manual_Review!$H$6:$H$238,U3622)="","",INDEX(Manual_Review!$H$6:$H$238,U3622))</f>
        <v/>
      </c>
      <c r="X3622" s="5" t="str">
        <f>IF(INDEX(Manual_Review!$I$6:$I$238,U3622)="","",INDEX(Manual_Review!$I$6:$I$238,U3622))</f>
        <v/>
      </c>
      <c r="Y3622" s="5" t="s">
        <v>2859</v>
      </c>
    </row>
    <row r="3623" spans="1:25" ht="25.5">
      <c r="A3623" s="5" t="s">
        <v>10897</v>
      </c>
      <c r="B3623" s="5" t="s">
        <v>2650</v>
      </c>
      <c r="C3623" s="5" t="s">
        <v>2651</v>
      </c>
      <c r="D3623" s="5" t="s">
        <v>118</v>
      </c>
      <c r="E3623" s="5" t="s">
        <v>2782</v>
      </c>
      <c r="F3623" s="5" t="s">
        <v>2754</v>
      </c>
      <c r="G3623" s="5">
        <v>1</v>
      </c>
      <c r="H3623" s="5" t="s">
        <v>2854</v>
      </c>
      <c r="I3623" s="5" t="str">
        <f>IF(INDEX(Manual_Review!$L$6:$L$238,U3623)="","",INDEX(Manual_Review!$L$6:$L$238,U3623))</f>
        <v/>
      </c>
      <c r="J3623" s="5" t="str">
        <f t="shared" si="112"/>
        <v>AI provisional</v>
      </c>
      <c r="K3623" s="5" t="str">
        <f t="shared" si="113"/>
        <v>Y</v>
      </c>
      <c r="L3623" s="5" t="s">
        <v>2661</v>
      </c>
      <c r="M3623" s="5" t="s">
        <v>10898</v>
      </c>
      <c r="N3623" s="5" t="s">
        <v>10899</v>
      </c>
      <c r="O3623" s="5" t="s">
        <v>2996</v>
      </c>
      <c r="P3623" s="5" t="s">
        <v>2992</v>
      </c>
      <c r="Q3623" s="11">
        <v>46306.5</v>
      </c>
      <c r="R3623" s="6"/>
      <c r="S3623" s="6"/>
      <c r="T3623" s="6"/>
      <c r="U3623" s="5">
        <f>MATCH(B3623,Manual_Review!$A$6:$A$238,0)</f>
        <v>227</v>
      </c>
      <c r="V3623" s="5" t="str">
        <f>IF(INDEX(Manual_Review!$G$6:$G$238,U3623)="","",INDEX(Manual_Review!$G$6:$G$238,U3623))</f>
        <v/>
      </c>
      <c r="W3623" s="11" t="str">
        <f>IF(INDEX(Manual_Review!$H$6:$H$238,U3623)="","",INDEX(Manual_Review!$H$6:$H$238,U3623))</f>
        <v/>
      </c>
      <c r="X3623" s="5" t="str">
        <f>IF(INDEX(Manual_Review!$I$6:$I$238,U3623)="","",INDEX(Manual_Review!$I$6:$I$238,U3623))</f>
        <v/>
      </c>
      <c r="Y3623" s="5" t="s">
        <v>2859</v>
      </c>
    </row>
    <row r="3624" spans="1:25" ht="25.5">
      <c r="A3624" s="5" t="s">
        <v>10900</v>
      </c>
      <c r="B3624" s="5" t="s">
        <v>2650</v>
      </c>
      <c r="C3624" s="5" t="s">
        <v>2651</v>
      </c>
      <c r="D3624" s="5" t="s">
        <v>118</v>
      </c>
      <c r="E3624" s="5" t="s">
        <v>2783</v>
      </c>
      <c r="F3624" s="5" t="s">
        <v>2754</v>
      </c>
      <c r="G3624" s="5">
        <v>1</v>
      </c>
      <c r="H3624" s="5" t="s">
        <v>2854</v>
      </c>
      <c r="I3624" s="5" t="str">
        <f>IF(INDEX(Manual_Review!$M$6:$M$238,U3624)="","",INDEX(Manual_Review!$M$6:$M$238,U3624))</f>
        <v/>
      </c>
      <c r="J3624" s="5" t="str">
        <f t="shared" si="112"/>
        <v>AI provisional</v>
      </c>
      <c r="K3624" s="5" t="str">
        <f t="shared" si="113"/>
        <v>Y</v>
      </c>
      <c r="L3624" s="5" t="s">
        <v>2661</v>
      </c>
      <c r="M3624" s="5" t="s">
        <v>10901</v>
      </c>
      <c r="N3624" s="5" t="s">
        <v>8977</v>
      </c>
      <c r="O3624" s="5" t="s">
        <v>3000</v>
      </c>
      <c r="P3624" s="5" t="s">
        <v>2992</v>
      </c>
      <c r="Q3624" s="11">
        <v>46306.5</v>
      </c>
      <c r="R3624" s="6"/>
      <c r="S3624" s="6"/>
      <c r="T3624" s="6"/>
      <c r="U3624" s="5">
        <f>MATCH(B3624,Manual_Review!$A$6:$A$238,0)</f>
        <v>227</v>
      </c>
      <c r="V3624" s="5" t="str">
        <f>IF(INDEX(Manual_Review!$G$6:$G$238,U3624)="","",INDEX(Manual_Review!$G$6:$G$238,U3624))</f>
        <v/>
      </c>
      <c r="W3624" s="11" t="str">
        <f>IF(INDEX(Manual_Review!$H$6:$H$238,U3624)="","",INDEX(Manual_Review!$H$6:$H$238,U3624))</f>
        <v/>
      </c>
      <c r="X3624" s="5" t="str">
        <f>IF(INDEX(Manual_Review!$I$6:$I$238,U3624)="","",INDEX(Manual_Review!$I$6:$I$238,U3624))</f>
        <v/>
      </c>
      <c r="Y3624" s="5" t="s">
        <v>2859</v>
      </c>
    </row>
    <row r="3625" spans="1:25" ht="25.5">
      <c r="A3625" s="5" t="s">
        <v>10902</v>
      </c>
      <c r="B3625" s="5" t="s">
        <v>2650</v>
      </c>
      <c r="C3625" s="5" t="s">
        <v>2651</v>
      </c>
      <c r="D3625" s="5" t="s">
        <v>118</v>
      </c>
      <c r="E3625" s="5" t="s">
        <v>2784</v>
      </c>
      <c r="F3625" s="5" t="s">
        <v>2756</v>
      </c>
      <c r="G3625" s="5">
        <v>1</v>
      </c>
      <c r="H3625" s="5" t="s">
        <v>2854</v>
      </c>
      <c r="I3625" s="5" t="str">
        <f>IF(INDEX(Manual_Review!$N$6:$N$238,U3625)="","",INDEX(Manual_Review!$N$6:$N$238,U3625))</f>
        <v/>
      </c>
      <c r="J3625" s="5" t="str">
        <f t="shared" si="112"/>
        <v>AI provisional</v>
      </c>
      <c r="K3625" s="5" t="str">
        <f t="shared" si="113"/>
        <v>Y</v>
      </c>
      <c r="L3625" s="5" t="s">
        <v>2661</v>
      </c>
      <c r="M3625" s="5" t="s">
        <v>10903</v>
      </c>
      <c r="N3625" s="5" t="s">
        <v>10904</v>
      </c>
      <c r="O3625" s="5" t="s">
        <v>3004</v>
      </c>
      <c r="P3625" s="5" t="s">
        <v>2992</v>
      </c>
      <c r="Q3625" s="11">
        <v>46306.5</v>
      </c>
      <c r="R3625" s="6"/>
      <c r="S3625" s="6"/>
      <c r="T3625" s="6"/>
      <c r="U3625" s="5">
        <f>MATCH(B3625,Manual_Review!$A$6:$A$238,0)</f>
        <v>227</v>
      </c>
      <c r="V3625" s="5" t="str">
        <f>IF(INDEX(Manual_Review!$G$6:$G$238,U3625)="","",INDEX(Manual_Review!$G$6:$G$238,U3625))</f>
        <v/>
      </c>
      <c r="W3625" s="11" t="str">
        <f>IF(INDEX(Manual_Review!$H$6:$H$238,U3625)="","",INDEX(Manual_Review!$H$6:$H$238,U3625))</f>
        <v/>
      </c>
      <c r="X3625" s="5" t="str">
        <f>IF(INDEX(Manual_Review!$I$6:$I$238,U3625)="","",INDEX(Manual_Review!$I$6:$I$238,U3625))</f>
        <v/>
      </c>
      <c r="Y3625" s="5" t="s">
        <v>2859</v>
      </c>
    </row>
    <row r="3626" spans="1:25" ht="25.5">
      <c r="A3626" s="5" t="s">
        <v>10905</v>
      </c>
      <c r="B3626" s="5" t="s">
        <v>2650</v>
      </c>
      <c r="C3626" s="5" t="s">
        <v>2651</v>
      </c>
      <c r="D3626" s="5" t="s">
        <v>118</v>
      </c>
      <c r="E3626" s="5" t="s">
        <v>2785</v>
      </c>
      <c r="F3626" s="5" t="s">
        <v>2756</v>
      </c>
      <c r="G3626" s="5">
        <v>1</v>
      </c>
      <c r="H3626" s="5" t="s">
        <v>2864</v>
      </c>
      <c r="I3626" s="5" t="str">
        <f>IF(INDEX(Manual_Review!$O$6:$O$238,U3626)="","",INDEX(Manual_Review!$O$6:$O$238,U3626))</f>
        <v/>
      </c>
      <c r="J3626" s="5" t="str">
        <f t="shared" si="112"/>
        <v>AI provisional</v>
      </c>
      <c r="K3626" s="5" t="str">
        <f t="shared" si="113"/>
        <v>U</v>
      </c>
      <c r="L3626" s="5" t="s">
        <v>2661</v>
      </c>
      <c r="M3626" s="5" t="s">
        <v>10903</v>
      </c>
      <c r="N3626" s="5" t="s">
        <v>10904</v>
      </c>
      <c r="O3626" s="5" t="s">
        <v>3006</v>
      </c>
      <c r="P3626" s="5" t="s">
        <v>2992</v>
      </c>
      <c r="Q3626" s="11">
        <v>46306.5</v>
      </c>
      <c r="R3626" s="6"/>
      <c r="S3626" s="6"/>
      <c r="T3626" s="6"/>
      <c r="U3626" s="5">
        <f>MATCH(B3626,Manual_Review!$A$6:$A$238,0)</f>
        <v>227</v>
      </c>
      <c r="V3626" s="5" t="str">
        <f>IF(INDEX(Manual_Review!$G$6:$G$238,U3626)="","",INDEX(Manual_Review!$G$6:$G$238,U3626))</f>
        <v/>
      </c>
      <c r="W3626" s="11" t="str">
        <f>IF(INDEX(Manual_Review!$H$6:$H$238,U3626)="","",INDEX(Manual_Review!$H$6:$H$238,U3626))</f>
        <v/>
      </c>
      <c r="X3626" s="5" t="str">
        <f>IF(INDEX(Manual_Review!$I$6:$I$238,U3626)="","",INDEX(Manual_Review!$I$6:$I$238,U3626))</f>
        <v/>
      </c>
      <c r="Y3626" s="5" t="s">
        <v>2859</v>
      </c>
    </row>
    <row r="3627" spans="1:25" ht="25.5">
      <c r="A3627" s="5" t="s">
        <v>10906</v>
      </c>
      <c r="B3627" s="5" t="s">
        <v>2650</v>
      </c>
      <c r="C3627" s="5" t="s">
        <v>2651</v>
      </c>
      <c r="D3627" s="5" t="s">
        <v>118</v>
      </c>
      <c r="E3627" s="5" t="s">
        <v>2786</v>
      </c>
      <c r="F3627" s="5" t="s">
        <v>2756</v>
      </c>
      <c r="G3627" s="5">
        <v>1</v>
      </c>
      <c r="H3627" s="5" t="s">
        <v>2864</v>
      </c>
      <c r="I3627" s="5" t="str">
        <f>IF(INDEX(Manual_Review!$P$6:$P$238,U3627)="","",INDEX(Manual_Review!$P$6:$P$238,U3627))</f>
        <v/>
      </c>
      <c r="J3627" s="5" t="str">
        <f t="shared" si="112"/>
        <v>AI provisional</v>
      </c>
      <c r="K3627" s="5" t="str">
        <f t="shared" si="113"/>
        <v>U</v>
      </c>
      <c r="L3627" s="5" t="s">
        <v>2661</v>
      </c>
      <c r="M3627" s="5" t="s">
        <v>10907</v>
      </c>
      <c r="N3627" s="5" t="s">
        <v>10908</v>
      </c>
      <c r="O3627" s="5" t="s">
        <v>3010</v>
      </c>
      <c r="P3627" s="5" t="s">
        <v>2992</v>
      </c>
      <c r="Q3627" s="11">
        <v>46306.5</v>
      </c>
      <c r="R3627" s="6"/>
      <c r="S3627" s="6"/>
      <c r="T3627" s="6"/>
      <c r="U3627" s="5">
        <f>MATCH(B3627,Manual_Review!$A$6:$A$238,0)</f>
        <v>227</v>
      </c>
      <c r="V3627" s="5" t="str">
        <f>IF(INDEX(Manual_Review!$G$6:$G$238,U3627)="","",INDEX(Manual_Review!$G$6:$G$238,U3627))</f>
        <v/>
      </c>
      <c r="W3627" s="11" t="str">
        <f>IF(INDEX(Manual_Review!$H$6:$H$238,U3627)="","",INDEX(Manual_Review!$H$6:$H$238,U3627))</f>
        <v/>
      </c>
      <c r="X3627" s="5" t="str">
        <f>IF(INDEX(Manual_Review!$I$6:$I$238,U3627)="","",INDEX(Manual_Review!$I$6:$I$238,U3627))</f>
        <v/>
      </c>
      <c r="Y3627" s="5" t="s">
        <v>2859</v>
      </c>
    </row>
    <row r="3628" spans="1:25" ht="25.5">
      <c r="A3628" s="5" t="s">
        <v>10909</v>
      </c>
      <c r="B3628" s="5" t="s">
        <v>2650</v>
      </c>
      <c r="C3628" s="5" t="s">
        <v>2651</v>
      </c>
      <c r="D3628" s="5" t="s">
        <v>118</v>
      </c>
      <c r="E3628" s="5" t="s">
        <v>2787</v>
      </c>
      <c r="F3628" s="5" t="s">
        <v>2758</v>
      </c>
      <c r="G3628" s="5">
        <v>1</v>
      </c>
      <c r="H3628" s="5" t="s">
        <v>2864</v>
      </c>
      <c r="I3628" s="5" t="str">
        <f>IF(INDEX(Manual_Review!$Q$6:$Q$238,U3628)="","",INDEX(Manual_Review!$Q$6:$Q$238,U3628))</f>
        <v/>
      </c>
      <c r="J3628" s="5" t="str">
        <f t="shared" si="112"/>
        <v>AI provisional</v>
      </c>
      <c r="K3628" s="5" t="str">
        <f t="shared" si="113"/>
        <v>U</v>
      </c>
      <c r="L3628" s="5" t="s">
        <v>2661</v>
      </c>
      <c r="M3628" s="5" t="s">
        <v>10910</v>
      </c>
      <c r="N3628" s="5" t="s">
        <v>10911</v>
      </c>
      <c r="O3628" s="5" t="s">
        <v>3014</v>
      </c>
      <c r="P3628" s="5" t="s">
        <v>2992</v>
      </c>
      <c r="Q3628" s="11">
        <v>46306.5</v>
      </c>
      <c r="R3628" s="6"/>
      <c r="S3628" s="6"/>
      <c r="T3628" s="6"/>
      <c r="U3628" s="5">
        <f>MATCH(B3628,Manual_Review!$A$6:$A$238,0)</f>
        <v>227</v>
      </c>
      <c r="V3628" s="5" t="str">
        <f>IF(INDEX(Manual_Review!$G$6:$G$238,U3628)="","",INDEX(Manual_Review!$G$6:$G$238,U3628))</f>
        <v/>
      </c>
      <c r="W3628" s="11" t="str">
        <f>IF(INDEX(Manual_Review!$H$6:$H$238,U3628)="","",INDEX(Manual_Review!$H$6:$H$238,U3628))</f>
        <v/>
      </c>
      <c r="X3628" s="5" t="str">
        <f>IF(INDEX(Manual_Review!$I$6:$I$238,U3628)="","",INDEX(Manual_Review!$I$6:$I$238,U3628))</f>
        <v/>
      </c>
      <c r="Y3628" s="5" t="s">
        <v>2859</v>
      </c>
    </row>
    <row r="3629" spans="1:25" ht="38.25">
      <c r="A3629" s="5" t="s">
        <v>10912</v>
      </c>
      <c r="B3629" s="5" t="s">
        <v>2650</v>
      </c>
      <c r="C3629" s="5" t="s">
        <v>2651</v>
      </c>
      <c r="D3629" s="5" t="s">
        <v>118</v>
      </c>
      <c r="E3629" s="5" t="s">
        <v>2788</v>
      </c>
      <c r="F3629" s="5" t="s">
        <v>2758</v>
      </c>
      <c r="G3629" s="5">
        <v>1</v>
      </c>
      <c r="H3629" s="5" t="s">
        <v>2854</v>
      </c>
      <c r="I3629" s="5" t="str">
        <f>IF(INDEX(Manual_Review!$R$6:$R$238,U3629)="","",INDEX(Manual_Review!$R$6:$R$238,U3629))</f>
        <v/>
      </c>
      <c r="J3629" s="5" t="str">
        <f t="shared" si="112"/>
        <v>AI provisional</v>
      </c>
      <c r="K3629" s="5" t="str">
        <f t="shared" si="113"/>
        <v>Y</v>
      </c>
      <c r="L3629" s="5" t="s">
        <v>2661</v>
      </c>
      <c r="M3629" s="5" t="s">
        <v>10913</v>
      </c>
      <c r="N3629" s="5" t="s">
        <v>10914</v>
      </c>
      <c r="O3629" s="5" t="s">
        <v>3018</v>
      </c>
      <c r="P3629" s="5" t="s">
        <v>2992</v>
      </c>
      <c r="Q3629" s="11">
        <v>46306.5</v>
      </c>
      <c r="R3629" s="6"/>
      <c r="S3629" s="6"/>
      <c r="T3629" s="6"/>
      <c r="U3629" s="5">
        <f>MATCH(B3629,Manual_Review!$A$6:$A$238,0)</f>
        <v>227</v>
      </c>
      <c r="V3629" s="5" t="str">
        <f>IF(INDEX(Manual_Review!$G$6:$G$238,U3629)="","",INDEX(Manual_Review!$G$6:$G$238,U3629))</f>
        <v/>
      </c>
      <c r="W3629" s="11" t="str">
        <f>IF(INDEX(Manual_Review!$H$6:$H$238,U3629)="","",INDEX(Manual_Review!$H$6:$H$238,U3629))</f>
        <v/>
      </c>
      <c r="X3629" s="5" t="str">
        <f>IF(INDEX(Manual_Review!$I$6:$I$238,U3629)="","",INDEX(Manual_Review!$I$6:$I$238,U3629))</f>
        <v/>
      </c>
      <c r="Y3629" s="5" t="s">
        <v>2859</v>
      </c>
    </row>
    <row r="3630" spans="1:25" ht="38.25">
      <c r="A3630" s="5" t="s">
        <v>10915</v>
      </c>
      <c r="B3630" s="5" t="s">
        <v>2650</v>
      </c>
      <c r="C3630" s="5" t="s">
        <v>2651</v>
      </c>
      <c r="D3630" s="5" t="s">
        <v>118</v>
      </c>
      <c r="E3630" s="5" t="s">
        <v>2789</v>
      </c>
      <c r="F3630" s="5" t="s">
        <v>2758</v>
      </c>
      <c r="G3630" s="5">
        <v>1</v>
      </c>
      <c r="H3630" s="5" t="s">
        <v>2854</v>
      </c>
      <c r="I3630" s="5" t="str">
        <f>IF(INDEX(Manual_Review!$S$6:$S$238,U3630)="","",INDEX(Manual_Review!$S$6:$S$238,U3630))</f>
        <v/>
      </c>
      <c r="J3630" s="5" t="str">
        <f t="shared" si="112"/>
        <v>AI provisional</v>
      </c>
      <c r="K3630" s="5" t="str">
        <f t="shared" si="113"/>
        <v>Y</v>
      </c>
      <c r="L3630" s="5" t="s">
        <v>2661</v>
      </c>
      <c r="M3630" s="5" t="s">
        <v>10916</v>
      </c>
      <c r="N3630" s="5" t="s">
        <v>10917</v>
      </c>
      <c r="O3630" s="5" t="s">
        <v>3022</v>
      </c>
      <c r="P3630" s="5" t="s">
        <v>2992</v>
      </c>
      <c r="Q3630" s="11">
        <v>46306.5</v>
      </c>
      <c r="R3630" s="6"/>
      <c r="S3630" s="6"/>
      <c r="T3630" s="6"/>
      <c r="U3630" s="5">
        <f>MATCH(B3630,Manual_Review!$A$6:$A$238,0)</f>
        <v>227</v>
      </c>
      <c r="V3630" s="5" t="str">
        <f>IF(INDEX(Manual_Review!$G$6:$G$238,U3630)="","",INDEX(Manual_Review!$G$6:$G$238,U3630))</f>
        <v/>
      </c>
      <c r="W3630" s="11" t="str">
        <f>IF(INDEX(Manual_Review!$H$6:$H$238,U3630)="","",INDEX(Manual_Review!$H$6:$H$238,U3630))</f>
        <v/>
      </c>
      <c r="X3630" s="5" t="str">
        <f>IF(INDEX(Manual_Review!$I$6:$I$238,U3630)="","",INDEX(Manual_Review!$I$6:$I$238,U3630))</f>
        <v/>
      </c>
      <c r="Y3630" s="5" t="s">
        <v>2859</v>
      </c>
    </row>
    <row r="3631" spans="1:25" ht="25.5">
      <c r="A3631" s="5" t="s">
        <v>10918</v>
      </c>
      <c r="B3631" s="5" t="s">
        <v>2650</v>
      </c>
      <c r="C3631" s="5" t="s">
        <v>2651</v>
      </c>
      <c r="D3631" s="5" t="s">
        <v>118</v>
      </c>
      <c r="E3631" s="5" t="s">
        <v>2790</v>
      </c>
      <c r="F3631" s="5" t="s">
        <v>2760</v>
      </c>
      <c r="G3631" s="5">
        <v>1</v>
      </c>
      <c r="H3631" s="5" t="s">
        <v>2854</v>
      </c>
      <c r="I3631" s="5" t="str">
        <f>IF(INDEX(Manual_Review!$T$6:$T$238,U3631)="","",INDEX(Manual_Review!$T$6:$T$238,U3631))</f>
        <v/>
      </c>
      <c r="J3631" s="5" t="str">
        <f t="shared" si="112"/>
        <v>AI provisional</v>
      </c>
      <c r="K3631" s="5" t="str">
        <f t="shared" si="113"/>
        <v>Y</v>
      </c>
      <c r="L3631" s="5" t="s">
        <v>2661</v>
      </c>
      <c r="M3631" s="5" t="s">
        <v>10919</v>
      </c>
      <c r="N3631" s="5" t="s">
        <v>10920</v>
      </c>
      <c r="O3631" s="5" t="s">
        <v>3451</v>
      </c>
      <c r="P3631" s="5" t="s">
        <v>2992</v>
      </c>
      <c r="Q3631" s="11">
        <v>46306.5</v>
      </c>
      <c r="R3631" s="6"/>
      <c r="S3631" s="6"/>
      <c r="T3631" s="6"/>
      <c r="U3631" s="5">
        <f>MATCH(B3631,Manual_Review!$A$6:$A$238,0)</f>
        <v>227</v>
      </c>
      <c r="V3631" s="5" t="str">
        <f>IF(INDEX(Manual_Review!$G$6:$G$238,U3631)="","",INDEX(Manual_Review!$G$6:$G$238,U3631))</f>
        <v/>
      </c>
      <c r="W3631" s="11" t="str">
        <f>IF(INDEX(Manual_Review!$H$6:$H$238,U3631)="","",INDEX(Manual_Review!$H$6:$H$238,U3631))</f>
        <v/>
      </c>
      <c r="X3631" s="5" t="str">
        <f>IF(INDEX(Manual_Review!$I$6:$I$238,U3631)="","",INDEX(Manual_Review!$I$6:$I$238,U3631))</f>
        <v/>
      </c>
      <c r="Y3631" s="5" t="s">
        <v>2859</v>
      </c>
    </row>
    <row r="3632" spans="1:25" ht="25.5">
      <c r="A3632" s="5" t="s">
        <v>10921</v>
      </c>
      <c r="B3632" s="5" t="s">
        <v>2650</v>
      </c>
      <c r="C3632" s="5" t="s">
        <v>2651</v>
      </c>
      <c r="D3632" s="5" t="s">
        <v>118</v>
      </c>
      <c r="E3632" s="5" t="s">
        <v>2791</v>
      </c>
      <c r="F3632" s="5" t="s">
        <v>2760</v>
      </c>
      <c r="G3632" s="5">
        <v>1</v>
      </c>
      <c r="H3632" s="5" t="s">
        <v>2864</v>
      </c>
      <c r="I3632" s="5" t="str">
        <f>IF(INDEX(Manual_Review!$U$6:$U$238,U3632)="","",INDEX(Manual_Review!$U$6:$U$238,U3632))</f>
        <v/>
      </c>
      <c r="J3632" s="5" t="str">
        <f t="shared" si="112"/>
        <v>AI provisional</v>
      </c>
      <c r="K3632" s="5" t="str">
        <f t="shared" si="113"/>
        <v>U</v>
      </c>
      <c r="L3632" s="5" t="s">
        <v>2661</v>
      </c>
      <c r="M3632" s="5" t="s">
        <v>10922</v>
      </c>
      <c r="N3632" s="5" t="s">
        <v>10923</v>
      </c>
      <c r="O3632" s="5" t="s">
        <v>3030</v>
      </c>
      <c r="P3632" s="5" t="s">
        <v>2992</v>
      </c>
      <c r="Q3632" s="11">
        <v>46306.5</v>
      </c>
      <c r="R3632" s="6"/>
      <c r="S3632" s="6"/>
      <c r="T3632" s="6"/>
      <c r="U3632" s="5">
        <f>MATCH(B3632,Manual_Review!$A$6:$A$238,0)</f>
        <v>227</v>
      </c>
      <c r="V3632" s="5" t="str">
        <f>IF(INDEX(Manual_Review!$G$6:$G$238,U3632)="","",INDEX(Manual_Review!$G$6:$G$238,U3632))</f>
        <v/>
      </c>
      <c r="W3632" s="11" t="str">
        <f>IF(INDEX(Manual_Review!$H$6:$H$238,U3632)="","",INDEX(Manual_Review!$H$6:$H$238,U3632))</f>
        <v/>
      </c>
      <c r="X3632" s="5" t="str">
        <f>IF(INDEX(Manual_Review!$I$6:$I$238,U3632)="","",INDEX(Manual_Review!$I$6:$I$238,U3632))</f>
        <v/>
      </c>
      <c r="Y3632" s="5" t="s">
        <v>2859</v>
      </c>
    </row>
    <row r="3633" spans="1:25" ht="25.5">
      <c r="A3633" s="5" t="s">
        <v>10924</v>
      </c>
      <c r="B3633" s="5" t="s">
        <v>2650</v>
      </c>
      <c r="C3633" s="5" t="s">
        <v>2651</v>
      </c>
      <c r="D3633" s="5" t="s">
        <v>118</v>
      </c>
      <c r="E3633" s="5" t="s">
        <v>2792</v>
      </c>
      <c r="F3633" s="5" t="s">
        <v>2762</v>
      </c>
      <c r="G3633" s="5">
        <v>1</v>
      </c>
      <c r="H3633" s="5" t="s">
        <v>2854</v>
      </c>
      <c r="I3633" s="5" t="str">
        <f>IF(INDEX(Manual_Review!$V$6:$V$238,U3633)="","",INDEX(Manual_Review!$V$6:$V$238,U3633))</f>
        <v/>
      </c>
      <c r="J3633" s="5" t="str">
        <f t="shared" si="112"/>
        <v>AI provisional</v>
      </c>
      <c r="K3633" s="5" t="str">
        <f t="shared" si="113"/>
        <v>Y</v>
      </c>
      <c r="L3633" s="5" t="s">
        <v>2661</v>
      </c>
      <c r="M3633" s="5" t="s">
        <v>10925</v>
      </c>
      <c r="N3633" s="5" t="s">
        <v>10926</v>
      </c>
      <c r="O3633" s="5" t="s">
        <v>3034</v>
      </c>
      <c r="P3633" s="5" t="s">
        <v>2992</v>
      </c>
      <c r="Q3633" s="11">
        <v>46306.5</v>
      </c>
      <c r="R3633" s="6"/>
      <c r="S3633" s="6"/>
      <c r="T3633" s="6"/>
      <c r="U3633" s="5">
        <f>MATCH(B3633,Manual_Review!$A$6:$A$238,0)</f>
        <v>227</v>
      </c>
      <c r="V3633" s="5" t="str">
        <f>IF(INDEX(Manual_Review!$G$6:$G$238,U3633)="","",INDEX(Manual_Review!$G$6:$G$238,U3633))</f>
        <v/>
      </c>
      <c r="W3633" s="11" t="str">
        <f>IF(INDEX(Manual_Review!$H$6:$H$238,U3633)="","",INDEX(Manual_Review!$H$6:$H$238,U3633))</f>
        <v/>
      </c>
      <c r="X3633" s="5" t="str">
        <f>IF(INDEX(Manual_Review!$I$6:$I$238,U3633)="","",INDEX(Manual_Review!$I$6:$I$238,U3633))</f>
        <v/>
      </c>
      <c r="Y3633" s="5" t="s">
        <v>2859</v>
      </c>
    </row>
    <row r="3634" spans="1:25" ht="38.25">
      <c r="A3634" s="5" t="s">
        <v>10927</v>
      </c>
      <c r="B3634" s="5" t="s">
        <v>2650</v>
      </c>
      <c r="C3634" s="5" t="s">
        <v>2651</v>
      </c>
      <c r="D3634" s="5" t="s">
        <v>118</v>
      </c>
      <c r="E3634" s="5" t="s">
        <v>2793</v>
      </c>
      <c r="F3634" s="5" t="s">
        <v>2762</v>
      </c>
      <c r="G3634" s="5">
        <v>1</v>
      </c>
      <c r="H3634" s="5" t="s">
        <v>2854</v>
      </c>
      <c r="I3634" s="5" t="str">
        <f>IF(INDEX(Manual_Review!$W$6:$W$238,U3634)="","",INDEX(Manual_Review!$W$6:$W$238,U3634))</f>
        <v/>
      </c>
      <c r="J3634" s="5" t="str">
        <f t="shared" si="112"/>
        <v>AI provisional</v>
      </c>
      <c r="K3634" s="5" t="str">
        <f t="shared" si="113"/>
        <v>Y</v>
      </c>
      <c r="L3634" s="5" t="s">
        <v>2661</v>
      </c>
      <c r="M3634" s="5" t="s">
        <v>10928</v>
      </c>
      <c r="N3634" s="5" t="s">
        <v>10929</v>
      </c>
      <c r="O3634" s="5" t="s">
        <v>3038</v>
      </c>
      <c r="P3634" s="5" t="s">
        <v>2992</v>
      </c>
      <c r="Q3634" s="11">
        <v>46306.5</v>
      </c>
      <c r="R3634" s="6"/>
      <c r="S3634" s="6"/>
      <c r="T3634" s="6"/>
      <c r="U3634" s="5">
        <f>MATCH(B3634,Manual_Review!$A$6:$A$238,0)</f>
        <v>227</v>
      </c>
      <c r="V3634" s="5" t="str">
        <f>IF(INDEX(Manual_Review!$G$6:$G$238,U3634)="","",INDEX(Manual_Review!$G$6:$G$238,U3634))</f>
        <v/>
      </c>
      <c r="W3634" s="11" t="str">
        <f>IF(INDEX(Manual_Review!$H$6:$H$238,U3634)="","",INDEX(Manual_Review!$H$6:$H$238,U3634))</f>
        <v/>
      </c>
      <c r="X3634" s="5" t="str">
        <f>IF(INDEX(Manual_Review!$I$6:$I$238,U3634)="","",INDEX(Manual_Review!$I$6:$I$238,U3634))</f>
        <v/>
      </c>
      <c r="Y3634" s="5" t="s">
        <v>2859</v>
      </c>
    </row>
    <row r="3635" spans="1:25" ht="25.5">
      <c r="A3635" s="5" t="s">
        <v>10930</v>
      </c>
      <c r="B3635" s="5" t="s">
        <v>2650</v>
      </c>
      <c r="C3635" s="5" t="s">
        <v>2651</v>
      </c>
      <c r="D3635" s="5" t="s">
        <v>118</v>
      </c>
      <c r="E3635" s="5" t="s">
        <v>2794</v>
      </c>
      <c r="F3635" s="5" t="s">
        <v>2764</v>
      </c>
      <c r="G3635" s="5">
        <v>1</v>
      </c>
      <c r="H3635" s="5" t="s">
        <v>2854</v>
      </c>
      <c r="I3635" s="5" t="str">
        <f>IF(INDEX(Manual_Review!$X$6:$X$238,U3635)="","",INDEX(Manual_Review!$X$6:$X$238,U3635))</f>
        <v/>
      </c>
      <c r="J3635" s="5" t="str">
        <f t="shared" si="112"/>
        <v>AI provisional</v>
      </c>
      <c r="K3635" s="5" t="str">
        <f t="shared" si="113"/>
        <v>Y</v>
      </c>
      <c r="L3635" s="5" t="s">
        <v>2661</v>
      </c>
      <c r="M3635" s="5" t="s">
        <v>10931</v>
      </c>
      <c r="N3635" s="5" t="s">
        <v>10932</v>
      </c>
      <c r="O3635" s="5" t="s">
        <v>3042</v>
      </c>
      <c r="P3635" s="5" t="s">
        <v>2992</v>
      </c>
      <c r="Q3635" s="11">
        <v>46306.5</v>
      </c>
      <c r="R3635" s="6"/>
      <c r="S3635" s="6"/>
      <c r="T3635" s="6"/>
      <c r="U3635" s="5">
        <f>MATCH(B3635,Manual_Review!$A$6:$A$238,0)</f>
        <v>227</v>
      </c>
      <c r="V3635" s="5" t="str">
        <f>IF(INDEX(Manual_Review!$G$6:$G$238,U3635)="","",INDEX(Manual_Review!$G$6:$G$238,U3635))</f>
        <v/>
      </c>
      <c r="W3635" s="11" t="str">
        <f>IF(INDEX(Manual_Review!$H$6:$H$238,U3635)="","",INDEX(Manual_Review!$H$6:$H$238,U3635))</f>
        <v/>
      </c>
      <c r="X3635" s="5" t="str">
        <f>IF(INDEX(Manual_Review!$I$6:$I$238,U3635)="","",INDEX(Manual_Review!$I$6:$I$238,U3635))</f>
        <v/>
      </c>
      <c r="Y3635" s="5" t="s">
        <v>2859</v>
      </c>
    </row>
    <row r="3636" spans="1:25" ht="25.5">
      <c r="A3636" s="5" t="s">
        <v>10933</v>
      </c>
      <c r="B3636" s="5" t="s">
        <v>2650</v>
      </c>
      <c r="C3636" s="5" t="s">
        <v>2651</v>
      </c>
      <c r="D3636" s="5" t="s">
        <v>118</v>
      </c>
      <c r="E3636" s="5" t="s">
        <v>2795</v>
      </c>
      <c r="F3636" s="5" t="s">
        <v>2764</v>
      </c>
      <c r="G3636" s="5">
        <v>1</v>
      </c>
      <c r="H3636" s="5" t="s">
        <v>2864</v>
      </c>
      <c r="I3636" s="5" t="str">
        <f>IF(INDEX(Manual_Review!$Y$6:$Y$238,U3636)="","",INDEX(Manual_Review!$Y$6:$Y$238,U3636))</f>
        <v/>
      </c>
      <c r="J3636" s="5" t="str">
        <f t="shared" si="112"/>
        <v>AI provisional</v>
      </c>
      <c r="K3636" s="5" t="str">
        <f t="shared" si="113"/>
        <v>U</v>
      </c>
      <c r="L3636" s="5" t="s">
        <v>2661</v>
      </c>
      <c r="M3636" s="5" t="s">
        <v>10934</v>
      </c>
      <c r="N3636" s="5" t="s">
        <v>10935</v>
      </c>
      <c r="O3636" s="5" t="s">
        <v>3469</v>
      </c>
      <c r="P3636" s="5" t="s">
        <v>2992</v>
      </c>
      <c r="Q3636" s="11">
        <v>46306.5</v>
      </c>
      <c r="R3636" s="6"/>
      <c r="S3636" s="6"/>
      <c r="T3636" s="6"/>
      <c r="U3636" s="5">
        <f>MATCH(B3636,Manual_Review!$A$6:$A$238,0)</f>
        <v>227</v>
      </c>
      <c r="V3636" s="5" t="str">
        <f>IF(INDEX(Manual_Review!$G$6:$G$238,U3636)="","",INDEX(Manual_Review!$G$6:$G$238,U3636))</f>
        <v/>
      </c>
      <c r="W3636" s="11" t="str">
        <f>IF(INDEX(Manual_Review!$H$6:$H$238,U3636)="","",INDEX(Manual_Review!$H$6:$H$238,U3636))</f>
        <v/>
      </c>
      <c r="X3636" s="5" t="str">
        <f>IF(INDEX(Manual_Review!$I$6:$I$238,U3636)="","",INDEX(Manual_Review!$I$6:$I$238,U3636))</f>
        <v/>
      </c>
      <c r="Y3636" s="5" t="s">
        <v>2859</v>
      </c>
    </row>
    <row r="3637" spans="1:25" ht="38.25">
      <c r="A3637" s="5" t="s">
        <v>10936</v>
      </c>
      <c r="B3637" s="5" t="s">
        <v>2650</v>
      </c>
      <c r="C3637" s="5" t="s">
        <v>2651</v>
      </c>
      <c r="D3637" s="5" t="s">
        <v>118</v>
      </c>
      <c r="E3637" s="5" t="s">
        <v>2796</v>
      </c>
      <c r="F3637" s="5" t="s">
        <v>2764</v>
      </c>
      <c r="G3637" s="5">
        <v>1</v>
      </c>
      <c r="H3637" s="5" t="s">
        <v>2864</v>
      </c>
      <c r="I3637" s="5" t="str">
        <f>IF(INDEX(Manual_Review!$Z$6:$Z$238,U3637)="","",INDEX(Manual_Review!$Z$6:$Z$238,U3637))</f>
        <v/>
      </c>
      <c r="J3637" s="5" t="str">
        <f t="shared" si="112"/>
        <v>AI provisional</v>
      </c>
      <c r="K3637" s="5" t="str">
        <f t="shared" si="113"/>
        <v>U</v>
      </c>
      <c r="L3637" s="5" t="s">
        <v>2661</v>
      </c>
      <c r="M3637" s="5" t="s">
        <v>10937</v>
      </c>
      <c r="N3637" s="5" t="s">
        <v>10938</v>
      </c>
      <c r="O3637" s="5" t="s">
        <v>3050</v>
      </c>
      <c r="P3637" s="5" t="s">
        <v>2992</v>
      </c>
      <c r="Q3637" s="11">
        <v>46306.5</v>
      </c>
      <c r="R3637" s="6"/>
      <c r="S3637" s="6"/>
      <c r="T3637" s="6"/>
      <c r="U3637" s="5">
        <f>MATCH(B3637,Manual_Review!$A$6:$A$238,0)</f>
        <v>227</v>
      </c>
      <c r="V3637" s="5" t="str">
        <f>IF(INDEX(Manual_Review!$G$6:$G$238,U3637)="","",INDEX(Manual_Review!$G$6:$G$238,U3637))</f>
        <v/>
      </c>
      <c r="W3637" s="11" t="str">
        <f>IF(INDEX(Manual_Review!$H$6:$H$238,U3637)="","",INDEX(Manual_Review!$H$6:$H$238,U3637))</f>
        <v/>
      </c>
      <c r="X3637" s="5" t="str">
        <f>IF(INDEX(Manual_Review!$I$6:$I$238,U3637)="","",INDEX(Manual_Review!$I$6:$I$238,U3637))</f>
        <v/>
      </c>
      <c r="Y3637" s="5" t="s">
        <v>2859</v>
      </c>
    </row>
    <row r="3638" spans="1:25" ht="25.5">
      <c r="A3638" s="5" t="s">
        <v>10939</v>
      </c>
      <c r="B3638" s="5" t="s">
        <v>2663</v>
      </c>
      <c r="C3638" s="5" t="s">
        <v>2664</v>
      </c>
      <c r="D3638" s="5" t="s">
        <v>118</v>
      </c>
      <c r="E3638" s="5" t="s">
        <v>2781</v>
      </c>
      <c r="F3638" s="5" t="s">
        <v>2754</v>
      </c>
      <c r="G3638" s="5">
        <v>1</v>
      </c>
      <c r="H3638" s="5" t="s">
        <v>2854</v>
      </c>
      <c r="I3638" s="5" t="str">
        <f>IF(INDEX(Manual_Review!$K$6:$K$238,U3638)="","",INDEX(Manual_Review!$K$6:$K$238,U3638))</f>
        <v/>
      </c>
      <c r="J3638" s="5" t="str">
        <f t="shared" si="112"/>
        <v>AI provisional</v>
      </c>
      <c r="K3638" s="5" t="str">
        <f t="shared" si="113"/>
        <v>Y</v>
      </c>
      <c r="L3638" s="5" t="s">
        <v>2674</v>
      </c>
      <c r="M3638" s="5" t="s">
        <v>10940</v>
      </c>
      <c r="N3638" s="5" t="s">
        <v>10941</v>
      </c>
      <c r="O3638" s="5" t="s">
        <v>2991</v>
      </c>
      <c r="P3638" s="5" t="s">
        <v>2992</v>
      </c>
      <c r="Q3638" s="11">
        <v>46306.5</v>
      </c>
      <c r="R3638" s="6"/>
      <c r="S3638" s="6"/>
      <c r="T3638" s="6"/>
      <c r="U3638" s="5">
        <f>MATCH(B3638,Manual_Review!$A$6:$A$238,0)</f>
        <v>228</v>
      </c>
      <c r="V3638" s="5" t="str">
        <f>IF(INDEX(Manual_Review!$G$6:$G$238,U3638)="","",INDEX(Manual_Review!$G$6:$G$238,U3638))</f>
        <v/>
      </c>
      <c r="W3638" s="11" t="str">
        <f>IF(INDEX(Manual_Review!$H$6:$H$238,U3638)="","",INDEX(Manual_Review!$H$6:$H$238,U3638))</f>
        <v/>
      </c>
      <c r="X3638" s="5" t="str">
        <f>IF(INDEX(Manual_Review!$I$6:$I$238,U3638)="","",INDEX(Manual_Review!$I$6:$I$238,U3638))</f>
        <v/>
      </c>
      <c r="Y3638" s="5" t="s">
        <v>2859</v>
      </c>
    </row>
    <row r="3639" spans="1:25" ht="25.5">
      <c r="A3639" s="5" t="s">
        <v>10942</v>
      </c>
      <c r="B3639" s="5" t="s">
        <v>2663</v>
      </c>
      <c r="C3639" s="5" t="s">
        <v>2664</v>
      </c>
      <c r="D3639" s="5" t="s">
        <v>118</v>
      </c>
      <c r="E3639" s="5" t="s">
        <v>2782</v>
      </c>
      <c r="F3639" s="5" t="s">
        <v>2754</v>
      </c>
      <c r="G3639" s="5">
        <v>1</v>
      </c>
      <c r="H3639" s="5" t="s">
        <v>2854</v>
      </c>
      <c r="I3639" s="5" t="str">
        <f>IF(INDEX(Manual_Review!$L$6:$L$238,U3639)="","",INDEX(Manual_Review!$L$6:$L$238,U3639))</f>
        <v/>
      </c>
      <c r="J3639" s="5" t="str">
        <f t="shared" si="112"/>
        <v>AI provisional</v>
      </c>
      <c r="K3639" s="5" t="str">
        <f t="shared" si="113"/>
        <v>Y</v>
      </c>
      <c r="L3639" s="5" t="s">
        <v>2674</v>
      </c>
      <c r="M3639" s="5" t="s">
        <v>10943</v>
      </c>
      <c r="N3639" s="5" t="s">
        <v>10944</v>
      </c>
      <c r="O3639" s="5" t="s">
        <v>2996</v>
      </c>
      <c r="P3639" s="5" t="s">
        <v>2992</v>
      </c>
      <c r="Q3639" s="11">
        <v>46306.5</v>
      </c>
      <c r="R3639" s="6"/>
      <c r="S3639" s="6"/>
      <c r="T3639" s="6"/>
      <c r="U3639" s="5">
        <f>MATCH(B3639,Manual_Review!$A$6:$A$238,0)</f>
        <v>228</v>
      </c>
      <c r="V3639" s="5" t="str">
        <f>IF(INDEX(Manual_Review!$G$6:$G$238,U3639)="","",INDEX(Manual_Review!$G$6:$G$238,U3639))</f>
        <v/>
      </c>
      <c r="W3639" s="11" t="str">
        <f>IF(INDEX(Manual_Review!$H$6:$H$238,U3639)="","",INDEX(Manual_Review!$H$6:$H$238,U3639))</f>
        <v/>
      </c>
      <c r="X3639" s="5" t="str">
        <f>IF(INDEX(Manual_Review!$I$6:$I$238,U3639)="","",INDEX(Manual_Review!$I$6:$I$238,U3639))</f>
        <v/>
      </c>
      <c r="Y3639" s="5" t="s">
        <v>2859</v>
      </c>
    </row>
    <row r="3640" spans="1:25" ht="25.5">
      <c r="A3640" s="5" t="s">
        <v>10945</v>
      </c>
      <c r="B3640" s="5" t="s">
        <v>2663</v>
      </c>
      <c r="C3640" s="5" t="s">
        <v>2664</v>
      </c>
      <c r="D3640" s="5" t="s">
        <v>118</v>
      </c>
      <c r="E3640" s="5" t="s">
        <v>2783</v>
      </c>
      <c r="F3640" s="5" t="s">
        <v>2754</v>
      </c>
      <c r="G3640" s="5">
        <v>1</v>
      </c>
      <c r="H3640" s="5" t="s">
        <v>2854</v>
      </c>
      <c r="I3640" s="5" t="str">
        <f>IF(INDEX(Manual_Review!$M$6:$M$238,U3640)="","",INDEX(Manual_Review!$M$6:$M$238,U3640))</f>
        <v/>
      </c>
      <c r="J3640" s="5" t="str">
        <f t="shared" si="112"/>
        <v>AI provisional</v>
      </c>
      <c r="K3640" s="5" t="str">
        <f t="shared" si="113"/>
        <v>Y</v>
      </c>
      <c r="L3640" s="5" t="s">
        <v>2674</v>
      </c>
      <c r="M3640" s="5" t="s">
        <v>10946</v>
      </c>
      <c r="N3640" s="5" t="s">
        <v>10947</v>
      </c>
      <c r="O3640" s="5" t="s">
        <v>3000</v>
      </c>
      <c r="P3640" s="5" t="s">
        <v>2992</v>
      </c>
      <c r="Q3640" s="11">
        <v>46306.5</v>
      </c>
      <c r="R3640" s="6"/>
      <c r="S3640" s="6"/>
      <c r="T3640" s="6"/>
      <c r="U3640" s="5">
        <f>MATCH(B3640,Manual_Review!$A$6:$A$238,0)</f>
        <v>228</v>
      </c>
      <c r="V3640" s="5" t="str">
        <f>IF(INDEX(Manual_Review!$G$6:$G$238,U3640)="","",INDEX(Manual_Review!$G$6:$G$238,U3640))</f>
        <v/>
      </c>
      <c r="W3640" s="11" t="str">
        <f>IF(INDEX(Manual_Review!$H$6:$H$238,U3640)="","",INDEX(Manual_Review!$H$6:$H$238,U3640))</f>
        <v/>
      </c>
      <c r="X3640" s="5" t="str">
        <f>IF(INDEX(Manual_Review!$I$6:$I$238,U3640)="","",INDEX(Manual_Review!$I$6:$I$238,U3640))</f>
        <v/>
      </c>
      <c r="Y3640" s="5" t="s">
        <v>2859</v>
      </c>
    </row>
    <row r="3641" spans="1:25" ht="25.5">
      <c r="A3641" s="5" t="s">
        <v>10948</v>
      </c>
      <c r="B3641" s="5" t="s">
        <v>2663</v>
      </c>
      <c r="C3641" s="5" t="s">
        <v>2664</v>
      </c>
      <c r="D3641" s="5" t="s">
        <v>118</v>
      </c>
      <c r="E3641" s="5" t="s">
        <v>2784</v>
      </c>
      <c r="F3641" s="5" t="s">
        <v>2756</v>
      </c>
      <c r="G3641" s="5">
        <v>1</v>
      </c>
      <c r="H3641" s="5" t="s">
        <v>2854</v>
      </c>
      <c r="I3641" s="5" t="str">
        <f>IF(INDEX(Manual_Review!$N$6:$N$238,U3641)="","",INDEX(Manual_Review!$N$6:$N$238,U3641))</f>
        <v/>
      </c>
      <c r="J3641" s="5" t="str">
        <f t="shared" si="112"/>
        <v>AI provisional</v>
      </c>
      <c r="K3641" s="5" t="str">
        <f t="shared" si="113"/>
        <v>Y</v>
      </c>
      <c r="L3641" s="5" t="s">
        <v>2674</v>
      </c>
      <c r="M3641" s="5" t="s">
        <v>10949</v>
      </c>
      <c r="N3641" s="5" t="s">
        <v>10950</v>
      </c>
      <c r="O3641" s="5" t="s">
        <v>3004</v>
      </c>
      <c r="P3641" s="5" t="s">
        <v>2992</v>
      </c>
      <c r="Q3641" s="11">
        <v>46306.5</v>
      </c>
      <c r="R3641" s="6"/>
      <c r="S3641" s="6"/>
      <c r="T3641" s="6"/>
      <c r="U3641" s="5">
        <f>MATCH(B3641,Manual_Review!$A$6:$A$238,0)</f>
        <v>228</v>
      </c>
      <c r="V3641" s="5" t="str">
        <f>IF(INDEX(Manual_Review!$G$6:$G$238,U3641)="","",INDEX(Manual_Review!$G$6:$G$238,U3641))</f>
        <v/>
      </c>
      <c r="W3641" s="11" t="str">
        <f>IF(INDEX(Manual_Review!$H$6:$H$238,U3641)="","",INDEX(Manual_Review!$H$6:$H$238,U3641))</f>
        <v/>
      </c>
      <c r="X3641" s="5" t="str">
        <f>IF(INDEX(Manual_Review!$I$6:$I$238,U3641)="","",INDEX(Manual_Review!$I$6:$I$238,U3641))</f>
        <v/>
      </c>
      <c r="Y3641" s="5" t="s">
        <v>2859</v>
      </c>
    </row>
    <row r="3642" spans="1:25" ht="25.5">
      <c r="A3642" s="5" t="s">
        <v>10951</v>
      </c>
      <c r="B3642" s="5" t="s">
        <v>2663</v>
      </c>
      <c r="C3642" s="5" t="s">
        <v>2664</v>
      </c>
      <c r="D3642" s="5" t="s">
        <v>118</v>
      </c>
      <c r="E3642" s="5" t="s">
        <v>2785</v>
      </c>
      <c r="F3642" s="5" t="s">
        <v>2756</v>
      </c>
      <c r="G3642" s="5">
        <v>1</v>
      </c>
      <c r="H3642" s="5" t="s">
        <v>2864</v>
      </c>
      <c r="I3642" s="5" t="str">
        <f>IF(INDEX(Manual_Review!$O$6:$O$238,U3642)="","",INDEX(Manual_Review!$O$6:$O$238,U3642))</f>
        <v/>
      </c>
      <c r="J3642" s="5" t="str">
        <f t="shared" si="112"/>
        <v>AI provisional</v>
      </c>
      <c r="K3642" s="5" t="str">
        <f t="shared" si="113"/>
        <v>U</v>
      </c>
      <c r="L3642" s="5" t="s">
        <v>2674</v>
      </c>
      <c r="M3642" s="5" t="s">
        <v>10949</v>
      </c>
      <c r="N3642" s="5" t="s">
        <v>10950</v>
      </c>
      <c r="O3642" s="5" t="s">
        <v>3006</v>
      </c>
      <c r="P3642" s="5" t="s">
        <v>2992</v>
      </c>
      <c r="Q3642" s="11">
        <v>46306.5</v>
      </c>
      <c r="R3642" s="6"/>
      <c r="S3642" s="6"/>
      <c r="T3642" s="6"/>
      <c r="U3642" s="5">
        <f>MATCH(B3642,Manual_Review!$A$6:$A$238,0)</f>
        <v>228</v>
      </c>
      <c r="V3642" s="5" t="str">
        <f>IF(INDEX(Manual_Review!$G$6:$G$238,U3642)="","",INDEX(Manual_Review!$G$6:$G$238,U3642))</f>
        <v/>
      </c>
      <c r="W3642" s="11" t="str">
        <f>IF(INDEX(Manual_Review!$H$6:$H$238,U3642)="","",INDEX(Manual_Review!$H$6:$H$238,U3642))</f>
        <v/>
      </c>
      <c r="X3642" s="5" t="str">
        <f>IF(INDEX(Manual_Review!$I$6:$I$238,U3642)="","",INDEX(Manual_Review!$I$6:$I$238,U3642))</f>
        <v/>
      </c>
      <c r="Y3642" s="5" t="s">
        <v>2859</v>
      </c>
    </row>
    <row r="3643" spans="1:25" ht="25.5">
      <c r="A3643" s="5" t="s">
        <v>10952</v>
      </c>
      <c r="B3643" s="5" t="s">
        <v>2663</v>
      </c>
      <c r="C3643" s="5" t="s">
        <v>2664</v>
      </c>
      <c r="D3643" s="5" t="s">
        <v>118</v>
      </c>
      <c r="E3643" s="5" t="s">
        <v>2786</v>
      </c>
      <c r="F3643" s="5" t="s">
        <v>2756</v>
      </c>
      <c r="G3643" s="5">
        <v>1</v>
      </c>
      <c r="H3643" s="5" t="s">
        <v>2864</v>
      </c>
      <c r="I3643" s="5" t="str">
        <f>IF(INDEX(Manual_Review!$P$6:$P$238,U3643)="","",INDEX(Manual_Review!$P$6:$P$238,U3643))</f>
        <v/>
      </c>
      <c r="J3643" s="5" t="str">
        <f t="shared" si="112"/>
        <v>AI provisional</v>
      </c>
      <c r="K3643" s="5" t="str">
        <f t="shared" si="113"/>
        <v>U</v>
      </c>
      <c r="L3643" s="5" t="s">
        <v>2674</v>
      </c>
      <c r="M3643" s="5" t="s">
        <v>10953</v>
      </c>
      <c r="N3643" s="5" t="s">
        <v>10954</v>
      </c>
      <c r="O3643" s="5" t="s">
        <v>3010</v>
      </c>
      <c r="P3643" s="5" t="s">
        <v>2992</v>
      </c>
      <c r="Q3643" s="11">
        <v>46306.5</v>
      </c>
      <c r="R3643" s="6"/>
      <c r="S3643" s="6"/>
      <c r="T3643" s="6"/>
      <c r="U3643" s="5">
        <f>MATCH(B3643,Manual_Review!$A$6:$A$238,0)</f>
        <v>228</v>
      </c>
      <c r="V3643" s="5" t="str">
        <f>IF(INDEX(Manual_Review!$G$6:$G$238,U3643)="","",INDEX(Manual_Review!$G$6:$G$238,U3643))</f>
        <v/>
      </c>
      <c r="W3643" s="11" t="str">
        <f>IF(INDEX(Manual_Review!$H$6:$H$238,U3643)="","",INDEX(Manual_Review!$H$6:$H$238,U3643))</f>
        <v/>
      </c>
      <c r="X3643" s="5" t="str">
        <f>IF(INDEX(Manual_Review!$I$6:$I$238,U3643)="","",INDEX(Manual_Review!$I$6:$I$238,U3643))</f>
        <v/>
      </c>
      <c r="Y3643" s="5" t="s">
        <v>2859</v>
      </c>
    </row>
    <row r="3644" spans="1:25" ht="25.5">
      <c r="A3644" s="5" t="s">
        <v>10955</v>
      </c>
      <c r="B3644" s="5" t="s">
        <v>2663</v>
      </c>
      <c r="C3644" s="5" t="s">
        <v>2664</v>
      </c>
      <c r="D3644" s="5" t="s">
        <v>118</v>
      </c>
      <c r="E3644" s="5" t="s">
        <v>2787</v>
      </c>
      <c r="F3644" s="5" t="s">
        <v>2758</v>
      </c>
      <c r="G3644" s="5">
        <v>1</v>
      </c>
      <c r="H3644" s="5" t="s">
        <v>2864</v>
      </c>
      <c r="I3644" s="5" t="str">
        <f>IF(INDEX(Manual_Review!$Q$6:$Q$238,U3644)="","",INDEX(Manual_Review!$Q$6:$Q$238,U3644))</f>
        <v/>
      </c>
      <c r="J3644" s="5" t="str">
        <f t="shared" si="112"/>
        <v>AI provisional</v>
      </c>
      <c r="K3644" s="5" t="str">
        <f t="shared" si="113"/>
        <v>U</v>
      </c>
      <c r="L3644" s="5" t="s">
        <v>2674</v>
      </c>
      <c r="M3644" s="5" t="s">
        <v>10956</v>
      </c>
      <c r="N3644" s="5" t="s">
        <v>10957</v>
      </c>
      <c r="O3644" s="5" t="s">
        <v>3014</v>
      </c>
      <c r="P3644" s="5" t="s">
        <v>2992</v>
      </c>
      <c r="Q3644" s="11">
        <v>46306.5</v>
      </c>
      <c r="R3644" s="6"/>
      <c r="S3644" s="6"/>
      <c r="T3644" s="6"/>
      <c r="U3644" s="5">
        <f>MATCH(B3644,Manual_Review!$A$6:$A$238,0)</f>
        <v>228</v>
      </c>
      <c r="V3644" s="5" t="str">
        <f>IF(INDEX(Manual_Review!$G$6:$G$238,U3644)="","",INDEX(Manual_Review!$G$6:$G$238,U3644))</f>
        <v/>
      </c>
      <c r="W3644" s="11" t="str">
        <f>IF(INDEX(Manual_Review!$H$6:$H$238,U3644)="","",INDEX(Manual_Review!$H$6:$H$238,U3644))</f>
        <v/>
      </c>
      <c r="X3644" s="5" t="str">
        <f>IF(INDEX(Manual_Review!$I$6:$I$238,U3644)="","",INDEX(Manual_Review!$I$6:$I$238,U3644))</f>
        <v/>
      </c>
      <c r="Y3644" s="5" t="s">
        <v>2859</v>
      </c>
    </row>
    <row r="3645" spans="1:25" ht="38.25">
      <c r="A3645" s="5" t="s">
        <v>10958</v>
      </c>
      <c r="B3645" s="5" t="s">
        <v>2663</v>
      </c>
      <c r="C3645" s="5" t="s">
        <v>2664</v>
      </c>
      <c r="D3645" s="5" t="s">
        <v>118</v>
      </c>
      <c r="E3645" s="5" t="s">
        <v>2788</v>
      </c>
      <c r="F3645" s="5" t="s">
        <v>2758</v>
      </c>
      <c r="G3645" s="5">
        <v>1</v>
      </c>
      <c r="H3645" s="5" t="s">
        <v>2854</v>
      </c>
      <c r="I3645" s="5" t="str">
        <f>IF(INDEX(Manual_Review!$R$6:$R$238,U3645)="","",INDEX(Manual_Review!$R$6:$R$238,U3645))</f>
        <v/>
      </c>
      <c r="J3645" s="5" t="str">
        <f t="shared" si="112"/>
        <v>AI provisional</v>
      </c>
      <c r="K3645" s="5" t="str">
        <f t="shared" si="113"/>
        <v>Y</v>
      </c>
      <c r="L3645" s="5" t="s">
        <v>2674</v>
      </c>
      <c r="M3645" s="5" t="s">
        <v>10959</v>
      </c>
      <c r="N3645" s="5" t="s">
        <v>10960</v>
      </c>
      <c r="O3645" s="5" t="s">
        <v>3018</v>
      </c>
      <c r="P3645" s="5" t="s">
        <v>2992</v>
      </c>
      <c r="Q3645" s="11">
        <v>46306.5</v>
      </c>
      <c r="R3645" s="6"/>
      <c r="S3645" s="6"/>
      <c r="T3645" s="6"/>
      <c r="U3645" s="5">
        <f>MATCH(B3645,Manual_Review!$A$6:$A$238,0)</f>
        <v>228</v>
      </c>
      <c r="V3645" s="5" t="str">
        <f>IF(INDEX(Manual_Review!$G$6:$G$238,U3645)="","",INDEX(Manual_Review!$G$6:$G$238,U3645))</f>
        <v/>
      </c>
      <c r="W3645" s="11" t="str">
        <f>IF(INDEX(Manual_Review!$H$6:$H$238,U3645)="","",INDEX(Manual_Review!$H$6:$H$238,U3645))</f>
        <v/>
      </c>
      <c r="X3645" s="5" t="str">
        <f>IF(INDEX(Manual_Review!$I$6:$I$238,U3645)="","",INDEX(Manual_Review!$I$6:$I$238,U3645))</f>
        <v/>
      </c>
      <c r="Y3645" s="5" t="s">
        <v>2859</v>
      </c>
    </row>
    <row r="3646" spans="1:25" ht="38.25">
      <c r="A3646" s="5" t="s">
        <v>10961</v>
      </c>
      <c r="B3646" s="5" t="s">
        <v>2663</v>
      </c>
      <c r="C3646" s="5" t="s">
        <v>2664</v>
      </c>
      <c r="D3646" s="5" t="s">
        <v>118</v>
      </c>
      <c r="E3646" s="5" t="s">
        <v>2789</v>
      </c>
      <c r="F3646" s="5" t="s">
        <v>2758</v>
      </c>
      <c r="G3646" s="5">
        <v>1</v>
      </c>
      <c r="H3646" s="5" t="s">
        <v>2854</v>
      </c>
      <c r="I3646" s="5" t="str">
        <f>IF(INDEX(Manual_Review!$S$6:$S$238,U3646)="","",INDEX(Manual_Review!$S$6:$S$238,U3646))</f>
        <v/>
      </c>
      <c r="J3646" s="5" t="str">
        <f t="shared" si="112"/>
        <v>AI provisional</v>
      </c>
      <c r="K3646" s="5" t="str">
        <f t="shared" si="113"/>
        <v>Y</v>
      </c>
      <c r="L3646" s="5" t="s">
        <v>2674</v>
      </c>
      <c r="M3646" s="5" t="s">
        <v>10962</v>
      </c>
      <c r="N3646" s="5" t="s">
        <v>10963</v>
      </c>
      <c r="O3646" s="5" t="s">
        <v>3022</v>
      </c>
      <c r="P3646" s="5" t="s">
        <v>2992</v>
      </c>
      <c r="Q3646" s="11">
        <v>46306.5</v>
      </c>
      <c r="R3646" s="6"/>
      <c r="S3646" s="6"/>
      <c r="T3646" s="6"/>
      <c r="U3646" s="5">
        <f>MATCH(B3646,Manual_Review!$A$6:$A$238,0)</f>
        <v>228</v>
      </c>
      <c r="V3646" s="5" t="str">
        <f>IF(INDEX(Manual_Review!$G$6:$G$238,U3646)="","",INDEX(Manual_Review!$G$6:$G$238,U3646))</f>
        <v/>
      </c>
      <c r="W3646" s="11" t="str">
        <f>IF(INDEX(Manual_Review!$H$6:$H$238,U3646)="","",INDEX(Manual_Review!$H$6:$H$238,U3646))</f>
        <v/>
      </c>
      <c r="X3646" s="5" t="str">
        <f>IF(INDEX(Manual_Review!$I$6:$I$238,U3646)="","",INDEX(Manual_Review!$I$6:$I$238,U3646))</f>
        <v/>
      </c>
      <c r="Y3646" s="5" t="s">
        <v>2859</v>
      </c>
    </row>
    <row r="3647" spans="1:25" ht="25.5">
      <c r="A3647" s="5" t="s">
        <v>10964</v>
      </c>
      <c r="B3647" s="5" t="s">
        <v>2663</v>
      </c>
      <c r="C3647" s="5" t="s">
        <v>2664</v>
      </c>
      <c r="D3647" s="5" t="s">
        <v>118</v>
      </c>
      <c r="E3647" s="5" t="s">
        <v>2790</v>
      </c>
      <c r="F3647" s="5" t="s">
        <v>2760</v>
      </c>
      <c r="G3647" s="5">
        <v>1</v>
      </c>
      <c r="H3647" s="5" t="s">
        <v>2854</v>
      </c>
      <c r="I3647" s="5" t="str">
        <f>IF(INDEX(Manual_Review!$T$6:$T$238,U3647)="","",INDEX(Manual_Review!$T$6:$T$238,U3647))</f>
        <v/>
      </c>
      <c r="J3647" s="5" t="str">
        <f t="shared" si="112"/>
        <v>AI provisional</v>
      </c>
      <c r="K3647" s="5" t="str">
        <f t="shared" si="113"/>
        <v>Y</v>
      </c>
      <c r="L3647" s="5" t="s">
        <v>2674</v>
      </c>
      <c r="M3647" s="5" t="s">
        <v>10965</v>
      </c>
      <c r="N3647" s="5" t="s">
        <v>10966</v>
      </c>
      <c r="O3647" s="5" t="s">
        <v>3451</v>
      </c>
      <c r="P3647" s="5" t="s">
        <v>2992</v>
      </c>
      <c r="Q3647" s="11">
        <v>46306.5</v>
      </c>
      <c r="R3647" s="6"/>
      <c r="S3647" s="6"/>
      <c r="T3647" s="6"/>
      <c r="U3647" s="5">
        <f>MATCH(B3647,Manual_Review!$A$6:$A$238,0)</f>
        <v>228</v>
      </c>
      <c r="V3647" s="5" t="str">
        <f>IF(INDEX(Manual_Review!$G$6:$G$238,U3647)="","",INDEX(Manual_Review!$G$6:$G$238,U3647))</f>
        <v/>
      </c>
      <c r="W3647" s="11" t="str">
        <f>IF(INDEX(Manual_Review!$H$6:$H$238,U3647)="","",INDEX(Manual_Review!$H$6:$H$238,U3647))</f>
        <v/>
      </c>
      <c r="X3647" s="5" t="str">
        <f>IF(INDEX(Manual_Review!$I$6:$I$238,U3647)="","",INDEX(Manual_Review!$I$6:$I$238,U3647))</f>
        <v/>
      </c>
      <c r="Y3647" s="5" t="s">
        <v>2859</v>
      </c>
    </row>
    <row r="3648" spans="1:25" ht="25.5">
      <c r="A3648" s="5" t="s">
        <v>10967</v>
      </c>
      <c r="B3648" s="5" t="s">
        <v>2663</v>
      </c>
      <c r="C3648" s="5" t="s">
        <v>2664</v>
      </c>
      <c r="D3648" s="5" t="s">
        <v>118</v>
      </c>
      <c r="E3648" s="5" t="s">
        <v>2791</v>
      </c>
      <c r="F3648" s="5" t="s">
        <v>2760</v>
      </c>
      <c r="G3648" s="5">
        <v>1</v>
      </c>
      <c r="H3648" s="5" t="s">
        <v>2864</v>
      </c>
      <c r="I3648" s="5" t="str">
        <f>IF(INDEX(Manual_Review!$U$6:$U$238,U3648)="","",INDEX(Manual_Review!$U$6:$U$238,U3648))</f>
        <v/>
      </c>
      <c r="J3648" s="5" t="str">
        <f t="shared" si="112"/>
        <v>AI provisional</v>
      </c>
      <c r="K3648" s="5" t="str">
        <f t="shared" si="113"/>
        <v>U</v>
      </c>
      <c r="L3648" s="5" t="s">
        <v>2674</v>
      </c>
      <c r="M3648" s="5" t="s">
        <v>10968</v>
      </c>
      <c r="N3648" s="5" t="s">
        <v>10969</v>
      </c>
      <c r="O3648" s="5" t="s">
        <v>3030</v>
      </c>
      <c r="P3648" s="5" t="s">
        <v>2992</v>
      </c>
      <c r="Q3648" s="11">
        <v>46306.5</v>
      </c>
      <c r="R3648" s="6"/>
      <c r="S3648" s="6"/>
      <c r="T3648" s="6"/>
      <c r="U3648" s="5">
        <f>MATCH(B3648,Manual_Review!$A$6:$A$238,0)</f>
        <v>228</v>
      </c>
      <c r="V3648" s="5" t="str">
        <f>IF(INDEX(Manual_Review!$G$6:$G$238,U3648)="","",INDEX(Manual_Review!$G$6:$G$238,U3648))</f>
        <v/>
      </c>
      <c r="W3648" s="11" t="str">
        <f>IF(INDEX(Manual_Review!$H$6:$H$238,U3648)="","",INDEX(Manual_Review!$H$6:$H$238,U3648))</f>
        <v/>
      </c>
      <c r="X3648" s="5" t="str">
        <f>IF(INDEX(Manual_Review!$I$6:$I$238,U3648)="","",INDEX(Manual_Review!$I$6:$I$238,U3648))</f>
        <v/>
      </c>
      <c r="Y3648" s="5" t="s">
        <v>2859</v>
      </c>
    </row>
    <row r="3649" spans="1:25" ht="25.5">
      <c r="A3649" s="5" t="s">
        <v>10970</v>
      </c>
      <c r="B3649" s="5" t="s">
        <v>2663</v>
      </c>
      <c r="C3649" s="5" t="s">
        <v>2664</v>
      </c>
      <c r="D3649" s="5" t="s">
        <v>118</v>
      </c>
      <c r="E3649" s="5" t="s">
        <v>2792</v>
      </c>
      <c r="F3649" s="5" t="s">
        <v>2762</v>
      </c>
      <c r="G3649" s="5">
        <v>1</v>
      </c>
      <c r="H3649" s="5" t="s">
        <v>2854</v>
      </c>
      <c r="I3649" s="5" t="str">
        <f>IF(INDEX(Manual_Review!$V$6:$V$238,U3649)="","",INDEX(Manual_Review!$V$6:$V$238,U3649))</f>
        <v/>
      </c>
      <c r="J3649" s="5" t="str">
        <f t="shared" si="112"/>
        <v>AI provisional</v>
      </c>
      <c r="K3649" s="5" t="str">
        <f t="shared" si="113"/>
        <v>Y</v>
      </c>
      <c r="L3649" s="5" t="s">
        <v>2674</v>
      </c>
      <c r="M3649" s="5" t="s">
        <v>10971</v>
      </c>
      <c r="N3649" s="5" t="s">
        <v>10972</v>
      </c>
      <c r="O3649" s="5" t="s">
        <v>3034</v>
      </c>
      <c r="P3649" s="5" t="s">
        <v>2992</v>
      </c>
      <c r="Q3649" s="11">
        <v>46306.5</v>
      </c>
      <c r="R3649" s="6"/>
      <c r="S3649" s="6"/>
      <c r="T3649" s="6"/>
      <c r="U3649" s="5">
        <f>MATCH(B3649,Manual_Review!$A$6:$A$238,0)</f>
        <v>228</v>
      </c>
      <c r="V3649" s="5" t="str">
        <f>IF(INDEX(Manual_Review!$G$6:$G$238,U3649)="","",INDEX(Manual_Review!$G$6:$G$238,U3649))</f>
        <v/>
      </c>
      <c r="W3649" s="11" t="str">
        <f>IF(INDEX(Manual_Review!$H$6:$H$238,U3649)="","",INDEX(Manual_Review!$H$6:$H$238,U3649))</f>
        <v/>
      </c>
      <c r="X3649" s="5" t="str">
        <f>IF(INDEX(Manual_Review!$I$6:$I$238,U3649)="","",INDEX(Manual_Review!$I$6:$I$238,U3649))</f>
        <v/>
      </c>
      <c r="Y3649" s="5" t="s">
        <v>2859</v>
      </c>
    </row>
    <row r="3650" spans="1:25" ht="51">
      <c r="A3650" s="5" t="s">
        <v>10973</v>
      </c>
      <c r="B3650" s="5" t="s">
        <v>2663</v>
      </c>
      <c r="C3650" s="5" t="s">
        <v>2664</v>
      </c>
      <c r="D3650" s="5" t="s">
        <v>118</v>
      </c>
      <c r="E3650" s="5" t="s">
        <v>2793</v>
      </c>
      <c r="F3650" s="5" t="s">
        <v>2762</v>
      </c>
      <c r="G3650" s="5">
        <v>1</v>
      </c>
      <c r="H3650" s="5" t="s">
        <v>2854</v>
      </c>
      <c r="I3650" s="5" t="str">
        <f>IF(INDEX(Manual_Review!$W$6:$W$238,U3650)="","",INDEX(Manual_Review!$W$6:$W$238,U3650))</f>
        <v/>
      </c>
      <c r="J3650" s="5" t="str">
        <f t="shared" si="112"/>
        <v>AI provisional</v>
      </c>
      <c r="K3650" s="5" t="str">
        <f t="shared" si="113"/>
        <v>Y</v>
      </c>
      <c r="L3650" s="5" t="s">
        <v>2674</v>
      </c>
      <c r="M3650" s="5" t="s">
        <v>10974</v>
      </c>
      <c r="N3650" s="5" t="s">
        <v>10975</v>
      </c>
      <c r="O3650" s="5" t="s">
        <v>3038</v>
      </c>
      <c r="P3650" s="5" t="s">
        <v>2992</v>
      </c>
      <c r="Q3650" s="11">
        <v>46306.5</v>
      </c>
      <c r="R3650" s="6"/>
      <c r="S3650" s="6"/>
      <c r="T3650" s="6"/>
      <c r="U3650" s="5">
        <f>MATCH(B3650,Manual_Review!$A$6:$A$238,0)</f>
        <v>228</v>
      </c>
      <c r="V3650" s="5" t="str">
        <f>IF(INDEX(Manual_Review!$G$6:$G$238,U3650)="","",INDEX(Manual_Review!$G$6:$G$238,U3650))</f>
        <v/>
      </c>
      <c r="W3650" s="11" t="str">
        <f>IF(INDEX(Manual_Review!$H$6:$H$238,U3650)="","",INDEX(Manual_Review!$H$6:$H$238,U3650))</f>
        <v/>
      </c>
      <c r="X3650" s="5" t="str">
        <f>IF(INDEX(Manual_Review!$I$6:$I$238,U3650)="","",INDEX(Manual_Review!$I$6:$I$238,U3650))</f>
        <v/>
      </c>
      <c r="Y3650" s="5" t="s">
        <v>2859</v>
      </c>
    </row>
    <row r="3651" spans="1:25" ht="25.5">
      <c r="A3651" s="5" t="s">
        <v>10976</v>
      </c>
      <c r="B3651" s="5" t="s">
        <v>2663</v>
      </c>
      <c r="C3651" s="5" t="s">
        <v>2664</v>
      </c>
      <c r="D3651" s="5" t="s">
        <v>118</v>
      </c>
      <c r="E3651" s="5" t="s">
        <v>2794</v>
      </c>
      <c r="F3651" s="5" t="s">
        <v>2764</v>
      </c>
      <c r="G3651" s="5">
        <v>1</v>
      </c>
      <c r="H3651" s="5" t="s">
        <v>2854</v>
      </c>
      <c r="I3651" s="5" t="str">
        <f>IF(INDEX(Manual_Review!$X$6:$X$238,U3651)="","",INDEX(Manual_Review!$X$6:$X$238,U3651))</f>
        <v/>
      </c>
      <c r="J3651" s="5" t="str">
        <f t="shared" si="112"/>
        <v>AI provisional</v>
      </c>
      <c r="K3651" s="5" t="str">
        <f t="shared" si="113"/>
        <v>Y</v>
      </c>
      <c r="L3651" s="5" t="s">
        <v>2674</v>
      </c>
      <c r="M3651" s="5" t="s">
        <v>10977</v>
      </c>
      <c r="N3651" s="5" t="s">
        <v>10978</v>
      </c>
      <c r="O3651" s="5" t="s">
        <v>3042</v>
      </c>
      <c r="P3651" s="5" t="s">
        <v>2992</v>
      </c>
      <c r="Q3651" s="11">
        <v>46306.5</v>
      </c>
      <c r="R3651" s="6"/>
      <c r="S3651" s="6"/>
      <c r="T3651" s="6"/>
      <c r="U3651" s="5">
        <f>MATCH(B3651,Manual_Review!$A$6:$A$238,0)</f>
        <v>228</v>
      </c>
      <c r="V3651" s="5" t="str">
        <f>IF(INDEX(Manual_Review!$G$6:$G$238,U3651)="","",INDEX(Manual_Review!$G$6:$G$238,U3651))</f>
        <v/>
      </c>
      <c r="W3651" s="11" t="str">
        <f>IF(INDEX(Manual_Review!$H$6:$H$238,U3651)="","",INDEX(Manual_Review!$H$6:$H$238,U3651))</f>
        <v/>
      </c>
      <c r="X3651" s="5" t="str">
        <f>IF(INDEX(Manual_Review!$I$6:$I$238,U3651)="","",INDEX(Manual_Review!$I$6:$I$238,U3651))</f>
        <v/>
      </c>
      <c r="Y3651" s="5" t="s">
        <v>2859</v>
      </c>
    </row>
    <row r="3652" spans="1:25" ht="25.5">
      <c r="A3652" s="5" t="s">
        <v>10979</v>
      </c>
      <c r="B3652" s="5" t="s">
        <v>2663</v>
      </c>
      <c r="C3652" s="5" t="s">
        <v>2664</v>
      </c>
      <c r="D3652" s="5" t="s">
        <v>118</v>
      </c>
      <c r="E3652" s="5" t="s">
        <v>2795</v>
      </c>
      <c r="F3652" s="5" t="s">
        <v>2764</v>
      </c>
      <c r="G3652" s="5">
        <v>1</v>
      </c>
      <c r="H3652" s="5" t="s">
        <v>2864</v>
      </c>
      <c r="I3652" s="5" t="str">
        <f>IF(INDEX(Manual_Review!$Y$6:$Y$238,U3652)="","",INDEX(Manual_Review!$Y$6:$Y$238,U3652))</f>
        <v/>
      </c>
      <c r="J3652" s="5" t="str">
        <f t="shared" si="112"/>
        <v>AI provisional</v>
      </c>
      <c r="K3652" s="5" t="str">
        <f t="shared" si="113"/>
        <v>U</v>
      </c>
      <c r="L3652" s="5" t="s">
        <v>2674</v>
      </c>
      <c r="M3652" s="5" t="s">
        <v>10980</v>
      </c>
      <c r="N3652" s="5" t="s">
        <v>10981</v>
      </c>
      <c r="O3652" s="5" t="s">
        <v>3469</v>
      </c>
      <c r="P3652" s="5" t="s">
        <v>2992</v>
      </c>
      <c r="Q3652" s="11">
        <v>46306.5</v>
      </c>
      <c r="R3652" s="6"/>
      <c r="S3652" s="6"/>
      <c r="T3652" s="6"/>
      <c r="U3652" s="5">
        <f>MATCH(B3652,Manual_Review!$A$6:$A$238,0)</f>
        <v>228</v>
      </c>
      <c r="V3652" s="5" t="str">
        <f>IF(INDEX(Manual_Review!$G$6:$G$238,U3652)="","",INDEX(Manual_Review!$G$6:$G$238,U3652))</f>
        <v/>
      </c>
      <c r="W3652" s="11" t="str">
        <f>IF(INDEX(Manual_Review!$H$6:$H$238,U3652)="","",INDEX(Manual_Review!$H$6:$H$238,U3652))</f>
        <v/>
      </c>
      <c r="X3652" s="5" t="str">
        <f>IF(INDEX(Manual_Review!$I$6:$I$238,U3652)="","",INDEX(Manual_Review!$I$6:$I$238,U3652))</f>
        <v/>
      </c>
      <c r="Y3652" s="5" t="s">
        <v>2859</v>
      </c>
    </row>
    <row r="3653" spans="1:25" ht="38.25">
      <c r="A3653" s="5" t="s">
        <v>10982</v>
      </c>
      <c r="B3653" s="5" t="s">
        <v>2663</v>
      </c>
      <c r="C3653" s="5" t="s">
        <v>2664</v>
      </c>
      <c r="D3653" s="5" t="s">
        <v>118</v>
      </c>
      <c r="E3653" s="5" t="s">
        <v>2796</v>
      </c>
      <c r="F3653" s="5" t="s">
        <v>2764</v>
      </c>
      <c r="G3653" s="5">
        <v>1</v>
      </c>
      <c r="H3653" s="5" t="s">
        <v>2864</v>
      </c>
      <c r="I3653" s="5" t="str">
        <f>IF(INDEX(Manual_Review!$Z$6:$Z$238,U3653)="","",INDEX(Manual_Review!$Z$6:$Z$238,U3653))</f>
        <v/>
      </c>
      <c r="J3653" s="5" t="str">
        <f t="shared" si="112"/>
        <v>AI provisional</v>
      </c>
      <c r="K3653" s="5" t="str">
        <f t="shared" si="113"/>
        <v>U</v>
      </c>
      <c r="L3653" s="5" t="s">
        <v>2674</v>
      </c>
      <c r="M3653" s="5" t="s">
        <v>10983</v>
      </c>
      <c r="N3653" s="5" t="s">
        <v>10984</v>
      </c>
      <c r="O3653" s="5" t="s">
        <v>3050</v>
      </c>
      <c r="P3653" s="5" t="s">
        <v>2992</v>
      </c>
      <c r="Q3653" s="11">
        <v>46306.5</v>
      </c>
      <c r="R3653" s="6"/>
      <c r="S3653" s="6"/>
      <c r="T3653" s="6"/>
      <c r="U3653" s="5">
        <f>MATCH(B3653,Manual_Review!$A$6:$A$238,0)</f>
        <v>228</v>
      </c>
      <c r="V3653" s="5" t="str">
        <f>IF(INDEX(Manual_Review!$G$6:$G$238,U3653)="","",INDEX(Manual_Review!$G$6:$G$238,U3653))</f>
        <v/>
      </c>
      <c r="W3653" s="11" t="str">
        <f>IF(INDEX(Manual_Review!$H$6:$H$238,U3653)="","",INDEX(Manual_Review!$H$6:$H$238,U3653))</f>
        <v/>
      </c>
      <c r="X3653" s="5" t="str">
        <f>IF(INDEX(Manual_Review!$I$6:$I$238,U3653)="","",INDEX(Manual_Review!$I$6:$I$238,U3653))</f>
        <v/>
      </c>
      <c r="Y3653" s="5" t="s">
        <v>2859</v>
      </c>
    </row>
    <row r="3654" spans="1:25" ht="25.5">
      <c r="A3654" s="5" t="s">
        <v>10985</v>
      </c>
      <c r="B3654" s="5" t="s">
        <v>2676</v>
      </c>
      <c r="C3654" s="5" t="s">
        <v>2677</v>
      </c>
      <c r="D3654" s="5" t="s">
        <v>118</v>
      </c>
      <c r="E3654" s="5" t="s">
        <v>2781</v>
      </c>
      <c r="F3654" s="5" t="s">
        <v>2754</v>
      </c>
      <c r="G3654" s="5">
        <v>1</v>
      </c>
      <c r="H3654" s="5" t="s">
        <v>2854</v>
      </c>
      <c r="I3654" s="5" t="str">
        <f>IF(INDEX(Manual_Review!$K$6:$K$238,U3654)="","",INDEX(Manual_Review!$K$6:$K$238,U3654))</f>
        <v/>
      </c>
      <c r="J3654" s="5" t="str">
        <f t="shared" ref="J3654:J3717" si="114">IF(G3654=0,"Not applicable",IF(I3654="","AI provisional",IF(AND(OR(I3654="Y",I3654="N",I3654="U",I3654="X"),V3654&lt;&gt;"",ISNUMBER(W3654),W3654&gt;0,X3654="Confirmed",R3654&lt;&gt;"",S3654&lt;&gt;"",T3654&lt;&gt;""),"Human valid","Evidence needed")))</f>
        <v>AI provisional</v>
      </c>
      <c r="K3654" s="5" t="str">
        <f t="shared" ref="K3654:K3717" si="115">IF(G3654=0,"N/A",IF(I3654="",H3654,IF(J3654="Human valid",I3654,"U")))</f>
        <v>Y</v>
      </c>
      <c r="L3654" s="5" t="s">
        <v>2688</v>
      </c>
      <c r="M3654" s="5" t="s">
        <v>10986</v>
      </c>
      <c r="N3654" s="5" t="s">
        <v>10987</v>
      </c>
      <c r="O3654" s="5" t="s">
        <v>2991</v>
      </c>
      <c r="P3654" s="5" t="s">
        <v>2992</v>
      </c>
      <c r="Q3654" s="11">
        <v>46306.5</v>
      </c>
      <c r="R3654" s="6"/>
      <c r="S3654" s="6"/>
      <c r="T3654" s="6"/>
      <c r="U3654" s="5">
        <f>MATCH(B3654,Manual_Review!$A$6:$A$238,0)</f>
        <v>229</v>
      </c>
      <c r="V3654" s="5" t="str">
        <f>IF(INDEX(Manual_Review!$G$6:$G$238,U3654)="","",INDEX(Manual_Review!$G$6:$G$238,U3654))</f>
        <v/>
      </c>
      <c r="W3654" s="11" t="str">
        <f>IF(INDEX(Manual_Review!$H$6:$H$238,U3654)="","",INDEX(Manual_Review!$H$6:$H$238,U3654))</f>
        <v/>
      </c>
      <c r="X3654" s="5" t="str">
        <f>IF(INDEX(Manual_Review!$I$6:$I$238,U3654)="","",INDEX(Manual_Review!$I$6:$I$238,U3654))</f>
        <v/>
      </c>
      <c r="Y3654" s="5" t="s">
        <v>2859</v>
      </c>
    </row>
    <row r="3655" spans="1:25" ht="25.5">
      <c r="A3655" s="5" t="s">
        <v>10988</v>
      </c>
      <c r="B3655" s="5" t="s">
        <v>2676</v>
      </c>
      <c r="C3655" s="5" t="s">
        <v>2677</v>
      </c>
      <c r="D3655" s="5" t="s">
        <v>118</v>
      </c>
      <c r="E3655" s="5" t="s">
        <v>2782</v>
      </c>
      <c r="F3655" s="5" t="s">
        <v>2754</v>
      </c>
      <c r="G3655" s="5">
        <v>1</v>
      </c>
      <c r="H3655" s="5" t="s">
        <v>2854</v>
      </c>
      <c r="I3655" s="5" t="str">
        <f>IF(INDEX(Manual_Review!$L$6:$L$238,U3655)="","",INDEX(Manual_Review!$L$6:$L$238,U3655))</f>
        <v/>
      </c>
      <c r="J3655" s="5" t="str">
        <f t="shared" si="114"/>
        <v>AI provisional</v>
      </c>
      <c r="K3655" s="5" t="str">
        <f t="shared" si="115"/>
        <v>Y</v>
      </c>
      <c r="L3655" s="5" t="s">
        <v>2688</v>
      </c>
      <c r="M3655" s="5" t="s">
        <v>10989</v>
      </c>
      <c r="N3655" s="5" t="s">
        <v>10990</v>
      </c>
      <c r="O3655" s="5" t="s">
        <v>2996</v>
      </c>
      <c r="P3655" s="5" t="s">
        <v>2992</v>
      </c>
      <c r="Q3655" s="11">
        <v>46306.5</v>
      </c>
      <c r="R3655" s="6"/>
      <c r="S3655" s="6"/>
      <c r="T3655" s="6"/>
      <c r="U3655" s="5">
        <f>MATCH(B3655,Manual_Review!$A$6:$A$238,0)</f>
        <v>229</v>
      </c>
      <c r="V3655" s="5" t="str">
        <f>IF(INDEX(Manual_Review!$G$6:$G$238,U3655)="","",INDEX(Manual_Review!$G$6:$G$238,U3655))</f>
        <v/>
      </c>
      <c r="W3655" s="11" t="str">
        <f>IF(INDEX(Manual_Review!$H$6:$H$238,U3655)="","",INDEX(Manual_Review!$H$6:$H$238,U3655))</f>
        <v/>
      </c>
      <c r="X3655" s="5" t="str">
        <f>IF(INDEX(Manual_Review!$I$6:$I$238,U3655)="","",INDEX(Manual_Review!$I$6:$I$238,U3655))</f>
        <v/>
      </c>
      <c r="Y3655" s="5" t="s">
        <v>2859</v>
      </c>
    </row>
    <row r="3656" spans="1:25" ht="25.5">
      <c r="A3656" s="5" t="s">
        <v>10991</v>
      </c>
      <c r="B3656" s="5" t="s">
        <v>2676</v>
      </c>
      <c r="C3656" s="5" t="s">
        <v>2677</v>
      </c>
      <c r="D3656" s="5" t="s">
        <v>118</v>
      </c>
      <c r="E3656" s="5" t="s">
        <v>2783</v>
      </c>
      <c r="F3656" s="5" t="s">
        <v>2754</v>
      </c>
      <c r="G3656" s="5">
        <v>1</v>
      </c>
      <c r="H3656" s="5" t="s">
        <v>2864</v>
      </c>
      <c r="I3656" s="5" t="str">
        <f>IF(INDEX(Manual_Review!$M$6:$M$238,U3656)="","",INDEX(Manual_Review!$M$6:$M$238,U3656))</f>
        <v/>
      </c>
      <c r="J3656" s="5" t="str">
        <f t="shared" si="114"/>
        <v>AI provisional</v>
      </c>
      <c r="K3656" s="5" t="str">
        <f t="shared" si="115"/>
        <v>U</v>
      </c>
      <c r="L3656" s="5" t="s">
        <v>2688</v>
      </c>
      <c r="M3656" s="5" t="s">
        <v>10992</v>
      </c>
      <c r="N3656" s="5" t="s">
        <v>10993</v>
      </c>
      <c r="O3656" s="5" t="s">
        <v>3808</v>
      </c>
      <c r="P3656" s="5" t="s">
        <v>2992</v>
      </c>
      <c r="Q3656" s="11">
        <v>46306.5</v>
      </c>
      <c r="R3656" s="6"/>
      <c r="S3656" s="6"/>
      <c r="T3656" s="6"/>
      <c r="U3656" s="5">
        <f>MATCH(B3656,Manual_Review!$A$6:$A$238,0)</f>
        <v>229</v>
      </c>
      <c r="V3656" s="5" t="str">
        <f>IF(INDEX(Manual_Review!$G$6:$G$238,U3656)="","",INDEX(Manual_Review!$G$6:$G$238,U3656))</f>
        <v/>
      </c>
      <c r="W3656" s="11" t="str">
        <f>IF(INDEX(Manual_Review!$H$6:$H$238,U3656)="","",INDEX(Manual_Review!$H$6:$H$238,U3656))</f>
        <v/>
      </c>
      <c r="X3656" s="5" t="str">
        <f>IF(INDEX(Manual_Review!$I$6:$I$238,U3656)="","",INDEX(Manual_Review!$I$6:$I$238,U3656))</f>
        <v/>
      </c>
      <c r="Y3656" s="5" t="s">
        <v>2859</v>
      </c>
    </row>
    <row r="3657" spans="1:25" ht="25.5">
      <c r="A3657" s="5" t="s">
        <v>10994</v>
      </c>
      <c r="B3657" s="5" t="s">
        <v>2676</v>
      </c>
      <c r="C3657" s="5" t="s">
        <v>2677</v>
      </c>
      <c r="D3657" s="5" t="s">
        <v>118</v>
      </c>
      <c r="E3657" s="5" t="s">
        <v>2784</v>
      </c>
      <c r="F3657" s="5" t="s">
        <v>2756</v>
      </c>
      <c r="G3657" s="5">
        <v>1</v>
      </c>
      <c r="H3657" s="5" t="s">
        <v>2854</v>
      </c>
      <c r="I3657" s="5" t="str">
        <f>IF(INDEX(Manual_Review!$N$6:$N$238,U3657)="","",INDEX(Manual_Review!$N$6:$N$238,U3657))</f>
        <v/>
      </c>
      <c r="J3657" s="5" t="str">
        <f t="shared" si="114"/>
        <v>AI provisional</v>
      </c>
      <c r="K3657" s="5" t="str">
        <f t="shared" si="115"/>
        <v>Y</v>
      </c>
      <c r="L3657" s="5" t="s">
        <v>2688</v>
      </c>
      <c r="M3657" s="5" t="s">
        <v>10995</v>
      </c>
      <c r="N3657" s="5" t="s">
        <v>10996</v>
      </c>
      <c r="O3657" s="5" t="s">
        <v>3004</v>
      </c>
      <c r="P3657" s="5" t="s">
        <v>2992</v>
      </c>
      <c r="Q3657" s="11">
        <v>46306.5</v>
      </c>
      <c r="R3657" s="6"/>
      <c r="S3657" s="6"/>
      <c r="T3657" s="6"/>
      <c r="U3657" s="5">
        <f>MATCH(B3657,Manual_Review!$A$6:$A$238,0)</f>
        <v>229</v>
      </c>
      <c r="V3657" s="5" t="str">
        <f>IF(INDEX(Manual_Review!$G$6:$G$238,U3657)="","",INDEX(Manual_Review!$G$6:$G$238,U3657))</f>
        <v/>
      </c>
      <c r="W3657" s="11" t="str">
        <f>IF(INDEX(Manual_Review!$H$6:$H$238,U3657)="","",INDEX(Manual_Review!$H$6:$H$238,U3657))</f>
        <v/>
      </c>
      <c r="X3657" s="5" t="str">
        <f>IF(INDEX(Manual_Review!$I$6:$I$238,U3657)="","",INDEX(Manual_Review!$I$6:$I$238,U3657))</f>
        <v/>
      </c>
      <c r="Y3657" s="5" t="s">
        <v>2859</v>
      </c>
    </row>
    <row r="3658" spans="1:25" ht="25.5">
      <c r="A3658" s="5" t="s">
        <v>10997</v>
      </c>
      <c r="B3658" s="5" t="s">
        <v>2676</v>
      </c>
      <c r="C3658" s="5" t="s">
        <v>2677</v>
      </c>
      <c r="D3658" s="5" t="s">
        <v>118</v>
      </c>
      <c r="E3658" s="5" t="s">
        <v>2785</v>
      </c>
      <c r="F3658" s="5" t="s">
        <v>2756</v>
      </c>
      <c r="G3658" s="5">
        <v>1</v>
      </c>
      <c r="H3658" s="5" t="s">
        <v>2864</v>
      </c>
      <c r="I3658" s="5" t="str">
        <f>IF(INDEX(Manual_Review!$O$6:$O$238,U3658)="","",INDEX(Manual_Review!$O$6:$O$238,U3658))</f>
        <v/>
      </c>
      <c r="J3658" s="5" t="str">
        <f t="shared" si="114"/>
        <v>AI provisional</v>
      </c>
      <c r="K3658" s="5" t="str">
        <f t="shared" si="115"/>
        <v>U</v>
      </c>
      <c r="L3658" s="5" t="s">
        <v>2688</v>
      </c>
      <c r="M3658" s="5" t="s">
        <v>10995</v>
      </c>
      <c r="N3658" s="5" t="s">
        <v>10996</v>
      </c>
      <c r="O3658" s="5" t="s">
        <v>3006</v>
      </c>
      <c r="P3658" s="5" t="s">
        <v>2992</v>
      </c>
      <c r="Q3658" s="11">
        <v>46306.5</v>
      </c>
      <c r="R3658" s="6"/>
      <c r="S3658" s="6"/>
      <c r="T3658" s="6"/>
      <c r="U3658" s="5">
        <f>MATCH(B3658,Manual_Review!$A$6:$A$238,0)</f>
        <v>229</v>
      </c>
      <c r="V3658" s="5" t="str">
        <f>IF(INDEX(Manual_Review!$G$6:$G$238,U3658)="","",INDEX(Manual_Review!$G$6:$G$238,U3658))</f>
        <v/>
      </c>
      <c r="W3658" s="11" t="str">
        <f>IF(INDEX(Manual_Review!$H$6:$H$238,U3658)="","",INDEX(Manual_Review!$H$6:$H$238,U3658))</f>
        <v/>
      </c>
      <c r="X3658" s="5" t="str">
        <f>IF(INDEX(Manual_Review!$I$6:$I$238,U3658)="","",INDEX(Manual_Review!$I$6:$I$238,U3658))</f>
        <v/>
      </c>
      <c r="Y3658" s="5" t="s">
        <v>2859</v>
      </c>
    </row>
    <row r="3659" spans="1:25" ht="25.5">
      <c r="A3659" s="5" t="s">
        <v>10998</v>
      </c>
      <c r="B3659" s="5" t="s">
        <v>2676</v>
      </c>
      <c r="C3659" s="5" t="s">
        <v>2677</v>
      </c>
      <c r="D3659" s="5" t="s">
        <v>118</v>
      </c>
      <c r="E3659" s="5" t="s">
        <v>2786</v>
      </c>
      <c r="F3659" s="5" t="s">
        <v>2756</v>
      </c>
      <c r="G3659" s="5">
        <v>1</v>
      </c>
      <c r="H3659" s="5" t="s">
        <v>2864</v>
      </c>
      <c r="I3659" s="5" t="str">
        <f>IF(INDEX(Manual_Review!$P$6:$P$238,U3659)="","",INDEX(Manual_Review!$P$6:$P$238,U3659))</f>
        <v/>
      </c>
      <c r="J3659" s="5" t="str">
        <f t="shared" si="114"/>
        <v>AI provisional</v>
      </c>
      <c r="K3659" s="5" t="str">
        <f t="shared" si="115"/>
        <v>U</v>
      </c>
      <c r="L3659" s="5" t="s">
        <v>2688</v>
      </c>
      <c r="M3659" s="5" t="s">
        <v>10999</v>
      </c>
      <c r="N3659" s="5" t="s">
        <v>11000</v>
      </c>
      <c r="O3659" s="5" t="s">
        <v>3010</v>
      </c>
      <c r="P3659" s="5" t="s">
        <v>2992</v>
      </c>
      <c r="Q3659" s="11">
        <v>46306.5</v>
      </c>
      <c r="R3659" s="6"/>
      <c r="S3659" s="6"/>
      <c r="T3659" s="6"/>
      <c r="U3659" s="5">
        <f>MATCH(B3659,Manual_Review!$A$6:$A$238,0)</f>
        <v>229</v>
      </c>
      <c r="V3659" s="5" t="str">
        <f>IF(INDEX(Manual_Review!$G$6:$G$238,U3659)="","",INDEX(Manual_Review!$G$6:$G$238,U3659))</f>
        <v/>
      </c>
      <c r="W3659" s="11" t="str">
        <f>IF(INDEX(Manual_Review!$H$6:$H$238,U3659)="","",INDEX(Manual_Review!$H$6:$H$238,U3659))</f>
        <v/>
      </c>
      <c r="X3659" s="5" t="str">
        <f>IF(INDEX(Manual_Review!$I$6:$I$238,U3659)="","",INDEX(Manual_Review!$I$6:$I$238,U3659))</f>
        <v/>
      </c>
      <c r="Y3659" s="5" t="s">
        <v>2859</v>
      </c>
    </row>
    <row r="3660" spans="1:25" ht="25.5">
      <c r="A3660" s="5" t="s">
        <v>11001</v>
      </c>
      <c r="B3660" s="5" t="s">
        <v>2676</v>
      </c>
      <c r="C3660" s="5" t="s">
        <v>2677</v>
      </c>
      <c r="D3660" s="5" t="s">
        <v>118</v>
      </c>
      <c r="E3660" s="5" t="s">
        <v>2787</v>
      </c>
      <c r="F3660" s="5" t="s">
        <v>2758</v>
      </c>
      <c r="G3660" s="5">
        <v>1</v>
      </c>
      <c r="H3660" s="5" t="s">
        <v>2854</v>
      </c>
      <c r="I3660" s="5" t="str">
        <f>IF(INDEX(Manual_Review!$Q$6:$Q$238,U3660)="","",INDEX(Manual_Review!$Q$6:$Q$238,U3660))</f>
        <v/>
      </c>
      <c r="J3660" s="5" t="str">
        <f t="shared" si="114"/>
        <v>AI provisional</v>
      </c>
      <c r="K3660" s="5" t="str">
        <f t="shared" si="115"/>
        <v>Y</v>
      </c>
      <c r="L3660" s="5" t="s">
        <v>2688</v>
      </c>
      <c r="M3660" s="5" t="s">
        <v>11002</v>
      </c>
      <c r="N3660" s="5" t="s">
        <v>11003</v>
      </c>
      <c r="O3660" s="5" t="s">
        <v>3819</v>
      </c>
      <c r="P3660" s="5" t="s">
        <v>2992</v>
      </c>
      <c r="Q3660" s="11">
        <v>46306.5</v>
      </c>
      <c r="R3660" s="6"/>
      <c r="S3660" s="6"/>
      <c r="T3660" s="6"/>
      <c r="U3660" s="5">
        <f>MATCH(B3660,Manual_Review!$A$6:$A$238,0)</f>
        <v>229</v>
      </c>
      <c r="V3660" s="5" t="str">
        <f>IF(INDEX(Manual_Review!$G$6:$G$238,U3660)="","",INDEX(Manual_Review!$G$6:$G$238,U3660))</f>
        <v/>
      </c>
      <c r="W3660" s="11" t="str">
        <f>IF(INDEX(Manual_Review!$H$6:$H$238,U3660)="","",INDEX(Manual_Review!$H$6:$H$238,U3660))</f>
        <v/>
      </c>
      <c r="X3660" s="5" t="str">
        <f>IF(INDEX(Manual_Review!$I$6:$I$238,U3660)="","",INDEX(Manual_Review!$I$6:$I$238,U3660))</f>
        <v/>
      </c>
      <c r="Y3660" s="5" t="s">
        <v>2859</v>
      </c>
    </row>
    <row r="3661" spans="1:25" ht="38.25">
      <c r="A3661" s="5" t="s">
        <v>11004</v>
      </c>
      <c r="B3661" s="5" t="s">
        <v>2676</v>
      </c>
      <c r="C3661" s="5" t="s">
        <v>2677</v>
      </c>
      <c r="D3661" s="5" t="s">
        <v>118</v>
      </c>
      <c r="E3661" s="5" t="s">
        <v>2788</v>
      </c>
      <c r="F3661" s="5" t="s">
        <v>2758</v>
      </c>
      <c r="G3661" s="5">
        <v>1</v>
      </c>
      <c r="H3661" s="5" t="s">
        <v>2854</v>
      </c>
      <c r="I3661" s="5" t="str">
        <f>IF(INDEX(Manual_Review!$R$6:$R$238,U3661)="","",INDEX(Manual_Review!$R$6:$R$238,U3661))</f>
        <v/>
      </c>
      <c r="J3661" s="5" t="str">
        <f t="shared" si="114"/>
        <v>AI provisional</v>
      </c>
      <c r="K3661" s="5" t="str">
        <f t="shared" si="115"/>
        <v>Y</v>
      </c>
      <c r="L3661" s="5" t="s">
        <v>2688</v>
      </c>
      <c r="M3661" s="5" t="s">
        <v>11005</v>
      </c>
      <c r="N3661" s="5" t="s">
        <v>11006</v>
      </c>
      <c r="O3661" s="5" t="s">
        <v>3018</v>
      </c>
      <c r="P3661" s="5" t="s">
        <v>2992</v>
      </c>
      <c r="Q3661" s="11">
        <v>46306.5</v>
      </c>
      <c r="R3661" s="6"/>
      <c r="S3661" s="6"/>
      <c r="T3661" s="6"/>
      <c r="U3661" s="5">
        <f>MATCH(B3661,Manual_Review!$A$6:$A$238,0)</f>
        <v>229</v>
      </c>
      <c r="V3661" s="5" t="str">
        <f>IF(INDEX(Manual_Review!$G$6:$G$238,U3661)="","",INDEX(Manual_Review!$G$6:$G$238,U3661))</f>
        <v/>
      </c>
      <c r="W3661" s="11" t="str">
        <f>IF(INDEX(Manual_Review!$H$6:$H$238,U3661)="","",INDEX(Manual_Review!$H$6:$H$238,U3661))</f>
        <v/>
      </c>
      <c r="X3661" s="5" t="str">
        <f>IF(INDEX(Manual_Review!$I$6:$I$238,U3661)="","",INDEX(Manual_Review!$I$6:$I$238,U3661))</f>
        <v/>
      </c>
      <c r="Y3661" s="5" t="s">
        <v>2859</v>
      </c>
    </row>
    <row r="3662" spans="1:25" ht="38.25">
      <c r="A3662" s="5" t="s">
        <v>11007</v>
      </c>
      <c r="B3662" s="5" t="s">
        <v>2676</v>
      </c>
      <c r="C3662" s="5" t="s">
        <v>2677</v>
      </c>
      <c r="D3662" s="5" t="s">
        <v>118</v>
      </c>
      <c r="E3662" s="5" t="s">
        <v>2789</v>
      </c>
      <c r="F3662" s="5" t="s">
        <v>2758</v>
      </c>
      <c r="G3662" s="5">
        <v>1</v>
      </c>
      <c r="H3662" s="5" t="s">
        <v>2854</v>
      </c>
      <c r="I3662" s="5" t="str">
        <f>IF(INDEX(Manual_Review!$S$6:$S$238,U3662)="","",INDEX(Manual_Review!$S$6:$S$238,U3662))</f>
        <v/>
      </c>
      <c r="J3662" s="5" t="str">
        <f t="shared" si="114"/>
        <v>AI provisional</v>
      </c>
      <c r="K3662" s="5" t="str">
        <f t="shared" si="115"/>
        <v>Y</v>
      </c>
      <c r="L3662" s="5" t="s">
        <v>2688</v>
      </c>
      <c r="M3662" s="5" t="s">
        <v>11008</v>
      </c>
      <c r="N3662" s="5" t="s">
        <v>11009</v>
      </c>
      <c r="O3662" s="5" t="s">
        <v>3022</v>
      </c>
      <c r="P3662" s="5" t="s">
        <v>2992</v>
      </c>
      <c r="Q3662" s="11">
        <v>46306.5</v>
      </c>
      <c r="R3662" s="6"/>
      <c r="S3662" s="6"/>
      <c r="T3662" s="6"/>
      <c r="U3662" s="5">
        <f>MATCH(B3662,Manual_Review!$A$6:$A$238,0)</f>
        <v>229</v>
      </c>
      <c r="V3662" s="5" t="str">
        <f>IF(INDEX(Manual_Review!$G$6:$G$238,U3662)="","",INDEX(Manual_Review!$G$6:$G$238,U3662))</f>
        <v/>
      </c>
      <c r="W3662" s="11" t="str">
        <f>IF(INDEX(Manual_Review!$H$6:$H$238,U3662)="","",INDEX(Manual_Review!$H$6:$H$238,U3662))</f>
        <v/>
      </c>
      <c r="X3662" s="5" t="str">
        <f>IF(INDEX(Manual_Review!$I$6:$I$238,U3662)="","",INDEX(Manual_Review!$I$6:$I$238,U3662))</f>
        <v/>
      </c>
      <c r="Y3662" s="5" t="s">
        <v>2859</v>
      </c>
    </row>
    <row r="3663" spans="1:25" ht="25.5">
      <c r="A3663" s="5" t="s">
        <v>11010</v>
      </c>
      <c r="B3663" s="5" t="s">
        <v>2676</v>
      </c>
      <c r="C3663" s="5" t="s">
        <v>2677</v>
      </c>
      <c r="D3663" s="5" t="s">
        <v>118</v>
      </c>
      <c r="E3663" s="5" t="s">
        <v>2790</v>
      </c>
      <c r="F3663" s="5" t="s">
        <v>2760</v>
      </c>
      <c r="G3663" s="5">
        <v>1</v>
      </c>
      <c r="H3663" s="5" t="s">
        <v>2854</v>
      </c>
      <c r="I3663" s="5" t="str">
        <f>IF(INDEX(Manual_Review!$T$6:$T$238,U3663)="","",INDEX(Manual_Review!$T$6:$T$238,U3663))</f>
        <v/>
      </c>
      <c r="J3663" s="5" t="str">
        <f t="shared" si="114"/>
        <v>AI provisional</v>
      </c>
      <c r="K3663" s="5" t="str">
        <f t="shared" si="115"/>
        <v>Y</v>
      </c>
      <c r="L3663" s="5" t="s">
        <v>2688</v>
      </c>
      <c r="M3663" s="5" t="s">
        <v>11011</v>
      </c>
      <c r="N3663" s="5" t="s">
        <v>11012</v>
      </c>
      <c r="O3663" s="5" t="s">
        <v>3451</v>
      </c>
      <c r="P3663" s="5" t="s">
        <v>2992</v>
      </c>
      <c r="Q3663" s="11">
        <v>46306.5</v>
      </c>
      <c r="R3663" s="6"/>
      <c r="S3663" s="6"/>
      <c r="T3663" s="6"/>
      <c r="U3663" s="5">
        <f>MATCH(B3663,Manual_Review!$A$6:$A$238,0)</f>
        <v>229</v>
      </c>
      <c r="V3663" s="5" t="str">
        <f>IF(INDEX(Manual_Review!$G$6:$G$238,U3663)="","",INDEX(Manual_Review!$G$6:$G$238,U3663))</f>
        <v/>
      </c>
      <c r="W3663" s="11" t="str">
        <f>IF(INDEX(Manual_Review!$H$6:$H$238,U3663)="","",INDEX(Manual_Review!$H$6:$H$238,U3663))</f>
        <v/>
      </c>
      <c r="X3663" s="5" t="str">
        <f>IF(INDEX(Manual_Review!$I$6:$I$238,U3663)="","",INDEX(Manual_Review!$I$6:$I$238,U3663))</f>
        <v/>
      </c>
      <c r="Y3663" s="5" t="s">
        <v>2859</v>
      </c>
    </row>
    <row r="3664" spans="1:25" ht="25.5">
      <c r="A3664" s="5" t="s">
        <v>11013</v>
      </c>
      <c r="B3664" s="5" t="s">
        <v>2676</v>
      </c>
      <c r="C3664" s="5" t="s">
        <v>2677</v>
      </c>
      <c r="D3664" s="5" t="s">
        <v>118</v>
      </c>
      <c r="E3664" s="5" t="s">
        <v>2791</v>
      </c>
      <c r="F3664" s="5" t="s">
        <v>2760</v>
      </c>
      <c r="G3664" s="5">
        <v>1</v>
      </c>
      <c r="H3664" s="5" t="s">
        <v>2854</v>
      </c>
      <c r="I3664" s="5" t="str">
        <f>IF(INDEX(Manual_Review!$U$6:$U$238,U3664)="","",INDEX(Manual_Review!$U$6:$U$238,U3664))</f>
        <v/>
      </c>
      <c r="J3664" s="5" t="str">
        <f t="shared" si="114"/>
        <v>AI provisional</v>
      </c>
      <c r="K3664" s="5" t="str">
        <f t="shared" si="115"/>
        <v>Y</v>
      </c>
      <c r="L3664" s="5" t="s">
        <v>2688</v>
      </c>
      <c r="M3664" s="5" t="s">
        <v>11014</v>
      </c>
      <c r="N3664" s="5" t="s">
        <v>11015</v>
      </c>
      <c r="O3664" s="5" t="s">
        <v>3832</v>
      </c>
      <c r="P3664" s="5" t="s">
        <v>2992</v>
      </c>
      <c r="Q3664" s="11">
        <v>46306.5</v>
      </c>
      <c r="R3664" s="6"/>
      <c r="S3664" s="6"/>
      <c r="T3664" s="6"/>
      <c r="U3664" s="5">
        <f>MATCH(B3664,Manual_Review!$A$6:$A$238,0)</f>
        <v>229</v>
      </c>
      <c r="V3664" s="5" t="str">
        <f>IF(INDEX(Manual_Review!$G$6:$G$238,U3664)="","",INDEX(Manual_Review!$G$6:$G$238,U3664))</f>
        <v/>
      </c>
      <c r="W3664" s="11" t="str">
        <f>IF(INDEX(Manual_Review!$H$6:$H$238,U3664)="","",INDEX(Manual_Review!$H$6:$H$238,U3664))</f>
        <v/>
      </c>
      <c r="X3664" s="5" t="str">
        <f>IF(INDEX(Manual_Review!$I$6:$I$238,U3664)="","",INDEX(Manual_Review!$I$6:$I$238,U3664))</f>
        <v/>
      </c>
      <c r="Y3664" s="5" t="s">
        <v>2859</v>
      </c>
    </row>
    <row r="3665" spans="1:25" ht="25.5">
      <c r="A3665" s="5" t="s">
        <v>11016</v>
      </c>
      <c r="B3665" s="5" t="s">
        <v>2676</v>
      </c>
      <c r="C3665" s="5" t="s">
        <v>2677</v>
      </c>
      <c r="D3665" s="5" t="s">
        <v>118</v>
      </c>
      <c r="E3665" s="5" t="s">
        <v>2792</v>
      </c>
      <c r="F3665" s="5" t="s">
        <v>2762</v>
      </c>
      <c r="G3665" s="5">
        <v>1</v>
      </c>
      <c r="H3665" s="5" t="s">
        <v>2864</v>
      </c>
      <c r="I3665" s="5" t="str">
        <f>IF(INDEX(Manual_Review!$V$6:$V$238,U3665)="","",INDEX(Manual_Review!$V$6:$V$238,U3665))</f>
        <v/>
      </c>
      <c r="J3665" s="5" t="str">
        <f t="shared" si="114"/>
        <v>AI provisional</v>
      </c>
      <c r="K3665" s="5" t="str">
        <f t="shared" si="115"/>
        <v>U</v>
      </c>
      <c r="L3665" s="5" t="s">
        <v>2688</v>
      </c>
      <c r="M3665" s="5" t="s">
        <v>11017</v>
      </c>
      <c r="N3665" s="5" t="s">
        <v>11018</v>
      </c>
      <c r="O3665" s="5" t="s">
        <v>3947</v>
      </c>
      <c r="P3665" s="5" t="s">
        <v>2992</v>
      </c>
      <c r="Q3665" s="11">
        <v>46306.5</v>
      </c>
      <c r="R3665" s="6"/>
      <c r="S3665" s="6"/>
      <c r="T3665" s="6"/>
      <c r="U3665" s="5">
        <f>MATCH(B3665,Manual_Review!$A$6:$A$238,0)</f>
        <v>229</v>
      </c>
      <c r="V3665" s="5" t="str">
        <f>IF(INDEX(Manual_Review!$G$6:$G$238,U3665)="","",INDEX(Manual_Review!$G$6:$G$238,U3665))</f>
        <v/>
      </c>
      <c r="W3665" s="11" t="str">
        <f>IF(INDEX(Manual_Review!$H$6:$H$238,U3665)="","",INDEX(Manual_Review!$H$6:$H$238,U3665))</f>
        <v/>
      </c>
      <c r="X3665" s="5" t="str">
        <f>IF(INDEX(Manual_Review!$I$6:$I$238,U3665)="","",INDEX(Manual_Review!$I$6:$I$238,U3665))</f>
        <v/>
      </c>
      <c r="Y3665" s="5" t="s">
        <v>2859</v>
      </c>
    </row>
    <row r="3666" spans="1:25" ht="38.25">
      <c r="A3666" s="5" t="s">
        <v>11019</v>
      </c>
      <c r="B3666" s="5" t="s">
        <v>2676</v>
      </c>
      <c r="C3666" s="5" t="s">
        <v>2677</v>
      </c>
      <c r="D3666" s="5" t="s">
        <v>118</v>
      </c>
      <c r="E3666" s="5" t="s">
        <v>2793</v>
      </c>
      <c r="F3666" s="5" t="s">
        <v>2762</v>
      </c>
      <c r="G3666" s="5">
        <v>1</v>
      </c>
      <c r="H3666" s="5" t="s">
        <v>2854</v>
      </c>
      <c r="I3666" s="5" t="str">
        <f>IF(INDEX(Manual_Review!$W$6:$W$238,U3666)="","",INDEX(Manual_Review!$W$6:$W$238,U3666))</f>
        <v/>
      </c>
      <c r="J3666" s="5" t="str">
        <f t="shared" si="114"/>
        <v>AI provisional</v>
      </c>
      <c r="K3666" s="5" t="str">
        <f t="shared" si="115"/>
        <v>Y</v>
      </c>
      <c r="L3666" s="5" t="s">
        <v>2688</v>
      </c>
      <c r="M3666" s="5" t="s">
        <v>11020</v>
      </c>
      <c r="N3666" s="5" t="s">
        <v>11021</v>
      </c>
      <c r="O3666" s="5" t="s">
        <v>3038</v>
      </c>
      <c r="P3666" s="5" t="s">
        <v>2992</v>
      </c>
      <c r="Q3666" s="11">
        <v>46306.5</v>
      </c>
      <c r="R3666" s="6"/>
      <c r="S3666" s="6"/>
      <c r="T3666" s="6"/>
      <c r="U3666" s="5">
        <f>MATCH(B3666,Manual_Review!$A$6:$A$238,0)</f>
        <v>229</v>
      </c>
      <c r="V3666" s="5" t="str">
        <f>IF(INDEX(Manual_Review!$G$6:$G$238,U3666)="","",INDEX(Manual_Review!$G$6:$G$238,U3666))</f>
        <v/>
      </c>
      <c r="W3666" s="11" t="str">
        <f>IF(INDEX(Manual_Review!$H$6:$H$238,U3666)="","",INDEX(Manual_Review!$H$6:$H$238,U3666))</f>
        <v/>
      </c>
      <c r="X3666" s="5" t="str">
        <f>IF(INDEX(Manual_Review!$I$6:$I$238,U3666)="","",INDEX(Manual_Review!$I$6:$I$238,U3666))</f>
        <v/>
      </c>
      <c r="Y3666" s="5" t="s">
        <v>2859</v>
      </c>
    </row>
    <row r="3667" spans="1:25" ht="25.5">
      <c r="A3667" s="5" t="s">
        <v>11022</v>
      </c>
      <c r="B3667" s="5" t="s">
        <v>2676</v>
      </c>
      <c r="C3667" s="5" t="s">
        <v>2677</v>
      </c>
      <c r="D3667" s="5" t="s">
        <v>118</v>
      </c>
      <c r="E3667" s="5" t="s">
        <v>2794</v>
      </c>
      <c r="F3667" s="5" t="s">
        <v>2764</v>
      </c>
      <c r="G3667" s="5">
        <v>1</v>
      </c>
      <c r="H3667" s="5" t="s">
        <v>2854</v>
      </c>
      <c r="I3667" s="5" t="str">
        <f>IF(INDEX(Manual_Review!$X$6:$X$238,U3667)="","",INDEX(Manual_Review!$X$6:$X$238,U3667))</f>
        <v/>
      </c>
      <c r="J3667" s="5" t="str">
        <f t="shared" si="114"/>
        <v>AI provisional</v>
      </c>
      <c r="K3667" s="5" t="str">
        <f t="shared" si="115"/>
        <v>Y</v>
      </c>
      <c r="L3667" s="5" t="s">
        <v>2688</v>
      </c>
      <c r="M3667" s="5" t="s">
        <v>11023</v>
      </c>
      <c r="N3667" s="5" t="s">
        <v>11024</v>
      </c>
      <c r="O3667" s="5" t="s">
        <v>3042</v>
      </c>
      <c r="P3667" s="5" t="s">
        <v>2992</v>
      </c>
      <c r="Q3667" s="11">
        <v>46306.5</v>
      </c>
      <c r="R3667" s="6"/>
      <c r="S3667" s="6"/>
      <c r="T3667" s="6"/>
      <c r="U3667" s="5">
        <f>MATCH(B3667,Manual_Review!$A$6:$A$238,0)</f>
        <v>229</v>
      </c>
      <c r="V3667" s="5" t="str">
        <f>IF(INDEX(Manual_Review!$G$6:$G$238,U3667)="","",INDEX(Manual_Review!$G$6:$G$238,U3667))</f>
        <v/>
      </c>
      <c r="W3667" s="11" t="str">
        <f>IF(INDEX(Manual_Review!$H$6:$H$238,U3667)="","",INDEX(Manual_Review!$H$6:$H$238,U3667))</f>
        <v/>
      </c>
      <c r="X3667" s="5" t="str">
        <f>IF(INDEX(Manual_Review!$I$6:$I$238,U3667)="","",INDEX(Manual_Review!$I$6:$I$238,U3667))</f>
        <v/>
      </c>
      <c r="Y3667" s="5" t="s">
        <v>2859</v>
      </c>
    </row>
    <row r="3668" spans="1:25" ht="25.5">
      <c r="A3668" s="5" t="s">
        <v>11025</v>
      </c>
      <c r="B3668" s="5" t="s">
        <v>2676</v>
      </c>
      <c r="C3668" s="5" t="s">
        <v>2677</v>
      </c>
      <c r="D3668" s="5" t="s">
        <v>118</v>
      </c>
      <c r="E3668" s="5" t="s">
        <v>2795</v>
      </c>
      <c r="F3668" s="5" t="s">
        <v>2764</v>
      </c>
      <c r="G3668" s="5">
        <v>1</v>
      </c>
      <c r="H3668" s="5" t="s">
        <v>2864</v>
      </c>
      <c r="I3668" s="5" t="str">
        <f>IF(INDEX(Manual_Review!$Y$6:$Y$238,U3668)="","",INDEX(Manual_Review!$Y$6:$Y$238,U3668))</f>
        <v/>
      </c>
      <c r="J3668" s="5" t="str">
        <f t="shared" si="114"/>
        <v>AI provisional</v>
      </c>
      <c r="K3668" s="5" t="str">
        <f t="shared" si="115"/>
        <v>U</v>
      </c>
      <c r="L3668" s="5" t="s">
        <v>2688</v>
      </c>
      <c r="M3668" s="5" t="s">
        <v>11026</v>
      </c>
      <c r="N3668" s="5" t="s">
        <v>11027</v>
      </c>
      <c r="O3668" s="5" t="s">
        <v>11028</v>
      </c>
      <c r="P3668" s="5" t="s">
        <v>2992</v>
      </c>
      <c r="Q3668" s="11">
        <v>46306.5</v>
      </c>
      <c r="R3668" s="6"/>
      <c r="S3668" s="6"/>
      <c r="T3668" s="6"/>
      <c r="U3668" s="5">
        <f>MATCH(B3668,Manual_Review!$A$6:$A$238,0)</f>
        <v>229</v>
      </c>
      <c r="V3668" s="5" t="str">
        <f>IF(INDEX(Manual_Review!$G$6:$G$238,U3668)="","",INDEX(Manual_Review!$G$6:$G$238,U3668))</f>
        <v/>
      </c>
      <c r="W3668" s="11" t="str">
        <f>IF(INDEX(Manual_Review!$H$6:$H$238,U3668)="","",INDEX(Manual_Review!$H$6:$H$238,U3668))</f>
        <v/>
      </c>
      <c r="X3668" s="5" t="str">
        <f>IF(INDEX(Manual_Review!$I$6:$I$238,U3668)="","",INDEX(Manual_Review!$I$6:$I$238,U3668))</f>
        <v/>
      </c>
      <c r="Y3668" s="5" t="s">
        <v>2859</v>
      </c>
    </row>
    <row r="3669" spans="1:25" ht="38.25">
      <c r="A3669" s="5" t="s">
        <v>11029</v>
      </c>
      <c r="B3669" s="5" t="s">
        <v>2676</v>
      </c>
      <c r="C3669" s="5" t="s">
        <v>2677</v>
      </c>
      <c r="D3669" s="5" t="s">
        <v>118</v>
      </c>
      <c r="E3669" s="5" t="s">
        <v>2796</v>
      </c>
      <c r="F3669" s="5" t="s">
        <v>2764</v>
      </c>
      <c r="G3669" s="5">
        <v>1</v>
      </c>
      <c r="H3669" s="5" t="s">
        <v>2864</v>
      </c>
      <c r="I3669" s="5" t="str">
        <f>IF(INDEX(Manual_Review!$Z$6:$Z$238,U3669)="","",INDEX(Manual_Review!$Z$6:$Z$238,U3669))</f>
        <v/>
      </c>
      <c r="J3669" s="5" t="str">
        <f t="shared" si="114"/>
        <v>AI provisional</v>
      </c>
      <c r="K3669" s="5" t="str">
        <f t="shared" si="115"/>
        <v>U</v>
      </c>
      <c r="L3669" s="5" t="s">
        <v>2688</v>
      </c>
      <c r="M3669" s="5" t="s">
        <v>11030</v>
      </c>
      <c r="N3669" s="5" t="s">
        <v>11031</v>
      </c>
      <c r="O3669" s="5" t="s">
        <v>3050</v>
      </c>
      <c r="P3669" s="5" t="s">
        <v>2992</v>
      </c>
      <c r="Q3669" s="11">
        <v>46306.5</v>
      </c>
      <c r="R3669" s="6"/>
      <c r="S3669" s="6"/>
      <c r="T3669" s="6"/>
      <c r="U3669" s="5">
        <f>MATCH(B3669,Manual_Review!$A$6:$A$238,0)</f>
        <v>229</v>
      </c>
      <c r="V3669" s="5" t="str">
        <f>IF(INDEX(Manual_Review!$G$6:$G$238,U3669)="","",INDEX(Manual_Review!$G$6:$G$238,U3669))</f>
        <v/>
      </c>
      <c r="W3669" s="11" t="str">
        <f>IF(INDEX(Manual_Review!$H$6:$H$238,U3669)="","",INDEX(Manual_Review!$H$6:$H$238,U3669))</f>
        <v/>
      </c>
      <c r="X3669" s="5" t="str">
        <f>IF(INDEX(Manual_Review!$I$6:$I$238,U3669)="","",INDEX(Manual_Review!$I$6:$I$238,U3669))</f>
        <v/>
      </c>
      <c r="Y3669" s="5" t="s">
        <v>2859</v>
      </c>
    </row>
    <row r="3670" spans="1:25" ht="25.5">
      <c r="A3670" s="5" t="s">
        <v>11032</v>
      </c>
      <c r="B3670" s="5" t="s">
        <v>2690</v>
      </c>
      <c r="C3670" s="5" t="s">
        <v>2691</v>
      </c>
      <c r="D3670" s="5" t="s">
        <v>118</v>
      </c>
      <c r="E3670" s="5" t="s">
        <v>2781</v>
      </c>
      <c r="F3670" s="5" t="s">
        <v>2754</v>
      </c>
      <c r="G3670" s="5">
        <v>1</v>
      </c>
      <c r="H3670" s="5" t="s">
        <v>2854</v>
      </c>
      <c r="I3670" s="5" t="str">
        <f>IF(INDEX(Manual_Review!$K$6:$K$238,U3670)="","",INDEX(Manual_Review!$K$6:$K$238,U3670))</f>
        <v/>
      </c>
      <c r="J3670" s="5" t="str">
        <f t="shared" si="114"/>
        <v>AI provisional</v>
      </c>
      <c r="K3670" s="5" t="str">
        <f t="shared" si="115"/>
        <v>Y</v>
      </c>
      <c r="L3670" s="5" t="s">
        <v>2703</v>
      </c>
      <c r="M3670" s="5" t="s">
        <v>11033</v>
      </c>
      <c r="N3670" s="5" t="s">
        <v>11034</v>
      </c>
      <c r="O3670" s="5" t="s">
        <v>2991</v>
      </c>
      <c r="P3670" s="5" t="s">
        <v>2992</v>
      </c>
      <c r="Q3670" s="11">
        <v>46306.5</v>
      </c>
      <c r="R3670" s="6"/>
      <c r="S3670" s="6"/>
      <c r="T3670" s="6"/>
      <c r="U3670" s="5">
        <f>MATCH(B3670,Manual_Review!$A$6:$A$238,0)</f>
        <v>230</v>
      </c>
      <c r="V3670" s="5" t="str">
        <f>IF(INDEX(Manual_Review!$G$6:$G$238,U3670)="","",INDEX(Manual_Review!$G$6:$G$238,U3670))</f>
        <v/>
      </c>
      <c r="W3670" s="11" t="str">
        <f>IF(INDEX(Manual_Review!$H$6:$H$238,U3670)="","",INDEX(Manual_Review!$H$6:$H$238,U3670))</f>
        <v/>
      </c>
      <c r="X3670" s="5" t="str">
        <f>IF(INDEX(Manual_Review!$I$6:$I$238,U3670)="","",INDEX(Manual_Review!$I$6:$I$238,U3670))</f>
        <v/>
      </c>
      <c r="Y3670" s="5" t="s">
        <v>2859</v>
      </c>
    </row>
    <row r="3671" spans="1:25" ht="25.5">
      <c r="A3671" s="5" t="s">
        <v>11035</v>
      </c>
      <c r="B3671" s="5" t="s">
        <v>2690</v>
      </c>
      <c r="C3671" s="5" t="s">
        <v>2691</v>
      </c>
      <c r="D3671" s="5" t="s">
        <v>118</v>
      </c>
      <c r="E3671" s="5" t="s">
        <v>2782</v>
      </c>
      <c r="F3671" s="5" t="s">
        <v>2754</v>
      </c>
      <c r="G3671" s="5">
        <v>1</v>
      </c>
      <c r="H3671" s="5" t="s">
        <v>2854</v>
      </c>
      <c r="I3671" s="5" t="str">
        <f>IF(INDEX(Manual_Review!$L$6:$L$238,U3671)="","",INDEX(Manual_Review!$L$6:$L$238,U3671))</f>
        <v/>
      </c>
      <c r="J3671" s="5" t="str">
        <f t="shared" si="114"/>
        <v>AI provisional</v>
      </c>
      <c r="K3671" s="5" t="str">
        <f t="shared" si="115"/>
        <v>Y</v>
      </c>
      <c r="L3671" s="5" t="s">
        <v>2703</v>
      </c>
      <c r="M3671" s="5" t="s">
        <v>11036</v>
      </c>
      <c r="N3671" s="5" t="s">
        <v>11037</v>
      </c>
      <c r="O3671" s="5" t="s">
        <v>2996</v>
      </c>
      <c r="P3671" s="5" t="s">
        <v>2992</v>
      </c>
      <c r="Q3671" s="11">
        <v>46306.5</v>
      </c>
      <c r="R3671" s="6"/>
      <c r="S3671" s="6"/>
      <c r="T3671" s="6"/>
      <c r="U3671" s="5">
        <f>MATCH(B3671,Manual_Review!$A$6:$A$238,0)</f>
        <v>230</v>
      </c>
      <c r="V3671" s="5" t="str">
        <f>IF(INDEX(Manual_Review!$G$6:$G$238,U3671)="","",INDEX(Manual_Review!$G$6:$G$238,U3671))</f>
        <v/>
      </c>
      <c r="W3671" s="11" t="str">
        <f>IF(INDEX(Manual_Review!$H$6:$H$238,U3671)="","",INDEX(Manual_Review!$H$6:$H$238,U3671))</f>
        <v/>
      </c>
      <c r="X3671" s="5" t="str">
        <f>IF(INDEX(Manual_Review!$I$6:$I$238,U3671)="","",INDEX(Manual_Review!$I$6:$I$238,U3671))</f>
        <v/>
      </c>
      <c r="Y3671" s="5" t="s">
        <v>2859</v>
      </c>
    </row>
    <row r="3672" spans="1:25" ht="25.5">
      <c r="A3672" s="5" t="s">
        <v>11038</v>
      </c>
      <c r="B3672" s="5" t="s">
        <v>2690</v>
      </c>
      <c r="C3672" s="5" t="s">
        <v>2691</v>
      </c>
      <c r="D3672" s="5" t="s">
        <v>118</v>
      </c>
      <c r="E3672" s="5" t="s">
        <v>2783</v>
      </c>
      <c r="F3672" s="5" t="s">
        <v>2754</v>
      </c>
      <c r="G3672" s="5">
        <v>1</v>
      </c>
      <c r="H3672" s="5" t="s">
        <v>2854</v>
      </c>
      <c r="I3672" s="5" t="str">
        <f>IF(INDEX(Manual_Review!$M$6:$M$238,U3672)="","",INDEX(Manual_Review!$M$6:$M$238,U3672))</f>
        <v/>
      </c>
      <c r="J3672" s="5" t="str">
        <f t="shared" si="114"/>
        <v>AI provisional</v>
      </c>
      <c r="K3672" s="5" t="str">
        <f t="shared" si="115"/>
        <v>Y</v>
      </c>
      <c r="L3672" s="5" t="s">
        <v>2703</v>
      </c>
      <c r="M3672" s="5" t="s">
        <v>11039</v>
      </c>
      <c r="N3672" s="5" t="s">
        <v>11040</v>
      </c>
      <c r="O3672" s="5" t="s">
        <v>3000</v>
      </c>
      <c r="P3672" s="5" t="s">
        <v>2992</v>
      </c>
      <c r="Q3672" s="11">
        <v>46306.5</v>
      </c>
      <c r="R3672" s="6"/>
      <c r="S3672" s="6"/>
      <c r="T3672" s="6"/>
      <c r="U3672" s="5">
        <f>MATCH(B3672,Manual_Review!$A$6:$A$238,0)</f>
        <v>230</v>
      </c>
      <c r="V3672" s="5" t="str">
        <f>IF(INDEX(Manual_Review!$G$6:$G$238,U3672)="","",INDEX(Manual_Review!$G$6:$G$238,U3672))</f>
        <v/>
      </c>
      <c r="W3672" s="11" t="str">
        <f>IF(INDEX(Manual_Review!$H$6:$H$238,U3672)="","",INDEX(Manual_Review!$H$6:$H$238,U3672))</f>
        <v/>
      </c>
      <c r="X3672" s="5" t="str">
        <f>IF(INDEX(Manual_Review!$I$6:$I$238,U3672)="","",INDEX(Manual_Review!$I$6:$I$238,U3672))</f>
        <v/>
      </c>
      <c r="Y3672" s="5" t="s">
        <v>2859</v>
      </c>
    </row>
    <row r="3673" spans="1:25" ht="25.5">
      <c r="A3673" s="5" t="s">
        <v>11041</v>
      </c>
      <c r="B3673" s="5" t="s">
        <v>2690</v>
      </c>
      <c r="C3673" s="5" t="s">
        <v>2691</v>
      </c>
      <c r="D3673" s="5" t="s">
        <v>118</v>
      </c>
      <c r="E3673" s="5" t="s">
        <v>2784</v>
      </c>
      <c r="F3673" s="5" t="s">
        <v>2756</v>
      </c>
      <c r="G3673" s="5">
        <v>1</v>
      </c>
      <c r="H3673" s="5" t="s">
        <v>2854</v>
      </c>
      <c r="I3673" s="5" t="str">
        <f>IF(INDEX(Manual_Review!$N$6:$N$238,U3673)="","",INDEX(Manual_Review!$N$6:$N$238,U3673))</f>
        <v/>
      </c>
      <c r="J3673" s="5" t="str">
        <f t="shared" si="114"/>
        <v>AI provisional</v>
      </c>
      <c r="K3673" s="5" t="str">
        <f t="shared" si="115"/>
        <v>Y</v>
      </c>
      <c r="L3673" s="5" t="s">
        <v>2703</v>
      </c>
      <c r="M3673" s="5" t="s">
        <v>11042</v>
      </c>
      <c r="N3673" s="5" t="s">
        <v>11043</v>
      </c>
      <c r="O3673" s="5" t="s">
        <v>3004</v>
      </c>
      <c r="P3673" s="5" t="s">
        <v>2992</v>
      </c>
      <c r="Q3673" s="11">
        <v>46306.5</v>
      </c>
      <c r="R3673" s="6"/>
      <c r="S3673" s="6"/>
      <c r="T3673" s="6"/>
      <c r="U3673" s="5">
        <f>MATCH(B3673,Manual_Review!$A$6:$A$238,0)</f>
        <v>230</v>
      </c>
      <c r="V3673" s="5" t="str">
        <f>IF(INDEX(Manual_Review!$G$6:$G$238,U3673)="","",INDEX(Manual_Review!$G$6:$G$238,U3673))</f>
        <v/>
      </c>
      <c r="W3673" s="11" t="str">
        <f>IF(INDEX(Manual_Review!$H$6:$H$238,U3673)="","",INDEX(Manual_Review!$H$6:$H$238,U3673))</f>
        <v/>
      </c>
      <c r="X3673" s="5" t="str">
        <f>IF(INDEX(Manual_Review!$I$6:$I$238,U3673)="","",INDEX(Manual_Review!$I$6:$I$238,U3673))</f>
        <v/>
      </c>
      <c r="Y3673" s="5" t="s">
        <v>2859</v>
      </c>
    </row>
    <row r="3674" spans="1:25" ht="25.5">
      <c r="A3674" s="5" t="s">
        <v>11044</v>
      </c>
      <c r="B3674" s="5" t="s">
        <v>2690</v>
      </c>
      <c r="C3674" s="5" t="s">
        <v>2691</v>
      </c>
      <c r="D3674" s="5" t="s">
        <v>118</v>
      </c>
      <c r="E3674" s="5" t="s">
        <v>2785</v>
      </c>
      <c r="F3674" s="5" t="s">
        <v>2756</v>
      </c>
      <c r="G3674" s="5">
        <v>1</v>
      </c>
      <c r="H3674" s="5" t="s">
        <v>2864</v>
      </c>
      <c r="I3674" s="5" t="str">
        <f>IF(INDEX(Manual_Review!$O$6:$O$238,U3674)="","",INDEX(Manual_Review!$O$6:$O$238,U3674))</f>
        <v/>
      </c>
      <c r="J3674" s="5" t="str">
        <f t="shared" si="114"/>
        <v>AI provisional</v>
      </c>
      <c r="K3674" s="5" t="str">
        <f t="shared" si="115"/>
        <v>U</v>
      </c>
      <c r="L3674" s="5" t="s">
        <v>2703</v>
      </c>
      <c r="M3674" s="5" t="s">
        <v>11042</v>
      </c>
      <c r="N3674" s="5" t="s">
        <v>11043</v>
      </c>
      <c r="O3674" s="5" t="s">
        <v>3006</v>
      </c>
      <c r="P3674" s="5" t="s">
        <v>2992</v>
      </c>
      <c r="Q3674" s="11">
        <v>46306.5</v>
      </c>
      <c r="R3674" s="6"/>
      <c r="S3674" s="6"/>
      <c r="T3674" s="6"/>
      <c r="U3674" s="5">
        <f>MATCH(B3674,Manual_Review!$A$6:$A$238,0)</f>
        <v>230</v>
      </c>
      <c r="V3674" s="5" t="str">
        <f>IF(INDEX(Manual_Review!$G$6:$G$238,U3674)="","",INDEX(Manual_Review!$G$6:$G$238,U3674))</f>
        <v/>
      </c>
      <c r="W3674" s="11" t="str">
        <f>IF(INDEX(Manual_Review!$H$6:$H$238,U3674)="","",INDEX(Manual_Review!$H$6:$H$238,U3674))</f>
        <v/>
      </c>
      <c r="X3674" s="5" t="str">
        <f>IF(INDEX(Manual_Review!$I$6:$I$238,U3674)="","",INDEX(Manual_Review!$I$6:$I$238,U3674))</f>
        <v/>
      </c>
      <c r="Y3674" s="5" t="s">
        <v>2859</v>
      </c>
    </row>
    <row r="3675" spans="1:25" ht="38.25">
      <c r="A3675" s="5" t="s">
        <v>11045</v>
      </c>
      <c r="B3675" s="5" t="s">
        <v>2690</v>
      </c>
      <c r="C3675" s="5" t="s">
        <v>2691</v>
      </c>
      <c r="D3675" s="5" t="s">
        <v>118</v>
      </c>
      <c r="E3675" s="5" t="s">
        <v>2786</v>
      </c>
      <c r="F3675" s="5" t="s">
        <v>2756</v>
      </c>
      <c r="G3675" s="5">
        <v>1</v>
      </c>
      <c r="H3675" s="5" t="s">
        <v>2864</v>
      </c>
      <c r="I3675" s="5" t="str">
        <f>IF(INDEX(Manual_Review!$P$6:$P$238,U3675)="","",INDEX(Manual_Review!$P$6:$P$238,U3675))</f>
        <v/>
      </c>
      <c r="J3675" s="5" t="str">
        <f t="shared" si="114"/>
        <v>AI provisional</v>
      </c>
      <c r="K3675" s="5" t="str">
        <f t="shared" si="115"/>
        <v>U</v>
      </c>
      <c r="L3675" s="5" t="s">
        <v>2703</v>
      </c>
      <c r="M3675" s="5" t="s">
        <v>11046</v>
      </c>
      <c r="N3675" s="5" t="s">
        <v>11047</v>
      </c>
      <c r="O3675" s="5" t="s">
        <v>3010</v>
      </c>
      <c r="P3675" s="5" t="s">
        <v>2992</v>
      </c>
      <c r="Q3675" s="11">
        <v>46306.5</v>
      </c>
      <c r="R3675" s="6"/>
      <c r="S3675" s="6"/>
      <c r="T3675" s="6"/>
      <c r="U3675" s="5">
        <f>MATCH(B3675,Manual_Review!$A$6:$A$238,0)</f>
        <v>230</v>
      </c>
      <c r="V3675" s="5" t="str">
        <f>IF(INDEX(Manual_Review!$G$6:$G$238,U3675)="","",INDEX(Manual_Review!$G$6:$G$238,U3675))</f>
        <v/>
      </c>
      <c r="W3675" s="11" t="str">
        <f>IF(INDEX(Manual_Review!$H$6:$H$238,U3675)="","",INDEX(Manual_Review!$H$6:$H$238,U3675))</f>
        <v/>
      </c>
      <c r="X3675" s="5" t="str">
        <f>IF(INDEX(Manual_Review!$I$6:$I$238,U3675)="","",INDEX(Manual_Review!$I$6:$I$238,U3675))</f>
        <v/>
      </c>
      <c r="Y3675" s="5" t="s">
        <v>2859</v>
      </c>
    </row>
    <row r="3676" spans="1:25" ht="25.5">
      <c r="A3676" s="5" t="s">
        <v>11048</v>
      </c>
      <c r="B3676" s="5" t="s">
        <v>2690</v>
      </c>
      <c r="C3676" s="5" t="s">
        <v>2691</v>
      </c>
      <c r="D3676" s="5" t="s">
        <v>118</v>
      </c>
      <c r="E3676" s="5" t="s">
        <v>2787</v>
      </c>
      <c r="F3676" s="5" t="s">
        <v>2758</v>
      </c>
      <c r="G3676" s="5">
        <v>1</v>
      </c>
      <c r="H3676" s="5" t="s">
        <v>2864</v>
      </c>
      <c r="I3676" s="5" t="str">
        <f>IF(INDEX(Manual_Review!$Q$6:$Q$238,U3676)="","",INDEX(Manual_Review!$Q$6:$Q$238,U3676))</f>
        <v/>
      </c>
      <c r="J3676" s="5" t="str">
        <f t="shared" si="114"/>
        <v>AI provisional</v>
      </c>
      <c r="K3676" s="5" t="str">
        <f t="shared" si="115"/>
        <v>U</v>
      </c>
      <c r="L3676" s="5" t="s">
        <v>2703</v>
      </c>
      <c r="M3676" s="5" t="s">
        <v>11049</v>
      </c>
      <c r="N3676" s="5" t="s">
        <v>11050</v>
      </c>
      <c r="O3676" s="5" t="s">
        <v>3014</v>
      </c>
      <c r="P3676" s="5" t="s">
        <v>2992</v>
      </c>
      <c r="Q3676" s="11">
        <v>46306.5</v>
      </c>
      <c r="R3676" s="6"/>
      <c r="S3676" s="6"/>
      <c r="T3676" s="6"/>
      <c r="U3676" s="5">
        <f>MATCH(B3676,Manual_Review!$A$6:$A$238,0)</f>
        <v>230</v>
      </c>
      <c r="V3676" s="5" t="str">
        <f>IF(INDEX(Manual_Review!$G$6:$G$238,U3676)="","",INDEX(Manual_Review!$G$6:$G$238,U3676))</f>
        <v/>
      </c>
      <c r="W3676" s="11" t="str">
        <f>IF(INDEX(Manual_Review!$H$6:$H$238,U3676)="","",INDEX(Manual_Review!$H$6:$H$238,U3676))</f>
        <v/>
      </c>
      <c r="X3676" s="5" t="str">
        <f>IF(INDEX(Manual_Review!$I$6:$I$238,U3676)="","",INDEX(Manual_Review!$I$6:$I$238,U3676))</f>
        <v/>
      </c>
      <c r="Y3676" s="5" t="s">
        <v>2859</v>
      </c>
    </row>
    <row r="3677" spans="1:25" ht="51">
      <c r="A3677" s="5" t="s">
        <v>11051</v>
      </c>
      <c r="B3677" s="5" t="s">
        <v>2690</v>
      </c>
      <c r="C3677" s="5" t="s">
        <v>2691</v>
      </c>
      <c r="D3677" s="5" t="s">
        <v>118</v>
      </c>
      <c r="E3677" s="5" t="s">
        <v>2788</v>
      </c>
      <c r="F3677" s="5" t="s">
        <v>2758</v>
      </c>
      <c r="G3677" s="5">
        <v>1</v>
      </c>
      <c r="H3677" s="5" t="s">
        <v>2854</v>
      </c>
      <c r="I3677" s="5" t="str">
        <f>IF(INDEX(Manual_Review!$R$6:$R$238,U3677)="","",INDEX(Manual_Review!$R$6:$R$238,U3677))</f>
        <v/>
      </c>
      <c r="J3677" s="5" t="str">
        <f t="shared" si="114"/>
        <v>AI provisional</v>
      </c>
      <c r="K3677" s="5" t="str">
        <f t="shared" si="115"/>
        <v>Y</v>
      </c>
      <c r="L3677" s="5" t="s">
        <v>2703</v>
      </c>
      <c r="M3677" s="5" t="s">
        <v>11052</v>
      </c>
      <c r="N3677" s="5" t="s">
        <v>11053</v>
      </c>
      <c r="O3677" s="5" t="s">
        <v>3018</v>
      </c>
      <c r="P3677" s="5" t="s">
        <v>2992</v>
      </c>
      <c r="Q3677" s="11">
        <v>46306.5</v>
      </c>
      <c r="R3677" s="6"/>
      <c r="S3677" s="6"/>
      <c r="T3677" s="6"/>
      <c r="U3677" s="5">
        <f>MATCH(B3677,Manual_Review!$A$6:$A$238,0)</f>
        <v>230</v>
      </c>
      <c r="V3677" s="5" t="str">
        <f>IF(INDEX(Manual_Review!$G$6:$G$238,U3677)="","",INDEX(Manual_Review!$G$6:$G$238,U3677))</f>
        <v/>
      </c>
      <c r="W3677" s="11" t="str">
        <f>IF(INDEX(Manual_Review!$H$6:$H$238,U3677)="","",INDEX(Manual_Review!$H$6:$H$238,U3677))</f>
        <v/>
      </c>
      <c r="X3677" s="5" t="str">
        <f>IF(INDEX(Manual_Review!$I$6:$I$238,U3677)="","",INDEX(Manual_Review!$I$6:$I$238,U3677))</f>
        <v/>
      </c>
      <c r="Y3677" s="5" t="s">
        <v>2859</v>
      </c>
    </row>
    <row r="3678" spans="1:25" ht="38.25">
      <c r="A3678" s="5" t="s">
        <v>11054</v>
      </c>
      <c r="B3678" s="5" t="s">
        <v>2690</v>
      </c>
      <c r="C3678" s="5" t="s">
        <v>2691</v>
      </c>
      <c r="D3678" s="5" t="s">
        <v>118</v>
      </c>
      <c r="E3678" s="5" t="s">
        <v>2789</v>
      </c>
      <c r="F3678" s="5" t="s">
        <v>2758</v>
      </c>
      <c r="G3678" s="5">
        <v>1</v>
      </c>
      <c r="H3678" s="5" t="s">
        <v>2854</v>
      </c>
      <c r="I3678" s="5" t="str">
        <f>IF(INDEX(Manual_Review!$S$6:$S$238,U3678)="","",INDEX(Manual_Review!$S$6:$S$238,U3678))</f>
        <v/>
      </c>
      <c r="J3678" s="5" t="str">
        <f t="shared" si="114"/>
        <v>AI provisional</v>
      </c>
      <c r="K3678" s="5" t="str">
        <f t="shared" si="115"/>
        <v>Y</v>
      </c>
      <c r="L3678" s="5" t="s">
        <v>2703</v>
      </c>
      <c r="M3678" s="5" t="s">
        <v>11055</v>
      </c>
      <c r="N3678" s="5" t="s">
        <v>11056</v>
      </c>
      <c r="O3678" s="5" t="s">
        <v>3022</v>
      </c>
      <c r="P3678" s="5" t="s">
        <v>2992</v>
      </c>
      <c r="Q3678" s="11">
        <v>46306.5</v>
      </c>
      <c r="R3678" s="6"/>
      <c r="S3678" s="6"/>
      <c r="T3678" s="6"/>
      <c r="U3678" s="5">
        <f>MATCH(B3678,Manual_Review!$A$6:$A$238,0)</f>
        <v>230</v>
      </c>
      <c r="V3678" s="5" t="str">
        <f>IF(INDEX(Manual_Review!$G$6:$G$238,U3678)="","",INDEX(Manual_Review!$G$6:$G$238,U3678))</f>
        <v/>
      </c>
      <c r="W3678" s="11" t="str">
        <f>IF(INDEX(Manual_Review!$H$6:$H$238,U3678)="","",INDEX(Manual_Review!$H$6:$H$238,U3678))</f>
        <v/>
      </c>
      <c r="X3678" s="5" t="str">
        <f>IF(INDEX(Manual_Review!$I$6:$I$238,U3678)="","",INDEX(Manual_Review!$I$6:$I$238,U3678))</f>
        <v/>
      </c>
      <c r="Y3678" s="5" t="s">
        <v>2859</v>
      </c>
    </row>
    <row r="3679" spans="1:25" ht="25.5">
      <c r="A3679" s="5" t="s">
        <v>11057</v>
      </c>
      <c r="B3679" s="5" t="s">
        <v>2690</v>
      </c>
      <c r="C3679" s="5" t="s">
        <v>2691</v>
      </c>
      <c r="D3679" s="5" t="s">
        <v>118</v>
      </c>
      <c r="E3679" s="5" t="s">
        <v>2790</v>
      </c>
      <c r="F3679" s="5" t="s">
        <v>2760</v>
      </c>
      <c r="G3679" s="5">
        <v>1</v>
      </c>
      <c r="H3679" s="5" t="s">
        <v>2908</v>
      </c>
      <c r="I3679" s="5" t="str">
        <f>IF(INDEX(Manual_Review!$T$6:$T$238,U3679)="","",INDEX(Manual_Review!$T$6:$T$238,U3679))</f>
        <v/>
      </c>
      <c r="J3679" s="5" t="str">
        <f t="shared" si="114"/>
        <v>AI provisional</v>
      </c>
      <c r="K3679" s="5" t="str">
        <f t="shared" si="115"/>
        <v>X</v>
      </c>
      <c r="L3679" s="5" t="s">
        <v>2703</v>
      </c>
      <c r="M3679" s="5" t="s">
        <v>11058</v>
      </c>
      <c r="N3679" s="5" t="s">
        <v>11059</v>
      </c>
      <c r="O3679" s="5" t="s">
        <v>11060</v>
      </c>
      <c r="P3679" s="5" t="s">
        <v>2992</v>
      </c>
      <c r="Q3679" s="11">
        <v>46306.5</v>
      </c>
      <c r="R3679" s="6"/>
      <c r="S3679" s="6"/>
      <c r="T3679" s="6"/>
      <c r="U3679" s="5">
        <f>MATCH(B3679,Manual_Review!$A$6:$A$238,0)</f>
        <v>230</v>
      </c>
      <c r="V3679" s="5" t="str">
        <f>IF(INDEX(Manual_Review!$G$6:$G$238,U3679)="","",INDEX(Manual_Review!$G$6:$G$238,U3679))</f>
        <v/>
      </c>
      <c r="W3679" s="11" t="str">
        <f>IF(INDEX(Manual_Review!$H$6:$H$238,U3679)="","",INDEX(Manual_Review!$H$6:$H$238,U3679))</f>
        <v/>
      </c>
      <c r="X3679" s="5" t="str">
        <f>IF(INDEX(Manual_Review!$I$6:$I$238,U3679)="","",INDEX(Manual_Review!$I$6:$I$238,U3679))</f>
        <v/>
      </c>
      <c r="Y3679" s="5" t="s">
        <v>2859</v>
      </c>
    </row>
    <row r="3680" spans="1:25" ht="25.5">
      <c r="A3680" s="5" t="s">
        <v>11061</v>
      </c>
      <c r="B3680" s="5" t="s">
        <v>2690</v>
      </c>
      <c r="C3680" s="5" t="s">
        <v>2691</v>
      </c>
      <c r="D3680" s="5" t="s">
        <v>118</v>
      </c>
      <c r="E3680" s="5" t="s">
        <v>2791</v>
      </c>
      <c r="F3680" s="5" t="s">
        <v>2760</v>
      </c>
      <c r="G3680" s="5">
        <v>1</v>
      </c>
      <c r="H3680" s="5" t="s">
        <v>2854</v>
      </c>
      <c r="I3680" s="5" t="str">
        <f>IF(INDEX(Manual_Review!$U$6:$U$238,U3680)="","",INDEX(Manual_Review!$U$6:$U$238,U3680))</f>
        <v/>
      </c>
      <c r="J3680" s="5" t="str">
        <f t="shared" si="114"/>
        <v>AI provisional</v>
      </c>
      <c r="K3680" s="5" t="str">
        <f t="shared" si="115"/>
        <v>Y</v>
      </c>
      <c r="L3680" s="5" t="s">
        <v>2703</v>
      </c>
      <c r="M3680" s="5" t="s">
        <v>11062</v>
      </c>
      <c r="N3680" s="5" t="s">
        <v>11063</v>
      </c>
      <c r="O3680" s="5" t="s">
        <v>3832</v>
      </c>
      <c r="P3680" s="5" t="s">
        <v>2992</v>
      </c>
      <c r="Q3680" s="11">
        <v>46306.5</v>
      </c>
      <c r="R3680" s="6"/>
      <c r="S3680" s="6"/>
      <c r="T3680" s="6"/>
      <c r="U3680" s="5">
        <f>MATCH(B3680,Manual_Review!$A$6:$A$238,0)</f>
        <v>230</v>
      </c>
      <c r="V3680" s="5" t="str">
        <f>IF(INDEX(Manual_Review!$G$6:$G$238,U3680)="","",INDEX(Manual_Review!$G$6:$G$238,U3680))</f>
        <v/>
      </c>
      <c r="W3680" s="11" t="str">
        <f>IF(INDEX(Manual_Review!$H$6:$H$238,U3680)="","",INDEX(Manual_Review!$H$6:$H$238,U3680))</f>
        <v/>
      </c>
      <c r="X3680" s="5" t="str">
        <f>IF(INDEX(Manual_Review!$I$6:$I$238,U3680)="","",INDEX(Manual_Review!$I$6:$I$238,U3680))</f>
        <v/>
      </c>
      <c r="Y3680" s="5" t="s">
        <v>2859</v>
      </c>
    </row>
    <row r="3681" spans="1:25" ht="25.5">
      <c r="A3681" s="5" t="s">
        <v>11064</v>
      </c>
      <c r="B3681" s="5" t="s">
        <v>2690</v>
      </c>
      <c r="C3681" s="5" t="s">
        <v>2691</v>
      </c>
      <c r="D3681" s="5" t="s">
        <v>118</v>
      </c>
      <c r="E3681" s="5" t="s">
        <v>2792</v>
      </c>
      <c r="F3681" s="5" t="s">
        <v>2762</v>
      </c>
      <c r="G3681" s="5">
        <v>1</v>
      </c>
      <c r="H3681" s="5" t="s">
        <v>2854</v>
      </c>
      <c r="I3681" s="5" t="str">
        <f>IF(INDEX(Manual_Review!$V$6:$V$238,U3681)="","",INDEX(Manual_Review!$V$6:$V$238,U3681))</f>
        <v/>
      </c>
      <c r="J3681" s="5" t="str">
        <f t="shared" si="114"/>
        <v>AI provisional</v>
      </c>
      <c r="K3681" s="5" t="str">
        <f t="shared" si="115"/>
        <v>Y</v>
      </c>
      <c r="L3681" s="5" t="s">
        <v>2703</v>
      </c>
      <c r="M3681" s="5" t="s">
        <v>11065</v>
      </c>
      <c r="N3681" s="5" t="s">
        <v>11066</v>
      </c>
      <c r="O3681" s="5" t="s">
        <v>3034</v>
      </c>
      <c r="P3681" s="5" t="s">
        <v>2992</v>
      </c>
      <c r="Q3681" s="11">
        <v>46306.5</v>
      </c>
      <c r="R3681" s="6"/>
      <c r="S3681" s="6"/>
      <c r="T3681" s="6"/>
      <c r="U3681" s="5">
        <f>MATCH(B3681,Manual_Review!$A$6:$A$238,0)</f>
        <v>230</v>
      </c>
      <c r="V3681" s="5" t="str">
        <f>IF(INDEX(Manual_Review!$G$6:$G$238,U3681)="","",INDEX(Manual_Review!$G$6:$G$238,U3681))</f>
        <v/>
      </c>
      <c r="W3681" s="11" t="str">
        <f>IF(INDEX(Manual_Review!$H$6:$H$238,U3681)="","",INDEX(Manual_Review!$H$6:$H$238,U3681))</f>
        <v/>
      </c>
      <c r="X3681" s="5" t="str">
        <f>IF(INDEX(Manual_Review!$I$6:$I$238,U3681)="","",INDEX(Manual_Review!$I$6:$I$238,U3681))</f>
        <v/>
      </c>
      <c r="Y3681" s="5" t="s">
        <v>2859</v>
      </c>
    </row>
    <row r="3682" spans="1:25" ht="51">
      <c r="A3682" s="5" t="s">
        <v>11067</v>
      </c>
      <c r="B3682" s="5" t="s">
        <v>2690</v>
      </c>
      <c r="C3682" s="5" t="s">
        <v>2691</v>
      </c>
      <c r="D3682" s="5" t="s">
        <v>118</v>
      </c>
      <c r="E3682" s="5" t="s">
        <v>2793</v>
      </c>
      <c r="F3682" s="5" t="s">
        <v>2762</v>
      </c>
      <c r="G3682" s="5">
        <v>1</v>
      </c>
      <c r="H3682" s="5" t="s">
        <v>2854</v>
      </c>
      <c r="I3682" s="5" t="str">
        <f>IF(INDEX(Manual_Review!$W$6:$W$238,U3682)="","",INDEX(Manual_Review!$W$6:$W$238,U3682))</f>
        <v/>
      </c>
      <c r="J3682" s="5" t="str">
        <f t="shared" si="114"/>
        <v>AI provisional</v>
      </c>
      <c r="K3682" s="5" t="str">
        <f t="shared" si="115"/>
        <v>Y</v>
      </c>
      <c r="L3682" s="5" t="s">
        <v>2703</v>
      </c>
      <c r="M3682" s="5" t="s">
        <v>11068</v>
      </c>
      <c r="N3682" s="5" t="s">
        <v>11069</v>
      </c>
      <c r="O3682" s="5" t="s">
        <v>3038</v>
      </c>
      <c r="P3682" s="5" t="s">
        <v>2992</v>
      </c>
      <c r="Q3682" s="11">
        <v>46306.5</v>
      </c>
      <c r="R3682" s="6"/>
      <c r="S3682" s="6"/>
      <c r="T3682" s="6"/>
      <c r="U3682" s="5">
        <f>MATCH(B3682,Manual_Review!$A$6:$A$238,0)</f>
        <v>230</v>
      </c>
      <c r="V3682" s="5" t="str">
        <f>IF(INDEX(Manual_Review!$G$6:$G$238,U3682)="","",INDEX(Manual_Review!$G$6:$G$238,U3682))</f>
        <v/>
      </c>
      <c r="W3682" s="11" t="str">
        <f>IF(INDEX(Manual_Review!$H$6:$H$238,U3682)="","",INDEX(Manual_Review!$H$6:$H$238,U3682))</f>
        <v/>
      </c>
      <c r="X3682" s="5" t="str">
        <f>IF(INDEX(Manual_Review!$I$6:$I$238,U3682)="","",INDEX(Manual_Review!$I$6:$I$238,U3682))</f>
        <v/>
      </c>
      <c r="Y3682" s="5" t="s">
        <v>2859</v>
      </c>
    </row>
    <row r="3683" spans="1:25" ht="25.5">
      <c r="A3683" s="5" t="s">
        <v>11070</v>
      </c>
      <c r="B3683" s="5" t="s">
        <v>2690</v>
      </c>
      <c r="C3683" s="5" t="s">
        <v>2691</v>
      </c>
      <c r="D3683" s="5" t="s">
        <v>118</v>
      </c>
      <c r="E3683" s="5" t="s">
        <v>2794</v>
      </c>
      <c r="F3683" s="5" t="s">
        <v>2764</v>
      </c>
      <c r="G3683" s="5">
        <v>1</v>
      </c>
      <c r="H3683" s="5" t="s">
        <v>2854</v>
      </c>
      <c r="I3683" s="5" t="str">
        <f>IF(INDEX(Manual_Review!$X$6:$X$238,U3683)="","",INDEX(Manual_Review!$X$6:$X$238,U3683))</f>
        <v/>
      </c>
      <c r="J3683" s="5" t="str">
        <f t="shared" si="114"/>
        <v>AI provisional</v>
      </c>
      <c r="K3683" s="5" t="str">
        <f t="shared" si="115"/>
        <v>Y</v>
      </c>
      <c r="L3683" s="5" t="s">
        <v>2703</v>
      </c>
      <c r="M3683" s="5" t="s">
        <v>11071</v>
      </c>
      <c r="N3683" s="5" t="s">
        <v>11072</v>
      </c>
      <c r="O3683" s="5" t="s">
        <v>3042</v>
      </c>
      <c r="P3683" s="5" t="s">
        <v>2992</v>
      </c>
      <c r="Q3683" s="11">
        <v>46306.5</v>
      </c>
      <c r="R3683" s="6"/>
      <c r="S3683" s="6"/>
      <c r="T3683" s="6"/>
      <c r="U3683" s="5">
        <f>MATCH(B3683,Manual_Review!$A$6:$A$238,0)</f>
        <v>230</v>
      </c>
      <c r="V3683" s="5" t="str">
        <f>IF(INDEX(Manual_Review!$G$6:$G$238,U3683)="","",INDEX(Manual_Review!$G$6:$G$238,U3683))</f>
        <v/>
      </c>
      <c r="W3683" s="11" t="str">
        <f>IF(INDEX(Manual_Review!$H$6:$H$238,U3683)="","",INDEX(Manual_Review!$H$6:$H$238,U3683))</f>
        <v/>
      </c>
      <c r="X3683" s="5" t="str">
        <f>IF(INDEX(Manual_Review!$I$6:$I$238,U3683)="","",INDEX(Manual_Review!$I$6:$I$238,U3683))</f>
        <v/>
      </c>
      <c r="Y3683" s="5" t="s">
        <v>2859</v>
      </c>
    </row>
    <row r="3684" spans="1:25" ht="25.5">
      <c r="A3684" s="5" t="s">
        <v>11073</v>
      </c>
      <c r="B3684" s="5" t="s">
        <v>2690</v>
      </c>
      <c r="C3684" s="5" t="s">
        <v>2691</v>
      </c>
      <c r="D3684" s="5" t="s">
        <v>118</v>
      </c>
      <c r="E3684" s="5" t="s">
        <v>2795</v>
      </c>
      <c r="F3684" s="5" t="s">
        <v>2764</v>
      </c>
      <c r="G3684" s="5">
        <v>1</v>
      </c>
      <c r="H3684" s="5" t="s">
        <v>2854</v>
      </c>
      <c r="I3684" s="5" t="str">
        <f>IF(INDEX(Manual_Review!$Y$6:$Y$238,U3684)="","",INDEX(Manual_Review!$Y$6:$Y$238,U3684))</f>
        <v/>
      </c>
      <c r="J3684" s="5" t="str">
        <f t="shared" si="114"/>
        <v>AI provisional</v>
      </c>
      <c r="K3684" s="5" t="str">
        <f t="shared" si="115"/>
        <v>Y</v>
      </c>
      <c r="L3684" s="5" t="s">
        <v>2703</v>
      </c>
      <c r="M3684" s="5" t="s">
        <v>11074</v>
      </c>
      <c r="N3684" s="5" t="s">
        <v>11075</v>
      </c>
      <c r="O3684" s="5" t="s">
        <v>3046</v>
      </c>
      <c r="P3684" s="5" t="s">
        <v>2992</v>
      </c>
      <c r="Q3684" s="11">
        <v>46306.5</v>
      </c>
      <c r="R3684" s="6"/>
      <c r="S3684" s="6"/>
      <c r="T3684" s="6"/>
      <c r="U3684" s="5">
        <f>MATCH(B3684,Manual_Review!$A$6:$A$238,0)</f>
        <v>230</v>
      </c>
      <c r="V3684" s="5" t="str">
        <f>IF(INDEX(Manual_Review!$G$6:$G$238,U3684)="","",INDEX(Manual_Review!$G$6:$G$238,U3684))</f>
        <v/>
      </c>
      <c r="W3684" s="11" t="str">
        <f>IF(INDEX(Manual_Review!$H$6:$H$238,U3684)="","",INDEX(Manual_Review!$H$6:$H$238,U3684))</f>
        <v/>
      </c>
      <c r="X3684" s="5" t="str">
        <f>IF(INDEX(Manual_Review!$I$6:$I$238,U3684)="","",INDEX(Manual_Review!$I$6:$I$238,U3684))</f>
        <v/>
      </c>
      <c r="Y3684" s="5" t="s">
        <v>2859</v>
      </c>
    </row>
    <row r="3685" spans="1:25" ht="51">
      <c r="A3685" s="5" t="s">
        <v>11076</v>
      </c>
      <c r="B3685" s="5" t="s">
        <v>2690</v>
      </c>
      <c r="C3685" s="5" t="s">
        <v>2691</v>
      </c>
      <c r="D3685" s="5" t="s">
        <v>118</v>
      </c>
      <c r="E3685" s="5" t="s">
        <v>2796</v>
      </c>
      <c r="F3685" s="5" t="s">
        <v>2764</v>
      </c>
      <c r="G3685" s="5">
        <v>1</v>
      </c>
      <c r="H3685" s="5" t="s">
        <v>2864</v>
      </c>
      <c r="I3685" s="5" t="str">
        <f>IF(INDEX(Manual_Review!$Z$6:$Z$238,U3685)="","",INDEX(Manual_Review!$Z$6:$Z$238,U3685))</f>
        <v/>
      </c>
      <c r="J3685" s="5" t="str">
        <f t="shared" si="114"/>
        <v>AI provisional</v>
      </c>
      <c r="K3685" s="5" t="str">
        <f t="shared" si="115"/>
        <v>U</v>
      </c>
      <c r="L3685" s="5" t="s">
        <v>2703</v>
      </c>
      <c r="M3685" s="5" t="s">
        <v>11077</v>
      </c>
      <c r="N3685" s="5" t="s">
        <v>11078</v>
      </c>
      <c r="O3685" s="5" t="s">
        <v>3050</v>
      </c>
      <c r="P3685" s="5" t="s">
        <v>2992</v>
      </c>
      <c r="Q3685" s="11">
        <v>46306.5</v>
      </c>
      <c r="R3685" s="6"/>
      <c r="S3685" s="6"/>
      <c r="T3685" s="6"/>
      <c r="U3685" s="5">
        <f>MATCH(B3685,Manual_Review!$A$6:$A$238,0)</f>
        <v>230</v>
      </c>
      <c r="V3685" s="5" t="str">
        <f>IF(INDEX(Manual_Review!$G$6:$G$238,U3685)="","",INDEX(Manual_Review!$G$6:$G$238,U3685))</f>
        <v/>
      </c>
      <c r="W3685" s="11" t="str">
        <f>IF(INDEX(Manual_Review!$H$6:$H$238,U3685)="","",INDEX(Manual_Review!$H$6:$H$238,U3685))</f>
        <v/>
      </c>
      <c r="X3685" s="5" t="str">
        <f>IF(INDEX(Manual_Review!$I$6:$I$238,U3685)="","",INDEX(Manual_Review!$I$6:$I$238,U3685))</f>
        <v/>
      </c>
      <c r="Y3685" s="5" t="s">
        <v>2859</v>
      </c>
    </row>
    <row r="3686" spans="1:25" ht="25.5">
      <c r="A3686" s="5" t="s">
        <v>11079</v>
      </c>
      <c r="B3686" s="5" t="s">
        <v>2705</v>
      </c>
      <c r="C3686" s="5" t="s">
        <v>2706</v>
      </c>
      <c r="D3686" s="5" t="s">
        <v>118</v>
      </c>
      <c r="E3686" s="5" t="s">
        <v>2781</v>
      </c>
      <c r="F3686" s="5" t="s">
        <v>2754</v>
      </c>
      <c r="G3686" s="5">
        <v>1</v>
      </c>
      <c r="H3686" s="5" t="s">
        <v>2854</v>
      </c>
      <c r="I3686" s="5" t="str">
        <f>IF(INDEX(Manual_Review!$K$6:$K$238,U3686)="","",INDEX(Manual_Review!$K$6:$K$238,U3686))</f>
        <v/>
      </c>
      <c r="J3686" s="5" t="str">
        <f t="shared" si="114"/>
        <v>AI provisional</v>
      </c>
      <c r="K3686" s="5" t="str">
        <f t="shared" si="115"/>
        <v>Y</v>
      </c>
      <c r="L3686" s="5" t="s">
        <v>2715</v>
      </c>
      <c r="M3686" s="5" t="s">
        <v>11080</v>
      </c>
      <c r="N3686" s="5" t="s">
        <v>11081</v>
      </c>
      <c r="O3686" s="5" t="s">
        <v>2991</v>
      </c>
      <c r="P3686" s="5" t="s">
        <v>2992</v>
      </c>
      <c r="Q3686" s="11">
        <v>46306.5</v>
      </c>
      <c r="R3686" s="6"/>
      <c r="S3686" s="6"/>
      <c r="T3686" s="6"/>
      <c r="U3686" s="5">
        <f>MATCH(B3686,Manual_Review!$A$6:$A$238,0)</f>
        <v>231</v>
      </c>
      <c r="V3686" s="5" t="str">
        <f>IF(INDEX(Manual_Review!$G$6:$G$238,U3686)="","",INDEX(Manual_Review!$G$6:$G$238,U3686))</f>
        <v/>
      </c>
      <c r="W3686" s="11" t="str">
        <f>IF(INDEX(Manual_Review!$H$6:$H$238,U3686)="","",INDEX(Manual_Review!$H$6:$H$238,U3686))</f>
        <v/>
      </c>
      <c r="X3686" s="5" t="str">
        <f>IF(INDEX(Manual_Review!$I$6:$I$238,U3686)="","",INDEX(Manual_Review!$I$6:$I$238,U3686))</f>
        <v/>
      </c>
      <c r="Y3686" s="5" t="s">
        <v>2859</v>
      </c>
    </row>
    <row r="3687" spans="1:25" ht="25.5">
      <c r="A3687" s="5" t="s">
        <v>11082</v>
      </c>
      <c r="B3687" s="5" t="s">
        <v>2705</v>
      </c>
      <c r="C3687" s="5" t="s">
        <v>2706</v>
      </c>
      <c r="D3687" s="5" t="s">
        <v>118</v>
      </c>
      <c r="E3687" s="5" t="s">
        <v>2782</v>
      </c>
      <c r="F3687" s="5" t="s">
        <v>2754</v>
      </c>
      <c r="G3687" s="5">
        <v>1</v>
      </c>
      <c r="H3687" s="5" t="s">
        <v>2854</v>
      </c>
      <c r="I3687" s="5" t="str">
        <f>IF(INDEX(Manual_Review!$L$6:$L$238,U3687)="","",INDEX(Manual_Review!$L$6:$L$238,U3687))</f>
        <v/>
      </c>
      <c r="J3687" s="5" t="str">
        <f t="shared" si="114"/>
        <v>AI provisional</v>
      </c>
      <c r="K3687" s="5" t="str">
        <f t="shared" si="115"/>
        <v>Y</v>
      </c>
      <c r="L3687" s="5" t="s">
        <v>2715</v>
      </c>
      <c r="M3687" s="5" t="s">
        <v>11083</v>
      </c>
      <c r="N3687" s="5" t="s">
        <v>11084</v>
      </c>
      <c r="O3687" s="5" t="s">
        <v>2996</v>
      </c>
      <c r="P3687" s="5" t="s">
        <v>2992</v>
      </c>
      <c r="Q3687" s="11">
        <v>46306.5</v>
      </c>
      <c r="R3687" s="6"/>
      <c r="S3687" s="6"/>
      <c r="T3687" s="6"/>
      <c r="U3687" s="5">
        <f>MATCH(B3687,Manual_Review!$A$6:$A$238,0)</f>
        <v>231</v>
      </c>
      <c r="V3687" s="5" t="str">
        <f>IF(INDEX(Manual_Review!$G$6:$G$238,U3687)="","",INDEX(Manual_Review!$G$6:$G$238,U3687))</f>
        <v/>
      </c>
      <c r="W3687" s="11" t="str">
        <f>IF(INDEX(Manual_Review!$H$6:$H$238,U3687)="","",INDEX(Manual_Review!$H$6:$H$238,U3687))</f>
        <v/>
      </c>
      <c r="X3687" s="5" t="str">
        <f>IF(INDEX(Manual_Review!$I$6:$I$238,U3687)="","",INDEX(Manual_Review!$I$6:$I$238,U3687))</f>
        <v/>
      </c>
      <c r="Y3687" s="5" t="s">
        <v>2859</v>
      </c>
    </row>
    <row r="3688" spans="1:25" ht="25.5">
      <c r="A3688" s="5" t="s">
        <v>11085</v>
      </c>
      <c r="B3688" s="5" t="s">
        <v>2705</v>
      </c>
      <c r="C3688" s="5" t="s">
        <v>2706</v>
      </c>
      <c r="D3688" s="5" t="s">
        <v>118</v>
      </c>
      <c r="E3688" s="5" t="s">
        <v>2783</v>
      </c>
      <c r="F3688" s="5" t="s">
        <v>2754</v>
      </c>
      <c r="G3688" s="5">
        <v>1</v>
      </c>
      <c r="H3688" s="5" t="s">
        <v>2854</v>
      </c>
      <c r="I3688" s="5" t="str">
        <f>IF(INDEX(Manual_Review!$M$6:$M$238,U3688)="","",INDEX(Manual_Review!$M$6:$M$238,U3688))</f>
        <v/>
      </c>
      <c r="J3688" s="5" t="str">
        <f t="shared" si="114"/>
        <v>AI provisional</v>
      </c>
      <c r="K3688" s="5" t="str">
        <f t="shared" si="115"/>
        <v>Y</v>
      </c>
      <c r="L3688" s="5" t="s">
        <v>2715</v>
      </c>
      <c r="M3688" s="5" t="s">
        <v>11086</v>
      </c>
      <c r="N3688" s="5" t="s">
        <v>11087</v>
      </c>
      <c r="O3688" s="5" t="s">
        <v>3000</v>
      </c>
      <c r="P3688" s="5" t="s">
        <v>2992</v>
      </c>
      <c r="Q3688" s="11">
        <v>46306.5</v>
      </c>
      <c r="R3688" s="6"/>
      <c r="S3688" s="6"/>
      <c r="T3688" s="6"/>
      <c r="U3688" s="5">
        <f>MATCH(B3688,Manual_Review!$A$6:$A$238,0)</f>
        <v>231</v>
      </c>
      <c r="V3688" s="5" t="str">
        <f>IF(INDEX(Manual_Review!$G$6:$G$238,U3688)="","",INDEX(Manual_Review!$G$6:$G$238,U3688))</f>
        <v/>
      </c>
      <c r="W3688" s="11" t="str">
        <f>IF(INDEX(Manual_Review!$H$6:$H$238,U3688)="","",INDEX(Manual_Review!$H$6:$H$238,U3688))</f>
        <v/>
      </c>
      <c r="X3688" s="5" t="str">
        <f>IF(INDEX(Manual_Review!$I$6:$I$238,U3688)="","",INDEX(Manual_Review!$I$6:$I$238,U3688))</f>
        <v/>
      </c>
      <c r="Y3688" s="5" t="s">
        <v>2859</v>
      </c>
    </row>
    <row r="3689" spans="1:25" ht="25.5">
      <c r="A3689" s="5" t="s">
        <v>11088</v>
      </c>
      <c r="B3689" s="5" t="s">
        <v>2705</v>
      </c>
      <c r="C3689" s="5" t="s">
        <v>2706</v>
      </c>
      <c r="D3689" s="5" t="s">
        <v>118</v>
      </c>
      <c r="E3689" s="5" t="s">
        <v>2784</v>
      </c>
      <c r="F3689" s="5" t="s">
        <v>2756</v>
      </c>
      <c r="G3689" s="5">
        <v>1</v>
      </c>
      <c r="H3689" s="5" t="s">
        <v>2854</v>
      </c>
      <c r="I3689" s="5" t="str">
        <f>IF(INDEX(Manual_Review!$N$6:$N$238,U3689)="","",INDEX(Manual_Review!$N$6:$N$238,U3689))</f>
        <v/>
      </c>
      <c r="J3689" s="5" t="str">
        <f t="shared" si="114"/>
        <v>AI provisional</v>
      </c>
      <c r="K3689" s="5" t="str">
        <f t="shared" si="115"/>
        <v>Y</v>
      </c>
      <c r="L3689" s="5" t="s">
        <v>2715</v>
      </c>
      <c r="M3689" s="5" t="s">
        <v>11089</v>
      </c>
      <c r="N3689" s="5" t="s">
        <v>11090</v>
      </c>
      <c r="O3689" s="5" t="s">
        <v>3004</v>
      </c>
      <c r="P3689" s="5" t="s">
        <v>2992</v>
      </c>
      <c r="Q3689" s="11">
        <v>46306.5</v>
      </c>
      <c r="R3689" s="6"/>
      <c r="S3689" s="6"/>
      <c r="T3689" s="6"/>
      <c r="U3689" s="5">
        <f>MATCH(B3689,Manual_Review!$A$6:$A$238,0)</f>
        <v>231</v>
      </c>
      <c r="V3689" s="5" t="str">
        <f>IF(INDEX(Manual_Review!$G$6:$G$238,U3689)="","",INDEX(Manual_Review!$G$6:$G$238,U3689))</f>
        <v/>
      </c>
      <c r="W3689" s="11" t="str">
        <f>IF(INDEX(Manual_Review!$H$6:$H$238,U3689)="","",INDEX(Manual_Review!$H$6:$H$238,U3689))</f>
        <v/>
      </c>
      <c r="X3689" s="5" t="str">
        <f>IF(INDEX(Manual_Review!$I$6:$I$238,U3689)="","",INDEX(Manual_Review!$I$6:$I$238,U3689))</f>
        <v/>
      </c>
      <c r="Y3689" s="5" t="s">
        <v>2859</v>
      </c>
    </row>
    <row r="3690" spans="1:25" ht="25.5">
      <c r="A3690" s="5" t="s">
        <v>11091</v>
      </c>
      <c r="B3690" s="5" t="s">
        <v>2705</v>
      </c>
      <c r="C3690" s="5" t="s">
        <v>2706</v>
      </c>
      <c r="D3690" s="5" t="s">
        <v>118</v>
      </c>
      <c r="E3690" s="5" t="s">
        <v>2785</v>
      </c>
      <c r="F3690" s="5" t="s">
        <v>2756</v>
      </c>
      <c r="G3690" s="5">
        <v>1</v>
      </c>
      <c r="H3690" s="5" t="s">
        <v>2864</v>
      </c>
      <c r="I3690" s="5" t="str">
        <f>IF(INDEX(Manual_Review!$O$6:$O$238,U3690)="","",INDEX(Manual_Review!$O$6:$O$238,U3690))</f>
        <v/>
      </c>
      <c r="J3690" s="5" t="str">
        <f t="shared" si="114"/>
        <v>AI provisional</v>
      </c>
      <c r="K3690" s="5" t="str">
        <f t="shared" si="115"/>
        <v>U</v>
      </c>
      <c r="L3690" s="5" t="s">
        <v>2715</v>
      </c>
      <c r="M3690" s="5" t="s">
        <v>11089</v>
      </c>
      <c r="N3690" s="5" t="s">
        <v>11090</v>
      </c>
      <c r="O3690" s="5" t="s">
        <v>3006</v>
      </c>
      <c r="P3690" s="5" t="s">
        <v>2992</v>
      </c>
      <c r="Q3690" s="11">
        <v>46306.5</v>
      </c>
      <c r="R3690" s="6"/>
      <c r="S3690" s="6"/>
      <c r="T3690" s="6"/>
      <c r="U3690" s="5">
        <f>MATCH(B3690,Manual_Review!$A$6:$A$238,0)</f>
        <v>231</v>
      </c>
      <c r="V3690" s="5" t="str">
        <f>IF(INDEX(Manual_Review!$G$6:$G$238,U3690)="","",INDEX(Manual_Review!$G$6:$G$238,U3690))</f>
        <v/>
      </c>
      <c r="W3690" s="11" t="str">
        <f>IF(INDEX(Manual_Review!$H$6:$H$238,U3690)="","",INDEX(Manual_Review!$H$6:$H$238,U3690))</f>
        <v/>
      </c>
      <c r="X3690" s="5" t="str">
        <f>IF(INDEX(Manual_Review!$I$6:$I$238,U3690)="","",INDEX(Manual_Review!$I$6:$I$238,U3690))</f>
        <v/>
      </c>
      <c r="Y3690" s="5" t="s">
        <v>2859</v>
      </c>
    </row>
    <row r="3691" spans="1:25" ht="38.25">
      <c r="A3691" s="5" t="s">
        <v>11092</v>
      </c>
      <c r="B3691" s="5" t="s">
        <v>2705</v>
      </c>
      <c r="C3691" s="5" t="s">
        <v>2706</v>
      </c>
      <c r="D3691" s="5" t="s">
        <v>118</v>
      </c>
      <c r="E3691" s="5" t="s">
        <v>2786</v>
      </c>
      <c r="F3691" s="5" t="s">
        <v>2756</v>
      </c>
      <c r="G3691" s="5">
        <v>1</v>
      </c>
      <c r="H3691" s="5" t="s">
        <v>2864</v>
      </c>
      <c r="I3691" s="5" t="str">
        <f>IF(INDEX(Manual_Review!$P$6:$P$238,U3691)="","",INDEX(Manual_Review!$P$6:$P$238,U3691))</f>
        <v/>
      </c>
      <c r="J3691" s="5" t="str">
        <f t="shared" si="114"/>
        <v>AI provisional</v>
      </c>
      <c r="K3691" s="5" t="str">
        <f t="shared" si="115"/>
        <v>U</v>
      </c>
      <c r="L3691" s="5" t="s">
        <v>2715</v>
      </c>
      <c r="M3691" s="5" t="s">
        <v>11093</v>
      </c>
      <c r="N3691" s="5" t="s">
        <v>11094</v>
      </c>
      <c r="O3691" s="5" t="s">
        <v>3010</v>
      </c>
      <c r="P3691" s="5" t="s">
        <v>2992</v>
      </c>
      <c r="Q3691" s="11">
        <v>46306.5</v>
      </c>
      <c r="R3691" s="6"/>
      <c r="S3691" s="6"/>
      <c r="T3691" s="6"/>
      <c r="U3691" s="5">
        <f>MATCH(B3691,Manual_Review!$A$6:$A$238,0)</f>
        <v>231</v>
      </c>
      <c r="V3691" s="5" t="str">
        <f>IF(INDEX(Manual_Review!$G$6:$G$238,U3691)="","",INDEX(Manual_Review!$G$6:$G$238,U3691))</f>
        <v/>
      </c>
      <c r="W3691" s="11" t="str">
        <f>IF(INDEX(Manual_Review!$H$6:$H$238,U3691)="","",INDEX(Manual_Review!$H$6:$H$238,U3691))</f>
        <v/>
      </c>
      <c r="X3691" s="5" t="str">
        <f>IF(INDEX(Manual_Review!$I$6:$I$238,U3691)="","",INDEX(Manual_Review!$I$6:$I$238,U3691))</f>
        <v/>
      </c>
      <c r="Y3691" s="5" t="s">
        <v>2859</v>
      </c>
    </row>
    <row r="3692" spans="1:25" ht="25.5">
      <c r="A3692" s="5" t="s">
        <v>11095</v>
      </c>
      <c r="B3692" s="5" t="s">
        <v>2705</v>
      </c>
      <c r="C3692" s="5" t="s">
        <v>2706</v>
      </c>
      <c r="D3692" s="5" t="s">
        <v>118</v>
      </c>
      <c r="E3692" s="5" t="s">
        <v>2787</v>
      </c>
      <c r="F3692" s="5" t="s">
        <v>2758</v>
      </c>
      <c r="G3692" s="5">
        <v>1</v>
      </c>
      <c r="H3692" s="5" t="s">
        <v>2864</v>
      </c>
      <c r="I3692" s="5" t="str">
        <f>IF(INDEX(Manual_Review!$Q$6:$Q$238,U3692)="","",INDEX(Manual_Review!$Q$6:$Q$238,U3692))</f>
        <v/>
      </c>
      <c r="J3692" s="5" t="str">
        <f t="shared" si="114"/>
        <v>AI provisional</v>
      </c>
      <c r="K3692" s="5" t="str">
        <f t="shared" si="115"/>
        <v>U</v>
      </c>
      <c r="L3692" s="5" t="s">
        <v>2715</v>
      </c>
      <c r="M3692" s="5" t="s">
        <v>11096</v>
      </c>
      <c r="N3692" s="5" t="s">
        <v>11097</v>
      </c>
      <c r="O3692" s="5" t="s">
        <v>3014</v>
      </c>
      <c r="P3692" s="5" t="s">
        <v>2992</v>
      </c>
      <c r="Q3692" s="11">
        <v>46306.5</v>
      </c>
      <c r="R3692" s="6"/>
      <c r="S3692" s="6"/>
      <c r="T3692" s="6"/>
      <c r="U3692" s="5">
        <f>MATCH(B3692,Manual_Review!$A$6:$A$238,0)</f>
        <v>231</v>
      </c>
      <c r="V3692" s="5" t="str">
        <f>IF(INDEX(Manual_Review!$G$6:$G$238,U3692)="","",INDEX(Manual_Review!$G$6:$G$238,U3692))</f>
        <v/>
      </c>
      <c r="W3692" s="11" t="str">
        <f>IF(INDEX(Manual_Review!$H$6:$H$238,U3692)="","",INDEX(Manual_Review!$H$6:$H$238,U3692))</f>
        <v/>
      </c>
      <c r="X3692" s="5" t="str">
        <f>IF(INDEX(Manual_Review!$I$6:$I$238,U3692)="","",INDEX(Manual_Review!$I$6:$I$238,U3692))</f>
        <v/>
      </c>
      <c r="Y3692" s="5" t="s">
        <v>2859</v>
      </c>
    </row>
    <row r="3693" spans="1:25" ht="38.25">
      <c r="A3693" s="5" t="s">
        <v>11098</v>
      </c>
      <c r="B3693" s="5" t="s">
        <v>2705</v>
      </c>
      <c r="C3693" s="5" t="s">
        <v>2706</v>
      </c>
      <c r="D3693" s="5" t="s">
        <v>118</v>
      </c>
      <c r="E3693" s="5" t="s">
        <v>2788</v>
      </c>
      <c r="F3693" s="5" t="s">
        <v>2758</v>
      </c>
      <c r="G3693" s="5">
        <v>1</v>
      </c>
      <c r="H3693" s="5" t="s">
        <v>2854</v>
      </c>
      <c r="I3693" s="5" t="str">
        <f>IF(INDEX(Manual_Review!$R$6:$R$238,U3693)="","",INDEX(Manual_Review!$R$6:$R$238,U3693))</f>
        <v/>
      </c>
      <c r="J3693" s="5" t="str">
        <f t="shared" si="114"/>
        <v>AI provisional</v>
      </c>
      <c r="K3693" s="5" t="str">
        <f t="shared" si="115"/>
        <v>Y</v>
      </c>
      <c r="L3693" s="5" t="s">
        <v>2715</v>
      </c>
      <c r="M3693" s="5" t="s">
        <v>11099</v>
      </c>
      <c r="N3693" s="5" t="s">
        <v>11100</v>
      </c>
      <c r="O3693" s="5" t="s">
        <v>3018</v>
      </c>
      <c r="P3693" s="5" t="s">
        <v>2992</v>
      </c>
      <c r="Q3693" s="11">
        <v>46306.5</v>
      </c>
      <c r="R3693" s="6"/>
      <c r="S3693" s="6"/>
      <c r="T3693" s="6"/>
      <c r="U3693" s="5">
        <f>MATCH(B3693,Manual_Review!$A$6:$A$238,0)</f>
        <v>231</v>
      </c>
      <c r="V3693" s="5" t="str">
        <f>IF(INDEX(Manual_Review!$G$6:$G$238,U3693)="","",INDEX(Manual_Review!$G$6:$G$238,U3693))</f>
        <v/>
      </c>
      <c r="W3693" s="11" t="str">
        <f>IF(INDEX(Manual_Review!$H$6:$H$238,U3693)="","",INDEX(Manual_Review!$H$6:$H$238,U3693))</f>
        <v/>
      </c>
      <c r="X3693" s="5" t="str">
        <f>IF(INDEX(Manual_Review!$I$6:$I$238,U3693)="","",INDEX(Manual_Review!$I$6:$I$238,U3693))</f>
        <v/>
      </c>
      <c r="Y3693" s="5" t="s">
        <v>2859</v>
      </c>
    </row>
    <row r="3694" spans="1:25" ht="38.25">
      <c r="A3694" s="5" t="s">
        <v>11101</v>
      </c>
      <c r="B3694" s="5" t="s">
        <v>2705</v>
      </c>
      <c r="C3694" s="5" t="s">
        <v>2706</v>
      </c>
      <c r="D3694" s="5" t="s">
        <v>118</v>
      </c>
      <c r="E3694" s="5" t="s">
        <v>2789</v>
      </c>
      <c r="F3694" s="5" t="s">
        <v>2758</v>
      </c>
      <c r="G3694" s="5">
        <v>1</v>
      </c>
      <c r="H3694" s="5" t="s">
        <v>2854</v>
      </c>
      <c r="I3694" s="5" t="str">
        <f>IF(INDEX(Manual_Review!$S$6:$S$238,U3694)="","",INDEX(Manual_Review!$S$6:$S$238,U3694))</f>
        <v/>
      </c>
      <c r="J3694" s="5" t="str">
        <f t="shared" si="114"/>
        <v>AI provisional</v>
      </c>
      <c r="K3694" s="5" t="str">
        <f t="shared" si="115"/>
        <v>Y</v>
      </c>
      <c r="L3694" s="5" t="s">
        <v>2715</v>
      </c>
      <c r="M3694" s="5" t="s">
        <v>11102</v>
      </c>
      <c r="N3694" s="5" t="s">
        <v>11103</v>
      </c>
      <c r="O3694" s="5" t="s">
        <v>3022</v>
      </c>
      <c r="P3694" s="5" t="s">
        <v>2992</v>
      </c>
      <c r="Q3694" s="11">
        <v>46306.5</v>
      </c>
      <c r="R3694" s="6"/>
      <c r="S3694" s="6"/>
      <c r="T3694" s="6"/>
      <c r="U3694" s="5">
        <f>MATCH(B3694,Manual_Review!$A$6:$A$238,0)</f>
        <v>231</v>
      </c>
      <c r="V3694" s="5" t="str">
        <f>IF(INDEX(Manual_Review!$G$6:$G$238,U3694)="","",INDEX(Manual_Review!$G$6:$G$238,U3694))</f>
        <v/>
      </c>
      <c r="W3694" s="11" t="str">
        <f>IF(INDEX(Manual_Review!$H$6:$H$238,U3694)="","",INDEX(Manual_Review!$H$6:$H$238,U3694))</f>
        <v/>
      </c>
      <c r="X3694" s="5" t="str">
        <f>IF(INDEX(Manual_Review!$I$6:$I$238,U3694)="","",INDEX(Manual_Review!$I$6:$I$238,U3694))</f>
        <v/>
      </c>
      <c r="Y3694" s="5" t="s">
        <v>2859</v>
      </c>
    </row>
    <row r="3695" spans="1:25" ht="25.5">
      <c r="A3695" s="5" t="s">
        <v>11104</v>
      </c>
      <c r="B3695" s="5" t="s">
        <v>2705</v>
      </c>
      <c r="C3695" s="5" t="s">
        <v>2706</v>
      </c>
      <c r="D3695" s="5" t="s">
        <v>118</v>
      </c>
      <c r="E3695" s="5" t="s">
        <v>2790</v>
      </c>
      <c r="F3695" s="5" t="s">
        <v>2760</v>
      </c>
      <c r="G3695" s="5">
        <v>1</v>
      </c>
      <c r="H3695" s="5" t="s">
        <v>2854</v>
      </c>
      <c r="I3695" s="5" t="str">
        <f>IF(INDEX(Manual_Review!$T$6:$T$238,U3695)="","",INDEX(Manual_Review!$T$6:$T$238,U3695))</f>
        <v/>
      </c>
      <c r="J3695" s="5" t="str">
        <f t="shared" si="114"/>
        <v>AI provisional</v>
      </c>
      <c r="K3695" s="5" t="str">
        <f t="shared" si="115"/>
        <v>Y</v>
      </c>
      <c r="L3695" s="5" t="s">
        <v>2715</v>
      </c>
      <c r="M3695" s="5" t="s">
        <v>11105</v>
      </c>
      <c r="N3695" s="5" t="s">
        <v>11106</v>
      </c>
      <c r="O3695" s="5" t="s">
        <v>3451</v>
      </c>
      <c r="P3695" s="5" t="s">
        <v>2992</v>
      </c>
      <c r="Q3695" s="11">
        <v>46306.5</v>
      </c>
      <c r="R3695" s="6"/>
      <c r="S3695" s="6"/>
      <c r="T3695" s="6"/>
      <c r="U3695" s="5">
        <f>MATCH(B3695,Manual_Review!$A$6:$A$238,0)</f>
        <v>231</v>
      </c>
      <c r="V3695" s="5" t="str">
        <f>IF(INDEX(Manual_Review!$G$6:$G$238,U3695)="","",INDEX(Manual_Review!$G$6:$G$238,U3695))</f>
        <v/>
      </c>
      <c r="W3695" s="11" t="str">
        <f>IF(INDEX(Manual_Review!$H$6:$H$238,U3695)="","",INDEX(Manual_Review!$H$6:$H$238,U3695))</f>
        <v/>
      </c>
      <c r="X3695" s="5" t="str">
        <f>IF(INDEX(Manual_Review!$I$6:$I$238,U3695)="","",INDEX(Manual_Review!$I$6:$I$238,U3695))</f>
        <v/>
      </c>
      <c r="Y3695" s="5" t="s">
        <v>2859</v>
      </c>
    </row>
    <row r="3696" spans="1:25" ht="25.5">
      <c r="A3696" s="5" t="s">
        <v>11107</v>
      </c>
      <c r="B3696" s="5" t="s">
        <v>2705</v>
      </c>
      <c r="C3696" s="5" t="s">
        <v>2706</v>
      </c>
      <c r="D3696" s="5" t="s">
        <v>118</v>
      </c>
      <c r="E3696" s="5" t="s">
        <v>2791</v>
      </c>
      <c r="F3696" s="5" t="s">
        <v>2760</v>
      </c>
      <c r="G3696" s="5">
        <v>1</v>
      </c>
      <c r="H3696" s="5" t="s">
        <v>2864</v>
      </c>
      <c r="I3696" s="5" t="str">
        <f>IF(INDEX(Manual_Review!$U$6:$U$238,U3696)="","",INDEX(Manual_Review!$U$6:$U$238,U3696))</f>
        <v/>
      </c>
      <c r="J3696" s="5" t="str">
        <f t="shared" si="114"/>
        <v>AI provisional</v>
      </c>
      <c r="K3696" s="5" t="str">
        <f t="shared" si="115"/>
        <v>U</v>
      </c>
      <c r="L3696" s="5" t="s">
        <v>2715</v>
      </c>
      <c r="M3696" s="5" t="s">
        <v>11108</v>
      </c>
      <c r="N3696" s="5" t="s">
        <v>11109</v>
      </c>
      <c r="O3696" s="5" t="s">
        <v>3030</v>
      </c>
      <c r="P3696" s="5" t="s">
        <v>2992</v>
      </c>
      <c r="Q3696" s="11">
        <v>46306.5</v>
      </c>
      <c r="R3696" s="6"/>
      <c r="S3696" s="6"/>
      <c r="T3696" s="6"/>
      <c r="U3696" s="5">
        <f>MATCH(B3696,Manual_Review!$A$6:$A$238,0)</f>
        <v>231</v>
      </c>
      <c r="V3696" s="5" t="str">
        <f>IF(INDEX(Manual_Review!$G$6:$G$238,U3696)="","",INDEX(Manual_Review!$G$6:$G$238,U3696))</f>
        <v/>
      </c>
      <c r="W3696" s="11" t="str">
        <f>IF(INDEX(Manual_Review!$H$6:$H$238,U3696)="","",INDEX(Manual_Review!$H$6:$H$238,U3696))</f>
        <v/>
      </c>
      <c r="X3696" s="5" t="str">
        <f>IF(INDEX(Manual_Review!$I$6:$I$238,U3696)="","",INDEX(Manual_Review!$I$6:$I$238,U3696))</f>
        <v/>
      </c>
      <c r="Y3696" s="5" t="s">
        <v>2859</v>
      </c>
    </row>
    <row r="3697" spans="1:25" ht="25.5">
      <c r="A3697" s="5" t="s">
        <v>11110</v>
      </c>
      <c r="B3697" s="5" t="s">
        <v>2705</v>
      </c>
      <c r="C3697" s="5" t="s">
        <v>2706</v>
      </c>
      <c r="D3697" s="5" t="s">
        <v>118</v>
      </c>
      <c r="E3697" s="5" t="s">
        <v>2792</v>
      </c>
      <c r="F3697" s="5" t="s">
        <v>2762</v>
      </c>
      <c r="G3697" s="5">
        <v>1</v>
      </c>
      <c r="H3697" s="5" t="s">
        <v>2854</v>
      </c>
      <c r="I3697" s="5" t="str">
        <f>IF(INDEX(Manual_Review!$V$6:$V$238,U3697)="","",INDEX(Manual_Review!$V$6:$V$238,U3697))</f>
        <v/>
      </c>
      <c r="J3697" s="5" t="str">
        <f t="shared" si="114"/>
        <v>AI provisional</v>
      </c>
      <c r="K3697" s="5" t="str">
        <f t="shared" si="115"/>
        <v>Y</v>
      </c>
      <c r="L3697" s="5" t="s">
        <v>2715</v>
      </c>
      <c r="M3697" s="5" t="s">
        <v>11111</v>
      </c>
      <c r="N3697" s="5" t="s">
        <v>11112</v>
      </c>
      <c r="O3697" s="5" t="s">
        <v>3034</v>
      </c>
      <c r="P3697" s="5" t="s">
        <v>2992</v>
      </c>
      <c r="Q3697" s="11">
        <v>46306.5</v>
      </c>
      <c r="R3697" s="6"/>
      <c r="S3697" s="6"/>
      <c r="T3697" s="6"/>
      <c r="U3697" s="5">
        <f>MATCH(B3697,Manual_Review!$A$6:$A$238,0)</f>
        <v>231</v>
      </c>
      <c r="V3697" s="5" t="str">
        <f>IF(INDEX(Manual_Review!$G$6:$G$238,U3697)="","",INDEX(Manual_Review!$G$6:$G$238,U3697))</f>
        <v/>
      </c>
      <c r="W3697" s="11" t="str">
        <f>IF(INDEX(Manual_Review!$H$6:$H$238,U3697)="","",INDEX(Manual_Review!$H$6:$H$238,U3697))</f>
        <v/>
      </c>
      <c r="X3697" s="5" t="str">
        <f>IF(INDEX(Manual_Review!$I$6:$I$238,U3697)="","",INDEX(Manual_Review!$I$6:$I$238,U3697))</f>
        <v/>
      </c>
      <c r="Y3697" s="5" t="s">
        <v>2859</v>
      </c>
    </row>
    <row r="3698" spans="1:25" ht="51">
      <c r="A3698" s="5" t="s">
        <v>11113</v>
      </c>
      <c r="B3698" s="5" t="s">
        <v>2705</v>
      </c>
      <c r="C3698" s="5" t="s">
        <v>2706</v>
      </c>
      <c r="D3698" s="5" t="s">
        <v>118</v>
      </c>
      <c r="E3698" s="5" t="s">
        <v>2793</v>
      </c>
      <c r="F3698" s="5" t="s">
        <v>2762</v>
      </c>
      <c r="G3698" s="5">
        <v>1</v>
      </c>
      <c r="H3698" s="5" t="s">
        <v>2854</v>
      </c>
      <c r="I3698" s="5" t="str">
        <f>IF(INDEX(Manual_Review!$W$6:$W$238,U3698)="","",INDEX(Manual_Review!$W$6:$W$238,U3698))</f>
        <v/>
      </c>
      <c r="J3698" s="5" t="str">
        <f t="shared" si="114"/>
        <v>AI provisional</v>
      </c>
      <c r="K3698" s="5" t="str">
        <f t="shared" si="115"/>
        <v>Y</v>
      </c>
      <c r="L3698" s="5" t="s">
        <v>2715</v>
      </c>
      <c r="M3698" s="5" t="s">
        <v>11114</v>
      </c>
      <c r="N3698" s="5" t="s">
        <v>11115</v>
      </c>
      <c r="O3698" s="5" t="s">
        <v>3038</v>
      </c>
      <c r="P3698" s="5" t="s">
        <v>2992</v>
      </c>
      <c r="Q3698" s="11">
        <v>46306.5</v>
      </c>
      <c r="R3698" s="6"/>
      <c r="S3698" s="6"/>
      <c r="T3698" s="6"/>
      <c r="U3698" s="5">
        <f>MATCH(B3698,Manual_Review!$A$6:$A$238,0)</f>
        <v>231</v>
      </c>
      <c r="V3698" s="5" t="str">
        <f>IF(INDEX(Manual_Review!$G$6:$G$238,U3698)="","",INDEX(Manual_Review!$G$6:$G$238,U3698))</f>
        <v/>
      </c>
      <c r="W3698" s="11" t="str">
        <f>IF(INDEX(Manual_Review!$H$6:$H$238,U3698)="","",INDEX(Manual_Review!$H$6:$H$238,U3698))</f>
        <v/>
      </c>
      <c r="X3698" s="5" t="str">
        <f>IF(INDEX(Manual_Review!$I$6:$I$238,U3698)="","",INDEX(Manual_Review!$I$6:$I$238,U3698))</f>
        <v/>
      </c>
      <c r="Y3698" s="5" t="s">
        <v>2859</v>
      </c>
    </row>
    <row r="3699" spans="1:25" ht="25.5">
      <c r="A3699" s="5" t="s">
        <v>11116</v>
      </c>
      <c r="B3699" s="5" t="s">
        <v>2705</v>
      </c>
      <c r="C3699" s="5" t="s">
        <v>2706</v>
      </c>
      <c r="D3699" s="5" t="s">
        <v>118</v>
      </c>
      <c r="E3699" s="5" t="s">
        <v>2794</v>
      </c>
      <c r="F3699" s="5" t="s">
        <v>2764</v>
      </c>
      <c r="G3699" s="5">
        <v>1</v>
      </c>
      <c r="H3699" s="5" t="s">
        <v>2854</v>
      </c>
      <c r="I3699" s="5" t="str">
        <f>IF(INDEX(Manual_Review!$X$6:$X$238,U3699)="","",INDEX(Manual_Review!$X$6:$X$238,U3699))</f>
        <v/>
      </c>
      <c r="J3699" s="5" t="str">
        <f t="shared" si="114"/>
        <v>AI provisional</v>
      </c>
      <c r="K3699" s="5" t="str">
        <f t="shared" si="115"/>
        <v>Y</v>
      </c>
      <c r="L3699" s="5" t="s">
        <v>2715</v>
      </c>
      <c r="M3699" s="5" t="s">
        <v>11117</v>
      </c>
      <c r="N3699" s="5" t="s">
        <v>11118</v>
      </c>
      <c r="O3699" s="5" t="s">
        <v>3042</v>
      </c>
      <c r="P3699" s="5" t="s">
        <v>2992</v>
      </c>
      <c r="Q3699" s="11">
        <v>46306.5</v>
      </c>
      <c r="R3699" s="6"/>
      <c r="S3699" s="6"/>
      <c r="T3699" s="6"/>
      <c r="U3699" s="5">
        <f>MATCH(B3699,Manual_Review!$A$6:$A$238,0)</f>
        <v>231</v>
      </c>
      <c r="V3699" s="5" t="str">
        <f>IF(INDEX(Manual_Review!$G$6:$G$238,U3699)="","",INDEX(Manual_Review!$G$6:$G$238,U3699))</f>
        <v/>
      </c>
      <c r="W3699" s="11" t="str">
        <f>IF(INDEX(Manual_Review!$H$6:$H$238,U3699)="","",INDEX(Manual_Review!$H$6:$H$238,U3699))</f>
        <v/>
      </c>
      <c r="X3699" s="5" t="str">
        <f>IF(INDEX(Manual_Review!$I$6:$I$238,U3699)="","",INDEX(Manual_Review!$I$6:$I$238,U3699))</f>
        <v/>
      </c>
      <c r="Y3699" s="5" t="s">
        <v>2859</v>
      </c>
    </row>
    <row r="3700" spans="1:25" ht="25.5">
      <c r="A3700" s="5" t="s">
        <v>11119</v>
      </c>
      <c r="B3700" s="5" t="s">
        <v>2705</v>
      </c>
      <c r="C3700" s="5" t="s">
        <v>2706</v>
      </c>
      <c r="D3700" s="5" t="s">
        <v>118</v>
      </c>
      <c r="E3700" s="5" t="s">
        <v>2795</v>
      </c>
      <c r="F3700" s="5" t="s">
        <v>2764</v>
      </c>
      <c r="G3700" s="5">
        <v>1</v>
      </c>
      <c r="H3700" s="5" t="s">
        <v>2864</v>
      </c>
      <c r="I3700" s="5" t="str">
        <f>IF(INDEX(Manual_Review!$Y$6:$Y$238,U3700)="","",INDEX(Manual_Review!$Y$6:$Y$238,U3700))</f>
        <v/>
      </c>
      <c r="J3700" s="5" t="str">
        <f t="shared" si="114"/>
        <v>AI provisional</v>
      </c>
      <c r="K3700" s="5" t="str">
        <f t="shared" si="115"/>
        <v>U</v>
      </c>
      <c r="L3700" s="5" t="s">
        <v>2715</v>
      </c>
      <c r="M3700" s="5" t="s">
        <v>11120</v>
      </c>
      <c r="N3700" s="5" t="s">
        <v>11121</v>
      </c>
      <c r="O3700" s="5" t="s">
        <v>3469</v>
      </c>
      <c r="P3700" s="5" t="s">
        <v>2992</v>
      </c>
      <c r="Q3700" s="11">
        <v>46306.5</v>
      </c>
      <c r="R3700" s="6"/>
      <c r="S3700" s="6"/>
      <c r="T3700" s="6"/>
      <c r="U3700" s="5">
        <f>MATCH(B3700,Manual_Review!$A$6:$A$238,0)</f>
        <v>231</v>
      </c>
      <c r="V3700" s="5" t="str">
        <f>IF(INDEX(Manual_Review!$G$6:$G$238,U3700)="","",INDEX(Manual_Review!$G$6:$G$238,U3700))</f>
        <v/>
      </c>
      <c r="W3700" s="11" t="str">
        <f>IF(INDEX(Manual_Review!$H$6:$H$238,U3700)="","",INDEX(Manual_Review!$H$6:$H$238,U3700))</f>
        <v/>
      </c>
      <c r="X3700" s="5" t="str">
        <f>IF(INDEX(Manual_Review!$I$6:$I$238,U3700)="","",INDEX(Manual_Review!$I$6:$I$238,U3700))</f>
        <v/>
      </c>
      <c r="Y3700" s="5" t="s">
        <v>2859</v>
      </c>
    </row>
    <row r="3701" spans="1:25" ht="51">
      <c r="A3701" s="5" t="s">
        <v>11122</v>
      </c>
      <c r="B3701" s="5" t="s">
        <v>2705</v>
      </c>
      <c r="C3701" s="5" t="s">
        <v>2706</v>
      </c>
      <c r="D3701" s="5" t="s">
        <v>118</v>
      </c>
      <c r="E3701" s="5" t="s">
        <v>2796</v>
      </c>
      <c r="F3701" s="5" t="s">
        <v>2764</v>
      </c>
      <c r="G3701" s="5">
        <v>1</v>
      </c>
      <c r="H3701" s="5" t="s">
        <v>2864</v>
      </c>
      <c r="I3701" s="5" t="str">
        <f>IF(INDEX(Manual_Review!$Z$6:$Z$238,U3701)="","",INDEX(Manual_Review!$Z$6:$Z$238,U3701))</f>
        <v/>
      </c>
      <c r="J3701" s="5" t="str">
        <f t="shared" si="114"/>
        <v>AI provisional</v>
      </c>
      <c r="K3701" s="5" t="str">
        <f t="shared" si="115"/>
        <v>U</v>
      </c>
      <c r="L3701" s="5" t="s">
        <v>2715</v>
      </c>
      <c r="M3701" s="5" t="s">
        <v>11123</v>
      </c>
      <c r="N3701" s="5" t="s">
        <v>11124</v>
      </c>
      <c r="O3701" s="5" t="s">
        <v>3050</v>
      </c>
      <c r="P3701" s="5" t="s">
        <v>2992</v>
      </c>
      <c r="Q3701" s="11">
        <v>46306.5</v>
      </c>
      <c r="R3701" s="6"/>
      <c r="S3701" s="6"/>
      <c r="T3701" s="6"/>
      <c r="U3701" s="5">
        <f>MATCH(B3701,Manual_Review!$A$6:$A$238,0)</f>
        <v>231</v>
      </c>
      <c r="V3701" s="5" t="str">
        <f>IF(INDEX(Manual_Review!$G$6:$G$238,U3701)="","",INDEX(Manual_Review!$G$6:$G$238,U3701))</f>
        <v/>
      </c>
      <c r="W3701" s="11" t="str">
        <f>IF(INDEX(Manual_Review!$H$6:$H$238,U3701)="","",INDEX(Manual_Review!$H$6:$H$238,U3701))</f>
        <v/>
      </c>
      <c r="X3701" s="5" t="str">
        <f>IF(INDEX(Manual_Review!$I$6:$I$238,U3701)="","",INDEX(Manual_Review!$I$6:$I$238,U3701))</f>
        <v/>
      </c>
      <c r="Y3701" s="5" t="s">
        <v>2859</v>
      </c>
    </row>
    <row r="3702" spans="1:25" ht="25.5">
      <c r="A3702" s="5" t="s">
        <v>11125</v>
      </c>
      <c r="B3702" s="5" t="s">
        <v>2717</v>
      </c>
      <c r="C3702" s="5" t="s">
        <v>2718</v>
      </c>
      <c r="D3702" s="5" t="s">
        <v>118</v>
      </c>
      <c r="E3702" s="5" t="s">
        <v>2781</v>
      </c>
      <c r="F3702" s="5" t="s">
        <v>2754</v>
      </c>
      <c r="G3702" s="5">
        <v>1</v>
      </c>
      <c r="H3702" s="5" t="s">
        <v>2854</v>
      </c>
      <c r="I3702" s="5" t="str">
        <f>IF(INDEX(Manual_Review!$K$6:$K$238,U3702)="","",INDEX(Manual_Review!$K$6:$K$238,U3702))</f>
        <v/>
      </c>
      <c r="J3702" s="5" t="str">
        <f t="shared" si="114"/>
        <v>AI provisional</v>
      </c>
      <c r="K3702" s="5" t="str">
        <f t="shared" si="115"/>
        <v>Y</v>
      </c>
      <c r="L3702" s="5" t="s">
        <v>2731</v>
      </c>
      <c r="M3702" s="5" t="s">
        <v>11126</v>
      </c>
      <c r="N3702" s="5" t="s">
        <v>11127</v>
      </c>
      <c r="O3702" s="5" t="s">
        <v>2991</v>
      </c>
      <c r="P3702" s="5" t="s">
        <v>2992</v>
      </c>
      <c r="Q3702" s="11">
        <v>46306.5</v>
      </c>
      <c r="R3702" s="6"/>
      <c r="S3702" s="6"/>
      <c r="T3702" s="6"/>
      <c r="U3702" s="5">
        <f>MATCH(B3702,Manual_Review!$A$6:$A$238,0)</f>
        <v>232</v>
      </c>
      <c r="V3702" s="5" t="str">
        <f>IF(INDEX(Manual_Review!$G$6:$G$238,U3702)="","",INDEX(Manual_Review!$G$6:$G$238,U3702))</f>
        <v/>
      </c>
      <c r="W3702" s="11" t="str">
        <f>IF(INDEX(Manual_Review!$H$6:$H$238,U3702)="","",INDEX(Manual_Review!$H$6:$H$238,U3702))</f>
        <v/>
      </c>
      <c r="X3702" s="5" t="str">
        <f>IF(INDEX(Manual_Review!$I$6:$I$238,U3702)="","",INDEX(Manual_Review!$I$6:$I$238,U3702))</f>
        <v/>
      </c>
      <c r="Y3702" s="5" t="s">
        <v>2859</v>
      </c>
    </row>
    <row r="3703" spans="1:25" ht="25.5">
      <c r="A3703" s="5" t="s">
        <v>11128</v>
      </c>
      <c r="B3703" s="5" t="s">
        <v>2717</v>
      </c>
      <c r="C3703" s="5" t="s">
        <v>2718</v>
      </c>
      <c r="D3703" s="5" t="s">
        <v>118</v>
      </c>
      <c r="E3703" s="5" t="s">
        <v>2782</v>
      </c>
      <c r="F3703" s="5" t="s">
        <v>2754</v>
      </c>
      <c r="G3703" s="5">
        <v>1</v>
      </c>
      <c r="H3703" s="5" t="s">
        <v>2854</v>
      </c>
      <c r="I3703" s="5" t="str">
        <f>IF(INDEX(Manual_Review!$L$6:$L$238,U3703)="","",INDEX(Manual_Review!$L$6:$L$238,U3703))</f>
        <v/>
      </c>
      <c r="J3703" s="5" t="str">
        <f t="shared" si="114"/>
        <v>AI provisional</v>
      </c>
      <c r="K3703" s="5" t="str">
        <f t="shared" si="115"/>
        <v>Y</v>
      </c>
      <c r="L3703" s="5" t="s">
        <v>2731</v>
      </c>
      <c r="M3703" s="5" t="s">
        <v>11129</v>
      </c>
      <c r="N3703" s="5" t="s">
        <v>11130</v>
      </c>
      <c r="O3703" s="5" t="s">
        <v>2996</v>
      </c>
      <c r="P3703" s="5" t="s">
        <v>2992</v>
      </c>
      <c r="Q3703" s="11">
        <v>46306.5</v>
      </c>
      <c r="R3703" s="6"/>
      <c r="S3703" s="6"/>
      <c r="T3703" s="6"/>
      <c r="U3703" s="5">
        <f>MATCH(B3703,Manual_Review!$A$6:$A$238,0)</f>
        <v>232</v>
      </c>
      <c r="V3703" s="5" t="str">
        <f>IF(INDEX(Manual_Review!$G$6:$G$238,U3703)="","",INDEX(Manual_Review!$G$6:$G$238,U3703))</f>
        <v/>
      </c>
      <c r="W3703" s="11" t="str">
        <f>IF(INDEX(Manual_Review!$H$6:$H$238,U3703)="","",INDEX(Manual_Review!$H$6:$H$238,U3703))</f>
        <v/>
      </c>
      <c r="X3703" s="5" t="str">
        <f>IF(INDEX(Manual_Review!$I$6:$I$238,U3703)="","",INDEX(Manual_Review!$I$6:$I$238,U3703))</f>
        <v/>
      </c>
      <c r="Y3703" s="5" t="s">
        <v>2859</v>
      </c>
    </row>
    <row r="3704" spans="1:25" ht="25.5">
      <c r="A3704" s="5" t="s">
        <v>11131</v>
      </c>
      <c r="B3704" s="5" t="s">
        <v>2717</v>
      </c>
      <c r="C3704" s="5" t="s">
        <v>2718</v>
      </c>
      <c r="D3704" s="5" t="s">
        <v>118</v>
      </c>
      <c r="E3704" s="5" t="s">
        <v>2783</v>
      </c>
      <c r="F3704" s="5" t="s">
        <v>2754</v>
      </c>
      <c r="G3704" s="5">
        <v>1</v>
      </c>
      <c r="H3704" s="5" t="s">
        <v>2854</v>
      </c>
      <c r="I3704" s="5" t="str">
        <f>IF(INDEX(Manual_Review!$M$6:$M$238,U3704)="","",INDEX(Manual_Review!$M$6:$M$238,U3704))</f>
        <v/>
      </c>
      <c r="J3704" s="5" t="str">
        <f t="shared" si="114"/>
        <v>AI provisional</v>
      </c>
      <c r="K3704" s="5" t="str">
        <f t="shared" si="115"/>
        <v>Y</v>
      </c>
      <c r="L3704" s="5" t="s">
        <v>2731</v>
      </c>
      <c r="M3704" s="5" t="s">
        <v>11132</v>
      </c>
      <c r="N3704" s="5" t="s">
        <v>11133</v>
      </c>
      <c r="O3704" s="5" t="s">
        <v>3000</v>
      </c>
      <c r="P3704" s="5" t="s">
        <v>2992</v>
      </c>
      <c r="Q3704" s="11">
        <v>46306.5</v>
      </c>
      <c r="R3704" s="6"/>
      <c r="S3704" s="6"/>
      <c r="T3704" s="6"/>
      <c r="U3704" s="5">
        <f>MATCH(B3704,Manual_Review!$A$6:$A$238,0)</f>
        <v>232</v>
      </c>
      <c r="V3704" s="5" t="str">
        <f>IF(INDEX(Manual_Review!$G$6:$G$238,U3704)="","",INDEX(Manual_Review!$G$6:$G$238,U3704))</f>
        <v/>
      </c>
      <c r="W3704" s="11" t="str">
        <f>IF(INDEX(Manual_Review!$H$6:$H$238,U3704)="","",INDEX(Manual_Review!$H$6:$H$238,U3704))</f>
        <v/>
      </c>
      <c r="X3704" s="5" t="str">
        <f>IF(INDEX(Manual_Review!$I$6:$I$238,U3704)="","",INDEX(Manual_Review!$I$6:$I$238,U3704))</f>
        <v/>
      </c>
      <c r="Y3704" s="5" t="s">
        <v>2859</v>
      </c>
    </row>
    <row r="3705" spans="1:25" ht="25.5">
      <c r="A3705" s="5" t="s">
        <v>11134</v>
      </c>
      <c r="B3705" s="5" t="s">
        <v>2717</v>
      </c>
      <c r="C3705" s="5" t="s">
        <v>2718</v>
      </c>
      <c r="D3705" s="5" t="s">
        <v>118</v>
      </c>
      <c r="E3705" s="5" t="s">
        <v>2784</v>
      </c>
      <c r="F3705" s="5" t="s">
        <v>2756</v>
      </c>
      <c r="G3705" s="5">
        <v>1</v>
      </c>
      <c r="H3705" s="5" t="s">
        <v>2854</v>
      </c>
      <c r="I3705" s="5" t="str">
        <f>IF(INDEX(Manual_Review!$N$6:$N$238,U3705)="","",INDEX(Manual_Review!$N$6:$N$238,U3705))</f>
        <v/>
      </c>
      <c r="J3705" s="5" t="str">
        <f t="shared" si="114"/>
        <v>AI provisional</v>
      </c>
      <c r="K3705" s="5" t="str">
        <f t="shared" si="115"/>
        <v>Y</v>
      </c>
      <c r="L3705" s="5" t="s">
        <v>2731</v>
      </c>
      <c r="M3705" s="5" t="s">
        <v>11135</v>
      </c>
      <c r="N3705" s="5" t="s">
        <v>11136</v>
      </c>
      <c r="O3705" s="5" t="s">
        <v>3004</v>
      </c>
      <c r="P3705" s="5" t="s">
        <v>2992</v>
      </c>
      <c r="Q3705" s="11">
        <v>46306.5</v>
      </c>
      <c r="R3705" s="6"/>
      <c r="S3705" s="6"/>
      <c r="T3705" s="6"/>
      <c r="U3705" s="5">
        <f>MATCH(B3705,Manual_Review!$A$6:$A$238,0)</f>
        <v>232</v>
      </c>
      <c r="V3705" s="5" t="str">
        <f>IF(INDEX(Manual_Review!$G$6:$G$238,U3705)="","",INDEX(Manual_Review!$G$6:$G$238,U3705))</f>
        <v/>
      </c>
      <c r="W3705" s="11" t="str">
        <f>IF(INDEX(Manual_Review!$H$6:$H$238,U3705)="","",INDEX(Manual_Review!$H$6:$H$238,U3705))</f>
        <v/>
      </c>
      <c r="X3705" s="5" t="str">
        <f>IF(INDEX(Manual_Review!$I$6:$I$238,U3705)="","",INDEX(Manual_Review!$I$6:$I$238,U3705))</f>
        <v/>
      </c>
      <c r="Y3705" s="5" t="s">
        <v>2859</v>
      </c>
    </row>
    <row r="3706" spans="1:25" ht="25.5">
      <c r="A3706" s="5" t="s">
        <v>11137</v>
      </c>
      <c r="B3706" s="5" t="s">
        <v>2717</v>
      </c>
      <c r="C3706" s="5" t="s">
        <v>2718</v>
      </c>
      <c r="D3706" s="5" t="s">
        <v>118</v>
      </c>
      <c r="E3706" s="5" t="s">
        <v>2785</v>
      </c>
      <c r="F3706" s="5" t="s">
        <v>2756</v>
      </c>
      <c r="G3706" s="5">
        <v>1</v>
      </c>
      <c r="H3706" s="5" t="s">
        <v>2864</v>
      </c>
      <c r="I3706" s="5" t="str">
        <f>IF(INDEX(Manual_Review!$O$6:$O$238,U3706)="","",INDEX(Manual_Review!$O$6:$O$238,U3706))</f>
        <v/>
      </c>
      <c r="J3706" s="5" t="str">
        <f t="shared" si="114"/>
        <v>AI provisional</v>
      </c>
      <c r="K3706" s="5" t="str">
        <f t="shared" si="115"/>
        <v>U</v>
      </c>
      <c r="L3706" s="5" t="s">
        <v>2731</v>
      </c>
      <c r="M3706" s="5" t="s">
        <v>11135</v>
      </c>
      <c r="N3706" s="5" t="s">
        <v>11136</v>
      </c>
      <c r="O3706" s="5" t="s">
        <v>3006</v>
      </c>
      <c r="P3706" s="5" t="s">
        <v>2992</v>
      </c>
      <c r="Q3706" s="11">
        <v>46306.5</v>
      </c>
      <c r="R3706" s="6"/>
      <c r="S3706" s="6"/>
      <c r="T3706" s="6"/>
      <c r="U3706" s="5">
        <f>MATCH(B3706,Manual_Review!$A$6:$A$238,0)</f>
        <v>232</v>
      </c>
      <c r="V3706" s="5" t="str">
        <f>IF(INDEX(Manual_Review!$G$6:$G$238,U3706)="","",INDEX(Manual_Review!$G$6:$G$238,U3706))</f>
        <v/>
      </c>
      <c r="W3706" s="11" t="str">
        <f>IF(INDEX(Manual_Review!$H$6:$H$238,U3706)="","",INDEX(Manual_Review!$H$6:$H$238,U3706))</f>
        <v/>
      </c>
      <c r="X3706" s="5" t="str">
        <f>IF(INDEX(Manual_Review!$I$6:$I$238,U3706)="","",INDEX(Manual_Review!$I$6:$I$238,U3706))</f>
        <v/>
      </c>
      <c r="Y3706" s="5" t="s">
        <v>2859</v>
      </c>
    </row>
    <row r="3707" spans="1:25" ht="25.5">
      <c r="A3707" s="5" t="s">
        <v>11138</v>
      </c>
      <c r="B3707" s="5" t="s">
        <v>2717</v>
      </c>
      <c r="C3707" s="5" t="s">
        <v>2718</v>
      </c>
      <c r="D3707" s="5" t="s">
        <v>118</v>
      </c>
      <c r="E3707" s="5" t="s">
        <v>2786</v>
      </c>
      <c r="F3707" s="5" t="s">
        <v>2756</v>
      </c>
      <c r="G3707" s="5">
        <v>1</v>
      </c>
      <c r="H3707" s="5" t="s">
        <v>2864</v>
      </c>
      <c r="I3707" s="5" t="str">
        <f>IF(INDEX(Manual_Review!$P$6:$P$238,U3707)="","",INDEX(Manual_Review!$P$6:$P$238,U3707))</f>
        <v/>
      </c>
      <c r="J3707" s="5" t="str">
        <f t="shared" si="114"/>
        <v>AI provisional</v>
      </c>
      <c r="K3707" s="5" t="str">
        <f t="shared" si="115"/>
        <v>U</v>
      </c>
      <c r="L3707" s="5" t="s">
        <v>2731</v>
      </c>
      <c r="M3707" s="5" t="s">
        <v>11139</v>
      </c>
      <c r="N3707" s="5" t="s">
        <v>11140</v>
      </c>
      <c r="O3707" s="5" t="s">
        <v>3010</v>
      </c>
      <c r="P3707" s="5" t="s">
        <v>2992</v>
      </c>
      <c r="Q3707" s="11">
        <v>46306.5</v>
      </c>
      <c r="R3707" s="6"/>
      <c r="S3707" s="6"/>
      <c r="T3707" s="6"/>
      <c r="U3707" s="5">
        <f>MATCH(B3707,Manual_Review!$A$6:$A$238,0)</f>
        <v>232</v>
      </c>
      <c r="V3707" s="5" t="str">
        <f>IF(INDEX(Manual_Review!$G$6:$G$238,U3707)="","",INDEX(Manual_Review!$G$6:$G$238,U3707))</f>
        <v/>
      </c>
      <c r="W3707" s="11" t="str">
        <f>IF(INDEX(Manual_Review!$H$6:$H$238,U3707)="","",INDEX(Manual_Review!$H$6:$H$238,U3707))</f>
        <v/>
      </c>
      <c r="X3707" s="5" t="str">
        <f>IF(INDEX(Manual_Review!$I$6:$I$238,U3707)="","",INDEX(Manual_Review!$I$6:$I$238,U3707))</f>
        <v/>
      </c>
      <c r="Y3707" s="5" t="s">
        <v>2859</v>
      </c>
    </row>
    <row r="3708" spans="1:25" ht="25.5">
      <c r="A3708" s="5" t="s">
        <v>11141</v>
      </c>
      <c r="B3708" s="5" t="s">
        <v>2717</v>
      </c>
      <c r="C3708" s="5" t="s">
        <v>2718</v>
      </c>
      <c r="D3708" s="5" t="s">
        <v>118</v>
      </c>
      <c r="E3708" s="5" t="s">
        <v>2787</v>
      </c>
      <c r="F3708" s="5" t="s">
        <v>2758</v>
      </c>
      <c r="G3708" s="5">
        <v>1</v>
      </c>
      <c r="H3708" s="5" t="s">
        <v>2854</v>
      </c>
      <c r="I3708" s="5" t="str">
        <f>IF(INDEX(Manual_Review!$Q$6:$Q$238,U3708)="","",INDEX(Manual_Review!$Q$6:$Q$238,U3708))</f>
        <v/>
      </c>
      <c r="J3708" s="5" t="str">
        <f t="shared" si="114"/>
        <v>AI provisional</v>
      </c>
      <c r="K3708" s="5" t="str">
        <f t="shared" si="115"/>
        <v>Y</v>
      </c>
      <c r="L3708" s="5" t="s">
        <v>2731</v>
      </c>
      <c r="M3708" s="5" t="s">
        <v>11142</v>
      </c>
      <c r="N3708" s="5" t="s">
        <v>11143</v>
      </c>
      <c r="O3708" s="5" t="s">
        <v>3819</v>
      </c>
      <c r="P3708" s="5" t="s">
        <v>2992</v>
      </c>
      <c r="Q3708" s="11">
        <v>46306.5</v>
      </c>
      <c r="R3708" s="6"/>
      <c r="S3708" s="6"/>
      <c r="T3708" s="6"/>
      <c r="U3708" s="5">
        <f>MATCH(B3708,Manual_Review!$A$6:$A$238,0)</f>
        <v>232</v>
      </c>
      <c r="V3708" s="5" t="str">
        <f>IF(INDEX(Manual_Review!$G$6:$G$238,U3708)="","",INDEX(Manual_Review!$G$6:$G$238,U3708))</f>
        <v/>
      </c>
      <c r="W3708" s="11" t="str">
        <f>IF(INDEX(Manual_Review!$H$6:$H$238,U3708)="","",INDEX(Manual_Review!$H$6:$H$238,U3708))</f>
        <v/>
      </c>
      <c r="X3708" s="5" t="str">
        <f>IF(INDEX(Manual_Review!$I$6:$I$238,U3708)="","",INDEX(Manual_Review!$I$6:$I$238,U3708))</f>
        <v/>
      </c>
      <c r="Y3708" s="5" t="s">
        <v>2859</v>
      </c>
    </row>
    <row r="3709" spans="1:25" ht="38.25">
      <c r="A3709" s="5" t="s">
        <v>11144</v>
      </c>
      <c r="B3709" s="5" t="s">
        <v>2717</v>
      </c>
      <c r="C3709" s="5" t="s">
        <v>2718</v>
      </c>
      <c r="D3709" s="5" t="s">
        <v>118</v>
      </c>
      <c r="E3709" s="5" t="s">
        <v>2788</v>
      </c>
      <c r="F3709" s="5" t="s">
        <v>2758</v>
      </c>
      <c r="G3709" s="5">
        <v>1</v>
      </c>
      <c r="H3709" s="5" t="s">
        <v>2854</v>
      </c>
      <c r="I3709" s="5" t="str">
        <f>IF(INDEX(Manual_Review!$R$6:$R$238,U3709)="","",INDEX(Manual_Review!$R$6:$R$238,U3709))</f>
        <v/>
      </c>
      <c r="J3709" s="5" t="str">
        <f t="shared" si="114"/>
        <v>AI provisional</v>
      </c>
      <c r="K3709" s="5" t="str">
        <f t="shared" si="115"/>
        <v>Y</v>
      </c>
      <c r="L3709" s="5" t="s">
        <v>2731</v>
      </c>
      <c r="M3709" s="5" t="s">
        <v>11145</v>
      </c>
      <c r="N3709" s="5" t="s">
        <v>11146</v>
      </c>
      <c r="O3709" s="5" t="s">
        <v>3018</v>
      </c>
      <c r="P3709" s="5" t="s">
        <v>2992</v>
      </c>
      <c r="Q3709" s="11">
        <v>46306.5</v>
      </c>
      <c r="R3709" s="6"/>
      <c r="S3709" s="6"/>
      <c r="T3709" s="6"/>
      <c r="U3709" s="5">
        <f>MATCH(B3709,Manual_Review!$A$6:$A$238,0)</f>
        <v>232</v>
      </c>
      <c r="V3709" s="5" t="str">
        <f>IF(INDEX(Manual_Review!$G$6:$G$238,U3709)="","",INDEX(Manual_Review!$G$6:$G$238,U3709))</f>
        <v/>
      </c>
      <c r="W3709" s="11" t="str">
        <f>IF(INDEX(Manual_Review!$H$6:$H$238,U3709)="","",INDEX(Manual_Review!$H$6:$H$238,U3709))</f>
        <v/>
      </c>
      <c r="X3709" s="5" t="str">
        <f>IF(INDEX(Manual_Review!$I$6:$I$238,U3709)="","",INDEX(Manual_Review!$I$6:$I$238,U3709))</f>
        <v/>
      </c>
      <c r="Y3709" s="5" t="s">
        <v>2859</v>
      </c>
    </row>
    <row r="3710" spans="1:25" ht="25.5">
      <c r="A3710" s="5" t="s">
        <v>11147</v>
      </c>
      <c r="B3710" s="5" t="s">
        <v>2717</v>
      </c>
      <c r="C3710" s="5" t="s">
        <v>2718</v>
      </c>
      <c r="D3710" s="5" t="s">
        <v>118</v>
      </c>
      <c r="E3710" s="5" t="s">
        <v>2789</v>
      </c>
      <c r="F3710" s="5" t="s">
        <v>2758</v>
      </c>
      <c r="G3710" s="5">
        <v>1</v>
      </c>
      <c r="H3710" s="5" t="s">
        <v>2854</v>
      </c>
      <c r="I3710" s="5" t="str">
        <f>IF(INDEX(Manual_Review!$S$6:$S$238,U3710)="","",INDEX(Manual_Review!$S$6:$S$238,U3710))</f>
        <v/>
      </c>
      <c r="J3710" s="5" t="str">
        <f t="shared" si="114"/>
        <v>AI provisional</v>
      </c>
      <c r="K3710" s="5" t="str">
        <f t="shared" si="115"/>
        <v>Y</v>
      </c>
      <c r="L3710" s="5" t="s">
        <v>2731</v>
      </c>
      <c r="M3710" s="5" t="s">
        <v>11148</v>
      </c>
      <c r="N3710" s="5" t="s">
        <v>11149</v>
      </c>
      <c r="O3710" s="5" t="s">
        <v>3022</v>
      </c>
      <c r="P3710" s="5" t="s">
        <v>2992</v>
      </c>
      <c r="Q3710" s="11">
        <v>46306.5</v>
      </c>
      <c r="R3710" s="6"/>
      <c r="S3710" s="6"/>
      <c r="T3710" s="6"/>
      <c r="U3710" s="5">
        <f>MATCH(B3710,Manual_Review!$A$6:$A$238,0)</f>
        <v>232</v>
      </c>
      <c r="V3710" s="5" t="str">
        <f>IF(INDEX(Manual_Review!$G$6:$G$238,U3710)="","",INDEX(Manual_Review!$G$6:$G$238,U3710))</f>
        <v/>
      </c>
      <c r="W3710" s="11" t="str">
        <f>IF(INDEX(Manual_Review!$H$6:$H$238,U3710)="","",INDEX(Manual_Review!$H$6:$H$238,U3710))</f>
        <v/>
      </c>
      <c r="X3710" s="5" t="str">
        <f>IF(INDEX(Manual_Review!$I$6:$I$238,U3710)="","",INDEX(Manual_Review!$I$6:$I$238,U3710))</f>
        <v/>
      </c>
      <c r="Y3710" s="5" t="s">
        <v>2859</v>
      </c>
    </row>
    <row r="3711" spans="1:25" ht="25.5">
      <c r="A3711" s="5" t="s">
        <v>11150</v>
      </c>
      <c r="B3711" s="5" t="s">
        <v>2717</v>
      </c>
      <c r="C3711" s="5" t="s">
        <v>2718</v>
      </c>
      <c r="D3711" s="5" t="s">
        <v>118</v>
      </c>
      <c r="E3711" s="5" t="s">
        <v>2790</v>
      </c>
      <c r="F3711" s="5" t="s">
        <v>2760</v>
      </c>
      <c r="G3711" s="5">
        <v>1</v>
      </c>
      <c r="H3711" s="5" t="s">
        <v>2854</v>
      </c>
      <c r="I3711" s="5" t="str">
        <f>IF(INDEX(Manual_Review!$T$6:$T$238,U3711)="","",INDEX(Manual_Review!$T$6:$T$238,U3711))</f>
        <v/>
      </c>
      <c r="J3711" s="5" t="str">
        <f t="shared" si="114"/>
        <v>AI provisional</v>
      </c>
      <c r="K3711" s="5" t="str">
        <f t="shared" si="115"/>
        <v>Y</v>
      </c>
      <c r="L3711" s="5" t="s">
        <v>2731</v>
      </c>
      <c r="M3711" s="5" t="s">
        <v>11151</v>
      </c>
      <c r="N3711" s="5" t="s">
        <v>11152</v>
      </c>
      <c r="O3711" s="5" t="s">
        <v>3451</v>
      </c>
      <c r="P3711" s="5" t="s">
        <v>2992</v>
      </c>
      <c r="Q3711" s="11">
        <v>46306.5</v>
      </c>
      <c r="R3711" s="6"/>
      <c r="S3711" s="6"/>
      <c r="T3711" s="6"/>
      <c r="U3711" s="5">
        <f>MATCH(B3711,Manual_Review!$A$6:$A$238,0)</f>
        <v>232</v>
      </c>
      <c r="V3711" s="5" t="str">
        <f>IF(INDEX(Manual_Review!$G$6:$G$238,U3711)="","",INDEX(Manual_Review!$G$6:$G$238,U3711))</f>
        <v/>
      </c>
      <c r="W3711" s="11" t="str">
        <f>IF(INDEX(Manual_Review!$H$6:$H$238,U3711)="","",INDEX(Manual_Review!$H$6:$H$238,U3711))</f>
        <v/>
      </c>
      <c r="X3711" s="5" t="str">
        <f>IF(INDEX(Manual_Review!$I$6:$I$238,U3711)="","",INDEX(Manual_Review!$I$6:$I$238,U3711))</f>
        <v/>
      </c>
      <c r="Y3711" s="5" t="s">
        <v>2859</v>
      </c>
    </row>
    <row r="3712" spans="1:25" ht="25.5">
      <c r="A3712" s="5" t="s">
        <v>11153</v>
      </c>
      <c r="B3712" s="5" t="s">
        <v>2717</v>
      </c>
      <c r="C3712" s="5" t="s">
        <v>2718</v>
      </c>
      <c r="D3712" s="5" t="s">
        <v>118</v>
      </c>
      <c r="E3712" s="5" t="s">
        <v>2791</v>
      </c>
      <c r="F3712" s="5" t="s">
        <v>2760</v>
      </c>
      <c r="G3712" s="5">
        <v>1</v>
      </c>
      <c r="H3712" s="5" t="s">
        <v>2864</v>
      </c>
      <c r="I3712" s="5" t="str">
        <f>IF(INDEX(Manual_Review!$U$6:$U$238,U3712)="","",INDEX(Manual_Review!$U$6:$U$238,U3712))</f>
        <v/>
      </c>
      <c r="J3712" s="5" t="str">
        <f t="shared" si="114"/>
        <v>AI provisional</v>
      </c>
      <c r="K3712" s="5" t="str">
        <f t="shared" si="115"/>
        <v>U</v>
      </c>
      <c r="L3712" s="5" t="s">
        <v>2731</v>
      </c>
      <c r="M3712" s="5" t="s">
        <v>11154</v>
      </c>
      <c r="N3712" s="5" t="s">
        <v>11155</v>
      </c>
      <c r="O3712" s="5" t="s">
        <v>3030</v>
      </c>
      <c r="P3712" s="5" t="s">
        <v>2992</v>
      </c>
      <c r="Q3712" s="11">
        <v>46306.5</v>
      </c>
      <c r="R3712" s="6"/>
      <c r="S3712" s="6"/>
      <c r="T3712" s="6"/>
      <c r="U3712" s="5">
        <f>MATCH(B3712,Manual_Review!$A$6:$A$238,0)</f>
        <v>232</v>
      </c>
      <c r="V3712" s="5" t="str">
        <f>IF(INDEX(Manual_Review!$G$6:$G$238,U3712)="","",INDEX(Manual_Review!$G$6:$G$238,U3712))</f>
        <v/>
      </c>
      <c r="W3712" s="11" t="str">
        <f>IF(INDEX(Manual_Review!$H$6:$H$238,U3712)="","",INDEX(Manual_Review!$H$6:$H$238,U3712))</f>
        <v/>
      </c>
      <c r="X3712" s="5" t="str">
        <f>IF(INDEX(Manual_Review!$I$6:$I$238,U3712)="","",INDEX(Manual_Review!$I$6:$I$238,U3712))</f>
        <v/>
      </c>
      <c r="Y3712" s="5" t="s">
        <v>2859</v>
      </c>
    </row>
    <row r="3713" spans="1:25" ht="25.5">
      <c r="A3713" s="5" t="s">
        <v>11156</v>
      </c>
      <c r="B3713" s="5" t="s">
        <v>2717</v>
      </c>
      <c r="C3713" s="5" t="s">
        <v>2718</v>
      </c>
      <c r="D3713" s="5" t="s">
        <v>118</v>
      </c>
      <c r="E3713" s="5" t="s">
        <v>2792</v>
      </c>
      <c r="F3713" s="5" t="s">
        <v>2762</v>
      </c>
      <c r="G3713" s="5">
        <v>1</v>
      </c>
      <c r="H3713" s="5" t="s">
        <v>2854</v>
      </c>
      <c r="I3713" s="5" t="str">
        <f>IF(INDEX(Manual_Review!$V$6:$V$238,U3713)="","",INDEX(Manual_Review!$V$6:$V$238,U3713))</f>
        <v/>
      </c>
      <c r="J3713" s="5" t="str">
        <f t="shared" si="114"/>
        <v>AI provisional</v>
      </c>
      <c r="K3713" s="5" t="str">
        <f t="shared" si="115"/>
        <v>Y</v>
      </c>
      <c r="L3713" s="5" t="s">
        <v>2731</v>
      </c>
      <c r="M3713" s="5" t="s">
        <v>11157</v>
      </c>
      <c r="N3713" s="5" t="s">
        <v>11158</v>
      </c>
      <c r="O3713" s="5" t="s">
        <v>3034</v>
      </c>
      <c r="P3713" s="5" t="s">
        <v>2992</v>
      </c>
      <c r="Q3713" s="11">
        <v>46306.5</v>
      </c>
      <c r="R3713" s="6"/>
      <c r="S3713" s="6"/>
      <c r="T3713" s="6"/>
      <c r="U3713" s="5">
        <f>MATCH(B3713,Manual_Review!$A$6:$A$238,0)</f>
        <v>232</v>
      </c>
      <c r="V3713" s="5" t="str">
        <f>IF(INDEX(Manual_Review!$G$6:$G$238,U3713)="","",INDEX(Manual_Review!$G$6:$G$238,U3713))</f>
        <v/>
      </c>
      <c r="W3713" s="11" t="str">
        <f>IF(INDEX(Manual_Review!$H$6:$H$238,U3713)="","",INDEX(Manual_Review!$H$6:$H$238,U3713))</f>
        <v/>
      </c>
      <c r="X3713" s="5" t="str">
        <f>IF(INDEX(Manual_Review!$I$6:$I$238,U3713)="","",INDEX(Manual_Review!$I$6:$I$238,U3713))</f>
        <v/>
      </c>
      <c r="Y3713" s="5" t="s">
        <v>2859</v>
      </c>
    </row>
    <row r="3714" spans="1:25" ht="38.25">
      <c r="A3714" s="5" t="s">
        <v>11159</v>
      </c>
      <c r="B3714" s="5" t="s">
        <v>2717</v>
      </c>
      <c r="C3714" s="5" t="s">
        <v>2718</v>
      </c>
      <c r="D3714" s="5" t="s">
        <v>118</v>
      </c>
      <c r="E3714" s="5" t="s">
        <v>2793</v>
      </c>
      <c r="F3714" s="5" t="s">
        <v>2762</v>
      </c>
      <c r="G3714" s="5">
        <v>1</v>
      </c>
      <c r="H3714" s="5" t="s">
        <v>2854</v>
      </c>
      <c r="I3714" s="5" t="str">
        <f>IF(INDEX(Manual_Review!$W$6:$W$238,U3714)="","",INDEX(Manual_Review!$W$6:$W$238,U3714))</f>
        <v/>
      </c>
      <c r="J3714" s="5" t="str">
        <f t="shared" si="114"/>
        <v>AI provisional</v>
      </c>
      <c r="K3714" s="5" t="str">
        <f t="shared" si="115"/>
        <v>Y</v>
      </c>
      <c r="L3714" s="5" t="s">
        <v>2731</v>
      </c>
      <c r="M3714" s="5" t="s">
        <v>11160</v>
      </c>
      <c r="N3714" s="5" t="s">
        <v>11161</v>
      </c>
      <c r="O3714" s="5" t="s">
        <v>3038</v>
      </c>
      <c r="P3714" s="5" t="s">
        <v>2992</v>
      </c>
      <c r="Q3714" s="11">
        <v>46306.5</v>
      </c>
      <c r="R3714" s="6"/>
      <c r="S3714" s="6"/>
      <c r="T3714" s="6"/>
      <c r="U3714" s="5">
        <f>MATCH(B3714,Manual_Review!$A$6:$A$238,0)</f>
        <v>232</v>
      </c>
      <c r="V3714" s="5" t="str">
        <f>IF(INDEX(Manual_Review!$G$6:$G$238,U3714)="","",INDEX(Manual_Review!$G$6:$G$238,U3714))</f>
        <v/>
      </c>
      <c r="W3714" s="11" t="str">
        <f>IF(INDEX(Manual_Review!$H$6:$H$238,U3714)="","",INDEX(Manual_Review!$H$6:$H$238,U3714))</f>
        <v/>
      </c>
      <c r="X3714" s="5" t="str">
        <f>IF(INDEX(Manual_Review!$I$6:$I$238,U3714)="","",INDEX(Manual_Review!$I$6:$I$238,U3714))</f>
        <v/>
      </c>
      <c r="Y3714" s="5" t="s">
        <v>2859</v>
      </c>
    </row>
    <row r="3715" spans="1:25" ht="25.5">
      <c r="A3715" s="5" t="s">
        <v>11162</v>
      </c>
      <c r="B3715" s="5" t="s">
        <v>2717</v>
      </c>
      <c r="C3715" s="5" t="s">
        <v>2718</v>
      </c>
      <c r="D3715" s="5" t="s">
        <v>118</v>
      </c>
      <c r="E3715" s="5" t="s">
        <v>2794</v>
      </c>
      <c r="F3715" s="5" t="s">
        <v>2764</v>
      </c>
      <c r="G3715" s="5">
        <v>1</v>
      </c>
      <c r="H3715" s="5" t="s">
        <v>2854</v>
      </c>
      <c r="I3715" s="5" t="str">
        <f>IF(INDEX(Manual_Review!$X$6:$X$238,U3715)="","",INDEX(Manual_Review!$X$6:$X$238,U3715))</f>
        <v/>
      </c>
      <c r="J3715" s="5" t="str">
        <f t="shared" si="114"/>
        <v>AI provisional</v>
      </c>
      <c r="K3715" s="5" t="str">
        <f t="shared" si="115"/>
        <v>Y</v>
      </c>
      <c r="L3715" s="5" t="s">
        <v>2731</v>
      </c>
      <c r="M3715" s="5" t="s">
        <v>11163</v>
      </c>
      <c r="N3715" s="5" t="s">
        <v>11164</v>
      </c>
      <c r="O3715" s="5" t="s">
        <v>3042</v>
      </c>
      <c r="P3715" s="5" t="s">
        <v>2992</v>
      </c>
      <c r="Q3715" s="11">
        <v>46306.5</v>
      </c>
      <c r="R3715" s="6"/>
      <c r="S3715" s="6"/>
      <c r="T3715" s="6"/>
      <c r="U3715" s="5">
        <f>MATCH(B3715,Manual_Review!$A$6:$A$238,0)</f>
        <v>232</v>
      </c>
      <c r="V3715" s="5" t="str">
        <f>IF(INDEX(Manual_Review!$G$6:$G$238,U3715)="","",INDEX(Manual_Review!$G$6:$G$238,U3715))</f>
        <v/>
      </c>
      <c r="W3715" s="11" t="str">
        <f>IF(INDEX(Manual_Review!$H$6:$H$238,U3715)="","",INDEX(Manual_Review!$H$6:$H$238,U3715))</f>
        <v/>
      </c>
      <c r="X3715" s="5" t="str">
        <f>IF(INDEX(Manual_Review!$I$6:$I$238,U3715)="","",INDEX(Manual_Review!$I$6:$I$238,U3715))</f>
        <v/>
      </c>
      <c r="Y3715" s="5" t="s">
        <v>2859</v>
      </c>
    </row>
    <row r="3716" spans="1:25" ht="25.5">
      <c r="A3716" s="5" t="s">
        <v>11165</v>
      </c>
      <c r="B3716" s="5" t="s">
        <v>2717</v>
      </c>
      <c r="C3716" s="5" t="s">
        <v>2718</v>
      </c>
      <c r="D3716" s="5" t="s">
        <v>118</v>
      </c>
      <c r="E3716" s="5" t="s">
        <v>2795</v>
      </c>
      <c r="F3716" s="5" t="s">
        <v>2764</v>
      </c>
      <c r="G3716" s="5">
        <v>1</v>
      </c>
      <c r="H3716" s="5" t="s">
        <v>2864</v>
      </c>
      <c r="I3716" s="5" t="str">
        <f>IF(INDEX(Manual_Review!$Y$6:$Y$238,U3716)="","",INDEX(Manual_Review!$Y$6:$Y$238,U3716))</f>
        <v/>
      </c>
      <c r="J3716" s="5" t="str">
        <f t="shared" si="114"/>
        <v>AI provisional</v>
      </c>
      <c r="K3716" s="5" t="str">
        <f t="shared" si="115"/>
        <v>U</v>
      </c>
      <c r="L3716" s="5" t="s">
        <v>2731</v>
      </c>
      <c r="M3716" s="5" t="s">
        <v>11166</v>
      </c>
      <c r="N3716" s="5" t="s">
        <v>11167</v>
      </c>
      <c r="O3716" s="5" t="s">
        <v>3469</v>
      </c>
      <c r="P3716" s="5" t="s">
        <v>2992</v>
      </c>
      <c r="Q3716" s="11">
        <v>46306.5</v>
      </c>
      <c r="R3716" s="6"/>
      <c r="S3716" s="6"/>
      <c r="T3716" s="6"/>
      <c r="U3716" s="5">
        <f>MATCH(B3716,Manual_Review!$A$6:$A$238,0)</f>
        <v>232</v>
      </c>
      <c r="V3716" s="5" t="str">
        <f>IF(INDEX(Manual_Review!$G$6:$G$238,U3716)="","",INDEX(Manual_Review!$G$6:$G$238,U3716))</f>
        <v/>
      </c>
      <c r="W3716" s="11" t="str">
        <f>IF(INDEX(Manual_Review!$H$6:$H$238,U3716)="","",INDEX(Manual_Review!$H$6:$H$238,U3716))</f>
        <v/>
      </c>
      <c r="X3716" s="5" t="str">
        <f>IF(INDEX(Manual_Review!$I$6:$I$238,U3716)="","",INDEX(Manual_Review!$I$6:$I$238,U3716))</f>
        <v/>
      </c>
      <c r="Y3716" s="5" t="s">
        <v>2859</v>
      </c>
    </row>
    <row r="3717" spans="1:25" ht="38.25">
      <c r="A3717" s="5" t="s">
        <v>11168</v>
      </c>
      <c r="B3717" s="5" t="s">
        <v>2717</v>
      </c>
      <c r="C3717" s="5" t="s">
        <v>2718</v>
      </c>
      <c r="D3717" s="5" t="s">
        <v>118</v>
      </c>
      <c r="E3717" s="5" t="s">
        <v>2796</v>
      </c>
      <c r="F3717" s="5" t="s">
        <v>2764</v>
      </c>
      <c r="G3717" s="5">
        <v>1</v>
      </c>
      <c r="H3717" s="5" t="s">
        <v>2854</v>
      </c>
      <c r="I3717" s="5" t="str">
        <f>IF(INDEX(Manual_Review!$Z$6:$Z$238,U3717)="","",INDEX(Manual_Review!$Z$6:$Z$238,U3717))</f>
        <v/>
      </c>
      <c r="J3717" s="5" t="str">
        <f t="shared" si="114"/>
        <v>AI provisional</v>
      </c>
      <c r="K3717" s="5" t="str">
        <f t="shared" si="115"/>
        <v>Y</v>
      </c>
      <c r="L3717" s="5" t="s">
        <v>2731</v>
      </c>
      <c r="M3717" s="5" t="s">
        <v>11169</v>
      </c>
      <c r="N3717" s="5" t="s">
        <v>11170</v>
      </c>
      <c r="O3717" s="5" t="s">
        <v>3960</v>
      </c>
      <c r="P3717" s="5" t="s">
        <v>2992</v>
      </c>
      <c r="Q3717" s="11">
        <v>46306.5</v>
      </c>
      <c r="R3717" s="6"/>
      <c r="S3717" s="6"/>
      <c r="T3717" s="6"/>
      <c r="U3717" s="5">
        <f>MATCH(B3717,Manual_Review!$A$6:$A$238,0)</f>
        <v>232</v>
      </c>
      <c r="V3717" s="5" t="str">
        <f>IF(INDEX(Manual_Review!$G$6:$G$238,U3717)="","",INDEX(Manual_Review!$G$6:$G$238,U3717))</f>
        <v/>
      </c>
      <c r="W3717" s="11" t="str">
        <f>IF(INDEX(Manual_Review!$H$6:$H$238,U3717)="","",INDEX(Manual_Review!$H$6:$H$238,U3717))</f>
        <v/>
      </c>
      <c r="X3717" s="5" t="str">
        <f>IF(INDEX(Manual_Review!$I$6:$I$238,U3717)="","",INDEX(Manual_Review!$I$6:$I$238,U3717))</f>
        <v/>
      </c>
      <c r="Y3717" s="5" t="s">
        <v>2859</v>
      </c>
    </row>
    <row r="3718" spans="1:25" ht="25.5">
      <c r="A3718" s="5" t="s">
        <v>11171</v>
      </c>
      <c r="B3718" s="5" t="s">
        <v>2733</v>
      </c>
      <c r="C3718" s="5" t="s">
        <v>2734</v>
      </c>
      <c r="D3718" s="5" t="s">
        <v>118</v>
      </c>
      <c r="E3718" s="5" t="s">
        <v>2781</v>
      </c>
      <c r="F3718" s="5" t="s">
        <v>2754</v>
      </c>
      <c r="G3718" s="5">
        <v>1</v>
      </c>
      <c r="H3718" s="5" t="s">
        <v>2854</v>
      </c>
      <c r="I3718" s="5" t="str">
        <f>IF(INDEX(Manual_Review!$K$6:$K$238,U3718)="","",INDEX(Manual_Review!$K$6:$K$238,U3718))</f>
        <v/>
      </c>
      <c r="J3718" s="5" t="str">
        <f t="shared" ref="J3718:J3781" si="116">IF(G3718=0,"Not applicable",IF(I3718="","AI provisional",IF(AND(OR(I3718="Y",I3718="N",I3718="U",I3718="X"),V3718&lt;&gt;"",ISNUMBER(W3718),W3718&gt;0,X3718="Confirmed",R3718&lt;&gt;"",S3718&lt;&gt;"",T3718&lt;&gt;""),"Human valid","Evidence needed")))</f>
        <v>AI provisional</v>
      </c>
      <c r="K3718" s="5" t="str">
        <f t="shared" ref="K3718:K3781" si="117">IF(G3718=0,"N/A",IF(I3718="",H3718,IF(J3718="Human valid",I3718,"U")))</f>
        <v>Y</v>
      </c>
      <c r="L3718" s="5" t="s">
        <v>2744</v>
      </c>
      <c r="M3718" s="5" t="s">
        <v>11172</v>
      </c>
      <c r="N3718" s="5" t="s">
        <v>11173</v>
      </c>
      <c r="O3718" s="5" t="s">
        <v>2991</v>
      </c>
      <c r="P3718" s="5" t="s">
        <v>2992</v>
      </c>
      <c r="Q3718" s="11">
        <v>46306.5</v>
      </c>
      <c r="R3718" s="6"/>
      <c r="S3718" s="6"/>
      <c r="T3718" s="6"/>
      <c r="U3718" s="5">
        <f>MATCH(B3718,Manual_Review!$A$6:$A$238,0)</f>
        <v>233</v>
      </c>
      <c r="V3718" s="5" t="str">
        <f>IF(INDEX(Manual_Review!$G$6:$G$238,U3718)="","",INDEX(Manual_Review!$G$6:$G$238,U3718))</f>
        <v/>
      </c>
      <c r="W3718" s="11" t="str">
        <f>IF(INDEX(Manual_Review!$H$6:$H$238,U3718)="","",INDEX(Manual_Review!$H$6:$H$238,U3718))</f>
        <v/>
      </c>
      <c r="X3718" s="5" t="str">
        <f>IF(INDEX(Manual_Review!$I$6:$I$238,U3718)="","",INDEX(Manual_Review!$I$6:$I$238,U3718))</f>
        <v/>
      </c>
      <c r="Y3718" s="5" t="s">
        <v>2859</v>
      </c>
    </row>
    <row r="3719" spans="1:25" ht="25.5">
      <c r="A3719" s="5" t="s">
        <v>11174</v>
      </c>
      <c r="B3719" s="5" t="s">
        <v>2733</v>
      </c>
      <c r="C3719" s="5" t="s">
        <v>2734</v>
      </c>
      <c r="D3719" s="5" t="s">
        <v>118</v>
      </c>
      <c r="E3719" s="5" t="s">
        <v>2782</v>
      </c>
      <c r="F3719" s="5" t="s">
        <v>2754</v>
      </c>
      <c r="G3719" s="5">
        <v>1</v>
      </c>
      <c r="H3719" s="5" t="s">
        <v>2854</v>
      </c>
      <c r="I3719" s="5" t="str">
        <f>IF(INDEX(Manual_Review!$L$6:$L$238,U3719)="","",INDEX(Manual_Review!$L$6:$L$238,U3719))</f>
        <v/>
      </c>
      <c r="J3719" s="5" t="str">
        <f t="shared" si="116"/>
        <v>AI provisional</v>
      </c>
      <c r="K3719" s="5" t="str">
        <f t="shared" si="117"/>
        <v>Y</v>
      </c>
      <c r="L3719" s="5" t="s">
        <v>2744</v>
      </c>
      <c r="M3719" s="5" t="s">
        <v>11175</v>
      </c>
      <c r="N3719" s="5" t="s">
        <v>11176</v>
      </c>
      <c r="O3719" s="5" t="s">
        <v>2996</v>
      </c>
      <c r="P3719" s="5" t="s">
        <v>2992</v>
      </c>
      <c r="Q3719" s="11">
        <v>46306.5</v>
      </c>
      <c r="R3719" s="6"/>
      <c r="S3719" s="6"/>
      <c r="T3719" s="6"/>
      <c r="U3719" s="5">
        <f>MATCH(B3719,Manual_Review!$A$6:$A$238,0)</f>
        <v>233</v>
      </c>
      <c r="V3719" s="5" t="str">
        <f>IF(INDEX(Manual_Review!$G$6:$G$238,U3719)="","",INDEX(Manual_Review!$G$6:$G$238,U3719))</f>
        <v/>
      </c>
      <c r="W3719" s="11" t="str">
        <f>IF(INDEX(Manual_Review!$H$6:$H$238,U3719)="","",INDEX(Manual_Review!$H$6:$H$238,U3719))</f>
        <v/>
      </c>
      <c r="X3719" s="5" t="str">
        <f>IF(INDEX(Manual_Review!$I$6:$I$238,U3719)="","",INDEX(Manual_Review!$I$6:$I$238,U3719))</f>
        <v/>
      </c>
      <c r="Y3719" s="5" t="s">
        <v>2859</v>
      </c>
    </row>
    <row r="3720" spans="1:25" ht="25.5">
      <c r="A3720" s="5" t="s">
        <v>11177</v>
      </c>
      <c r="B3720" s="5" t="s">
        <v>2733</v>
      </c>
      <c r="C3720" s="5" t="s">
        <v>2734</v>
      </c>
      <c r="D3720" s="5" t="s">
        <v>118</v>
      </c>
      <c r="E3720" s="5" t="s">
        <v>2783</v>
      </c>
      <c r="F3720" s="5" t="s">
        <v>2754</v>
      </c>
      <c r="G3720" s="5">
        <v>1</v>
      </c>
      <c r="H3720" s="5" t="s">
        <v>2854</v>
      </c>
      <c r="I3720" s="5" t="str">
        <f>IF(INDEX(Manual_Review!$M$6:$M$238,U3720)="","",INDEX(Manual_Review!$M$6:$M$238,U3720))</f>
        <v/>
      </c>
      <c r="J3720" s="5" t="str">
        <f t="shared" si="116"/>
        <v>AI provisional</v>
      </c>
      <c r="K3720" s="5" t="str">
        <f t="shared" si="117"/>
        <v>Y</v>
      </c>
      <c r="L3720" s="5" t="s">
        <v>2744</v>
      </c>
      <c r="M3720" s="5" t="s">
        <v>11178</v>
      </c>
      <c r="N3720" s="5" t="s">
        <v>11179</v>
      </c>
      <c r="O3720" s="5" t="s">
        <v>3000</v>
      </c>
      <c r="P3720" s="5" t="s">
        <v>2992</v>
      </c>
      <c r="Q3720" s="11">
        <v>46306.5</v>
      </c>
      <c r="R3720" s="6"/>
      <c r="S3720" s="6"/>
      <c r="T3720" s="6"/>
      <c r="U3720" s="5">
        <f>MATCH(B3720,Manual_Review!$A$6:$A$238,0)</f>
        <v>233</v>
      </c>
      <c r="V3720" s="5" t="str">
        <f>IF(INDEX(Manual_Review!$G$6:$G$238,U3720)="","",INDEX(Manual_Review!$G$6:$G$238,U3720))</f>
        <v/>
      </c>
      <c r="W3720" s="11" t="str">
        <f>IF(INDEX(Manual_Review!$H$6:$H$238,U3720)="","",INDEX(Manual_Review!$H$6:$H$238,U3720))</f>
        <v/>
      </c>
      <c r="X3720" s="5" t="str">
        <f>IF(INDEX(Manual_Review!$I$6:$I$238,U3720)="","",INDEX(Manual_Review!$I$6:$I$238,U3720))</f>
        <v/>
      </c>
      <c r="Y3720" s="5" t="s">
        <v>2859</v>
      </c>
    </row>
    <row r="3721" spans="1:25" ht="25.5">
      <c r="A3721" s="5" t="s">
        <v>11180</v>
      </c>
      <c r="B3721" s="5" t="s">
        <v>2733</v>
      </c>
      <c r="C3721" s="5" t="s">
        <v>2734</v>
      </c>
      <c r="D3721" s="5" t="s">
        <v>118</v>
      </c>
      <c r="E3721" s="5" t="s">
        <v>2784</v>
      </c>
      <c r="F3721" s="5" t="s">
        <v>2756</v>
      </c>
      <c r="G3721" s="5">
        <v>1</v>
      </c>
      <c r="H3721" s="5" t="s">
        <v>2854</v>
      </c>
      <c r="I3721" s="5" t="str">
        <f>IF(INDEX(Manual_Review!$N$6:$N$238,U3721)="","",INDEX(Manual_Review!$N$6:$N$238,U3721))</f>
        <v/>
      </c>
      <c r="J3721" s="5" t="str">
        <f t="shared" si="116"/>
        <v>AI provisional</v>
      </c>
      <c r="K3721" s="5" t="str">
        <f t="shared" si="117"/>
        <v>Y</v>
      </c>
      <c r="L3721" s="5" t="s">
        <v>2744</v>
      </c>
      <c r="M3721" s="5" t="s">
        <v>11181</v>
      </c>
      <c r="N3721" s="5" t="s">
        <v>11182</v>
      </c>
      <c r="O3721" s="5" t="s">
        <v>3004</v>
      </c>
      <c r="P3721" s="5" t="s">
        <v>2992</v>
      </c>
      <c r="Q3721" s="11">
        <v>46306.5</v>
      </c>
      <c r="R3721" s="6"/>
      <c r="S3721" s="6"/>
      <c r="T3721" s="6"/>
      <c r="U3721" s="5">
        <f>MATCH(B3721,Manual_Review!$A$6:$A$238,0)</f>
        <v>233</v>
      </c>
      <c r="V3721" s="5" t="str">
        <f>IF(INDEX(Manual_Review!$G$6:$G$238,U3721)="","",INDEX(Manual_Review!$G$6:$G$238,U3721))</f>
        <v/>
      </c>
      <c r="W3721" s="11" t="str">
        <f>IF(INDEX(Manual_Review!$H$6:$H$238,U3721)="","",INDEX(Manual_Review!$H$6:$H$238,U3721))</f>
        <v/>
      </c>
      <c r="X3721" s="5" t="str">
        <f>IF(INDEX(Manual_Review!$I$6:$I$238,U3721)="","",INDEX(Manual_Review!$I$6:$I$238,U3721))</f>
        <v/>
      </c>
      <c r="Y3721" s="5" t="s">
        <v>2859</v>
      </c>
    </row>
    <row r="3722" spans="1:25" ht="25.5">
      <c r="A3722" s="5" t="s">
        <v>11183</v>
      </c>
      <c r="B3722" s="5" t="s">
        <v>2733</v>
      </c>
      <c r="C3722" s="5" t="s">
        <v>2734</v>
      </c>
      <c r="D3722" s="5" t="s">
        <v>118</v>
      </c>
      <c r="E3722" s="5" t="s">
        <v>2785</v>
      </c>
      <c r="F3722" s="5" t="s">
        <v>2756</v>
      </c>
      <c r="G3722" s="5">
        <v>1</v>
      </c>
      <c r="H3722" s="5" t="s">
        <v>2864</v>
      </c>
      <c r="I3722" s="5" t="str">
        <f>IF(INDEX(Manual_Review!$O$6:$O$238,U3722)="","",INDEX(Manual_Review!$O$6:$O$238,U3722))</f>
        <v/>
      </c>
      <c r="J3722" s="5" t="str">
        <f t="shared" si="116"/>
        <v>AI provisional</v>
      </c>
      <c r="K3722" s="5" t="str">
        <f t="shared" si="117"/>
        <v>U</v>
      </c>
      <c r="L3722" s="5" t="s">
        <v>2744</v>
      </c>
      <c r="M3722" s="5" t="s">
        <v>11181</v>
      </c>
      <c r="N3722" s="5" t="s">
        <v>11182</v>
      </c>
      <c r="O3722" s="5" t="s">
        <v>3006</v>
      </c>
      <c r="P3722" s="5" t="s">
        <v>2992</v>
      </c>
      <c r="Q3722" s="11">
        <v>46306.5</v>
      </c>
      <c r="R3722" s="6"/>
      <c r="S3722" s="6"/>
      <c r="T3722" s="6"/>
      <c r="U3722" s="5">
        <f>MATCH(B3722,Manual_Review!$A$6:$A$238,0)</f>
        <v>233</v>
      </c>
      <c r="V3722" s="5" t="str">
        <f>IF(INDEX(Manual_Review!$G$6:$G$238,U3722)="","",INDEX(Manual_Review!$G$6:$G$238,U3722))</f>
        <v/>
      </c>
      <c r="W3722" s="11" t="str">
        <f>IF(INDEX(Manual_Review!$H$6:$H$238,U3722)="","",INDEX(Manual_Review!$H$6:$H$238,U3722))</f>
        <v/>
      </c>
      <c r="X3722" s="5" t="str">
        <f>IF(INDEX(Manual_Review!$I$6:$I$238,U3722)="","",INDEX(Manual_Review!$I$6:$I$238,U3722))</f>
        <v/>
      </c>
      <c r="Y3722" s="5" t="s">
        <v>2859</v>
      </c>
    </row>
    <row r="3723" spans="1:25" ht="25.5">
      <c r="A3723" s="5" t="s">
        <v>11184</v>
      </c>
      <c r="B3723" s="5" t="s">
        <v>2733</v>
      </c>
      <c r="C3723" s="5" t="s">
        <v>2734</v>
      </c>
      <c r="D3723" s="5" t="s">
        <v>118</v>
      </c>
      <c r="E3723" s="5" t="s">
        <v>2786</v>
      </c>
      <c r="F3723" s="5" t="s">
        <v>2756</v>
      </c>
      <c r="G3723" s="5">
        <v>1</v>
      </c>
      <c r="H3723" s="5" t="s">
        <v>2864</v>
      </c>
      <c r="I3723" s="5" t="str">
        <f>IF(INDEX(Manual_Review!$P$6:$P$238,U3723)="","",INDEX(Manual_Review!$P$6:$P$238,U3723))</f>
        <v/>
      </c>
      <c r="J3723" s="5" t="str">
        <f t="shared" si="116"/>
        <v>AI provisional</v>
      </c>
      <c r="K3723" s="5" t="str">
        <f t="shared" si="117"/>
        <v>U</v>
      </c>
      <c r="L3723" s="5" t="s">
        <v>2744</v>
      </c>
      <c r="M3723" s="5" t="s">
        <v>11185</v>
      </c>
      <c r="N3723" s="5" t="s">
        <v>11186</v>
      </c>
      <c r="O3723" s="5" t="s">
        <v>3010</v>
      </c>
      <c r="P3723" s="5" t="s">
        <v>2992</v>
      </c>
      <c r="Q3723" s="11">
        <v>46306.5</v>
      </c>
      <c r="R3723" s="6"/>
      <c r="S3723" s="6"/>
      <c r="T3723" s="6"/>
      <c r="U3723" s="5">
        <f>MATCH(B3723,Manual_Review!$A$6:$A$238,0)</f>
        <v>233</v>
      </c>
      <c r="V3723" s="5" t="str">
        <f>IF(INDEX(Manual_Review!$G$6:$G$238,U3723)="","",INDEX(Manual_Review!$G$6:$G$238,U3723))</f>
        <v/>
      </c>
      <c r="W3723" s="11" t="str">
        <f>IF(INDEX(Manual_Review!$H$6:$H$238,U3723)="","",INDEX(Manual_Review!$H$6:$H$238,U3723))</f>
        <v/>
      </c>
      <c r="X3723" s="5" t="str">
        <f>IF(INDEX(Manual_Review!$I$6:$I$238,U3723)="","",INDEX(Manual_Review!$I$6:$I$238,U3723))</f>
        <v/>
      </c>
      <c r="Y3723" s="5" t="s">
        <v>2859</v>
      </c>
    </row>
    <row r="3724" spans="1:25" ht="25.5">
      <c r="A3724" s="5" t="s">
        <v>11187</v>
      </c>
      <c r="B3724" s="5" t="s">
        <v>2733</v>
      </c>
      <c r="C3724" s="5" t="s">
        <v>2734</v>
      </c>
      <c r="D3724" s="5" t="s">
        <v>118</v>
      </c>
      <c r="E3724" s="5" t="s">
        <v>2787</v>
      </c>
      <c r="F3724" s="5" t="s">
        <v>2758</v>
      </c>
      <c r="G3724" s="5">
        <v>1</v>
      </c>
      <c r="H3724" s="5" t="s">
        <v>2854</v>
      </c>
      <c r="I3724" s="5" t="str">
        <f>IF(INDEX(Manual_Review!$Q$6:$Q$238,U3724)="","",INDEX(Manual_Review!$Q$6:$Q$238,U3724))</f>
        <v/>
      </c>
      <c r="J3724" s="5" t="str">
        <f t="shared" si="116"/>
        <v>AI provisional</v>
      </c>
      <c r="K3724" s="5" t="str">
        <f t="shared" si="117"/>
        <v>Y</v>
      </c>
      <c r="L3724" s="5" t="s">
        <v>2744</v>
      </c>
      <c r="M3724" s="5" t="s">
        <v>11188</v>
      </c>
      <c r="N3724" s="5" t="s">
        <v>11189</v>
      </c>
      <c r="O3724" s="5" t="s">
        <v>3819</v>
      </c>
      <c r="P3724" s="5" t="s">
        <v>2992</v>
      </c>
      <c r="Q3724" s="11">
        <v>46306.5</v>
      </c>
      <c r="R3724" s="6"/>
      <c r="S3724" s="6"/>
      <c r="T3724" s="6"/>
      <c r="U3724" s="5">
        <f>MATCH(B3724,Manual_Review!$A$6:$A$238,0)</f>
        <v>233</v>
      </c>
      <c r="V3724" s="5" t="str">
        <f>IF(INDEX(Manual_Review!$G$6:$G$238,U3724)="","",INDEX(Manual_Review!$G$6:$G$238,U3724))</f>
        <v/>
      </c>
      <c r="W3724" s="11" t="str">
        <f>IF(INDEX(Manual_Review!$H$6:$H$238,U3724)="","",INDEX(Manual_Review!$H$6:$H$238,U3724))</f>
        <v/>
      </c>
      <c r="X3724" s="5" t="str">
        <f>IF(INDEX(Manual_Review!$I$6:$I$238,U3724)="","",INDEX(Manual_Review!$I$6:$I$238,U3724))</f>
        <v/>
      </c>
      <c r="Y3724" s="5" t="s">
        <v>2859</v>
      </c>
    </row>
    <row r="3725" spans="1:25" ht="51">
      <c r="A3725" s="5" t="s">
        <v>11190</v>
      </c>
      <c r="B3725" s="5" t="s">
        <v>2733</v>
      </c>
      <c r="C3725" s="5" t="s">
        <v>2734</v>
      </c>
      <c r="D3725" s="5" t="s">
        <v>118</v>
      </c>
      <c r="E3725" s="5" t="s">
        <v>2788</v>
      </c>
      <c r="F3725" s="5" t="s">
        <v>2758</v>
      </c>
      <c r="G3725" s="5">
        <v>1</v>
      </c>
      <c r="H3725" s="5" t="s">
        <v>2854</v>
      </c>
      <c r="I3725" s="5" t="str">
        <f>IF(INDEX(Manual_Review!$R$6:$R$238,U3725)="","",INDEX(Manual_Review!$R$6:$R$238,U3725))</f>
        <v/>
      </c>
      <c r="J3725" s="5" t="str">
        <f t="shared" si="116"/>
        <v>AI provisional</v>
      </c>
      <c r="K3725" s="5" t="str">
        <f t="shared" si="117"/>
        <v>Y</v>
      </c>
      <c r="L3725" s="5" t="s">
        <v>2744</v>
      </c>
      <c r="M3725" s="5" t="s">
        <v>11191</v>
      </c>
      <c r="N3725" s="5" t="s">
        <v>11192</v>
      </c>
      <c r="O3725" s="5" t="s">
        <v>3018</v>
      </c>
      <c r="P3725" s="5" t="s">
        <v>2992</v>
      </c>
      <c r="Q3725" s="11">
        <v>46306.5</v>
      </c>
      <c r="R3725" s="6"/>
      <c r="S3725" s="6"/>
      <c r="T3725" s="6"/>
      <c r="U3725" s="5">
        <f>MATCH(B3725,Manual_Review!$A$6:$A$238,0)</f>
        <v>233</v>
      </c>
      <c r="V3725" s="5" t="str">
        <f>IF(INDEX(Manual_Review!$G$6:$G$238,U3725)="","",INDEX(Manual_Review!$G$6:$G$238,U3725))</f>
        <v/>
      </c>
      <c r="W3725" s="11" t="str">
        <f>IF(INDEX(Manual_Review!$H$6:$H$238,U3725)="","",INDEX(Manual_Review!$H$6:$H$238,U3725))</f>
        <v/>
      </c>
      <c r="X3725" s="5" t="str">
        <f>IF(INDEX(Manual_Review!$I$6:$I$238,U3725)="","",INDEX(Manual_Review!$I$6:$I$238,U3725))</f>
        <v/>
      </c>
      <c r="Y3725" s="5" t="s">
        <v>2859</v>
      </c>
    </row>
    <row r="3726" spans="1:25" ht="25.5">
      <c r="A3726" s="5" t="s">
        <v>11193</v>
      </c>
      <c r="B3726" s="5" t="s">
        <v>2733</v>
      </c>
      <c r="C3726" s="5" t="s">
        <v>2734</v>
      </c>
      <c r="D3726" s="5" t="s">
        <v>118</v>
      </c>
      <c r="E3726" s="5" t="s">
        <v>2789</v>
      </c>
      <c r="F3726" s="5" t="s">
        <v>2758</v>
      </c>
      <c r="G3726" s="5">
        <v>1</v>
      </c>
      <c r="H3726" s="5" t="s">
        <v>2854</v>
      </c>
      <c r="I3726" s="5" t="str">
        <f>IF(INDEX(Manual_Review!$S$6:$S$238,U3726)="","",INDEX(Manual_Review!$S$6:$S$238,U3726))</f>
        <v/>
      </c>
      <c r="J3726" s="5" t="str">
        <f t="shared" si="116"/>
        <v>AI provisional</v>
      </c>
      <c r="K3726" s="5" t="str">
        <f t="shared" si="117"/>
        <v>Y</v>
      </c>
      <c r="L3726" s="5" t="s">
        <v>2744</v>
      </c>
      <c r="M3726" s="5" t="s">
        <v>11194</v>
      </c>
      <c r="N3726" s="5" t="s">
        <v>11195</v>
      </c>
      <c r="O3726" s="5" t="s">
        <v>3022</v>
      </c>
      <c r="P3726" s="5" t="s">
        <v>2992</v>
      </c>
      <c r="Q3726" s="11">
        <v>46306.5</v>
      </c>
      <c r="R3726" s="6"/>
      <c r="S3726" s="6"/>
      <c r="T3726" s="6"/>
      <c r="U3726" s="5">
        <f>MATCH(B3726,Manual_Review!$A$6:$A$238,0)</f>
        <v>233</v>
      </c>
      <c r="V3726" s="5" t="str">
        <f>IF(INDEX(Manual_Review!$G$6:$G$238,U3726)="","",INDEX(Manual_Review!$G$6:$G$238,U3726))</f>
        <v/>
      </c>
      <c r="W3726" s="11" t="str">
        <f>IF(INDEX(Manual_Review!$H$6:$H$238,U3726)="","",INDEX(Manual_Review!$H$6:$H$238,U3726))</f>
        <v/>
      </c>
      <c r="X3726" s="5" t="str">
        <f>IF(INDEX(Manual_Review!$I$6:$I$238,U3726)="","",INDEX(Manual_Review!$I$6:$I$238,U3726))</f>
        <v/>
      </c>
      <c r="Y3726" s="5" t="s">
        <v>2859</v>
      </c>
    </row>
    <row r="3727" spans="1:25" ht="25.5">
      <c r="A3727" s="5" t="s">
        <v>11196</v>
      </c>
      <c r="B3727" s="5" t="s">
        <v>2733</v>
      </c>
      <c r="C3727" s="5" t="s">
        <v>2734</v>
      </c>
      <c r="D3727" s="5" t="s">
        <v>118</v>
      </c>
      <c r="E3727" s="5" t="s">
        <v>2790</v>
      </c>
      <c r="F3727" s="5" t="s">
        <v>2760</v>
      </c>
      <c r="G3727" s="5">
        <v>1</v>
      </c>
      <c r="H3727" s="5" t="s">
        <v>2854</v>
      </c>
      <c r="I3727" s="5" t="str">
        <f>IF(INDEX(Manual_Review!$T$6:$T$238,U3727)="","",INDEX(Manual_Review!$T$6:$T$238,U3727))</f>
        <v/>
      </c>
      <c r="J3727" s="5" t="str">
        <f t="shared" si="116"/>
        <v>AI provisional</v>
      </c>
      <c r="K3727" s="5" t="str">
        <f t="shared" si="117"/>
        <v>Y</v>
      </c>
      <c r="L3727" s="5" t="s">
        <v>2744</v>
      </c>
      <c r="M3727" s="5" t="s">
        <v>11197</v>
      </c>
      <c r="N3727" s="5" t="s">
        <v>11198</v>
      </c>
      <c r="O3727" s="5" t="s">
        <v>3451</v>
      </c>
      <c r="P3727" s="5" t="s">
        <v>2992</v>
      </c>
      <c r="Q3727" s="11">
        <v>46306.5</v>
      </c>
      <c r="R3727" s="6"/>
      <c r="S3727" s="6"/>
      <c r="T3727" s="6"/>
      <c r="U3727" s="5">
        <f>MATCH(B3727,Manual_Review!$A$6:$A$238,0)</f>
        <v>233</v>
      </c>
      <c r="V3727" s="5" t="str">
        <f>IF(INDEX(Manual_Review!$G$6:$G$238,U3727)="","",INDEX(Manual_Review!$G$6:$G$238,U3727))</f>
        <v/>
      </c>
      <c r="W3727" s="11" t="str">
        <f>IF(INDEX(Manual_Review!$H$6:$H$238,U3727)="","",INDEX(Manual_Review!$H$6:$H$238,U3727))</f>
        <v/>
      </c>
      <c r="X3727" s="5" t="str">
        <f>IF(INDEX(Manual_Review!$I$6:$I$238,U3727)="","",INDEX(Manual_Review!$I$6:$I$238,U3727))</f>
        <v/>
      </c>
      <c r="Y3727" s="5" t="s">
        <v>2859</v>
      </c>
    </row>
    <row r="3728" spans="1:25" ht="25.5">
      <c r="A3728" s="5" t="s">
        <v>11199</v>
      </c>
      <c r="B3728" s="5" t="s">
        <v>2733</v>
      </c>
      <c r="C3728" s="5" t="s">
        <v>2734</v>
      </c>
      <c r="D3728" s="5" t="s">
        <v>118</v>
      </c>
      <c r="E3728" s="5" t="s">
        <v>2791</v>
      </c>
      <c r="F3728" s="5" t="s">
        <v>2760</v>
      </c>
      <c r="G3728" s="5">
        <v>1</v>
      </c>
      <c r="H3728" s="5" t="s">
        <v>2854</v>
      </c>
      <c r="I3728" s="5" t="str">
        <f>IF(INDEX(Manual_Review!$U$6:$U$238,U3728)="","",INDEX(Manual_Review!$U$6:$U$238,U3728))</f>
        <v/>
      </c>
      <c r="J3728" s="5" t="str">
        <f t="shared" si="116"/>
        <v>AI provisional</v>
      </c>
      <c r="K3728" s="5" t="str">
        <f t="shared" si="117"/>
        <v>Y</v>
      </c>
      <c r="L3728" s="5" t="s">
        <v>2744</v>
      </c>
      <c r="M3728" s="5" t="s">
        <v>11200</v>
      </c>
      <c r="N3728" s="5" t="s">
        <v>11201</v>
      </c>
      <c r="O3728" s="5" t="s">
        <v>3832</v>
      </c>
      <c r="P3728" s="5" t="s">
        <v>2992</v>
      </c>
      <c r="Q3728" s="11">
        <v>46306.5</v>
      </c>
      <c r="R3728" s="6"/>
      <c r="S3728" s="6"/>
      <c r="T3728" s="6"/>
      <c r="U3728" s="5">
        <f>MATCH(B3728,Manual_Review!$A$6:$A$238,0)</f>
        <v>233</v>
      </c>
      <c r="V3728" s="5" t="str">
        <f>IF(INDEX(Manual_Review!$G$6:$G$238,U3728)="","",INDEX(Manual_Review!$G$6:$G$238,U3728))</f>
        <v/>
      </c>
      <c r="W3728" s="11" t="str">
        <f>IF(INDEX(Manual_Review!$H$6:$H$238,U3728)="","",INDEX(Manual_Review!$H$6:$H$238,U3728))</f>
        <v/>
      </c>
      <c r="X3728" s="5" t="str">
        <f>IF(INDEX(Manual_Review!$I$6:$I$238,U3728)="","",INDEX(Manual_Review!$I$6:$I$238,U3728))</f>
        <v/>
      </c>
      <c r="Y3728" s="5" t="s">
        <v>2859</v>
      </c>
    </row>
    <row r="3729" spans="1:25" ht="25.5">
      <c r="A3729" s="5" t="s">
        <v>11202</v>
      </c>
      <c r="B3729" s="5" t="s">
        <v>2733</v>
      </c>
      <c r="C3729" s="5" t="s">
        <v>2734</v>
      </c>
      <c r="D3729" s="5" t="s">
        <v>118</v>
      </c>
      <c r="E3729" s="5" t="s">
        <v>2792</v>
      </c>
      <c r="F3729" s="5" t="s">
        <v>2762</v>
      </c>
      <c r="G3729" s="5">
        <v>1</v>
      </c>
      <c r="H3729" s="5" t="s">
        <v>2854</v>
      </c>
      <c r="I3729" s="5" t="str">
        <f>IF(INDEX(Manual_Review!$V$6:$V$238,U3729)="","",INDEX(Manual_Review!$V$6:$V$238,U3729))</f>
        <v/>
      </c>
      <c r="J3729" s="5" t="str">
        <f t="shared" si="116"/>
        <v>AI provisional</v>
      </c>
      <c r="K3729" s="5" t="str">
        <f t="shared" si="117"/>
        <v>Y</v>
      </c>
      <c r="L3729" s="5" t="s">
        <v>2744</v>
      </c>
      <c r="M3729" s="5" t="s">
        <v>11203</v>
      </c>
      <c r="N3729" s="5" t="s">
        <v>11204</v>
      </c>
      <c r="O3729" s="5" t="s">
        <v>3034</v>
      </c>
      <c r="P3729" s="5" t="s">
        <v>2992</v>
      </c>
      <c r="Q3729" s="11">
        <v>46306.5</v>
      </c>
      <c r="R3729" s="6"/>
      <c r="S3729" s="6"/>
      <c r="T3729" s="6"/>
      <c r="U3729" s="5">
        <f>MATCH(B3729,Manual_Review!$A$6:$A$238,0)</f>
        <v>233</v>
      </c>
      <c r="V3729" s="5" t="str">
        <f>IF(INDEX(Manual_Review!$G$6:$G$238,U3729)="","",INDEX(Manual_Review!$G$6:$G$238,U3729))</f>
        <v/>
      </c>
      <c r="W3729" s="11" t="str">
        <f>IF(INDEX(Manual_Review!$H$6:$H$238,U3729)="","",INDEX(Manual_Review!$H$6:$H$238,U3729))</f>
        <v/>
      </c>
      <c r="X3729" s="5" t="str">
        <f>IF(INDEX(Manual_Review!$I$6:$I$238,U3729)="","",INDEX(Manual_Review!$I$6:$I$238,U3729))</f>
        <v/>
      </c>
      <c r="Y3729" s="5" t="s">
        <v>2859</v>
      </c>
    </row>
    <row r="3730" spans="1:25" ht="38.25">
      <c r="A3730" s="5" t="s">
        <v>11205</v>
      </c>
      <c r="B3730" s="5" t="s">
        <v>2733</v>
      </c>
      <c r="C3730" s="5" t="s">
        <v>2734</v>
      </c>
      <c r="D3730" s="5" t="s">
        <v>118</v>
      </c>
      <c r="E3730" s="5" t="s">
        <v>2793</v>
      </c>
      <c r="F3730" s="5" t="s">
        <v>2762</v>
      </c>
      <c r="G3730" s="5">
        <v>1</v>
      </c>
      <c r="H3730" s="5" t="s">
        <v>2854</v>
      </c>
      <c r="I3730" s="5" t="str">
        <f>IF(INDEX(Manual_Review!$W$6:$W$238,U3730)="","",INDEX(Manual_Review!$W$6:$W$238,U3730))</f>
        <v/>
      </c>
      <c r="J3730" s="5" t="str">
        <f t="shared" si="116"/>
        <v>AI provisional</v>
      </c>
      <c r="K3730" s="5" t="str">
        <f t="shared" si="117"/>
        <v>Y</v>
      </c>
      <c r="L3730" s="5" t="s">
        <v>2744</v>
      </c>
      <c r="M3730" s="5" t="s">
        <v>11206</v>
      </c>
      <c r="N3730" s="5" t="s">
        <v>11207</v>
      </c>
      <c r="O3730" s="5" t="s">
        <v>3038</v>
      </c>
      <c r="P3730" s="5" t="s">
        <v>2992</v>
      </c>
      <c r="Q3730" s="11">
        <v>46306.5</v>
      </c>
      <c r="R3730" s="6"/>
      <c r="S3730" s="6"/>
      <c r="T3730" s="6"/>
      <c r="U3730" s="5">
        <f>MATCH(B3730,Manual_Review!$A$6:$A$238,0)</f>
        <v>233</v>
      </c>
      <c r="V3730" s="5" t="str">
        <f>IF(INDEX(Manual_Review!$G$6:$G$238,U3730)="","",INDEX(Manual_Review!$G$6:$G$238,U3730))</f>
        <v/>
      </c>
      <c r="W3730" s="11" t="str">
        <f>IF(INDEX(Manual_Review!$H$6:$H$238,U3730)="","",INDEX(Manual_Review!$H$6:$H$238,U3730))</f>
        <v/>
      </c>
      <c r="X3730" s="5" t="str">
        <f>IF(INDEX(Manual_Review!$I$6:$I$238,U3730)="","",INDEX(Manual_Review!$I$6:$I$238,U3730))</f>
        <v/>
      </c>
      <c r="Y3730" s="5" t="s">
        <v>2859</v>
      </c>
    </row>
    <row r="3731" spans="1:25" ht="25.5">
      <c r="A3731" s="5" t="s">
        <v>11208</v>
      </c>
      <c r="B3731" s="5" t="s">
        <v>2733</v>
      </c>
      <c r="C3731" s="5" t="s">
        <v>2734</v>
      </c>
      <c r="D3731" s="5" t="s">
        <v>118</v>
      </c>
      <c r="E3731" s="5" t="s">
        <v>2794</v>
      </c>
      <c r="F3731" s="5" t="s">
        <v>2764</v>
      </c>
      <c r="G3731" s="5">
        <v>1</v>
      </c>
      <c r="H3731" s="5" t="s">
        <v>2854</v>
      </c>
      <c r="I3731" s="5" t="str">
        <f>IF(INDEX(Manual_Review!$X$6:$X$238,U3731)="","",INDEX(Manual_Review!$X$6:$X$238,U3731))</f>
        <v/>
      </c>
      <c r="J3731" s="5" t="str">
        <f t="shared" si="116"/>
        <v>AI provisional</v>
      </c>
      <c r="K3731" s="5" t="str">
        <f t="shared" si="117"/>
        <v>Y</v>
      </c>
      <c r="L3731" s="5" t="s">
        <v>2744</v>
      </c>
      <c r="M3731" s="5" t="s">
        <v>11209</v>
      </c>
      <c r="N3731" s="5" t="s">
        <v>11210</v>
      </c>
      <c r="O3731" s="5" t="s">
        <v>3042</v>
      </c>
      <c r="P3731" s="5" t="s">
        <v>2992</v>
      </c>
      <c r="Q3731" s="11">
        <v>46306.5</v>
      </c>
      <c r="R3731" s="6"/>
      <c r="S3731" s="6"/>
      <c r="T3731" s="6"/>
      <c r="U3731" s="5">
        <f>MATCH(B3731,Manual_Review!$A$6:$A$238,0)</f>
        <v>233</v>
      </c>
      <c r="V3731" s="5" t="str">
        <f>IF(INDEX(Manual_Review!$G$6:$G$238,U3731)="","",INDEX(Manual_Review!$G$6:$G$238,U3731))</f>
        <v/>
      </c>
      <c r="W3731" s="11" t="str">
        <f>IF(INDEX(Manual_Review!$H$6:$H$238,U3731)="","",INDEX(Manual_Review!$H$6:$H$238,U3731))</f>
        <v/>
      </c>
      <c r="X3731" s="5" t="str">
        <f>IF(INDEX(Manual_Review!$I$6:$I$238,U3731)="","",INDEX(Manual_Review!$I$6:$I$238,U3731))</f>
        <v/>
      </c>
      <c r="Y3731" s="5" t="s">
        <v>2859</v>
      </c>
    </row>
    <row r="3732" spans="1:25" ht="25.5">
      <c r="A3732" s="5" t="s">
        <v>11211</v>
      </c>
      <c r="B3732" s="5" t="s">
        <v>2733</v>
      </c>
      <c r="C3732" s="5" t="s">
        <v>2734</v>
      </c>
      <c r="D3732" s="5" t="s">
        <v>118</v>
      </c>
      <c r="E3732" s="5" t="s">
        <v>2795</v>
      </c>
      <c r="F3732" s="5" t="s">
        <v>2764</v>
      </c>
      <c r="G3732" s="5">
        <v>1</v>
      </c>
      <c r="H3732" s="5" t="s">
        <v>2864</v>
      </c>
      <c r="I3732" s="5" t="str">
        <f>IF(INDEX(Manual_Review!$Y$6:$Y$238,U3732)="","",INDEX(Manual_Review!$Y$6:$Y$238,U3732))</f>
        <v/>
      </c>
      <c r="J3732" s="5" t="str">
        <f t="shared" si="116"/>
        <v>AI provisional</v>
      </c>
      <c r="K3732" s="5" t="str">
        <f t="shared" si="117"/>
        <v>U</v>
      </c>
      <c r="L3732" s="5" t="s">
        <v>2744</v>
      </c>
      <c r="M3732" s="5" t="s">
        <v>11212</v>
      </c>
      <c r="N3732" s="5" t="s">
        <v>11213</v>
      </c>
      <c r="O3732" s="5" t="s">
        <v>11214</v>
      </c>
      <c r="P3732" s="5" t="s">
        <v>2992</v>
      </c>
      <c r="Q3732" s="11">
        <v>46306.5</v>
      </c>
      <c r="R3732" s="6"/>
      <c r="S3732" s="6"/>
      <c r="T3732" s="6"/>
      <c r="U3732" s="5">
        <f>MATCH(B3732,Manual_Review!$A$6:$A$238,0)</f>
        <v>233</v>
      </c>
      <c r="V3732" s="5" t="str">
        <f>IF(INDEX(Manual_Review!$G$6:$G$238,U3732)="","",INDEX(Manual_Review!$G$6:$G$238,U3732))</f>
        <v/>
      </c>
      <c r="W3732" s="11" t="str">
        <f>IF(INDEX(Manual_Review!$H$6:$H$238,U3732)="","",INDEX(Manual_Review!$H$6:$H$238,U3732))</f>
        <v/>
      </c>
      <c r="X3732" s="5" t="str">
        <f>IF(INDEX(Manual_Review!$I$6:$I$238,U3732)="","",INDEX(Manual_Review!$I$6:$I$238,U3732))</f>
        <v/>
      </c>
      <c r="Y3732" s="5" t="s">
        <v>2859</v>
      </c>
    </row>
    <row r="3733" spans="1:25" ht="38.25">
      <c r="A3733" s="5" t="s">
        <v>11215</v>
      </c>
      <c r="B3733" s="5" t="s">
        <v>2733</v>
      </c>
      <c r="C3733" s="5" t="s">
        <v>2734</v>
      </c>
      <c r="D3733" s="5" t="s">
        <v>118</v>
      </c>
      <c r="E3733" s="5" t="s">
        <v>2796</v>
      </c>
      <c r="F3733" s="5" t="s">
        <v>2764</v>
      </c>
      <c r="G3733" s="5">
        <v>1</v>
      </c>
      <c r="H3733" s="5" t="s">
        <v>2854</v>
      </c>
      <c r="I3733" s="5" t="str">
        <f>IF(INDEX(Manual_Review!$Z$6:$Z$238,U3733)="","",INDEX(Manual_Review!$Z$6:$Z$238,U3733))</f>
        <v/>
      </c>
      <c r="J3733" s="5" t="str">
        <f t="shared" si="116"/>
        <v>AI provisional</v>
      </c>
      <c r="K3733" s="5" t="str">
        <f t="shared" si="117"/>
        <v>Y</v>
      </c>
      <c r="L3733" s="5" t="s">
        <v>2744</v>
      </c>
      <c r="M3733" s="5" t="s">
        <v>11216</v>
      </c>
      <c r="N3733" s="5" t="s">
        <v>11217</v>
      </c>
      <c r="O3733" s="5" t="s">
        <v>3960</v>
      </c>
      <c r="P3733" s="5" t="s">
        <v>2992</v>
      </c>
      <c r="Q3733" s="11">
        <v>46306.5</v>
      </c>
      <c r="R3733" s="6"/>
      <c r="S3733" s="6"/>
      <c r="T3733" s="6"/>
      <c r="U3733" s="5">
        <f>MATCH(B3733,Manual_Review!$A$6:$A$238,0)</f>
        <v>233</v>
      </c>
      <c r="V3733" s="5" t="str">
        <f>IF(INDEX(Manual_Review!$G$6:$G$238,U3733)="","",INDEX(Manual_Review!$G$6:$G$238,U3733))</f>
        <v/>
      </c>
      <c r="W3733" s="11" t="str">
        <f>IF(INDEX(Manual_Review!$H$6:$H$238,U3733)="","",INDEX(Manual_Review!$H$6:$H$238,U3733))</f>
        <v/>
      </c>
      <c r="X3733" s="5" t="str">
        <f>IF(INDEX(Manual_Review!$I$6:$I$238,U3733)="","",INDEX(Manual_Review!$I$6:$I$238,U3733))</f>
        <v/>
      </c>
      <c r="Y3733" s="5" t="s">
        <v>2859</v>
      </c>
    </row>
  </sheetData>
  <conditionalFormatting sqref="J6:K3733">
    <cfRule type="containsText" dxfId="0" priority="1" operator="containsText" text="Evidence needed"/>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34" customWidth="1"/>
    <col min="2" max="2" width="23" customWidth="1"/>
    <col min="3" max="3" width="25" customWidth="1"/>
    <col min="4" max="4" width="26" customWidth="1"/>
  </cols>
  <sheetData>
    <row r="1" spans="1:4" ht="12" customHeight="1">
      <c r="A1" s="1"/>
      <c r="B1" s="1"/>
      <c r="C1" s="1"/>
      <c r="D1" s="1"/>
    </row>
    <row r="2" spans="1:4" ht="24" customHeight="1">
      <c r="A2" s="2" t="s">
        <v>11218</v>
      </c>
      <c r="B2" s="1"/>
      <c r="C2" s="1"/>
      <c r="D2" s="1"/>
    </row>
    <row r="3" spans="1:4" ht="21" customHeight="1">
      <c r="A3" s="3" t="s">
        <v>11219</v>
      </c>
      <c r="B3" s="1"/>
      <c r="C3" s="1"/>
      <c r="D3" s="1"/>
    </row>
    <row r="4" spans="1:4" ht="9.9499999999999993" customHeight="1">
      <c r="A4" s="1"/>
      <c r="B4" s="1"/>
      <c r="C4" s="1"/>
      <c r="D4" s="1"/>
    </row>
    <row r="5" spans="1:4" ht="42.95" customHeight="1">
      <c r="A5" s="4" t="s">
        <v>11220</v>
      </c>
      <c r="B5" s="4" t="s">
        <v>11221</v>
      </c>
      <c r="C5" s="4" t="s">
        <v>11222</v>
      </c>
      <c r="D5" s="4" t="s">
        <v>11223</v>
      </c>
    </row>
    <row r="6" spans="1:4">
      <c r="A6" s="5" t="s">
        <v>129</v>
      </c>
      <c r="B6" s="5">
        <f>COUNTIF(Platform_Unique!$C$6:$C$266,A6)</f>
        <v>57</v>
      </c>
      <c r="C6" s="5">
        <f>COUNTIFS(Platform_Unique!$C$6:$C$266,A6,Platform_Unique!$D$6:$D$266,1)</f>
        <v>44</v>
      </c>
      <c r="D6" s="5">
        <f t="shared" ref="D6:D12" si="0">B6-C6</f>
        <v>13</v>
      </c>
    </row>
    <row r="7" spans="1:4">
      <c r="A7" s="5" t="s">
        <v>1065</v>
      </c>
      <c r="B7" s="5">
        <f>COUNTIF(Platform_Unique!$C$6:$C$266,A7)</f>
        <v>30</v>
      </c>
      <c r="C7" s="5">
        <f>COUNTIFS(Platform_Unique!$C$6:$C$266,A7,Platform_Unique!$D$6:$D$266,1)</f>
        <v>25</v>
      </c>
      <c r="D7" s="5">
        <f t="shared" si="0"/>
        <v>5</v>
      </c>
    </row>
    <row r="8" spans="1:4">
      <c r="A8" s="5" t="s">
        <v>1286</v>
      </c>
      <c r="B8" s="5">
        <f>COUNTIF(Platform_Unique!$C$6:$C$266,A8)</f>
        <v>36</v>
      </c>
      <c r="C8" s="5">
        <f>COUNTIFS(Platform_Unique!$C$6:$C$266,A8,Platform_Unique!$D$6:$D$266,1)</f>
        <v>30</v>
      </c>
      <c r="D8" s="5">
        <f t="shared" si="0"/>
        <v>6</v>
      </c>
    </row>
    <row r="9" spans="1:4">
      <c r="A9" s="5" t="s">
        <v>1607</v>
      </c>
      <c r="B9" s="5">
        <f>COUNTIF(Platform_Unique!$C$6:$C$266,A9)</f>
        <v>49</v>
      </c>
      <c r="C9" s="5">
        <f>COUNTIFS(Platform_Unique!$C$6:$C$266,A9,Platform_Unique!$D$6:$D$266,1)</f>
        <v>36</v>
      </c>
      <c r="D9" s="5">
        <f t="shared" si="0"/>
        <v>13</v>
      </c>
    </row>
    <row r="10" spans="1:4">
      <c r="A10" s="5" t="s">
        <v>562</v>
      </c>
      <c r="B10" s="5">
        <f>COUNTIF(Platform_Unique!$C$6:$C$266,A10)</f>
        <v>42</v>
      </c>
      <c r="C10" s="5">
        <f>COUNTIFS(Platform_Unique!$C$6:$C$266,A10,Platform_Unique!$D$6:$D$266,1)</f>
        <v>34</v>
      </c>
      <c r="D10" s="5">
        <f t="shared" si="0"/>
        <v>8</v>
      </c>
    </row>
    <row r="11" spans="1:4">
      <c r="A11" s="5" t="s">
        <v>11224</v>
      </c>
      <c r="B11" s="5">
        <f>COUNTIF(Platform_Unique!$C$6:$C$266,A11)</f>
        <v>1</v>
      </c>
      <c r="C11" s="5">
        <f>COUNTIFS(Platform_Unique!$C$6:$C$266,A11,Platform_Unique!$D$6:$D$266,1)</f>
        <v>0</v>
      </c>
      <c r="D11" s="5">
        <f t="shared" si="0"/>
        <v>1</v>
      </c>
    </row>
    <row r="12" spans="1:4">
      <c r="A12" s="5" t="s">
        <v>659</v>
      </c>
      <c r="B12" s="5">
        <f>COUNTIF(Platform_Unique!$C$6:$C$266,A12)</f>
        <v>46</v>
      </c>
      <c r="C12" s="5">
        <f>COUNTIFS(Platform_Unique!$C$6:$C$266,A12,Platform_Unique!$D$6:$D$266,1)</f>
        <v>38</v>
      </c>
      <c r="D12" s="5">
        <f t="shared" si="0"/>
        <v>8</v>
      </c>
    </row>
    <row r="15" spans="1:4">
      <c r="A15" t="s">
        <v>11225</v>
      </c>
      <c r="B15">
        <v>248</v>
      </c>
    </row>
    <row r="16" spans="1:4">
      <c r="A16" t="s">
        <v>11226</v>
      </c>
      <c r="B16">
        <v>15</v>
      </c>
    </row>
    <row r="17" spans="1:2">
      <c r="A17" t="s">
        <v>11227</v>
      </c>
      <c r="B17">
        <v>233</v>
      </c>
    </row>
    <row r="18" spans="1:2">
      <c r="A18" t="s">
        <v>11228</v>
      </c>
      <c r="B18">
        <v>56</v>
      </c>
    </row>
    <row r="20" spans="1:2">
      <c r="A20" t="s">
        <v>11229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36" customWidth="1"/>
    <col min="2" max="2" width="24" customWidth="1"/>
    <col min="3" max="3" width="115" customWidth="1"/>
  </cols>
  <sheetData>
    <row r="1" spans="1:3" ht="12" customHeight="1">
      <c r="A1" s="1"/>
      <c r="B1" s="1"/>
      <c r="C1" s="1"/>
    </row>
    <row r="2" spans="1:3" ht="24" customHeight="1">
      <c r="A2" s="2" t="s">
        <v>11230</v>
      </c>
      <c r="B2" s="1"/>
      <c r="C2" s="1"/>
    </row>
    <row r="3" spans="1:3" ht="21" customHeight="1">
      <c r="A3" s="3" t="s">
        <v>11231</v>
      </c>
      <c r="B3" s="1"/>
      <c r="C3" s="1"/>
    </row>
    <row r="4" spans="1:3" ht="9.9499999999999993" customHeight="1">
      <c r="A4" s="1"/>
      <c r="B4" s="1"/>
      <c r="C4" s="1"/>
    </row>
    <row r="5" spans="1:3" ht="42.95" customHeight="1">
      <c r="A5" s="4" t="s">
        <v>11232</v>
      </c>
      <c r="B5" s="4" t="s">
        <v>11233</v>
      </c>
      <c r="C5" s="4" t="s">
        <v>11234</v>
      </c>
    </row>
    <row r="6" spans="1:3">
      <c r="A6" s="5" t="s">
        <v>11235</v>
      </c>
      <c r="B6" s="5">
        <v>132</v>
      </c>
      <c r="C6" s="5" t="s">
        <v>11236</v>
      </c>
    </row>
    <row r="7" spans="1:3">
      <c r="A7" s="5" t="s">
        <v>11237</v>
      </c>
      <c r="B7" s="5">
        <v>65</v>
      </c>
      <c r="C7" s="5" t="s">
        <v>11236</v>
      </c>
    </row>
    <row r="8" spans="1:3">
      <c r="A8" s="5" t="s">
        <v>11238</v>
      </c>
      <c r="B8" s="5">
        <v>34</v>
      </c>
      <c r="C8" s="5" t="s">
        <v>11236</v>
      </c>
    </row>
    <row r="9" spans="1:3">
      <c r="A9" s="5" t="s">
        <v>11239</v>
      </c>
      <c r="B9" s="5">
        <v>13</v>
      </c>
      <c r="C9" s="5" t="s">
        <v>11236</v>
      </c>
    </row>
    <row r="10" spans="1:3">
      <c r="A10" s="5" t="s">
        <v>11240</v>
      </c>
      <c r="B10" s="5">
        <v>71</v>
      </c>
      <c r="C10" s="5" t="s">
        <v>11241</v>
      </c>
    </row>
    <row r="11" spans="1:3">
      <c r="A11" s="5" t="s">
        <v>11242</v>
      </c>
      <c r="B11" s="5">
        <v>233</v>
      </c>
      <c r="C11" s="5" t="s">
        <v>11243</v>
      </c>
    </row>
    <row r="12" spans="1:3">
      <c r="A12" s="5" t="s">
        <v>11244</v>
      </c>
      <c r="B12" s="5">
        <v>10</v>
      </c>
      <c r="C12" s="5" t="s">
        <v>11245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6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3" customWidth="1"/>
    <col min="2" max="2" width="52" customWidth="1"/>
    <col min="3" max="3" width="33" customWidth="1"/>
    <col min="4" max="4" width="18" customWidth="1"/>
    <col min="5" max="5" width="24" customWidth="1"/>
    <col min="6" max="6" width="60" customWidth="1"/>
    <col min="7" max="7" width="42" customWidth="1"/>
  </cols>
  <sheetData>
    <row r="1" spans="1:7" ht="12" customHeight="1">
      <c r="A1" s="1"/>
      <c r="B1" s="1"/>
      <c r="C1" s="1"/>
      <c r="D1" s="1"/>
      <c r="E1" s="1"/>
      <c r="F1" s="1"/>
      <c r="G1" s="1"/>
    </row>
    <row r="2" spans="1:7" ht="24" customHeight="1">
      <c r="A2" s="2" t="s">
        <v>11246</v>
      </c>
      <c r="B2" s="1"/>
      <c r="C2" s="1"/>
      <c r="D2" s="1"/>
      <c r="E2" s="1"/>
      <c r="F2" s="1"/>
      <c r="G2" s="1"/>
    </row>
    <row r="3" spans="1:7" ht="21" customHeight="1">
      <c r="A3" s="3" t="s">
        <v>11247</v>
      </c>
      <c r="B3" s="1"/>
      <c r="C3" s="1"/>
      <c r="D3" s="1"/>
      <c r="E3" s="1"/>
      <c r="F3" s="1"/>
      <c r="G3" s="1"/>
    </row>
    <row r="4" spans="1:7" ht="9.9499999999999993" customHeight="1">
      <c r="A4" s="1"/>
      <c r="B4" s="1"/>
      <c r="C4" s="1"/>
      <c r="D4" s="1"/>
      <c r="E4" s="1"/>
      <c r="F4" s="1"/>
      <c r="G4" s="1"/>
    </row>
    <row r="5" spans="1:7" ht="42.95" customHeight="1">
      <c r="A5" s="4" t="s">
        <v>3</v>
      </c>
      <c r="B5" s="4" t="s">
        <v>4</v>
      </c>
      <c r="C5" s="4" t="s">
        <v>11220</v>
      </c>
      <c r="D5" s="4" t="s">
        <v>11248</v>
      </c>
      <c r="E5" s="4" t="s">
        <v>11249</v>
      </c>
      <c r="F5" s="4" t="s">
        <v>9</v>
      </c>
      <c r="G5" s="4" t="s">
        <v>106</v>
      </c>
    </row>
    <row r="6" spans="1:7">
      <c r="A6" s="5" t="s">
        <v>116</v>
      </c>
      <c r="B6" s="5" t="s">
        <v>117</v>
      </c>
      <c r="C6" s="5" t="s">
        <v>129</v>
      </c>
      <c r="D6" s="5">
        <v>1</v>
      </c>
      <c r="E6" s="5" t="s">
        <v>11250</v>
      </c>
      <c r="F6" s="5" t="str">
        <f>HYPERLINK("https://github.com/summoners29/Asphalt-Pavement-Crack-Data","Dataset")</f>
        <v>Dataset</v>
      </c>
      <c r="G6" s="5" t="s">
        <v>116</v>
      </c>
    </row>
    <row r="7" spans="1:7">
      <c r="A7" s="5" t="s">
        <v>132</v>
      </c>
      <c r="B7" s="5" t="s">
        <v>133</v>
      </c>
      <c r="C7" s="5" t="s">
        <v>129</v>
      </c>
      <c r="D7" s="5">
        <v>1</v>
      </c>
      <c r="E7" s="5" t="s">
        <v>11250</v>
      </c>
      <c r="F7" s="5" t="str">
        <f>HYPERLINK("https://github.com/Oct-Sunn/Asphalt-Pavement-Distress-Dataset","Dataset")</f>
        <v>Dataset</v>
      </c>
      <c r="G7" s="5" t="s">
        <v>132</v>
      </c>
    </row>
    <row r="8" spans="1:7">
      <c r="A8" s="5" t="s">
        <v>142</v>
      </c>
      <c r="B8" s="5" t="s">
        <v>143</v>
      </c>
      <c r="C8" s="5" t="s">
        <v>129</v>
      </c>
      <c r="D8" s="5">
        <v>1</v>
      </c>
      <c r="E8" s="5" t="s">
        <v>11250</v>
      </c>
      <c r="F8" s="5" t="str">
        <f>HYPERLINK("https://github.com/DrEdwardLee/Pavement-Crack-Dataset","Dataset")</f>
        <v>Dataset</v>
      </c>
      <c r="G8" s="5" t="s">
        <v>142</v>
      </c>
    </row>
    <row r="9" spans="1:7">
      <c r="A9" s="5" t="s">
        <v>152</v>
      </c>
      <c r="B9" s="5" t="s">
        <v>153</v>
      </c>
      <c r="C9" s="5" t="s">
        <v>129</v>
      </c>
      <c r="D9" s="5">
        <v>1</v>
      </c>
      <c r="E9" s="5" t="s">
        <v>11250</v>
      </c>
      <c r="F9" s="5" t="str">
        <f>HYPERLINK("https://github.com/SEU-zhc/complexPavementCrackDataset","Dataset")</f>
        <v>Dataset</v>
      </c>
      <c r="G9" s="5" t="s">
        <v>152</v>
      </c>
    </row>
    <row r="10" spans="1:7" ht="25.5">
      <c r="A10" s="5" t="s">
        <v>165</v>
      </c>
      <c r="B10" s="5" t="s">
        <v>166</v>
      </c>
      <c r="C10" s="5" t="s">
        <v>1065</v>
      </c>
      <c r="D10" s="5">
        <v>2</v>
      </c>
      <c r="E10" s="5" t="s">
        <v>11251</v>
      </c>
      <c r="F10" s="5" t="str">
        <f>HYPERLINK("https://huggingface.co/datasets/Dearcat/CQU-BPDD","Dataset")</f>
        <v>Dataset</v>
      </c>
      <c r="G10" s="5" t="s">
        <v>179</v>
      </c>
    </row>
    <row r="11" spans="1:7" ht="25.5">
      <c r="A11" s="5" t="s">
        <v>165</v>
      </c>
      <c r="B11" s="5" t="s">
        <v>166</v>
      </c>
      <c r="C11" s="5" t="s">
        <v>129</v>
      </c>
      <c r="D11" s="5">
        <v>2</v>
      </c>
      <c r="E11" s="5" t="s">
        <v>11251</v>
      </c>
      <c r="F11" s="5" t="str">
        <f>HYPERLINK("https://huggingface.co/datasets/Dearcat/CQU-BPDD","Dataset")</f>
        <v>Dataset</v>
      </c>
      <c r="G11" s="5" t="s">
        <v>179</v>
      </c>
    </row>
    <row r="12" spans="1:7">
      <c r="A12" s="5" t="s">
        <v>187</v>
      </c>
      <c r="B12" s="5" t="s">
        <v>188</v>
      </c>
      <c r="C12" s="5" t="s">
        <v>129</v>
      </c>
      <c r="D12" s="5">
        <v>1</v>
      </c>
      <c r="E12" s="5" t="s">
        <v>11250</v>
      </c>
      <c r="F12" s="5" t="str">
        <f>HYPERLINK("https://github.com/0110TJY/Crack-Classification-Dataset","Dataset")</f>
        <v>Dataset</v>
      </c>
      <c r="G12" s="5" t="s">
        <v>187</v>
      </c>
    </row>
    <row r="13" spans="1:7">
      <c r="A13" s="5" t="s">
        <v>25</v>
      </c>
      <c r="B13" s="5" t="s">
        <v>196</v>
      </c>
      <c r="C13" s="5" t="s">
        <v>129</v>
      </c>
      <c r="D13" s="5">
        <v>2</v>
      </c>
      <c r="E13" s="5" t="s">
        <v>11251</v>
      </c>
      <c r="F13" s="5" t="str">
        <f>HYPERLINK("https://github.com/fyangneil/pavement-crack-detection","Dataset")</f>
        <v>Dataset</v>
      </c>
      <c r="G13" s="5" t="s">
        <v>25</v>
      </c>
    </row>
    <row r="14" spans="1:7">
      <c r="A14" s="5" t="s">
        <v>25</v>
      </c>
      <c r="B14" s="5" t="s">
        <v>196</v>
      </c>
      <c r="C14" s="5" t="s">
        <v>1607</v>
      </c>
      <c r="D14" s="5">
        <v>2</v>
      </c>
      <c r="E14" s="5" t="s">
        <v>11251</v>
      </c>
      <c r="F14" s="5" t="str">
        <f>HYPERLINK("https://github.com/fyangneil/pavement-crack-detection","Dataset")</f>
        <v>Dataset</v>
      </c>
      <c r="G14" s="5" t="s">
        <v>25</v>
      </c>
    </row>
    <row r="15" spans="1:7">
      <c r="A15" s="5" t="s">
        <v>211</v>
      </c>
      <c r="B15" s="5" t="s">
        <v>212</v>
      </c>
      <c r="C15" s="5" t="s">
        <v>129</v>
      </c>
      <c r="D15" s="5">
        <v>1</v>
      </c>
      <c r="E15" s="5" t="s">
        <v>11250</v>
      </c>
      <c r="F15" s="5" t="str">
        <f>HYPERLINK("https://github.com/cuilimeng/CrackForest-dataset","Dataset")</f>
        <v>Dataset</v>
      </c>
      <c r="G15" s="5" t="s">
        <v>211</v>
      </c>
    </row>
    <row r="16" spans="1:7">
      <c r="A16" s="5" t="s">
        <v>223</v>
      </c>
      <c r="B16" s="5" t="s">
        <v>224</v>
      </c>
      <c r="C16" s="5" t="s">
        <v>129</v>
      </c>
      <c r="D16" s="5">
        <v>1</v>
      </c>
      <c r="E16" s="5" t="s">
        <v>11250</v>
      </c>
      <c r="F16" s="5" t="str">
        <f>HYPERLINK("https://github.com/qinnzou/DeepCrack","Dataset")</f>
        <v>Dataset</v>
      </c>
      <c r="G16" s="5" t="s">
        <v>223</v>
      </c>
    </row>
    <row r="17" spans="1:7">
      <c r="A17" s="5" t="s">
        <v>234</v>
      </c>
      <c r="B17" s="5" t="s">
        <v>235</v>
      </c>
      <c r="C17" s="5" t="s">
        <v>562</v>
      </c>
      <c r="D17" s="5">
        <v>2</v>
      </c>
      <c r="E17" s="5" t="s">
        <v>11251</v>
      </c>
      <c r="F17" s="5" t="str">
        <f>HYPERLINK("https://data.mendeley.com/datasets/t576ydh9v8/4","Dataset")</f>
        <v>Dataset</v>
      </c>
      <c r="G17" s="5" t="s">
        <v>234</v>
      </c>
    </row>
    <row r="18" spans="1:7">
      <c r="A18" s="5" t="s">
        <v>234</v>
      </c>
      <c r="B18" s="5" t="s">
        <v>235</v>
      </c>
      <c r="C18" s="5" t="s">
        <v>129</v>
      </c>
      <c r="D18" s="5">
        <v>2</v>
      </c>
      <c r="E18" s="5" t="s">
        <v>11251</v>
      </c>
      <c r="F18" s="5" t="str">
        <f>HYPERLINK("https://data.mendeley.com/datasets/t576ydh9v8/4","Dataset")</f>
        <v>Dataset</v>
      </c>
      <c r="G18" s="5" t="s">
        <v>234</v>
      </c>
    </row>
    <row r="19" spans="1:7">
      <c r="A19" s="5" t="s">
        <v>46</v>
      </c>
      <c r="B19" s="5" t="s">
        <v>47</v>
      </c>
      <c r="C19" s="5" t="s">
        <v>659</v>
      </c>
      <c r="D19" s="5">
        <v>2</v>
      </c>
      <c r="E19" s="5" t="s">
        <v>11251</v>
      </c>
      <c r="F19" s="5" t="str">
        <f>HYPERLINK("https://dataverse.harvard.edu/dataset.xhtml?persistentId=doi:10.7910/DVN/EGIEBY&amp;version=4.0","Dataset")</f>
        <v>Dataset</v>
      </c>
      <c r="G19" s="5" t="s">
        <v>46</v>
      </c>
    </row>
    <row r="20" spans="1:7">
      <c r="A20" s="5" t="s">
        <v>46</v>
      </c>
      <c r="B20" s="5" t="s">
        <v>47</v>
      </c>
      <c r="C20" s="5" t="s">
        <v>129</v>
      </c>
      <c r="D20" s="5">
        <v>2</v>
      </c>
      <c r="E20" s="5" t="s">
        <v>11251</v>
      </c>
      <c r="F20" s="5" t="str">
        <f>HYPERLINK("https://dataverse.harvard.edu/dataset.xhtml?persistentId=doi:10.7910/DVN/EGIEBY&amp;version=4.0","Dataset")</f>
        <v>Dataset</v>
      </c>
      <c r="G20" s="5" t="s">
        <v>46</v>
      </c>
    </row>
    <row r="21" spans="1:7">
      <c r="A21" s="5" t="s">
        <v>256</v>
      </c>
      <c r="B21" s="5" t="s">
        <v>257</v>
      </c>
      <c r="C21" s="5" t="s">
        <v>129</v>
      </c>
      <c r="D21" s="5">
        <v>1</v>
      </c>
      <c r="E21" s="5" t="s">
        <v>11250</v>
      </c>
      <c r="F21" s="5" t="str">
        <f>HYPERLINK("https://github.com/JZhongUTK/Pavement-crack-dataset","Dataset")</f>
        <v>Dataset</v>
      </c>
      <c r="G21" s="5" t="s">
        <v>256</v>
      </c>
    </row>
    <row r="22" spans="1:7">
      <c r="A22" s="5" t="s">
        <v>268</v>
      </c>
      <c r="B22" s="5" t="s">
        <v>269</v>
      </c>
      <c r="C22" s="5" t="s">
        <v>129</v>
      </c>
      <c r="D22" s="5">
        <v>1</v>
      </c>
      <c r="E22" s="5" t="s">
        <v>11250</v>
      </c>
      <c r="F22" s="5" t="str">
        <f>HYPERLINK("https://github.com/qinnzou/DeepCrack","Dataset")</f>
        <v>Dataset</v>
      </c>
      <c r="G22" s="5" t="s">
        <v>268</v>
      </c>
    </row>
    <row r="23" spans="1:7">
      <c r="A23" s="5" t="s">
        <v>274</v>
      </c>
      <c r="B23" s="5" t="s">
        <v>275</v>
      </c>
      <c r="C23" s="5" t="s">
        <v>129</v>
      </c>
      <c r="D23" s="5">
        <v>1</v>
      </c>
      <c r="E23" s="5" t="s">
        <v>11250</v>
      </c>
      <c r="F23" s="5" t="str">
        <f>HYPERLINK("https://github.com/qinnzou/DeepCrack","Dataset")</f>
        <v>Dataset</v>
      </c>
      <c r="G23" s="5" t="s">
        <v>274</v>
      </c>
    </row>
    <row r="24" spans="1:7">
      <c r="A24" s="5" t="s">
        <v>280</v>
      </c>
      <c r="B24" s="5" t="s">
        <v>281</v>
      </c>
      <c r="C24" s="5" t="s">
        <v>129</v>
      </c>
      <c r="D24" s="5">
        <v>1</v>
      </c>
      <c r="E24" s="5" t="s">
        <v>11250</v>
      </c>
      <c r="F24" s="5" t="str">
        <f>HYPERLINK("https://github.com/CUHK-USR-Group/Defect-Dataset","Dataset")</f>
        <v>Dataset</v>
      </c>
      <c r="G24" s="5" t="s">
        <v>280</v>
      </c>
    </row>
    <row r="25" spans="1:7">
      <c r="A25" s="5" t="s">
        <v>293</v>
      </c>
      <c r="B25" s="5" t="s">
        <v>294</v>
      </c>
      <c r="C25" s="5" t="s">
        <v>129</v>
      </c>
      <c r="D25" s="5">
        <v>1</v>
      </c>
      <c r="E25" s="5" t="s">
        <v>11250</v>
      </c>
      <c r="F25" s="5" t="str">
        <f>HYPERLINK("https://github.com/yhlleo/DeepCrack","Dataset")</f>
        <v>Dataset</v>
      </c>
      <c r="G25" s="5" t="s">
        <v>293</v>
      </c>
    </row>
    <row r="26" spans="1:7">
      <c r="A26" s="5" t="s">
        <v>302</v>
      </c>
      <c r="B26" s="5" t="s">
        <v>303</v>
      </c>
      <c r="C26" s="5" t="s">
        <v>129</v>
      </c>
      <c r="D26" s="5">
        <v>1</v>
      </c>
      <c r="E26" s="5" t="s">
        <v>11250</v>
      </c>
      <c r="F26" s="5" t="str">
        <f>HYPERLINK("https://github.com/mqp2259/EdmCrack600","Dataset")</f>
        <v>Dataset</v>
      </c>
      <c r="G26" s="5" t="s">
        <v>313</v>
      </c>
    </row>
    <row r="27" spans="1:7">
      <c r="A27" s="5" t="s">
        <v>317</v>
      </c>
      <c r="B27" s="5" t="s">
        <v>318</v>
      </c>
      <c r="C27" s="5" t="s">
        <v>129</v>
      </c>
      <c r="D27" s="5">
        <v>1</v>
      </c>
      <c r="E27" s="5" t="s">
        <v>11250</v>
      </c>
      <c r="F27" s="5" t="str">
        <f>HYPERLINK("https://github.com/fyangneil/pavement-crack-detection","Dataset")</f>
        <v>Dataset</v>
      </c>
      <c r="G27" s="5" t="s">
        <v>317</v>
      </c>
    </row>
    <row r="28" spans="1:7" ht="25.5">
      <c r="A28" s="5" t="s">
        <v>329</v>
      </c>
      <c r="B28" s="5" t="s">
        <v>330</v>
      </c>
      <c r="C28" s="5" t="s">
        <v>129</v>
      </c>
      <c r="D28" s="5">
        <v>1</v>
      </c>
      <c r="E28" s="5" t="s">
        <v>11250</v>
      </c>
      <c r="F28" s="5" t="str">
        <f>HYPERLINK("https://github.com/chenxiang-web/DronePave-DfineX","Dataset")</f>
        <v>Dataset</v>
      </c>
      <c r="G28" s="5" t="s">
        <v>329</v>
      </c>
    </row>
    <row r="29" spans="1:7">
      <c r="A29" s="5" t="s">
        <v>340</v>
      </c>
      <c r="B29" s="5" t="s">
        <v>341</v>
      </c>
      <c r="C29" s="5" t="s">
        <v>129</v>
      </c>
      <c r="D29" s="5">
        <v>1</v>
      </c>
      <c r="E29" s="5" t="s">
        <v>11250</v>
      </c>
      <c r="F29" s="5" t="str">
        <f>HYPERLINK("https://github.com/CHDyshli/PavementCrackDetection","Dataset")</f>
        <v>Dataset</v>
      </c>
      <c r="G29" s="5" t="s">
        <v>340</v>
      </c>
    </row>
    <row r="30" spans="1:7">
      <c r="A30" s="5" t="s">
        <v>350</v>
      </c>
      <c r="B30" s="5" t="s">
        <v>351</v>
      </c>
      <c r="C30" s="5" t="s">
        <v>129</v>
      </c>
      <c r="D30" s="5">
        <v>1</v>
      </c>
      <c r="E30" s="5" t="s">
        <v>11250</v>
      </c>
      <c r="F30" s="5" t="str">
        <f>HYPERLINK("https://github.com/IranRoadDamageDataset/IRRDD","Dataset")</f>
        <v>Dataset</v>
      </c>
      <c r="G30" s="5" t="s">
        <v>350</v>
      </c>
    </row>
    <row r="31" spans="1:7" ht="25.5">
      <c r="A31" s="5" t="s">
        <v>360</v>
      </c>
      <c r="B31" s="5" t="s">
        <v>361</v>
      </c>
      <c r="C31" s="5" t="s">
        <v>129</v>
      </c>
      <c r="D31" s="5">
        <v>2</v>
      </c>
      <c r="E31" s="5" t="s">
        <v>11251</v>
      </c>
      <c r="F31" s="5" t="str">
        <f>HYPERLINK("https://github.com/lfangyu09/IR-Crack-detection","Dataset")</f>
        <v>Dataset</v>
      </c>
      <c r="G31" s="5" t="s">
        <v>360</v>
      </c>
    </row>
    <row r="32" spans="1:7" ht="25.5">
      <c r="A32" s="5" t="s">
        <v>360</v>
      </c>
      <c r="B32" s="5" t="s">
        <v>361</v>
      </c>
      <c r="C32" s="5" t="s">
        <v>1286</v>
      </c>
      <c r="D32" s="5">
        <v>2</v>
      </c>
      <c r="E32" s="5" t="s">
        <v>11251</v>
      </c>
      <c r="F32" s="5" t="str">
        <f>HYPERLINK("https://github.com/lfangyu09/IR-Crack-detection","Dataset")</f>
        <v>Dataset</v>
      </c>
      <c r="G32" s="5" t="s">
        <v>360</v>
      </c>
    </row>
    <row r="33" spans="1:7" ht="25.5">
      <c r="A33" s="5" t="s">
        <v>376</v>
      </c>
      <c r="B33" s="5" t="s">
        <v>377</v>
      </c>
      <c r="C33" s="5" t="s">
        <v>129</v>
      </c>
      <c r="D33" s="5">
        <v>2</v>
      </c>
      <c r="E33" s="5" t="s">
        <v>11251</v>
      </c>
      <c r="F33" s="5" t="str">
        <f>HYPERLINK("https://github.com/lfangyu09/IR-Crack-detection","Dataset")</f>
        <v>Dataset</v>
      </c>
      <c r="G33" s="5" t="s">
        <v>376</v>
      </c>
    </row>
    <row r="34" spans="1:7" ht="25.5">
      <c r="A34" s="5" t="s">
        <v>376</v>
      </c>
      <c r="B34" s="5" t="s">
        <v>377</v>
      </c>
      <c r="C34" s="5" t="s">
        <v>1286</v>
      </c>
      <c r="D34" s="5">
        <v>2</v>
      </c>
      <c r="E34" s="5" t="s">
        <v>11251</v>
      </c>
      <c r="F34" s="5" t="str">
        <f>HYPERLINK("https://github.com/lfangyu09/IR-Crack-detection","Dataset")</f>
        <v>Dataset</v>
      </c>
      <c r="G34" s="5" t="s">
        <v>376</v>
      </c>
    </row>
    <row r="35" spans="1:7">
      <c r="A35" s="5" t="s">
        <v>387</v>
      </c>
      <c r="B35" s="5" t="s">
        <v>388</v>
      </c>
      <c r="C35" s="5" t="s">
        <v>129</v>
      </c>
      <c r="D35" s="5">
        <v>1</v>
      </c>
      <c r="E35" s="5" t="s">
        <v>11250</v>
      </c>
      <c r="F35" s="5" t="str">
        <f>HYPERLINK("https://github.com/neemajakisa/Pavement-Distress-Dataset","Dataset")</f>
        <v>Dataset</v>
      </c>
      <c r="G35" s="5" t="s">
        <v>387</v>
      </c>
    </row>
    <row r="36" spans="1:7">
      <c r="A36" s="5" t="s">
        <v>397</v>
      </c>
      <c r="B36" s="5" t="s">
        <v>398</v>
      </c>
      <c r="C36" s="5" t="s">
        <v>129</v>
      </c>
      <c r="D36" s="5">
        <v>1</v>
      </c>
      <c r="E36" s="5" t="s">
        <v>11250</v>
      </c>
      <c r="F36" s="5" t="str">
        <f>HYPERLINK("https://github.com/DrEdwardLee/Pavement-Crack-Dataset","Dataset")</f>
        <v>Dataset</v>
      </c>
      <c r="G36" s="5" t="s">
        <v>397</v>
      </c>
    </row>
    <row r="37" spans="1:7">
      <c r="A37" s="5" t="s">
        <v>402</v>
      </c>
      <c r="B37" s="5" t="s">
        <v>403</v>
      </c>
      <c r="C37" s="5" t="s">
        <v>129</v>
      </c>
      <c r="D37" s="5">
        <v>1</v>
      </c>
      <c r="E37" s="5" t="s">
        <v>11250</v>
      </c>
      <c r="F37" s="5" t="str">
        <f>HYPERLINK("https://github.com/FwDeng/MTPDSD","Dataset")</f>
        <v>Dataset</v>
      </c>
      <c r="G37" s="5" t="s">
        <v>402</v>
      </c>
    </row>
    <row r="38" spans="1:7">
      <c r="A38" s="5" t="s">
        <v>413</v>
      </c>
      <c r="B38" s="5" t="s">
        <v>414</v>
      </c>
      <c r="C38" s="5" t="s">
        <v>129</v>
      </c>
      <c r="D38" s="5">
        <v>1</v>
      </c>
      <c r="E38" s="5" t="s">
        <v>11250</v>
      </c>
      <c r="F38" s="5" t="str">
        <f>HYPERLINK("https://github.com/FXBIOVELSY/NightInspect-dataset","Dataset")</f>
        <v>Dataset</v>
      </c>
      <c r="G38" s="5" t="s">
        <v>413</v>
      </c>
    </row>
    <row r="39" spans="1:7">
      <c r="A39" s="5" t="s">
        <v>420</v>
      </c>
      <c r="B39" s="5" t="s">
        <v>421</v>
      </c>
      <c r="C39" s="5" t="s">
        <v>129</v>
      </c>
      <c r="D39" s="5">
        <v>2</v>
      </c>
      <c r="E39" s="5" t="s">
        <v>11251</v>
      </c>
      <c r="F39" s="5" t="str">
        <f>HYPERLINK("https://github.com/tongzheng1992/Pavementscapes","Dataset")</f>
        <v>Dataset</v>
      </c>
      <c r="G39" s="5" t="s">
        <v>420</v>
      </c>
    </row>
    <row r="40" spans="1:7">
      <c r="A40" s="5" t="s">
        <v>420</v>
      </c>
      <c r="B40" s="5" t="s">
        <v>421</v>
      </c>
      <c r="C40" s="5" t="s">
        <v>659</v>
      </c>
      <c r="D40" s="5">
        <v>2</v>
      </c>
      <c r="E40" s="5" t="s">
        <v>11251</v>
      </c>
      <c r="F40" s="5" t="str">
        <f>HYPERLINK("https://github.com/tongzheng1992/Pavementscapes","Dataset")</f>
        <v>Dataset</v>
      </c>
      <c r="G40" s="5" t="s">
        <v>420</v>
      </c>
    </row>
    <row r="41" spans="1:7">
      <c r="A41" s="5" t="s">
        <v>433</v>
      </c>
      <c r="B41" s="5" t="s">
        <v>434</v>
      </c>
      <c r="C41" s="5" t="s">
        <v>129</v>
      </c>
      <c r="D41" s="5">
        <v>1</v>
      </c>
      <c r="E41" s="5" t="s">
        <v>11250</v>
      </c>
      <c r="F41" s="5" t="str">
        <f>HYPERLINK("https://github.com/FuturePave/PaveSeg-Dataset","Dataset")</f>
        <v>Dataset</v>
      </c>
      <c r="G41" s="5" t="s">
        <v>444</v>
      </c>
    </row>
    <row r="42" spans="1:7">
      <c r="A42" s="5" t="s">
        <v>448</v>
      </c>
      <c r="B42" s="5" t="s">
        <v>449</v>
      </c>
      <c r="C42" s="5" t="s">
        <v>129</v>
      </c>
      <c r="D42" s="5">
        <v>2</v>
      </c>
      <c r="E42" s="5" t="s">
        <v>11251</v>
      </c>
      <c r="F42" s="5" t="str">
        <f>HYPERLINK("https://github.com/Nan2020/PID-Pavement-Image-Dataset","Dataset")</f>
        <v>Dataset</v>
      </c>
      <c r="G42" s="5" t="s">
        <v>448</v>
      </c>
    </row>
    <row r="43" spans="1:7">
      <c r="A43" s="5" t="s">
        <v>448</v>
      </c>
      <c r="B43" s="5" t="s">
        <v>449</v>
      </c>
      <c r="C43" s="5" t="s">
        <v>659</v>
      </c>
      <c r="D43" s="5">
        <v>2</v>
      </c>
      <c r="E43" s="5" t="s">
        <v>11251</v>
      </c>
      <c r="F43" s="5" t="str">
        <f>HYPERLINK("https://github.com/Nan2020/PID-Pavement-Image-Dataset","Dataset")</f>
        <v>Dataset</v>
      </c>
      <c r="G43" s="5" t="s">
        <v>448</v>
      </c>
    </row>
    <row r="44" spans="1:7">
      <c r="A44" s="5" t="s">
        <v>461</v>
      </c>
      <c r="B44" s="5" t="s">
        <v>462</v>
      </c>
      <c r="C44" s="5" t="s">
        <v>129</v>
      </c>
      <c r="D44" s="5">
        <v>1</v>
      </c>
      <c r="E44" s="5" t="s">
        <v>11250</v>
      </c>
      <c r="F44" s="5" t="str">
        <f>HYPERLINK("https://github.com/jaygala24/pothole-detection","Dataset")</f>
        <v>Dataset</v>
      </c>
      <c r="G44" s="5" t="s">
        <v>461</v>
      </c>
    </row>
    <row r="45" spans="1:7">
      <c r="A45" s="5" t="s">
        <v>470</v>
      </c>
      <c r="B45" s="5" t="s">
        <v>471</v>
      </c>
      <c r="C45" s="5" t="s">
        <v>129</v>
      </c>
      <c r="D45" s="5">
        <v>1</v>
      </c>
      <c r="E45" s="5" t="s">
        <v>11250</v>
      </c>
      <c r="F45" s="5" t="str">
        <f>HYPERLINK("https://github.com/moatifbutt/r2s100k","Dataset")</f>
        <v>Dataset</v>
      </c>
      <c r="G45" s="5" t="s">
        <v>481</v>
      </c>
    </row>
    <row r="46" spans="1:7">
      <c r="A46" s="5" t="s">
        <v>484</v>
      </c>
      <c r="B46" s="5" t="s">
        <v>485</v>
      </c>
      <c r="C46" s="5" t="s">
        <v>129</v>
      </c>
      <c r="D46" s="5">
        <v>1</v>
      </c>
      <c r="E46" s="5" t="s">
        <v>11250</v>
      </c>
      <c r="F46" s="5" t="str">
        <f>HYPERLINK("https://github.com/ArselanAshraf/RCD-IIUM-Road-Crack-Detection-Dataset-","Dataset")</f>
        <v>Dataset</v>
      </c>
      <c r="G46" s="5" t="s">
        <v>484</v>
      </c>
    </row>
    <row r="47" spans="1:7">
      <c r="A47" s="5" t="s">
        <v>494</v>
      </c>
      <c r="B47" s="5" t="s">
        <v>495</v>
      </c>
      <c r="C47" s="5" t="s">
        <v>562</v>
      </c>
      <c r="D47" s="5">
        <v>2</v>
      </c>
      <c r="E47" s="5" t="s">
        <v>11251</v>
      </c>
      <c r="F47" s="5" t="str">
        <f>HYPERLINK("https://data.mendeley.com/datasets/5ty2wb6gvg/1","Dataset")</f>
        <v>Dataset</v>
      </c>
      <c r="G47" s="5" t="s">
        <v>494</v>
      </c>
    </row>
    <row r="48" spans="1:7">
      <c r="A48" s="5" t="s">
        <v>494</v>
      </c>
      <c r="B48" s="5" t="s">
        <v>495</v>
      </c>
      <c r="C48" s="5" t="s">
        <v>129</v>
      </c>
      <c r="D48" s="5">
        <v>2</v>
      </c>
      <c r="E48" s="5" t="s">
        <v>11251</v>
      </c>
      <c r="F48" s="5" t="str">
        <f>HYPERLINK("https://data.mendeley.com/datasets/5ty2wb6gvg/1","Dataset")</f>
        <v>Dataset</v>
      </c>
      <c r="G48" s="5" t="s">
        <v>494</v>
      </c>
    </row>
    <row r="49" spans="1:7">
      <c r="A49" s="5" t="s">
        <v>32</v>
      </c>
      <c r="B49" s="5" t="s">
        <v>508</v>
      </c>
      <c r="C49" s="5" t="s">
        <v>659</v>
      </c>
      <c r="D49" s="5">
        <v>3</v>
      </c>
      <c r="E49" s="5" t="s">
        <v>11251</v>
      </c>
      <c r="F49" s="5" t="str">
        <f>HYPERLINK("https://figshare.com/articles/dataset/RDD2022_-_The_multi-national_Road_Damage_Dataset_released_through_CRDDC_2022/21431547/1","Dataset")</f>
        <v>Dataset</v>
      </c>
      <c r="G49" s="5" t="s">
        <v>516</v>
      </c>
    </row>
    <row r="50" spans="1:7">
      <c r="A50" s="5" t="s">
        <v>32</v>
      </c>
      <c r="B50" s="5" t="s">
        <v>508</v>
      </c>
      <c r="C50" s="5" t="s">
        <v>129</v>
      </c>
      <c r="D50" s="5">
        <v>3</v>
      </c>
      <c r="E50" s="5" t="s">
        <v>11251</v>
      </c>
      <c r="F50" s="5" t="str">
        <f>HYPERLINK("https://figshare.com/articles/dataset/RDD2022_-_The_multi-national_Road_Damage_Dataset_released_through_CRDDC_2022/21431547/1","Dataset")</f>
        <v>Dataset</v>
      </c>
      <c r="G50" s="5" t="s">
        <v>516</v>
      </c>
    </row>
    <row r="51" spans="1:7">
      <c r="A51" s="5" t="s">
        <v>32</v>
      </c>
      <c r="B51" s="5" t="s">
        <v>508</v>
      </c>
      <c r="C51" s="5" t="s">
        <v>1607</v>
      </c>
      <c r="D51" s="5">
        <v>3</v>
      </c>
      <c r="E51" s="5" t="s">
        <v>11251</v>
      </c>
      <c r="F51" s="5" t="str">
        <f>HYPERLINK("https://figshare.com/articles/dataset/RDD2022_-_The_multi-national_Road_Damage_Dataset_released_through_CRDDC_2022/21431547/1","Dataset")</f>
        <v>Dataset</v>
      </c>
      <c r="G51" s="5" t="s">
        <v>516</v>
      </c>
    </row>
    <row r="52" spans="1:7" ht="25.5">
      <c r="A52" s="5" t="s">
        <v>522</v>
      </c>
      <c r="B52" s="5" t="s">
        <v>523</v>
      </c>
      <c r="C52" s="5" t="s">
        <v>129</v>
      </c>
      <c r="D52" s="5">
        <v>1</v>
      </c>
      <c r="E52" s="5" t="s">
        <v>11250</v>
      </c>
      <c r="F52" s="5" t="str">
        <f>HYPERLINK("https://github.com/endurancechallengeindonesia/RDDC2024-ID","Dataset")</f>
        <v>Dataset</v>
      </c>
      <c r="G52" s="5" t="s">
        <v>522</v>
      </c>
    </row>
    <row r="53" spans="1:7">
      <c r="A53" s="5" t="s">
        <v>532</v>
      </c>
      <c r="B53" s="5" t="s">
        <v>533</v>
      </c>
      <c r="C53" s="5" t="s">
        <v>129</v>
      </c>
      <c r="D53" s="5">
        <v>1</v>
      </c>
      <c r="E53" s="5" t="s">
        <v>11250</v>
      </c>
      <c r="F53" s="5" t="str">
        <f>HYPERLINK("https://github.com/sekilab/RoadDamageDetector","Dataset")</f>
        <v>Dataset</v>
      </c>
      <c r="G53" s="5" t="s">
        <v>532</v>
      </c>
    </row>
    <row r="54" spans="1:7">
      <c r="A54" s="5" t="s">
        <v>545</v>
      </c>
      <c r="B54" s="5" t="s">
        <v>546</v>
      </c>
      <c r="C54" s="5" t="s">
        <v>129</v>
      </c>
      <c r="D54" s="5">
        <v>1</v>
      </c>
      <c r="E54" s="5" t="s">
        <v>11250</v>
      </c>
      <c r="F54" s="5" t="str">
        <f>HYPERLINK("https://github.com/sekilab/RoadDamageDetector","Dataset")</f>
        <v>Dataset</v>
      </c>
      <c r="G54" s="5" t="s">
        <v>545</v>
      </c>
    </row>
    <row r="55" spans="1:7">
      <c r="A55" s="5" t="s">
        <v>554</v>
      </c>
      <c r="B55" s="5" t="s">
        <v>555</v>
      </c>
      <c r="C55" s="5" t="s">
        <v>562</v>
      </c>
      <c r="D55" s="5">
        <v>1</v>
      </c>
      <c r="E55" s="5" t="s">
        <v>11250</v>
      </c>
      <c r="F55" s="5" t="str">
        <f>HYPERLINK("https://data.mendeley.com/datasets/v8mbnvx8pv/1","Dataset")</f>
        <v>Dataset</v>
      </c>
      <c r="G55" s="5" t="s">
        <v>554</v>
      </c>
    </row>
    <row r="56" spans="1:7" ht="25.5">
      <c r="A56" s="5" t="s">
        <v>565</v>
      </c>
      <c r="B56" s="5" t="s">
        <v>566</v>
      </c>
      <c r="C56" s="5" t="s">
        <v>562</v>
      </c>
      <c r="D56" s="5">
        <v>3</v>
      </c>
      <c r="E56" s="5" t="s">
        <v>11251</v>
      </c>
      <c r="F56" s="5" t="str">
        <f>HYPERLINK("https://data.mendeley.com/datasets/hssswvmjwf/1","Dataset")</f>
        <v>Dataset</v>
      </c>
      <c r="G56" s="5" t="s">
        <v>576</v>
      </c>
    </row>
    <row r="57" spans="1:7" ht="25.5">
      <c r="A57" s="5" t="s">
        <v>565</v>
      </c>
      <c r="B57" s="5" t="s">
        <v>566</v>
      </c>
      <c r="C57" s="5" t="s">
        <v>129</v>
      </c>
      <c r="D57" s="5">
        <v>3</v>
      </c>
      <c r="E57" s="5" t="s">
        <v>11251</v>
      </c>
      <c r="F57" s="5" t="str">
        <f>HYPERLINK("https://data.mendeley.com/datasets/hssswvmjwf/1","Dataset")</f>
        <v>Dataset</v>
      </c>
      <c r="G57" s="5" t="s">
        <v>576</v>
      </c>
    </row>
    <row r="58" spans="1:7" ht="25.5">
      <c r="A58" s="5" t="s">
        <v>565</v>
      </c>
      <c r="B58" s="5" t="s">
        <v>566</v>
      </c>
      <c r="C58" s="5" t="s">
        <v>1607</v>
      </c>
      <c r="D58" s="5">
        <v>3</v>
      </c>
      <c r="E58" s="5" t="s">
        <v>11251</v>
      </c>
      <c r="F58" s="5" t="str">
        <f>HYPERLINK("https://data.mendeley.com/datasets/hssswvmjwf/1","Dataset")</f>
        <v>Dataset</v>
      </c>
      <c r="G58" s="5" t="s">
        <v>576</v>
      </c>
    </row>
    <row r="59" spans="1:7" ht="25.5">
      <c r="A59" s="5" t="s">
        <v>581</v>
      </c>
      <c r="B59" s="5" t="s">
        <v>582</v>
      </c>
      <c r="C59" s="5" t="s">
        <v>129</v>
      </c>
      <c r="D59" s="5">
        <v>1</v>
      </c>
      <c r="E59" s="5" t="s">
        <v>11250</v>
      </c>
      <c r="F59" s="5" t="str">
        <f>HYPERLINK("https://github.com/SEUxia/Asphalt-pavement-crack-dataset","Dataset")</f>
        <v>Dataset</v>
      </c>
      <c r="G59" s="5" t="s">
        <v>581</v>
      </c>
    </row>
    <row r="60" spans="1:7">
      <c r="A60" s="5" t="s">
        <v>586</v>
      </c>
      <c r="B60" s="5" t="s">
        <v>587</v>
      </c>
      <c r="C60" s="5" t="s">
        <v>129</v>
      </c>
      <c r="D60" s="5">
        <v>1</v>
      </c>
      <c r="E60" s="5" t="s">
        <v>11250</v>
      </c>
      <c r="F60" s="5" t="str">
        <f>HYPERLINK("https://github.com/achireistefan/Pothole-Detection","Dataset")</f>
        <v>Dataset</v>
      </c>
      <c r="G60" s="5" t="s">
        <v>586</v>
      </c>
    </row>
    <row r="61" spans="1:7">
      <c r="A61" s="5" t="s">
        <v>596</v>
      </c>
      <c r="B61" s="5" t="s">
        <v>597</v>
      </c>
      <c r="C61" s="5" t="s">
        <v>129</v>
      </c>
      <c r="D61" s="5">
        <v>1</v>
      </c>
      <c r="E61" s="5" t="s">
        <v>11250</v>
      </c>
      <c r="F61" s="5" t="str">
        <f>HYPERLINK("https://github.com/ruirangerfan/stereo_pothole_datasets","Dataset")</f>
        <v>Dataset</v>
      </c>
      <c r="G61" s="5" t="s">
        <v>596</v>
      </c>
    </row>
    <row r="62" spans="1:7">
      <c r="A62" s="5" t="s">
        <v>606</v>
      </c>
      <c r="B62" s="5" t="s">
        <v>607</v>
      </c>
      <c r="C62" s="5" t="s">
        <v>562</v>
      </c>
      <c r="D62" s="5">
        <v>2</v>
      </c>
      <c r="E62" s="5" t="s">
        <v>11251</v>
      </c>
      <c r="F62" s="5" t="str">
        <f>HYPERLINK("https://data.mendeley.com/datasets/gsbmknrhkv/6","Dataset")</f>
        <v>Dataset</v>
      </c>
      <c r="G62" s="5" t="s">
        <v>606</v>
      </c>
    </row>
    <row r="63" spans="1:7">
      <c r="A63" s="5" t="s">
        <v>606</v>
      </c>
      <c r="B63" s="5" t="s">
        <v>607</v>
      </c>
      <c r="C63" s="5" t="s">
        <v>129</v>
      </c>
      <c r="D63" s="5">
        <v>2</v>
      </c>
      <c r="E63" s="5" t="s">
        <v>11251</v>
      </c>
      <c r="F63" s="5" t="str">
        <f>HYPERLINK("https://data.mendeley.com/datasets/gsbmknrhkv/6","Dataset")</f>
        <v>Dataset</v>
      </c>
      <c r="G63" s="5" t="s">
        <v>606</v>
      </c>
    </row>
    <row r="64" spans="1:7">
      <c r="A64" s="5" t="s">
        <v>619</v>
      </c>
      <c r="B64" s="5" t="s">
        <v>620</v>
      </c>
      <c r="C64" s="5" t="s">
        <v>129</v>
      </c>
      <c r="D64" s="5">
        <v>1</v>
      </c>
      <c r="E64" s="5" t="s">
        <v>11250</v>
      </c>
      <c r="F64" s="5" t="str">
        <f>HYPERLINK("https://github.com/tantantetetao/UAPD-Pavement-Distress-Dataset","Dataset")</f>
        <v>Dataset</v>
      </c>
      <c r="G64" s="5" t="s">
        <v>619</v>
      </c>
    </row>
    <row r="65" spans="1:7" ht="25.5">
      <c r="A65" s="5" t="s">
        <v>630</v>
      </c>
      <c r="B65" s="5" t="s">
        <v>631</v>
      </c>
      <c r="C65" s="5" t="s">
        <v>129</v>
      </c>
      <c r="D65" s="5">
        <v>1</v>
      </c>
      <c r="E65" s="5" t="s">
        <v>11250</v>
      </c>
      <c r="F65" s="5" t="str">
        <f>HYPERLINK("https://github.com/SHAN-JH/UAV-CrackX-Datasets","Dataset")</f>
        <v>Dataset</v>
      </c>
      <c r="G65" s="5" t="s">
        <v>630</v>
      </c>
    </row>
    <row r="66" spans="1:7">
      <c r="A66" s="5" t="s">
        <v>74</v>
      </c>
      <c r="B66" s="5" t="s">
        <v>642</v>
      </c>
      <c r="C66" s="5" t="s">
        <v>659</v>
      </c>
      <c r="D66" s="5">
        <v>2</v>
      </c>
      <c r="E66" s="5" t="s">
        <v>11251</v>
      </c>
      <c r="F66" s="5" t="str">
        <f>HYPERLINK("https://infopave.fhwa.dot.gov/Data/StandardDataRelease","Dataset")</f>
        <v>Dataset</v>
      </c>
      <c r="G66" s="5" t="s">
        <v>74</v>
      </c>
    </row>
    <row r="67" spans="1:7">
      <c r="A67" s="5" t="s">
        <v>74</v>
      </c>
      <c r="B67" s="5" t="s">
        <v>642</v>
      </c>
      <c r="C67" s="5" t="s">
        <v>11224</v>
      </c>
      <c r="D67" s="5">
        <v>2</v>
      </c>
      <c r="E67" s="5" t="s">
        <v>11251</v>
      </c>
      <c r="F67" s="5" t="str">
        <f>HYPERLINK("https://infopave.fhwa.dot.gov/Data/StandardDataRelease","Dataset")</f>
        <v>Dataset</v>
      </c>
      <c r="G67" s="5" t="s">
        <v>74</v>
      </c>
    </row>
    <row r="68" spans="1:7" ht="25.5">
      <c r="A68" s="5" t="s">
        <v>653</v>
      </c>
      <c r="B68" s="5" t="s">
        <v>654</v>
      </c>
      <c r="C68" s="5" t="s">
        <v>659</v>
      </c>
      <c r="D68" s="5">
        <v>1</v>
      </c>
      <c r="E68" s="5" t="s">
        <v>11250</v>
      </c>
      <c r="F68" s="5" t="str">
        <f>HYPERLINK("https://infopave.fhwa.dot.gov/?Goto=NON-LTPP","Dataset")</f>
        <v>Dataset</v>
      </c>
      <c r="G68" s="5" t="s">
        <v>653</v>
      </c>
    </row>
    <row r="69" spans="1:7" ht="25.5">
      <c r="A69" s="5" t="s">
        <v>662</v>
      </c>
      <c r="B69" s="5" t="s">
        <v>663</v>
      </c>
      <c r="C69" s="5" t="s">
        <v>562</v>
      </c>
      <c r="D69" s="5">
        <v>1</v>
      </c>
      <c r="E69" s="5" t="s">
        <v>11250</v>
      </c>
      <c r="F69" s="5" t="str">
        <f>HYPERLINK("https://data.mendeley.com/datasets/s3k75x9zf4/2","Dataset")</f>
        <v>Dataset</v>
      </c>
      <c r="G69" s="5" t="s">
        <v>662</v>
      </c>
    </row>
    <row r="70" spans="1:7" ht="25.5">
      <c r="A70" s="5" t="s">
        <v>672</v>
      </c>
      <c r="B70" s="5" t="s">
        <v>673</v>
      </c>
      <c r="C70" s="5" t="s">
        <v>562</v>
      </c>
      <c r="D70" s="5">
        <v>1</v>
      </c>
      <c r="E70" s="5" t="s">
        <v>11250</v>
      </c>
      <c r="F70" s="5" t="str">
        <f>HYPERLINK("https://data.mendeley.com/datasets/7zzcmv2wz7/1","Dataset")</f>
        <v>Dataset</v>
      </c>
      <c r="G70" s="5" t="s">
        <v>672</v>
      </c>
    </row>
    <row r="71" spans="1:7" ht="25.5">
      <c r="A71" s="5" t="s">
        <v>681</v>
      </c>
      <c r="B71" s="5" t="s">
        <v>682</v>
      </c>
      <c r="C71" s="5" t="s">
        <v>562</v>
      </c>
      <c r="D71" s="5">
        <v>1</v>
      </c>
      <c r="E71" s="5" t="s">
        <v>11250</v>
      </c>
      <c r="F71" s="5" t="str">
        <f>HYPERLINK("https://data.mendeley.com/datasets/tp95cdvgm8/1","Dataset")</f>
        <v>Dataset</v>
      </c>
      <c r="G71" s="5" t="s">
        <v>681</v>
      </c>
    </row>
    <row r="72" spans="1:7">
      <c r="A72" s="5" t="s">
        <v>691</v>
      </c>
      <c r="B72" s="5" t="s">
        <v>692</v>
      </c>
      <c r="C72" s="5" t="s">
        <v>562</v>
      </c>
      <c r="D72" s="5">
        <v>1</v>
      </c>
      <c r="E72" s="5" t="s">
        <v>11250</v>
      </c>
      <c r="F72" s="5" t="str">
        <f>HYPERLINK("https://data.mendeley.com/datasets/xnzhj3x8v4/2","Dataset")</f>
        <v>Dataset</v>
      </c>
      <c r="G72" s="5" t="s">
        <v>691</v>
      </c>
    </row>
    <row r="73" spans="1:7">
      <c r="A73" s="5" t="s">
        <v>699</v>
      </c>
      <c r="B73" s="5" t="s">
        <v>700</v>
      </c>
      <c r="C73" s="5" t="s">
        <v>562</v>
      </c>
      <c r="D73" s="5">
        <v>1</v>
      </c>
      <c r="E73" s="5" t="s">
        <v>11250</v>
      </c>
      <c r="F73" s="5" t="str">
        <f>HYPERLINK("https://data.mendeley.com/datasets/88kdyyc73h/1","Dataset")</f>
        <v>Dataset</v>
      </c>
      <c r="G73" s="5" t="s">
        <v>699</v>
      </c>
    </row>
    <row r="74" spans="1:7" ht="25.5">
      <c r="A74" s="5" t="s">
        <v>708</v>
      </c>
      <c r="B74" s="5" t="s">
        <v>709</v>
      </c>
      <c r="C74" s="5" t="s">
        <v>562</v>
      </c>
      <c r="D74" s="5">
        <v>1</v>
      </c>
      <c r="E74" s="5" t="s">
        <v>11250</v>
      </c>
      <c r="F74" s="5" t="str">
        <f>HYPERLINK("https://data.mendeley.com/datasets/nykrzdm74f/1","Dataset")</f>
        <v>Dataset</v>
      </c>
      <c r="G74" s="5" t="s">
        <v>708</v>
      </c>
    </row>
    <row r="75" spans="1:7">
      <c r="A75" s="5" t="s">
        <v>719</v>
      </c>
      <c r="B75" s="5" t="s">
        <v>720</v>
      </c>
      <c r="C75" s="5" t="s">
        <v>562</v>
      </c>
      <c r="D75" s="5">
        <v>1</v>
      </c>
      <c r="E75" s="5" t="s">
        <v>11250</v>
      </c>
      <c r="F75" s="5" t="str">
        <f>HYPERLINK("https://data.mendeley.com/datasets/rgymy6dwdd/1","Dataset")</f>
        <v>Dataset</v>
      </c>
      <c r="G75" s="5" t="s">
        <v>719</v>
      </c>
    </row>
    <row r="76" spans="1:7">
      <c r="A76" s="5" t="s">
        <v>727</v>
      </c>
      <c r="B76" s="5" t="s">
        <v>728</v>
      </c>
      <c r="C76" s="5" t="s">
        <v>562</v>
      </c>
      <c r="D76" s="5">
        <v>1</v>
      </c>
      <c r="E76" s="5" t="s">
        <v>11250</v>
      </c>
      <c r="F76" s="5" t="str">
        <f>HYPERLINK("https://data.mendeley.com/datasets/ktnx66vtmc/1","Dataset")</f>
        <v>Dataset</v>
      </c>
      <c r="G76" s="5" t="s">
        <v>727</v>
      </c>
    </row>
    <row r="77" spans="1:7" ht="25.5">
      <c r="A77" s="5" t="s">
        <v>737</v>
      </c>
      <c r="B77" s="5" t="s">
        <v>738</v>
      </c>
      <c r="C77" s="5" t="s">
        <v>562</v>
      </c>
      <c r="D77" s="5">
        <v>1</v>
      </c>
      <c r="E77" s="5" t="s">
        <v>11250</v>
      </c>
      <c r="F77" s="5" t="str">
        <f>HYPERLINK("https://data.mendeley.com/datasets/z3nx8n396g/3","Dataset")</f>
        <v>Dataset</v>
      </c>
      <c r="G77" s="5" t="s">
        <v>737</v>
      </c>
    </row>
    <row r="78" spans="1:7" ht="25.5">
      <c r="A78" s="5" t="s">
        <v>749</v>
      </c>
      <c r="B78" s="5" t="s">
        <v>750</v>
      </c>
      <c r="C78" s="5" t="s">
        <v>562</v>
      </c>
      <c r="D78" s="5">
        <v>1</v>
      </c>
      <c r="E78" s="5" t="s">
        <v>11250</v>
      </c>
      <c r="F78" s="5" t="str">
        <f>HYPERLINK("https://data.mendeley.com/datasets/n6cvjnx3b6/1","Dataset")</f>
        <v>Dataset</v>
      </c>
      <c r="G78" s="5" t="s">
        <v>749</v>
      </c>
    </row>
    <row r="79" spans="1:7">
      <c r="A79" s="5" t="s">
        <v>759</v>
      </c>
      <c r="B79" s="5" t="s">
        <v>760</v>
      </c>
      <c r="C79" s="5" t="s">
        <v>562</v>
      </c>
      <c r="D79" s="5">
        <v>1</v>
      </c>
      <c r="E79" s="5" t="s">
        <v>11250</v>
      </c>
      <c r="F79" s="5" t="str">
        <f>HYPERLINK("https://data.mendeley.com/datasets/snyyfknw56/1","Dataset")</f>
        <v>Dataset</v>
      </c>
      <c r="G79" s="5" t="s">
        <v>759</v>
      </c>
    </row>
    <row r="80" spans="1:7">
      <c r="A80" s="5" t="s">
        <v>770</v>
      </c>
      <c r="B80" s="5" t="s">
        <v>771</v>
      </c>
      <c r="C80" s="5" t="s">
        <v>562</v>
      </c>
      <c r="D80" s="5">
        <v>1</v>
      </c>
      <c r="E80" s="5" t="s">
        <v>11250</v>
      </c>
      <c r="F80" s="5" t="str">
        <f>HYPERLINK("https://data.mendeley.com/datasets/2dfyh84pdf/1","Dataset")</f>
        <v>Dataset</v>
      </c>
      <c r="G80" s="5" t="s">
        <v>770</v>
      </c>
    </row>
    <row r="81" spans="1:7">
      <c r="A81" s="5" t="s">
        <v>777</v>
      </c>
      <c r="B81" s="5" t="s">
        <v>778</v>
      </c>
      <c r="C81" s="5" t="s">
        <v>562</v>
      </c>
      <c r="D81" s="5">
        <v>2</v>
      </c>
      <c r="E81" s="5" t="s">
        <v>11251</v>
      </c>
      <c r="F81" s="5" t="str">
        <f>HYPERLINK("https://data.mendeley.com/datasets/429vzbgmbx/1","Dataset")</f>
        <v>Dataset</v>
      </c>
      <c r="G81" s="5" t="s">
        <v>777</v>
      </c>
    </row>
    <row r="82" spans="1:7">
      <c r="A82" s="5" t="s">
        <v>777</v>
      </c>
      <c r="B82" s="5" t="s">
        <v>778</v>
      </c>
      <c r="C82" s="5" t="s">
        <v>1607</v>
      </c>
      <c r="D82" s="5">
        <v>2</v>
      </c>
      <c r="E82" s="5" t="s">
        <v>11251</v>
      </c>
      <c r="F82" s="5" t="str">
        <f>HYPERLINK("https://data.mendeley.com/datasets/429vzbgmbx/1","Dataset")</f>
        <v>Dataset</v>
      </c>
      <c r="G82" s="5" t="s">
        <v>777</v>
      </c>
    </row>
    <row r="83" spans="1:7">
      <c r="A83" s="5" t="s">
        <v>792</v>
      </c>
      <c r="B83" s="5" t="s">
        <v>793</v>
      </c>
      <c r="C83" s="5" t="s">
        <v>562</v>
      </c>
      <c r="D83" s="5">
        <v>1</v>
      </c>
      <c r="E83" s="5" t="s">
        <v>11250</v>
      </c>
      <c r="F83" s="5" t="str">
        <f>HYPERLINK("https://data.mendeley.com/datasets/wddt4gbttd/1","Dataset")</f>
        <v>Dataset</v>
      </c>
      <c r="G83" s="5" t="s">
        <v>792</v>
      </c>
    </row>
    <row r="84" spans="1:7" ht="25.5">
      <c r="A84" s="5" t="s">
        <v>803</v>
      </c>
      <c r="B84" s="5" t="s">
        <v>804</v>
      </c>
      <c r="C84" s="5" t="s">
        <v>562</v>
      </c>
      <c r="D84" s="5">
        <v>1</v>
      </c>
      <c r="E84" s="5" t="s">
        <v>11250</v>
      </c>
      <c r="F84" s="5" t="str">
        <f>HYPERLINK("https://data.mendeley.com/datasets/3v5r2fxf89/1","Dataset")</f>
        <v>Dataset</v>
      </c>
      <c r="G84" s="5" t="s">
        <v>803</v>
      </c>
    </row>
    <row r="85" spans="1:7" ht="25.5">
      <c r="A85" s="5" t="s">
        <v>812</v>
      </c>
      <c r="B85" s="5" t="s">
        <v>813</v>
      </c>
      <c r="C85" s="5" t="s">
        <v>562</v>
      </c>
      <c r="D85" s="5">
        <v>2</v>
      </c>
      <c r="E85" s="5" t="s">
        <v>11251</v>
      </c>
      <c r="F85" s="5" t="str">
        <f>HYPERLINK("https://data.mendeley.com/datasets/csd32bm8zx/1","Dataset")</f>
        <v>Dataset</v>
      </c>
      <c r="G85" s="5" t="s">
        <v>812</v>
      </c>
    </row>
    <row r="86" spans="1:7" ht="25.5">
      <c r="A86" s="5" t="s">
        <v>812</v>
      </c>
      <c r="B86" s="5" t="s">
        <v>813</v>
      </c>
      <c r="C86" s="5" t="s">
        <v>1607</v>
      </c>
      <c r="D86" s="5">
        <v>2</v>
      </c>
      <c r="E86" s="5" t="s">
        <v>11251</v>
      </c>
      <c r="F86" s="5" t="str">
        <f>HYPERLINK("https://data.mendeley.com/datasets/csd32bm8zx/1","Dataset")</f>
        <v>Dataset</v>
      </c>
      <c r="G86" s="5" t="s">
        <v>812</v>
      </c>
    </row>
    <row r="87" spans="1:7">
      <c r="A87" s="5" t="s">
        <v>824</v>
      </c>
      <c r="B87" s="5" t="s">
        <v>825</v>
      </c>
      <c r="C87" s="5" t="s">
        <v>562</v>
      </c>
      <c r="D87" s="5">
        <v>1</v>
      </c>
      <c r="E87" s="5" t="s">
        <v>11250</v>
      </c>
      <c r="F87" s="5" t="str">
        <f>HYPERLINK("https://data.mendeley.com/datasets/tj2m7zz4rg/2","Dataset")</f>
        <v>Dataset</v>
      </c>
      <c r="G87" s="5" t="s">
        <v>834</v>
      </c>
    </row>
    <row r="88" spans="1:7" ht="25.5">
      <c r="A88" s="5" t="s">
        <v>837</v>
      </c>
      <c r="B88" s="5" t="s">
        <v>838</v>
      </c>
      <c r="C88" s="5" t="s">
        <v>562</v>
      </c>
      <c r="D88" s="5">
        <v>1</v>
      </c>
      <c r="E88" s="5" t="s">
        <v>11250</v>
      </c>
      <c r="F88" s="5" t="str">
        <f>HYPERLINK("https://data.mendeley.com/datasets/7wr6hxk54h/1","Dataset")</f>
        <v>Dataset</v>
      </c>
      <c r="G88" s="5" t="s">
        <v>837</v>
      </c>
    </row>
    <row r="89" spans="1:7">
      <c r="A89" s="5" t="s">
        <v>847</v>
      </c>
      <c r="B89" s="5" t="s">
        <v>848</v>
      </c>
      <c r="C89" s="5" t="s">
        <v>562</v>
      </c>
      <c r="D89" s="5">
        <v>1</v>
      </c>
      <c r="E89" s="5" t="s">
        <v>11250</v>
      </c>
      <c r="F89" s="5" t="str">
        <f>HYPERLINK("https://data.mendeley.com/datasets/sywswj7djj/1","Dataset")</f>
        <v>Dataset</v>
      </c>
      <c r="G89" s="5" t="s">
        <v>847</v>
      </c>
    </row>
    <row r="90" spans="1:7">
      <c r="A90" s="5" t="s">
        <v>858</v>
      </c>
      <c r="B90" s="5" t="s">
        <v>859</v>
      </c>
      <c r="C90" s="5" t="s">
        <v>562</v>
      </c>
      <c r="D90" s="5">
        <v>1</v>
      </c>
      <c r="E90" s="5" t="s">
        <v>11250</v>
      </c>
      <c r="F90" s="5" t="str">
        <f>HYPERLINK("https://data.mendeley.com/datasets/ftcrvjz92c/1","Dataset")</f>
        <v>Dataset</v>
      </c>
      <c r="G90" s="5" t="s">
        <v>858</v>
      </c>
    </row>
    <row r="91" spans="1:7">
      <c r="A91" s="5" t="s">
        <v>865</v>
      </c>
      <c r="B91" s="5" t="s">
        <v>866</v>
      </c>
      <c r="C91" s="5" t="s">
        <v>562</v>
      </c>
      <c r="D91" s="5">
        <v>2</v>
      </c>
      <c r="E91" s="5" t="s">
        <v>11251</v>
      </c>
      <c r="F91" s="5" t="str">
        <f>HYPERLINK("https://data.mendeley.com/datasets/s5hx9n2jc3/2","Dataset")</f>
        <v>Dataset</v>
      </c>
      <c r="G91" s="5" t="s">
        <v>865</v>
      </c>
    </row>
    <row r="92" spans="1:7">
      <c r="A92" s="5" t="s">
        <v>865</v>
      </c>
      <c r="B92" s="5" t="s">
        <v>866</v>
      </c>
      <c r="C92" s="5" t="s">
        <v>1607</v>
      </c>
      <c r="D92" s="5">
        <v>2</v>
      </c>
      <c r="E92" s="5" t="s">
        <v>11251</v>
      </c>
      <c r="F92" s="5" t="str">
        <f>HYPERLINK("https://data.mendeley.com/datasets/s5hx9n2jc3/2","Dataset")</f>
        <v>Dataset</v>
      </c>
      <c r="G92" s="5" t="s">
        <v>865</v>
      </c>
    </row>
    <row r="93" spans="1:7" ht="25.5">
      <c r="A93" s="5" t="s">
        <v>876</v>
      </c>
      <c r="B93" s="5" t="s">
        <v>877</v>
      </c>
      <c r="C93" s="5" t="s">
        <v>562</v>
      </c>
      <c r="D93" s="5">
        <v>1</v>
      </c>
      <c r="E93" s="5" t="s">
        <v>11250</v>
      </c>
      <c r="F93" s="5" t="str">
        <f>HYPERLINK("https://data.mendeley.com/datasets/697w4jkr2x/2","Dataset")</f>
        <v>Dataset</v>
      </c>
      <c r="G93" s="5" t="s">
        <v>876</v>
      </c>
    </row>
    <row r="94" spans="1:7">
      <c r="A94" s="5" t="s">
        <v>883</v>
      </c>
      <c r="B94" s="5" t="s">
        <v>884</v>
      </c>
      <c r="C94" s="5" t="s">
        <v>562</v>
      </c>
      <c r="D94" s="5">
        <v>2</v>
      </c>
      <c r="E94" s="5" t="s">
        <v>11251</v>
      </c>
      <c r="F94" s="5" t="str">
        <f>HYPERLINK("https://data.mendeley.com/datasets/zs3t38sxds/1","Dataset")</f>
        <v>Dataset</v>
      </c>
      <c r="G94" s="5" t="s">
        <v>883</v>
      </c>
    </row>
    <row r="95" spans="1:7">
      <c r="A95" s="5" t="s">
        <v>883</v>
      </c>
      <c r="B95" s="5" t="s">
        <v>884</v>
      </c>
      <c r="C95" s="5" t="s">
        <v>1607</v>
      </c>
      <c r="D95" s="5">
        <v>2</v>
      </c>
      <c r="E95" s="5" t="s">
        <v>11251</v>
      </c>
      <c r="F95" s="5" t="str">
        <f>HYPERLINK("https://data.mendeley.com/datasets/zs3t38sxds/1","Dataset")</f>
        <v>Dataset</v>
      </c>
      <c r="G95" s="5" t="s">
        <v>883</v>
      </c>
    </row>
    <row r="96" spans="1:7">
      <c r="A96" s="5" t="s">
        <v>894</v>
      </c>
      <c r="B96" s="5" t="s">
        <v>895</v>
      </c>
      <c r="C96" s="5" t="s">
        <v>562</v>
      </c>
      <c r="D96" s="5">
        <v>1</v>
      </c>
      <c r="E96" s="5" t="s">
        <v>11250</v>
      </c>
      <c r="F96" s="5" t="str">
        <f>HYPERLINK("https://data.mendeley.com/datasets/27c8pwsd6v/5","Dataset")</f>
        <v>Dataset</v>
      </c>
      <c r="G96" s="5" t="s">
        <v>903</v>
      </c>
    </row>
    <row r="97" spans="1:7">
      <c r="A97" s="5" t="s">
        <v>909</v>
      </c>
      <c r="B97" s="5" t="s">
        <v>910</v>
      </c>
      <c r="C97" s="5" t="s">
        <v>562</v>
      </c>
      <c r="D97" s="5">
        <v>1</v>
      </c>
      <c r="E97" s="5" t="s">
        <v>11250</v>
      </c>
      <c r="F97" s="5" t="str">
        <f>HYPERLINK("https://data.mendeley.com/datasets/6p52w7d5xd/2","Dataset")</f>
        <v>Dataset</v>
      </c>
      <c r="G97" s="5" t="s">
        <v>909</v>
      </c>
    </row>
    <row r="98" spans="1:7" ht="25.5">
      <c r="A98" s="5" t="s">
        <v>920</v>
      </c>
      <c r="B98" s="5" t="s">
        <v>921</v>
      </c>
      <c r="C98" s="5" t="s">
        <v>562</v>
      </c>
      <c r="D98" s="5">
        <v>1</v>
      </c>
      <c r="E98" s="5" t="s">
        <v>11250</v>
      </c>
      <c r="F98" s="5" t="str">
        <f>HYPERLINK("https://data.mendeley.com/datasets/8b27pdcxv7/1","Dataset")</f>
        <v>Dataset</v>
      </c>
      <c r="G98" s="5" t="s">
        <v>920</v>
      </c>
    </row>
    <row r="99" spans="1:7">
      <c r="A99" s="5" t="s">
        <v>930</v>
      </c>
      <c r="B99" s="5" t="s">
        <v>931</v>
      </c>
      <c r="C99" s="5" t="s">
        <v>562</v>
      </c>
      <c r="D99" s="5">
        <v>1</v>
      </c>
      <c r="E99" s="5" t="s">
        <v>11250</v>
      </c>
      <c r="F99" s="5" t="str">
        <f>HYPERLINK("https://data.mendeley.com/datasets/f46zt2g83x/1","Dataset")</f>
        <v>Dataset</v>
      </c>
      <c r="G99" s="5" t="s">
        <v>930</v>
      </c>
    </row>
    <row r="100" spans="1:7">
      <c r="A100" s="5" t="s">
        <v>940</v>
      </c>
      <c r="B100" s="5" t="s">
        <v>941</v>
      </c>
      <c r="C100" s="5" t="s">
        <v>562</v>
      </c>
      <c r="D100" s="5">
        <v>1</v>
      </c>
      <c r="E100" s="5" t="s">
        <v>11250</v>
      </c>
      <c r="F100" s="5" t="str">
        <f>HYPERLINK("https://data.mendeley.com/datasets/cbm6dkvggn/1","Dataset")</f>
        <v>Dataset</v>
      </c>
      <c r="G100" s="5" t="s">
        <v>940</v>
      </c>
    </row>
    <row r="101" spans="1:7">
      <c r="A101" s="5" t="s">
        <v>947</v>
      </c>
      <c r="B101" s="5" t="s">
        <v>948</v>
      </c>
      <c r="C101" s="5" t="s">
        <v>562</v>
      </c>
      <c r="D101" s="5">
        <v>1</v>
      </c>
      <c r="E101" s="5" t="s">
        <v>11250</v>
      </c>
      <c r="F101" s="5" t="str">
        <f>HYPERLINK("https://data.mendeley.com/datasets/yb65trwbd8/3","Dataset")</f>
        <v>Dataset</v>
      </c>
      <c r="G101" s="5" t="s">
        <v>947</v>
      </c>
    </row>
    <row r="102" spans="1:7" ht="25.5">
      <c r="A102" s="5" t="s">
        <v>958</v>
      </c>
      <c r="B102" s="5" t="s">
        <v>959</v>
      </c>
      <c r="C102" s="5" t="s">
        <v>562</v>
      </c>
      <c r="D102" s="5">
        <v>1</v>
      </c>
      <c r="E102" s="5" t="s">
        <v>11250</v>
      </c>
      <c r="F102" s="5" t="str">
        <f>HYPERLINK("https://data.mendeley.com/datasets/fgtjn9kjkd/1","Dataset")</f>
        <v>Dataset</v>
      </c>
      <c r="G102" s="5" t="s">
        <v>958</v>
      </c>
    </row>
    <row r="103" spans="1:7">
      <c r="A103" s="5" t="s">
        <v>969</v>
      </c>
      <c r="B103" s="5" t="s">
        <v>970</v>
      </c>
      <c r="C103" s="5" t="s">
        <v>562</v>
      </c>
      <c r="D103" s="5">
        <v>1</v>
      </c>
      <c r="E103" s="5" t="s">
        <v>11250</v>
      </c>
      <c r="F103" s="5" t="str">
        <f>HYPERLINK("https://data.mendeley.com/datasets/kfth5g2xk3/2","Dataset")</f>
        <v>Dataset</v>
      </c>
      <c r="G103" s="5" t="s">
        <v>979</v>
      </c>
    </row>
    <row r="104" spans="1:7">
      <c r="A104" s="5" t="s">
        <v>982</v>
      </c>
      <c r="B104" s="5" t="s">
        <v>983</v>
      </c>
      <c r="C104" s="5" t="s">
        <v>562</v>
      </c>
      <c r="D104" s="5">
        <v>1</v>
      </c>
      <c r="E104" s="5" t="s">
        <v>11250</v>
      </c>
      <c r="F104" s="5" t="str">
        <f>HYPERLINK("https://data.mendeley.com/datasets/5bwfg4v4cd/3","Dataset")</f>
        <v>Dataset</v>
      </c>
      <c r="G104" s="5" t="s">
        <v>992</v>
      </c>
    </row>
    <row r="105" spans="1:7">
      <c r="A105" s="5" t="s">
        <v>995</v>
      </c>
      <c r="B105" s="5" t="s">
        <v>996</v>
      </c>
      <c r="C105" s="5" t="s">
        <v>562</v>
      </c>
      <c r="D105" s="5">
        <v>1</v>
      </c>
      <c r="E105" s="5" t="s">
        <v>11250</v>
      </c>
      <c r="F105" s="5" t="str">
        <f>HYPERLINK("https://data.mendeley.com/datasets/8wpk4c4n2m/2","Dataset")</f>
        <v>Dataset</v>
      </c>
      <c r="G105" s="5" t="s">
        <v>995</v>
      </c>
    </row>
    <row r="106" spans="1:7">
      <c r="A106" s="5" t="s">
        <v>1000</v>
      </c>
      <c r="B106" s="5" t="s">
        <v>1001</v>
      </c>
      <c r="C106" s="5" t="s">
        <v>562</v>
      </c>
      <c r="D106" s="5">
        <v>1</v>
      </c>
      <c r="E106" s="5" t="s">
        <v>11250</v>
      </c>
      <c r="F106" s="5" t="str">
        <f>HYPERLINK("https://data.mendeley.com/datasets/ypm4h4z25c/3","Dataset")</f>
        <v>Dataset</v>
      </c>
      <c r="G106" s="5" t="s">
        <v>1000</v>
      </c>
    </row>
    <row r="107" spans="1:7" ht="25.5">
      <c r="A107" s="5" t="s">
        <v>1009</v>
      </c>
      <c r="B107" s="5" t="s">
        <v>1010</v>
      </c>
      <c r="C107" s="5" t="s">
        <v>562</v>
      </c>
      <c r="D107" s="5">
        <v>1</v>
      </c>
      <c r="E107" s="5" t="s">
        <v>11250</v>
      </c>
      <c r="F107" s="5" t="str">
        <f>HYPERLINK("https://data.mendeley.com/datasets/745n5wnt7v/1","Dataset")</f>
        <v>Dataset</v>
      </c>
      <c r="G107" s="5" t="s">
        <v>1009</v>
      </c>
    </row>
    <row r="108" spans="1:7">
      <c r="A108" s="5" t="s">
        <v>18</v>
      </c>
      <c r="B108" s="5" t="s">
        <v>1020</v>
      </c>
      <c r="C108" s="5" t="s">
        <v>659</v>
      </c>
      <c r="D108" s="5">
        <v>1</v>
      </c>
      <c r="E108" s="5" t="s">
        <v>11250</v>
      </c>
      <c r="F108" s="5" t="str">
        <f>HYPERLINK("https://digitalcommons.usu.edu/all_datasets/48/","Dataset")</f>
        <v>Dataset</v>
      </c>
      <c r="G108" s="5" t="s">
        <v>18</v>
      </c>
    </row>
    <row r="109" spans="1:7">
      <c r="A109" s="5" t="s">
        <v>1033</v>
      </c>
      <c r="B109" s="5" t="s">
        <v>1034</v>
      </c>
      <c r="C109" s="5" t="s">
        <v>562</v>
      </c>
      <c r="D109" s="5">
        <v>1</v>
      </c>
      <c r="E109" s="5" t="s">
        <v>11250</v>
      </c>
      <c r="F109" s="5" t="str">
        <f>HYPERLINK("https://data.mendeley.com/datasets/gd5t95rv5t/1","Dataset")</f>
        <v>Dataset</v>
      </c>
      <c r="G109" s="5" t="s">
        <v>1033</v>
      </c>
    </row>
    <row r="110" spans="1:7" ht="25.5">
      <c r="A110" s="5" t="s">
        <v>1043</v>
      </c>
      <c r="B110" s="5" t="s">
        <v>1044</v>
      </c>
      <c r="C110" s="5" t="s">
        <v>562</v>
      </c>
      <c r="D110" s="5">
        <v>1</v>
      </c>
      <c r="E110" s="5" t="s">
        <v>11250</v>
      </c>
      <c r="F110" s="5" t="str">
        <f>HYPERLINK("https://data.mendeley.com/datasets/c6f2b7mx9t/1","Dataset")</f>
        <v>Dataset</v>
      </c>
      <c r="G110" s="5" t="s">
        <v>1043</v>
      </c>
    </row>
    <row r="111" spans="1:7">
      <c r="A111" s="5" t="s">
        <v>1053</v>
      </c>
      <c r="B111" s="5" t="s">
        <v>1054</v>
      </c>
      <c r="C111" s="5" t="s">
        <v>1065</v>
      </c>
      <c r="D111" s="5">
        <v>1</v>
      </c>
      <c r="E111" s="5" t="s">
        <v>11250</v>
      </c>
      <c r="F111" s="5" t="str">
        <f>HYPERLINK("https://huggingface.co/datasets/lambert1862/BLACrack","Dataset")</f>
        <v>Dataset</v>
      </c>
      <c r="G111" s="5" t="s">
        <v>1053</v>
      </c>
    </row>
    <row r="112" spans="1:7">
      <c r="A112" s="5" t="s">
        <v>1068</v>
      </c>
      <c r="B112" s="5" t="s">
        <v>1069</v>
      </c>
      <c r="C112" s="5" t="s">
        <v>1065</v>
      </c>
      <c r="D112" s="5">
        <v>1</v>
      </c>
      <c r="E112" s="5" t="s">
        <v>11250</v>
      </c>
      <c r="F112" s="5" t="str">
        <f>HYPERLINK("https://huggingface.co/datasets/Chrisathy/LCSD","Dataset")</f>
        <v>Dataset</v>
      </c>
      <c r="G112" s="5" t="s">
        <v>1068</v>
      </c>
    </row>
    <row r="113" spans="1:7">
      <c r="A113" s="5" t="s">
        <v>1081</v>
      </c>
      <c r="B113" s="5" t="s">
        <v>1082</v>
      </c>
      <c r="C113" s="5" t="s">
        <v>1065</v>
      </c>
      <c r="D113" s="5">
        <v>1</v>
      </c>
      <c r="E113" s="5" t="s">
        <v>11250</v>
      </c>
      <c r="F113" s="5" t="str">
        <f>HYPERLINK("https://huggingface.co/datasets/Mr-Perfectuz/crack","Dataset")</f>
        <v>Dataset</v>
      </c>
      <c r="G113" s="5" t="s">
        <v>1081</v>
      </c>
    </row>
    <row r="114" spans="1:7">
      <c r="A114" s="5" t="s">
        <v>1090</v>
      </c>
      <c r="B114" s="5" t="s">
        <v>1091</v>
      </c>
      <c r="C114" s="5" t="s">
        <v>1286</v>
      </c>
      <c r="D114" s="5">
        <v>2</v>
      </c>
      <c r="E114" s="5" t="s">
        <v>11251</v>
      </c>
      <c r="F114" s="5" t="str">
        <f>HYPERLINK("https://zenodo.org/records/17636238","Dataset")</f>
        <v>Dataset</v>
      </c>
      <c r="G114" s="5" t="s">
        <v>1090</v>
      </c>
    </row>
    <row r="115" spans="1:7">
      <c r="A115" s="5" t="s">
        <v>1090</v>
      </c>
      <c r="B115" s="5" t="s">
        <v>1091</v>
      </c>
      <c r="C115" s="5" t="s">
        <v>1065</v>
      </c>
      <c r="D115" s="5">
        <v>2</v>
      </c>
      <c r="E115" s="5" t="s">
        <v>11251</v>
      </c>
      <c r="F115" s="5" t="str">
        <f>HYPERLINK("https://zenodo.org/records/17636238","Dataset")</f>
        <v>Dataset</v>
      </c>
      <c r="G115" s="5" t="s">
        <v>1090</v>
      </c>
    </row>
    <row r="116" spans="1:7">
      <c r="A116" s="5" t="s">
        <v>1105</v>
      </c>
      <c r="B116" s="5" t="s">
        <v>1106</v>
      </c>
      <c r="C116" s="5" t="s">
        <v>1065</v>
      </c>
      <c r="D116" s="5">
        <v>1</v>
      </c>
      <c r="E116" s="5" t="s">
        <v>11250</v>
      </c>
      <c r="F116" s="5" t="str">
        <f>HYPERLINK("https://huggingface.co/datasets/fcakyon/crack-instance-segmentation","Dataset")</f>
        <v>Dataset</v>
      </c>
      <c r="G116" s="5" t="s">
        <v>1105</v>
      </c>
    </row>
    <row r="117" spans="1:7">
      <c r="A117" s="5" t="s">
        <v>1114</v>
      </c>
      <c r="B117" s="5" t="s">
        <v>1115</v>
      </c>
      <c r="C117" s="5" t="s">
        <v>1065</v>
      </c>
      <c r="D117" s="5">
        <v>1</v>
      </c>
      <c r="E117" s="5" t="s">
        <v>11250</v>
      </c>
      <c r="F117" s="5" t="str">
        <f>HYPERLINK("https://huggingface.co/datasets/Outerview/global-potholes-dataset","Dataset")</f>
        <v>Dataset</v>
      </c>
      <c r="G117" s="5" t="s">
        <v>1114</v>
      </c>
    </row>
    <row r="118" spans="1:7">
      <c r="A118" s="5" t="s">
        <v>1127</v>
      </c>
      <c r="B118" s="5" t="s">
        <v>1128</v>
      </c>
      <c r="C118" s="5" t="s">
        <v>1065</v>
      </c>
      <c r="D118" s="5">
        <v>1</v>
      </c>
      <c r="E118" s="5" t="s">
        <v>11250</v>
      </c>
      <c r="F118" s="5" t="str">
        <f>HYPERLINK("https://huggingface.co/datasets/keremberke/pothole-segmentation","Dataset")</f>
        <v>Dataset</v>
      </c>
      <c r="G118" s="5" t="s">
        <v>1127</v>
      </c>
    </row>
    <row r="119" spans="1:7">
      <c r="A119" s="5" t="s">
        <v>1139</v>
      </c>
      <c r="B119" s="5" t="s">
        <v>1140</v>
      </c>
      <c r="C119" s="5" t="s">
        <v>1065</v>
      </c>
      <c r="D119" s="5">
        <v>1</v>
      </c>
      <c r="E119" s="5" t="s">
        <v>11250</v>
      </c>
      <c r="F119" s="5" t="str">
        <f>HYPERLINK("https://huggingface.co/datasets/manot/pothole-segmentation2","Dataset")</f>
        <v>Dataset</v>
      </c>
      <c r="G119" s="5" t="s">
        <v>1139</v>
      </c>
    </row>
    <row r="120" spans="1:7">
      <c r="A120" s="5" t="s">
        <v>1147</v>
      </c>
      <c r="B120" s="5" t="s">
        <v>1148</v>
      </c>
      <c r="C120" s="5" t="s">
        <v>1065</v>
      </c>
      <c r="D120" s="5">
        <v>1</v>
      </c>
      <c r="E120" s="5" t="s">
        <v>11250</v>
      </c>
      <c r="F120" s="5" t="str">
        <f>HYPERLINK("https://huggingface.co/datasets/TamAko783/n-rdd2024-distilled-frdc","Dataset")</f>
        <v>Dataset</v>
      </c>
      <c r="G120" s="5" t="s">
        <v>1147</v>
      </c>
    </row>
    <row r="121" spans="1:7">
      <c r="A121" s="5" t="s">
        <v>39</v>
      </c>
      <c r="B121" s="5" t="s">
        <v>1158</v>
      </c>
      <c r="C121" s="5" t="s">
        <v>1065</v>
      </c>
      <c r="D121" s="5">
        <v>1</v>
      </c>
      <c r="E121" s="5" t="s">
        <v>11250</v>
      </c>
      <c r="F121" s="5" t="str">
        <f>HYPERLINK("https://huggingface.co/datasets/MML-Group/PaveBench","Dataset")</f>
        <v>Dataset</v>
      </c>
      <c r="G121" s="5" t="s">
        <v>1165</v>
      </c>
    </row>
    <row r="122" spans="1:7">
      <c r="A122" s="5" t="s">
        <v>1169</v>
      </c>
      <c r="B122" s="5" t="s">
        <v>1170</v>
      </c>
      <c r="C122" s="5" t="s">
        <v>1065</v>
      </c>
      <c r="D122" s="5">
        <v>2</v>
      </c>
      <c r="E122" s="5" t="s">
        <v>11251</v>
      </c>
      <c r="F122" s="5" t="str">
        <f>HYPERLINK("https://huggingface.co/datasets/Programmer-RD-AI/road-issues-detection-dataset","Dataset")</f>
        <v>Dataset</v>
      </c>
      <c r="G122" s="5" t="s">
        <v>1169</v>
      </c>
    </row>
    <row r="123" spans="1:7">
      <c r="A123" s="5" t="s">
        <v>1169</v>
      </c>
      <c r="B123" s="5" t="s">
        <v>1170</v>
      </c>
      <c r="C123" s="5" t="s">
        <v>1607</v>
      </c>
      <c r="D123" s="5">
        <v>2</v>
      </c>
      <c r="E123" s="5" t="s">
        <v>11251</v>
      </c>
      <c r="F123" s="5" t="str">
        <f>HYPERLINK("https://huggingface.co/datasets/Programmer-RD-AI/road-issues-detection-dataset","Dataset")</f>
        <v>Dataset</v>
      </c>
      <c r="G123" s="5" t="s">
        <v>1169</v>
      </c>
    </row>
    <row r="124" spans="1:7">
      <c r="A124" s="5" t="s">
        <v>1184</v>
      </c>
      <c r="B124" s="5" t="s">
        <v>1185</v>
      </c>
      <c r="C124" s="5" t="s">
        <v>1065</v>
      </c>
      <c r="D124" s="5">
        <v>1</v>
      </c>
      <c r="E124" s="5" t="s">
        <v>11250</v>
      </c>
      <c r="F124" s="5" t="str">
        <f>HYPERLINK("https://huggingface.co/datasets/Emanyaser/road-damage-classification","Dataset")</f>
        <v>Dataset</v>
      </c>
      <c r="G124" s="5" t="s">
        <v>1184</v>
      </c>
    </row>
    <row r="125" spans="1:7">
      <c r="A125" s="5" t="s">
        <v>1192</v>
      </c>
      <c r="B125" s="5" t="s">
        <v>1193</v>
      </c>
      <c r="C125" s="5" t="s">
        <v>1065</v>
      </c>
      <c r="D125" s="5">
        <v>1</v>
      </c>
      <c r="E125" s="5" t="s">
        <v>11250</v>
      </c>
      <c r="F125" s="5" t="str">
        <f>HYPERLINK("https://huggingface.co/datasets/cvtechniques/Road_Damage_Detection_USA","Dataset")</f>
        <v>Dataset</v>
      </c>
      <c r="G125" s="5" t="s">
        <v>1192</v>
      </c>
    </row>
    <row r="126" spans="1:7" ht="25.5">
      <c r="A126" s="5" t="s">
        <v>1204</v>
      </c>
      <c r="B126" s="5" t="s">
        <v>1205</v>
      </c>
      <c r="C126" s="5" t="s">
        <v>659</v>
      </c>
      <c r="D126" s="5">
        <v>2</v>
      </c>
      <c r="E126" s="5" t="s">
        <v>11251</v>
      </c>
      <c r="F126" s="5" t="str">
        <f>HYPERLINK("https://thu-rsxd.com/rscd/","Dataset")</f>
        <v>Dataset</v>
      </c>
      <c r="G126" s="5" t="s">
        <v>1214</v>
      </c>
    </row>
    <row r="127" spans="1:7" ht="25.5">
      <c r="A127" s="5" t="s">
        <v>1204</v>
      </c>
      <c r="B127" s="5" t="s">
        <v>1205</v>
      </c>
      <c r="C127" s="5" t="s">
        <v>1065</v>
      </c>
      <c r="D127" s="5">
        <v>2</v>
      </c>
      <c r="E127" s="5" t="s">
        <v>11251</v>
      </c>
      <c r="F127" s="5" t="str">
        <f>HYPERLINK("https://thu-rsxd.com/rscd/","Dataset")</f>
        <v>Dataset</v>
      </c>
      <c r="G127" s="5" t="s">
        <v>1214</v>
      </c>
    </row>
    <row r="128" spans="1:7">
      <c r="A128" s="5" t="s">
        <v>1221</v>
      </c>
      <c r="B128" s="5" t="s">
        <v>1222</v>
      </c>
      <c r="C128" s="5" t="s">
        <v>1065</v>
      </c>
      <c r="D128" s="5">
        <v>1</v>
      </c>
      <c r="E128" s="5" t="s">
        <v>11250</v>
      </c>
      <c r="F128" s="5" t="str">
        <f>HYPERLINK("https://huggingface.co/datasets/Ryukijano/Pothole-detection-Yolov8","Dataset")</f>
        <v>Dataset</v>
      </c>
      <c r="G128" s="5" t="s">
        <v>1221</v>
      </c>
    </row>
    <row r="129" spans="1:7">
      <c r="A129" s="5" t="s">
        <v>1232</v>
      </c>
      <c r="B129" s="5" t="s">
        <v>1233</v>
      </c>
      <c r="C129" s="5" t="s">
        <v>1286</v>
      </c>
      <c r="D129" s="5">
        <v>2</v>
      </c>
      <c r="E129" s="5" t="s">
        <v>11251</v>
      </c>
      <c r="F129" s="5" t="str">
        <f>HYPERLINK("https://zenodo.org/records/10100129","Dataset")</f>
        <v>Dataset</v>
      </c>
      <c r="G129" s="5" t="s">
        <v>1232</v>
      </c>
    </row>
    <row r="130" spans="1:7">
      <c r="A130" s="5" t="s">
        <v>1232</v>
      </c>
      <c r="B130" s="5" t="s">
        <v>1233</v>
      </c>
      <c r="C130" s="5" t="s">
        <v>1065</v>
      </c>
      <c r="D130" s="5">
        <v>2</v>
      </c>
      <c r="E130" s="5" t="s">
        <v>11251</v>
      </c>
      <c r="F130" s="5" t="str">
        <f>HYPERLINK("https://zenodo.org/records/10100129","Dataset")</f>
        <v>Dataset</v>
      </c>
      <c r="G130" s="5" t="s">
        <v>1232</v>
      </c>
    </row>
    <row r="131" spans="1:7">
      <c r="A131" s="5" t="s">
        <v>1244</v>
      </c>
      <c r="B131" s="5" t="s">
        <v>1245</v>
      </c>
      <c r="C131" s="5" t="s">
        <v>1065</v>
      </c>
      <c r="D131" s="5">
        <v>1</v>
      </c>
      <c r="E131" s="5" t="s">
        <v>11250</v>
      </c>
      <c r="F131" s="5" t="str">
        <f>HYPERLINK("https://huggingface.co/datasets/taroii/pothole-detection","Dataset")</f>
        <v>Dataset</v>
      </c>
      <c r="G131" s="5" t="s">
        <v>1244</v>
      </c>
    </row>
    <row r="132" spans="1:7">
      <c r="A132" s="5" t="s">
        <v>1250</v>
      </c>
      <c r="B132" s="5" t="s">
        <v>1251</v>
      </c>
      <c r="C132" s="5" t="s">
        <v>1065</v>
      </c>
      <c r="D132" s="5">
        <v>1</v>
      </c>
      <c r="E132" s="5" t="s">
        <v>11250</v>
      </c>
      <c r="F132" s="5" t="str">
        <f>HYPERLINK("https://huggingface.co/datasets/TamAko783/Unified_Road_Defect_Dataset","Dataset")</f>
        <v>Dataset</v>
      </c>
      <c r="G132" s="5" t="s">
        <v>1250</v>
      </c>
    </row>
    <row r="133" spans="1:7">
      <c r="A133" s="5" t="s">
        <v>1261</v>
      </c>
      <c r="B133" s="5" t="s">
        <v>1262</v>
      </c>
      <c r="C133" s="5" t="s">
        <v>1065</v>
      </c>
      <c r="D133" s="5">
        <v>1</v>
      </c>
      <c r="E133" s="5" t="s">
        <v>11250</v>
      </c>
      <c r="F133" s="5" t="str">
        <f>HYPERLINK("https://huggingface.co/datasets/TamAko783/Unified_Road_Defect_FRDC_Pseudolabeled_v2","Dataset")</f>
        <v>Dataset</v>
      </c>
      <c r="G133" s="5" t="s">
        <v>1261</v>
      </c>
    </row>
    <row r="134" spans="1:7">
      <c r="A134" s="5" t="s">
        <v>1270</v>
      </c>
      <c r="B134" s="5" t="s">
        <v>1271</v>
      </c>
      <c r="C134" s="5" t="s">
        <v>1065</v>
      </c>
      <c r="D134" s="5">
        <v>1</v>
      </c>
      <c r="E134" s="5" t="s">
        <v>11250</v>
      </c>
      <c r="F134" s="5" t="str">
        <f>HYPERLINK("https://huggingface.co/datasets/varcoder/crack-segmentation-dataset","Dataset")</f>
        <v>Dataset</v>
      </c>
      <c r="G134" s="5" t="s">
        <v>1270</v>
      </c>
    </row>
    <row r="135" spans="1:7" ht="38.25">
      <c r="A135" s="5" t="s">
        <v>1280</v>
      </c>
      <c r="B135" s="5" t="s">
        <v>1281</v>
      </c>
      <c r="C135" s="5" t="s">
        <v>1286</v>
      </c>
      <c r="D135" s="5">
        <v>1</v>
      </c>
      <c r="E135" s="5" t="s">
        <v>11250</v>
      </c>
      <c r="F135" s="5" t="str">
        <f>HYPERLINK("https://zenodo.org/records/18241476","Dataset")</f>
        <v>Dataset</v>
      </c>
      <c r="G135" s="5" t="s">
        <v>1280</v>
      </c>
    </row>
    <row r="136" spans="1:7" ht="25.5">
      <c r="A136" s="5" t="s">
        <v>1289</v>
      </c>
      <c r="B136" s="5" t="s">
        <v>1290</v>
      </c>
      <c r="C136" s="5" t="s">
        <v>1286</v>
      </c>
      <c r="D136" s="5">
        <v>1</v>
      </c>
      <c r="E136" s="5" t="s">
        <v>11250</v>
      </c>
      <c r="F136" s="5" t="str">
        <f>HYPERLINK("https://zenodo.org/records/20040434","Dataset")</f>
        <v>Dataset</v>
      </c>
      <c r="G136" s="5" t="s">
        <v>1289</v>
      </c>
    </row>
    <row r="137" spans="1:7" ht="25.5">
      <c r="A137" s="5" t="s">
        <v>1299</v>
      </c>
      <c r="B137" s="5" t="s">
        <v>1300</v>
      </c>
      <c r="C137" s="5" t="s">
        <v>1286</v>
      </c>
      <c r="D137" s="5">
        <v>1</v>
      </c>
      <c r="E137" s="5" t="s">
        <v>11250</v>
      </c>
      <c r="F137" s="5" t="str">
        <f>HYPERLINK("https://zenodo.org/records/18735883","Dataset")</f>
        <v>Dataset</v>
      </c>
      <c r="G137" s="5" t="s">
        <v>1299</v>
      </c>
    </row>
    <row r="138" spans="1:7">
      <c r="A138" s="5" t="s">
        <v>1311</v>
      </c>
      <c r="B138" s="5" t="s">
        <v>1312</v>
      </c>
      <c r="C138" s="5" t="s">
        <v>1286</v>
      </c>
      <c r="D138" s="5">
        <v>1</v>
      </c>
      <c r="E138" s="5" t="s">
        <v>11250</v>
      </c>
      <c r="F138" s="5" t="str">
        <f>HYPERLINK("https://zenodo.org/records/16291115","Dataset")</f>
        <v>Dataset</v>
      </c>
      <c r="G138" s="5" t="s">
        <v>1311</v>
      </c>
    </row>
    <row r="139" spans="1:7">
      <c r="A139" s="5" t="s">
        <v>1320</v>
      </c>
      <c r="B139" s="5" t="s">
        <v>1321</v>
      </c>
      <c r="C139" s="5" t="s">
        <v>1286</v>
      </c>
      <c r="D139" s="5">
        <v>1</v>
      </c>
      <c r="E139" s="5" t="s">
        <v>11250</v>
      </c>
      <c r="F139" s="5" t="str">
        <f>HYPERLINK("https://zenodo.org/records/18704114","Dataset")</f>
        <v>Dataset</v>
      </c>
      <c r="G139" s="5" t="s">
        <v>1320</v>
      </c>
    </row>
    <row r="140" spans="1:7" ht="25.5">
      <c r="A140" s="5" t="s">
        <v>1334</v>
      </c>
      <c r="B140" s="5" t="s">
        <v>1335</v>
      </c>
      <c r="C140" s="5" t="s">
        <v>1286</v>
      </c>
      <c r="D140" s="5">
        <v>1</v>
      </c>
      <c r="E140" s="5" t="s">
        <v>11250</v>
      </c>
      <c r="F140" s="5" t="str">
        <f>HYPERLINK("https://zenodo.org/records/3383693","Dataset")</f>
        <v>Dataset</v>
      </c>
      <c r="G140" s="5" t="s">
        <v>1334</v>
      </c>
    </row>
    <row r="141" spans="1:7" ht="25.5">
      <c r="A141" s="5" t="s">
        <v>1345</v>
      </c>
      <c r="B141" s="5" t="s">
        <v>1346</v>
      </c>
      <c r="C141" s="5" t="s">
        <v>1286</v>
      </c>
      <c r="D141" s="5">
        <v>1</v>
      </c>
      <c r="E141" s="5" t="s">
        <v>11250</v>
      </c>
      <c r="F141" s="5" t="str">
        <f>HYPERLINK("https://zenodo.org/records/11625865","Dataset")</f>
        <v>Dataset</v>
      </c>
      <c r="G141" s="5" t="s">
        <v>1345</v>
      </c>
    </row>
    <row r="142" spans="1:7" ht="25.5">
      <c r="A142" s="5" t="s">
        <v>1354</v>
      </c>
      <c r="B142" s="5" t="s">
        <v>1355</v>
      </c>
      <c r="C142" s="5" t="s">
        <v>1286</v>
      </c>
      <c r="D142" s="5">
        <v>1</v>
      </c>
      <c r="E142" s="5" t="s">
        <v>11250</v>
      </c>
      <c r="F142" s="5" t="str">
        <f>HYPERLINK("https://zenodo.org/records/11625820","Dataset")</f>
        <v>Dataset</v>
      </c>
      <c r="G142" s="5" t="s">
        <v>1354</v>
      </c>
    </row>
    <row r="143" spans="1:7">
      <c r="A143" s="5" t="s">
        <v>1359</v>
      </c>
      <c r="B143" s="5" t="s">
        <v>1360</v>
      </c>
      <c r="C143" s="5" t="s">
        <v>1286</v>
      </c>
      <c r="D143" s="5">
        <v>1</v>
      </c>
      <c r="E143" s="5" t="s">
        <v>11250</v>
      </c>
      <c r="F143" s="5" t="str">
        <f>HYPERLINK("https://zenodo.org/records/20454801","Dataset")</f>
        <v>Dataset</v>
      </c>
      <c r="G143" s="5" t="s">
        <v>1359</v>
      </c>
    </row>
    <row r="144" spans="1:7" ht="25.5">
      <c r="A144" s="5" t="s">
        <v>1369</v>
      </c>
      <c r="B144" s="5" t="s">
        <v>1370</v>
      </c>
      <c r="C144" s="5" t="s">
        <v>1286</v>
      </c>
      <c r="D144" s="5">
        <v>1</v>
      </c>
      <c r="E144" s="5" t="s">
        <v>11250</v>
      </c>
      <c r="F144" s="5" t="str">
        <f>HYPERLINK("https://zenodo.org/records/18072573","Dataset")</f>
        <v>Dataset</v>
      </c>
      <c r="G144" s="5" t="s">
        <v>1369</v>
      </c>
    </row>
    <row r="145" spans="1:7" ht="25.5">
      <c r="A145" s="5" t="s">
        <v>1379</v>
      </c>
      <c r="B145" s="5" t="s">
        <v>1380</v>
      </c>
      <c r="C145" s="5" t="s">
        <v>1286</v>
      </c>
      <c r="D145" s="5">
        <v>1</v>
      </c>
      <c r="E145" s="5" t="s">
        <v>11250</v>
      </c>
      <c r="F145" s="5" t="str">
        <f>HYPERLINK("https://zenodo.org/records/18114226","Dataset")</f>
        <v>Dataset</v>
      </c>
      <c r="G145" s="5" t="s">
        <v>1379</v>
      </c>
    </row>
    <row r="146" spans="1:7">
      <c r="A146" s="5" t="s">
        <v>1385</v>
      </c>
      <c r="B146" s="5" t="s">
        <v>1386</v>
      </c>
      <c r="C146" s="5" t="s">
        <v>1286</v>
      </c>
      <c r="D146" s="5">
        <v>1</v>
      </c>
      <c r="E146" s="5" t="s">
        <v>11250</v>
      </c>
      <c r="F146" s="5" t="str">
        <f>HYPERLINK("https://zenodo.org/records/17189667","Dataset")</f>
        <v>Dataset</v>
      </c>
      <c r="G146" s="5" t="s">
        <v>1385</v>
      </c>
    </row>
    <row r="147" spans="1:7" ht="25.5">
      <c r="A147" s="5" t="s">
        <v>1394</v>
      </c>
      <c r="B147" s="5" t="s">
        <v>1395</v>
      </c>
      <c r="C147" s="5" t="s">
        <v>1286</v>
      </c>
      <c r="D147" s="5">
        <v>1</v>
      </c>
      <c r="E147" s="5" t="s">
        <v>11250</v>
      </c>
      <c r="F147" s="5" t="str">
        <f>HYPERLINK("https://zenodo.org/records/6383044","Dataset")</f>
        <v>Dataset</v>
      </c>
      <c r="G147" s="5" t="s">
        <v>1394</v>
      </c>
    </row>
    <row r="148" spans="1:7" ht="38.25">
      <c r="A148" s="5" t="s">
        <v>1405</v>
      </c>
      <c r="B148" s="5" t="s">
        <v>1406</v>
      </c>
      <c r="C148" s="5" t="s">
        <v>1286</v>
      </c>
      <c r="D148" s="5">
        <v>1</v>
      </c>
      <c r="E148" s="5" t="s">
        <v>11250</v>
      </c>
      <c r="F148" s="5" t="str">
        <f>HYPERLINK("https://zenodo.org/records/20727180","Dataset")</f>
        <v>Dataset</v>
      </c>
      <c r="G148" s="5" t="s">
        <v>1405</v>
      </c>
    </row>
    <row r="149" spans="1:7">
      <c r="A149" s="5" t="s">
        <v>1416</v>
      </c>
      <c r="B149" s="5" t="s">
        <v>1417</v>
      </c>
      <c r="C149" s="5" t="s">
        <v>1286</v>
      </c>
      <c r="D149" s="5">
        <v>1</v>
      </c>
      <c r="E149" s="5" t="s">
        <v>11250</v>
      </c>
      <c r="F149" s="5" t="str">
        <f>HYPERLINK("https://zenodo.org/records/21370736","Dataset")</f>
        <v>Dataset</v>
      </c>
      <c r="G149" s="5" t="s">
        <v>1416</v>
      </c>
    </row>
    <row r="150" spans="1:7" ht="25.5">
      <c r="A150" s="5" t="s">
        <v>1427</v>
      </c>
      <c r="B150" s="5" t="s">
        <v>1428</v>
      </c>
      <c r="C150" s="5" t="s">
        <v>1286</v>
      </c>
      <c r="D150" s="5">
        <v>1</v>
      </c>
      <c r="E150" s="5" t="s">
        <v>11250</v>
      </c>
      <c r="F150" s="5" t="str">
        <f>HYPERLINK("https://zenodo.org/records/21167531","Dataset")</f>
        <v>Dataset</v>
      </c>
      <c r="G150" s="5" t="s">
        <v>1427</v>
      </c>
    </row>
    <row r="151" spans="1:7">
      <c r="A151" s="5" t="s">
        <v>1439</v>
      </c>
      <c r="B151" s="5" t="s">
        <v>1440</v>
      </c>
      <c r="C151" s="5" t="s">
        <v>1286</v>
      </c>
      <c r="D151" s="5">
        <v>1</v>
      </c>
      <c r="E151" s="5" t="s">
        <v>11250</v>
      </c>
      <c r="F151" s="5" t="str">
        <f>HYPERLINK("https://zenodo.org/records/7795975","Dataset")</f>
        <v>Dataset</v>
      </c>
      <c r="G151" s="5" t="s">
        <v>1439</v>
      </c>
    </row>
    <row r="152" spans="1:7" ht="25.5">
      <c r="A152" s="5" t="s">
        <v>1450</v>
      </c>
      <c r="B152" s="5" t="s">
        <v>1451</v>
      </c>
      <c r="C152" s="5" t="s">
        <v>1286</v>
      </c>
      <c r="D152" s="5">
        <v>1</v>
      </c>
      <c r="E152" s="5" t="s">
        <v>11250</v>
      </c>
      <c r="F152" s="5" t="str">
        <f>HYPERLINK("https://zenodo.org/records/19267189","Dataset")</f>
        <v>Dataset</v>
      </c>
      <c r="G152" s="5" t="s">
        <v>1450</v>
      </c>
    </row>
    <row r="153" spans="1:7">
      <c r="A153" s="5" t="s">
        <v>1462</v>
      </c>
      <c r="B153" s="5" t="s">
        <v>1463</v>
      </c>
      <c r="C153" s="5" t="s">
        <v>1286</v>
      </c>
      <c r="D153" s="5">
        <v>1</v>
      </c>
      <c r="E153" s="5" t="s">
        <v>11250</v>
      </c>
      <c r="F153" s="5" t="str">
        <f>HYPERLINK("https://zenodo.org/records/15229291","Dataset")</f>
        <v>Dataset</v>
      </c>
      <c r="G153" s="5" t="s">
        <v>1462</v>
      </c>
    </row>
    <row r="154" spans="1:7" ht="25.5">
      <c r="A154" s="5" t="s">
        <v>1469</v>
      </c>
      <c r="B154" s="5" t="s">
        <v>1470</v>
      </c>
      <c r="C154" s="5" t="s">
        <v>1286</v>
      </c>
      <c r="D154" s="5">
        <v>1</v>
      </c>
      <c r="E154" s="5" t="s">
        <v>11250</v>
      </c>
      <c r="F154" s="5" t="str">
        <f>HYPERLINK("https://zenodo.org/records/18208073","Dataset")</f>
        <v>Dataset</v>
      </c>
      <c r="G154" s="5" t="s">
        <v>1469</v>
      </c>
    </row>
    <row r="155" spans="1:7" ht="25.5">
      <c r="A155" s="5" t="s">
        <v>1480</v>
      </c>
      <c r="B155" s="5" t="s">
        <v>1481</v>
      </c>
      <c r="C155" s="5" t="s">
        <v>1286</v>
      </c>
      <c r="D155" s="5">
        <v>1</v>
      </c>
      <c r="E155" s="5" t="s">
        <v>11250</v>
      </c>
      <c r="F155" s="5" t="str">
        <f>HYPERLINK("https://zenodo.org/records/20581123","Dataset")</f>
        <v>Dataset</v>
      </c>
      <c r="G155" s="5" t="s">
        <v>1480</v>
      </c>
    </row>
    <row r="156" spans="1:7">
      <c r="A156" s="5" t="s">
        <v>1488</v>
      </c>
      <c r="B156" s="5" t="s">
        <v>1489</v>
      </c>
      <c r="C156" s="5" t="s">
        <v>1286</v>
      </c>
      <c r="D156" s="5">
        <v>1</v>
      </c>
      <c r="E156" s="5" t="s">
        <v>11250</v>
      </c>
      <c r="F156" s="5" t="str">
        <f>HYPERLINK("https://zenodo.org/records/7681876","Dataset")</f>
        <v>Dataset</v>
      </c>
      <c r="G156" s="5" t="s">
        <v>1488</v>
      </c>
    </row>
    <row r="157" spans="1:7">
      <c r="A157" s="5" t="s">
        <v>1495</v>
      </c>
      <c r="B157" s="5" t="s">
        <v>1496</v>
      </c>
      <c r="C157" s="5" t="s">
        <v>1286</v>
      </c>
      <c r="D157" s="5">
        <v>2</v>
      </c>
      <c r="E157" s="5" t="s">
        <v>11251</v>
      </c>
      <c r="F157" s="5" t="str">
        <f>HYPERLINK("https://zenodo.org/records/18528034","Dataset")</f>
        <v>Dataset</v>
      </c>
      <c r="G157" s="5" t="s">
        <v>1495</v>
      </c>
    </row>
    <row r="158" spans="1:7">
      <c r="A158" s="5" t="s">
        <v>1495</v>
      </c>
      <c r="B158" s="5" t="s">
        <v>1496</v>
      </c>
      <c r="C158" s="5" t="s">
        <v>1607</v>
      </c>
      <c r="D158" s="5">
        <v>2</v>
      </c>
      <c r="E158" s="5" t="s">
        <v>11251</v>
      </c>
      <c r="F158" s="5" t="str">
        <f>HYPERLINK("https://zenodo.org/records/18528034","Dataset")</f>
        <v>Dataset</v>
      </c>
      <c r="G158" s="5" t="s">
        <v>1495</v>
      </c>
    </row>
    <row r="159" spans="1:7" ht="25.5">
      <c r="A159" s="5" t="s">
        <v>1511</v>
      </c>
      <c r="B159" s="5" t="s">
        <v>1512</v>
      </c>
      <c r="C159" s="5" t="s">
        <v>1286</v>
      </c>
      <c r="D159" s="5">
        <v>1</v>
      </c>
      <c r="E159" s="5" t="s">
        <v>11250</v>
      </c>
      <c r="F159" s="5" t="str">
        <f>HYPERLINK("https://zenodo.org/records/21701636","Dataset")</f>
        <v>Dataset</v>
      </c>
      <c r="G159" s="5" t="s">
        <v>1511</v>
      </c>
    </row>
    <row r="160" spans="1:7" ht="25.5">
      <c r="A160" s="5" t="s">
        <v>1521</v>
      </c>
      <c r="B160" s="5" t="s">
        <v>1522</v>
      </c>
      <c r="C160" s="5" t="s">
        <v>1286</v>
      </c>
      <c r="D160" s="5">
        <v>1</v>
      </c>
      <c r="E160" s="5" t="s">
        <v>11250</v>
      </c>
      <c r="F160" s="5" t="str">
        <f>HYPERLINK("https://zenodo.org/records/17194814","Dataset")</f>
        <v>Dataset</v>
      </c>
      <c r="G160" s="5" t="s">
        <v>1521</v>
      </c>
    </row>
    <row r="161" spans="1:7">
      <c r="A161" s="5" t="s">
        <v>1533</v>
      </c>
      <c r="B161" s="5" t="s">
        <v>1534</v>
      </c>
      <c r="C161" s="5" t="s">
        <v>1286</v>
      </c>
      <c r="D161" s="5">
        <v>1</v>
      </c>
      <c r="E161" s="5" t="s">
        <v>11250</v>
      </c>
      <c r="F161" s="5" t="str">
        <f>HYPERLINK("https://zenodo.org/records/17952339","Dataset")</f>
        <v>Dataset</v>
      </c>
      <c r="G161" s="5" t="s">
        <v>1533</v>
      </c>
    </row>
    <row r="162" spans="1:7">
      <c r="A162" s="5" t="s">
        <v>1543</v>
      </c>
      <c r="B162" s="5" t="s">
        <v>1544</v>
      </c>
      <c r="C162" s="5" t="s">
        <v>1286</v>
      </c>
      <c r="D162" s="5">
        <v>1</v>
      </c>
      <c r="E162" s="5" t="s">
        <v>11250</v>
      </c>
      <c r="F162" s="5" t="str">
        <f>HYPERLINK("https://zenodo.org/records/20687211","Dataset")</f>
        <v>Dataset</v>
      </c>
      <c r="G162" s="5" t="s">
        <v>1543</v>
      </c>
    </row>
    <row r="163" spans="1:7">
      <c r="A163" s="5" t="s">
        <v>1554</v>
      </c>
      <c r="B163" s="5" t="s">
        <v>1555</v>
      </c>
      <c r="C163" s="5" t="s">
        <v>1286</v>
      </c>
      <c r="D163" s="5">
        <v>1</v>
      </c>
      <c r="E163" s="5" t="s">
        <v>11250</v>
      </c>
      <c r="F163" s="5" t="str">
        <f>HYPERLINK("https://zenodo.org/records/11473582","Dataset")</f>
        <v>Dataset</v>
      </c>
      <c r="G163" s="5" t="s">
        <v>1554</v>
      </c>
    </row>
    <row r="164" spans="1:7" ht="25.5">
      <c r="A164" s="5" t="s">
        <v>53</v>
      </c>
      <c r="B164" s="5" t="s">
        <v>1566</v>
      </c>
      <c r="C164" s="5" t="s">
        <v>1286</v>
      </c>
      <c r="D164" s="5">
        <v>1</v>
      </c>
      <c r="E164" s="5" t="s">
        <v>11250</v>
      </c>
      <c r="F164" s="5" t="str">
        <f>HYPERLINK("https://zenodo.org/records/8429208","Dataset")</f>
        <v>Dataset</v>
      </c>
      <c r="G164" s="5" t="s">
        <v>53</v>
      </c>
    </row>
    <row r="165" spans="1:7">
      <c r="A165" s="5" t="s">
        <v>1578</v>
      </c>
      <c r="B165" s="5" t="s">
        <v>1579</v>
      </c>
      <c r="C165" s="5" t="s">
        <v>1286</v>
      </c>
      <c r="D165" s="5">
        <v>1</v>
      </c>
      <c r="E165" s="5" t="s">
        <v>11250</v>
      </c>
      <c r="F165" s="5" t="str">
        <f>HYPERLINK("https://zenodo.org/records/4244084","Dataset")</f>
        <v>Dataset</v>
      </c>
      <c r="G165" s="5" t="s">
        <v>1578</v>
      </c>
    </row>
    <row r="166" spans="1:7">
      <c r="A166" s="5" t="s">
        <v>1588</v>
      </c>
      <c r="B166" s="5" t="s">
        <v>1589</v>
      </c>
      <c r="C166" s="5" t="s">
        <v>1286</v>
      </c>
      <c r="D166" s="5">
        <v>2</v>
      </c>
      <c r="E166" s="5" t="s">
        <v>11251</v>
      </c>
      <c r="F166" s="5" t="str">
        <f>HYPERLINK("https://zenodo.org/records/20365503","Dataset")</f>
        <v>Dataset</v>
      </c>
      <c r="G166" s="5" t="s">
        <v>1588</v>
      </c>
    </row>
    <row r="167" spans="1:7">
      <c r="A167" s="5" t="s">
        <v>1588</v>
      </c>
      <c r="B167" s="5" t="s">
        <v>1589</v>
      </c>
      <c r="C167" s="5" t="s">
        <v>1607</v>
      </c>
      <c r="D167" s="5">
        <v>2</v>
      </c>
      <c r="E167" s="5" t="s">
        <v>11251</v>
      </c>
      <c r="F167" s="5" t="str">
        <f>HYPERLINK("https://zenodo.org/records/20365503","Dataset")</f>
        <v>Dataset</v>
      </c>
      <c r="G167" s="5" t="s">
        <v>1588</v>
      </c>
    </row>
    <row r="168" spans="1:7">
      <c r="A168" s="5" t="s">
        <v>1599</v>
      </c>
      <c r="B168" s="5" t="s">
        <v>1600</v>
      </c>
      <c r="C168" s="5" t="s">
        <v>1607</v>
      </c>
      <c r="D168" s="5">
        <v>1</v>
      </c>
      <c r="E168" s="5" t="s">
        <v>11250</v>
      </c>
      <c r="F168" s="5" t="str">
        <f>HYPERLINK("https://www.kaggle.com/datasets/chitholian/annotated-potholes-dataset","Dataset")</f>
        <v>Dataset</v>
      </c>
      <c r="G168" s="5" t="s">
        <v>1599</v>
      </c>
    </row>
    <row r="169" spans="1:7">
      <c r="A169" s="5" t="s">
        <v>1610</v>
      </c>
      <c r="B169" s="5" t="s">
        <v>1611</v>
      </c>
      <c r="C169" s="5" t="s">
        <v>1607</v>
      </c>
      <c r="D169" s="5">
        <v>1</v>
      </c>
      <c r="E169" s="5" t="s">
        <v>11250</v>
      </c>
      <c r="F169" s="5" t="str">
        <f>HYPERLINK("https://www.kaggle.com/datasets/idanbaru/annotated-potholes-with-severity-levels","Dataset")</f>
        <v>Dataset</v>
      </c>
      <c r="G169" s="5" t="s">
        <v>1610</v>
      </c>
    </row>
    <row r="170" spans="1:7">
      <c r="A170" s="5" t="s">
        <v>1622</v>
      </c>
      <c r="B170" s="5" t="s">
        <v>1623</v>
      </c>
      <c r="C170" s="5" t="s">
        <v>1607</v>
      </c>
      <c r="D170" s="5">
        <v>1</v>
      </c>
      <c r="E170" s="5" t="s">
        <v>11250</v>
      </c>
      <c r="F170" s="5" t="str">
        <f>HYPERLINK("https://www.kaggle.com/datasets/abrahamanderson/asphalt-cracks","Dataset")</f>
        <v>Dataset</v>
      </c>
      <c r="G170" s="5" t="s">
        <v>1622</v>
      </c>
    </row>
    <row r="171" spans="1:7">
      <c r="A171" s="5" t="s">
        <v>1628</v>
      </c>
      <c r="B171" s="5" t="s">
        <v>1629</v>
      </c>
      <c r="C171" s="5" t="s">
        <v>1607</v>
      </c>
      <c r="D171" s="5">
        <v>1</v>
      </c>
      <c r="E171" s="5" t="s">
        <v>11250</v>
      </c>
      <c r="F171" s="5" t="str">
        <f>HYPERLINK("https://www.kaggle.com/datasets/shubhamadsul97/cdac-dai-pavement-distress-detection","Dataset")</f>
        <v>Dataset</v>
      </c>
      <c r="G171" s="5" t="s">
        <v>1628</v>
      </c>
    </row>
    <row r="172" spans="1:7">
      <c r="A172" s="5" t="s">
        <v>1636</v>
      </c>
      <c r="B172" s="5" t="s">
        <v>1637</v>
      </c>
      <c r="C172" s="5" t="s">
        <v>1607</v>
      </c>
      <c r="D172" s="5">
        <v>1</v>
      </c>
      <c r="E172" s="5" t="s">
        <v>11250</v>
      </c>
      <c r="F172" s="5" t="str">
        <f>HYPERLINK("https://www.kaggle.com/datasets/aryanbadiee/combinedcrack","Dataset")</f>
        <v>Dataset</v>
      </c>
      <c r="G172" s="5" t="s">
        <v>1636</v>
      </c>
    </row>
    <row r="173" spans="1:7">
      <c r="A173" s="5" t="s">
        <v>1644</v>
      </c>
      <c r="B173" s="5" t="s">
        <v>1645</v>
      </c>
      <c r="C173" s="5" t="s">
        <v>1607</v>
      </c>
      <c r="D173" s="5">
        <v>1</v>
      </c>
      <c r="E173" s="5" t="s">
        <v>11250</v>
      </c>
      <c r="F173" s="5" t="str">
        <f>HYPERLINK("https://www.kaggle.com/datasets/ammanaveen/custom-multitask-indian-road-dataset-cmird","Dataset")</f>
        <v>Dataset</v>
      </c>
      <c r="G173" s="5" t="s">
        <v>1644</v>
      </c>
    </row>
    <row r="174" spans="1:7">
      <c r="A174" s="5" t="s">
        <v>1653</v>
      </c>
      <c r="B174" s="5" t="s">
        <v>1654</v>
      </c>
      <c r="C174" s="5" t="s">
        <v>1607</v>
      </c>
      <c r="D174" s="5">
        <v>1</v>
      </c>
      <c r="E174" s="5" t="s">
        <v>11250</v>
      </c>
      <c r="F174" s="5" t="str">
        <f>HYPERLINK("https://www.kaggle.com/datasets/ziya07/highway-surface-crack-detection","Dataset")</f>
        <v>Dataset</v>
      </c>
      <c r="G174" s="5" t="s">
        <v>1653</v>
      </c>
    </row>
    <row r="175" spans="1:7">
      <c r="A175" s="5" t="s">
        <v>1662</v>
      </c>
      <c r="B175" s="5" t="s">
        <v>1663</v>
      </c>
      <c r="C175" s="5" t="s">
        <v>1607</v>
      </c>
      <c r="D175" s="5">
        <v>1</v>
      </c>
      <c r="E175" s="5" t="s">
        <v>11250</v>
      </c>
      <c r="F175" s="5" t="str">
        <f>HYPERLINK("https://www.kaggle.com/datasets/srajanchourasia/pothole-dataset","Dataset")</f>
        <v>Dataset</v>
      </c>
      <c r="G175" s="5" t="s">
        <v>1662</v>
      </c>
    </row>
    <row r="176" spans="1:7">
      <c r="A176" s="5" t="s">
        <v>1671</v>
      </c>
      <c r="B176" s="5" t="s">
        <v>1672</v>
      </c>
      <c r="C176" s="5" t="s">
        <v>1607</v>
      </c>
      <c r="D176" s="5">
        <v>1</v>
      </c>
      <c r="E176" s="5" t="s">
        <v>11250</v>
      </c>
      <c r="F176" s="5" t="str">
        <f>HYPERLINK("https://www.kaggle.com/datasets/abdukeram/intersecting-crack-analysis","Dataset")</f>
        <v>Dataset</v>
      </c>
      <c r="G176" s="5" t="s">
        <v>1671</v>
      </c>
    </row>
    <row r="177" spans="1:7">
      <c r="A177" s="5" t="s">
        <v>1679</v>
      </c>
      <c r="B177" s="5" t="s">
        <v>1680</v>
      </c>
      <c r="C177" s="5" t="s">
        <v>1607</v>
      </c>
      <c r="D177" s="5">
        <v>1</v>
      </c>
      <c r="E177" s="5" t="s">
        <v>11250</v>
      </c>
      <c r="F177" s="5" t="str">
        <f>HYPERLINK("https://www.kaggle.com/datasets/salimhammadi07/miia-pothole-image-classification-challenge","Dataset")</f>
        <v>Dataset</v>
      </c>
      <c r="G177" s="5" t="s">
        <v>1679</v>
      </c>
    </row>
    <row r="178" spans="1:7">
      <c r="A178" s="5" t="s">
        <v>1691</v>
      </c>
      <c r="B178" s="5" t="s">
        <v>1692</v>
      </c>
      <c r="C178" s="5" t="s">
        <v>1607</v>
      </c>
      <c r="D178" s="5">
        <v>1</v>
      </c>
      <c r="E178" s="5" t="s">
        <v>11250</v>
      </c>
      <c r="F178" s="5" t="str">
        <f>HYPERLINK("https://www.kaggle.com/datasets/bandisr/post-earthquake-asphalt-crack-classification","Dataset")</f>
        <v>Dataset</v>
      </c>
      <c r="G178" s="5" t="s">
        <v>1691</v>
      </c>
    </row>
    <row r="179" spans="1:7">
      <c r="A179" s="5" t="s">
        <v>1701</v>
      </c>
      <c r="B179" s="5" t="s">
        <v>1702</v>
      </c>
      <c r="C179" s="5" t="s">
        <v>1607</v>
      </c>
      <c r="D179" s="5">
        <v>1</v>
      </c>
      <c r="E179" s="5" t="s">
        <v>11250</v>
      </c>
      <c r="F179" s="5" t="str">
        <f>HYPERLINK("https://www.kaggle.com/datasets/andrewmvd/pothole-detection","Dataset")</f>
        <v>Dataset</v>
      </c>
      <c r="G179" s="5" t="s">
        <v>1701</v>
      </c>
    </row>
    <row r="180" spans="1:7">
      <c r="A180" s="5" t="s">
        <v>1709</v>
      </c>
      <c r="B180" s="5" t="s">
        <v>1710</v>
      </c>
      <c r="C180" s="5" t="s">
        <v>1607</v>
      </c>
      <c r="D180" s="5">
        <v>1</v>
      </c>
      <c r="E180" s="5" t="s">
        <v>11250</v>
      </c>
      <c r="F180" s="5" t="str">
        <f>HYPERLINK("https://www.kaggle.com/datasets/atulyakumar98/pothole-detection-dataset","Dataset")</f>
        <v>Dataset</v>
      </c>
      <c r="G180" s="5" t="s">
        <v>1709</v>
      </c>
    </row>
    <row r="181" spans="1:7">
      <c r="A181" s="5" t="s">
        <v>1717</v>
      </c>
      <c r="B181" s="5" t="s">
        <v>1718</v>
      </c>
      <c r="C181" s="5" t="s">
        <v>1607</v>
      </c>
      <c r="D181" s="5">
        <v>1</v>
      </c>
      <c r="E181" s="5" t="s">
        <v>11250</v>
      </c>
      <c r="F181" s="5" t="str">
        <f>HYPERLINK("https://www.kaggle.com/datasets/muskanverma24/pothole-detection-dataset-yolov11-optimized","Dataset")</f>
        <v>Dataset</v>
      </c>
      <c r="G181" s="5" t="s">
        <v>1717</v>
      </c>
    </row>
    <row r="182" spans="1:7">
      <c r="A182" s="5" t="s">
        <v>1727</v>
      </c>
      <c r="B182" s="5" t="s">
        <v>1728</v>
      </c>
      <c r="C182" s="5" t="s">
        <v>1607</v>
      </c>
      <c r="D182" s="5">
        <v>1</v>
      </c>
      <c r="E182" s="5" t="s">
        <v>11250</v>
      </c>
      <c r="F182" s="5" t="str">
        <f>HYPERLINK("https://www.kaggle.com/datasets/raunakkesharwani/pothole-image-segmentation-dataset","Dataset")</f>
        <v>Dataset</v>
      </c>
      <c r="G182" s="5" t="s">
        <v>1727</v>
      </c>
    </row>
    <row r="183" spans="1:7">
      <c r="A183" s="5" t="s">
        <v>1736</v>
      </c>
      <c r="B183" s="5" t="s">
        <v>1737</v>
      </c>
      <c r="C183" s="5" t="s">
        <v>1607</v>
      </c>
      <c r="D183" s="5">
        <v>1</v>
      </c>
      <c r="E183" s="5" t="s">
        <v>11250</v>
      </c>
      <c r="F183" s="5" t="str">
        <f>HYPERLINK("https://www.kaggle.com/datasets/farzadnekouei/pothole-image-segmentation-dataset","Dataset")</f>
        <v>Dataset</v>
      </c>
      <c r="G183" s="5" t="s">
        <v>1736</v>
      </c>
    </row>
    <row r="184" spans="1:7">
      <c r="A184" s="5" t="s">
        <v>1746</v>
      </c>
      <c r="B184" s="5" t="s">
        <v>1747</v>
      </c>
      <c r="C184" s="5" t="s">
        <v>1607</v>
      </c>
      <c r="D184" s="5">
        <v>1</v>
      </c>
      <c r="E184" s="5" t="s">
        <v>11250</v>
      </c>
      <c r="F184" s="5" t="str">
        <f>HYPERLINK("https://www.kaggle.com/datasets/abdulrahmanksaeed/pothole-patrol-normalized-dataset","Dataset")</f>
        <v>Dataset</v>
      </c>
      <c r="G184" s="5" t="s">
        <v>1746</v>
      </c>
    </row>
    <row r="185" spans="1:7">
      <c r="A185" s="5" t="s">
        <v>1756</v>
      </c>
      <c r="B185" s="5" t="s">
        <v>1757</v>
      </c>
      <c r="C185" s="5" t="s">
        <v>1607</v>
      </c>
      <c r="D185" s="5">
        <v>1</v>
      </c>
      <c r="E185" s="5" t="s">
        <v>11250</v>
      </c>
      <c r="F185" s="5" t="str">
        <f>HYPERLINK("https://www.kaggle.com/datasets/gracehephzibahm/pothole-severity-classification","Dataset")</f>
        <v>Dataset</v>
      </c>
      <c r="G185" s="5" t="s">
        <v>1756</v>
      </c>
    </row>
    <row r="186" spans="1:7">
      <c r="A186" s="5" t="s">
        <v>1767</v>
      </c>
      <c r="B186" s="5" t="s">
        <v>1768</v>
      </c>
      <c r="C186" s="5" t="s">
        <v>1607</v>
      </c>
      <c r="D186" s="5">
        <v>1</v>
      </c>
      <c r="E186" s="5" t="s">
        <v>11250</v>
      </c>
      <c r="F186" s="5" t="str">
        <f>HYPERLINK("https://www.kaggle.com/datasets/sabidrahman/pothole-cracks-and-openmanhole","Dataset")</f>
        <v>Dataset</v>
      </c>
      <c r="G186" s="5" t="s">
        <v>1767</v>
      </c>
    </row>
    <row r="187" spans="1:7">
      <c r="A187" s="5" t="s">
        <v>60</v>
      </c>
      <c r="B187" s="5" t="s">
        <v>61</v>
      </c>
      <c r="C187" s="5" t="s">
        <v>659</v>
      </c>
      <c r="D187" s="5">
        <v>2</v>
      </c>
      <c r="E187" s="5" t="s">
        <v>11251</v>
      </c>
      <c r="F187" s="5" t="str">
        <f>HYPERLINK("https://sites.google.com/view/pothole-600/dataset","Dataset")</f>
        <v>Dataset</v>
      </c>
      <c r="G187" s="5" t="s">
        <v>1784</v>
      </c>
    </row>
    <row r="188" spans="1:7">
      <c r="A188" s="5" t="s">
        <v>60</v>
      </c>
      <c r="B188" s="5" t="s">
        <v>61</v>
      </c>
      <c r="C188" s="5" t="s">
        <v>1607</v>
      </c>
      <c r="D188" s="5">
        <v>2</v>
      </c>
      <c r="E188" s="5" t="s">
        <v>11251</v>
      </c>
      <c r="F188" s="5" t="str">
        <f>HYPERLINK("https://sites.google.com/view/pothole-600/dataset","Dataset")</f>
        <v>Dataset</v>
      </c>
      <c r="G188" s="5" t="s">
        <v>1784</v>
      </c>
    </row>
    <row r="189" spans="1:7">
      <c r="A189" s="5" t="s">
        <v>1790</v>
      </c>
      <c r="B189" s="5" t="s">
        <v>1791</v>
      </c>
      <c r="C189" s="5" t="s">
        <v>1607</v>
      </c>
      <c r="D189" s="5">
        <v>1</v>
      </c>
      <c r="E189" s="5" t="s">
        <v>11250</v>
      </c>
      <c r="F189" s="5" t="str">
        <f>HYPERLINK("https://www.kaggle.com/datasets/dataclusterlabs/potholes-or-cracks-on-road-image-dataset","Dataset")</f>
        <v>Dataset</v>
      </c>
      <c r="G189" s="5" t="s">
        <v>1790</v>
      </c>
    </row>
    <row r="190" spans="1:7">
      <c r="A190" s="5" t="s">
        <v>1800</v>
      </c>
      <c r="B190" s="5" t="s">
        <v>1801</v>
      </c>
      <c r="C190" s="5" t="s">
        <v>1607</v>
      </c>
      <c r="D190" s="5">
        <v>1</v>
      </c>
      <c r="E190" s="5" t="s">
        <v>11250</v>
      </c>
      <c r="F190" s="5" t="str">
        <f>HYPERLINK("https://www.kaggle.com/datasets/mahyeks/pothrgbd-rgb-and-depth-images-of-potholes","Dataset")</f>
        <v>Dataset</v>
      </c>
      <c r="G190" s="5" t="s">
        <v>1800</v>
      </c>
    </row>
    <row r="191" spans="1:7">
      <c r="A191" s="5" t="s">
        <v>67</v>
      </c>
      <c r="B191" s="5" t="s">
        <v>1808</v>
      </c>
      <c r="C191" s="5" t="s">
        <v>129</v>
      </c>
      <c r="D191" s="5">
        <v>2</v>
      </c>
      <c r="E191" s="5" t="s">
        <v>11251</v>
      </c>
      <c r="F191" s="5" t="str">
        <f>HYPERLINK("https://github.com/jefmenegazzo/Intelligent-Vehicle-Perception-Based-on-Inertial-Sensing-and-Artificial-Intelligence","Dataset")</f>
        <v>Dataset</v>
      </c>
      <c r="G191" s="5" t="s">
        <v>1817</v>
      </c>
    </row>
    <row r="192" spans="1:7">
      <c r="A192" s="5" t="s">
        <v>67</v>
      </c>
      <c r="B192" s="5" t="s">
        <v>1808</v>
      </c>
      <c r="C192" s="5" t="s">
        <v>1607</v>
      </c>
      <c r="D192" s="5">
        <v>2</v>
      </c>
      <c r="E192" s="5" t="s">
        <v>11251</v>
      </c>
      <c r="F192" s="5" t="str">
        <f>HYPERLINK("https://github.com/jefmenegazzo/Intelligent-Vehicle-Perception-Based-on-Inertial-Sensing-and-Artificial-Intelligence","Dataset")</f>
        <v>Dataset</v>
      </c>
      <c r="G192" s="5" t="s">
        <v>1817</v>
      </c>
    </row>
    <row r="193" spans="1:7">
      <c r="A193" s="5" t="s">
        <v>1821</v>
      </c>
      <c r="B193" s="5" t="s">
        <v>1822</v>
      </c>
      <c r="C193" s="5" t="s">
        <v>1607</v>
      </c>
      <c r="D193" s="5">
        <v>1</v>
      </c>
      <c r="E193" s="5" t="s">
        <v>11250</v>
      </c>
      <c r="F193" s="5" t="str">
        <f>HYPERLINK("https://www.kaggle.com/datasets/rohitsuresh15/radroad-anomaly-detection","Dataset")</f>
        <v>Dataset</v>
      </c>
      <c r="G193" s="5" t="s">
        <v>1821</v>
      </c>
    </row>
    <row r="194" spans="1:7">
      <c r="A194" s="5" t="s">
        <v>1831</v>
      </c>
      <c r="B194" s="5" t="s">
        <v>1832</v>
      </c>
      <c r="C194" s="5" t="s">
        <v>1607</v>
      </c>
      <c r="D194" s="5">
        <v>1</v>
      </c>
      <c r="E194" s="5" t="s">
        <v>11250</v>
      </c>
      <c r="F194" s="5" t="str">
        <f>HYPERLINK("https://www.kaggle.com/datasets/juusos/rdd2022es","Dataset")</f>
        <v>Dataset</v>
      </c>
      <c r="G194" s="5" t="s">
        <v>1831</v>
      </c>
    </row>
    <row r="195" spans="1:7">
      <c r="A195" s="5" t="s">
        <v>1837</v>
      </c>
      <c r="B195" s="5" t="s">
        <v>1838</v>
      </c>
      <c r="C195" s="5" t="s">
        <v>1607</v>
      </c>
      <c r="D195" s="5">
        <v>1</v>
      </c>
      <c r="E195" s="5" t="s">
        <v>11250</v>
      </c>
      <c r="F195" s="5" t="str">
        <f>HYPERLINK("https://www.kaggle.com/datasets/rukiyeaydn/road-crack-dataset","Dataset")</f>
        <v>Dataset</v>
      </c>
      <c r="G195" s="5" t="s">
        <v>1837</v>
      </c>
    </row>
    <row r="196" spans="1:7">
      <c r="A196" s="5" t="s">
        <v>1844</v>
      </c>
      <c r="B196" s="5" t="s">
        <v>1845</v>
      </c>
      <c r="C196" s="5" t="s">
        <v>1607</v>
      </c>
      <c r="D196" s="5">
        <v>1</v>
      </c>
      <c r="E196" s="5" t="s">
        <v>11250</v>
      </c>
      <c r="F196" s="5" t="str">
        <f>HYPERLINK("https://www.kaggle.com/datasets/alvarobasily/road-damage","Dataset")</f>
        <v>Dataset</v>
      </c>
      <c r="G196" s="5" t="s">
        <v>1844</v>
      </c>
    </row>
    <row r="197" spans="1:7">
      <c r="A197" s="5" t="s">
        <v>1855</v>
      </c>
      <c r="B197" s="5" t="s">
        <v>1856</v>
      </c>
      <c r="C197" s="5" t="s">
        <v>1607</v>
      </c>
      <c r="D197" s="5">
        <v>1</v>
      </c>
      <c r="E197" s="5" t="s">
        <v>11250</v>
      </c>
      <c r="F197" s="5" t="str">
        <f>HYPERLINK("https://www.kaggle.com/datasets/yuzhang0211/road-defect-classification-dataset","Dataset")</f>
        <v>Dataset</v>
      </c>
      <c r="G197" s="5" t="s">
        <v>1855</v>
      </c>
    </row>
    <row r="198" spans="1:7">
      <c r="A198" s="5" t="s">
        <v>1860</v>
      </c>
      <c r="B198" s="5" t="s">
        <v>1861</v>
      </c>
      <c r="C198" s="5" t="s">
        <v>1607</v>
      </c>
      <c r="D198" s="5">
        <v>1</v>
      </c>
      <c r="E198" s="5" t="s">
        <v>11250</v>
      </c>
      <c r="F198" s="5" t="str">
        <f>HYPERLINK("https://www.kaggle.com/datasets/patelmihir/road-defects-nonaugmented","Dataset")</f>
        <v>Dataset</v>
      </c>
      <c r="G198" s="5" t="s">
        <v>1860</v>
      </c>
    </row>
    <row r="199" spans="1:7">
      <c r="A199" s="5" t="s">
        <v>1868</v>
      </c>
      <c r="B199" s="5" t="s">
        <v>1869</v>
      </c>
      <c r="C199" s="5" t="s">
        <v>1607</v>
      </c>
      <c r="D199" s="5">
        <v>1</v>
      </c>
      <c r="E199" s="5" t="s">
        <v>11250</v>
      </c>
      <c r="F199" s="5" t="str">
        <f>HYPERLINK("https://www.kaggle.com/datasets/sovitrath/road-pothole-images-for-pothole-detection","Dataset")</f>
        <v>Dataset</v>
      </c>
      <c r="G199" s="5" t="s">
        <v>1868</v>
      </c>
    </row>
    <row r="200" spans="1:7">
      <c r="A200" s="5" t="s">
        <v>1877</v>
      </c>
      <c r="B200" s="5" t="s">
        <v>1878</v>
      </c>
      <c r="C200" s="5" t="s">
        <v>1607</v>
      </c>
      <c r="D200" s="5">
        <v>1</v>
      </c>
      <c r="E200" s="5" t="s">
        <v>11250</v>
      </c>
      <c r="F200" s="5" t="str">
        <f>HYPERLINK("https://www.kaggle.com/datasets/nickkotarelas/road-quality-dataset","Dataset")</f>
        <v>Dataset</v>
      </c>
      <c r="G200" s="5" t="s">
        <v>1877</v>
      </c>
    </row>
    <row r="201" spans="1:7">
      <c r="A201" s="5" t="s">
        <v>1888</v>
      </c>
      <c r="B201" s="5" t="s">
        <v>1889</v>
      </c>
      <c r="C201" s="5" t="s">
        <v>1607</v>
      </c>
      <c r="D201" s="5">
        <v>1</v>
      </c>
      <c r="E201" s="5" t="s">
        <v>11250</v>
      </c>
      <c r="F201" s="5" t="str">
        <f>HYPERLINK("https://www.kaggle.com/datasets/angelikafarahmanoppo/road-surface-dataset-datasetjalan","Dataset")</f>
        <v>Dataset</v>
      </c>
      <c r="G201" s="5" t="s">
        <v>1888</v>
      </c>
    </row>
    <row r="202" spans="1:7">
      <c r="A202" s="5" t="s">
        <v>1895</v>
      </c>
      <c r="B202" s="5" t="s">
        <v>1896</v>
      </c>
      <c r="C202" s="5" t="s">
        <v>1607</v>
      </c>
      <c r="D202" s="5">
        <v>1</v>
      </c>
      <c r="E202" s="5" t="s">
        <v>11250</v>
      </c>
      <c r="F202" s="5" t="str">
        <f>HYPERLINK("https://www.kaggle.com/datasets/zara2099/road-surface-recognition-dataset","Dataset")</f>
        <v>Dataset</v>
      </c>
      <c r="G202" s="5" t="s">
        <v>1895</v>
      </c>
    </row>
    <row r="203" spans="1:7">
      <c r="A203" s="5" t="s">
        <v>1905</v>
      </c>
      <c r="B203" s="5" t="s">
        <v>1906</v>
      </c>
      <c r="C203" s="5" t="s">
        <v>1607</v>
      </c>
      <c r="D203" s="5">
        <v>1</v>
      </c>
      <c r="E203" s="5" t="s">
        <v>11250</v>
      </c>
      <c r="F203" s="5" t="str">
        <f>HYPERLINK("https://www.kaggle.com/datasets/saadkhan0/road-conditionalert-dataset","Dataset")</f>
        <v>Dataset</v>
      </c>
      <c r="G203" s="5" t="s">
        <v>1905</v>
      </c>
    </row>
    <row r="204" spans="1:7">
      <c r="A204" s="5" t="s">
        <v>1913</v>
      </c>
      <c r="B204" s="5" t="s">
        <v>1914</v>
      </c>
      <c r="C204" s="5" t="s">
        <v>1607</v>
      </c>
      <c r="D204" s="5">
        <v>1</v>
      </c>
      <c r="E204" s="5" t="s">
        <v>11250</v>
      </c>
      <c r="F204" s="5" t="str">
        <f>HYPERLINK("https://www.kaggle.com/datasets/danishghaffar786/roads-and-bridges-cracks-yolov8-format","Dataset")</f>
        <v>Dataset</v>
      </c>
      <c r="G204" s="5" t="s">
        <v>1913</v>
      </c>
    </row>
    <row r="205" spans="1:7">
      <c r="A205" s="5" t="s">
        <v>1922</v>
      </c>
      <c r="B205" s="5" t="s">
        <v>1923</v>
      </c>
      <c r="C205" s="5" t="s">
        <v>1607</v>
      </c>
      <c r="D205" s="5">
        <v>1</v>
      </c>
      <c r="E205" s="5" t="s">
        <v>11250</v>
      </c>
      <c r="F205" s="5" t="str">
        <f>HYPERLINK("https://www.kaggle.com/datasets/mohamedaminebelasri7/roadscan-dataset","Dataset")</f>
        <v>Dataset</v>
      </c>
      <c r="G205" s="5" t="s">
        <v>1922</v>
      </c>
    </row>
    <row r="206" spans="1:7">
      <c r="A206" s="5" t="s">
        <v>1930</v>
      </c>
      <c r="B206" s="5" t="s">
        <v>1931</v>
      </c>
      <c r="C206" s="5" t="s">
        <v>1607</v>
      </c>
      <c r="D206" s="5">
        <v>1</v>
      </c>
      <c r="E206" s="5" t="s">
        <v>11250</v>
      </c>
      <c r="F206" s="5" t="str">
        <f>HYPERLINK("https://www.kaggle.com/datasets/guijiezhu/stu-camcrack792","Dataset")</f>
        <v>Dataset</v>
      </c>
      <c r="G206" s="5" t="s">
        <v>1930</v>
      </c>
    </row>
    <row r="207" spans="1:7" ht="25.5">
      <c r="A207" s="5" t="s">
        <v>1941</v>
      </c>
      <c r="B207" s="5" t="s">
        <v>1942</v>
      </c>
      <c r="C207" s="5" t="s">
        <v>1607</v>
      </c>
      <c r="D207" s="5">
        <v>1</v>
      </c>
      <c r="E207" s="5" t="s">
        <v>11250</v>
      </c>
      <c r="F207" s="5" t="str">
        <f>HYPERLINK("https://www.kaggle.com/datasets/patelravi07/enhanced-uav-pdd","Dataset")</f>
        <v>Dataset</v>
      </c>
      <c r="G207" s="5" t="s">
        <v>1941</v>
      </c>
    </row>
    <row r="208" spans="1:7">
      <c r="A208" s="5" t="s">
        <v>1954</v>
      </c>
      <c r="B208" s="5" t="s">
        <v>1955</v>
      </c>
      <c r="C208" s="5" t="s">
        <v>1607</v>
      </c>
      <c r="D208" s="5">
        <v>2</v>
      </c>
      <c r="E208" s="5" t="s">
        <v>11251</v>
      </c>
      <c r="F208" s="5" t="str">
        <f>HYPERLINK("https://www.kaggle.com/datasets/adamnovozmsk/ward-weather-aware-road-dataset","Dataset")</f>
        <v>Dataset</v>
      </c>
      <c r="G208" s="5" t="s">
        <v>1966</v>
      </c>
    </row>
    <row r="209" spans="1:7">
      <c r="A209" s="5" t="s">
        <v>1954</v>
      </c>
      <c r="B209" s="5" t="s">
        <v>1955</v>
      </c>
      <c r="C209" s="5" t="s">
        <v>659</v>
      </c>
      <c r="D209" s="5">
        <v>2</v>
      </c>
      <c r="E209" s="5" t="s">
        <v>11251</v>
      </c>
      <c r="F209" s="5" t="str">
        <f>HYPERLINK("https://www.kaggle.com/datasets/adamnovozmsk/ward-weather-aware-road-dataset","Dataset")</f>
        <v>Dataset</v>
      </c>
      <c r="G209" s="5" t="s">
        <v>1966</v>
      </c>
    </row>
    <row r="210" spans="1:7">
      <c r="A210" s="5" t="s">
        <v>1971</v>
      </c>
      <c r="B210" s="5" t="s">
        <v>1972</v>
      </c>
      <c r="C210" s="5" t="s">
        <v>659</v>
      </c>
      <c r="D210" s="5">
        <v>1</v>
      </c>
      <c r="E210" s="5" t="s">
        <v>11250</v>
      </c>
      <c r="F210" s="5" t="str">
        <f>HYPERLINK("https://www.irit.fr/~Sylvie.Chambon/Crack_Detection_Database.html","Dataset")</f>
        <v>Dataset</v>
      </c>
      <c r="G210" s="5" t="s">
        <v>1971</v>
      </c>
    </row>
    <row r="211" spans="1:7">
      <c r="A211" s="5" t="s">
        <v>1981</v>
      </c>
      <c r="B211" s="5" t="s">
        <v>1982</v>
      </c>
      <c r="C211" s="5" t="s">
        <v>1065</v>
      </c>
      <c r="D211" s="5">
        <v>1</v>
      </c>
      <c r="E211" s="5" t="s">
        <v>11250</v>
      </c>
      <c r="F211" s="5" t="str">
        <f>HYPERLINK("https://huggingface.co/datasets/natix-network-org/natix-edge-case-driving-dataset","Dataset")</f>
        <v>Dataset</v>
      </c>
      <c r="G211" s="5" t="s">
        <v>1992</v>
      </c>
    </row>
    <row r="212" spans="1:7">
      <c r="A212" s="5" t="s">
        <v>1997</v>
      </c>
      <c r="B212" s="5" t="s">
        <v>1998</v>
      </c>
      <c r="C212" s="5" t="s">
        <v>1065</v>
      </c>
      <c r="D212" s="5">
        <v>1</v>
      </c>
      <c r="E212" s="5" t="s">
        <v>11250</v>
      </c>
      <c r="F212" s="5" t="str">
        <f>HYPERLINK("https://huggingface.co/datasets/DarrylT/M2S-RoAD","Dataset")</f>
        <v>Dataset</v>
      </c>
      <c r="G212" s="5" t="s">
        <v>2007</v>
      </c>
    </row>
    <row r="213" spans="1:7">
      <c r="A213" s="5" t="s">
        <v>2011</v>
      </c>
      <c r="B213" s="5" t="s">
        <v>2012</v>
      </c>
      <c r="C213" s="5" t="s">
        <v>1065</v>
      </c>
      <c r="D213" s="5">
        <v>1</v>
      </c>
      <c r="E213" s="5" t="s">
        <v>11250</v>
      </c>
      <c r="F213" s="5" t="str">
        <f>HYPERLINK("https://huggingface.co/datasets/AD-Assurance-Lab/winter-driving-dataset","Dataset")</f>
        <v>Dataset</v>
      </c>
      <c r="G213" s="5" t="s">
        <v>2021</v>
      </c>
    </row>
    <row r="214" spans="1:7">
      <c r="A214" s="5" t="s">
        <v>2025</v>
      </c>
      <c r="B214" s="5" t="s">
        <v>2026</v>
      </c>
      <c r="C214" s="5" t="s">
        <v>659</v>
      </c>
      <c r="D214" s="5">
        <v>1</v>
      </c>
      <c r="E214" s="5" t="s">
        <v>11250</v>
      </c>
      <c r="F214" s="5" t="str">
        <f>HYPERLINK("https://lapix.ufsc.br/pesquisas/projeto-veiculo-autonomo/datasets/?lang=en","Dataset")</f>
        <v>Dataset</v>
      </c>
      <c r="G214" s="5" t="s">
        <v>2035</v>
      </c>
    </row>
    <row r="215" spans="1:7">
      <c r="A215" s="5" t="s">
        <v>2040</v>
      </c>
      <c r="B215" s="5" t="s">
        <v>2041</v>
      </c>
      <c r="C215" s="5" t="s">
        <v>1065</v>
      </c>
      <c r="D215" s="5">
        <v>1</v>
      </c>
      <c r="E215" s="5" t="s">
        <v>11250</v>
      </c>
      <c r="F215" s="5" t="str">
        <f>HYPERLINK("https://huggingface.co/datasets/ysilabs/latam-urban-driving-sample","Dataset")</f>
        <v>Dataset</v>
      </c>
      <c r="G215" s="5" t="s">
        <v>2050</v>
      </c>
    </row>
    <row r="216" spans="1:7">
      <c r="A216" s="5" t="s">
        <v>81</v>
      </c>
      <c r="B216" s="5" t="s">
        <v>2053</v>
      </c>
      <c r="C216" s="5" t="s">
        <v>659</v>
      </c>
      <c r="D216" s="5">
        <v>1</v>
      </c>
      <c r="E216" s="5" t="s">
        <v>11250</v>
      </c>
      <c r="F216" s="5" t="str">
        <f>HYPERLINK("https://zod.zenseact.com/frames/","Dataset")</f>
        <v>Dataset</v>
      </c>
      <c r="G216" s="5" t="s">
        <v>2062</v>
      </c>
    </row>
    <row r="217" spans="1:7">
      <c r="A217" s="5" t="s">
        <v>2066</v>
      </c>
      <c r="B217" s="5" t="s">
        <v>2067</v>
      </c>
      <c r="C217" s="5" t="s">
        <v>659</v>
      </c>
      <c r="D217" s="5">
        <v>1</v>
      </c>
      <c r="E217" s="5" t="s">
        <v>11250</v>
      </c>
      <c r="F217" s="5" t="str">
        <f>HYPERLINK("https://www.uni-ulm.de/en/in/institute-of-measurement-control-and-microtechnology/research/data-sets/dense-datasets/","Dataset")</f>
        <v>Dataset</v>
      </c>
      <c r="G217" s="5" t="s">
        <v>2076</v>
      </c>
    </row>
    <row r="218" spans="1:7">
      <c r="A218" s="5" t="s">
        <v>2080</v>
      </c>
      <c r="B218" s="5" t="s">
        <v>2081</v>
      </c>
      <c r="C218" s="5" t="s">
        <v>659</v>
      </c>
      <c r="D218" s="5">
        <v>1</v>
      </c>
      <c r="E218" s="5" t="s">
        <v>11250</v>
      </c>
      <c r="F218" s="5" t="str">
        <f>HYPERLINK("https://www.viscoda.com/index.php/en/downloads-en/roadsaw-dataset","Dataset")</f>
        <v>Dataset</v>
      </c>
      <c r="G218" s="5" t="s">
        <v>2090</v>
      </c>
    </row>
    <row r="219" spans="1:7">
      <c r="A219" s="5" t="s">
        <v>2095</v>
      </c>
      <c r="B219" s="5" t="s">
        <v>2096</v>
      </c>
      <c r="C219" s="5" t="s">
        <v>659</v>
      </c>
      <c r="D219" s="5">
        <v>1</v>
      </c>
      <c r="E219" s="5" t="s">
        <v>11250</v>
      </c>
      <c r="F219" s="5" t="str">
        <f>HYPERLINK("https://www.viscoda.com/index.php/en/downloads-en/roadsc-dataset","Dataset")</f>
        <v>Dataset</v>
      </c>
      <c r="G219" s="5" t="s">
        <v>2104</v>
      </c>
    </row>
    <row r="220" spans="1:7" ht="25.5">
      <c r="A220" s="5" t="s">
        <v>2107</v>
      </c>
      <c r="B220" s="5" t="s">
        <v>2108</v>
      </c>
      <c r="C220" s="5" t="s">
        <v>129</v>
      </c>
      <c r="D220" s="5">
        <v>1</v>
      </c>
      <c r="E220" s="5" t="s">
        <v>11250</v>
      </c>
      <c r="F220" s="5" t="str">
        <f>HYPERLINK("https://github.com/ShaoyanZhai2001/SAVeD","Dataset")</f>
        <v>Dataset</v>
      </c>
      <c r="G220" s="5" t="s">
        <v>2118</v>
      </c>
    </row>
    <row r="221" spans="1:7">
      <c r="A221" s="5" t="s">
        <v>2122</v>
      </c>
      <c r="B221" s="5" t="s">
        <v>2123</v>
      </c>
      <c r="C221" s="5" t="s">
        <v>659</v>
      </c>
      <c r="D221" s="5">
        <v>1</v>
      </c>
      <c r="E221" s="5" t="s">
        <v>11250</v>
      </c>
      <c r="F221" s="5" t="str">
        <f>HYPERLINK("https://doi.org/10.6084/m9.figshare.30341143.v3","Dataset")</f>
        <v>Dataset</v>
      </c>
      <c r="G221" s="5" t="s">
        <v>2132</v>
      </c>
    </row>
    <row r="222" spans="1:7">
      <c r="A222" s="5" t="s">
        <v>2136</v>
      </c>
      <c r="B222" s="5" t="s">
        <v>2137</v>
      </c>
      <c r="C222" s="5" t="s">
        <v>659</v>
      </c>
      <c r="D222" s="5">
        <v>1</v>
      </c>
      <c r="E222" s="5" t="s">
        <v>11250</v>
      </c>
      <c r="F222" s="5" t="str">
        <f>HYPERLINK("https://thu-rsxd.com/dxhdiefb/","Dataset")</f>
        <v>Dataset</v>
      </c>
      <c r="G222" s="5" t="s">
        <v>2147</v>
      </c>
    </row>
    <row r="223" spans="1:7">
      <c r="A223" s="5" t="s">
        <v>2151</v>
      </c>
      <c r="B223" s="5" t="s">
        <v>2152</v>
      </c>
      <c r="C223" s="5" t="s">
        <v>129</v>
      </c>
      <c r="D223" s="5">
        <v>1</v>
      </c>
      <c r="E223" s="5" t="s">
        <v>11250</v>
      </c>
      <c r="F223" s="5" t="str">
        <f>HYPERLINK("https://github.com/hanshenChen/HRP4K","Dataset")</f>
        <v>Dataset</v>
      </c>
      <c r="G223" s="5" t="s">
        <v>2161</v>
      </c>
    </row>
    <row r="224" spans="1:7">
      <c r="A224" s="5" t="s">
        <v>2165</v>
      </c>
      <c r="B224" s="5" t="s">
        <v>2166</v>
      </c>
      <c r="C224" s="5" t="s">
        <v>129</v>
      </c>
      <c r="D224" s="5">
        <v>1</v>
      </c>
      <c r="E224" s="5" t="s">
        <v>11250</v>
      </c>
      <c r="F224" s="5" t="str">
        <f>HYPERLINK("https://github.com/unmannedlab/RELLIS-3D","Dataset")</f>
        <v>Dataset</v>
      </c>
      <c r="G224" s="5" t="s">
        <v>2177</v>
      </c>
    </row>
    <row r="225" spans="1:7">
      <c r="A225" s="5" t="s">
        <v>2181</v>
      </c>
      <c r="B225" s="5" t="s">
        <v>2182</v>
      </c>
      <c r="C225" s="5" t="s">
        <v>659</v>
      </c>
      <c r="D225" s="5">
        <v>1</v>
      </c>
      <c r="E225" s="5" t="s">
        <v>11250</v>
      </c>
      <c r="F225" s="5" t="str">
        <f>HYPERLINK("https://road-dataset.github.io/","Dataset")</f>
        <v>Dataset</v>
      </c>
      <c r="G225" s="5" t="s">
        <v>2191</v>
      </c>
    </row>
    <row r="226" spans="1:7">
      <c r="A226" s="5" t="s">
        <v>2195</v>
      </c>
      <c r="B226" s="5" t="s">
        <v>2196</v>
      </c>
      <c r="C226" s="5" t="s">
        <v>659</v>
      </c>
      <c r="D226" s="5">
        <v>1</v>
      </c>
      <c r="E226" s="5" t="s">
        <v>11250</v>
      </c>
      <c r="F226" s="5" t="str">
        <f>HYPERLINK("https://www.tu-ilmenau.de/fileadmin/Bereiche/IA/neurob/Datasets/Request-Gaps3.pdf","Dataset")</f>
        <v>Dataset</v>
      </c>
      <c r="G226" s="5" t="s">
        <v>2205</v>
      </c>
    </row>
    <row r="227" spans="1:7">
      <c r="A227" s="5" t="s">
        <v>2210</v>
      </c>
      <c r="B227" s="5" t="s">
        <v>2211</v>
      </c>
      <c r="C227" s="5" t="s">
        <v>659</v>
      </c>
      <c r="D227" s="5">
        <v>1</v>
      </c>
      <c r="E227" s="5" t="s">
        <v>11250</v>
      </c>
      <c r="F227" s="16" t="s">
        <v>4</v>
      </c>
      <c r="G227" s="5" t="s">
        <v>2220</v>
      </c>
    </row>
    <row r="228" spans="1:7">
      <c r="A228" s="5" t="s">
        <v>2223</v>
      </c>
      <c r="B228" s="5" t="s">
        <v>2224</v>
      </c>
      <c r="C228" s="5" t="s">
        <v>659</v>
      </c>
      <c r="D228" s="5">
        <v>1</v>
      </c>
      <c r="E228" s="5" t="s">
        <v>11250</v>
      </c>
      <c r="F228" s="5" t="str">
        <f>HYPERLINK("https://www.mapillary.com/dataset/vistas","Dataset")</f>
        <v>Dataset</v>
      </c>
      <c r="G228" s="5" t="s">
        <v>2234</v>
      </c>
    </row>
    <row r="229" spans="1:7">
      <c r="A229" s="5" t="s">
        <v>2238</v>
      </c>
      <c r="B229" s="5" t="s">
        <v>2239</v>
      </c>
      <c r="C229" s="5" t="s">
        <v>1286</v>
      </c>
      <c r="D229" s="5">
        <v>1</v>
      </c>
      <c r="E229" s="5" t="s">
        <v>11250</v>
      </c>
      <c r="F229" s="5" t="str">
        <f>HYPERLINK("https://zenodo.org/records/11449977","Dataset")</f>
        <v>Dataset</v>
      </c>
      <c r="G229" s="5" t="s">
        <v>2248</v>
      </c>
    </row>
    <row r="230" spans="1:7">
      <c r="A230" s="5" t="s">
        <v>2252</v>
      </c>
      <c r="B230" s="5" t="s">
        <v>2253</v>
      </c>
      <c r="C230" s="5" t="s">
        <v>659</v>
      </c>
      <c r="D230" s="5">
        <v>1</v>
      </c>
      <c r="E230" s="5" t="s">
        <v>11250</v>
      </c>
      <c r="F230" s="5" t="str">
        <f>HYPERLINK("https://a2d2-dataset.github.io/","Dataset")</f>
        <v>Dataset</v>
      </c>
      <c r="G230" s="5" t="s">
        <v>2263</v>
      </c>
    </row>
    <row r="231" spans="1:7">
      <c r="A231" s="5" t="s">
        <v>2267</v>
      </c>
      <c r="B231" s="5" t="s">
        <v>2268</v>
      </c>
      <c r="C231" s="5" t="s">
        <v>659</v>
      </c>
      <c r="D231" s="5">
        <v>1</v>
      </c>
      <c r="E231" s="5" t="s">
        <v>11250</v>
      </c>
      <c r="F231" s="5" t="str">
        <f>HYPERLINK("https://acdc.vision.ee.ethz.ch/","Dataset")</f>
        <v>Dataset</v>
      </c>
      <c r="G231" s="5" t="s">
        <v>2277</v>
      </c>
    </row>
    <row r="232" spans="1:7">
      <c r="A232" s="5" t="s">
        <v>2281</v>
      </c>
      <c r="B232" s="5" t="s">
        <v>2282</v>
      </c>
      <c r="C232" s="5" t="s">
        <v>129</v>
      </c>
      <c r="D232" s="5">
        <v>1</v>
      </c>
      <c r="E232" s="5" t="s">
        <v>11250</v>
      </c>
      <c r="F232" s="5" t="str">
        <f>HYPERLINK("https://github.com/aimotive/aimotive_dataset","Dataset")</f>
        <v>Dataset</v>
      </c>
      <c r="G232" s="5" t="s">
        <v>2291</v>
      </c>
    </row>
    <row r="233" spans="1:7">
      <c r="A233" s="5" t="s">
        <v>2295</v>
      </c>
      <c r="B233" s="5" t="s">
        <v>2296</v>
      </c>
      <c r="C233" s="5" t="s">
        <v>659</v>
      </c>
      <c r="D233" s="5">
        <v>1</v>
      </c>
      <c r="E233" s="5" t="s">
        <v>11250</v>
      </c>
      <c r="F233" s="5" t="str">
        <f>HYPERLINK("https://apolloscapeauto.github.io/dataset-api/","Dataset")</f>
        <v>Dataset</v>
      </c>
      <c r="G233" s="5" t="s">
        <v>2305</v>
      </c>
    </row>
    <row r="234" spans="1:7">
      <c r="A234" s="5" t="s">
        <v>2309</v>
      </c>
      <c r="B234" s="5" t="s">
        <v>2310</v>
      </c>
      <c r="C234" s="5" t="s">
        <v>659</v>
      </c>
      <c r="D234" s="5">
        <v>1</v>
      </c>
      <c r="E234" s="5" t="s">
        <v>11250</v>
      </c>
      <c r="F234" s="5" t="str">
        <f>HYPERLINK("https://www.argoverse.org/av1.html","Dataset")</f>
        <v>Dataset</v>
      </c>
      <c r="G234" s="5" t="s">
        <v>2319</v>
      </c>
    </row>
    <row r="235" spans="1:7">
      <c r="A235" s="5" t="s">
        <v>2323</v>
      </c>
      <c r="B235" s="5" t="s">
        <v>2324</v>
      </c>
      <c r="C235" s="5" t="s">
        <v>659</v>
      </c>
      <c r="D235" s="5">
        <v>1</v>
      </c>
      <c r="E235" s="5" t="s">
        <v>11250</v>
      </c>
      <c r="F235" s="5" t="str">
        <f>HYPERLINK("https://www.argoverse.org/av2.html","Dataset")</f>
        <v>Dataset</v>
      </c>
      <c r="G235" s="5" t="s">
        <v>2331</v>
      </c>
    </row>
    <row r="236" spans="1:7">
      <c r="A236" s="5" t="s">
        <v>2334</v>
      </c>
      <c r="B236" s="5" t="s">
        <v>2335</v>
      </c>
      <c r="C236" s="5" t="s">
        <v>659</v>
      </c>
      <c r="D236" s="5">
        <v>1</v>
      </c>
      <c r="E236" s="5" t="s">
        <v>11250</v>
      </c>
      <c r="F236" s="5" t="str">
        <f>HYPERLINK("https://www.argoverse.org/av2.html","Dataset")</f>
        <v>Dataset</v>
      </c>
      <c r="G236" s="5" t="s">
        <v>2342</v>
      </c>
    </row>
    <row r="237" spans="1:7">
      <c r="A237" s="5" t="s">
        <v>2345</v>
      </c>
      <c r="B237" s="5" t="s">
        <v>2346</v>
      </c>
      <c r="C237" s="5" t="s">
        <v>659</v>
      </c>
      <c r="D237" s="5">
        <v>1</v>
      </c>
      <c r="E237" s="5" t="s">
        <v>11250</v>
      </c>
      <c r="F237" s="5" t="str">
        <f>HYPERLINK("https://pit30m.github.io/","Dataset")</f>
        <v>Dataset</v>
      </c>
      <c r="G237" s="5" t="s">
        <v>2355</v>
      </c>
    </row>
    <row r="238" spans="1:7">
      <c r="A238" s="5" t="s">
        <v>2359</v>
      </c>
      <c r="B238" s="5" t="s">
        <v>2360</v>
      </c>
      <c r="C238" s="5" t="s">
        <v>129</v>
      </c>
      <c r="D238" s="5">
        <v>1</v>
      </c>
      <c r="E238" s="5" t="s">
        <v>11250</v>
      </c>
      <c r="F238" s="5" t="str">
        <f>HYPERLINK("https://github.com/bdd100k/bdd100k","Dataset")</f>
        <v>Dataset</v>
      </c>
      <c r="G238" s="5" t="s">
        <v>2368</v>
      </c>
    </row>
    <row r="239" spans="1:7">
      <c r="A239" s="5" t="s">
        <v>2372</v>
      </c>
      <c r="B239" s="5" t="s">
        <v>2373</v>
      </c>
      <c r="C239" s="5" t="s">
        <v>659</v>
      </c>
      <c r="D239" s="5">
        <v>1</v>
      </c>
      <c r="E239" s="5" t="s">
        <v>11250</v>
      </c>
      <c r="F239" s="5" t="str">
        <f>HYPERLINK("https://www.boreas.utias.utoronto.ca/","Dataset")</f>
        <v>Dataset</v>
      </c>
      <c r="G239" s="5" t="s">
        <v>2382</v>
      </c>
    </row>
    <row r="240" spans="1:7">
      <c r="A240" s="5" t="s">
        <v>2386</v>
      </c>
      <c r="B240" s="5" t="s">
        <v>2387</v>
      </c>
      <c r="C240" s="5" t="s">
        <v>129</v>
      </c>
      <c r="D240" s="5">
        <v>1</v>
      </c>
      <c r="E240" s="5" t="s">
        <v>11250</v>
      </c>
      <c r="F240" s="5" t="str">
        <f>HYPERLINK("https://github.com/mpitropov/cadc_devkit","Dataset")</f>
        <v>Dataset</v>
      </c>
      <c r="G240" s="5" t="s">
        <v>2396</v>
      </c>
    </row>
    <row r="241" spans="1:7">
      <c r="A241" s="5" t="s">
        <v>2400</v>
      </c>
      <c r="B241" s="5" t="s">
        <v>2401</v>
      </c>
      <c r="C241" s="5" t="s">
        <v>659</v>
      </c>
      <c r="D241" s="5">
        <v>1</v>
      </c>
      <c r="E241" s="5" t="s">
        <v>11250</v>
      </c>
      <c r="F241" s="5" t="str">
        <f>HYPERLINK("https://www.cityscapes-dataset.com/","Dataset")</f>
        <v>Dataset</v>
      </c>
      <c r="G241" s="5" t="s">
        <v>2410</v>
      </c>
    </row>
    <row r="242" spans="1:7">
      <c r="A242" s="5" t="s">
        <v>2413</v>
      </c>
      <c r="B242" s="5" t="s">
        <v>2414</v>
      </c>
      <c r="C242" s="5" t="s">
        <v>129</v>
      </c>
      <c r="D242" s="5">
        <v>1</v>
      </c>
      <c r="E242" s="5" t="s">
        <v>11250</v>
      </c>
      <c r="F242" s="5" t="str">
        <f>HYPERLINK("https://github.com/commaai/comma10k","Dataset")</f>
        <v>Dataset</v>
      </c>
      <c r="G242" s="5" t="s">
        <v>2423</v>
      </c>
    </row>
    <row r="243" spans="1:7">
      <c r="A243" s="5" t="s">
        <v>2426</v>
      </c>
      <c r="B243" s="5" t="s">
        <v>2427</v>
      </c>
      <c r="C243" s="5" t="s">
        <v>129</v>
      </c>
      <c r="D243" s="5">
        <v>1</v>
      </c>
      <c r="E243" s="5" t="s">
        <v>11250</v>
      </c>
      <c r="F243" s="5" t="str">
        <f>HYPERLINK("https://github.com/commaai/comma2k19","Dataset")</f>
        <v>Dataset</v>
      </c>
      <c r="G243" s="5" t="s">
        <v>2436</v>
      </c>
    </row>
    <row r="244" spans="1:7">
      <c r="A244" s="5" t="s">
        <v>2439</v>
      </c>
      <c r="B244" s="5" t="s">
        <v>2440</v>
      </c>
      <c r="C244" s="5" t="s">
        <v>659</v>
      </c>
      <c r="D244" s="5">
        <v>1</v>
      </c>
      <c r="E244" s="5" t="s">
        <v>11250</v>
      </c>
      <c r="F244" s="5" t="str">
        <f>HYPERLINK("https://arxiv.org/abs/1904.01975","Dataset")</f>
        <v>Dataset</v>
      </c>
      <c r="G244" s="5" t="s">
        <v>2448</v>
      </c>
    </row>
    <row r="245" spans="1:7">
      <c r="A245" s="5" t="s">
        <v>2451</v>
      </c>
      <c r="B245" s="5" t="s">
        <v>2452</v>
      </c>
      <c r="C245" s="5" t="s">
        <v>659</v>
      </c>
      <c r="D245" s="5">
        <v>1</v>
      </c>
      <c r="E245" s="5" t="s">
        <v>11250</v>
      </c>
      <c r="F245" s="5" t="str">
        <f>HYPERLINK("https://avdata.ford.com/home/default.aspx","Dataset")</f>
        <v>Dataset</v>
      </c>
      <c r="G245" s="5" t="s">
        <v>2461</v>
      </c>
    </row>
    <row r="246" spans="1:7">
      <c r="A246" s="5" t="s">
        <v>2465</v>
      </c>
      <c r="B246" s="5" t="s">
        <v>2466</v>
      </c>
      <c r="C246" s="5" t="s">
        <v>659</v>
      </c>
      <c r="D246" s="5">
        <v>1</v>
      </c>
      <c r="E246" s="5" t="s">
        <v>11250</v>
      </c>
      <c r="F246" s="5" t="str">
        <f>HYPERLINK("https://idd.insaan.iiit.ac.in/dataset/details/","Dataset")</f>
        <v>Dataset</v>
      </c>
      <c r="G246" s="5" t="s">
        <v>2475</v>
      </c>
    </row>
    <row r="247" spans="1:7">
      <c r="A247" s="5" t="s">
        <v>2478</v>
      </c>
      <c r="B247" s="5" t="s">
        <v>2479</v>
      </c>
      <c r="C247" s="5" t="s">
        <v>659</v>
      </c>
      <c r="D247" s="5">
        <v>1</v>
      </c>
      <c r="E247" s="5" t="s">
        <v>11250</v>
      </c>
      <c r="F247" s="5" t="str">
        <f>HYPERLINK("https://www.cvlibs.net/datasets/kitti/raw_data.php","Dataset")</f>
        <v>Dataset</v>
      </c>
      <c r="G247" s="5" t="s">
        <v>2488</v>
      </c>
    </row>
    <row r="248" spans="1:7">
      <c r="A248" s="5" t="s">
        <v>2492</v>
      </c>
      <c r="B248" s="5" t="s">
        <v>2493</v>
      </c>
      <c r="C248" s="5" t="s">
        <v>659</v>
      </c>
      <c r="D248" s="5">
        <v>1</v>
      </c>
      <c r="E248" s="5" t="s">
        <v>11250</v>
      </c>
      <c r="F248" s="5" t="str">
        <f>HYPERLINK("https://www.cvlibs.net/datasets/kitti-360/","Dataset")</f>
        <v>Dataset</v>
      </c>
      <c r="G248" s="5" t="s">
        <v>2501</v>
      </c>
    </row>
    <row r="249" spans="1:7">
      <c r="A249" s="5" t="s">
        <v>2504</v>
      </c>
      <c r="B249" s="5" t="s">
        <v>2505</v>
      </c>
      <c r="C249" s="5" t="s">
        <v>659</v>
      </c>
      <c r="D249" s="5">
        <v>1</v>
      </c>
      <c r="E249" s="5" t="s">
        <v>11250</v>
      </c>
      <c r="F249" s="5" t="str">
        <f>HYPERLINK("https://www.man.eu/truckscenes","Dataset")</f>
        <v>Dataset</v>
      </c>
      <c r="G249" s="5" t="s">
        <v>2513</v>
      </c>
    </row>
    <row r="250" spans="1:7">
      <c r="A250" s="5" t="s">
        <v>2517</v>
      </c>
      <c r="B250" s="5" t="s">
        <v>2518</v>
      </c>
      <c r="C250" s="5" t="s">
        <v>1065</v>
      </c>
      <c r="D250" s="5">
        <v>1</v>
      </c>
      <c r="E250" s="5" t="s">
        <v>11250</v>
      </c>
      <c r="F250" s="5" t="str">
        <f>HYPERLINK("https://huggingface.co/datasets/natix-network-org/natix-multi-camera-driving-dataset","Dataset")</f>
        <v>Dataset</v>
      </c>
      <c r="G250" s="5" t="s">
        <v>2526</v>
      </c>
    </row>
    <row r="251" spans="1:7">
      <c r="A251" s="5" t="s">
        <v>2529</v>
      </c>
      <c r="B251" s="5" t="s">
        <v>2530</v>
      </c>
      <c r="C251" s="5" t="s">
        <v>1065</v>
      </c>
      <c r="D251" s="5">
        <v>1</v>
      </c>
      <c r="E251" s="5" t="s">
        <v>11250</v>
      </c>
      <c r="F251" s="5" t="str">
        <f>HYPERLINK("https://huggingface.co/datasets/natix-network-org/natix-safety-critical-driving-events-dataset","Dataset")</f>
        <v>Dataset</v>
      </c>
      <c r="G251" s="5" t="s">
        <v>2538</v>
      </c>
    </row>
    <row r="252" spans="1:7">
      <c r="A252" s="5" t="s">
        <v>2542</v>
      </c>
      <c r="B252" s="5" t="s">
        <v>2543</v>
      </c>
      <c r="C252" s="5" t="s">
        <v>659</v>
      </c>
      <c r="D252" s="5">
        <v>1</v>
      </c>
      <c r="E252" s="5" t="s">
        <v>11250</v>
      </c>
      <c r="F252" s="5" t="str">
        <f>HYPERLINK("https://www.nuscenes.org/nuimages","Dataset")</f>
        <v>Dataset</v>
      </c>
      <c r="G252" s="5" t="s">
        <v>2552</v>
      </c>
    </row>
    <row r="253" spans="1:7">
      <c r="A253" s="5" t="s">
        <v>2557</v>
      </c>
      <c r="B253" s="5" t="s">
        <v>2558</v>
      </c>
      <c r="C253" s="5" t="s">
        <v>659</v>
      </c>
      <c r="D253" s="5">
        <v>1</v>
      </c>
      <c r="E253" s="5" t="s">
        <v>11250</v>
      </c>
      <c r="F253" s="5" t="str">
        <f>HYPERLINK("https://www.nuscenes.org/nuplan","Dataset")</f>
        <v>Dataset</v>
      </c>
      <c r="G253" s="5" t="s">
        <v>2565</v>
      </c>
    </row>
    <row r="254" spans="1:7">
      <c r="A254" s="5" t="s">
        <v>2568</v>
      </c>
      <c r="B254" s="5" t="s">
        <v>2569</v>
      </c>
      <c r="C254" s="5" t="s">
        <v>659</v>
      </c>
      <c r="D254" s="5">
        <v>1</v>
      </c>
      <c r="E254" s="5" t="s">
        <v>11250</v>
      </c>
      <c r="F254" s="5" t="str">
        <f>HYPERLINK("https://www.nuscenes.org/nuscenes","Dataset")</f>
        <v>Dataset</v>
      </c>
      <c r="G254" s="5" t="s">
        <v>2576</v>
      </c>
    </row>
    <row r="255" spans="1:7">
      <c r="A255" s="5" t="s">
        <v>2580</v>
      </c>
      <c r="B255" s="5" t="s">
        <v>2581</v>
      </c>
      <c r="C255" s="5" t="s">
        <v>1065</v>
      </c>
      <c r="D255" s="5">
        <v>1</v>
      </c>
      <c r="E255" s="5" t="s">
        <v>11250</v>
      </c>
      <c r="F255" s="5" t="str">
        <f>HYPERLINK("https://huggingface.co/datasets/nvidia/PhysicalAI-Autonomous-Vehicles","Dataset")</f>
        <v>Dataset</v>
      </c>
      <c r="G255" s="5" t="s">
        <v>2590</v>
      </c>
    </row>
    <row r="256" spans="1:7">
      <c r="A256" s="5" t="s">
        <v>2593</v>
      </c>
      <c r="B256" s="5" t="s">
        <v>2594</v>
      </c>
      <c r="C256" s="5" t="s">
        <v>659</v>
      </c>
      <c r="D256" s="5">
        <v>1</v>
      </c>
      <c r="E256" s="5" t="s">
        <v>11250</v>
      </c>
      <c r="F256" s="5" t="str">
        <f>HYPERLINK("https://once-for-auto-driving.github.io/index.html","Dataset")</f>
        <v>Dataset</v>
      </c>
      <c r="G256" s="5" t="s">
        <v>2603</v>
      </c>
    </row>
    <row r="257" spans="1:7">
      <c r="A257" s="5" t="s">
        <v>2607</v>
      </c>
      <c r="B257" s="5" t="s">
        <v>2608</v>
      </c>
      <c r="C257" s="5" t="s">
        <v>129</v>
      </c>
      <c r="D257" s="5">
        <v>1</v>
      </c>
      <c r="E257" s="5" t="s">
        <v>11250</v>
      </c>
      <c r="F257" s="5" t="str">
        <f>HYPERLINK("https://github.com/OpenDriveLab/DriveAGI","Dataset")</f>
        <v>Dataset</v>
      </c>
      <c r="G257" s="5" t="s">
        <v>2619</v>
      </c>
    </row>
    <row r="258" spans="1:7">
      <c r="A258" s="5" t="s">
        <v>2622</v>
      </c>
      <c r="B258" s="5" t="s">
        <v>2623</v>
      </c>
      <c r="C258" s="5" t="s">
        <v>659</v>
      </c>
      <c r="D258" s="5">
        <v>1</v>
      </c>
      <c r="E258" s="5" t="s">
        <v>11250</v>
      </c>
      <c r="F258" s="5" t="str">
        <f>HYPERLINK("https://robotcar-dataset.robots.ox.ac.uk/","Dataset")</f>
        <v>Dataset</v>
      </c>
      <c r="G258" s="5" t="s">
        <v>2632</v>
      </c>
    </row>
    <row r="259" spans="1:7">
      <c r="A259" s="5" t="s">
        <v>2636</v>
      </c>
      <c r="B259" s="5" t="s">
        <v>2637</v>
      </c>
      <c r="C259" s="5" t="s">
        <v>129</v>
      </c>
      <c r="D259" s="5">
        <v>1</v>
      </c>
      <c r="E259" s="5" t="s">
        <v>11250</v>
      </c>
      <c r="F259" s="5" t="str">
        <f>HYPERLINK("https://github.com/scaleapi/pandaset-devkit","Dataset")</f>
        <v>Dataset</v>
      </c>
      <c r="G259" s="5" t="s">
        <v>2646</v>
      </c>
    </row>
    <row r="260" spans="1:7">
      <c r="A260" s="5" t="s">
        <v>2650</v>
      </c>
      <c r="B260" s="5" t="s">
        <v>2651</v>
      </c>
      <c r="C260" s="5" t="s">
        <v>659</v>
      </c>
      <c r="D260" s="5">
        <v>1</v>
      </c>
      <c r="E260" s="5" t="s">
        <v>11250</v>
      </c>
      <c r="F260" s="5" t="str">
        <f>HYPERLINK("https://pro.hw.ac.uk/radiate/","Dataset")</f>
        <v>Dataset</v>
      </c>
      <c r="G260" s="5" t="s">
        <v>2659</v>
      </c>
    </row>
    <row r="261" spans="1:7">
      <c r="A261" s="5" t="s">
        <v>2663</v>
      </c>
      <c r="B261" s="5" t="s">
        <v>2664</v>
      </c>
      <c r="C261" s="5" t="s">
        <v>1065</v>
      </c>
      <c r="D261" s="5">
        <v>1</v>
      </c>
      <c r="E261" s="5" t="s">
        <v>11250</v>
      </c>
      <c r="F261" s="5" t="str">
        <f>HYPERLINK("https://huggingface.co/datasets/Torc-Robotics/TruckDrive","Dataset")</f>
        <v>Dataset</v>
      </c>
      <c r="G261" s="5" t="s">
        <v>2673</v>
      </c>
    </row>
    <row r="262" spans="1:7">
      <c r="A262" s="5" t="s">
        <v>2676</v>
      </c>
      <c r="B262" s="5" t="s">
        <v>2677</v>
      </c>
      <c r="C262" s="5" t="s">
        <v>129</v>
      </c>
      <c r="D262" s="5">
        <v>1</v>
      </c>
      <c r="E262" s="5" t="s">
        <v>11250</v>
      </c>
      <c r="F262" s="5" t="str">
        <f>HYPERLINK("https://github.com/TuSimple/tusimple-benchmark/issues/3","Dataset")</f>
        <v>Dataset</v>
      </c>
      <c r="G262" s="5" t="s">
        <v>2686</v>
      </c>
    </row>
    <row r="263" spans="1:7">
      <c r="A263" s="5" t="s">
        <v>2690</v>
      </c>
      <c r="B263" s="5" t="s">
        <v>2691</v>
      </c>
      <c r="C263" s="5" t="s">
        <v>659</v>
      </c>
      <c r="D263" s="5">
        <v>1</v>
      </c>
      <c r="E263" s="5" t="s">
        <v>11250</v>
      </c>
      <c r="F263" s="5" t="str">
        <f>HYPERLINK("https://waymo.com/open/download/","Dataset")</f>
        <v>Dataset</v>
      </c>
      <c r="G263" s="5" t="s">
        <v>2700</v>
      </c>
    </row>
    <row r="264" spans="1:7">
      <c r="A264" s="5" t="s">
        <v>2705</v>
      </c>
      <c r="B264" s="5" t="s">
        <v>2706</v>
      </c>
      <c r="C264" s="5" t="s">
        <v>659</v>
      </c>
      <c r="D264" s="5">
        <v>1</v>
      </c>
      <c r="E264" s="5" t="s">
        <v>11250</v>
      </c>
      <c r="F264" s="5" t="str">
        <f>HYPERLINK("https://waymo.com/open/download/","Dataset")</f>
        <v>Dataset</v>
      </c>
      <c r="G264" s="5" t="s">
        <v>2714</v>
      </c>
    </row>
    <row r="265" spans="1:7">
      <c r="A265" s="5" t="s">
        <v>2717</v>
      </c>
      <c r="B265" s="5" t="s">
        <v>2718</v>
      </c>
      <c r="C265" s="5" t="s">
        <v>1065</v>
      </c>
      <c r="D265" s="5">
        <v>1</v>
      </c>
      <c r="E265" s="5" t="s">
        <v>11250</v>
      </c>
      <c r="F265" s="5" t="str">
        <f>HYPERLINK("https://huggingface.co/datasets/XieTenghu1/TruckV2X","Dataset")</f>
        <v>Dataset</v>
      </c>
      <c r="G265" s="5" t="s">
        <v>2729</v>
      </c>
    </row>
    <row r="266" spans="1:7">
      <c r="A266" s="5" t="s">
        <v>2733</v>
      </c>
      <c r="B266" s="5" t="s">
        <v>2734</v>
      </c>
      <c r="C266" s="5" t="s">
        <v>659</v>
      </c>
      <c r="D266" s="5">
        <v>1</v>
      </c>
      <c r="E266" s="5" t="s">
        <v>11250</v>
      </c>
      <c r="F266" s="5" t="str">
        <f>HYPERLINK("https://thu-rsxd.com/dxhdiefb/","Dataset")</f>
        <v>Dataset</v>
      </c>
      <c r="G266" s="5" t="s">
        <v>2743</v>
      </c>
    </row>
  </sheetData>
  <hyperlinks>
    <hyperlink ref="F227" r:id="rId1" xr:uid="{662FACD8-7444-4204-9BD6-859FBE34566A}"/>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45"/>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2" width="11" customWidth="1"/>
    <col min="3" max="3" width="28" customWidth="1"/>
    <col min="4" max="4" width="35" customWidth="1"/>
    <col min="5" max="5" width="20" customWidth="1"/>
    <col min="6" max="6" width="100" customWidth="1"/>
    <col min="7" max="18" width="18" customWidth="1"/>
    <col min="19" max="19" width="40" customWidth="1"/>
    <col min="20" max="20" width="48" customWidth="1"/>
    <col min="21" max="21" width="45" customWidth="1"/>
  </cols>
  <sheetData>
    <row r="1" spans="1:21" ht="12" customHeight="1">
      <c r="A1" s="1"/>
      <c r="B1" s="1"/>
      <c r="C1" s="1"/>
      <c r="D1" s="1"/>
      <c r="E1" s="1"/>
      <c r="F1" s="1"/>
      <c r="G1" s="1"/>
      <c r="H1" s="1"/>
      <c r="I1" s="1"/>
      <c r="J1" s="1"/>
      <c r="K1" s="1"/>
      <c r="L1" s="1"/>
      <c r="M1" s="1"/>
      <c r="N1" s="1"/>
      <c r="O1" s="1"/>
      <c r="P1" s="1"/>
      <c r="Q1" s="1"/>
      <c r="R1" s="1"/>
      <c r="S1" s="1"/>
      <c r="T1" s="1"/>
      <c r="U1" s="1"/>
    </row>
    <row r="2" spans="1:21" ht="24" customHeight="1">
      <c r="A2" s="2" t="s">
        <v>11252</v>
      </c>
      <c r="B2" s="1"/>
      <c r="C2" s="1"/>
      <c r="D2" s="1"/>
      <c r="E2" s="1"/>
      <c r="F2" s="1"/>
      <c r="G2" s="1"/>
      <c r="H2" s="1"/>
      <c r="I2" s="1"/>
      <c r="J2" s="1"/>
      <c r="K2" s="1"/>
      <c r="L2" s="1"/>
      <c r="M2" s="1"/>
      <c r="N2" s="1"/>
      <c r="O2" s="1"/>
      <c r="P2" s="1"/>
      <c r="Q2" s="1"/>
      <c r="R2" s="1"/>
      <c r="S2" s="1"/>
      <c r="T2" s="1"/>
      <c r="U2" s="1"/>
    </row>
    <row r="3" spans="1:21" ht="21" customHeight="1">
      <c r="A3" s="3" t="s">
        <v>11253</v>
      </c>
      <c r="B3" s="1"/>
      <c r="C3" s="1"/>
      <c r="D3" s="1"/>
      <c r="E3" s="1"/>
      <c r="F3" s="1"/>
      <c r="G3" s="1"/>
      <c r="H3" s="1"/>
      <c r="I3" s="1"/>
      <c r="J3" s="1"/>
      <c r="K3" s="1"/>
      <c r="L3" s="1"/>
      <c r="M3" s="1"/>
      <c r="N3" s="1"/>
      <c r="O3" s="1"/>
      <c r="P3" s="1"/>
      <c r="Q3" s="1"/>
      <c r="R3" s="1"/>
      <c r="S3" s="1"/>
      <c r="T3" s="1"/>
      <c r="U3" s="1"/>
    </row>
    <row r="4" spans="1:21" ht="9.9499999999999993" customHeight="1">
      <c r="A4" s="1"/>
      <c r="B4" s="1"/>
      <c r="C4" s="1"/>
      <c r="D4" s="1"/>
      <c r="E4" s="1"/>
      <c r="F4" s="1"/>
      <c r="G4" s="1"/>
      <c r="H4" s="1"/>
      <c r="I4" s="1"/>
      <c r="J4" s="1"/>
      <c r="K4" s="1"/>
      <c r="L4" s="1"/>
      <c r="M4" s="1"/>
      <c r="N4" s="1"/>
      <c r="O4" s="1"/>
      <c r="P4" s="1"/>
      <c r="Q4" s="1"/>
      <c r="R4" s="1"/>
      <c r="S4" s="1"/>
      <c r="T4" s="1"/>
      <c r="U4" s="1"/>
    </row>
    <row r="5" spans="1:21" ht="42.95" customHeight="1">
      <c r="A5" s="4" t="s">
        <v>2836</v>
      </c>
      <c r="B5" s="4" t="s">
        <v>2748</v>
      </c>
      <c r="C5" s="4" t="s">
        <v>11254</v>
      </c>
      <c r="D5" s="4" t="s">
        <v>11255</v>
      </c>
      <c r="E5" s="4" t="s">
        <v>11256</v>
      </c>
      <c r="F5" s="4" t="s">
        <v>2749</v>
      </c>
      <c r="G5" s="4" t="s">
        <v>11257</v>
      </c>
      <c r="H5" s="4" t="s">
        <v>11258</v>
      </c>
      <c r="I5" s="4" t="s">
        <v>11259</v>
      </c>
      <c r="J5" s="4" t="s">
        <v>11260</v>
      </c>
      <c r="K5" s="4" t="s">
        <v>11261</v>
      </c>
      <c r="L5" s="4" t="s">
        <v>11262</v>
      </c>
      <c r="M5" s="4" t="s">
        <v>11263</v>
      </c>
      <c r="N5" s="4" t="s">
        <v>11264</v>
      </c>
      <c r="O5" s="4" t="s">
        <v>11265</v>
      </c>
      <c r="P5" s="4" t="s">
        <v>11266</v>
      </c>
      <c r="Q5" s="4" t="s">
        <v>11267</v>
      </c>
      <c r="R5" s="4" t="s">
        <v>11268</v>
      </c>
      <c r="S5" s="4" t="s">
        <v>11269</v>
      </c>
      <c r="T5" s="4" t="s">
        <v>11270</v>
      </c>
      <c r="U5" s="4" t="s">
        <v>11271</v>
      </c>
    </row>
    <row r="6" spans="1:21">
      <c r="A6" s="5" t="s">
        <v>2781</v>
      </c>
      <c r="B6" s="5" t="s">
        <v>2754</v>
      </c>
      <c r="C6" s="5" t="s">
        <v>2755</v>
      </c>
      <c r="D6" s="5" t="s">
        <v>11272</v>
      </c>
      <c r="E6" s="5" t="s">
        <v>11273</v>
      </c>
      <c r="F6" s="5" t="s">
        <v>11274</v>
      </c>
      <c r="G6" s="5">
        <f>COUNTIFS(MCDM_Checks!$E$6:$E$3733,A6,MCDM_Checks!$D$6:$D$3733,"Labeled-16",MCDM_Checks!$G$6:$G$3733,1)</f>
        <v>229</v>
      </c>
      <c r="H6" s="5">
        <f>COUNTIFS(MCDM_Checks!$E$6:$E$3733,A6,MCDM_Checks!$D$6:$D$3733,"Labeled-16",MCDM_Checks!$G$6:$G$3733,1,MCDM_Checks!$K$6:$K$3733,"Y")</f>
        <v>221</v>
      </c>
      <c r="I6" s="5">
        <f>COUNTIFS(MCDM_Checks!$E$6:$E$3733,A6,MCDM_Checks!$D$6:$D$3733,"Labeled-16",MCDM_Checks!$G$6:$G$3733,1,MCDM_Checks!$K$6:$K$3733,"N")</f>
        <v>0</v>
      </c>
      <c r="J6" s="5">
        <f>COUNTIFS(MCDM_Checks!$E$6:$E$3733,A6,MCDM_Checks!$D$6:$D$3733,"Labeled-16",MCDM_Checks!$G$6:$G$3733,1,MCDM_Checks!$K$6:$K$3733,"U")</f>
        <v>8</v>
      </c>
      <c r="K6" s="5">
        <f>COUNTIFS(MCDM_Checks!$E$6:$E$3733,A6,MCDM_Checks!$D$6:$D$3733,"Labeled-16",MCDM_Checks!$G$6:$G$3733,1,MCDM_Checks!$K$6:$K$3733,"X")</f>
        <v>0</v>
      </c>
      <c r="L6" s="13">
        <f>IF(G6=0,"n.a.",I6/G6)</f>
        <v>0</v>
      </c>
      <c r="M6" s="5">
        <f>COUNTIFS(MCDM_Checks!$E$6:$E$3733,A6,MCDM_Checks!$D$6:$D$3733,"Unlabeled-13",MCDM_Checks!$G$6:$G$3733,1)</f>
        <v>4</v>
      </c>
      <c r="N6" s="5">
        <f>COUNTIFS(MCDM_Checks!$E$6:$E$3733,A6,MCDM_Checks!$D$6:$D$3733,"Unlabeled-13",MCDM_Checks!$G$6:$G$3733,1,MCDM_Checks!$K$6:$K$3733,"Y")</f>
        <v>4</v>
      </c>
      <c r="O6" s="5">
        <f>COUNTIFS(MCDM_Checks!$E$6:$E$3733,A6,MCDM_Checks!$D$6:$D$3733,"Unlabeled-13",MCDM_Checks!$G$6:$G$3733,1,MCDM_Checks!$K$6:$K$3733,"N")</f>
        <v>0</v>
      </c>
      <c r="P6" s="5">
        <f>COUNTIFS(MCDM_Checks!$E$6:$E$3733,A6,MCDM_Checks!$D$6:$D$3733,"Unlabeled-13",MCDM_Checks!$G$6:$G$3733,1,MCDM_Checks!$K$6:$K$3733,"U")</f>
        <v>0</v>
      </c>
      <c r="Q6" s="5">
        <f>COUNTIFS(MCDM_Checks!$E$6:$E$3733,A6,MCDM_Checks!$D$6:$D$3733,"Unlabeled-13",MCDM_Checks!$G$6:$G$3733,1,MCDM_Checks!$K$6:$K$3733,"X")</f>
        <v>0</v>
      </c>
      <c r="R6" s="13">
        <f>IF(M6=0,"n.a.",O6/M6)</f>
        <v>0</v>
      </c>
      <c r="S6" s="5" t="str">
        <f>IF(OR(IF(ISNUMBER(L6),L6&gt;MCDM_Settings!$B$15,FALSE),IF(ISNUMBER(R6),R6&gt;MCDM_Settings!$B$15,FALSE)),"Review cohort-wide removal","Retain: no &gt;95% confirmed N")</f>
        <v>Retain: no &gt;95% confirmed N</v>
      </c>
      <c r="T6" s="5" t="s">
        <v>11275</v>
      </c>
      <c r="U6" s="5" t="s">
        <v>11276</v>
      </c>
    </row>
    <row r="7" spans="1:21" ht="25.5">
      <c r="A7" s="5" t="s">
        <v>2782</v>
      </c>
      <c r="B7" s="5" t="s">
        <v>2754</v>
      </c>
      <c r="C7" s="5" t="s">
        <v>2755</v>
      </c>
      <c r="D7" s="5" t="s">
        <v>11277</v>
      </c>
      <c r="E7" s="5" t="s">
        <v>11273</v>
      </c>
      <c r="F7" s="5" t="s">
        <v>11278</v>
      </c>
      <c r="G7" s="5">
        <f>COUNTIFS(MCDM_Checks!$E$6:$E$3733,A7,MCDM_Checks!$D$6:$D$3733,"Labeled-16",MCDM_Checks!$G$6:$G$3733,1)</f>
        <v>229</v>
      </c>
      <c r="H7" s="5">
        <f>COUNTIFS(MCDM_Checks!$E$6:$E$3733,A7,MCDM_Checks!$D$6:$D$3733,"Labeled-16",MCDM_Checks!$G$6:$G$3733,1,MCDM_Checks!$K$6:$K$3733,"Y")</f>
        <v>206</v>
      </c>
      <c r="I7" s="5">
        <f>COUNTIFS(MCDM_Checks!$E$6:$E$3733,A7,MCDM_Checks!$D$6:$D$3733,"Labeled-16",MCDM_Checks!$G$6:$G$3733,1,MCDM_Checks!$K$6:$K$3733,"N")</f>
        <v>5</v>
      </c>
      <c r="J7" s="5">
        <f>COUNTIFS(MCDM_Checks!$E$6:$E$3733,A7,MCDM_Checks!$D$6:$D$3733,"Labeled-16",MCDM_Checks!$G$6:$G$3733,1,MCDM_Checks!$K$6:$K$3733,"U")</f>
        <v>17</v>
      </c>
      <c r="K7" s="5">
        <f>COUNTIFS(MCDM_Checks!$E$6:$E$3733,A7,MCDM_Checks!$D$6:$D$3733,"Labeled-16",MCDM_Checks!$G$6:$G$3733,1,MCDM_Checks!$K$6:$K$3733,"X")</f>
        <v>1</v>
      </c>
      <c r="L7" s="13">
        <f>IF(G7=0,"n.a.",I7/G7)</f>
        <v>2.1834061135371178E-2</v>
      </c>
      <c r="M7" s="5">
        <f>COUNTIFS(MCDM_Checks!$E$6:$E$3733,A7,MCDM_Checks!$D$6:$D$3733,"Unlabeled-13",MCDM_Checks!$G$6:$G$3733,1)</f>
        <v>4</v>
      </c>
      <c r="N7" s="5">
        <f>COUNTIFS(MCDM_Checks!$E$6:$E$3733,A7,MCDM_Checks!$D$6:$D$3733,"Unlabeled-13",MCDM_Checks!$G$6:$G$3733,1,MCDM_Checks!$K$6:$K$3733,"Y")</f>
        <v>4</v>
      </c>
      <c r="O7" s="5">
        <f>COUNTIFS(MCDM_Checks!$E$6:$E$3733,A7,MCDM_Checks!$D$6:$D$3733,"Unlabeled-13",MCDM_Checks!$G$6:$G$3733,1,MCDM_Checks!$K$6:$K$3733,"N")</f>
        <v>0</v>
      </c>
      <c r="P7" s="5">
        <f>COUNTIFS(MCDM_Checks!$E$6:$E$3733,A7,MCDM_Checks!$D$6:$D$3733,"Unlabeled-13",MCDM_Checks!$G$6:$G$3733,1,MCDM_Checks!$K$6:$K$3733,"U")</f>
        <v>0</v>
      </c>
      <c r="Q7" s="5">
        <f>COUNTIFS(MCDM_Checks!$E$6:$E$3733,A7,MCDM_Checks!$D$6:$D$3733,"Unlabeled-13",MCDM_Checks!$G$6:$G$3733,1,MCDM_Checks!$K$6:$K$3733,"X")</f>
        <v>0</v>
      </c>
      <c r="R7" s="13">
        <f>IF(M7=0,"n.a.",O7/M7)</f>
        <v>0</v>
      </c>
      <c r="S7" s="5" t="str">
        <f>IF(OR(IF(ISNUMBER(L7),L7&gt;MCDM_Settings!$B$15,FALSE),IF(ISNUMBER(R7),R7&gt;MCDM_Settings!$B$15,FALSE)),"Review cohort-wide removal","Retain: no &gt;95% confirmed N")</f>
        <v>Retain: no &gt;95% confirmed N</v>
      </c>
      <c r="T7" s="5" t="s">
        <v>11275</v>
      </c>
      <c r="U7" s="5" t="s">
        <v>11279</v>
      </c>
    </row>
    <row r="8" spans="1:21" ht="25.5">
      <c r="A8" s="5" t="s">
        <v>2783</v>
      </c>
      <c r="B8" s="5" t="s">
        <v>2754</v>
      </c>
      <c r="C8" s="5" t="s">
        <v>2755</v>
      </c>
      <c r="D8" s="5" t="s">
        <v>11280</v>
      </c>
      <c r="E8" s="5" t="s">
        <v>11273</v>
      </c>
      <c r="F8" s="5" t="s">
        <v>11281</v>
      </c>
      <c r="G8" s="5">
        <f>COUNTIFS(MCDM_Checks!$E$6:$E$3733,A8,MCDM_Checks!$D$6:$D$3733,"Labeled-16",MCDM_Checks!$G$6:$G$3733,1)</f>
        <v>229</v>
      </c>
      <c r="H8" s="5">
        <f>COUNTIFS(MCDM_Checks!$E$6:$E$3733,A8,MCDM_Checks!$D$6:$D$3733,"Labeled-16",MCDM_Checks!$G$6:$G$3733,1,MCDM_Checks!$K$6:$K$3733,"Y")</f>
        <v>147</v>
      </c>
      <c r="I8" s="5">
        <f>COUNTIFS(MCDM_Checks!$E$6:$E$3733,A8,MCDM_Checks!$D$6:$D$3733,"Labeled-16",MCDM_Checks!$G$6:$G$3733,1,MCDM_Checks!$K$6:$K$3733,"N")</f>
        <v>0</v>
      </c>
      <c r="J8" s="5">
        <f>COUNTIFS(MCDM_Checks!$E$6:$E$3733,A8,MCDM_Checks!$D$6:$D$3733,"Labeled-16",MCDM_Checks!$G$6:$G$3733,1,MCDM_Checks!$K$6:$K$3733,"U")</f>
        <v>74</v>
      </c>
      <c r="K8" s="5">
        <f>COUNTIFS(MCDM_Checks!$E$6:$E$3733,A8,MCDM_Checks!$D$6:$D$3733,"Labeled-16",MCDM_Checks!$G$6:$G$3733,1,MCDM_Checks!$K$6:$K$3733,"X")</f>
        <v>8</v>
      </c>
      <c r="L8" s="13">
        <f>IF(G8=0,"n.a.",I8/G8)</f>
        <v>0</v>
      </c>
      <c r="M8" s="5">
        <f>COUNTIFS(MCDM_Checks!$E$6:$E$3733,A8,MCDM_Checks!$D$6:$D$3733,"Unlabeled-13",MCDM_Checks!$G$6:$G$3733,1)</f>
        <v>4</v>
      </c>
      <c r="N8" s="5">
        <f>COUNTIFS(MCDM_Checks!$E$6:$E$3733,A8,MCDM_Checks!$D$6:$D$3733,"Unlabeled-13",MCDM_Checks!$G$6:$G$3733,1,MCDM_Checks!$K$6:$K$3733,"Y")</f>
        <v>3</v>
      </c>
      <c r="O8" s="5">
        <f>COUNTIFS(MCDM_Checks!$E$6:$E$3733,A8,MCDM_Checks!$D$6:$D$3733,"Unlabeled-13",MCDM_Checks!$G$6:$G$3733,1,MCDM_Checks!$K$6:$K$3733,"N")</f>
        <v>0</v>
      </c>
      <c r="P8" s="5">
        <f>COUNTIFS(MCDM_Checks!$E$6:$E$3733,A8,MCDM_Checks!$D$6:$D$3733,"Unlabeled-13",MCDM_Checks!$G$6:$G$3733,1,MCDM_Checks!$K$6:$K$3733,"U")</f>
        <v>1</v>
      </c>
      <c r="Q8" s="5">
        <f>COUNTIFS(MCDM_Checks!$E$6:$E$3733,A8,MCDM_Checks!$D$6:$D$3733,"Unlabeled-13",MCDM_Checks!$G$6:$G$3733,1,MCDM_Checks!$K$6:$K$3733,"X")</f>
        <v>0</v>
      </c>
      <c r="R8" s="13">
        <f>IF(M8=0,"n.a.",O8/M8)</f>
        <v>0</v>
      </c>
      <c r="S8" s="5" t="str">
        <f>IF(OR(IF(ISNUMBER(L8),L8&gt;MCDM_Settings!$B$15,FALSE),IF(ISNUMBER(R8),R8&gt;MCDM_Settings!$B$15,FALSE)),"Review cohort-wide removal","Retain: no &gt;95% confirmed N")</f>
        <v>Retain: no &gt;95% confirmed N</v>
      </c>
      <c r="T8" s="5" t="s">
        <v>11275</v>
      </c>
      <c r="U8" s="5" t="s">
        <v>11282</v>
      </c>
    </row>
    <row r="9" spans="1:21" ht="25.5">
      <c r="A9" s="5" t="s">
        <v>11283</v>
      </c>
      <c r="B9" s="5" t="s">
        <v>2754</v>
      </c>
      <c r="C9" s="5" t="s">
        <v>2755</v>
      </c>
      <c r="D9" s="5" t="s">
        <v>11284</v>
      </c>
      <c r="E9" s="5" t="s">
        <v>11285</v>
      </c>
      <c r="F9" s="5" t="s">
        <v>11286</v>
      </c>
      <c r="G9" s="5" t="str">
        <f t="shared" ref="G9:K10" si="0">"Not scored"</f>
        <v>Not scored</v>
      </c>
      <c r="H9" s="5" t="str">
        <f t="shared" si="0"/>
        <v>Not scored</v>
      </c>
      <c r="I9" s="5" t="str">
        <f t="shared" si="0"/>
        <v>Not scored</v>
      </c>
      <c r="J9" s="5" t="str">
        <f t="shared" si="0"/>
        <v>Not scored</v>
      </c>
      <c r="K9" s="5" t="str">
        <f t="shared" si="0"/>
        <v>Not scored</v>
      </c>
      <c r="L9" s="13" t="str">
        <f>"n.a."</f>
        <v>n.a.</v>
      </c>
      <c r="M9" s="5" t="str">
        <f t="shared" ref="M9:Q15" si="1">"Not scored"</f>
        <v>Not scored</v>
      </c>
      <c r="N9" s="5" t="str">
        <f t="shared" si="1"/>
        <v>Not scored</v>
      </c>
      <c r="O9" s="5" t="str">
        <f t="shared" si="1"/>
        <v>Not scored</v>
      </c>
      <c r="P9" s="5" t="str">
        <f t="shared" si="1"/>
        <v>Not scored</v>
      </c>
      <c r="Q9" s="5" t="str">
        <f t="shared" si="1"/>
        <v>Not scored</v>
      </c>
      <c r="R9" s="13" t="str">
        <f t="shared" ref="R9:R15" si="2">"n.a."</f>
        <v>n.a.</v>
      </c>
      <c r="S9" s="5" t="str">
        <f>"Outside common score"</f>
        <v>Outside common score</v>
      </c>
      <c r="T9" s="5" t="s">
        <v>11275</v>
      </c>
      <c r="U9" s="5" t="s">
        <v>11287</v>
      </c>
    </row>
    <row r="10" spans="1:21" ht="25.5">
      <c r="A10" s="5" t="s">
        <v>11288</v>
      </c>
      <c r="B10" s="5" t="s">
        <v>2754</v>
      </c>
      <c r="C10" s="5" t="s">
        <v>2755</v>
      </c>
      <c r="D10" s="5" t="s">
        <v>11289</v>
      </c>
      <c r="E10" s="5" t="s">
        <v>11285</v>
      </c>
      <c r="F10" s="5" t="s">
        <v>11290</v>
      </c>
      <c r="G10" s="5" t="str">
        <f t="shared" si="0"/>
        <v>Not scored</v>
      </c>
      <c r="H10" s="5" t="str">
        <f t="shared" si="0"/>
        <v>Not scored</v>
      </c>
      <c r="I10" s="5" t="str">
        <f t="shared" si="0"/>
        <v>Not scored</v>
      </c>
      <c r="J10" s="5" t="str">
        <f t="shared" si="0"/>
        <v>Not scored</v>
      </c>
      <c r="K10" s="5" t="str">
        <f t="shared" si="0"/>
        <v>Not scored</v>
      </c>
      <c r="L10" s="13" t="str">
        <f>"n.a."</f>
        <v>n.a.</v>
      </c>
      <c r="M10" s="5" t="str">
        <f t="shared" si="1"/>
        <v>Not scored</v>
      </c>
      <c r="N10" s="5" t="str">
        <f t="shared" si="1"/>
        <v>Not scored</v>
      </c>
      <c r="O10" s="5" t="str">
        <f t="shared" si="1"/>
        <v>Not scored</v>
      </c>
      <c r="P10" s="5" t="str">
        <f t="shared" si="1"/>
        <v>Not scored</v>
      </c>
      <c r="Q10" s="5" t="str">
        <f t="shared" si="1"/>
        <v>Not scored</v>
      </c>
      <c r="R10" s="13" t="str">
        <f t="shared" si="2"/>
        <v>n.a.</v>
      </c>
      <c r="S10" s="5" t="str">
        <f>"Outside common score"</f>
        <v>Outside common score</v>
      </c>
      <c r="T10" s="5" t="s">
        <v>11275</v>
      </c>
      <c r="U10" s="5" t="s">
        <v>11291</v>
      </c>
    </row>
    <row r="11" spans="1:21" ht="25.5">
      <c r="A11" s="5" t="s">
        <v>2784</v>
      </c>
      <c r="B11" s="5" t="s">
        <v>2756</v>
      </c>
      <c r="C11" s="5" t="s">
        <v>11292</v>
      </c>
      <c r="D11" s="5" t="s">
        <v>11293</v>
      </c>
      <c r="E11" s="5" t="s">
        <v>11273</v>
      </c>
      <c r="F11" s="5" t="s">
        <v>11294</v>
      </c>
      <c r="G11" s="5">
        <f>COUNTIFS(MCDM_Checks!$E$6:$E$3733,A11,MCDM_Checks!$D$6:$D$3733,"Labeled-16",MCDM_Checks!$G$6:$G$3733,1)</f>
        <v>229</v>
      </c>
      <c r="H11" s="5">
        <f>COUNTIFS(MCDM_Checks!$E$6:$E$3733,A11,MCDM_Checks!$D$6:$D$3733,"Labeled-16",MCDM_Checks!$G$6:$G$3733,1,MCDM_Checks!$K$6:$K$3733,"Y")</f>
        <v>166</v>
      </c>
      <c r="I11" s="5">
        <f>COUNTIFS(MCDM_Checks!$E$6:$E$3733,A11,MCDM_Checks!$D$6:$D$3733,"Labeled-16",MCDM_Checks!$G$6:$G$3733,1,MCDM_Checks!$K$6:$K$3733,"N")</f>
        <v>0</v>
      </c>
      <c r="J11" s="5">
        <f>COUNTIFS(MCDM_Checks!$E$6:$E$3733,A11,MCDM_Checks!$D$6:$D$3733,"Labeled-16",MCDM_Checks!$G$6:$G$3733,1,MCDM_Checks!$K$6:$K$3733,"U")</f>
        <v>61</v>
      </c>
      <c r="K11" s="5">
        <f>COUNTIFS(MCDM_Checks!$E$6:$E$3733,A11,MCDM_Checks!$D$6:$D$3733,"Labeled-16",MCDM_Checks!$G$6:$G$3733,1,MCDM_Checks!$K$6:$K$3733,"X")</f>
        <v>2</v>
      </c>
      <c r="L11" s="13">
        <f>IF(G11=0,"n.a.",I11/G11)</f>
        <v>0</v>
      </c>
      <c r="M11" s="5" t="str">
        <f t="shared" si="1"/>
        <v>Not scored</v>
      </c>
      <c r="N11" s="5" t="str">
        <f t="shared" si="1"/>
        <v>Not scored</v>
      </c>
      <c r="O11" s="5" t="str">
        <f t="shared" si="1"/>
        <v>Not scored</v>
      </c>
      <c r="P11" s="5" t="str">
        <f t="shared" si="1"/>
        <v>Not scored</v>
      </c>
      <c r="Q11" s="5" t="str">
        <f t="shared" si="1"/>
        <v>Not scored</v>
      </c>
      <c r="R11" s="13" t="str">
        <f t="shared" si="2"/>
        <v>n.a.</v>
      </c>
      <c r="S11" s="5" t="str">
        <f>IF(OR(IF(ISNUMBER(L11),L11&gt;MCDM_Settings!$B$15,FALSE),IF(ISNUMBER(R11),R11&gt;MCDM_Settings!$B$15,FALSE)),"Review cohort-wide removal","Retain: no &gt;95% confirmed N")</f>
        <v>Retain: no &gt;95% confirmed N</v>
      </c>
      <c r="T11" s="5" t="s">
        <v>11275</v>
      </c>
      <c r="U11" s="5" t="s">
        <v>11295</v>
      </c>
    </row>
    <row r="12" spans="1:21" ht="25.5">
      <c r="A12" s="5" t="s">
        <v>2785</v>
      </c>
      <c r="B12" s="5" t="s">
        <v>2756</v>
      </c>
      <c r="C12" s="5" t="s">
        <v>11292</v>
      </c>
      <c r="D12" s="5" t="s">
        <v>11296</v>
      </c>
      <c r="E12" s="5" t="s">
        <v>11273</v>
      </c>
      <c r="F12" s="5" t="s">
        <v>11297</v>
      </c>
      <c r="G12" s="5">
        <f>COUNTIFS(MCDM_Checks!$E$6:$E$3733,A12,MCDM_Checks!$D$6:$D$3733,"Labeled-16",MCDM_Checks!$G$6:$G$3733,1)</f>
        <v>229</v>
      </c>
      <c r="H12" s="5">
        <f>COUNTIFS(MCDM_Checks!$E$6:$E$3733,A12,MCDM_Checks!$D$6:$D$3733,"Labeled-16",MCDM_Checks!$G$6:$G$3733,1,MCDM_Checks!$K$6:$K$3733,"Y")</f>
        <v>71</v>
      </c>
      <c r="I12" s="5">
        <f>COUNTIFS(MCDM_Checks!$E$6:$E$3733,A12,MCDM_Checks!$D$6:$D$3733,"Labeled-16",MCDM_Checks!$G$6:$G$3733,1,MCDM_Checks!$K$6:$K$3733,"N")</f>
        <v>0</v>
      </c>
      <c r="J12" s="5">
        <f>COUNTIFS(MCDM_Checks!$E$6:$E$3733,A12,MCDM_Checks!$D$6:$D$3733,"Labeled-16",MCDM_Checks!$G$6:$G$3733,1,MCDM_Checks!$K$6:$K$3733,"U")</f>
        <v>158</v>
      </c>
      <c r="K12" s="5">
        <f>COUNTIFS(MCDM_Checks!$E$6:$E$3733,A12,MCDM_Checks!$D$6:$D$3733,"Labeled-16",MCDM_Checks!$G$6:$G$3733,1,MCDM_Checks!$K$6:$K$3733,"X")</f>
        <v>0</v>
      </c>
      <c r="L12" s="13">
        <f>IF(G12=0,"n.a.",I12/G12)</f>
        <v>0</v>
      </c>
      <c r="M12" s="5" t="str">
        <f t="shared" si="1"/>
        <v>Not scored</v>
      </c>
      <c r="N12" s="5" t="str">
        <f t="shared" si="1"/>
        <v>Not scored</v>
      </c>
      <c r="O12" s="5" t="str">
        <f t="shared" si="1"/>
        <v>Not scored</v>
      </c>
      <c r="P12" s="5" t="str">
        <f t="shared" si="1"/>
        <v>Not scored</v>
      </c>
      <c r="Q12" s="5" t="str">
        <f t="shared" si="1"/>
        <v>Not scored</v>
      </c>
      <c r="R12" s="13" t="str">
        <f t="shared" si="2"/>
        <v>n.a.</v>
      </c>
      <c r="S12" s="5" t="str">
        <f>IF(OR(IF(ISNUMBER(L12),L12&gt;MCDM_Settings!$B$15,FALSE),IF(ISNUMBER(R12),R12&gt;MCDM_Settings!$B$15,FALSE)),"Review cohort-wide removal","Retain: no &gt;95% confirmed N")</f>
        <v>Retain: no &gt;95% confirmed N</v>
      </c>
      <c r="T12" s="5" t="s">
        <v>11275</v>
      </c>
      <c r="U12" s="5" t="s">
        <v>11298</v>
      </c>
    </row>
    <row r="13" spans="1:21" ht="25.5">
      <c r="A13" s="5" t="s">
        <v>11299</v>
      </c>
      <c r="B13" s="5" t="s">
        <v>2756</v>
      </c>
      <c r="C13" s="5" t="s">
        <v>11292</v>
      </c>
      <c r="D13" s="5" t="s">
        <v>11300</v>
      </c>
      <c r="E13" s="5" t="s">
        <v>11301</v>
      </c>
      <c r="F13" s="5" t="s">
        <v>11302</v>
      </c>
      <c r="G13" s="5" t="str">
        <f>"Not scored"</f>
        <v>Not scored</v>
      </c>
      <c r="H13" s="5" t="str">
        <f>"Not scored"</f>
        <v>Not scored</v>
      </c>
      <c r="I13" s="5" t="str">
        <f>"Not scored"</f>
        <v>Not scored</v>
      </c>
      <c r="J13" s="5" t="str">
        <f>"Not scored"</f>
        <v>Not scored</v>
      </c>
      <c r="K13" s="5" t="str">
        <f>"Not scored"</f>
        <v>Not scored</v>
      </c>
      <c r="L13" s="13" t="str">
        <f>"n.a."</f>
        <v>n.a.</v>
      </c>
      <c r="M13" s="5" t="str">
        <f t="shared" si="1"/>
        <v>Not scored</v>
      </c>
      <c r="N13" s="5" t="str">
        <f t="shared" si="1"/>
        <v>Not scored</v>
      </c>
      <c r="O13" s="5" t="str">
        <f t="shared" si="1"/>
        <v>Not scored</v>
      </c>
      <c r="P13" s="5" t="str">
        <f t="shared" si="1"/>
        <v>Not scored</v>
      </c>
      <c r="Q13" s="5" t="str">
        <f t="shared" si="1"/>
        <v>Not scored</v>
      </c>
      <c r="R13" s="13" t="str">
        <f t="shared" si="2"/>
        <v>n.a.</v>
      </c>
      <c r="S13" s="5" t="str">
        <f>"Outside common score"</f>
        <v>Outside common score</v>
      </c>
      <c r="T13" s="5" t="s">
        <v>11275</v>
      </c>
      <c r="U13" s="5" t="s">
        <v>11303</v>
      </c>
    </row>
    <row r="14" spans="1:21" ht="25.5">
      <c r="A14" s="5" t="s">
        <v>2786</v>
      </c>
      <c r="B14" s="5" t="s">
        <v>2756</v>
      </c>
      <c r="C14" s="5" t="s">
        <v>11292</v>
      </c>
      <c r="D14" s="5" t="s">
        <v>11304</v>
      </c>
      <c r="E14" s="5" t="s">
        <v>11273</v>
      </c>
      <c r="F14" s="5" t="s">
        <v>11305</v>
      </c>
      <c r="G14" s="5">
        <f>COUNTIFS(MCDM_Checks!$E$6:$E$3733,A14,MCDM_Checks!$D$6:$D$3733,"Labeled-16",MCDM_Checks!$G$6:$G$3733,1)</f>
        <v>229</v>
      </c>
      <c r="H14" s="5">
        <f>COUNTIFS(MCDM_Checks!$E$6:$E$3733,A14,MCDM_Checks!$D$6:$D$3733,"Labeled-16",MCDM_Checks!$G$6:$G$3733,1,MCDM_Checks!$K$6:$K$3733,"Y")</f>
        <v>17</v>
      </c>
      <c r="I14" s="5">
        <f>COUNTIFS(MCDM_Checks!$E$6:$E$3733,A14,MCDM_Checks!$D$6:$D$3733,"Labeled-16",MCDM_Checks!$G$6:$G$3733,1,MCDM_Checks!$K$6:$K$3733,"N")</f>
        <v>0</v>
      </c>
      <c r="J14" s="5">
        <f>COUNTIFS(MCDM_Checks!$E$6:$E$3733,A14,MCDM_Checks!$D$6:$D$3733,"Labeled-16",MCDM_Checks!$G$6:$G$3733,1,MCDM_Checks!$K$6:$K$3733,"U")</f>
        <v>212</v>
      </c>
      <c r="K14" s="5">
        <f>COUNTIFS(MCDM_Checks!$E$6:$E$3733,A14,MCDM_Checks!$D$6:$D$3733,"Labeled-16",MCDM_Checks!$G$6:$G$3733,1,MCDM_Checks!$K$6:$K$3733,"X")</f>
        <v>0</v>
      </c>
      <c r="L14" s="13">
        <f>IF(G14=0,"n.a.",I14/G14)</f>
        <v>0</v>
      </c>
      <c r="M14" s="5" t="str">
        <f t="shared" si="1"/>
        <v>Not scored</v>
      </c>
      <c r="N14" s="5" t="str">
        <f t="shared" si="1"/>
        <v>Not scored</v>
      </c>
      <c r="O14" s="5" t="str">
        <f t="shared" si="1"/>
        <v>Not scored</v>
      </c>
      <c r="P14" s="5" t="str">
        <f t="shared" si="1"/>
        <v>Not scored</v>
      </c>
      <c r="Q14" s="5" t="str">
        <f t="shared" si="1"/>
        <v>Not scored</v>
      </c>
      <c r="R14" s="13" t="str">
        <f t="shared" si="2"/>
        <v>n.a.</v>
      </c>
      <c r="S14" s="5" t="str">
        <f>IF(OR(IF(ISNUMBER(L14),L14&gt;MCDM_Settings!$B$15,FALSE),IF(ISNUMBER(R14),R14&gt;MCDM_Settings!$B$15,FALSE)),"Review cohort-wide removal","Retain: no &gt;95% confirmed N")</f>
        <v>Retain: no &gt;95% confirmed N</v>
      </c>
      <c r="T14" s="5" t="s">
        <v>11275</v>
      </c>
      <c r="U14" s="5" t="s">
        <v>11306</v>
      </c>
    </row>
    <row r="15" spans="1:21">
      <c r="A15" s="5" t="s">
        <v>11307</v>
      </c>
      <c r="B15" s="5" t="s">
        <v>2756</v>
      </c>
      <c r="C15" s="5" t="s">
        <v>11292</v>
      </c>
      <c r="D15" s="5" t="s">
        <v>11308</v>
      </c>
      <c r="E15" s="5" t="s">
        <v>11301</v>
      </c>
      <c r="F15" s="5" t="s">
        <v>11309</v>
      </c>
      <c r="G15" s="5" t="str">
        <f>"Not scored"</f>
        <v>Not scored</v>
      </c>
      <c r="H15" s="5" t="str">
        <f>"Not scored"</f>
        <v>Not scored</v>
      </c>
      <c r="I15" s="5" t="str">
        <f>"Not scored"</f>
        <v>Not scored</v>
      </c>
      <c r="J15" s="5" t="str">
        <f>"Not scored"</f>
        <v>Not scored</v>
      </c>
      <c r="K15" s="5" t="str">
        <f>"Not scored"</f>
        <v>Not scored</v>
      </c>
      <c r="L15" s="13" t="str">
        <f>"n.a."</f>
        <v>n.a.</v>
      </c>
      <c r="M15" s="5" t="str">
        <f t="shared" si="1"/>
        <v>Not scored</v>
      </c>
      <c r="N15" s="5" t="str">
        <f t="shared" si="1"/>
        <v>Not scored</v>
      </c>
      <c r="O15" s="5" t="str">
        <f t="shared" si="1"/>
        <v>Not scored</v>
      </c>
      <c r="P15" s="5" t="str">
        <f t="shared" si="1"/>
        <v>Not scored</v>
      </c>
      <c r="Q15" s="5" t="str">
        <f t="shared" si="1"/>
        <v>Not scored</v>
      </c>
      <c r="R15" s="13" t="str">
        <f t="shared" si="2"/>
        <v>n.a.</v>
      </c>
      <c r="S15" s="5" t="str">
        <f>"Outside common score"</f>
        <v>Outside common score</v>
      </c>
      <c r="T15" s="5" t="s">
        <v>11275</v>
      </c>
      <c r="U15" s="5" t="s">
        <v>11310</v>
      </c>
    </row>
    <row r="16" spans="1:21" ht="25.5">
      <c r="A16" s="5" t="s">
        <v>2787</v>
      </c>
      <c r="B16" s="5" t="s">
        <v>2758</v>
      </c>
      <c r="C16" s="5" t="s">
        <v>2759</v>
      </c>
      <c r="D16" s="5" t="s">
        <v>11311</v>
      </c>
      <c r="E16" s="5" t="s">
        <v>11273</v>
      </c>
      <c r="F16" s="5" t="s">
        <v>11312</v>
      </c>
      <c r="G16" s="5">
        <f>COUNTIFS(MCDM_Checks!$E$6:$E$3733,A16,MCDM_Checks!$D$6:$D$3733,"Labeled-16",MCDM_Checks!$G$6:$G$3733,1)</f>
        <v>229</v>
      </c>
      <c r="H16" s="5">
        <f>COUNTIFS(MCDM_Checks!$E$6:$E$3733,A16,MCDM_Checks!$D$6:$D$3733,"Labeled-16",MCDM_Checks!$G$6:$G$3733,1,MCDM_Checks!$K$6:$K$3733,"Y")</f>
        <v>74</v>
      </c>
      <c r="I16" s="5">
        <f>COUNTIFS(MCDM_Checks!$E$6:$E$3733,A16,MCDM_Checks!$D$6:$D$3733,"Labeled-16",MCDM_Checks!$G$6:$G$3733,1,MCDM_Checks!$K$6:$K$3733,"N")</f>
        <v>0</v>
      </c>
      <c r="J16" s="5">
        <f>COUNTIFS(MCDM_Checks!$E$6:$E$3733,A16,MCDM_Checks!$D$6:$D$3733,"Labeled-16",MCDM_Checks!$G$6:$G$3733,1,MCDM_Checks!$K$6:$K$3733,"U")</f>
        <v>155</v>
      </c>
      <c r="K16" s="5">
        <f>COUNTIFS(MCDM_Checks!$E$6:$E$3733,A16,MCDM_Checks!$D$6:$D$3733,"Labeled-16",MCDM_Checks!$G$6:$G$3733,1,MCDM_Checks!$K$6:$K$3733,"X")</f>
        <v>0</v>
      </c>
      <c r="L16" s="13">
        <f>IF(G16=0,"n.a.",I16/G16)</f>
        <v>0</v>
      </c>
      <c r="M16" s="5">
        <f>COUNTIFS(MCDM_Checks!$E$6:$E$3733,A16,MCDM_Checks!$D$6:$D$3733,"Unlabeled-13",MCDM_Checks!$G$6:$G$3733,1)</f>
        <v>4</v>
      </c>
      <c r="N16" s="5">
        <f>COUNTIFS(MCDM_Checks!$E$6:$E$3733,A16,MCDM_Checks!$D$6:$D$3733,"Unlabeled-13",MCDM_Checks!$G$6:$G$3733,1,MCDM_Checks!$K$6:$K$3733,"Y")</f>
        <v>2</v>
      </c>
      <c r="O16" s="5">
        <f>COUNTIFS(MCDM_Checks!$E$6:$E$3733,A16,MCDM_Checks!$D$6:$D$3733,"Unlabeled-13",MCDM_Checks!$G$6:$G$3733,1,MCDM_Checks!$K$6:$K$3733,"N")</f>
        <v>0</v>
      </c>
      <c r="P16" s="5">
        <f>COUNTIFS(MCDM_Checks!$E$6:$E$3733,A16,MCDM_Checks!$D$6:$D$3733,"Unlabeled-13",MCDM_Checks!$G$6:$G$3733,1,MCDM_Checks!$K$6:$K$3733,"U")</f>
        <v>2</v>
      </c>
      <c r="Q16" s="5">
        <f>COUNTIFS(MCDM_Checks!$E$6:$E$3733,A16,MCDM_Checks!$D$6:$D$3733,"Unlabeled-13",MCDM_Checks!$G$6:$G$3733,1,MCDM_Checks!$K$6:$K$3733,"X")</f>
        <v>0</v>
      </c>
      <c r="R16" s="13">
        <f>IF(M16=0,"n.a.",O16/M16)</f>
        <v>0</v>
      </c>
      <c r="S16" s="5" t="str">
        <f>IF(OR(IF(ISNUMBER(L16),L16&gt;MCDM_Settings!$B$15,FALSE),IF(ISNUMBER(R16),R16&gt;MCDM_Settings!$B$15,FALSE)),"Review cohort-wide removal","Retain: no &gt;95% confirmed N")</f>
        <v>Retain: no &gt;95% confirmed N</v>
      </c>
      <c r="T16" s="5" t="s">
        <v>11275</v>
      </c>
      <c r="U16" s="5" t="s">
        <v>11313</v>
      </c>
    </row>
    <row r="17" spans="1:21" ht="25.5">
      <c r="A17" s="5" t="s">
        <v>2788</v>
      </c>
      <c r="B17" s="5" t="s">
        <v>2758</v>
      </c>
      <c r="C17" s="5" t="s">
        <v>2759</v>
      </c>
      <c r="D17" s="5" t="s">
        <v>11314</v>
      </c>
      <c r="E17" s="5" t="s">
        <v>11273</v>
      </c>
      <c r="F17" s="5" t="s">
        <v>11315</v>
      </c>
      <c r="G17" s="5">
        <f>COUNTIFS(MCDM_Checks!$E$6:$E$3733,A17,MCDM_Checks!$D$6:$D$3733,"Labeled-16",MCDM_Checks!$G$6:$G$3733,1)</f>
        <v>229</v>
      </c>
      <c r="H17" s="5">
        <f>COUNTIFS(MCDM_Checks!$E$6:$E$3733,A17,MCDM_Checks!$D$6:$D$3733,"Labeled-16",MCDM_Checks!$G$6:$G$3733,1,MCDM_Checks!$K$6:$K$3733,"Y")</f>
        <v>173</v>
      </c>
      <c r="I17" s="5">
        <f>COUNTIFS(MCDM_Checks!$E$6:$E$3733,A17,MCDM_Checks!$D$6:$D$3733,"Labeled-16",MCDM_Checks!$G$6:$G$3733,1,MCDM_Checks!$K$6:$K$3733,"N")</f>
        <v>0</v>
      </c>
      <c r="J17" s="5">
        <f>COUNTIFS(MCDM_Checks!$E$6:$E$3733,A17,MCDM_Checks!$D$6:$D$3733,"Labeled-16",MCDM_Checks!$G$6:$G$3733,1,MCDM_Checks!$K$6:$K$3733,"U")</f>
        <v>56</v>
      </c>
      <c r="K17" s="5">
        <f>COUNTIFS(MCDM_Checks!$E$6:$E$3733,A17,MCDM_Checks!$D$6:$D$3733,"Labeled-16",MCDM_Checks!$G$6:$G$3733,1,MCDM_Checks!$K$6:$K$3733,"X")</f>
        <v>0</v>
      </c>
      <c r="L17" s="13">
        <f>IF(G17=0,"n.a.",I17/G17)</f>
        <v>0</v>
      </c>
      <c r="M17" s="5">
        <f>COUNTIFS(MCDM_Checks!$E$6:$E$3733,A17,MCDM_Checks!$D$6:$D$3733,"Unlabeled-13",MCDM_Checks!$G$6:$G$3733,1)</f>
        <v>4</v>
      </c>
      <c r="N17" s="5">
        <f>COUNTIFS(MCDM_Checks!$E$6:$E$3733,A17,MCDM_Checks!$D$6:$D$3733,"Unlabeled-13",MCDM_Checks!$G$6:$G$3733,1,MCDM_Checks!$K$6:$K$3733,"Y")</f>
        <v>4</v>
      </c>
      <c r="O17" s="5">
        <f>COUNTIFS(MCDM_Checks!$E$6:$E$3733,A17,MCDM_Checks!$D$6:$D$3733,"Unlabeled-13",MCDM_Checks!$G$6:$G$3733,1,MCDM_Checks!$K$6:$K$3733,"N")</f>
        <v>0</v>
      </c>
      <c r="P17" s="5">
        <f>COUNTIFS(MCDM_Checks!$E$6:$E$3733,A17,MCDM_Checks!$D$6:$D$3733,"Unlabeled-13",MCDM_Checks!$G$6:$G$3733,1,MCDM_Checks!$K$6:$K$3733,"U")</f>
        <v>0</v>
      </c>
      <c r="Q17" s="5">
        <f>COUNTIFS(MCDM_Checks!$E$6:$E$3733,A17,MCDM_Checks!$D$6:$D$3733,"Unlabeled-13",MCDM_Checks!$G$6:$G$3733,1,MCDM_Checks!$K$6:$K$3733,"X")</f>
        <v>0</v>
      </c>
      <c r="R17" s="13">
        <f>IF(M17=0,"n.a.",O17/M17)</f>
        <v>0</v>
      </c>
      <c r="S17" s="5" t="str">
        <f>IF(OR(IF(ISNUMBER(L17),L17&gt;MCDM_Settings!$B$15,FALSE),IF(ISNUMBER(R17),R17&gt;MCDM_Settings!$B$15,FALSE)),"Review cohort-wide removal","Retain: no &gt;95% confirmed N")</f>
        <v>Retain: no &gt;95% confirmed N</v>
      </c>
      <c r="T17" s="5" t="s">
        <v>11275</v>
      </c>
      <c r="U17" s="5" t="s">
        <v>11316</v>
      </c>
    </row>
    <row r="18" spans="1:21" ht="25.5">
      <c r="A18" s="5" t="s">
        <v>11317</v>
      </c>
      <c r="B18" s="5" t="s">
        <v>2758</v>
      </c>
      <c r="C18" s="5" t="s">
        <v>2759</v>
      </c>
      <c r="D18" s="5" t="s">
        <v>11318</v>
      </c>
      <c r="E18" s="5" t="s">
        <v>11319</v>
      </c>
      <c r="F18" s="5" t="s">
        <v>11320</v>
      </c>
      <c r="G18" s="5" t="str">
        <f>"Not scored"</f>
        <v>Not scored</v>
      </c>
      <c r="H18" s="5" t="str">
        <f>"Not scored"</f>
        <v>Not scored</v>
      </c>
      <c r="I18" s="5" t="str">
        <f>"Not scored"</f>
        <v>Not scored</v>
      </c>
      <c r="J18" s="5" t="str">
        <f>"Not scored"</f>
        <v>Not scored</v>
      </c>
      <c r="K18" s="5" t="str">
        <f>"Not scored"</f>
        <v>Not scored</v>
      </c>
      <c r="L18" s="13" t="str">
        <f>"n.a."</f>
        <v>n.a.</v>
      </c>
      <c r="M18" s="5" t="str">
        <f>"Not scored"</f>
        <v>Not scored</v>
      </c>
      <c r="N18" s="5" t="str">
        <f>"Not scored"</f>
        <v>Not scored</v>
      </c>
      <c r="O18" s="5" t="str">
        <f>"Not scored"</f>
        <v>Not scored</v>
      </c>
      <c r="P18" s="5" t="str">
        <f>"Not scored"</f>
        <v>Not scored</v>
      </c>
      <c r="Q18" s="5" t="str">
        <f>"Not scored"</f>
        <v>Not scored</v>
      </c>
      <c r="R18" s="13" t="str">
        <f>"n.a."</f>
        <v>n.a.</v>
      </c>
      <c r="S18" s="5" t="str">
        <f>"Outside common score"</f>
        <v>Outside common score</v>
      </c>
      <c r="T18" s="5" t="s">
        <v>11275</v>
      </c>
      <c r="U18" s="5" t="s">
        <v>11321</v>
      </c>
    </row>
    <row r="19" spans="1:21" ht="25.5">
      <c r="A19" s="5" t="s">
        <v>2789</v>
      </c>
      <c r="B19" s="5" t="s">
        <v>2758</v>
      </c>
      <c r="C19" s="5" t="s">
        <v>2759</v>
      </c>
      <c r="D19" s="5" t="s">
        <v>11322</v>
      </c>
      <c r="E19" s="5" t="s">
        <v>11273</v>
      </c>
      <c r="F19" s="5" t="s">
        <v>11323</v>
      </c>
      <c r="G19" s="5">
        <f>COUNTIFS(MCDM_Checks!$E$6:$E$3733,A19,MCDM_Checks!$D$6:$D$3733,"Labeled-16",MCDM_Checks!$G$6:$G$3733,1)</f>
        <v>229</v>
      </c>
      <c r="H19" s="5">
        <f>COUNTIFS(MCDM_Checks!$E$6:$E$3733,A19,MCDM_Checks!$D$6:$D$3733,"Labeled-16",MCDM_Checks!$G$6:$G$3733,1,MCDM_Checks!$K$6:$K$3733,"Y")</f>
        <v>124</v>
      </c>
      <c r="I19" s="5">
        <f>COUNTIFS(MCDM_Checks!$E$6:$E$3733,A19,MCDM_Checks!$D$6:$D$3733,"Labeled-16",MCDM_Checks!$G$6:$G$3733,1,MCDM_Checks!$K$6:$K$3733,"N")</f>
        <v>0</v>
      </c>
      <c r="J19" s="5">
        <f>COUNTIFS(MCDM_Checks!$E$6:$E$3733,A19,MCDM_Checks!$D$6:$D$3733,"Labeled-16",MCDM_Checks!$G$6:$G$3733,1,MCDM_Checks!$K$6:$K$3733,"U")</f>
        <v>105</v>
      </c>
      <c r="K19" s="5">
        <f>COUNTIFS(MCDM_Checks!$E$6:$E$3733,A19,MCDM_Checks!$D$6:$D$3733,"Labeled-16",MCDM_Checks!$G$6:$G$3733,1,MCDM_Checks!$K$6:$K$3733,"X")</f>
        <v>0</v>
      </c>
      <c r="L19" s="13">
        <f>IF(G19=0,"n.a.",I19/G19)</f>
        <v>0</v>
      </c>
      <c r="M19" s="5">
        <f>COUNTIFS(MCDM_Checks!$E$6:$E$3733,A19,MCDM_Checks!$D$6:$D$3733,"Unlabeled-13",MCDM_Checks!$G$6:$G$3733,1)</f>
        <v>4</v>
      </c>
      <c r="N19" s="5">
        <f>COUNTIFS(MCDM_Checks!$E$6:$E$3733,A19,MCDM_Checks!$D$6:$D$3733,"Unlabeled-13",MCDM_Checks!$G$6:$G$3733,1,MCDM_Checks!$K$6:$K$3733,"Y")</f>
        <v>4</v>
      </c>
      <c r="O19" s="5">
        <f>COUNTIFS(MCDM_Checks!$E$6:$E$3733,A19,MCDM_Checks!$D$6:$D$3733,"Unlabeled-13",MCDM_Checks!$G$6:$G$3733,1,MCDM_Checks!$K$6:$K$3733,"N")</f>
        <v>0</v>
      </c>
      <c r="P19" s="5">
        <f>COUNTIFS(MCDM_Checks!$E$6:$E$3733,A19,MCDM_Checks!$D$6:$D$3733,"Unlabeled-13",MCDM_Checks!$G$6:$G$3733,1,MCDM_Checks!$K$6:$K$3733,"U")</f>
        <v>0</v>
      </c>
      <c r="Q19" s="5">
        <f>COUNTIFS(MCDM_Checks!$E$6:$E$3733,A19,MCDM_Checks!$D$6:$D$3733,"Unlabeled-13",MCDM_Checks!$G$6:$G$3733,1,MCDM_Checks!$K$6:$K$3733,"X")</f>
        <v>0</v>
      </c>
      <c r="R19" s="13">
        <f>IF(M19=0,"n.a.",O19/M19)</f>
        <v>0</v>
      </c>
      <c r="S19" s="5" t="str">
        <f>IF(OR(IF(ISNUMBER(L19),L19&gt;MCDM_Settings!$B$15,FALSE),IF(ISNUMBER(R19),R19&gt;MCDM_Settings!$B$15,FALSE)),"Review cohort-wide removal","Retain: no &gt;95% confirmed N")</f>
        <v>Retain: no &gt;95% confirmed N</v>
      </c>
      <c r="T19" s="5" t="s">
        <v>11275</v>
      </c>
      <c r="U19" s="5" t="s">
        <v>11324</v>
      </c>
    </row>
    <row r="20" spans="1:21" ht="25.5">
      <c r="A20" s="5" t="s">
        <v>11325</v>
      </c>
      <c r="B20" s="5" t="s">
        <v>2758</v>
      </c>
      <c r="C20" s="5" t="s">
        <v>2759</v>
      </c>
      <c r="D20" s="5" t="s">
        <v>11326</v>
      </c>
      <c r="E20" s="5" t="s">
        <v>11319</v>
      </c>
      <c r="F20" s="5" t="s">
        <v>11327</v>
      </c>
      <c r="G20" s="5" t="str">
        <f>"Not scored"</f>
        <v>Not scored</v>
      </c>
      <c r="H20" s="5" t="str">
        <f>"Not scored"</f>
        <v>Not scored</v>
      </c>
      <c r="I20" s="5" t="str">
        <f>"Not scored"</f>
        <v>Not scored</v>
      </c>
      <c r="J20" s="5" t="str">
        <f>"Not scored"</f>
        <v>Not scored</v>
      </c>
      <c r="K20" s="5" t="str">
        <f>"Not scored"</f>
        <v>Not scored</v>
      </c>
      <c r="L20" s="13" t="str">
        <f>"n.a."</f>
        <v>n.a.</v>
      </c>
      <c r="M20" s="5" t="str">
        <f>"Not scored"</f>
        <v>Not scored</v>
      </c>
      <c r="N20" s="5" t="str">
        <f>"Not scored"</f>
        <v>Not scored</v>
      </c>
      <c r="O20" s="5" t="str">
        <f>"Not scored"</f>
        <v>Not scored</v>
      </c>
      <c r="P20" s="5" t="str">
        <f>"Not scored"</f>
        <v>Not scored</v>
      </c>
      <c r="Q20" s="5" t="str">
        <f>"Not scored"</f>
        <v>Not scored</v>
      </c>
      <c r="R20" s="13" t="str">
        <f>"n.a."</f>
        <v>n.a.</v>
      </c>
      <c r="S20" s="5" t="str">
        <f>"Outside common score"</f>
        <v>Outside common score</v>
      </c>
      <c r="T20" s="5" t="s">
        <v>11275</v>
      </c>
      <c r="U20" s="5" t="s">
        <v>11328</v>
      </c>
    </row>
    <row r="21" spans="1:21" ht="25.5">
      <c r="A21" s="5" t="s">
        <v>2790</v>
      </c>
      <c r="B21" s="5" t="s">
        <v>2760</v>
      </c>
      <c r="C21" s="5" t="s">
        <v>11329</v>
      </c>
      <c r="D21" s="5" t="s">
        <v>11330</v>
      </c>
      <c r="E21" s="5" t="s">
        <v>11273</v>
      </c>
      <c r="F21" s="5" t="s">
        <v>11331</v>
      </c>
      <c r="G21" s="5">
        <f>COUNTIFS(MCDM_Checks!$E$6:$E$3733,A21,MCDM_Checks!$D$6:$D$3733,"Labeled-16",MCDM_Checks!$G$6:$G$3733,1)</f>
        <v>229</v>
      </c>
      <c r="H21" s="5">
        <f>COUNTIFS(MCDM_Checks!$E$6:$E$3733,A21,MCDM_Checks!$D$6:$D$3733,"Labeled-16",MCDM_Checks!$G$6:$G$3733,1,MCDM_Checks!$K$6:$K$3733,"Y")</f>
        <v>138</v>
      </c>
      <c r="I21" s="5">
        <f>COUNTIFS(MCDM_Checks!$E$6:$E$3733,A21,MCDM_Checks!$D$6:$D$3733,"Labeled-16",MCDM_Checks!$G$6:$G$3733,1,MCDM_Checks!$K$6:$K$3733,"N")</f>
        <v>0</v>
      </c>
      <c r="J21" s="5">
        <f>COUNTIFS(MCDM_Checks!$E$6:$E$3733,A21,MCDM_Checks!$D$6:$D$3733,"Labeled-16",MCDM_Checks!$G$6:$G$3733,1,MCDM_Checks!$K$6:$K$3733,"U")</f>
        <v>82</v>
      </c>
      <c r="K21" s="5">
        <f>COUNTIFS(MCDM_Checks!$E$6:$E$3733,A21,MCDM_Checks!$D$6:$D$3733,"Labeled-16",MCDM_Checks!$G$6:$G$3733,1,MCDM_Checks!$K$6:$K$3733,"X")</f>
        <v>9</v>
      </c>
      <c r="L21" s="13">
        <f>IF(G21=0,"n.a.",I21/G21)</f>
        <v>0</v>
      </c>
      <c r="M21" s="5">
        <f>COUNTIFS(MCDM_Checks!$E$6:$E$3733,A21,MCDM_Checks!$D$6:$D$3733,"Unlabeled-13",MCDM_Checks!$G$6:$G$3733,1)</f>
        <v>4</v>
      </c>
      <c r="N21" s="5">
        <f>COUNTIFS(MCDM_Checks!$E$6:$E$3733,A21,MCDM_Checks!$D$6:$D$3733,"Unlabeled-13",MCDM_Checks!$G$6:$G$3733,1,MCDM_Checks!$K$6:$K$3733,"Y")</f>
        <v>2</v>
      </c>
      <c r="O21" s="5">
        <f>COUNTIFS(MCDM_Checks!$E$6:$E$3733,A21,MCDM_Checks!$D$6:$D$3733,"Unlabeled-13",MCDM_Checks!$G$6:$G$3733,1,MCDM_Checks!$K$6:$K$3733,"N")</f>
        <v>0</v>
      </c>
      <c r="P21" s="5">
        <f>COUNTIFS(MCDM_Checks!$E$6:$E$3733,A21,MCDM_Checks!$D$6:$D$3733,"Unlabeled-13",MCDM_Checks!$G$6:$G$3733,1,MCDM_Checks!$K$6:$K$3733,"U")</f>
        <v>2</v>
      </c>
      <c r="Q21" s="5">
        <f>COUNTIFS(MCDM_Checks!$E$6:$E$3733,A21,MCDM_Checks!$D$6:$D$3733,"Unlabeled-13",MCDM_Checks!$G$6:$G$3733,1,MCDM_Checks!$K$6:$K$3733,"X")</f>
        <v>0</v>
      </c>
      <c r="R21" s="13">
        <f>IF(M21=0,"n.a.",O21/M21)</f>
        <v>0</v>
      </c>
      <c r="S21" s="5" t="str">
        <f>IF(OR(IF(ISNUMBER(L21),L21&gt;MCDM_Settings!$B$15,FALSE),IF(ISNUMBER(R21),R21&gt;MCDM_Settings!$B$15,FALSE)),"Review cohort-wide removal","Retain: no &gt;95% confirmed N")</f>
        <v>Retain: no &gt;95% confirmed N</v>
      </c>
      <c r="T21" s="5" t="s">
        <v>11275</v>
      </c>
      <c r="U21" s="5" t="s">
        <v>11332</v>
      </c>
    </row>
    <row r="22" spans="1:21" ht="25.5">
      <c r="A22" s="5" t="s">
        <v>2791</v>
      </c>
      <c r="B22" s="5" t="s">
        <v>2760</v>
      </c>
      <c r="C22" s="5" t="s">
        <v>11329</v>
      </c>
      <c r="D22" s="5" t="s">
        <v>11333</v>
      </c>
      <c r="E22" s="5" t="s">
        <v>11273</v>
      </c>
      <c r="F22" s="5" t="s">
        <v>11334</v>
      </c>
      <c r="G22" s="5">
        <f>COUNTIFS(MCDM_Checks!$E$6:$E$3733,A22,MCDM_Checks!$D$6:$D$3733,"Labeled-16",MCDM_Checks!$G$6:$G$3733,1)</f>
        <v>229</v>
      </c>
      <c r="H22" s="5">
        <f>COUNTIFS(MCDM_Checks!$E$6:$E$3733,A22,MCDM_Checks!$D$6:$D$3733,"Labeled-16",MCDM_Checks!$G$6:$G$3733,1,MCDM_Checks!$K$6:$K$3733,"Y")</f>
        <v>82</v>
      </c>
      <c r="I22" s="5">
        <f>COUNTIFS(MCDM_Checks!$E$6:$E$3733,A22,MCDM_Checks!$D$6:$D$3733,"Labeled-16",MCDM_Checks!$G$6:$G$3733,1,MCDM_Checks!$K$6:$K$3733,"N")</f>
        <v>0</v>
      </c>
      <c r="J22" s="5">
        <f>COUNTIFS(MCDM_Checks!$E$6:$E$3733,A22,MCDM_Checks!$D$6:$D$3733,"Labeled-16",MCDM_Checks!$G$6:$G$3733,1,MCDM_Checks!$K$6:$K$3733,"U")</f>
        <v>147</v>
      </c>
      <c r="K22" s="5">
        <f>COUNTIFS(MCDM_Checks!$E$6:$E$3733,A22,MCDM_Checks!$D$6:$D$3733,"Labeled-16",MCDM_Checks!$G$6:$G$3733,1,MCDM_Checks!$K$6:$K$3733,"X")</f>
        <v>0</v>
      </c>
      <c r="L22" s="13">
        <f>IF(G22=0,"n.a.",I22/G22)</f>
        <v>0</v>
      </c>
      <c r="M22" s="5">
        <f>COUNTIFS(MCDM_Checks!$E$6:$E$3733,A22,MCDM_Checks!$D$6:$D$3733,"Unlabeled-13",MCDM_Checks!$G$6:$G$3733,1)</f>
        <v>4</v>
      </c>
      <c r="N22" s="5">
        <f>COUNTIFS(MCDM_Checks!$E$6:$E$3733,A22,MCDM_Checks!$D$6:$D$3733,"Unlabeled-13",MCDM_Checks!$G$6:$G$3733,1,MCDM_Checks!$K$6:$K$3733,"Y")</f>
        <v>0</v>
      </c>
      <c r="O22" s="5">
        <f>COUNTIFS(MCDM_Checks!$E$6:$E$3733,A22,MCDM_Checks!$D$6:$D$3733,"Unlabeled-13",MCDM_Checks!$G$6:$G$3733,1,MCDM_Checks!$K$6:$K$3733,"N")</f>
        <v>0</v>
      </c>
      <c r="P22" s="5">
        <f>COUNTIFS(MCDM_Checks!$E$6:$E$3733,A22,MCDM_Checks!$D$6:$D$3733,"Unlabeled-13",MCDM_Checks!$G$6:$G$3733,1,MCDM_Checks!$K$6:$K$3733,"U")</f>
        <v>4</v>
      </c>
      <c r="Q22" s="5">
        <f>COUNTIFS(MCDM_Checks!$E$6:$E$3733,A22,MCDM_Checks!$D$6:$D$3733,"Unlabeled-13",MCDM_Checks!$G$6:$G$3733,1,MCDM_Checks!$K$6:$K$3733,"X")</f>
        <v>0</v>
      </c>
      <c r="R22" s="13">
        <f>IF(M22=0,"n.a.",O22/M22)</f>
        <v>0</v>
      </c>
      <c r="S22" s="5" t="str">
        <f>IF(OR(IF(ISNUMBER(L22),L22&gt;MCDM_Settings!$B$15,FALSE),IF(ISNUMBER(R22),R22&gt;MCDM_Settings!$B$15,FALSE)),"Review cohort-wide removal","Retain: no &gt;95% confirmed N")</f>
        <v>Retain: no &gt;95% confirmed N</v>
      </c>
      <c r="T22" s="5" t="s">
        <v>11275</v>
      </c>
      <c r="U22" s="5" t="s">
        <v>11335</v>
      </c>
    </row>
    <row r="23" spans="1:21">
      <c r="A23" s="5" t="s">
        <v>11336</v>
      </c>
      <c r="B23" s="5" t="s">
        <v>2760</v>
      </c>
      <c r="C23" s="5" t="s">
        <v>11329</v>
      </c>
      <c r="D23" s="5" t="s">
        <v>11337</v>
      </c>
      <c r="E23" s="5" t="s">
        <v>11301</v>
      </c>
      <c r="F23" s="5" t="s">
        <v>11338</v>
      </c>
      <c r="G23" s="5" t="str">
        <f t="shared" ref="G23:K25" si="3">"Not scored"</f>
        <v>Not scored</v>
      </c>
      <c r="H23" s="5" t="str">
        <f t="shared" si="3"/>
        <v>Not scored</v>
      </c>
      <c r="I23" s="5" t="str">
        <f t="shared" si="3"/>
        <v>Not scored</v>
      </c>
      <c r="J23" s="5" t="str">
        <f t="shared" si="3"/>
        <v>Not scored</v>
      </c>
      <c r="K23" s="5" t="str">
        <f t="shared" si="3"/>
        <v>Not scored</v>
      </c>
      <c r="L23" s="13" t="str">
        <f>"n.a."</f>
        <v>n.a.</v>
      </c>
      <c r="M23" s="5" t="str">
        <f t="shared" ref="M23:Q25" si="4">"Not scored"</f>
        <v>Not scored</v>
      </c>
      <c r="N23" s="5" t="str">
        <f t="shared" si="4"/>
        <v>Not scored</v>
      </c>
      <c r="O23" s="5" t="str">
        <f t="shared" si="4"/>
        <v>Not scored</v>
      </c>
      <c r="P23" s="5" t="str">
        <f t="shared" si="4"/>
        <v>Not scored</v>
      </c>
      <c r="Q23" s="5" t="str">
        <f t="shared" si="4"/>
        <v>Not scored</v>
      </c>
      <c r="R23" s="13" t="str">
        <f>"n.a."</f>
        <v>n.a.</v>
      </c>
      <c r="S23" s="5" t="str">
        <f>"Outside common score"</f>
        <v>Outside common score</v>
      </c>
      <c r="T23" s="5" t="s">
        <v>11275</v>
      </c>
      <c r="U23" s="5" t="s">
        <v>11339</v>
      </c>
    </row>
    <row r="24" spans="1:21">
      <c r="A24" s="5" t="s">
        <v>11340</v>
      </c>
      <c r="B24" s="5" t="s">
        <v>2760</v>
      </c>
      <c r="C24" s="5" t="s">
        <v>11329</v>
      </c>
      <c r="D24" s="5" t="s">
        <v>11341</v>
      </c>
      <c r="E24" s="5" t="s">
        <v>11285</v>
      </c>
      <c r="F24" s="5" t="s">
        <v>11342</v>
      </c>
      <c r="G24" s="5" t="str">
        <f t="shared" si="3"/>
        <v>Not scored</v>
      </c>
      <c r="H24" s="5" t="str">
        <f t="shared" si="3"/>
        <v>Not scored</v>
      </c>
      <c r="I24" s="5" t="str">
        <f t="shared" si="3"/>
        <v>Not scored</v>
      </c>
      <c r="J24" s="5" t="str">
        <f t="shared" si="3"/>
        <v>Not scored</v>
      </c>
      <c r="K24" s="5" t="str">
        <f t="shared" si="3"/>
        <v>Not scored</v>
      </c>
      <c r="L24" s="13" t="str">
        <f>"n.a."</f>
        <v>n.a.</v>
      </c>
      <c r="M24" s="5" t="str">
        <f t="shared" si="4"/>
        <v>Not scored</v>
      </c>
      <c r="N24" s="5" t="str">
        <f t="shared" si="4"/>
        <v>Not scored</v>
      </c>
      <c r="O24" s="5" t="str">
        <f t="shared" si="4"/>
        <v>Not scored</v>
      </c>
      <c r="P24" s="5" t="str">
        <f t="shared" si="4"/>
        <v>Not scored</v>
      </c>
      <c r="Q24" s="5" t="str">
        <f t="shared" si="4"/>
        <v>Not scored</v>
      </c>
      <c r="R24" s="13" t="str">
        <f>"n.a."</f>
        <v>n.a.</v>
      </c>
      <c r="S24" s="5" t="str">
        <f>"Outside common score"</f>
        <v>Outside common score</v>
      </c>
      <c r="T24" s="5" t="s">
        <v>11275</v>
      </c>
      <c r="U24" s="5" t="s">
        <v>11343</v>
      </c>
    </row>
    <row r="25" spans="1:21" ht="25.5">
      <c r="A25" s="5" t="s">
        <v>11344</v>
      </c>
      <c r="B25" s="5" t="s">
        <v>2760</v>
      </c>
      <c r="C25" s="5" t="s">
        <v>11329</v>
      </c>
      <c r="D25" s="5" t="s">
        <v>11345</v>
      </c>
      <c r="E25" s="5" t="s">
        <v>11301</v>
      </c>
      <c r="F25" s="5" t="s">
        <v>11346</v>
      </c>
      <c r="G25" s="5" t="str">
        <f t="shared" si="3"/>
        <v>Not scored</v>
      </c>
      <c r="H25" s="5" t="str">
        <f t="shared" si="3"/>
        <v>Not scored</v>
      </c>
      <c r="I25" s="5" t="str">
        <f t="shared" si="3"/>
        <v>Not scored</v>
      </c>
      <c r="J25" s="5" t="str">
        <f t="shared" si="3"/>
        <v>Not scored</v>
      </c>
      <c r="K25" s="5" t="str">
        <f t="shared" si="3"/>
        <v>Not scored</v>
      </c>
      <c r="L25" s="13" t="str">
        <f>"n.a."</f>
        <v>n.a.</v>
      </c>
      <c r="M25" s="5" t="str">
        <f t="shared" si="4"/>
        <v>Not scored</v>
      </c>
      <c r="N25" s="5" t="str">
        <f t="shared" si="4"/>
        <v>Not scored</v>
      </c>
      <c r="O25" s="5" t="str">
        <f t="shared" si="4"/>
        <v>Not scored</v>
      </c>
      <c r="P25" s="5" t="str">
        <f t="shared" si="4"/>
        <v>Not scored</v>
      </c>
      <c r="Q25" s="5" t="str">
        <f t="shared" si="4"/>
        <v>Not scored</v>
      </c>
      <c r="R25" s="13" t="str">
        <f>"n.a."</f>
        <v>n.a.</v>
      </c>
      <c r="S25" s="5" t="str">
        <f>"Outside common score"</f>
        <v>Outside common score</v>
      </c>
      <c r="T25" s="5" t="s">
        <v>11275</v>
      </c>
      <c r="U25" s="5" t="s">
        <v>11347</v>
      </c>
    </row>
    <row r="26" spans="1:21" ht="25.5">
      <c r="A26" s="5" t="s">
        <v>2792</v>
      </c>
      <c r="B26" s="5" t="s">
        <v>2762</v>
      </c>
      <c r="C26" s="5" t="s">
        <v>11348</v>
      </c>
      <c r="D26" s="5" t="s">
        <v>11349</v>
      </c>
      <c r="E26" s="5" t="s">
        <v>11273</v>
      </c>
      <c r="F26" s="5" t="s">
        <v>11350</v>
      </c>
      <c r="G26" s="5">
        <f>COUNTIFS(MCDM_Checks!$E$6:$E$3733,A26,MCDM_Checks!$D$6:$D$3733,"Labeled-16",MCDM_Checks!$G$6:$G$3733,1)</f>
        <v>229</v>
      </c>
      <c r="H26" s="5">
        <f>COUNTIFS(MCDM_Checks!$E$6:$E$3733,A26,MCDM_Checks!$D$6:$D$3733,"Labeled-16",MCDM_Checks!$G$6:$G$3733,1,MCDM_Checks!$K$6:$K$3733,"Y")</f>
        <v>121</v>
      </c>
      <c r="I26" s="5">
        <f>COUNTIFS(MCDM_Checks!$E$6:$E$3733,A26,MCDM_Checks!$D$6:$D$3733,"Labeled-16",MCDM_Checks!$G$6:$G$3733,1,MCDM_Checks!$K$6:$K$3733,"N")</f>
        <v>0</v>
      </c>
      <c r="J26" s="5">
        <f>COUNTIFS(MCDM_Checks!$E$6:$E$3733,A26,MCDM_Checks!$D$6:$D$3733,"Labeled-16",MCDM_Checks!$G$6:$G$3733,1,MCDM_Checks!$K$6:$K$3733,"U")</f>
        <v>108</v>
      </c>
      <c r="K26" s="5">
        <f>COUNTIFS(MCDM_Checks!$E$6:$E$3733,A26,MCDM_Checks!$D$6:$D$3733,"Labeled-16",MCDM_Checks!$G$6:$G$3733,1,MCDM_Checks!$K$6:$K$3733,"X")</f>
        <v>0</v>
      </c>
      <c r="L26" s="13">
        <f>IF(G26=0,"n.a.",I26/G26)</f>
        <v>0</v>
      </c>
      <c r="M26" s="5">
        <f>COUNTIFS(MCDM_Checks!$E$6:$E$3733,A26,MCDM_Checks!$D$6:$D$3733,"Unlabeled-13",MCDM_Checks!$G$6:$G$3733,1)</f>
        <v>4</v>
      </c>
      <c r="N26" s="5">
        <f>COUNTIFS(MCDM_Checks!$E$6:$E$3733,A26,MCDM_Checks!$D$6:$D$3733,"Unlabeled-13",MCDM_Checks!$G$6:$G$3733,1,MCDM_Checks!$K$6:$K$3733,"Y")</f>
        <v>3</v>
      </c>
      <c r="O26" s="5">
        <f>COUNTIFS(MCDM_Checks!$E$6:$E$3733,A26,MCDM_Checks!$D$6:$D$3733,"Unlabeled-13",MCDM_Checks!$G$6:$G$3733,1,MCDM_Checks!$K$6:$K$3733,"N")</f>
        <v>0</v>
      </c>
      <c r="P26" s="5">
        <f>COUNTIFS(MCDM_Checks!$E$6:$E$3733,A26,MCDM_Checks!$D$6:$D$3733,"Unlabeled-13",MCDM_Checks!$G$6:$G$3733,1,MCDM_Checks!$K$6:$K$3733,"U")</f>
        <v>1</v>
      </c>
      <c r="Q26" s="5">
        <f>COUNTIFS(MCDM_Checks!$E$6:$E$3733,A26,MCDM_Checks!$D$6:$D$3733,"Unlabeled-13",MCDM_Checks!$G$6:$G$3733,1,MCDM_Checks!$K$6:$K$3733,"X")</f>
        <v>0</v>
      </c>
      <c r="R26" s="13">
        <f>IF(M26=0,"n.a.",O26/M26)</f>
        <v>0</v>
      </c>
      <c r="S26" s="5" t="str">
        <f>IF(OR(IF(ISNUMBER(L26),L26&gt;MCDM_Settings!$B$15,FALSE),IF(ISNUMBER(R26),R26&gt;MCDM_Settings!$B$15,FALSE)),"Review cohort-wide removal","Retain: no &gt;95% confirmed N")</f>
        <v>Retain: no &gt;95% confirmed N</v>
      </c>
      <c r="T26" s="5" t="s">
        <v>11275</v>
      </c>
      <c r="U26" s="5" t="s">
        <v>11351</v>
      </c>
    </row>
    <row r="27" spans="1:21" ht="25.5">
      <c r="A27" s="5" t="s">
        <v>2793</v>
      </c>
      <c r="B27" s="5" t="s">
        <v>2762</v>
      </c>
      <c r="C27" s="5" t="s">
        <v>11348</v>
      </c>
      <c r="D27" s="5" t="s">
        <v>11352</v>
      </c>
      <c r="E27" s="5" t="s">
        <v>11273</v>
      </c>
      <c r="F27" s="5" t="s">
        <v>11353</v>
      </c>
      <c r="G27" s="5">
        <f>COUNTIFS(MCDM_Checks!$E$6:$E$3733,A27,MCDM_Checks!$D$6:$D$3733,"Labeled-16",MCDM_Checks!$G$6:$G$3733,1)</f>
        <v>229</v>
      </c>
      <c r="H27" s="5">
        <f>COUNTIFS(MCDM_Checks!$E$6:$E$3733,A27,MCDM_Checks!$D$6:$D$3733,"Labeled-16",MCDM_Checks!$G$6:$G$3733,1,MCDM_Checks!$K$6:$K$3733,"Y")</f>
        <v>158</v>
      </c>
      <c r="I27" s="5">
        <f>COUNTIFS(MCDM_Checks!$E$6:$E$3733,A27,MCDM_Checks!$D$6:$D$3733,"Labeled-16",MCDM_Checks!$G$6:$G$3733,1,MCDM_Checks!$K$6:$K$3733,"N")</f>
        <v>0</v>
      </c>
      <c r="J27" s="5">
        <f>COUNTIFS(MCDM_Checks!$E$6:$E$3733,A27,MCDM_Checks!$D$6:$D$3733,"Labeled-16",MCDM_Checks!$G$6:$G$3733,1,MCDM_Checks!$K$6:$K$3733,"U")</f>
        <v>71</v>
      </c>
      <c r="K27" s="5">
        <f>COUNTIFS(MCDM_Checks!$E$6:$E$3733,A27,MCDM_Checks!$D$6:$D$3733,"Labeled-16",MCDM_Checks!$G$6:$G$3733,1,MCDM_Checks!$K$6:$K$3733,"X")</f>
        <v>0</v>
      </c>
      <c r="L27" s="13">
        <f>IF(G27=0,"n.a.",I27/G27)</f>
        <v>0</v>
      </c>
      <c r="M27" s="5">
        <f>COUNTIFS(MCDM_Checks!$E$6:$E$3733,A27,MCDM_Checks!$D$6:$D$3733,"Unlabeled-13",MCDM_Checks!$G$6:$G$3733,1)</f>
        <v>4</v>
      </c>
      <c r="N27" s="5">
        <f>COUNTIFS(MCDM_Checks!$E$6:$E$3733,A27,MCDM_Checks!$D$6:$D$3733,"Unlabeled-13",MCDM_Checks!$G$6:$G$3733,1,MCDM_Checks!$K$6:$K$3733,"Y")</f>
        <v>3</v>
      </c>
      <c r="O27" s="5">
        <f>COUNTIFS(MCDM_Checks!$E$6:$E$3733,A27,MCDM_Checks!$D$6:$D$3733,"Unlabeled-13",MCDM_Checks!$G$6:$G$3733,1,MCDM_Checks!$K$6:$K$3733,"N")</f>
        <v>0</v>
      </c>
      <c r="P27" s="5">
        <f>COUNTIFS(MCDM_Checks!$E$6:$E$3733,A27,MCDM_Checks!$D$6:$D$3733,"Unlabeled-13",MCDM_Checks!$G$6:$G$3733,1,MCDM_Checks!$K$6:$K$3733,"U")</f>
        <v>1</v>
      </c>
      <c r="Q27" s="5">
        <f>COUNTIFS(MCDM_Checks!$E$6:$E$3733,A27,MCDM_Checks!$D$6:$D$3733,"Unlabeled-13",MCDM_Checks!$G$6:$G$3733,1,MCDM_Checks!$K$6:$K$3733,"X")</f>
        <v>0</v>
      </c>
      <c r="R27" s="13">
        <f>IF(M27=0,"n.a.",O27/M27)</f>
        <v>0</v>
      </c>
      <c r="S27" s="5" t="str">
        <f>IF(OR(IF(ISNUMBER(L27),L27&gt;MCDM_Settings!$B$15,FALSE),IF(ISNUMBER(R27),R27&gt;MCDM_Settings!$B$15,FALSE)),"Review cohort-wide removal","Retain: no &gt;95% confirmed N")</f>
        <v>Retain: no &gt;95% confirmed N</v>
      </c>
      <c r="T27" s="5" t="s">
        <v>11275</v>
      </c>
      <c r="U27" s="5" t="s">
        <v>11354</v>
      </c>
    </row>
    <row r="28" spans="1:21" ht="25.5">
      <c r="A28" s="5" t="s">
        <v>11355</v>
      </c>
      <c r="B28" s="5" t="s">
        <v>2762</v>
      </c>
      <c r="C28" s="5" t="s">
        <v>11348</v>
      </c>
      <c r="D28" s="5" t="s">
        <v>11356</v>
      </c>
      <c r="E28" s="5" t="s">
        <v>11285</v>
      </c>
      <c r="F28" s="5" t="s">
        <v>11357</v>
      </c>
      <c r="G28" s="5" t="str">
        <f t="shared" ref="G28:K30" si="5">"Not scored"</f>
        <v>Not scored</v>
      </c>
      <c r="H28" s="5" t="str">
        <f t="shared" si="5"/>
        <v>Not scored</v>
      </c>
      <c r="I28" s="5" t="str">
        <f t="shared" si="5"/>
        <v>Not scored</v>
      </c>
      <c r="J28" s="5" t="str">
        <f t="shared" si="5"/>
        <v>Not scored</v>
      </c>
      <c r="K28" s="5" t="str">
        <f t="shared" si="5"/>
        <v>Not scored</v>
      </c>
      <c r="L28" s="13" t="str">
        <f>"n.a."</f>
        <v>n.a.</v>
      </c>
      <c r="M28" s="5" t="str">
        <f t="shared" ref="M28:Q30" si="6">"Not scored"</f>
        <v>Not scored</v>
      </c>
      <c r="N28" s="5" t="str">
        <f t="shared" si="6"/>
        <v>Not scored</v>
      </c>
      <c r="O28" s="5" t="str">
        <f t="shared" si="6"/>
        <v>Not scored</v>
      </c>
      <c r="P28" s="5" t="str">
        <f t="shared" si="6"/>
        <v>Not scored</v>
      </c>
      <c r="Q28" s="5" t="str">
        <f t="shared" si="6"/>
        <v>Not scored</v>
      </c>
      <c r="R28" s="13" t="str">
        <f>"n.a."</f>
        <v>n.a.</v>
      </c>
      <c r="S28" s="5" t="str">
        <f>"Outside common score"</f>
        <v>Outside common score</v>
      </c>
      <c r="T28" s="5" t="s">
        <v>11275</v>
      </c>
      <c r="U28" s="5" t="s">
        <v>11358</v>
      </c>
    </row>
    <row r="29" spans="1:21" ht="25.5">
      <c r="A29" s="5" t="s">
        <v>11359</v>
      </c>
      <c r="B29" s="5" t="s">
        <v>2762</v>
      </c>
      <c r="C29" s="5" t="s">
        <v>11348</v>
      </c>
      <c r="D29" s="5" t="s">
        <v>11360</v>
      </c>
      <c r="E29" s="5" t="s">
        <v>11361</v>
      </c>
      <c r="F29" s="5" t="s">
        <v>11362</v>
      </c>
      <c r="G29" s="5" t="str">
        <f t="shared" si="5"/>
        <v>Not scored</v>
      </c>
      <c r="H29" s="5" t="str">
        <f t="shared" si="5"/>
        <v>Not scored</v>
      </c>
      <c r="I29" s="5" t="str">
        <f t="shared" si="5"/>
        <v>Not scored</v>
      </c>
      <c r="J29" s="5" t="str">
        <f t="shared" si="5"/>
        <v>Not scored</v>
      </c>
      <c r="K29" s="5" t="str">
        <f t="shared" si="5"/>
        <v>Not scored</v>
      </c>
      <c r="L29" s="13" t="str">
        <f>"n.a."</f>
        <v>n.a.</v>
      </c>
      <c r="M29" s="5" t="str">
        <f t="shared" si="6"/>
        <v>Not scored</v>
      </c>
      <c r="N29" s="5" t="str">
        <f t="shared" si="6"/>
        <v>Not scored</v>
      </c>
      <c r="O29" s="5" t="str">
        <f t="shared" si="6"/>
        <v>Not scored</v>
      </c>
      <c r="P29" s="5" t="str">
        <f t="shared" si="6"/>
        <v>Not scored</v>
      </c>
      <c r="Q29" s="5" t="str">
        <f t="shared" si="6"/>
        <v>Not scored</v>
      </c>
      <c r="R29" s="13" t="str">
        <f>"n.a."</f>
        <v>n.a.</v>
      </c>
      <c r="S29" s="5" t="str">
        <f>"Outside common score"</f>
        <v>Outside common score</v>
      </c>
      <c r="T29" s="5" t="s">
        <v>11275</v>
      </c>
      <c r="U29" s="5" t="s">
        <v>11363</v>
      </c>
    </row>
    <row r="30" spans="1:21">
      <c r="A30" s="5" t="s">
        <v>11364</v>
      </c>
      <c r="B30" s="5" t="s">
        <v>2762</v>
      </c>
      <c r="C30" s="5" t="s">
        <v>11348</v>
      </c>
      <c r="D30" s="5" t="s">
        <v>11365</v>
      </c>
      <c r="E30" s="5" t="s">
        <v>11301</v>
      </c>
      <c r="F30" s="5" t="s">
        <v>11366</v>
      </c>
      <c r="G30" s="5" t="str">
        <f t="shared" si="5"/>
        <v>Not scored</v>
      </c>
      <c r="H30" s="5" t="str">
        <f t="shared" si="5"/>
        <v>Not scored</v>
      </c>
      <c r="I30" s="5" t="str">
        <f t="shared" si="5"/>
        <v>Not scored</v>
      </c>
      <c r="J30" s="5" t="str">
        <f t="shared" si="5"/>
        <v>Not scored</v>
      </c>
      <c r="K30" s="5" t="str">
        <f t="shared" si="5"/>
        <v>Not scored</v>
      </c>
      <c r="L30" s="13" t="str">
        <f>"n.a."</f>
        <v>n.a.</v>
      </c>
      <c r="M30" s="5" t="str">
        <f t="shared" si="6"/>
        <v>Not scored</v>
      </c>
      <c r="N30" s="5" t="str">
        <f t="shared" si="6"/>
        <v>Not scored</v>
      </c>
      <c r="O30" s="5" t="str">
        <f t="shared" si="6"/>
        <v>Not scored</v>
      </c>
      <c r="P30" s="5" t="str">
        <f t="shared" si="6"/>
        <v>Not scored</v>
      </c>
      <c r="Q30" s="5" t="str">
        <f t="shared" si="6"/>
        <v>Not scored</v>
      </c>
      <c r="R30" s="13" t="str">
        <f>"n.a."</f>
        <v>n.a.</v>
      </c>
      <c r="S30" s="5" t="str">
        <f>"Outside common score"</f>
        <v>Outside common score</v>
      </c>
      <c r="T30" s="5" t="s">
        <v>11275</v>
      </c>
      <c r="U30" s="5" t="s">
        <v>11367</v>
      </c>
    </row>
    <row r="31" spans="1:21" ht="25.5">
      <c r="A31" s="5" t="s">
        <v>2794</v>
      </c>
      <c r="B31" s="5" t="s">
        <v>2764</v>
      </c>
      <c r="C31" s="5" t="s">
        <v>11368</v>
      </c>
      <c r="D31" s="5" t="s">
        <v>11369</v>
      </c>
      <c r="E31" s="5" t="s">
        <v>11273</v>
      </c>
      <c r="F31" s="5" t="s">
        <v>11370</v>
      </c>
      <c r="G31" s="5">
        <f>COUNTIFS(MCDM_Checks!$E$6:$E$3733,A31,MCDM_Checks!$D$6:$D$3733,"Labeled-16",MCDM_Checks!$G$6:$G$3733,1)</f>
        <v>229</v>
      </c>
      <c r="H31" s="5">
        <f>COUNTIFS(MCDM_Checks!$E$6:$E$3733,A31,MCDM_Checks!$D$6:$D$3733,"Labeled-16",MCDM_Checks!$G$6:$G$3733,1,MCDM_Checks!$K$6:$K$3733,"Y")</f>
        <v>165</v>
      </c>
      <c r="I31" s="5">
        <f>COUNTIFS(MCDM_Checks!$E$6:$E$3733,A31,MCDM_Checks!$D$6:$D$3733,"Labeled-16",MCDM_Checks!$G$6:$G$3733,1,MCDM_Checks!$K$6:$K$3733,"N")</f>
        <v>0</v>
      </c>
      <c r="J31" s="5">
        <f>COUNTIFS(MCDM_Checks!$E$6:$E$3733,A31,MCDM_Checks!$D$6:$D$3733,"Labeled-16",MCDM_Checks!$G$6:$G$3733,1,MCDM_Checks!$K$6:$K$3733,"U")</f>
        <v>64</v>
      </c>
      <c r="K31" s="5">
        <f>COUNTIFS(MCDM_Checks!$E$6:$E$3733,A31,MCDM_Checks!$D$6:$D$3733,"Labeled-16",MCDM_Checks!$G$6:$G$3733,1,MCDM_Checks!$K$6:$K$3733,"X")</f>
        <v>0</v>
      </c>
      <c r="L31" s="13">
        <f>IF(G31=0,"n.a.",I31/G31)</f>
        <v>0</v>
      </c>
      <c r="M31" s="5">
        <f>COUNTIFS(MCDM_Checks!$E$6:$E$3733,A31,MCDM_Checks!$D$6:$D$3733,"Unlabeled-13",MCDM_Checks!$G$6:$G$3733,1)</f>
        <v>4</v>
      </c>
      <c r="N31" s="5">
        <f>COUNTIFS(MCDM_Checks!$E$6:$E$3733,A31,MCDM_Checks!$D$6:$D$3733,"Unlabeled-13",MCDM_Checks!$G$6:$G$3733,1,MCDM_Checks!$K$6:$K$3733,"Y")</f>
        <v>4</v>
      </c>
      <c r="O31" s="5">
        <f>COUNTIFS(MCDM_Checks!$E$6:$E$3733,A31,MCDM_Checks!$D$6:$D$3733,"Unlabeled-13",MCDM_Checks!$G$6:$G$3733,1,MCDM_Checks!$K$6:$K$3733,"N")</f>
        <v>0</v>
      </c>
      <c r="P31" s="5">
        <f>COUNTIFS(MCDM_Checks!$E$6:$E$3733,A31,MCDM_Checks!$D$6:$D$3733,"Unlabeled-13",MCDM_Checks!$G$6:$G$3733,1,MCDM_Checks!$K$6:$K$3733,"U")</f>
        <v>0</v>
      </c>
      <c r="Q31" s="5">
        <f>COUNTIFS(MCDM_Checks!$E$6:$E$3733,A31,MCDM_Checks!$D$6:$D$3733,"Unlabeled-13",MCDM_Checks!$G$6:$G$3733,1,MCDM_Checks!$K$6:$K$3733,"X")</f>
        <v>0</v>
      </c>
      <c r="R31" s="13">
        <f>IF(M31=0,"n.a.",O31/M31)</f>
        <v>0</v>
      </c>
      <c r="S31" s="5" t="str">
        <f>IF(OR(IF(ISNUMBER(L31),L31&gt;MCDM_Settings!$B$15,FALSE),IF(ISNUMBER(R31),R31&gt;MCDM_Settings!$B$15,FALSE)),"Review cohort-wide removal","Retain: no &gt;95% confirmed N")</f>
        <v>Retain: no &gt;95% confirmed N</v>
      </c>
      <c r="T31" s="5" t="s">
        <v>11275</v>
      </c>
      <c r="U31" s="5" t="s">
        <v>11371</v>
      </c>
    </row>
    <row r="32" spans="1:21" ht="25.5">
      <c r="A32" s="5" t="s">
        <v>2795</v>
      </c>
      <c r="B32" s="5" t="s">
        <v>2764</v>
      </c>
      <c r="C32" s="5" t="s">
        <v>11368</v>
      </c>
      <c r="D32" s="5" t="s">
        <v>11372</v>
      </c>
      <c r="E32" s="5" t="s">
        <v>11273</v>
      </c>
      <c r="F32" s="5" t="s">
        <v>11373</v>
      </c>
      <c r="G32" s="5">
        <f>COUNTIFS(MCDM_Checks!$E$6:$E$3733,A32,MCDM_Checks!$D$6:$D$3733,"Labeled-16",MCDM_Checks!$G$6:$G$3733,1)</f>
        <v>229</v>
      </c>
      <c r="H32" s="5">
        <f>COUNTIFS(MCDM_Checks!$E$6:$E$3733,A32,MCDM_Checks!$D$6:$D$3733,"Labeled-16",MCDM_Checks!$G$6:$G$3733,1,MCDM_Checks!$K$6:$K$3733,"Y")</f>
        <v>64</v>
      </c>
      <c r="I32" s="5">
        <f>COUNTIFS(MCDM_Checks!$E$6:$E$3733,A32,MCDM_Checks!$D$6:$D$3733,"Labeled-16",MCDM_Checks!$G$6:$G$3733,1,MCDM_Checks!$K$6:$K$3733,"N")</f>
        <v>0</v>
      </c>
      <c r="J32" s="5">
        <f>COUNTIFS(MCDM_Checks!$E$6:$E$3733,A32,MCDM_Checks!$D$6:$D$3733,"Labeled-16",MCDM_Checks!$G$6:$G$3733,1,MCDM_Checks!$K$6:$K$3733,"U")</f>
        <v>165</v>
      </c>
      <c r="K32" s="5">
        <f>COUNTIFS(MCDM_Checks!$E$6:$E$3733,A32,MCDM_Checks!$D$6:$D$3733,"Labeled-16",MCDM_Checks!$G$6:$G$3733,1,MCDM_Checks!$K$6:$K$3733,"X")</f>
        <v>0</v>
      </c>
      <c r="L32" s="13">
        <f>IF(G32=0,"n.a.",I32/G32)</f>
        <v>0</v>
      </c>
      <c r="M32" s="5">
        <f>COUNTIFS(MCDM_Checks!$E$6:$E$3733,A32,MCDM_Checks!$D$6:$D$3733,"Unlabeled-13",MCDM_Checks!$G$6:$G$3733,1)</f>
        <v>4</v>
      </c>
      <c r="N32" s="5">
        <f>COUNTIFS(MCDM_Checks!$E$6:$E$3733,A32,MCDM_Checks!$D$6:$D$3733,"Unlabeled-13",MCDM_Checks!$G$6:$G$3733,1,MCDM_Checks!$K$6:$K$3733,"Y")</f>
        <v>1</v>
      </c>
      <c r="O32" s="5">
        <f>COUNTIFS(MCDM_Checks!$E$6:$E$3733,A32,MCDM_Checks!$D$6:$D$3733,"Unlabeled-13",MCDM_Checks!$G$6:$G$3733,1,MCDM_Checks!$K$6:$K$3733,"N")</f>
        <v>0</v>
      </c>
      <c r="P32" s="5">
        <f>COUNTIFS(MCDM_Checks!$E$6:$E$3733,A32,MCDM_Checks!$D$6:$D$3733,"Unlabeled-13",MCDM_Checks!$G$6:$G$3733,1,MCDM_Checks!$K$6:$K$3733,"U")</f>
        <v>3</v>
      </c>
      <c r="Q32" s="5">
        <f>COUNTIFS(MCDM_Checks!$E$6:$E$3733,A32,MCDM_Checks!$D$6:$D$3733,"Unlabeled-13",MCDM_Checks!$G$6:$G$3733,1,MCDM_Checks!$K$6:$K$3733,"X")</f>
        <v>0</v>
      </c>
      <c r="R32" s="13">
        <f>IF(M32=0,"n.a.",O32/M32)</f>
        <v>0</v>
      </c>
      <c r="S32" s="5" t="str">
        <f>IF(OR(IF(ISNUMBER(L32),L32&gt;MCDM_Settings!$B$15,FALSE),IF(ISNUMBER(R32),R32&gt;MCDM_Settings!$B$15,FALSE)),"Review cohort-wide removal","Retain: no &gt;95% confirmed N")</f>
        <v>Retain: no &gt;95% confirmed N</v>
      </c>
      <c r="T32" s="5" t="s">
        <v>11275</v>
      </c>
      <c r="U32" s="5" t="s">
        <v>11374</v>
      </c>
    </row>
    <row r="33" spans="1:21">
      <c r="A33" s="5" t="s">
        <v>11375</v>
      </c>
      <c r="B33" s="5" t="s">
        <v>2764</v>
      </c>
      <c r="C33" s="5" t="s">
        <v>11368</v>
      </c>
      <c r="D33" s="5" t="s">
        <v>11376</v>
      </c>
      <c r="E33" s="5" t="s">
        <v>11285</v>
      </c>
      <c r="F33" s="5" t="s">
        <v>11377</v>
      </c>
      <c r="G33" s="5" t="str">
        <f t="shared" ref="G33:K34" si="7">"Not scored"</f>
        <v>Not scored</v>
      </c>
      <c r="H33" s="5" t="str">
        <f t="shared" si="7"/>
        <v>Not scored</v>
      </c>
      <c r="I33" s="5" t="str">
        <f t="shared" si="7"/>
        <v>Not scored</v>
      </c>
      <c r="J33" s="5" t="str">
        <f t="shared" si="7"/>
        <v>Not scored</v>
      </c>
      <c r="K33" s="5" t="str">
        <f t="shared" si="7"/>
        <v>Not scored</v>
      </c>
      <c r="L33" s="13" t="str">
        <f>"n.a."</f>
        <v>n.a.</v>
      </c>
      <c r="M33" s="5" t="str">
        <f t="shared" ref="M33:Q34" si="8">"Not scored"</f>
        <v>Not scored</v>
      </c>
      <c r="N33" s="5" t="str">
        <f t="shared" si="8"/>
        <v>Not scored</v>
      </c>
      <c r="O33" s="5" t="str">
        <f t="shared" si="8"/>
        <v>Not scored</v>
      </c>
      <c r="P33" s="5" t="str">
        <f t="shared" si="8"/>
        <v>Not scored</v>
      </c>
      <c r="Q33" s="5" t="str">
        <f t="shared" si="8"/>
        <v>Not scored</v>
      </c>
      <c r="R33" s="13" t="str">
        <f>"n.a."</f>
        <v>n.a.</v>
      </c>
      <c r="S33" s="5" t="str">
        <f>"Outside common score"</f>
        <v>Outside common score</v>
      </c>
      <c r="T33" s="5" t="s">
        <v>11275</v>
      </c>
      <c r="U33" s="5" t="s">
        <v>11378</v>
      </c>
    </row>
    <row r="34" spans="1:21">
      <c r="A34" s="5" t="s">
        <v>11379</v>
      </c>
      <c r="B34" s="5" t="s">
        <v>2764</v>
      </c>
      <c r="C34" s="5" t="s">
        <v>11368</v>
      </c>
      <c r="D34" s="5" t="s">
        <v>11380</v>
      </c>
      <c r="E34" s="5" t="s">
        <v>11285</v>
      </c>
      <c r="F34" s="5" t="s">
        <v>11381</v>
      </c>
      <c r="G34" s="5" t="str">
        <f t="shared" si="7"/>
        <v>Not scored</v>
      </c>
      <c r="H34" s="5" t="str">
        <f t="shared" si="7"/>
        <v>Not scored</v>
      </c>
      <c r="I34" s="5" t="str">
        <f t="shared" si="7"/>
        <v>Not scored</v>
      </c>
      <c r="J34" s="5" t="str">
        <f t="shared" si="7"/>
        <v>Not scored</v>
      </c>
      <c r="K34" s="5" t="str">
        <f t="shared" si="7"/>
        <v>Not scored</v>
      </c>
      <c r="L34" s="13" t="str">
        <f>"n.a."</f>
        <v>n.a.</v>
      </c>
      <c r="M34" s="5" t="str">
        <f t="shared" si="8"/>
        <v>Not scored</v>
      </c>
      <c r="N34" s="5" t="str">
        <f t="shared" si="8"/>
        <v>Not scored</v>
      </c>
      <c r="O34" s="5" t="str">
        <f t="shared" si="8"/>
        <v>Not scored</v>
      </c>
      <c r="P34" s="5" t="str">
        <f t="shared" si="8"/>
        <v>Not scored</v>
      </c>
      <c r="Q34" s="5" t="str">
        <f t="shared" si="8"/>
        <v>Not scored</v>
      </c>
      <c r="R34" s="13" t="str">
        <f>"n.a."</f>
        <v>n.a.</v>
      </c>
      <c r="S34" s="5" t="str">
        <f>"Outside common score"</f>
        <v>Outside common score</v>
      </c>
      <c r="T34" s="5" t="s">
        <v>11275</v>
      </c>
      <c r="U34" s="5" t="s">
        <v>11382</v>
      </c>
    </row>
    <row r="35" spans="1:21" ht="25.5">
      <c r="A35" s="5" t="s">
        <v>2796</v>
      </c>
      <c r="B35" s="5" t="s">
        <v>2764</v>
      </c>
      <c r="C35" s="5" t="s">
        <v>11368</v>
      </c>
      <c r="D35" s="5" t="s">
        <v>11383</v>
      </c>
      <c r="E35" s="5" t="s">
        <v>11273</v>
      </c>
      <c r="F35" s="5" t="s">
        <v>11384</v>
      </c>
      <c r="G35" s="5">
        <f>COUNTIFS(MCDM_Checks!$E$6:$E$3733,A35,MCDM_Checks!$D$6:$D$3733,"Labeled-16",MCDM_Checks!$G$6:$G$3733,1)</f>
        <v>229</v>
      </c>
      <c r="H35" s="5">
        <f>COUNTIFS(MCDM_Checks!$E$6:$E$3733,A35,MCDM_Checks!$D$6:$D$3733,"Labeled-16",MCDM_Checks!$G$6:$G$3733,1,MCDM_Checks!$K$6:$K$3733,"Y")</f>
        <v>80</v>
      </c>
      <c r="I35" s="5">
        <f>COUNTIFS(MCDM_Checks!$E$6:$E$3733,A35,MCDM_Checks!$D$6:$D$3733,"Labeled-16",MCDM_Checks!$G$6:$G$3733,1,MCDM_Checks!$K$6:$K$3733,"N")</f>
        <v>0</v>
      </c>
      <c r="J35" s="5">
        <f>COUNTIFS(MCDM_Checks!$E$6:$E$3733,A35,MCDM_Checks!$D$6:$D$3733,"Labeled-16",MCDM_Checks!$G$6:$G$3733,1,MCDM_Checks!$K$6:$K$3733,"U")</f>
        <v>149</v>
      </c>
      <c r="K35" s="5">
        <f>COUNTIFS(MCDM_Checks!$E$6:$E$3733,A35,MCDM_Checks!$D$6:$D$3733,"Labeled-16",MCDM_Checks!$G$6:$G$3733,1,MCDM_Checks!$K$6:$K$3733,"X")</f>
        <v>0</v>
      </c>
      <c r="L35" s="13">
        <f>IF(G35=0,"n.a.",I35/G35)</f>
        <v>0</v>
      </c>
      <c r="M35" s="5">
        <f>COUNTIFS(MCDM_Checks!$E$6:$E$3733,A35,MCDM_Checks!$D$6:$D$3733,"Unlabeled-13",MCDM_Checks!$G$6:$G$3733,1)</f>
        <v>4</v>
      </c>
      <c r="N35" s="5">
        <f>COUNTIFS(MCDM_Checks!$E$6:$E$3733,A35,MCDM_Checks!$D$6:$D$3733,"Unlabeled-13",MCDM_Checks!$G$6:$G$3733,1,MCDM_Checks!$K$6:$K$3733,"Y")</f>
        <v>0</v>
      </c>
      <c r="O35" s="5">
        <f>COUNTIFS(MCDM_Checks!$E$6:$E$3733,A35,MCDM_Checks!$D$6:$D$3733,"Unlabeled-13",MCDM_Checks!$G$6:$G$3733,1,MCDM_Checks!$K$6:$K$3733,"N")</f>
        <v>0</v>
      </c>
      <c r="P35" s="5">
        <f>COUNTIFS(MCDM_Checks!$E$6:$E$3733,A35,MCDM_Checks!$D$6:$D$3733,"Unlabeled-13",MCDM_Checks!$G$6:$G$3733,1,MCDM_Checks!$K$6:$K$3733,"U")</f>
        <v>4</v>
      </c>
      <c r="Q35" s="5">
        <f>COUNTIFS(MCDM_Checks!$E$6:$E$3733,A35,MCDM_Checks!$D$6:$D$3733,"Unlabeled-13",MCDM_Checks!$G$6:$G$3733,1,MCDM_Checks!$K$6:$K$3733,"X")</f>
        <v>0</v>
      </c>
      <c r="R35" s="13">
        <f>IF(M35=0,"n.a.",O35/M35)</f>
        <v>0</v>
      </c>
      <c r="S35" s="5" t="str">
        <f>IF(OR(IF(ISNUMBER(L35),L35&gt;MCDM_Settings!$B$15,FALSE),IF(ISNUMBER(R35),R35&gt;MCDM_Settings!$B$15,FALSE)),"Review cohort-wide removal","Retain: no &gt;95% confirmed N")</f>
        <v>Retain: no &gt;95% confirmed N</v>
      </c>
      <c r="T35" s="5" t="s">
        <v>11275</v>
      </c>
      <c r="U35" s="5" t="s">
        <v>11385</v>
      </c>
    </row>
    <row r="36" spans="1:21" ht="25.5">
      <c r="A36" s="5" t="s">
        <v>11386</v>
      </c>
      <c r="B36" s="5" t="s">
        <v>11387</v>
      </c>
      <c r="C36" s="5" t="s">
        <v>11388</v>
      </c>
      <c r="D36" s="5" t="s">
        <v>11389</v>
      </c>
      <c r="E36" s="5" t="s">
        <v>11319</v>
      </c>
      <c r="F36" s="5" t="s">
        <v>11390</v>
      </c>
      <c r="G36" s="5" t="str">
        <f t="shared" ref="G36:K45" si="9">"Not scored"</f>
        <v>Not scored</v>
      </c>
      <c r="H36" s="5" t="str">
        <f t="shared" si="9"/>
        <v>Not scored</v>
      </c>
      <c r="I36" s="5" t="str">
        <f t="shared" si="9"/>
        <v>Not scored</v>
      </c>
      <c r="J36" s="5" t="str">
        <f t="shared" si="9"/>
        <v>Not scored</v>
      </c>
      <c r="K36" s="5" t="str">
        <f t="shared" si="9"/>
        <v>Not scored</v>
      </c>
      <c r="L36" s="13" t="str">
        <f t="shared" ref="L36:L45" si="10">"n.a."</f>
        <v>n.a.</v>
      </c>
      <c r="M36" s="5" t="str">
        <f t="shared" ref="M36:Q45" si="11">"Not scored"</f>
        <v>Not scored</v>
      </c>
      <c r="N36" s="5" t="str">
        <f t="shared" si="11"/>
        <v>Not scored</v>
      </c>
      <c r="O36" s="5" t="str">
        <f t="shared" si="11"/>
        <v>Not scored</v>
      </c>
      <c r="P36" s="5" t="str">
        <f t="shared" si="11"/>
        <v>Not scored</v>
      </c>
      <c r="Q36" s="5" t="str">
        <f t="shared" si="11"/>
        <v>Not scored</v>
      </c>
      <c r="R36" s="13" t="str">
        <f t="shared" ref="R36:R45" si="12">"n.a."</f>
        <v>n.a.</v>
      </c>
      <c r="S36" s="5" t="str">
        <f t="shared" ref="S36:S45" si="13">"Outside common score"</f>
        <v>Outside common score</v>
      </c>
      <c r="T36" s="5" t="s">
        <v>11275</v>
      </c>
      <c r="U36" s="5" t="s">
        <v>11391</v>
      </c>
    </row>
    <row r="37" spans="1:21">
      <c r="A37" s="5" t="s">
        <v>11392</v>
      </c>
      <c r="B37" s="5" t="s">
        <v>11387</v>
      </c>
      <c r="C37" s="5" t="s">
        <v>11388</v>
      </c>
      <c r="D37" s="5" t="s">
        <v>11393</v>
      </c>
      <c r="E37" s="5" t="s">
        <v>11285</v>
      </c>
      <c r="F37" s="5" t="s">
        <v>11394</v>
      </c>
      <c r="G37" s="5" t="str">
        <f t="shared" si="9"/>
        <v>Not scored</v>
      </c>
      <c r="H37" s="5" t="str">
        <f t="shared" si="9"/>
        <v>Not scored</v>
      </c>
      <c r="I37" s="5" t="str">
        <f t="shared" si="9"/>
        <v>Not scored</v>
      </c>
      <c r="J37" s="5" t="str">
        <f t="shared" si="9"/>
        <v>Not scored</v>
      </c>
      <c r="K37" s="5" t="str">
        <f t="shared" si="9"/>
        <v>Not scored</v>
      </c>
      <c r="L37" s="13" t="str">
        <f t="shared" si="10"/>
        <v>n.a.</v>
      </c>
      <c r="M37" s="5" t="str">
        <f t="shared" si="11"/>
        <v>Not scored</v>
      </c>
      <c r="N37" s="5" t="str">
        <f t="shared" si="11"/>
        <v>Not scored</v>
      </c>
      <c r="O37" s="5" t="str">
        <f t="shared" si="11"/>
        <v>Not scored</v>
      </c>
      <c r="P37" s="5" t="str">
        <f t="shared" si="11"/>
        <v>Not scored</v>
      </c>
      <c r="Q37" s="5" t="str">
        <f t="shared" si="11"/>
        <v>Not scored</v>
      </c>
      <c r="R37" s="13" t="str">
        <f t="shared" si="12"/>
        <v>n.a.</v>
      </c>
      <c r="S37" s="5" t="str">
        <f t="shared" si="13"/>
        <v>Outside common score</v>
      </c>
      <c r="T37" s="5" t="s">
        <v>11275</v>
      </c>
      <c r="U37" s="5" t="s">
        <v>11395</v>
      </c>
    </row>
    <row r="38" spans="1:21" ht="25.5">
      <c r="A38" s="5" t="s">
        <v>11396</v>
      </c>
      <c r="B38" s="5" t="s">
        <v>11387</v>
      </c>
      <c r="C38" s="5" t="s">
        <v>11388</v>
      </c>
      <c r="D38" s="5" t="s">
        <v>11397</v>
      </c>
      <c r="E38" s="5" t="s">
        <v>11285</v>
      </c>
      <c r="F38" s="5" t="s">
        <v>11398</v>
      </c>
      <c r="G38" s="5" t="str">
        <f t="shared" si="9"/>
        <v>Not scored</v>
      </c>
      <c r="H38" s="5" t="str">
        <f t="shared" si="9"/>
        <v>Not scored</v>
      </c>
      <c r="I38" s="5" t="str">
        <f t="shared" si="9"/>
        <v>Not scored</v>
      </c>
      <c r="J38" s="5" t="str">
        <f t="shared" si="9"/>
        <v>Not scored</v>
      </c>
      <c r="K38" s="5" t="str">
        <f t="shared" si="9"/>
        <v>Not scored</v>
      </c>
      <c r="L38" s="13" t="str">
        <f t="shared" si="10"/>
        <v>n.a.</v>
      </c>
      <c r="M38" s="5" t="str">
        <f t="shared" si="11"/>
        <v>Not scored</v>
      </c>
      <c r="N38" s="5" t="str">
        <f t="shared" si="11"/>
        <v>Not scored</v>
      </c>
      <c r="O38" s="5" t="str">
        <f t="shared" si="11"/>
        <v>Not scored</v>
      </c>
      <c r="P38" s="5" t="str">
        <f t="shared" si="11"/>
        <v>Not scored</v>
      </c>
      <c r="Q38" s="5" t="str">
        <f t="shared" si="11"/>
        <v>Not scored</v>
      </c>
      <c r="R38" s="13" t="str">
        <f t="shared" si="12"/>
        <v>n.a.</v>
      </c>
      <c r="S38" s="5" t="str">
        <f t="shared" si="13"/>
        <v>Outside common score</v>
      </c>
      <c r="T38" s="5" t="s">
        <v>11275</v>
      </c>
      <c r="U38" s="5" t="s">
        <v>11399</v>
      </c>
    </row>
    <row r="39" spans="1:21">
      <c r="A39" s="5" t="s">
        <v>11400</v>
      </c>
      <c r="B39" s="5" t="s">
        <v>11387</v>
      </c>
      <c r="C39" s="5" t="s">
        <v>11388</v>
      </c>
      <c r="D39" s="5" t="s">
        <v>11401</v>
      </c>
      <c r="E39" s="5" t="s">
        <v>11301</v>
      </c>
      <c r="F39" s="5" t="s">
        <v>11402</v>
      </c>
      <c r="G39" s="5" t="str">
        <f t="shared" si="9"/>
        <v>Not scored</v>
      </c>
      <c r="H39" s="5" t="str">
        <f t="shared" si="9"/>
        <v>Not scored</v>
      </c>
      <c r="I39" s="5" t="str">
        <f t="shared" si="9"/>
        <v>Not scored</v>
      </c>
      <c r="J39" s="5" t="str">
        <f t="shared" si="9"/>
        <v>Not scored</v>
      </c>
      <c r="K39" s="5" t="str">
        <f t="shared" si="9"/>
        <v>Not scored</v>
      </c>
      <c r="L39" s="13" t="str">
        <f t="shared" si="10"/>
        <v>n.a.</v>
      </c>
      <c r="M39" s="5" t="str">
        <f t="shared" si="11"/>
        <v>Not scored</v>
      </c>
      <c r="N39" s="5" t="str">
        <f t="shared" si="11"/>
        <v>Not scored</v>
      </c>
      <c r="O39" s="5" t="str">
        <f t="shared" si="11"/>
        <v>Not scored</v>
      </c>
      <c r="P39" s="5" t="str">
        <f t="shared" si="11"/>
        <v>Not scored</v>
      </c>
      <c r="Q39" s="5" t="str">
        <f t="shared" si="11"/>
        <v>Not scored</v>
      </c>
      <c r="R39" s="13" t="str">
        <f t="shared" si="12"/>
        <v>n.a.</v>
      </c>
      <c r="S39" s="5" t="str">
        <f t="shared" si="13"/>
        <v>Outside common score</v>
      </c>
      <c r="T39" s="5" t="s">
        <v>11275</v>
      </c>
      <c r="U39" s="5" t="s">
        <v>11403</v>
      </c>
    </row>
    <row r="40" spans="1:21">
      <c r="A40" s="5" t="s">
        <v>11404</v>
      </c>
      <c r="B40" s="5" t="s">
        <v>11387</v>
      </c>
      <c r="C40" s="5" t="s">
        <v>11388</v>
      </c>
      <c r="D40" s="5" t="s">
        <v>11405</v>
      </c>
      <c r="E40" s="5" t="s">
        <v>11301</v>
      </c>
      <c r="F40" s="5" t="s">
        <v>11406</v>
      </c>
      <c r="G40" s="5" t="str">
        <f t="shared" si="9"/>
        <v>Not scored</v>
      </c>
      <c r="H40" s="5" t="str">
        <f t="shared" si="9"/>
        <v>Not scored</v>
      </c>
      <c r="I40" s="5" t="str">
        <f t="shared" si="9"/>
        <v>Not scored</v>
      </c>
      <c r="J40" s="5" t="str">
        <f t="shared" si="9"/>
        <v>Not scored</v>
      </c>
      <c r="K40" s="5" t="str">
        <f t="shared" si="9"/>
        <v>Not scored</v>
      </c>
      <c r="L40" s="13" t="str">
        <f t="shared" si="10"/>
        <v>n.a.</v>
      </c>
      <c r="M40" s="5" t="str">
        <f t="shared" si="11"/>
        <v>Not scored</v>
      </c>
      <c r="N40" s="5" t="str">
        <f t="shared" si="11"/>
        <v>Not scored</v>
      </c>
      <c r="O40" s="5" t="str">
        <f t="shared" si="11"/>
        <v>Not scored</v>
      </c>
      <c r="P40" s="5" t="str">
        <f t="shared" si="11"/>
        <v>Not scored</v>
      </c>
      <c r="Q40" s="5" t="str">
        <f t="shared" si="11"/>
        <v>Not scored</v>
      </c>
      <c r="R40" s="13" t="str">
        <f t="shared" si="12"/>
        <v>n.a.</v>
      </c>
      <c r="S40" s="5" t="str">
        <f t="shared" si="13"/>
        <v>Outside common score</v>
      </c>
      <c r="T40" s="5" t="s">
        <v>11275</v>
      </c>
      <c r="U40" s="5" t="s">
        <v>11407</v>
      </c>
    </row>
    <row r="41" spans="1:21" ht="25.5">
      <c r="A41" s="5" t="s">
        <v>11408</v>
      </c>
      <c r="B41" s="5" t="s">
        <v>11409</v>
      </c>
      <c r="C41" s="5" t="s">
        <v>11410</v>
      </c>
      <c r="D41" s="5" t="s">
        <v>11411</v>
      </c>
      <c r="E41" s="5" t="s">
        <v>11285</v>
      </c>
      <c r="F41" s="5" t="s">
        <v>11412</v>
      </c>
      <c r="G41" s="5" t="str">
        <f t="shared" si="9"/>
        <v>Not scored</v>
      </c>
      <c r="H41" s="5" t="str">
        <f t="shared" si="9"/>
        <v>Not scored</v>
      </c>
      <c r="I41" s="5" t="str">
        <f t="shared" si="9"/>
        <v>Not scored</v>
      </c>
      <c r="J41" s="5" t="str">
        <f t="shared" si="9"/>
        <v>Not scored</v>
      </c>
      <c r="K41" s="5" t="str">
        <f t="shared" si="9"/>
        <v>Not scored</v>
      </c>
      <c r="L41" s="13" t="str">
        <f t="shared" si="10"/>
        <v>n.a.</v>
      </c>
      <c r="M41" s="5" t="str">
        <f t="shared" si="11"/>
        <v>Not scored</v>
      </c>
      <c r="N41" s="5" t="str">
        <f t="shared" si="11"/>
        <v>Not scored</v>
      </c>
      <c r="O41" s="5" t="str">
        <f t="shared" si="11"/>
        <v>Not scored</v>
      </c>
      <c r="P41" s="5" t="str">
        <f t="shared" si="11"/>
        <v>Not scored</v>
      </c>
      <c r="Q41" s="5" t="str">
        <f t="shared" si="11"/>
        <v>Not scored</v>
      </c>
      <c r="R41" s="13" t="str">
        <f t="shared" si="12"/>
        <v>n.a.</v>
      </c>
      <c r="S41" s="5" t="str">
        <f t="shared" si="13"/>
        <v>Outside common score</v>
      </c>
      <c r="T41" s="5" t="s">
        <v>11275</v>
      </c>
      <c r="U41" s="5" t="s">
        <v>11413</v>
      </c>
    </row>
    <row r="42" spans="1:21">
      <c r="A42" s="5" t="s">
        <v>11414</v>
      </c>
      <c r="B42" s="5" t="s">
        <v>11409</v>
      </c>
      <c r="C42" s="5" t="s">
        <v>11410</v>
      </c>
      <c r="D42" s="5" t="s">
        <v>11415</v>
      </c>
      <c r="E42" s="5" t="s">
        <v>11285</v>
      </c>
      <c r="F42" s="5" t="s">
        <v>11416</v>
      </c>
      <c r="G42" s="5" t="str">
        <f t="shared" si="9"/>
        <v>Not scored</v>
      </c>
      <c r="H42" s="5" t="str">
        <f t="shared" si="9"/>
        <v>Not scored</v>
      </c>
      <c r="I42" s="5" t="str">
        <f t="shared" si="9"/>
        <v>Not scored</v>
      </c>
      <c r="J42" s="5" t="str">
        <f t="shared" si="9"/>
        <v>Not scored</v>
      </c>
      <c r="K42" s="5" t="str">
        <f t="shared" si="9"/>
        <v>Not scored</v>
      </c>
      <c r="L42" s="13" t="str">
        <f t="shared" si="10"/>
        <v>n.a.</v>
      </c>
      <c r="M42" s="5" t="str">
        <f t="shared" si="11"/>
        <v>Not scored</v>
      </c>
      <c r="N42" s="5" t="str">
        <f t="shared" si="11"/>
        <v>Not scored</v>
      </c>
      <c r="O42" s="5" t="str">
        <f t="shared" si="11"/>
        <v>Not scored</v>
      </c>
      <c r="P42" s="5" t="str">
        <f t="shared" si="11"/>
        <v>Not scored</v>
      </c>
      <c r="Q42" s="5" t="str">
        <f t="shared" si="11"/>
        <v>Not scored</v>
      </c>
      <c r="R42" s="13" t="str">
        <f t="shared" si="12"/>
        <v>n.a.</v>
      </c>
      <c r="S42" s="5" t="str">
        <f t="shared" si="13"/>
        <v>Outside common score</v>
      </c>
      <c r="T42" s="5" t="s">
        <v>11275</v>
      </c>
      <c r="U42" s="5" t="s">
        <v>11417</v>
      </c>
    </row>
    <row r="43" spans="1:21">
      <c r="A43" s="5" t="s">
        <v>11418</v>
      </c>
      <c r="B43" s="5" t="s">
        <v>11409</v>
      </c>
      <c r="C43" s="5" t="s">
        <v>11410</v>
      </c>
      <c r="D43" s="5" t="s">
        <v>11419</v>
      </c>
      <c r="E43" s="5" t="s">
        <v>11285</v>
      </c>
      <c r="F43" s="5" t="s">
        <v>11420</v>
      </c>
      <c r="G43" s="5" t="str">
        <f t="shared" si="9"/>
        <v>Not scored</v>
      </c>
      <c r="H43" s="5" t="str">
        <f t="shared" si="9"/>
        <v>Not scored</v>
      </c>
      <c r="I43" s="5" t="str">
        <f t="shared" si="9"/>
        <v>Not scored</v>
      </c>
      <c r="J43" s="5" t="str">
        <f t="shared" si="9"/>
        <v>Not scored</v>
      </c>
      <c r="K43" s="5" t="str">
        <f t="shared" si="9"/>
        <v>Not scored</v>
      </c>
      <c r="L43" s="13" t="str">
        <f t="shared" si="10"/>
        <v>n.a.</v>
      </c>
      <c r="M43" s="5" t="str">
        <f t="shared" si="11"/>
        <v>Not scored</v>
      </c>
      <c r="N43" s="5" t="str">
        <f t="shared" si="11"/>
        <v>Not scored</v>
      </c>
      <c r="O43" s="5" t="str">
        <f t="shared" si="11"/>
        <v>Not scored</v>
      </c>
      <c r="P43" s="5" t="str">
        <f t="shared" si="11"/>
        <v>Not scored</v>
      </c>
      <c r="Q43" s="5" t="str">
        <f t="shared" si="11"/>
        <v>Not scored</v>
      </c>
      <c r="R43" s="13" t="str">
        <f t="shared" si="12"/>
        <v>n.a.</v>
      </c>
      <c r="S43" s="5" t="str">
        <f t="shared" si="13"/>
        <v>Outside common score</v>
      </c>
      <c r="T43" s="5" t="s">
        <v>11275</v>
      </c>
      <c r="U43" s="5" t="s">
        <v>11421</v>
      </c>
    </row>
    <row r="44" spans="1:21" ht="25.5">
      <c r="A44" s="5" t="s">
        <v>11422</v>
      </c>
      <c r="B44" s="5" t="s">
        <v>11409</v>
      </c>
      <c r="C44" s="5" t="s">
        <v>11410</v>
      </c>
      <c r="D44" s="5" t="s">
        <v>11423</v>
      </c>
      <c r="E44" s="5" t="s">
        <v>11301</v>
      </c>
      <c r="F44" s="5" t="s">
        <v>11424</v>
      </c>
      <c r="G44" s="5" t="str">
        <f t="shared" si="9"/>
        <v>Not scored</v>
      </c>
      <c r="H44" s="5" t="str">
        <f t="shared" si="9"/>
        <v>Not scored</v>
      </c>
      <c r="I44" s="5" t="str">
        <f t="shared" si="9"/>
        <v>Not scored</v>
      </c>
      <c r="J44" s="5" t="str">
        <f t="shared" si="9"/>
        <v>Not scored</v>
      </c>
      <c r="K44" s="5" t="str">
        <f t="shared" si="9"/>
        <v>Not scored</v>
      </c>
      <c r="L44" s="13" t="str">
        <f t="shared" si="10"/>
        <v>n.a.</v>
      </c>
      <c r="M44" s="5" t="str">
        <f t="shared" si="11"/>
        <v>Not scored</v>
      </c>
      <c r="N44" s="5" t="str">
        <f t="shared" si="11"/>
        <v>Not scored</v>
      </c>
      <c r="O44" s="5" t="str">
        <f t="shared" si="11"/>
        <v>Not scored</v>
      </c>
      <c r="P44" s="5" t="str">
        <f t="shared" si="11"/>
        <v>Not scored</v>
      </c>
      <c r="Q44" s="5" t="str">
        <f t="shared" si="11"/>
        <v>Not scored</v>
      </c>
      <c r="R44" s="13" t="str">
        <f t="shared" si="12"/>
        <v>n.a.</v>
      </c>
      <c r="S44" s="5" t="str">
        <f t="shared" si="13"/>
        <v>Outside common score</v>
      </c>
      <c r="T44" s="5" t="s">
        <v>11275</v>
      </c>
      <c r="U44" s="5" t="s">
        <v>11425</v>
      </c>
    </row>
    <row r="45" spans="1:21" ht="25.5">
      <c r="A45" s="5" t="s">
        <v>11426</v>
      </c>
      <c r="B45" s="5" t="s">
        <v>11409</v>
      </c>
      <c r="C45" s="5" t="s">
        <v>11410</v>
      </c>
      <c r="D45" s="5" t="s">
        <v>11427</v>
      </c>
      <c r="E45" s="5" t="s">
        <v>11301</v>
      </c>
      <c r="F45" s="5" t="s">
        <v>11428</v>
      </c>
      <c r="G45" s="5" t="str">
        <f t="shared" si="9"/>
        <v>Not scored</v>
      </c>
      <c r="H45" s="5" t="str">
        <f t="shared" si="9"/>
        <v>Not scored</v>
      </c>
      <c r="I45" s="5" t="str">
        <f t="shared" si="9"/>
        <v>Not scored</v>
      </c>
      <c r="J45" s="5" t="str">
        <f t="shared" si="9"/>
        <v>Not scored</v>
      </c>
      <c r="K45" s="5" t="str">
        <f t="shared" si="9"/>
        <v>Not scored</v>
      </c>
      <c r="L45" s="13" t="str">
        <f t="shared" si="10"/>
        <v>n.a.</v>
      </c>
      <c r="M45" s="5" t="str">
        <f t="shared" si="11"/>
        <v>Not scored</v>
      </c>
      <c r="N45" s="5" t="str">
        <f t="shared" si="11"/>
        <v>Not scored</v>
      </c>
      <c r="O45" s="5" t="str">
        <f t="shared" si="11"/>
        <v>Not scored</v>
      </c>
      <c r="P45" s="5" t="str">
        <f t="shared" si="11"/>
        <v>Not scored</v>
      </c>
      <c r="Q45" s="5" t="str">
        <f t="shared" si="11"/>
        <v>Not scored</v>
      </c>
      <c r="R45" s="13" t="str">
        <f t="shared" si="12"/>
        <v>n.a.</v>
      </c>
      <c r="S45" s="5" t="str">
        <f t="shared" si="13"/>
        <v>Outside common score</v>
      </c>
      <c r="T45" s="5" t="s">
        <v>11275</v>
      </c>
      <c r="U45" s="5" t="s">
        <v>11429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5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48" customWidth="1"/>
    <col min="2" max="2" width="22" customWidth="1"/>
    <col min="3" max="3" width="13" customWidth="1"/>
    <col min="4" max="4" width="16" customWidth="1"/>
    <col min="5" max="5" width="55" customWidth="1"/>
    <col min="6" max="6" width="16" customWidth="1"/>
    <col min="7" max="7" width="55" customWidth="1"/>
    <col min="8" max="8" width="22" customWidth="1"/>
    <col min="9" max="9" width="105" customWidth="1"/>
    <col min="10" max="10" width="95" customWidth="1"/>
    <col min="11" max="12" width="90" customWidth="1"/>
  </cols>
  <sheetData>
    <row r="1" spans="1:12" ht="12" customHeight="1">
      <c r="A1" s="1"/>
      <c r="B1" s="1"/>
      <c r="C1" s="1"/>
      <c r="D1" s="1"/>
      <c r="E1" s="1"/>
      <c r="F1" s="1"/>
      <c r="G1" s="1"/>
      <c r="H1" s="1"/>
      <c r="I1" s="1"/>
      <c r="J1" s="1"/>
      <c r="K1" s="1"/>
      <c r="L1" s="1"/>
    </row>
    <row r="2" spans="1:12" ht="24" customHeight="1">
      <c r="A2" s="2" t="s">
        <v>11430</v>
      </c>
      <c r="B2" s="1"/>
      <c r="C2" s="1"/>
      <c r="D2" s="1"/>
      <c r="E2" s="1"/>
      <c r="F2" s="1"/>
      <c r="G2" s="1"/>
      <c r="H2" s="1"/>
      <c r="I2" s="1"/>
      <c r="J2" s="1"/>
      <c r="K2" s="1"/>
      <c r="L2" s="1"/>
    </row>
    <row r="3" spans="1:12" ht="21" customHeight="1">
      <c r="A3" s="3" t="s">
        <v>11431</v>
      </c>
      <c r="B3" s="1"/>
      <c r="C3" s="1"/>
      <c r="D3" s="1"/>
      <c r="E3" s="1"/>
      <c r="F3" s="1"/>
      <c r="G3" s="1"/>
      <c r="H3" s="1"/>
      <c r="I3" s="1"/>
      <c r="J3" s="1"/>
      <c r="K3" s="1"/>
      <c r="L3" s="1"/>
    </row>
    <row r="4" spans="1:12" ht="9.9499999999999993" customHeight="1">
      <c r="A4" s="1"/>
      <c r="B4" s="1"/>
      <c r="C4" s="1"/>
      <c r="D4" s="1"/>
      <c r="E4" s="1"/>
      <c r="F4" s="1"/>
      <c r="G4" s="1"/>
      <c r="H4" s="1"/>
      <c r="I4" s="1"/>
      <c r="J4" s="1"/>
      <c r="K4" s="1"/>
      <c r="L4" s="1"/>
    </row>
    <row r="5" spans="1:12" ht="42.95" customHeight="1">
      <c r="A5" s="4" t="s">
        <v>11432</v>
      </c>
      <c r="B5" s="4" t="s">
        <v>11433</v>
      </c>
      <c r="C5" s="4" t="s">
        <v>11434</v>
      </c>
      <c r="D5" s="4" t="s">
        <v>11435</v>
      </c>
      <c r="E5" s="4" t="s">
        <v>11436</v>
      </c>
      <c r="F5" s="4" t="s">
        <v>11437</v>
      </c>
      <c r="G5" s="4" t="s">
        <v>11438</v>
      </c>
      <c r="H5" s="4" t="s">
        <v>11439</v>
      </c>
      <c r="I5" s="4" t="s">
        <v>11440</v>
      </c>
      <c r="J5" s="4" t="s">
        <v>11441</v>
      </c>
      <c r="K5" s="4" t="s">
        <v>11442</v>
      </c>
      <c r="L5" s="4" t="s">
        <v>11443</v>
      </c>
    </row>
    <row r="6" spans="1:12">
      <c r="A6" s="5" t="s">
        <v>11444</v>
      </c>
      <c r="B6" s="5" t="s">
        <v>11445</v>
      </c>
      <c r="C6" s="5">
        <v>2</v>
      </c>
      <c r="D6" s="5" t="s">
        <v>116</v>
      </c>
      <c r="E6" s="5" t="s">
        <v>117</v>
      </c>
      <c r="F6" s="5" t="s">
        <v>116</v>
      </c>
      <c r="G6" s="5" t="s">
        <v>117</v>
      </c>
      <c r="H6" s="5" t="s">
        <v>11446</v>
      </c>
      <c r="I6" s="5" t="s">
        <v>11447</v>
      </c>
      <c r="J6" s="5" t="s">
        <v>130</v>
      </c>
      <c r="K6" s="5"/>
      <c r="L6" s="5"/>
    </row>
    <row r="7" spans="1:12">
      <c r="A7" s="5" t="s">
        <v>11444</v>
      </c>
      <c r="B7" s="5" t="s">
        <v>11445</v>
      </c>
      <c r="C7" s="5">
        <v>3</v>
      </c>
      <c r="D7" s="5" t="s">
        <v>132</v>
      </c>
      <c r="E7" s="5" t="s">
        <v>133</v>
      </c>
      <c r="F7" s="5" t="s">
        <v>132</v>
      </c>
      <c r="G7" s="5" t="s">
        <v>133</v>
      </c>
      <c r="H7" s="5" t="s">
        <v>11446</v>
      </c>
      <c r="I7" s="5" t="s">
        <v>11447</v>
      </c>
      <c r="J7" s="5" t="s">
        <v>11448</v>
      </c>
      <c r="K7" s="5"/>
      <c r="L7" s="5"/>
    </row>
    <row r="8" spans="1:12" ht="51">
      <c r="A8" s="5" t="s">
        <v>11444</v>
      </c>
      <c r="B8" s="5" t="s">
        <v>11445</v>
      </c>
      <c r="C8" s="5">
        <v>4</v>
      </c>
      <c r="D8" s="5" t="s">
        <v>142</v>
      </c>
      <c r="E8" s="5" t="s">
        <v>143</v>
      </c>
      <c r="F8" s="5" t="s">
        <v>142</v>
      </c>
      <c r="G8" s="5" t="s">
        <v>143</v>
      </c>
      <c r="H8" s="5" t="s">
        <v>11446</v>
      </c>
      <c r="I8" s="5" t="s">
        <v>11447</v>
      </c>
      <c r="J8" s="5" t="s">
        <v>150</v>
      </c>
      <c r="K8" s="5"/>
      <c r="L8" s="5" t="s">
        <v>11449</v>
      </c>
    </row>
    <row r="9" spans="1:12">
      <c r="A9" s="5" t="s">
        <v>11444</v>
      </c>
      <c r="B9" s="5" t="s">
        <v>11445</v>
      </c>
      <c r="C9" s="5">
        <v>5</v>
      </c>
      <c r="D9" s="5" t="s">
        <v>152</v>
      </c>
      <c r="E9" s="5" t="s">
        <v>153</v>
      </c>
      <c r="F9" s="5" t="s">
        <v>152</v>
      </c>
      <c r="G9" s="5" t="s">
        <v>153</v>
      </c>
      <c r="H9" s="5" t="s">
        <v>11446</v>
      </c>
      <c r="I9" s="5" t="s">
        <v>11447</v>
      </c>
      <c r="J9" s="5" t="s">
        <v>163</v>
      </c>
      <c r="K9" s="5"/>
      <c r="L9" s="5"/>
    </row>
    <row r="10" spans="1:12" ht="38.25">
      <c r="A10" s="5" t="s">
        <v>11444</v>
      </c>
      <c r="B10" s="5" t="s">
        <v>11445</v>
      </c>
      <c r="C10" s="5">
        <v>6</v>
      </c>
      <c r="D10" s="5" t="s">
        <v>165</v>
      </c>
      <c r="E10" s="5" t="s">
        <v>11450</v>
      </c>
      <c r="F10" s="5" t="s">
        <v>165</v>
      </c>
      <c r="G10" s="5" t="s">
        <v>166</v>
      </c>
      <c r="H10" s="5" t="s">
        <v>11446</v>
      </c>
      <c r="I10" s="5" t="s">
        <v>11447</v>
      </c>
      <c r="J10" s="5" t="s">
        <v>11451</v>
      </c>
      <c r="K10" s="5"/>
      <c r="L10" s="5"/>
    </row>
    <row r="11" spans="1:12">
      <c r="A11" s="5" t="s">
        <v>11444</v>
      </c>
      <c r="B11" s="5" t="s">
        <v>11445</v>
      </c>
      <c r="C11" s="5">
        <v>7</v>
      </c>
      <c r="D11" s="5" t="s">
        <v>187</v>
      </c>
      <c r="E11" s="5" t="s">
        <v>188</v>
      </c>
      <c r="F11" s="5" t="s">
        <v>187</v>
      </c>
      <c r="G11" s="5" t="s">
        <v>188</v>
      </c>
      <c r="H11" s="5" t="s">
        <v>11446</v>
      </c>
      <c r="I11" s="5" t="s">
        <v>11447</v>
      </c>
      <c r="J11" s="5" t="s">
        <v>194</v>
      </c>
      <c r="K11" s="5"/>
      <c r="L11" s="5"/>
    </row>
    <row r="12" spans="1:12" ht="102">
      <c r="A12" s="5" t="s">
        <v>11444</v>
      </c>
      <c r="B12" s="5" t="s">
        <v>11445</v>
      </c>
      <c r="C12" s="5">
        <v>8</v>
      </c>
      <c r="D12" s="5" t="s">
        <v>25</v>
      </c>
      <c r="E12" s="5" t="s">
        <v>196</v>
      </c>
      <c r="F12" s="5" t="s">
        <v>25</v>
      </c>
      <c r="G12" s="5" t="s">
        <v>196</v>
      </c>
      <c r="H12" s="5" t="s">
        <v>11446</v>
      </c>
      <c r="I12" s="5" t="s">
        <v>11447</v>
      </c>
      <c r="J12" s="5" t="s">
        <v>11452</v>
      </c>
      <c r="K12" s="5"/>
      <c r="L12" s="5" t="s">
        <v>11453</v>
      </c>
    </row>
    <row r="13" spans="1:12" ht="38.25">
      <c r="A13" s="5" t="s">
        <v>11444</v>
      </c>
      <c r="B13" s="5" t="s">
        <v>11445</v>
      </c>
      <c r="C13" s="5">
        <v>9</v>
      </c>
      <c r="D13" s="5" t="s">
        <v>211</v>
      </c>
      <c r="E13" s="5" t="s">
        <v>212</v>
      </c>
      <c r="F13" s="5" t="s">
        <v>211</v>
      </c>
      <c r="G13" s="5" t="s">
        <v>212</v>
      </c>
      <c r="H13" s="5" t="s">
        <v>11446</v>
      </c>
      <c r="I13" s="5" t="s">
        <v>11447</v>
      </c>
      <c r="J13" s="5" t="s">
        <v>221</v>
      </c>
      <c r="K13" s="5"/>
      <c r="L13" s="5" t="s">
        <v>11454</v>
      </c>
    </row>
    <row r="14" spans="1:12" ht="38.25">
      <c r="A14" s="5" t="s">
        <v>11444</v>
      </c>
      <c r="B14" s="5" t="s">
        <v>11445</v>
      </c>
      <c r="C14" s="5">
        <v>10</v>
      </c>
      <c r="D14" s="5" t="s">
        <v>223</v>
      </c>
      <c r="E14" s="5" t="s">
        <v>224</v>
      </c>
      <c r="F14" s="5" t="s">
        <v>223</v>
      </c>
      <c r="G14" s="5" t="s">
        <v>224</v>
      </c>
      <c r="H14" s="5" t="s">
        <v>11446</v>
      </c>
      <c r="I14" s="5" t="s">
        <v>11447</v>
      </c>
      <c r="J14" s="5" t="s">
        <v>232</v>
      </c>
      <c r="K14" s="5"/>
      <c r="L14" s="5" t="s">
        <v>11455</v>
      </c>
    </row>
    <row r="15" spans="1:12" ht="25.5">
      <c r="A15" s="5" t="s">
        <v>11444</v>
      </c>
      <c r="B15" s="5" t="s">
        <v>11445</v>
      </c>
      <c r="C15" s="5">
        <v>11</v>
      </c>
      <c r="D15" s="5" t="s">
        <v>234</v>
      </c>
      <c r="E15" s="5" t="s">
        <v>235</v>
      </c>
      <c r="F15" s="5" t="s">
        <v>234</v>
      </c>
      <c r="G15" s="5" t="s">
        <v>235</v>
      </c>
      <c r="H15" s="5" t="s">
        <v>11446</v>
      </c>
      <c r="I15" s="5" t="s">
        <v>11447</v>
      </c>
      <c r="J15" s="5" t="s">
        <v>11456</v>
      </c>
      <c r="K15" s="5"/>
      <c r="L15" s="5"/>
    </row>
    <row r="16" spans="1:12" ht="38.25">
      <c r="A16" s="5" t="s">
        <v>11444</v>
      </c>
      <c r="B16" s="5" t="s">
        <v>11445</v>
      </c>
      <c r="C16" s="5">
        <v>12</v>
      </c>
      <c r="D16" s="5" t="s">
        <v>46</v>
      </c>
      <c r="E16" s="5" t="s">
        <v>47</v>
      </c>
      <c r="F16" s="5" t="s">
        <v>46</v>
      </c>
      <c r="G16" s="5" t="s">
        <v>47</v>
      </c>
      <c r="H16" s="5" t="s">
        <v>11446</v>
      </c>
      <c r="I16" s="5" t="s">
        <v>11447</v>
      </c>
      <c r="J16" s="5" t="s">
        <v>3226</v>
      </c>
      <c r="K16" s="5"/>
      <c r="L16" s="5" t="s">
        <v>11454</v>
      </c>
    </row>
    <row r="17" spans="1:12">
      <c r="A17" s="5" t="s">
        <v>11444</v>
      </c>
      <c r="B17" s="5" t="s">
        <v>11445</v>
      </c>
      <c r="C17" s="5">
        <v>13</v>
      </c>
      <c r="D17" s="5" t="s">
        <v>256</v>
      </c>
      <c r="E17" s="5" t="s">
        <v>257</v>
      </c>
      <c r="F17" s="5" t="s">
        <v>256</v>
      </c>
      <c r="G17" s="5" t="s">
        <v>257</v>
      </c>
      <c r="H17" s="5" t="s">
        <v>11446</v>
      </c>
      <c r="I17" s="5" t="s">
        <v>11447</v>
      </c>
      <c r="J17" s="5" t="s">
        <v>11457</v>
      </c>
      <c r="K17" s="5"/>
      <c r="L17" s="5"/>
    </row>
    <row r="18" spans="1:12" ht="38.25">
      <c r="A18" s="5" t="s">
        <v>11444</v>
      </c>
      <c r="B18" s="5" t="s">
        <v>11445</v>
      </c>
      <c r="C18" s="5">
        <v>14</v>
      </c>
      <c r="D18" s="5" t="s">
        <v>268</v>
      </c>
      <c r="E18" s="5" t="s">
        <v>269</v>
      </c>
      <c r="F18" s="5" t="s">
        <v>268</v>
      </c>
      <c r="G18" s="5" t="s">
        <v>269</v>
      </c>
      <c r="H18" s="5" t="s">
        <v>11446</v>
      </c>
      <c r="I18" s="5" t="s">
        <v>11447</v>
      </c>
      <c r="J18" s="5" t="s">
        <v>232</v>
      </c>
      <c r="K18" s="5"/>
      <c r="L18" s="5" t="s">
        <v>11455</v>
      </c>
    </row>
    <row r="19" spans="1:12" ht="38.25">
      <c r="A19" s="5" t="s">
        <v>11444</v>
      </c>
      <c r="B19" s="5" t="s">
        <v>11445</v>
      </c>
      <c r="C19" s="5">
        <v>15</v>
      </c>
      <c r="D19" s="5" t="s">
        <v>274</v>
      </c>
      <c r="E19" s="5" t="s">
        <v>275</v>
      </c>
      <c r="F19" s="5" t="s">
        <v>274</v>
      </c>
      <c r="G19" s="5" t="s">
        <v>275</v>
      </c>
      <c r="H19" s="5" t="s">
        <v>11446</v>
      </c>
      <c r="I19" s="5" t="s">
        <v>11447</v>
      </c>
      <c r="J19" s="5" t="s">
        <v>232</v>
      </c>
      <c r="K19" s="5"/>
      <c r="L19" s="5" t="s">
        <v>11455</v>
      </c>
    </row>
    <row r="20" spans="1:12">
      <c r="A20" s="5" t="s">
        <v>11444</v>
      </c>
      <c r="B20" s="5" t="s">
        <v>11445</v>
      </c>
      <c r="C20" s="5">
        <v>16</v>
      </c>
      <c r="D20" s="5" t="s">
        <v>280</v>
      </c>
      <c r="E20" s="5" t="s">
        <v>281</v>
      </c>
      <c r="F20" s="5" t="s">
        <v>280</v>
      </c>
      <c r="G20" s="5" t="s">
        <v>281</v>
      </c>
      <c r="H20" s="5" t="s">
        <v>11446</v>
      </c>
      <c r="I20" s="5" t="s">
        <v>11447</v>
      </c>
      <c r="J20" s="5" t="s">
        <v>291</v>
      </c>
      <c r="K20" s="5"/>
      <c r="L20" s="5"/>
    </row>
    <row r="21" spans="1:12" ht="38.25">
      <c r="A21" s="5" t="s">
        <v>11444</v>
      </c>
      <c r="B21" s="5" t="s">
        <v>11445</v>
      </c>
      <c r="C21" s="5">
        <v>17</v>
      </c>
      <c r="D21" s="5" t="s">
        <v>293</v>
      </c>
      <c r="E21" s="5" t="s">
        <v>294</v>
      </c>
      <c r="F21" s="5" t="s">
        <v>293</v>
      </c>
      <c r="G21" s="5" t="s">
        <v>294</v>
      </c>
      <c r="H21" s="5" t="s">
        <v>11446</v>
      </c>
      <c r="I21" s="5" t="s">
        <v>11447</v>
      </c>
      <c r="J21" s="5" t="s">
        <v>11458</v>
      </c>
      <c r="K21" s="5"/>
      <c r="L21" s="5" t="s">
        <v>11454</v>
      </c>
    </row>
    <row r="22" spans="1:12" ht="25.5">
      <c r="A22" s="5" t="s">
        <v>11444</v>
      </c>
      <c r="B22" s="5" t="s">
        <v>11445</v>
      </c>
      <c r="C22" s="5">
        <v>18</v>
      </c>
      <c r="D22" s="5" t="s">
        <v>302</v>
      </c>
      <c r="E22" s="5" t="s">
        <v>303</v>
      </c>
      <c r="F22" s="5" t="s">
        <v>302</v>
      </c>
      <c r="G22" s="5" t="s">
        <v>303</v>
      </c>
      <c r="H22" s="5" t="s">
        <v>11446</v>
      </c>
      <c r="I22" s="5" t="s">
        <v>11447</v>
      </c>
      <c r="J22" s="5" t="s">
        <v>11459</v>
      </c>
      <c r="K22" s="5"/>
      <c r="L22" s="5"/>
    </row>
    <row r="23" spans="1:12" ht="76.5">
      <c r="A23" s="5" t="s">
        <v>11444</v>
      </c>
      <c r="B23" s="5" t="s">
        <v>11445</v>
      </c>
      <c r="C23" s="5">
        <v>19</v>
      </c>
      <c r="D23" s="5" t="s">
        <v>317</v>
      </c>
      <c r="E23" s="5" t="s">
        <v>318</v>
      </c>
      <c r="F23" s="5" t="s">
        <v>317</v>
      </c>
      <c r="G23" s="5" t="s">
        <v>318</v>
      </c>
      <c r="H23" s="5" t="s">
        <v>11446</v>
      </c>
      <c r="I23" s="5" t="s">
        <v>11447</v>
      </c>
      <c r="J23" s="5" t="s">
        <v>208</v>
      </c>
      <c r="K23" s="5"/>
      <c r="L23" s="5" t="s">
        <v>11460</v>
      </c>
    </row>
    <row r="24" spans="1:12">
      <c r="A24" s="5" t="s">
        <v>11444</v>
      </c>
      <c r="B24" s="5" t="s">
        <v>11445</v>
      </c>
      <c r="C24" s="5">
        <v>20</v>
      </c>
      <c r="D24" s="5" t="s">
        <v>329</v>
      </c>
      <c r="E24" s="5" t="s">
        <v>330</v>
      </c>
      <c r="F24" s="5" t="s">
        <v>329</v>
      </c>
      <c r="G24" s="5" t="s">
        <v>330</v>
      </c>
      <c r="H24" s="5" t="s">
        <v>11446</v>
      </c>
      <c r="I24" s="5" t="s">
        <v>11447</v>
      </c>
      <c r="J24" s="5" t="s">
        <v>338</v>
      </c>
      <c r="K24" s="5"/>
      <c r="L24" s="5"/>
    </row>
    <row r="25" spans="1:12">
      <c r="A25" s="5" t="s">
        <v>11444</v>
      </c>
      <c r="B25" s="5" t="s">
        <v>11445</v>
      </c>
      <c r="C25" s="5">
        <v>21</v>
      </c>
      <c r="D25" s="5" t="s">
        <v>340</v>
      </c>
      <c r="E25" s="5" t="s">
        <v>341</v>
      </c>
      <c r="F25" s="5" t="s">
        <v>340</v>
      </c>
      <c r="G25" s="5" t="s">
        <v>341</v>
      </c>
      <c r="H25" s="5" t="s">
        <v>11446</v>
      </c>
      <c r="I25" s="5" t="s">
        <v>11447</v>
      </c>
      <c r="J25" s="5" t="s">
        <v>348</v>
      </c>
      <c r="K25" s="5"/>
      <c r="L25" s="5"/>
    </row>
    <row r="26" spans="1:12">
      <c r="A26" s="5" t="s">
        <v>11444</v>
      </c>
      <c r="B26" s="5" t="s">
        <v>11445</v>
      </c>
      <c r="C26" s="5">
        <v>22</v>
      </c>
      <c r="D26" s="5" t="s">
        <v>350</v>
      </c>
      <c r="E26" s="5" t="s">
        <v>351</v>
      </c>
      <c r="F26" s="5" t="s">
        <v>350</v>
      </c>
      <c r="G26" s="5" t="s">
        <v>351</v>
      </c>
      <c r="H26" s="5" t="s">
        <v>11446</v>
      </c>
      <c r="I26" s="5" t="s">
        <v>11447</v>
      </c>
      <c r="J26" s="5" t="s">
        <v>358</v>
      </c>
      <c r="K26" s="5"/>
      <c r="L26" s="5"/>
    </row>
    <row r="27" spans="1:12" ht="38.25">
      <c r="A27" s="5" t="s">
        <v>11444</v>
      </c>
      <c r="B27" s="5" t="s">
        <v>11445</v>
      </c>
      <c r="C27" s="5">
        <v>23</v>
      </c>
      <c r="D27" s="5" t="s">
        <v>360</v>
      </c>
      <c r="E27" s="5" t="s">
        <v>361</v>
      </c>
      <c r="F27" s="5" t="s">
        <v>360</v>
      </c>
      <c r="G27" s="5" t="s">
        <v>361</v>
      </c>
      <c r="H27" s="5" t="s">
        <v>11446</v>
      </c>
      <c r="I27" s="5" t="s">
        <v>11447</v>
      </c>
      <c r="J27" s="5" t="s">
        <v>11461</v>
      </c>
      <c r="K27" s="5"/>
      <c r="L27" s="5" t="s">
        <v>11462</v>
      </c>
    </row>
    <row r="28" spans="1:12" ht="38.25">
      <c r="A28" s="5" t="s">
        <v>11444</v>
      </c>
      <c r="B28" s="5" t="s">
        <v>11445</v>
      </c>
      <c r="C28" s="5">
        <v>24</v>
      </c>
      <c r="D28" s="5" t="s">
        <v>376</v>
      </c>
      <c r="E28" s="5" t="s">
        <v>377</v>
      </c>
      <c r="F28" s="5" t="s">
        <v>376</v>
      </c>
      <c r="G28" s="5" t="s">
        <v>377</v>
      </c>
      <c r="H28" s="5" t="s">
        <v>11446</v>
      </c>
      <c r="I28" s="5" t="s">
        <v>11447</v>
      </c>
      <c r="J28" s="5" t="s">
        <v>11463</v>
      </c>
      <c r="K28" s="5"/>
      <c r="L28" s="5" t="s">
        <v>11462</v>
      </c>
    </row>
    <row r="29" spans="1:12">
      <c r="A29" s="5" t="s">
        <v>11444</v>
      </c>
      <c r="B29" s="5" t="s">
        <v>11445</v>
      </c>
      <c r="C29" s="5">
        <v>25</v>
      </c>
      <c r="D29" s="5" t="s">
        <v>387</v>
      </c>
      <c r="E29" s="5" t="s">
        <v>388</v>
      </c>
      <c r="F29" s="5" t="s">
        <v>387</v>
      </c>
      <c r="G29" s="5" t="s">
        <v>388</v>
      </c>
      <c r="H29" s="5" t="s">
        <v>11446</v>
      </c>
      <c r="I29" s="5" t="s">
        <v>11447</v>
      </c>
      <c r="J29" s="5" t="s">
        <v>11464</v>
      </c>
      <c r="K29" s="5"/>
      <c r="L29" s="5"/>
    </row>
    <row r="30" spans="1:12" ht="51">
      <c r="A30" s="5" t="s">
        <v>11444</v>
      </c>
      <c r="B30" s="5" t="s">
        <v>11445</v>
      </c>
      <c r="C30" s="5">
        <v>26</v>
      </c>
      <c r="D30" s="5" t="s">
        <v>397</v>
      </c>
      <c r="E30" s="5" t="s">
        <v>398</v>
      </c>
      <c r="F30" s="5" t="s">
        <v>397</v>
      </c>
      <c r="G30" s="5" t="s">
        <v>398</v>
      </c>
      <c r="H30" s="5" t="s">
        <v>11446</v>
      </c>
      <c r="I30" s="5" t="s">
        <v>11447</v>
      </c>
      <c r="J30" s="5" t="s">
        <v>150</v>
      </c>
      <c r="K30" s="5"/>
      <c r="L30" s="5" t="s">
        <v>11449</v>
      </c>
    </row>
    <row r="31" spans="1:12">
      <c r="A31" s="5" t="s">
        <v>11444</v>
      </c>
      <c r="B31" s="5" t="s">
        <v>11445</v>
      </c>
      <c r="C31" s="5">
        <v>27</v>
      </c>
      <c r="D31" s="5" t="s">
        <v>402</v>
      </c>
      <c r="E31" s="5" t="s">
        <v>403</v>
      </c>
      <c r="F31" s="5" t="s">
        <v>402</v>
      </c>
      <c r="G31" s="5" t="s">
        <v>403</v>
      </c>
      <c r="H31" s="5" t="s">
        <v>11446</v>
      </c>
      <c r="I31" s="5" t="s">
        <v>11447</v>
      </c>
      <c r="J31" s="5" t="s">
        <v>411</v>
      </c>
      <c r="K31" s="5"/>
      <c r="L31" s="5"/>
    </row>
    <row r="32" spans="1:12">
      <c r="A32" s="5" t="s">
        <v>11444</v>
      </c>
      <c r="B32" s="5" t="s">
        <v>11445</v>
      </c>
      <c r="C32" s="5">
        <v>28</v>
      </c>
      <c r="D32" s="5" t="s">
        <v>413</v>
      </c>
      <c r="E32" s="5" t="s">
        <v>414</v>
      </c>
      <c r="F32" s="5" t="s">
        <v>413</v>
      </c>
      <c r="G32" s="5" t="s">
        <v>414</v>
      </c>
      <c r="H32" s="5" t="s">
        <v>11446</v>
      </c>
      <c r="I32" s="5" t="s">
        <v>11447</v>
      </c>
      <c r="J32" s="5" t="s">
        <v>418</v>
      </c>
      <c r="K32" s="5"/>
      <c r="L32" s="5"/>
    </row>
    <row r="33" spans="1:12">
      <c r="A33" s="5" t="s">
        <v>11444</v>
      </c>
      <c r="B33" s="5" t="s">
        <v>11445</v>
      </c>
      <c r="C33" s="5">
        <v>29</v>
      </c>
      <c r="D33" s="5" t="s">
        <v>420</v>
      </c>
      <c r="E33" s="5" t="s">
        <v>421</v>
      </c>
      <c r="F33" s="5" t="s">
        <v>420</v>
      </c>
      <c r="G33" s="5" t="s">
        <v>421</v>
      </c>
      <c r="H33" s="5" t="s">
        <v>11446</v>
      </c>
      <c r="I33" s="5" t="s">
        <v>11447</v>
      </c>
      <c r="J33" s="5" t="s">
        <v>11465</v>
      </c>
      <c r="K33" s="5"/>
      <c r="L33" s="5"/>
    </row>
    <row r="34" spans="1:12">
      <c r="A34" s="5" t="s">
        <v>11444</v>
      </c>
      <c r="B34" s="5" t="s">
        <v>11445</v>
      </c>
      <c r="C34" s="5">
        <v>30</v>
      </c>
      <c r="D34" s="5" t="s">
        <v>433</v>
      </c>
      <c r="E34" s="5" t="s">
        <v>434</v>
      </c>
      <c r="F34" s="5" t="s">
        <v>433</v>
      </c>
      <c r="G34" s="5" t="s">
        <v>434</v>
      </c>
      <c r="H34" s="5" t="s">
        <v>11446</v>
      </c>
      <c r="I34" s="5" t="s">
        <v>11447</v>
      </c>
      <c r="J34" s="5" t="s">
        <v>446</v>
      </c>
      <c r="K34" s="5"/>
      <c r="L34" s="5"/>
    </row>
    <row r="35" spans="1:12">
      <c r="A35" s="5" t="s">
        <v>11444</v>
      </c>
      <c r="B35" s="5" t="s">
        <v>11445</v>
      </c>
      <c r="C35" s="5">
        <v>31</v>
      </c>
      <c r="D35" s="5" t="s">
        <v>448</v>
      </c>
      <c r="E35" s="5" t="s">
        <v>449</v>
      </c>
      <c r="F35" s="5" t="s">
        <v>448</v>
      </c>
      <c r="G35" s="5" t="s">
        <v>449</v>
      </c>
      <c r="H35" s="5" t="s">
        <v>11446</v>
      </c>
      <c r="I35" s="5" t="s">
        <v>11447</v>
      </c>
      <c r="J35" s="5" t="s">
        <v>11466</v>
      </c>
      <c r="K35" s="5"/>
      <c r="L35" s="5"/>
    </row>
    <row r="36" spans="1:12">
      <c r="A36" s="5" t="s">
        <v>11444</v>
      </c>
      <c r="B36" s="5" t="s">
        <v>11445</v>
      </c>
      <c r="C36" s="5">
        <v>32</v>
      </c>
      <c r="D36" s="5" t="s">
        <v>461</v>
      </c>
      <c r="E36" s="5" t="s">
        <v>462</v>
      </c>
      <c r="F36" s="5" t="s">
        <v>461</v>
      </c>
      <c r="G36" s="5" t="s">
        <v>462</v>
      </c>
      <c r="H36" s="5" t="s">
        <v>11446</v>
      </c>
      <c r="I36" s="5" t="s">
        <v>11447</v>
      </c>
      <c r="J36" s="5" t="s">
        <v>468</v>
      </c>
      <c r="K36" s="5"/>
      <c r="L36" s="5"/>
    </row>
    <row r="37" spans="1:12">
      <c r="A37" s="5" t="s">
        <v>11444</v>
      </c>
      <c r="B37" s="5" t="s">
        <v>11445</v>
      </c>
      <c r="C37" s="5">
        <v>33</v>
      </c>
      <c r="D37" s="5" t="s">
        <v>470</v>
      </c>
      <c r="E37" s="5" t="s">
        <v>471</v>
      </c>
      <c r="F37" s="5" t="s">
        <v>470</v>
      </c>
      <c r="G37" s="5" t="s">
        <v>471</v>
      </c>
      <c r="H37" s="5" t="s">
        <v>11446</v>
      </c>
      <c r="I37" s="5" t="s">
        <v>11447</v>
      </c>
      <c r="J37" s="5" t="s">
        <v>482</v>
      </c>
      <c r="K37" s="5"/>
      <c r="L37" s="5"/>
    </row>
    <row r="38" spans="1:12">
      <c r="A38" s="5" t="s">
        <v>11444</v>
      </c>
      <c r="B38" s="5" t="s">
        <v>11445</v>
      </c>
      <c r="C38" s="5">
        <v>34</v>
      </c>
      <c r="D38" s="5" t="s">
        <v>484</v>
      </c>
      <c r="E38" s="5" t="s">
        <v>485</v>
      </c>
      <c r="F38" s="5" t="s">
        <v>484</v>
      </c>
      <c r="G38" s="5" t="s">
        <v>485</v>
      </c>
      <c r="H38" s="5" t="s">
        <v>11446</v>
      </c>
      <c r="I38" s="5" t="s">
        <v>11447</v>
      </c>
      <c r="J38" s="5" t="s">
        <v>11467</v>
      </c>
      <c r="K38" s="5"/>
      <c r="L38" s="5"/>
    </row>
    <row r="39" spans="1:12" ht="63.75">
      <c r="A39" s="5" t="s">
        <v>11444</v>
      </c>
      <c r="B39" s="5" t="s">
        <v>11445</v>
      </c>
      <c r="C39" s="5">
        <v>35</v>
      </c>
      <c r="D39" s="5" t="s">
        <v>494</v>
      </c>
      <c r="E39" s="5" t="s">
        <v>495</v>
      </c>
      <c r="F39" s="5" t="s">
        <v>494</v>
      </c>
      <c r="G39" s="5" t="s">
        <v>495</v>
      </c>
      <c r="H39" s="5" t="s">
        <v>11446</v>
      </c>
      <c r="I39" s="5" t="s">
        <v>11447</v>
      </c>
      <c r="J39" s="5" t="s">
        <v>11468</v>
      </c>
      <c r="K39" s="5"/>
      <c r="L39" s="5" t="s">
        <v>11469</v>
      </c>
    </row>
    <row r="40" spans="1:12" ht="76.5">
      <c r="A40" s="5" t="s">
        <v>11444</v>
      </c>
      <c r="B40" s="5" t="s">
        <v>11445</v>
      </c>
      <c r="C40" s="5">
        <v>36</v>
      </c>
      <c r="D40" s="5" t="s">
        <v>32</v>
      </c>
      <c r="E40" s="5" t="s">
        <v>508</v>
      </c>
      <c r="F40" s="5" t="s">
        <v>32</v>
      </c>
      <c r="G40" s="5" t="s">
        <v>508</v>
      </c>
      <c r="H40" s="5" t="s">
        <v>11446</v>
      </c>
      <c r="I40" s="5" t="s">
        <v>11447</v>
      </c>
      <c r="J40" s="5" t="s">
        <v>11470</v>
      </c>
      <c r="K40" s="5"/>
      <c r="L40" s="5" t="s">
        <v>11471</v>
      </c>
    </row>
    <row r="41" spans="1:12" ht="25.5">
      <c r="A41" s="5" t="s">
        <v>11444</v>
      </c>
      <c r="B41" s="5" t="s">
        <v>11445</v>
      </c>
      <c r="C41" s="5">
        <v>37</v>
      </c>
      <c r="D41" s="5" t="s">
        <v>522</v>
      </c>
      <c r="E41" s="5" t="s">
        <v>523</v>
      </c>
      <c r="F41" s="5" t="s">
        <v>522</v>
      </c>
      <c r="G41" s="5" t="s">
        <v>523</v>
      </c>
      <c r="H41" s="5" t="s">
        <v>11446</v>
      </c>
      <c r="I41" s="5" t="s">
        <v>11447</v>
      </c>
      <c r="J41" s="5" t="s">
        <v>530</v>
      </c>
      <c r="K41" s="5"/>
      <c r="L41" s="5"/>
    </row>
    <row r="42" spans="1:12" ht="38.25">
      <c r="A42" s="5" t="s">
        <v>11444</v>
      </c>
      <c r="B42" s="5" t="s">
        <v>11445</v>
      </c>
      <c r="C42" s="5">
        <v>38</v>
      </c>
      <c r="D42" s="5" t="s">
        <v>532</v>
      </c>
      <c r="E42" s="5" t="s">
        <v>533</v>
      </c>
      <c r="F42" s="5" t="s">
        <v>532</v>
      </c>
      <c r="G42" s="5" t="s">
        <v>533</v>
      </c>
      <c r="H42" s="5" t="s">
        <v>11446</v>
      </c>
      <c r="I42" s="5" t="s">
        <v>11447</v>
      </c>
      <c r="J42" s="5" t="s">
        <v>11472</v>
      </c>
      <c r="K42" s="5"/>
      <c r="L42" s="5" t="s">
        <v>11469</v>
      </c>
    </row>
    <row r="43" spans="1:12" ht="38.25">
      <c r="A43" s="5" t="s">
        <v>11444</v>
      </c>
      <c r="B43" s="5" t="s">
        <v>11445</v>
      </c>
      <c r="C43" s="5">
        <v>39</v>
      </c>
      <c r="D43" s="5" t="s">
        <v>545</v>
      </c>
      <c r="E43" s="5" t="s">
        <v>546</v>
      </c>
      <c r="F43" s="5" t="s">
        <v>545</v>
      </c>
      <c r="G43" s="5" t="s">
        <v>546</v>
      </c>
      <c r="H43" s="5" t="s">
        <v>11446</v>
      </c>
      <c r="I43" s="5" t="s">
        <v>11447</v>
      </c>
      <c r="J43" s="5" t="s">
        <v>11473</v>
      </c>
      <c r="K43" s="5"/>
      <c r="L43" s="5" t="s">
        <v>11469</v>
      </c>
    </row>
    <row r="44" spans="1:12">
      <c r="A44" s="5" t="s">
        <v>11444</v>
      </c>
      <c r="B44" s="5" t="s">
        <v>11445</v>
      </c>
      <c r="C44" s="5">
        <v>40</v>
      </c>
      <c r="D44" s="5" t="s">
        <v>554</v>
      </c>
      <c r="E44" s="5" t="s">
        <v>555</v>
      </c>
      <c r="F44" s="5" t="s">
        <v>554</v>
      </c>
      <c r="G44" s="5" t="s">
        <v>555</v>
      </c>
      <c r="H44" s="5" t="s">
        <v>11446</v>
      </c>
      <c r="I44" s="5" t="s">
        <v>11447</v>
      </c>
      <c r="J44" s="5" t="s">
        <v>11474</v>
      </c>
      <c r="K44" s="5"/>
      <c r="L44" s="5"/>
    </row>
    <row r="45" spans="1:12" ht="127.5">
      <c r="A45" s="5" t="s">
        <v>11444</v>
      </c>
      <c r="B45" s="5" t="s">
        <v>11445</v>
      </c>
      <c r="C45" s="5">
        <v>41</v>
      </c>
      <c r="D45" s="5" t="s">
        <v>565</v>
      </c>
      <c r="E45" s="5" t="s">
        <v>11475</v>
      </c>
      <c r="F45" s="5" t="s">
        <v>565</v>
      </c>
      <c r="G45" s="5" t="s">
        <v>566</v>
      </c>
      <c r="H45" s="5" t="s">
        <v>11446</v>
      </c>
      <c r="I45" s="5" t="s">
        <v>11447</v>
      </c>
      <c r="J45" s="5" t="s">
        <v>11476</v>
      </c>
      <c r="K45" s="5"/>
      <c r="L45" s="5" t="s">
        <v>11477</v>
      </c>
    </row>
    <row r="46" spans="1:12" ht="25.5">
      <c r="A46" s="5" t="s">
        <v>11444</v>
      </c>
      <c r="B46" s="5" t="s">
        <v>11445</v>
      </c>
      <c r="C46" s="5">
        <v>42</v>
      </c>
      <c r="D46" s="5" t="s">
        <v>581</v>
      </c>
      <c r="E46" s="5" t="s">
        <v>582</v>
      </c>
      <c r="F46" s="5" t="s">
        <v>581</v>
      </c>
      <c r="G46" s="5" t="s">
        <v>582</v>
      </c>
      <c r="H46" s="5" t="s">
        <v>11446</v>
      </c>
      <c r="I46" s="5" t="s">
        <v>11447</v>
      </c>
      <c r="J46" s="5" t="s">
        <v>584</v>
      </c>
      <c r="K46" s="5"/>
      <c r="L46" s="5"/>
    </row>
    <row r="47" spans="1:12">
      <c r="A47" s="5" t="s">
        <v>11444</v>
      </c>
      <c r="B47" s="5" t="s">
        <v>11445</v>
      </c>
      <c r="C47" s="5">
        <v>43</v>
      </c>
      <c r="D47" s="5" t="s">
        <v>586</v>
      </c>
      <c r="E47" s="5" t="s">
        <v>587</v>
      </c>
      <c r="F47" s="5" t="s">
        <v>586</v>
      </c>
      <c r="G47" s="5" t="s">
        <v>587</v>
      </c>
      <c r="H47" s="5" t="s">
        <v>11446</v>
      </c>
      <c r="I47" s="5" t="s">
        <v>11447</v>
      </c>
      <c r="J47" s="5" t="s">
        <v>594</v>
      </c>
      <c r="K47" s="5"/>
      <c r="L47" s="5"/>
    </row>
    <row r="48" spans="1:12" ht="76.5">
      <c r="A48" s="5" t="s">
        <v>11444</v>
      </c>
      <c r="B48" s="5" t="s">
        <v>11445</v>
      </c>
      <c r="C48" s="5">
        <v>44</v>
      </c>
      <c r="D48" s="5" t="s">
        <v>596</v>
      </c>
      <c r="E48" s="5" t="s">
        <v>597</v>
      </c>
      <c r="F48" s="5" t="s">
        <v>596</v>
      </c>
      <c r="G48" s="5" t="s">
        <v>597</v>
      </c>
      <c r="H48" s="5" t="s">
        <v>11446</v>
      </c>
      <c r="I48" s="5" t="s">
        <v>11447</v>
      </c>
      <c r="J48" s="5" t="s">
        <v>604</v>
      </c>
      <c r="K48" s="5"/>
      <c r="L48" s="5" t="s">
        <v>11478</v>
      </c>
    </row>
    <row r="49" spans="1:12">
      <c r="A49" s="5" t="s">
        <v>11444</v>
      </c>
      <c r="B49" s="5" t="s">
        <v>11445</v>
      </c>
      <c r="C49" s="5">
        <v>45</v>
      </c>
      <c r="D49" s="5" t="s">
        <v>606</v>
      </c>
      <c r="E49" s="5" t="s">
        <v>607</v>
      </c>
      <c r="F49" s="5" t="s">
        <v>606</v>
      </c>
      <c r="G49" s="5" t="s">
        <v>607</v>
      </c>
      <c r="H49" s="5" t="s">
        <v>11446</v>
      </c>
      <c r="I49" s="5" t="s">
        <v>11447</v>
      </c>
      <c r="J49" s="5" t="s">
        <v>11479</v>
      </c>
      <c r="K49" s="5"/>
      <c r="L49" s="5"/>
    </row>
    <row r="50" spans="1:12" ht="25.5">
      <c r="A50" s="5" t="s">
        <v>11444</v>
      </c>
      <c r="B50" s="5" t="s">
        <v>11445</v>
      </c>
      <c r="C50" s="5">
        <v>46</v>
      </c>
      <c r="D50" s="5" t="s">
        <v>619</v>
      </c>
      <c r="E50" s="5" t="s">
        <v>620</v>
      </c>
      <c r="F50" s="5" t="s">
        <v>619</v>
      </c>
      <c r="G50" s="5" t="s">
        <v>620</v>
      </c>
      <c r="H50" s="5" t="s">
        <v>11446</v>
      </c>
      <c r="I50" s="5" t="s">
        <v>11447</v>
      </c>
      <c r="J50" s="5" t="s">
        <v>11480</v>
      </c>
      <c r="K50" s="5"/>
      <c r="L50" s="5"/>
    </row>
    <row r="51" spans="1:12" ht="25.5">
      <c r="A51" s="5" t="s">
        <v>11444</v>
      </c>
      <c r="B51" s="5" t="s">
        <v>11445</v>
      </c>
      <c r="C51" s="5">
        <v>47</v>
      </c>
      <c r="D51" s="5" t="s">
        <v>630</v>
      </c>
      <c r="E51" s="5" t="s">
        <v>631</v>
      </c>
      <c r="F51" s="5" t="s">
        <v>630</v>
      </c>
      <c r="G51" s="5" t="s">
        <v>631</v>
      </c>
      <c r="H51" s="5" t="s">
        <v>11446</v>
      </c>
      <c r="I51" s="5" t="s">
        <v>11447</v>
      </c>
      <c r="J51" s="5" t="s">
        <v>640</v>
      </c>
      <c r="K51" s="5"/>
      <c r="L51" s="5"/>
    </row>
    <row r="52" spans="1:12" ht="63.75">
      <c r="A52" s="5" t="s">
        <v>11444</v>
      </c>
      <c r="B52" s="5" t="s">
        <v>11445</v>
      </c>
      <c r="C52" s="5">
        <v>48</v>
      </c>
      <c r="D52" s="5" t="s">
        <v>74</v>
      </c>
      <c r="E52" s="5" t="s">
        <v>642</v>
      </c>
      <c r="F52" s="5" t="s">
        <v>74</v>
      </c>
      <c r="G52" s="5" t="s">
        <v>642</v>
      </c>
      <c r="H52" s="5" t="s">
        <v>11446</v>
      </c>
      <c r="I52" s="5" t="s">
        <v>11447</v>
      </c>
      <c r="J52" s="5" t="s">
        <v>11481</v>
      </c>
      <c r="K52" s="5"/>
      <c r="L52" s="5"/>
    </row>
    <row r="53" spans="1:12" ht="25.5">
      <c r="A53" s="5" t="s">
        <v>11444</v>
      </c>
      <c r="B53" s="5" t="s">
        <v>11445</v>
      </c>
      <c r="C53" s="5">
        <v>49</v>
      </c>
      <c r="D53" s="5" t="s">
        <v>653</v>
      </c>
      <c r="E53" s="5" t="s">
        <v>654</v>
      </c>
      <c r="F53" s="5" t="s">
        <v>653</v>
      </c>
      <c r="G53" s="5" t="s">
        <v>654</v>
      </c>
      <c r="H53" s="5" t="s">
        <v>11446</v>
      </c>
      <c r="I53" s="5" t="s">
        <v>11447</v>
      </c>
      <c r="J53" s="5" t="s">
        <v>11482</v>
      </c>
      <c r="K53" s="5"/>
      <c r="L53" s="5"/>
    </row>
    <row r="54" spans="1:12" ht="25.5">
      <c r="A54" s="5" t="s">
        <v>11444</v>
      </c>
      <c r="B54" s="5" t="s">
        <v>11445</v>
      </c>
      <c r="C54" s="5">
        <v>50</v>
      </c>
      <c r="D54" s="5" t="s">
        <v>662</v>
      </c>
      <c r="E54" s="5" t="s">
        <v>663</v>
      </c>
      <c r="F54" s="5" t="s">
        <v>662</v>
      </c>
      <c r="G54" s="5" t="s">
        <v>663</v>
      </c>
      <c r="H54" s="5" t="s">
        <v>11446</v>
      </c>
      <c r="I54" s="5" t="s">
        <v>11447</v>
      </c>
      <c r="J54" s="5" t="s">
        <v>670</v>
      </c>
      <c r="K54" s="5"/>
      <c r="L54" s="5"/>
    </row>
    <row r="55" spans="1:12" ht="25.5">
      <c r="A55" s="5" t="s">
        <v>11444</v>
      </c>
      <c r="B55" s="5" t="s">
        <v>11445</v>
      </c>
      <c r="C55" s="5">
        <v>51</v>
      </c>
      <c r="D55" s="5" t="s">
        <v>672</v>
      </c>
      <c r="E55" s="5" t="s">
        <v>673</v>
      </c>
      <c r="F55" s="5" t="s">
        <v>672</v>
      </c>
      <c r="G55" s="5" t="s">
        <v>673</v>
      </c>
      <c r="H55" s="5" t="s">
        <v>11446</v>
      </c>
      <c r="I55" s="5" t="s">
        <v>11447</v>
      </c>
      <c r="J55" s="5" t="s">
        <v>679</v>
      </c>
      <c r="K55" s="5"/>
      <c r="L55" s="5"/>
    </row>
    <row r="56" spans="1:12" ht="25.5">
      <c r="A56" s="5" t="s">
        <v>11444</v>
      </c>
      <c r="B56" s="5" t="s">
        <v>11445</v>
      </c>
      <c r="C56" s="5">
        <v>52</v>
      </c>
      <c r="D56" s="5" t="s">
        <v>681</v>
      </c>
      <c r="E56" s="5" t="s">
        <v>682</v>
      </c>
      <c r="F56" s="5" t="s">
        <v>681</v>
      </c>
      <c r="G56" s="5" t="s">
        <v>682</v>
      </c>
      <c r="H56" s="5" t="s">
        <v>11446</v>
      </c>
      <c r="I56" s="5" t="s">
        <v>11447</v>
      </c>
      <c r="J56" s="5" t="s">
        <v>689</v>
      </c>
      <c r="K56" s="5"/>
      <c r="L56" s="5"/>
    </row>
    <row r="57" spans="1:12">
      <c r="A57" s="5" t="s">
        <v>11444</v>
      </c>
      <c r="B57" s="5" t="s">
        <v>11445</v>
      </c>
      <c r="C57" s="5">
        <v>53</v>
      </c>
      <c r="D57" s="5" t="s">
        <v>691</v>
      </c>
      <c r="E57" s="5" t="s">
        <v>692</v>
      </c>
      <c r="F57" s="5" t="s">
        <v>691</v>
      </c>
      <c r="G57" s="5" t="s">
        <v>692</v>
      </c>
      <c r="H57" s="5" t="s">
        <v>11446</v>
      </c>
      <c r="I57" s="5" t="s">
        <v>11447</v>
      </c>
      <c r="J57" s="5" t="s">
        <v>697</v>
      </c>
      <c r="K57" s="5"/>
      <c r="L57" s="5"/>
    </row>
    <row r="58" spans="1:12">
      <c r="A58" s="5" t="s">
        <v>11444</v>
      </c>
      <c r="B58" s="5" t="s">
        <v>11445</v>
      </c>
      <c r="C58" s="5">
        <v>54</v>
      </c>
      <c r="D58" s="5" t="s">
        <v>699</v>
      </c>
      <c r="E58" s="5" t="s">
        <v>700</v>
      </c>
      <c r="F58" s="5" t="s">
        <v>699</v>
      </c>
      <c r="G58" s="5" t="s">
        <v>700</v>
      </c>
      <c r="H58" s="5" t="s">
        <v>11446</v>
      </c>
      <c r="I58" s="5" t="s">
        <v>11447</v>
      </c>
      <c r="J58" s="5" t="s">
        <v>706</v>
      </c>
      <c r="K58" s="5"/>
      <c r="L58" s="5"/>
    </row>
    <row r="59" spans="1:12" ht="25.5">
      <c r="A59" s="5" t="s">
        <v>11444</v>
      </c>
      <c r="B59" s="5" t="s">
        <v>11445</v>
      </c>
      <c r="C59" s="5">
        <v>55</v>
      </c>
      <c r="D59" s="5" t="s">
        <v>708</v>
      </c>
      <c r="E59" s="5" t="s">
        <v>709</v>
      </c>
      <c r="F59" s="5" t="s">
        <v>708</v>
      </c>
      <c r="G59" s="5" t="s">
        <v>709</v>
      </c>
      <c r="H59" s="5" t="s">
        <v>11446</v>
      </c>
      <c r="I59" s="5" t="s">
        <v>11447</v>
      </c>
      <c r="J59" s="5" t="s">
        <v>717</v>
      </c>
      <c r="K59" s="5"/>
      <c r="L59" s="5"/>
    </row>
    <row r="60" spans="1:12">
      <c r="A60" s="5" t="s">
        <v>11444</v>
      </c>
      <c r="B60" s="5" t="s">
        <v>11445</v>
      </c>
      <c r="C60" s="5">
        <v>56</v>
      </c>
      <c r="D60" s="5" t="s">
        <v>719</v>
      </c>
      <c r="E60" s="5" t="s">
        <v>720</v>
      </c>
      <c r="F60" s="5" t="s">
        <v>719</v>
      </c>
      <c r="G60" s="5" t="s">
        <v>720</v>
      </c>
      <c r="H60" s="5" t="s">
        <v>11446</v>
      </c>
      <c r="I60" s="5" t="s">
        <v>11447</v>
      </c>
      <c r="J60" s="5" t="s">
        <v>725</v>
      </c>
      <c r="K60" s="5"/>
      <c r="L60" s="5"/>
    </row>
    <row r="61" spans="1:12">
      <c r="A61" s="5" t="s">
        <v>11444</v>
      </c>
      <c r="B61" s="5" t="s">
        <v>11445</v>
      </c>
      <c r="C61" s="5">
        <v>57</v>
      </c>
      <c r="D61" s="5" t="s">
        <v>727</v>
      </c>
      <c r="E61" s="5" t="s">
        <v>728</v>
      </c>
      <c r="F61" s="5" t="s">
        <v>727</v>
      </c>
      <c r="G61" s="5" t="s">
        <v>728</v>
      </c>
      <c r="H61" s="5" t="s">
        <v>11446</v>
      </c>
      <c r="I61" s="5" t="s">
        <v>11447</v>
      </c>
      <c r="J61" s="5" t="s">
        <v>735</v>
      </c>
      <c r="K61" s="5"/>
      <c r="L61" s="5"/>
    </row>
    <row r="62" spans="1:12" ht="25.5">
      <c r="A62" s="5" t="s">
        <v>11444</v>
      </c>
      <c r="B62" s="5" t="s">
        <v>11445</v>
      </c>
      <c r="C62" s="5">
        <v>58</v>
      </c>
      <c r="D62" s="5" t="s">
        <v>737</v>
      </c>
      <c r="E62" s="5" t="s">
        <v>738</v>
      </c>
      <c r="F62" s="5" t="s">
        <v>737</v>
      </c>
      <c r="G62" s="5" t="s">
        <v>738</v>
      </c>
      <c r="H62" s="5" t="s">
        <v>11446</v>
      </c>
      <c r="I62" s="5" t="s">
        <v>11447</v>
      </c>
      <c r="J62" s="5" t="s">
        <v>11483</v>
      </c>
      <c r="K62" s="5"/>
      <c r="L62" s="5"/>
    </row>
    <row r="63" spans="1:12">
      <c r="A63" s="5" t="s">
        <v>11444</v>
      </c>
      <c r="B63" s="5" t="s">
        <v>11445</v>
      </c>
      <c r="C63" s="5">
        <v>59</v>
      </c>
      <c r="D63" s="5" t="s">
        <v>749</v>
      </c>
      <c r="E63" s="5" t="s">
        <v>750</v>
      </c>
      <c r="F63" s="5" t="s">
        <v>749</v>
      </c>
      <c r="G63" s="5" t="s">
        <v>750</v>
      </c>
      <c r="H63" s="5" t="s">
        <v>11446</v>
      </c>
      <c r="I63" s="5" t="s">
        <v>11447</v>
      </c>
      <c r="J63" s="5" t="s">
        <v>757</v>
      </c>
      <c r="K63" s="5"/>
      <c r="L63" s="5"/>
    </row>
    <row r="64" spans="1:12" ht="38.25">
      <c r="A64" s="5" t="s">
        <v>11444</v>
      </c>
      <c r="B64" s="5" t="s">
        <v>11445</v>
      </c>
      <c r="C64" s="5">
        <v>60</v>
      </c>
      <c r="D64" s="5" t="s">
        <v>759</v>
      </c>
      <c r="E64" s="5" t="s">
        <v>760</v>
      </c>
      <c r="F64" s="5" t="s">
        <v>759</v>
      </c>
      <c r="G64" s="5" t="s">
        <v>760</v>
      </c>
      <c r="H64" s="5" t="s">
        <v>11446</v>
      </c>
      <c r="I64" s="5" t="s">
        <v>11447</v>
      </c>
      <c r="J64" s="5" t="s">
        <v>768</v>
      </c>
      <c r="K64" s="5"/>
      <c r="L64" s="5" t="s">
        <v>11484</v>
      </c>
    </row>
    <row r="65" spans="1:12" ht="38.25">
      <c r="A65" s="5" t="s">
        <v>11444</v>
      </c>
      <c r="B65" s="5" t="s">
        <v>11445</v>
      </c>
      <c r="C65" s="5">
        <v>61</v>
      </c>
      <c r="D65" s="5" t="s">
        <v>770</v>
      </c>
      <c r="E65" s="5" t="s">
        <v>771</v>
      </c>
      <c r="F65" s="5" t="s">
        <v>770</v>
      </c>
      <c r="G65" s="5" t="s">
        <v>771</v>
      </c>
      <c r="H65" s="5" t="s">
        <v>11446</v>
      </c>
      <c r="I65" s="5" t="s">
        <v>11447</v>
      </c>
      <c r="J65" s="5" t="s">
        <v>775</v>
      </c>
      <c r="K65" s="5"/>
      <c r="L65" s="5" t="s">
        <v>11484</v>
      </c>
    </row>
    <row r="66" spans="1:12" ht="25.5">
      <c r="A66" s="5" t="s">
        <v>11444</v>
      </c>
      <c r="B66" s="5" t="s">
        <v>11445</v>
      </c>
      <c r="C66" s="5">
        <v>62</v>
      </c>
      <c r="D66" s="5" t="s">
        <v>777</v>
      </c>
      <c r="E66" s="5" t="s">
        <v>778</v>
      </c>
      <c r="F66" s="5" t="s">
        <v>777</v>
      </c>
      <c r="G66" s="5" t="s">
        <v>778</v>
      </c>
      <c r="H66" s="5" t="s">
        <v>11446</v>
      </c>
      <c r="I66" s="5" t="s">
        <v>11447</v>
      </c>
      <c r="J66" s="5" t="s">
        <v>11485</v>
      </c>
      <c r="K66" s="5"/>
      <c r="L66" s="5"/>
    </row>
    <row r="67" spans="1:12" ht="38.25">
      <c r="A67" s="5" t="s">
        <v>11444</v>
      </c>
      <c r="B67" s="5" t="s">
        <v>11445</v>
      </c>
      <c r="C67" s="5">
        <v>63</v>
      </c>
      <c r="D67" s="5" t="s">
        <v>792</v>
      </c>
      <c r="E67" s="5" t="s">
        <v>793</v>
      </c>
      <c r="F67" s="5" t="s">
        <v>792</v>
      </c>
      <c r="G67" s="5" t="s">
        <v>793</v>
      </c>
      <c r="H67" s="5" t="s">
        <v>11446</v>
      </c>
      <c r="I67" s="5" t="s">
        <v>11447</v>
      </c>
      <c r="J67" s="5" t="s">
        <v>801</v>
      </c>
      <c r="K67" s="5"/>
      <c r="L67" s="5" t="s">
        <v>11486</v>
      </c>
    </row>
    <row r="68" spans="1:12">
      <c r="A68" s="5" t="s">
        <v>11444</v>
      </c>
      <c r="B68" s="5" t="s">
        <v>11445</v>
      </c>
      <c r="C68" s="5">
        <v>64</v>
      </c>
      <c r="D68" s="5" t="s">
        <v>803</v>
      </c>
      <c r="E68" s="5" t="s">
        <v>804</v>
      </c>
      <c r="F68" s="5" t="s">
        <v>803</v>
      </c>
      <c r="G68" s="5" t="s">
        <v>804</v>
      </c>
      <c r="H68" s="5" t="s">
        <v>11446</v>
      </c>
      <c r="I68" s="5" t="s">
        <v>11447</v>
      </c>
      <c r="J68" s="5" t="s">
        <v>810</v>
      </c>
      <c r="K68" s="5"/>
      <c r="L68" s="5"/>
    </row>
    <row r="69" spans="1:12" ht="25.5">
      <c r="A69" s="5" t="s">
        <v>11444</v>
      </c>
      <c r="B69" s="5" t="s">
        <v>11445</v>
      </c>
      <c r="C69" s="5">
        <v>65</v>
      </c>
      <c r="D69" s="5" t="s">
        <v>812</v>
      </c>
      <c r="E69" s="5" t="s">
        <v>813</v>
      </c>
      <c r="F69" s="5" t="s">
        <v>812</v>
      </c>
      <c r="G69" s="5" t="s">
        <v>813</v>
      </c>
      <c r="H69" s="5" t="s">
        <v>11446</v>
      </c>
      <c r="I69" s="5" t="s">
        <v>11447</v>
      </c>
      <c r="J69" s="5" t="s">
        <v>11487</v>
      </c>
      <c r="K69" s="5"/>
      <c r="L69" s="5"/>
    </row>
    <row r="70" spans="1:12">
      <c r="A70" s="5" t="s">
        <v>11444</v>
      </c>
      <c r="B70" s="5" t="s">
        <v>11445</v>
      </c>
      <c r="C70" s="5">
        <v>66</v>
      </c>
      <c r="D70" s="5" t="s">
        <v>824</v>
      </c>
      <c r="E70" s="5" t="s">
        <v>825</v>
      </c>
      <c r="F70" s="5" t="s">
        <v>824</v>
      </c>
      <c r="G70" s="5" t="s">
        <v>825</v>
      </c>
      <c r="H70" s="5" t="s">
        <v>11446</v>
      </c>
      <c r="I70" s="5" t="s">
        <v>11447</v>
      </c>
      <c r="J70" s="5" t="s">
        <v>835</v>
      </c>
      <c r="K70" s="5"/>
      <c r="L70" s="5"/>
    </row>
    <row r="71" spans="1:12" ht="25.5">
      <c r="A71" s="5" t="s">
        <v>11444</v>
      </c>
      <c r="B71" s="5" t="s">
        <v>11445</v>
      </c>
      <c r="C71" s="5">
        <v>67</v>
      </c>
      <c r="D71" s="5" t="s">
        <v>837</v>
      </c>
      <c r="E71" s="5" t="s">
        <v>838</v>
      </c>
      <c r="F71" s="5" t="s">
        <v>837</v>
      </c>
      <c r="G71" s="5" t="s">
        <v>838</v>
      </c>
      <c r="H71" s="5" t="s">
        <v>11446</v>
      </c>
      <c r="I71" s="5" t="s">
        <v>11447</v>
      </c>
      <c r="J71" s="5" t="s">
        <v>845</v>
      </c>
      <c r="K71" s="5"/>
      <c r="L71" s="5"/>
    </row>
    <row r="72" spans="1:12">
      <c r="A72" s="5" t="s">
        <v>11444</v>
      </c>
      <c r="B72" s="5" t="s">
        <v>11445</v>
      </c>
      <c r="C72" s="5">
        <v>68</v>
      </c>
      <c r="D72" s="5" t="s">
        <v>847</v>
      </c>
      <c r="E72" s="5" t="s">
        <v>848</v>
      </c>
      <c r="F72" s="5" t="s">
        <v>847</v>
      </c>
      <c r="G72" s="5" t="s">
        <v>848</v>
      </c>
      <c r="H72" s="5" t="s">
        <v>11446</v>
      </c>
      <c r="I72" s="5" t="s">
        <v>11447</v>
      </c>
      <c r="J72" s="5" t="s">
        <v>856</v>
      </c>
      <c r="K72" s="5"/>
      <c r="L72" s="5"/>
    </row>
    <row r="73" spans="1:12">
      <c r="A73" s="5" t="s">
        <v>11444</v>
      </c>
      <c r="B73" s="5" t="s">
        <v>11445</v>
      </c>
      <c r="C73" s="5">
        <v>69</v>
      </c>
      <c r="D73" s="5" t="s">
        <v>858</v>
      </c>
      <c r="E73" s="5" t="s">
        <v>859</v>
      </c>
      <c r="F73" s="5" t="s">
        <v>858</v>
      </c>
      <c r="G73" s="5" t="s">
        <v>859</v>
      </c>
      <c r="H73" s="5" t="s">
        <v>11446</v>
      </c>
      <c r="I73" s="5" t="s">
        <v>11447</v>
      </c>
      <c r="J73" s="5" t="s">
        <v>863</v>
      </c>
      <c r="K73" s="5"/>
      <c r="L73" s="5"/>
    </row>
    <row r="74" spans="1:12" ht="25.5">
      <c r="A74" s="5" t="s">
        <v>11444</v>
      </c>
      <c r="B74" s="5" t="s">
        <v>11445</v>
      </c>
      <c r="C74" s="5">
        <v>70</v>
      </c>
      <c r="D74" s="5" t="s">
        <v>865</v>
      </c>
      <c r="E74" s="5" t="s">
        <v>866</v>
      </c>
      <c r="F74" s="5" t="s">
        <v>865</v>
      </c>
      <c r="G74" s="5" t="s">
        <v>866</v>
      </c>
      <c r="H74" s="5" t="s">
        <v>11446</v>
      </c>
      <c r="I74" s="5" t="s">
        <v>11447</v>
      </c>
      <c r="J74" s="5" t="s">
        <v>11488</v>
      </c>
      <c r="K74" s="5"/>
      <c r="L74" s="5"/>
    </row>
    <row r="75" spans="1:12" ht="25.5">
      <c r="A75" s="5" t="s">
        <v>11444</v>
      </c>
      <c r="B75" s="5" t="s">
        <v>11445</v>
      </c>
      <c r="C75" s="5">
        <v>71</v>
      </c>
      <c r="D75" s="5" t="s">
        <v>876</v>
      </c>
      <c r="E75" s="5" t="s">
        <v>877</v>
      </c>
      <c r="F75" s="5" t="s">
        <v>876</v>
      </c>
      <c r="G75" s="5" t="s">
        <v>877</v>
      </c>
      <c r="H75" s="5" t="s">
        <v>11446</v>
      </c>
      <c r="I75" s="5" t="s">
        <v>11447</v>
      </c>
      <c r="J75" s="5" t="s">
        <v>881</v>
      </c>
      <c r="K75" s="5"/>
      <c r="L75" s="5"/>
    </row>
    <row r="76" spans="1:12" ht="25.5">
      <c r="A76" s="5" t="s">
        <v>11444</v>
      </c>
      <c r="B76" s="5" t="s">
        <v>11445</v>
      </c>
      <c r="C76" s="5">
        <v>72</v>
      </c>
      <c r="D76" s="5" t="s">
        <v>883</v>
      </c>
      <c r="E76" s="5" t="s">
        <v>884</v>
      </c>
      <c r="F76" s="5" t="s">
        <v>883</v>
      </c>
      <c r="G76" s="5" t="s">
        <v>884</v>
      </c>
      <c r="H76" s="5" t="s">
        <v>11446</v>
      </c>
      <c r="I76" s="5" t="s">
        <v>11447</v>
      </c>
      <c r="J76" s="5" t="s">
        <v>11489</v>
      </c>
      <c r="K76" s="5"/>
      <c r="L76" s="5"/>
    </row>
    <row r="77" spans="1:12" ht="51">
      <c r="A77" s="5" t="s">
        <v>11444</v>
      </c>
      <c r="B77" s="5" t="s">
        <v>11445</v>
      </c>
      <c r="C77" s="5">
        <v>73</v>
      </c>
      <c r="D77" s="5" t="s">
        <v>894</v>
      </c>
      <c r="E77" s="5" t="s">
        <v>11490</v>
      </c>
      <c r="F77" s="5" t="s">
        <v>894</v>
      </c>
      <c r="G77" s="5" t="s">
        <v>895</v>
      </c>
      <c r="H77" s="5" t="s">
        <v>11446</v>
      </c>
      <c r="I77" s="5" t="s">
        <v>11447</v>
      </c>
      <c r="J77" s="5" t="s">
        <v>11491</v>
      </c>
      <c r="K77" s="5"/>
      <c r="L77" s="5" t="s">
        <v>11492</v>
      </c>
    </row>
    <row r="78" spans="1:12">
      <c r="A78" s="5" t="s">
        <v>11444</v>
      </c>
      <c r="B78" s="5" t="s">
        <v>11445</v>
      </c>
      <c r="C78" s="5">
        <v>74</v>
      </c>
      <c r="D78" s="5" t="s">
        <v>909</v>
      </c>
      <c r="E78" s="5" t="s">
        <v>910</v>
      </c>
      <c r="F78" s="5" t="s">
        <v>909</v>
      </c>
      <c r="G78" s="5" t="s">
        <v>910</v>
      </c>
      <c r="H78" s="5" t="s">
        <v>11446</v>
      </c>
      <c r="I78" s="5" t="s">
        <v>11447</v>
      </c>
      <c r="J78" s="5" t="s">
        <v>918</v>
      </c>
      <c r="K78" s="5"/>
      <c r="L78" s="5"/>
    </row>
    <row r="79" spans="1:12">
      <c r="A79" s="5" t="s">
        <v>11444</v>
      </c>
      <c r="B79" s="5" t="s">
        <v>11445</v>
      </c>
      <c r="C79" s="5">
        <v>75</v>
      </c>
      <c r="D79" s="5" t="s">
        <v>920</v>
      </c>
      <c r="E79" s="5" t="s">
        <v>921</v>
      </c>
      <c r="F79" s="5" t="s">
        <v>920</v>
      </c>
      <c r="G79" s="5" t="s">
        <v>921</v>
      </c>
      <c r="H79" s="5" t="s">
        <v>11446</v>
      </c>
      <c r="I79" s="5" t="s">
        <v>11447</v>
      </c>
      <c r="J79" s="5" t="s">
        <v>928</v>
      </c>
      <c r="K79" s="5"/>
      <c r="L79" s="5"/>
    </row>
    <row r="80" spans="1:12">
      <c r="A80" s="5" t="s">
        <v>11444</v>
      </c>
      <c r="B80" s="5" t="s">
        <v>11445</v>
      </c>
      <c r="C80" s="5">
        <v>76</v>
      </c>
      <c r="D80" s="5" t="s">
        <v>930</v>
      </c>
      <c r="E80" s="5" t="s">
        <v>931</v>
      </c>
      <c r="F80" s="5" t="s">
        <v>930</v>
      </c>
      <c r="G80" s="5" t="s">
        <v>931</v>
      </c>
      <c r="H80" s="5" t="s">
        <v>11446</v>
      </c>
      <c r="I80" s="5" t="s">
        <v>11447</v>
      </c>
      <c r="J80" s="5" t="s">
        <v>938</v>
      </c>
      <c r="K80" s="5"/>
      <c r="L80" s="5"/>
    </row>
    <row r="81" spans="1:12">
      <c r="A81" s="5" t="s">
        <v>11444</v>
      </c>
      <c r="B81" s="5" t="s">
        <v>11445</v>
      </c>
      <c r="C81" s="5">
        <v>77</v>
      </c>
      <c r="D81" s="5" t="s">
        <v>940</v>
      </c>
      <c r="E81" s="5" t="s">
        <v>941</v>
      </c>
      <c r="F81" s="5" t="s">
        <v>940</v>
      </c>
      <c r="G81" s="5" t="s">
        <v>941</v>
      </c>
      <c r="H81" s="5" t="s">
        <v>11446</v>
      </c>
      <c r="I81" s="5" t="s">
        <v>11447</v>
      </c>
      <c r="J81" s="5" t="s">
        <v>945</v>
      </c>
      <c r="K81" s="5"/>
      <c r="L81" s="5"/>
    </row>
    <row r="82" spans="1:12">
      <c r="A82" s="5" t="s">
        <v>11444</v>
      </c>
      <c r="B82" s="5" t="s">
        <v>11445</v>
      </c>
      <c r="C82" s="5">
        <v>78</v>
      </c>
      <c r="D82" s="5" t="s">
        <v>947</v>
      </c>
      <c r="E82" s="5" t="s">
        <v>948</v>
      </c>
      <c r="F82" s="5" t="s">
        <v>947</v>
      </c>
      <c r="G82" s="5" t="s">
        <v>948</v>
      </c>
      <c r="H82" s="5" t="s">
        <v>11446</v>
      </c>
      <c r="I82" s="5" t="s">
        <v>11447</v>
      </c>
      <c r="J82" s="5" t="s">
        <v>956</v>
      </c>
      <c r="K82" s="5"/>
      <c r="L82" s="5"/>
    </row>
    <row r="83" spans="1:12" ht="25.5">
      <c r="A83" s="5" t="s">
        <v>11444</v>
      </c>
      <c r="B83" s="5" t="s">
        <v>11445</v>
      </c>
      <c r="C83" s="5">
        <v>79</v>
      </c>
      <c r="D83" s="5" t="s">
        <v>958</v>
      </c>
      <c r="E83" s="5" t="s">
        <v>959</v>
      </c>
      <c r="F83" s="5" t="s">
        <v>958</v>
      </c>
      <c r="G83" s="5" t="s">
        <v>959</v>
      </c>
      <c r="H83" s="5" t="s">
        <v>11446</v>
      </c>
      <c r="I83" s="5" t="s">
        <v>11447</v>
      </c>
      <c r="J83" s="5" t="s">
        <v>967</v>
      </c>
      <c r="K83" s="5"/>
      <c r="L83" s="5"/>
    </row>
    <row r="84" spans="1:12" ht="76.5">
      <c r="A84" s="5" t="s">
        <v>11444</v>
      </c>
      <c r="B84" s="5" t="s">
        <v>11445</v>
      </c>
      <c r="C84" s="5">
        <v>80</v>
      </c>
      <c r="D84" s="5" t="s">
        <v>969</v>
      </c>
      <c r="E84" s="5" t="s">
        <v>970</v>
      </c>
      <c r="F84" s="5" t="s">
        <v>969</v>
      </c>
      <c r="G84" s="5" t="s">
        <v>970</v>
      </c>
      <c r="H84" s="5" t="s">
        <v>11446</v>
      </c>
      <c r="I84" s="5" t="s">
        <v>11447</v>
      </c>
      <c r="J84" s="5" t="s">
        <v>11493</v>
      </c>
      <c r="K84" s="5"/>
      <c r="L84" s="5" t="s">
        <v>11478</v>
      </c>
    </row>
    <row r="85" spans="1:12">
      <c r="A85" s="5" t="s">
        <v>11444</v>
      </c>
      <c r="B85" s="5" t="s">
        <v>11445</v>
      </c>
      <c r="C85" s="5">
        <v>81</v>
      </c>
      <c r="D85" s="5" t="s">
        <v>982</v>
      </c>
      <c r="E85" s="5" t="s">
        <v>983</v>
      </c>
      <c r="F85" s="5" t="s">
        <v>982</v>
      </c>
      <c r="G85" s="5" t="s">
        <v>983</v>
      </c>
      <c r="H85" s="5" t="s">
        <v>11446</v>
      </c>
      <c r="I85" s="5" t="s">
        <v>11447</v>
      </c>
      <c r="J85" s="5" t="s">
        <v>11494</v>
      </c>
      <c r="K85" s="5"/>
      <c r="L85" s="5"/>
    </row>
    <row r="86" spans="1:12">
      <c r="A86" s="5" t="s">
        <v>11444</v>
      </c>
      <c r="B86" s="5" t="s">
        <v>11445</v>
      </c>
      <c r="C86" s="5">
        <v>82</v>
      </c>
      <c r="D86" s="5" t="s">
        <v>995</v>
      </c>
      <c r="E86" s="5" t="s">
        <v>996</v>
      </c>
      <c r="F86" s="5" t="s">
        <v>995</v>
      </c>
      <c r="G86" s="5" t="s">
        <v>996</v>
      </c>
      <c r="H86" s="5" t="s">
        <v>11446</v>
      </c>
      <c r="I86" s="5" t="s">
        <v>11447</v>
      </c>
      <c r="J86" s="5" t="s">
        <v>998</v>
      </c>
      <c r="K86" s="5"/>
      <c r="L86" s="5"/>
    </row>
    <row r="87" spans="1:12">
      <c r="A87" s="5" t="s">
        <v>11444</v>
      </c>
      <c r="B87" s="5" t="s">
        <v>11445</v>
      </c>
      <c r="C87" s="5">
        <v>83</v>
      </c>
      <c r="D87" s="5" t="s">
        <v>1000</v>
      </c>
      <c r="E87" s="5" t="s">
        <v>1001</v>
      </c>
      <c r="F87" s="5" t="s">
        <v>1000</v>
      </c>
      <c r="G87" s="5" t="s">
        <v>1001</v>
      </c>
      <c r="H87" s="5" t="s">
        <v>11446</v>
      </c>
      <c r="I87" s="5" t="s">
        <v>11447</v>
      </c>
      <c r="J87" s="5" t="s">
        <v>1007</v>
      </c>
      <c r="K87" s="5"/>
      <c r="L87" s="5"/>
    </row>
    <row r="88" spans="1:12" ht="25.5">
      <c r="A88" s="5" t="s">
        <v>11444</v>
      </c>
      <c r="B88" s="5" t="s">
        <v>11445</v>
      </c>
      <c r="C88" s="5">
        <v>84</v>
      </c>
      <c r="D88" s="5" t="s">
        <v>1009</v>
      </c>
      <c r="E88" s="5" t="s">
        <v>1010</v>
      </c>
      <c r="F88" s="5" t="s">
        <v>1009</v>
      </c>
      <c r="G88" s="5" t="s">
        <v>1010</v>
      </c>
      <c r="H88" s="5" t="s">
        <v>11446</v>
      </c>
      <c r="I88" s="5" t="s">
        <v>11447</v>
      </c>
      <c r="J88" s="5" t="s">
        <v>1018</v>
      </c>
      <c r="K88" s="5"/>
      <c r="L88" s="5"/>
    </row>
    <row r="89" spans="1:12" ht="38.25">
      <c r="A89" s="5" t="s">
        <v>11444</v>
      </c>
      <c r="B89" s="5" t="s">
        <v>11445</v>
      </c>
      <c r="C89" s="5">
        <v>85</v>
      </c>
      <c r="D89" s="5" t="s">
        <v>18</v>
      </c>
      <c r="E89" s="5" t="s">
        <v>1020</v>
      </c>
      <c r="F89" s="5" t="s">
        <v>18</v>
      </c>
      <c r="G89" s="5" t="s">
        <v>1020</v>
      </c>
      <c r="H89" s="5" t="s">
        <v>11446</v>
      </c>
      <c r="I89" s="5" t="s">
        <v>11447</v>
      </c>
      <c r="J89" s="5" t="s">
        <v>11495</v>
      </c>
      <c r="K89" s="5"/>
      <c r="L89" s="5"/>
    </row>
    <row r="90" spans="1:12">
      <c r="A90" s="5" t="s">
        <v>11444</v>
      </c>
      <c r="B90" s="5" t="s">
        <v>11445</v>
      </c>
      <c r="C90" s="5">
        <v>86</v>
      </c>
      <c r="D90" s="5" t="s">
        <v>1033</v>
      </c>
      <c r="E90" s="5" t="s">
        <v>1034</v>
      </c>
      <c r="F90" s="5" t="s">
        <v>1033</v>
      </c>
      <c r="G90" s="5" t="s">
        <v>1034</v>
      </c>
      <c r="H90" s="5" t="s">
        <v>11446</v>
      </c>
      <c r="I90" s="5" t="s">
        <v>11447</v>
      </c>
      <c r="J90" s="5" t="s">
        <v>1041</v>
      </c>
      <c r="K90" s="5"/>
      <c r="L90" s="5"/>
    </row>
    <row r="91" spans="1:12" ht="25.5">
      <c r="A91" s="5" t="s">
        <v>11444</v>
      </c>
      <c r="B91" s="5" t="s">
        <v>11445</v>
      </c>
      <c r="C91" s="5">
        <v>87</v>
      </c>
      <c r="D91" s="5" t="s">
        <v>1043</v>
      </c>
      <c r="E91" s="5" t="s">
        <v>1044</v>
      </c>
      <c r="F91" s="5" t="s">
        <v>1043</v>
      </c>
      <c r="G91" s="5" t="s">
        <v>1044</v>
      </c>
      <c r="H91" s="5" t="s">
        <v>11446</v>
      </c>
      <c r="I91" s="5" t="s">
        <v>11447</v>
      </c>
      <c r="J91" s="5" t="s">
        <v>1051</v>
      </c>
      <c r="K91" s="5"/>
      <c r="L91" s="5"/>
    </row>
    <row r="92" spans="1:12">
      <c r="A92" s="5" t="s">
        <v>11444</v>
      </c>
      <c r="B92" s="5" t="s">
        <v>11445</v>
      </c>
      <c r="C92" s="5">
        <v>88</v>
      </c>
      <c r="D92" s="5" t="s">
        <v>1053</v>
      </c>
      <c r="E92" s="5" t="s">
        <v>1054</v>
      </c>
      <c r="F92" s="5" t="s">
        <v>1053</v>
      </c>
      <c r="G92" s="5" t="s">
        <v>1054</v>
      </c>
      <c r="H92" s="5" t="s">
        <v>11446</v>
      </c>
      <c r="I92" s="5" t="s">
        <v>11447</v>
      </c>
      <c r="J92" s="5" t="s">
        <v>1066</v>
      </c>
      <c r="K92" s="5"/>
      <c r="L92" s="5"/>
    </row>
    <row r="93" spans="1:12">
      <c r="A93" s="5" t="s">
        <v>11444</v>
      </c>
      <c r="B93" s="5" t="s">
        <v>11445</v>
      </c>
      <c r="C93" s="5">
        <v>89</v>
      </c>
      <c r="D93" s="5" t="s">
        <v>1068</v>
      </c>
      <c r="E93" s="5" t="s">
        <v>1069</v>
      </c>
      <c r="F93" s="5" t="s">
        <v>1068</v>
      </c>
      <c r="G93" s="5" t="s">
        <v>1069</v>
      </c>
      <c r="H93" s="5" t="s">
        <v>11446</v>
      </c>
      <c r="I93" s="5" t="s">
        <v>11447</v>
      </c>
      <c r="J93" s="5" t="s">
        <v>11496</v>
      </c>
      <c r="K93" s="5"/>
      <c r="L93" s="5"/>
    </row>
    <row r="94" spans="1:12">
      <c r="A94" s="5" t="s">
        <v>11444</v>
      </c>
      <c r="B94" s="5" t="s">
        <v>11445</v>
      </c>
      <c r="C94" s="5">
        <v>90</v>
      </c>
      <c r="D94" s="5" t="s">
        <v>1081</v>
      </c>
      <c r="E94" s="5" t="s">
        <v>1082</v>
      </c>
      <c r="F94" s="5" t="s">
        <v>1081</v>
      </c>
      <c r="G94" s="5" t="s">
        <v>1082</v>
      </c>
      <c r="H94" s="5" t="s">
        <v>11446</v>
      </c>
      <c r="I94" s="5" t="s">
        <v>11447</v>
      </c>
      <c r="J94" s="5" t="s">
        <v>1088</v>
      </c>
      <c r="K94" s="5"/>
      <c r="L94" s="5"/>
    </row>
    <row r="95" spans="1:12" ht="51">
      <c r="A95" s="5" t="s">
        <v>11444</v>
      </c>
      <c r="B95" s="5" t="s">
        <v>11445</v>
      </c>
      <c r="C95" s="5">
        <v>91</v>
      </c>
      <c r="D95" s="5" t="s">
        <v>1090</v>
      </c>
      <c r="E95" s="5" t="s">
        <v>1091</v>
      </c>
      <c r="F95" s="5" t="s">
        <v>1090</v>
      </c>
      <c r="G95" s="5" t="s">
        <v>1091</v>
      </c>
      <c r="H95" s="5" t="s">
        <v>11446</v>
      </c>
      <c r="I95" s="5" t="s">
        <v>11447</v>
      </c>
      <c r="J95" s="5" t="s">
        <v>11497</v>
      </c>
      <c r="K95" s="5"/>
      <c r="L95" s="5" t="s">
        <v>11449</v>
      </c>
    </row>
    <row r="96" spans="1:12">
      <c r="A96" s="5" t="s">
        <v>11444</v>
      </c>
      <c r="B96" s="5" t="s">
        <v>11445</v>
      </c>
      <c r="C96" s="5">
        <v>92</v>
      </c>
      <c r="D96" s="5" t="s">
        <v>1105</v>
      </c>
      <c r="E96" s="5" t="s">
        <v>1106</v>
      </c>
      <c r="F96" s="5" t="s">
        <v>1105</v>
      </c>
      <c r="G96" s="5" t="s">
        <v>1106</v>
      </c>
      <c r="H96" s="5" t="s">
        <v>11446</v>
      </c>
      <c r="I96" s="5" t="s">
        <v>11447</v>
      </c>
      <c r="J96" s="5" t="s">
        <v>1112</v>
      </c>
      <c r="K96" s="5"/>
      <c r="L96" s="5"/>
    </row>
    <row r="97" spans="1:12" ht="38.25">
      <c r="A97" s="5" t="s">
        <v>11444</v>
      </c>
      <c r="B97" s="5" t="s">
        <v>11445</v>
      </c>
      <c r="C97" s="5">
        <v>93</v>
      </c>
      <c r="D97" s="5" t="s">
        <v>1114</v>
      </c>
      <c r="E97" s="5" t="s">
        <v>1115</v>
      </c>
      <c r="F97" s="5" t="s">
        <v>1114</v>
      </c>
      <c r="G97" s="5" t="s">
        <v>1115</v>
      </c>
      <c r="H97" s="5" t="s">
        <v>11446</v>
      </c>
      <c r="I97" s="5" t="s">
        <v>11447</v>
      </c>
      <c r="J97" s="5" t="s">
        <v>1125</v>
      </c>
      <c r="K97" s="5"/>
      <c r="L97" s="5" t="s">
        <v>11498</v>
      </c>
    </row>
    <row r="98" spans="1:12" ht="63.75">
      <c r="A98" s="5" t="s">
        <v>11444</v>
      </c>
      <c r="B98" s="5" t="s">
        <v>11445</v>
      </c>
      <c r="C98" s="5">
        <v>94</v>
      </c>
      <c r="D98" s="5" t="s">
        <v>1127</v>
      </c>
      <c r="E98" s="5" t="s">
        <v>1128</v>
      </c>
      <c r="F98" s="5" t="s">
        <v>1127</v>
      </c>
      <c r="G98" s="5" t="s">
        <v>1128</v>
      </c>
      <c r="H98" s="5" t="s">
        <v>11446</v>
      </c>
      <c r="I98" s="5" t="s">
        <v>11447</v>
      </c>
      <c r="J98" s="5" t="s">
        <v>11499</v>
      </c>
      <c r="K98" s="5"/>
      <c r="L98" s="5" t="s">
        <v>11500</v>
      </c>
    </row>
    <row r="99" spans="1:12" ht="63.75">
      <c r="A99" s="5" t="s">
        <v>11444</v>
      </c>
      <c r="B99" s="5" t="s">
        <v>11445</v>
      </c>
      <c r="C99" s="5">
        <v>95</v>
      </c>
      <c r="D99" s="5" t="s">
        <v>1139</v>
      </c>
      <c r="E99" s="5" t="s">
        <v>1140</v>
      </c>
      <c r="F99" s="5" t="s">
        <v>1139</v>
      </c>
      <c r="G99" s="5" t="s">
        <v>1140</v>
      </c>
      <c r="H99" s="5" t="s">
        <v>11446</v>
      </c>
      <c r="I99" s="5" t="s">
        <v>11447</v>
      </c>
      <c r="J99" s="5" t="s">
        <v>1145</v>
      </c>
      <c r="K99" s="5"/>
      <c r="L99" s="5" t="s">
        <v>11500</v>
      </c>
    </row>
    <row r="100" spans="1:12" ht="51">
      <c r="A100" s="5" t="s">
        <v>11444</v>
      </c>
      <c r="B100" s="5" t="s">
        <v>11445</v>
      </c>
      <c r="C100" s="5">
        <v>96</v>
      </c>
      <c r="D100" s="5" t="s">
        <v>1147</v>
      </c>
      <c r="E100" s="5" t="s">
        <v>1148</v>
      </c>
      <c r="F100" s="5" t="s">
        <v>1147</v>
      </c>
      <c r="G100" s="5" t="s">
        <v>1148</v>
      </c>
      <c r="H100" s="5" t="s">
        <v>11446</v>
      </c>
      <c r="I100" s="5" t="s">
        <v>11447</v>
      </c>
      <c r="J100" s="5" t="s">
        <v>1156</v>
      </c>
      <c r="K100" s="5"/>
      <c r="L100" s="5" t="s">
        <v>11492</v>
      </c>
    </row>
    <row r="101" spans="1:12">
      <c r="A101" s="5" t="s">
        <v>11444</v>
      </c>
      <c r="B101" s="5" t="s">
        <v>11445</v>
      </c>
      <c r="C101" s="5">
        <v>97</v>
      </c>
      <c r="D101" s="5" t="s">
        <v>39</v>
      </c>
      <c r="E101" s="5" t="s">
        <v>1158</v>
      </c>
      <c r="F101" s="5" t="s">
        <v>39</v>
      </c>
      <c r="G101" s="5" t="s">
        <v>1158</v>
      </c>
      <c r="H101" s="5" t="s">
        <v>11446</v>
      </c>
      <c r="I101" s="5" t="s">
        <v>11447</v>
      </c>
      <c r="J101" s="5" t="s">
        <v>11501</v>
      </c>
      <c r="K101" s="5"/>
      <c r="L101" s="5"/>
    </row>
    <row r="102" spans="1:12" ht="25.5">
      <c r="A102" s="5" t="s">
        <v>11444</v>
      </c>
      <c r="B102" s="5" t="s">
        <v>11445</v>
      </c>
      <c r="C102" s="5">
        <v>98</v>
      </c>
      <c r="D102" s="5" t="s">
        <v>1169</v>
      </c>
      <c r="E102" s="5" t="s">
        <v>1170</v>
      </c>
      <c r="F102" s="5" t="s">
        <v>1169</v>
      </c>
      <c r="G102" s="5" t="s">
        <v>1170</v>
      </c>
      <c r="H102" s="5" t="s">
        <v>11446</v>
      </c>
      <c r="I102" s="5" t="s">
        <v>11447</v>
      </c>
      <c r="J102" s="5" t="s">
        <v>11502</v>
      </c>
      <c r="K102" s="5"/>
      <c r="L102" s="5"/>
    </row>
    <row r="103" spans="1:12">
      <c r="A103" s="5" t="s">
        <v>11444</v>
      </c>
      <c r="B103" s="5" t="s">
        <v>11445</v>
      </c>
      <c r="C103" s="5">
        <v>99</v>
      </c>
      <c r="D103" s="5" t="s">
        <v>1184</v>
      </c>
      <c r="E103" s="5" t="s">
        <v>1185</v>
      </c>
      <c r="F103" s="5" t="s">
        <v>1184</v>
      </c>
      <c r="G103" s="5" t="s">
        <v>1185</v>
      </c>
      <c r="H103" s="5" t="s">
        <v>11446</v>
      </c>
      <c r="I103" s="5" t="s">
        <v>11447</v>
      </c>
      <c r="J103" s="5" t="s">
        <v>1190</v>
      </c>
      <c r="K103" s="5"/>
      <c r="L103" s="5"/>
    </row>
    <row r="104" spans="1:12" ht="51">
      <c r="A104" s="5" t="s">
        <v>11444</v>
      </c>
      <c r="B104" s="5" t="s">
        <v>11445</v>
      </c>
      <c r="C104" s="5">
        <v>100</v>
      </c>
      <c r="D104" s="5" t="s">
        <v>1192</v>
      </c>
      <c r="E104" s="5" t="s">
        <v>1193</v>
      </c>
      <c r="F104" s="5" t="s">
        <v>1192</v>
      </c>
      <c r="G104" s="5" t="s">
        <v>1193</v>
      </c>
      <c r="H104" s="5" t="s">
        <v>11446</v>
      </c>
      <c r="I104" s="5" t="s">
        <v>11447</v>
      </c>
      <c r="J104" s="5" t="s">
        <v>1202</v>
      </c>
      <c r="K104" s="5"/>
      <c r="L104" s="5" t="s">
        <v>11492</v>
      </c>
    </row>
    <row r="105" spans="1:12">
      <c r="A105" s="5" t="s">
        <v>11444</v>
      </c>
      <c r="B105" s="5" t="s">
        <v>11445</v>
      </c>
      <c r="C105" s="5">
        <v>101</v>
      </c>
      <c r="D105" s="5" t="s">
        <v>1204</v>
      </c>
      <c r="E105" s="5" t="s">
        <v>11503</v>
      </c>
      <c r="F105" s="5" t="s">
        <v>1204</v>
      </c>
      <c r="G105" s="5" t="s">
        <v>1205</v>
      </c>
      <c r="H105" s="5" t="s">
        <v>11446</v>
      </c>
      <c r="I105" s="5" t="s">
        <v>11447</v>
      </c>
      <c r="J105" s="5" t="s">
        <v>11504</v>
      </c>
      <c r="K105" s="5"/>
      <c r="L105" s="5"/>
    </row>
    <row r="106" spans="1:12">
      <c r="A106" s="5" t="s">
        <v>11444</v>
      </c>
      <c r="B106" s="5" t="s">
        <v>11445</v>
      </c>
      <c r="C106" s="5">
        <v>102</v>
      </c>
      <c r="D106" s="5" t="s">
        <v>1221</v>
      </c>
      <c r="E106" s="5" t="s">
        <v>1222</v>
      </c>
      <c r="F106" s="5" t="s">
        <v>1221</v>
      </c>
      <c r="G106" s="5" t="s">
        <v>1222</v>
      </c>
      <c r="H106" s="5" t="s">
        <v>11446</v>
      </c>
      <c r="I106" s="5" t="s">
        <v>11447</v>
      </c>
      <c r="J106" s="5" t="s">
        <v>1230</v>
      </c>
      <c r="K106" s="5"/>
      <c r="L106" s="5"/>
    </row>
    <row r="107" spans="1:12" ht="25.5">
      <c r="A107" s="5" t="s">
        <v>11444</v>
      </c>
      <c r="B107" s="5" t="s">
        <v>11445</v>
      </c>
      <c r="C107" s="5">
        <v>103</v>
      </c>
      <c r="D107" s="5" t="s">
        <v>1232</v>
      </c>
      <c r="E107" s="5" t="s">
        <v>1233</v>
      </c>
      <c r="F107" s="5" t="s">
        <v>1232</v>
      </c>
      <c r="G107" s="5" t="s">
        <v>1233</v>
      </c>
      <c r="H107" s="5" t="s">
        <v>11446</v>
      </c>
      <c r="I107" s="5" t="s">
        <v>11447</v>
      </c>
      <c r="J107" s="5" t="s">
        <v>11505</v>
      </c>
      <c r="K107" s="5"/>
      <c r="L107" s="5"/>
    </row>
    <row r="108" spans="1:12">
      <c r="A108" s="5" t="s">
        <v>11444</v>
      </c>
      <c r="B108" s="5" t="s">
        <v>11445</v>
      </c>
      <c r="C108" s="5">
        <v>104</v>
      </c>
      <c r="D108" s="5" t="s">
        <v>1244</v>
      </c>
      <c r="E108" s="5" t="s">
        <v>1245</v>
      </c>
      <c r="F108" s="5" t="s">
        <v>1244</v>
      </c>
      <c r="G108" s="5" t="s">
        <v>1245</v>
      </c>
      <c r="H108" s="5" t="s">
        <v>11446</v>
      </c>
      <c r="I108" s="5" t="s">
        <v>11447</v>
      </c>
      <c r="J108" s="5" t="s">
        <v>1248</v>
      </c>
      <c r="K108" s="5"/>
      <c r="L108" s="5"/>
    </row>
    <row r="109" spans="1:12" ht="51">
      <c r="A109" s="5" t="s">
        <v>11444</v>
      </c>
      <c r="B109" s="5" t="s">
        <v>11445</v>
      </c>
      <c r="C109" s="5">
        <v>105</v>
      </c>
      <c r="D109" s="5" t="s">
        <v>1250</v>
      </c>
      <c r="E109" s="5" t="s">
        <v>1251</v>
      </c>
      <c r="F109" s="5" t="s">
        <v>1250</v>
      </c>
      <c r="G109" s="5" t="s">
        <v>1251</v>
      </c>
      <c r="H109" s="5" t="s">
        <v>11446</v>
      </c>
      <c r="I109" s="5" t="s">
        <v>11447</v>
      </c>
      <c r="J109" s="5" t="s">
        <v>11506</v>
      </c>
      <c r="K109" s="5"/>
      <c r="L109" s="5" t="s">
        <v>11492</v>
      </c>
    </row>
    <row r="110" spans="1:12" ht="51">
      <c r="A110" s="5" t="s">
        <v>11444</v>
      </c>
      <c r="B110" s="5" t="s">
        <v>11445</v>
      </c>
      <c r="C110" s="5">
        <v>106</v>
      </c>
      <c r="D110" s="5" t="s">
        <v>1261</v>
      </c>
      <c r="E110" s="5" t="s">
        <v>1262</v>
      </c>
      <c r="F110" s="5" t="s">
        <v>1261</v>
      </c>
      <c r="G110" s="5" t="s">
        <v>1262</v>
      </c>
      <c r="H110" s="5" t="s">
        <v>11446</v>
      </c>
      <c r="I110" s="5" t="s">
        <v>11447</v>
      </c>
      <c r="J110" s="5" t="s">
        <v>1268</v>
      </c>
      <c r="K110" s="5"/>
      <c r="L110" s="5" t="s">
        <v>11492</v>
      </c>
    </row>
    <row r="111" spans="1:12" ht="25.5">
      <c r="A111" s="5" t="s">
        <v>11444</v>
      </c>
      <c r="B111" s="5" t="s">
        <v>11445</v>
      </c>
      <c r="C111" s="5">
        <v>107</v>
      </c>
      <c r="D111" s="5" t="s">
        <v>1270</v>
      </c>
      <c r="E111" s="5" t="s">
        <v>1271</v>
      </c>
      <c r="F111" s="5" t="s">
        <v>1270</v>
      </c>
      <c r="G111" s="5" t="s">
        <v>1271</v>
      </c>
      <c r="H111" s="5" t="s">
        <v>11446</v>
      </c>
      <c r="I111" s="5" t="s">
        <v>11447</v>
      </c>
      <c r="J111" s="5" t="s">
        <v>11507</v>
      </c>
      <c r="K111" s="5"/>
      <c r="L111" s="5"/>
    </row>
    <row r="112" spans="1:12" ht="25.5">
      <c r="A112" s="5" t="s">
        <v>11444</v>
      </c>
      <c r="B112" s="5" t="s">
        <v>11445</v>
      </c>
      <c r="C112" s="5">
        <v>108</v>
      </c>
      <c r="D112" s="5" t="s">
        <v>1280</v>
      </c>
      <c r="E112" s="5" t="s">
        <v>1281</v>
      </c>
      <c r="F112" s="5" t="s">
        <v>1280</v>
      </c>
      <c r="G112" s="5" t="s">
        <v>1281</v>
      </c>
      <c r="H112" s="5" t="s">
        <v>11446</v>
      </c>
      <c r="I112" s="5" t="s">
        <v>11447</v>
      </c>
      <c r="J112" s="5" t="s">
        <v>1287</v>
      </c>
      <c r="K112" s="5"/>
      <c r="L112" s="5"/>
    </row>
    <row r="113" spans="1:12" ht="25.5">
      <c r="A113" s="5" t="s">
        <v>11444</v>
      </c>
      <c r="B113" s="5" t="s">
        <v>11445</v>
      </c>
      <c r="C113" s="5">
        <v>109</v>
      </c>
      <c r="D113" s="5" t="s">
        <v>1289</v>
      </c>
      <c r="E113" s="5" t="s">
        <v>1290</v>
      </c>
      <c r="F113" s="5" t="s">
        <v>1289</v>
      </c>
      <c r="G113" s="5" t="s">
        <v>1290</v>
      </c>
      <c r="H113" s="5" t="s">
        <v>11446</v>
      </c>
      <c r="I113" s="5" t="s">
        <v>11447</v>
      </c>
      <c r="J113" s="5" t="s">
        <v>1297</v>
      </c>
      <c r="K113" s="5"/>
      <c r="L113" s="5"/>
    </row>
    <row r="114" spans="1:12" ht="25.5">
      <c r="A114" s="5" t="s">
        <v>11444</v>
      </c>
      <c r="B114" s="5" t="s">
        <v>11445</v>
      </c>
      <c r="C114" s="5">
        <v>110</v>
      </c>
      <c r="D114" s="5" t="s">
        <v>1299</v>
      </c>
      <c r="E114" s="5" t="s">
        <v>1300</v>
      </c>
      <c r="F114" s="5" t="s">
        <v>1299</v>
      </c>
      <c r="G114" s="5" t="s">
        <v>1300</v>
      </c>
      <c r="H114" s="5" t="s">
        <v>11446</v>
      </c>
      <c r="I114" s="5" t="s">
        <v>11447</v>
      </c>
      <c r="J114" s="5" t="s">
        <v>1309</v>
      </c>
      <c r="K114" s="5"/>
      <c r="L114" s="5"/>
    </row>
    <row r="115" spans="1:12">
      <c r="A115" s="5" t="s">
        <v>11444</v>
      </c>
      <c r="B115" s="5" t="s">
        <v>11445</v>
      </c>
      <c r="C115" s="5">
        <v>111</v>
      </c>
      <c r="D115" s="5" t="s">
        <v>1311</v>
      </c>
      <c r="E115" s="5" t="s">
        <v>1312</v>
      </c>
      <c r="F115" s="5" t="s">
        <v>1311</v>
      </c>
      <c r="G115" s="5" t="s">
        <v>1312</v>
      </c>
      <c r="H115" s="5" t="s">
        <v>11446</v>
      </c>
      <c r="I115" s="5" t="s">
        <v>11447</v>
      </c>
      <c r="J115" s="5" t="s">
        <v>11508</v>
      </c>
      <c r="K115" s="5"/>
      <c r="L115" s="5"/>
    </row>
    <row r="116" spans="1:12" ht="25.5">
      <c r="A116" s="5" t="s">
        <v>11444</v>
      </c>
      <c r="B116" s="5" t="s">
        <v>11445</v>
      </c>
      <c r="C116" s="5">
        <v>112</v>
      </c>
      <c r="D116" s="5" t="s">
        <v>1320</v>
      </c>
      <c r="E116" s="5" t="s">
        <v>11509</v>
      </c>
      <c r="F116" s="5" t="s">
        <v>1320</v>
      </c>
      <c r="G116" s="5" t="s">
        <v>11509</v>
      </c>
      <c r="H116" s="5" t="s">
        <v>11446</v>
      </c>
      <c r="I116" s="5" t="s">
        <v>11447</v>
      </c>
      <c r="J116" s="5" t="s">
        <v>11510</v>
      </c>
      <c r="K116" s="5"/>
      <c r="L116" s="5"/>
    </row>
    <row r="117" spans="1:12" ht="25.5">
      <c r="A117" s="5" t="s">
        <v>11444</v>
      </c>
      <c r="B117" s="5" t="s">
        <v>11445</v>
      </c>
      <c r="C117" s="5">
        <v>113</v>
      </c>
      <c r="D117" s="5" t="s">
        <v>1334</v>
      </c>
      <c r="E117" s="5" t="s">
        <v>1335</v>
      </c>
      <c r="F117" s="5" t="s">
        <v>1334</v>
      </c>
      <c r="G117" s="5" t="s">
        <v>1335</v>
      </c>
      <c r="H117" s="5" t="s">
        <v>11446</v>
      </c>
      <c r="I117" s="5" t="s">
        <v>11447</v>
      </c>
      <c r="J117" s="5" t="s">
        <v>1343</v>
      </c>
      <c r="K117" s="5"/>
      <c r="L117" s="5"/>
    </row>
    <row r="118" spans="1:12" ht="38.25">
      <c r="A118" s="5" t="s">
        <v>11444</v>
      </c>
      <c r="B118" s="5" t="s">
        <v>11445</v>
      </c>
      <c r="C118" s="5">
        <v>114</v>
      </c>
      <c r="D118" s="5" t="s">
        <v>1345</v>
      </c>
      <c r="E118" s="5" t="s">
        <v>1346</v>
      </c>
      <c r="F118" s="5" t="s">
        <v>1345</v>
      </c>
      <c r="G118" s="5" t="s">
        <v>1346</v>
      </c>
      <c r="H118" s="5" t="s">
        <v>11446</v>
      </c>
      <c r="I118" s="5" t="s">
        <v>11447</v>
      </c>
      <c r="J118" s="5" t="s">
        <v>11511</v>
      </c>
      <c r="K118" s="5"/>
      <c r="L118" s="5" t="s">
        <v>11462</v>
      </c>
    </row>
    <row r="119" spans="1:12" ht="38.25">
      <c r="A119" s="5" t="s">
        <v>11444</v>
      </c>
      <c r="B119" s="5" t="s">
        <v>11445</v>
      </c>
      <c r="C119" s="5">
        <v>115</v>
      </c>
      <c r="D119" s="5" t="s">
        <v>1354</v>
      </c>
      <c r="E119" s="5" t="s">
        <v>1355</v>
      </c>
      <c r="F119" s="5" t="s">
        <v>1354</v>
      </c>
      <c r="G119" s="5" t="s">
        <v>1355</v>
      </c>
      <c r="H119" s="5" t="s">
        <v>11446</v>
      </c>
      <c r="I119" s="5" t="s">
        <v>11447</v>
      </c>
      <c r="J119" s="5" t="s">
        <v>11512</v>
      </c>
      <c r="K119" s="5"/>
      <c r="L119" s="5" t="s">
        <v>11462</v>
      </c>
    </row>
    <row r="120" spans="1:12">
      <c r="A120" s="5" t="s">
        <v>11444</v>
      </c>
      <c r="B120" s="5" t="s">
        <v>11445</v>
      </c>
      <c r="C120" s="5">
        <v>116</v>
      </c>
      <c r="D120" s="5" t="s">
        <v>1359</v>
      </c>
      <c r="E120" s="5" t="s">
        <v>1360</v>
      </c>
      <c r="F120" s="5" t="s">
        <v>1359</v>
      </c>
      <c r="G120" s="5" t="s">
        <v>1360</v>
      </c>
      <c r="H120" s="5" t="s">
        <v>11446</v>
      </c>
      <c r="I120" s="5" t="s">
        <v>11447</v>
      </c>
      <c r="J120" s="5" t="s">
        <v>1367</v>
      </c>
      <c r="K120" s="5"/>
      <c r="L120" s="5"/>
    </row>
    <row r="121" spans="1:12" ht="25.5">
      <c r="A121" s="5" t="s">
        <v>11444</v>
      </c>
      <c r="B121" s="5" t="s">
        <v>11445</v>
      </c>
      <c r="C121" s="5">
        <v>117</v>
      </c>
      <c r="D121" s="5" t="s">
        <v>1369</v>
      </c>
      <c r="E121" s="5" t="s">
        <v>1370</v>
      </c>
      <c r="F121" s="5" t="s">
        <v>1369</v>
      </c>
      <c r="G121" s="5" t="s">
        <v>1370</v>
      </c>
      <c r="H121" s="5" t="s">
        <v>11446</v>
      </c>
      <c r="I121" s="5" t="s">
        <v>11447</v>
      </c>
      <c r="J121" s="5" t="s">
        <v>1377</v>
      </c>
      <c r="K121" s="5"/>
      <c r="L121" s="5"/>
    </row>
    <row r="122" spans="1:12" ht="25.5">
      <c r="A122" s="5" t="s">
        <v>11444</v>
      </c>
      <c r="B122" s="5" t="s">
        <v>11445</v>
      </c>
      <c r="C122" s="5">
        <v>118</v>
      </c>
      <c r="D122" s="5" t="s">
        <v>1379</v>
      </c>
      <c r="E122" s="5" t="s">
        <v>1380</v>
      </c>
      <c r="F122" s="5" t="s">
        <v>1379</v>
      </c>
      <c r="G122" s="5" t="s">
        <v>1380</v>
      </c>
      <c r="H122" s="5" t="s">
        <v>11446</v>
      </c>
      <c r="I122" s="5" t="s">
        <v>11447</v>
      </c>
      <c r="J122" s="5" t="s">
        <v>1383</v>
      </c>
      <c r="K122" s="5"/>
      <c r="L122" s="5"/>
    </row>
    <row r="123" spans="1:12">
      <c r="A123" s="5" t="s">
        <v>11444</v>
      </c>
      <c r="B123" s="5" t="s">
        <v>11445</v>
      </c>
      <c r="C123" s="5">
        <v>119</v>
      </c>
      <c r="D123" s="5" t="s">
        <v>1385</v>
      </c>
      <c r="E123" s="5" t="s">
        <v>1386</v>
      </c>
      <c r="F123" s="5" t="s">
        <v>1385</v>
      </c>
      <c r="G123" s="5" t="s">
        <v>1386</v>
      </c>
      <c r="H123" s="5" t="s">
        <v>11446</v>
      </c>
      <c r="I123" s="5" t="s">
        <v>11447</v>
      </c>
      <c r="J123" s="5" t="s">
        <v>1392</v>
      </c>
      <c r="K123" s="5"/>
      <c r="L123" s="5"/>
    </row>
    <row r="124" spans="1:12" ht="25.5">
      <c r="A124" s="5" t="s">
        <v>11444</v>
      </c>
      <c r="B124" s="5" t="s">
        <v>11445</v>
      </c>
      <c r="C124" s="5">
        <v>120</v>
      </c>
      <c r="D124" s="5" t="s">
        <v>1394</v>
      </c>
      <c r="E124" s="5" t="s">
        <v>1395</v>
      </c>
      <c r="F124" s="5" t="s">
        <v>1394</v>
      </c>
      <c r="G124" s="5" t="s">
        <v>1395</v>
      </c>
      <c r="H124" s="5" t="s">
        <v>11446</v>
      </c>
      <c r="I124" s="5" t="s">
        <v>11447</v>
      </c>
      <c r="J124" s="5" t="s">
        <v>11513</v>
      </c>
      <c r="K124" s="5"/>
      <c r="L124" s="5"/>
    </row>
    <row r="125" spans="1:12" ht="25.5">
      <c r="A125" s="5" t="s">
        <v>11444</v>
      </c>
      <c r="B125" s="5" t="s">
        <v>11445</v>
      </c>
      <c r="C125" s="5">
        <v>121</v>
      </c>
      <c r="D125" s="5" t="s">
        <v>1405</v>
      </c>
      <c r="E125" s="5" t="s">
        <v>1406</v>
      </c>
      <c r="F125" s="5" t="s">
        <v>1405</v>
      </c>
      <c r="G125" s="5" t="s">
        <v>1406</v>
      </c>
      <c r="H125" s="5" t="s">
        <v>11446</v>
      </c>
      <c r="I125" s="5" t="s">
        <v>11447</v>
      </c>
      <c r="J125" s="5" t="s">
        <v>1414</v>
      </c>
      <c r="K125" s="5"/>
      <c r="L125" s="5"/>
    </row>
    <row r="126" spans="1:12">
      <c r="A126" s="5" t="s">
        <v>11444</v>
      </c>
      <c r="B126" s="5" t="s">
        <v>11445</v>
      </c>
      <c r="C126" s="5">
        <v>122</v>
      </c>
      <c r="D126" s="5" t="s">
        <v>1416</v>
      </c>
      <c r="E126" s="5" t="s">
        <v>1417</v>
      </c>
      <c r="F126" s="5" t="s">
        <v>1416</v>
      </c>
      <c r="G126" s="5" t="s">
        <v>1417</v>
      </c>
      <c r="H126" s="5" t="s">
        <v>11446</v>
      </c>
      <c r="I126" s="5" t="s">
        <v>11447</v>
      </c>
      <c r="J126" s="5" t="s">
        <v>1425</v>
      </c>
      <c r="K126" s="5"/>
      <c r="L126" s="5"/>
    </row>
    <row r="127" spans="1:12" ht="25.5">
      <c r="A127" s="5" t="s">
        <v>11444</v>
      </c>
      <c r="B127" s="5" t="s">
        <v>11445</v>
      </c>
      <c r="C127" s="5">
        <v>123</v>
      </c>
      <c r="D127" s="5" t="s">
        <v>1427</v>
      </c>
      <c r="E127" s="5" t="s">
        <v>1428</v>
      </c>
      <c r="F127" s="5" t="s">
        <v>1427</v>
      </c>
      <c r="G127" s="5" t="s">
        <v>1428</v>
      </c>
      <c r="H127" s="5" t="s">
        <v>11446</v>
      </c>
      <c r="I127" s="5" t="s">
        <v>11447</v>
      </c>
      <c r="J127" s="5" t="s">
        <v>1437</v>
      </c>
      <c r="K127" s="5"/>
      <c r="L127" s="5"/>
    </row>
    <row r="128" spans="1:12">
      <c r="A128" s="5" t="s">
        <v>11444</v>
      </c>
      <c r="B128" s="5" t="s">
        <v>11445</v>
      </c>
      <c r="C128" s="5">
        <v>124</v>
      </c>
      <c r="D128" s="5" t="s">
        <v>1439</v>
      </c>
      <c r="E128" s="5" t="s">
        <v>1440</v>
      </c>
      <c r="F128" s="5" t="s">
        <v>1439</v>
      </c>
      <c r="G128" s="5" t="s">
        <v>1440</v>
      </c>
      <c r="H128" s="5" t="s">
        <v>11446</v>
      </c>
      <c r="I128" s="5" t="s">
        <v>11447</v>
      </c>
      <c r="J128" s="5" t="s">
        <v>11514</v>
      </c>
      <c r="K128" s="5"/>
      <c r="L128" s="5"/>
    </row>
    <row r="129" spans="1:12">
      <c r="A129" s="5" t="s">
        <v>11444</v>
      </c>
      <c r="B129" s="5" t="s">
        <v>11445</v>
      </c>
      <c r="C129" s="5">
        <v>125</v>
      </c>
      <c r="D129" s="5" t="s">
        <v>1450</v>
      </c>
      <c r="E129" s="5" t="s">
        <v>1451</v>
      </c>
      <c r="F129" s="5" t="s">
        <v>1450</v>
      </c>
      <c r="G129" s="5" t="s">
        <v>1451</v>
      </c>
      <c r="H129" s="5" t="s">
        <v>11446</v>
      </c>
      <c r="I129" s="5" t="s">
        <v>11447</v>
      </c>
      <c r="J129" s="5" t="s">
        <v>1460</v>
      </c>
      <c r="K129" s="5"/>
      <c r="L129" s="5"/>
    </row>
    <row r="130" spans="1:12">
      <c r="A130" s="5" t="s">
        <v>11444</v>
      </c>
      <c r="B130" s="5" t="s">
        <v>11445</v>
      </c>
      <c r="C130" s="5">
        <v>126</v>
      </c>
      <c r="D130" s="5" t="s">
        <v>1462</v>
      </c>
      <c r="E130" s="5" t="s">
        <v>1463</v>
      </c>
      <c r="F130" s="5" t="s">
        <v>1462</v>
      </c>
      <c r="G130" s="5" t="s">
        <v>1463</v>
      </c>
      <c r="H130" s="5" t="s">
        <v>11446</v>
      </c>
      <c r="I130" s="5" t="s">
        <v>11447</v>
      </c>
      <c r="J130" s="5" t="s">
        <v>1467</v>
      </c>
      <c r="K130" s="5"/>
      <c r="L130" s="5"/>
    </row>
    <row r="131" spans="1:12" ht="25.5">
      <c r="A131" s="5" t="s">
        <v>11444</v>
      </c>
      <c r="B131" s="5" t="s">
        <v>11445</v>
      </c>
      <c r="C131" s="5">
        <v>127</v>
      </c>
      <c r="D131" s="5" t="s">
        <v>1469</v>
      </c>
      <c r="E131" s="5" t="s">
        <v>1470</v>
      </c>
      <c r="F131" s="5" t="s">
        <v>1469</v>
      </c>
      <c r="G131" s="5" t="s">
        <v>1470</v>
      </c>
      <c r="H131" s="5" t="s">
        <v>11446</v>
      </c>
      <c r="I131" s="5" t="s">
        <v>11447</v>
      </c>
      <c r="J131" s="5" t="s">
        <v>1478</v>
      </c>
      <c r="K131" s="5"/>
      <c r="L131" s="5"/>
    </row>
    <row r="132" spans="1:12" ht="25.5">
      <c r="A132" s="5" t="s">
        <v>11444</v>
      </c>
      <c r="B132" s="5" t="s">
        <v>11445</v>
      </c>
      <c r="C132" s="5">
        <v>128</v>
      </c>
      <c r="D132" s="5" t="s">
        <v>1480</v>
      </c>
      <c r="E132" s="5" t="s">
        <v>1481</v>
      </c>
      <c r="F132" s="5" t="s">
        <v>1480</v>
      </c>
      <c r="G132" s="5" t="s">
        <v>1481</v>
      </c>
      <c r="H132" s="5" t="s">
        <v>11446</v>
      </c>
      <c r="I132" s="5" t="s">
        <v>11447</v>
      </c>
      <c r="J132" s="5" t="s">
        <v>1486</v>
      </c>
      <c r="K132" s="5"/>
      <c r="L132" s="5"/>
    </row>
    <row r="133" spans="1:12">
      <c r="A133" s="5" t="s">
        <v>11444</v>
      </c>
      <c r="B133" s="5" t="s">
        <v>11445</v>
      </c>
      <c r="C133" s="5">
        <v>129</v>
      </c>
      <c r="D133" s="5" t="s">
        <v>1488</v>
      </c>
      <c r="E133" s="5" t="s">
        <v>1489</v>
      </c>
      <c r="F133" s="5" t="s">
        <v>1488</v>
      </c>
      <c r="G133" s="5" t="s">
        <v>1489</v>
      </c>
      <c r="H133" s="5" t="s">
        <v>11446</v>
      </c>
      <c r="I133" s="5" t="s">
        <v>11447</v>
      </c>
      <c r="J133" s="5" t="s">
        <v>11515</v>
      </c>
      <c r="K133" s="5"/>
      <c r="L133" s="5"/>
    </row>
    <row r="134" spans="1:12" ht="38.25">
      <c r="A134" s="5" t="s">
        <v>11444</v>
      </c>
      <c r="B134" s="5" t="s">
        <v>11445</v>
      </c>
      <c r="C134" s="5">
        <v>130</v>
      </c>
      <c r="D134" s="5" t="s">
        <v>1495</v>
      </c>
      <c r="E134" s="5" t="s">
        <v>1496</v>
      </c>
      <c r="F134" s="5" t="s">
        <v>1495</v>
      </c>
      <c r="G134" s="5" t="s">
        <v>1496</v>
      </c>
      <c r="H134" s="5" t="s">
        <v>11446</v>
      </c>
      <c r="I134" s="5" t="s">
        <v>11447</v>
      </c>
      <c r="J134" s="5" t="s">
        <v>11516</v>
      </c>
      <c r="K134" s="5"/>
      <c r="L134" s="5" t="s">
        <v>11517</v>
      </c>
    </row>
    <row r="135" spans="1:12" ht="25.5">
      <c r="A135" s="5" t="s">
        <v>11444</v>
      </c>
      <c r="B135" s="5" t="s">
        <v>11445</v>
      </c>
      <c r="C135" s="5">
        <v>131</v>
      </c>
      <c r="D135" s="5" t="s">
        <v>1511</v>
      </c>
      <c r="E135" s="5" t="s">
        <v>1512</v>
      </c>
      <c r="F135" s="5" t="s">
        <v>1511</v>
      </c>
      <c r="G135" s="5" t="s">
        <v>1512</v>
      </c>
      <c r="H135" s="5" t="s">
        <v>11446</v>
      </c>
      <c r="I135" s="5" t="s">
        <v>11447</v>
      </c>
      <c r="J135" s="5" t="s">
        <v>1519</v>
      </c>
      <c r="K135" s="5"/>
      <c r="L135" s="5"/>
    </row>
    <row r="136" spans="1:12" ht="25.5">
      <c r="A136" s="5" t="s">
        <v>11444</v>
      </c>
      <c r="B136" s="5" t="s">
        <v>11445</v>
      </c>
      <c r="C136" s="5">
        <v>132</v>
      </c>
      <c r="D136" s="5" t="s">
        <v>1521</v>
      </c>
      <c r="E136" s="5" t="s">
        <v>1522</v>
      </c>
      <c r="F136" s="5" t="s">
        <v>1521</v>
      </c>
      <c r="G136" s="5" t="s">
        <v>1522</v>
      </c>
      <c r="H136" s="5" t="s">
        <v>11446</v>
      </c>
      <c r="I136" s="5" t="s">
        <v>11447</v>
      </c>
      <c r="J136" s="5" t="s">
        <v>1531</v>
      </c>
      <c r="K136" s="5"/>
      <c r="L136" s="5"/>
    </row>
    <row r="137" spans="1:12" ht="51">
      <c r="A137" s="5" t="s">
        <v>11444</v>
      </c>
      <c r="B137" s="5" t="s">
        <v>11445</v>
      </c>
      <c r="C137" s="5">
        <v>133</v>
      </c>
      <c r="D137" s="5" t="s">
        <v>1533</v>
      </c>
      <c r="E137" s="5" t="s">
        <v>1534</v>
      </c>
      <c r="F137" s="5" t="s">
        <v>1533</v>
      </c>
      <c r="G137" s="5" t="s">
        <v>1534</v>
      </c>
      <c r="H137" s="5" t="s">
        <v>11446</v>
      </c>
      <c r="I137" s="5" t="s">
        <v>11447</v>
      </c>
      <c r="J137" s="5" t="s">
        <v>1541</v>
      </c>
      <c r="K137" s="5"/>
      <c r="L137" s="5" t="s">
        <v>11492</v>
      </c>
    </row>
    <row r="138" spans="1:12">
      <c r="A138" s="5" t="s">
        <v>11444</v>
      </c>
      <c r="B138" s="5" t="s">
        <v>11445</v>
      </c>
      <c r="C138" s="5">
        <v>134</v>
      </c>
      <c r="D138" s="5" t="s">
        <v>1543</v>
      </c>
      <c r="E138" s="5" t="s">
        <v>1544</v>
      </c>
      <c r="F138" s="5" t="s">
        <v>1543</v>
      </c>
      <c r="G138" s="5" t="s">
        <v>1544</v>
      </c>
      <c r="H138" s="5" t="s">
        <v>11446</v>
      </c>
      <c r="I138" s="5" t="s">
        <v>11447</v>
      </c>
      <c r="J138" s="5" t="s">
        <v>1552</v>
      </c>
      <c r="K138" s="5"/>
      <c r="L138" s="5"/>
    </row>
    <row r="139" spans="1:12">
      <c r="A139" s="5" t="s">
        <v>11444</v>
      </c>
      <c r="B139" s="5" t="s">
        <v>11445</v>
      </c>
      <c r="C139" s="5">
        <v>135</v>
      </c>
      <c r="D139" s="5" t="s">
        <v>1554</v>
      </c>
      <c r="E139" s="5" t="s">
        <v>1555</v>
      </c>
      <c r="F139" s="5" t="s">
        <v>1554</v>
      </c>
      <c r="G139" s="5" t="s">
        <v>1555</v>
      </c>
      <c r="H139" s="5" t="s">
        <v>11446</v>
      </c>
      <c r="I139" s="5" t="s">
        <v>11447</v>
      </c>
      <c r="J139" s="5" t="s">
        <v>11518</v>
      </c>
      <c r="K139" s="5"/>
      <c r="L139" s="5"/>
    </row>
    <row r="140" spans="1:12" ht="51">
      <c r="A140" s="5" t="s">
        <v>11444</v>
      </c>
      <c r="B140" s="5" t="s">
        <v>11445</v>
      </c>
      <c r="C140" s="5">
        <v>136</v>
      </c>
      <c r="D140" s="5" t="s">
        <v>53</v>
      </c>
      <c r="E140" s="5" t="s">
        <v>1566</v>
      </c>
      <c r="F140" s="5" t="s">
        <v>53</v>
      </c>
      <c r="G140" s="5" t="s">
        <v>1566</v>
      </c>
      <c r="H140" s="5" t="s">
        <v>11446</v>
      </c>
      <c r="I140" s="5" t="s">
        <v>11447</v>
      </c>
      <c r="J140" s="5" t="s">
        <v>11519</v>
      </c>
      <c r="K140" s="5"/>
      <c r="L140" s="5" t="s">
        <v>11520</v>
      </c>
    </row>
    <row r="141" spans="1:12">
      <c r="A141" s="5" t="s">
        <v>11444</v>
      </c>
      <c r="B141" s="5" t="s">
        <v>11445</v>
      </c>
      <c r="C141" s="5">
        <v>137</v>
      </c>
      <c r="D141" s="5" t="s">
        <v>1578</v>
      </c>
      <c r="E141" s="5" t="s">
        <v>1579</v>
      </c>
      <c r="F141" s="5" t="s">
        <v>1578</v>
      </c>
      <c r="G141" s="5" t="s">
        <v>1579</v>
      </c>
      <c r="H141" s="5" t="s">
        <v>11446</v>
      </c>
      <c r="I141" s="5" t="s">
        <v>11447</v>
      </c>
      <c r="J141" s="5" t="s">
        <v>1586</v>
      </c>
      <c r="K141" s="5"/>
      <c r="L141" s="5"/>
    </row>
    <row r="142" spans="1:12" ht="25.5">
      <c r="A142" s="5" t="s">
        <v>11444</v>
      </c>
      <c r="B142" s="5" t="s">
        <v>11445</v>
      </c>
      <c r="C142" s="5">
        <v>138</v>
      </c>
      <c r="D142" s="5" t="s">
        <v>1588</v>
      </c>
      <c r="E142" s="5" t="s">
        <v>1589</v>
      </c>
      <c r="F142" s="5" t="s">
        <v>1588</v>
      </c>
      <c r="G142" s="5" t="s">
        <v>1589</v>
      </c>
      <c r="H142" s="5" t="s">
        <v>11446</v>
      </c>
      <c r="I142" s="5" t="s">
        <v>11447</v>
      </c>
      <c r="J142" s="5" t="s">
        <v>11521</v>
      </c>
      <c r="K142" s="5"/>
      <c r="L142" s="5"/>
    </row>
    <row r="143" spans="1:12" ht="38.25">
      <c r="A143" s="5" t="s">
        <v>11444</v>
      </c>
      <c r="B143" s="5" t="s">
        <v>11445</v>
      </c>
      <c r="C143" s="5">
        <v>139</v>
      </c>
      <c r="D143" s="5" t="s">
        <v>1599</v>
      </c>
      <c r="E143" s="5" t="s">
        <v>1600</v>
      </c>
      <c r="F143" s="5" t="s">
        <v>1599</v>
      </c>
      <c r="G143" s="5" t="s">
        <v>1600</v>
      </c>
      <c r="H143" s="5" t="s">
        <v>11446</v>
      </c>
      <c r="I143" s="5" t="s">
        <v>11447</v>
      </c>
      <c r="J143" s="5" t="s">
        <v>1608</v>
      </c>
      <c r="K143" s="5"/>
      <c r="L143" s="5" t="s">
        <v>11522</v>
      </c>
    </row>
    <row r="144" spans="1:12">
      <c r="A144" s="5" t="s">
        <v>11444</v>
      </c>
      <c r="B144" s="5" t="s">
        <v>11445</v>
      </c>
      <c r="C144" s="5">
        <v>140</v>
      </c>
      <c r="D144" s="5" t="s">
        <v>1610</v>
      </c>
      <c r="E144" s="5" t="s">
        <v>1611</v>
      </c>
      <c r="F144" s="5" t="s">
        <v>1610</v>
      </c>
      <c r="G144" s="5" t="s">
        <v>1611</v>
      </c>
      <c r="H144" s="5" t="s">
        <v>11446</v>
      </c>
      <c r="I144" s="5" t="s">
        <v>11447</v>
      </c>
      <c r="J144" s="5" t="s">
        <v>1620</v>
      </c>
      <c r="K144" s="5"/>
      <c r="L144" s="5"/>
    </row>
    <row r="145" spans="1:12">
      <c r="A145" s="5" t="s">
        <v>11444</v>
      </c>
      <c r="B145" s="5" t="s">
        <v>11445</v>
      </c>
      <c r="C145" s="5">
        <v>141</v>
      </c>
      <c r="D145" s="5" t="s">
        <v>1622</v>
      </c>
      <c r="E145" s="5" t="s">
        <v>1623</v>
      </c>
      <c r="F145" s="5" t="s">
        <v>1622</v>
      </c>
      <c r="G145" s="5" t="s">
        <v>1623</v>
      </c>
      <c r="H145" s="5" t="s">
        <v>11446</v>
      </c>
      <c r="I145" s="5" t="s">
        <v>11447</v>
      </c>
      <c r="J145" s="5" t="s">
        <v>1626</v>
      </c>
      <c r="K145" s="5"/>
      <c r="L145" s="5"/>
    </row>
    <row r="146" spans="1:12">
      <c r="A146" s="5" t="s">
        <v>11444</v>
      </c>
      <c r="B146" s="5" t="s">
        <v>11445</v>
      </c>
      <c r="C146" s="5">
        <v>142</v>
      </c>
      <c r="D146" s="5" t="s">
        <v>1628</v>
      </c>
      <c r="E146" s="5" t="s">
        <v>1629</v>
      </c>
      <c r="F146" s="5" t="s">
        <v>1628</v>
      </c>
      <c r="G146" s="5" t="s">
        <v>1629</v>
      </c>
      <c r="H146" s="5" t="s">
        <v>11446</v>
      </c>
      <c r="I146" s="5" t="s">
        <v>11447</v>
      </c>
      <c r="J146" s="5" t="s">
        <v>1634</v>
      </c>
      <c r="K146" s="5"/>
      <c r="L146" s="5"/>
    </row>
    <row r="147" spans="1:12" ht="38.25">
      <c r="A147" s="5" t="s">
        <v>11444</v>
      </c>
      <c r="B147" s="5" t="s">
        <v>11445</v>
      </c>
      <c r="C147" s="5">
        <v>143</v>
      </c>
      <c r="D147" s="5" t="s">
        <v>1636</v>
      </c>
      <c r="E147" s="5" t="s">
        <v>1637</v>
      </c>
      <c r="F147" s="5" t="s">
        <v>1636</v>
      </c>
      <c r="G147" s="5" t="s">
        <v>1637</v>
      </c>
      <c r="H147" s="5" t="s">
        <v>11446</v>
      </c>
      <c r="I147" s="5" t="s">
        <v>11447</v>
      </c>
      <c r="J147" s="5" t="s">
        <v>11523</v>
      </c>
      <c r="K147" s="5"/>
      <c r="L147" s="5" t="s">
        <v>11454</v>
      </c>
    </row>
    <row r="148" spans="1:12">
      <c r="A148" s="5" t="s">
        <v>11444</v>
      </c>
      <c r="B148" s="5" t="s">
        <v>11445</v>
      </c>
      <c r="C148" s="5">
        <v>144</v>
      </c>
      <c r="D148" s="5" t="s">
        <v>1644</v>
      </c>
      <c r="E148" s="5" t="s">
        <v>1645</v>
      </c>
      <c r="F148" s="5" t="s">
        <v>1644</v>
      </c>
      <c r="G148" s="5" t="s">
        <v>1645</v>
      </c>
      <c r="H148" s="5" t="s">
        <v>11446</v>
      </c>
      <c r="I148" s="5" t="s">
        <v>11447</v>
      </c>
      <c r="J148" s="5" t="s">
        <v>1651</v>
      </c>
      <c r="K148" s="5"/>
      <c r="L148" s="5"/>
    </row>
    <row r="149" spans="1:12">
      <c r="A149" s="5" t="s">
        <v>11444</v>
      </c>
      <c r="B149" s="5" t="s">
        <v>11445</v>
      </c>
      <c r="C149" s="5">
        <v>145</v>
      </c>
      <c r="D149" s="5" t="s">
        <v>1653</v>
      </c>
      <c r="E149" s="5" t="s">
        <v>1654</v>
      </c>
      <c r="F149" s="5" t="s">
        <v>1653</v>
      </c>
      <c r="G149" s="5" t="s">
        <v>1654</v>
      </c>
      <c r="H149" s="5" t="s">
        <v>11446</v>
      </c>
      <c r="I149" s="5" t="s">
        <v>11447</v>
      </c>
      <c r="J149" s="5" t="s">
        <v>1660</v>
      </c>
      <c r="K149" s="5"/>
      <c r="L149" s="5"/>
    </row>
    <row r="150" spans="1:12">
      <c r="A150" s="5" t="s">
        <v>11444</v>
      </c>
      <c r="B150" s="5" t="s">
        <v>11445</v>
      </c>
      <c r="C150" s="5">
        <v>146</v>
      </c>
      <c r="D150" s="5" t="s">
        <v>1662</v>
      </c>
      <c r="E150" s="5" t="s">
        <v>1663</v>
      </c>
      <c r="F150" s="5" t="s">
        <v>1662</v>
      </c>
      <c r="G150" s="5" t="s">
        <v>1663</v>
      </c>
      <c r="H150" s="5" t="s">
        <v>11446</v>
      </c>
      <c r="I150" s="5" t="s">
        <v>11447</v>
      </c>
      <c r="J150" s="5" t="s">
        <v>1669</v>
      </c>
      <c r="K150" s="5"/>
      <c r="L150" s="5"/>
    </row>
    <row r="151" spans="1:12">
      <c r="A151" s="5" t="s">
        <v>11444</v>
      </c>
      <c r="B151" s="5" t="s">
        <v>11445</v>
      </c>
      <c r="C151" s="5">
        <v>147</v>
      </c>
      <c r="D151" s="5" t="s">
        <v>1671</v>
      </c>
      <c r="E151" s="5" t="s">
        <v>1672</v>
      </c>
      <c r="F151" s="5" t="s">
        <v>1671</v>
      </c>
      <c r="G151" s="5" t="s">
        <v>1672</v>
      </c>
      <c r="H151" s="5" t="s">
        <v>11446</v>
      </c>
      <c r="I151" s="5" t="s">
        <v>11447</v>
      </c>
      <c r="J151" s="5" t="s">
        <v>1677</v>
      </c>
      <c r="K151" s="5"/>
      <c r="L151" s="5"/>
    </row>
    <row r="152" spans="1:12" ht="38.25">
      <c r="A152" s="5" t="s">
        <v>11444</v>
      </c>
      <c r="B152" s="5" t="s">
        <v>11445</v>
      </c>
      <c r="C152" s="5">
        <v>148</v>
      </c>
      <c r="D152" s="5" t="s">
        <v>1679</v>
      </c>
      <c r="E152" s="5" t="s">
        <v>1680</v>
      </c>
      <c r="F152" s="5" t="s">
        <v>1679</v>
      </c>
      <c r="G152" s="5" t="s">
        <v>1680</v>
      </c>
      <c r="H152" s="5" t="s">
        <v>11446</v>
      </c>
      <c r="I152" s="5" t="s">
        <v>11447</v>
      </c>
      <c r="J152" s="5" t="s">
        <v>11524</v>
      </c>
      <c r="K152" s="5"/>
      <c r="L152" s="5" t="s">
        <v>11525</v>
      </c>
    </row>
    <row r="153" spans="1:12">
      <c r="A153" s="5" t="s">
        <v>11444</v>
      </c>
      <c r="B153" s="5" t="s">
        <v>11445</v>
      </c>
      <c r="C153" s="5">
        <v>149</v>
      </c>
      <c r="D153" s="5" t="s">
        <v>1691</v>
      </c>
      <c r="E153" s="5" t="s">
        <v>1692</v>
      </c>
      <c r="F153" s="5" t="s">
        <v>1691</v>
      </c>
      <c r="G153" s="5" t="s">
        <v>1692</v>
      </c>
      <c r="H153" s="5" t="s">
        <v>11446</v>
      </c>
      <c r="I153" s="5" t="s">
        <v>11447</v>
      </c>
      <c r="J153" s="5" t="s">
        <v>1699</v>
      </c>
      <c r="K153" s="5"/>
      <c r="L153" s="5"/>
    </row>
    <row r="154" spans="1:12" ht="38.25">
      <c r="A154" s="5" t="s">
        <v>11444</v>
      </c>
      <c r="B154" s="5" t="s">
        <v>11445</v>
      </c>
      <c r="C154" s="5">
        <v>150</v>
      </c>
      <c r="D154" s="5" t="s">
        <v>1701</v>
      </c>
      <c r="E154" s="5" t="s">
        <v>1702</v>
      </c>
      <c r="F154" s="5" t="s">
        <v>1701</v>
      </c>
      <c r="G154" s="5" t="s">
        <v>1702</v>
      </c>
      <c r="H154" s="5" t="s">
        <v>11446</v>
      </c>
      <c r="I154" s="5" t="s">
        <v>11447</v>
      </c>
      <c r="J154" s="5" t="s">
        <v>11526</v>
      </c>
      <c r="K154" s="5"/>
      <c r="L154" s="5" t="s">
        <v>11522</v>
      </c>
    </row>
    <row r="155" spans="1:12">
      <c r="A155" s="5" t="s">
        <v>11444</v>
      </c>
      <c r="B155" s="5" t="s">
        <v>11445</v>
      </c>
      <c r="C155" s="5">
        <v>151</v>
      </c>
      <c r="D155" s="5" t="s">
        <v>1709</v>
      </c>
      <c r="E155" s="5" t="s">
        <v>1710</v>
      </c>
      <c r="F155" s="5" t="s">
        <v>1709</v>
      </c>
      <c r="G155" s="5" t="s">
        <v>1710</v>
      </c>
      <c r="H155" s="5" t="s">
        <v>11446</v>
      </c>
      <c r="I155" s="5" t="s">
        <v>11447</v>
      </c>
      <c r="J155" s="5" t="s">
        <v>1715</v>
      </c>
      <c r="K155" s="5"/>
      <c r="L155" s="5"/>
    </row>
    <row r="156" spans="1:12">
      <c r="A156" s="5" t="s">
        <v>11444</v>
      </c>
      <c r="B156" s="5" t="s">
        <v>11445</v>
      </c>
      <c r="C156" s="5">
        <v>152</v>
      </c>
      <c r="D156" s="5" t="s">
        <v>1717</v>
      </c>
      <c r="E156" s="5" t="s">
        <v>1718</v>
      </c>
      <c r="F156" s="5" t="s">
        <v>1717</v>
      </c>
      <c r="G156" s="5" t="s">
        <v>1718</v>
      </c>
      <c r="H156" s="5" t="s">
        <v>11446</v>
      </c>
      <c r="I156" s="5" t="s">
        <v>11447</v>
      </c>
      <c r="J156" s="5" t="s">
        <v>1725</v>
      </c>
      <c r="K156" s="5"/>
      <c r="L156" s="5"/>
    </row>
    <row r="157" spans="1:12">
      <c r="A157" s="5" t="s">
        <v>11444</v>
      </c>
      <c r="B157" s="5" t="s">
        <v>11445</v>
      </c>
      <c r="C157" s="5">
        <v>153</v>
      </c>
      <c r="D157" s="5" t="s">
        <v>1727</v>
      </c>
      <c r="E157" s="5" t="s">
        <v>1728</v>
      </c>
      <c r="F157" s="5" t="s">
        <v>1727</v>
      </c>
      <c r="G157" s="5" t="s">
        <v>1728</v>
      </c>
      <c r="H157" s="5" t="s">
        <v>11446</v>
      </c>
      <c r="I157" s="5" t="s">
        <v>11447</v>
      </c>
      <c r="J157" s="5" t="s">
        <v>1734</v>
      </c>
      <c r="K157" s="5"/>
      <c r="L157" s="5"/>
    </row>
    <row r="158" spans="1:12" ht="63.75">
      <c r="A158" s="5" t="s">
        <v>11444</v>
      </c>
      <c r="B158" s="5" t="s">
        <v>11445</v>
      </c>
      <c r="C158" s="5">
        <v>154</v>
      </c>
      <c r="D158" s="5" t="s">
        <v>1736</v>
      </c>
      <c r="E158" s="5" t="s">
        <v>1737</v>
      </c>
      <c r="F158" s="5" t="s">
        <v>1736</v>
      </c>
      <c r="G158" s="5" t="s">
        <v>1737</v>
      </c>
      <c r="H158" s="5" t="s">
        <v>11446</v>
      </c>
      <c r="I158" s="5" t="s">
        <v>11447</v>
      </c>
      <c r="J158" s="5" t="s">
        <v>11527</v>
      </c>
      <c r="K158" s="5"/>
      <c r="L158" s="5" t="s">
        <v>11500</v>
      </c>
    </row>
    <row r="159" spans="1:12">
      <c r="A159" s="5" t="s">
        <v>11444</v>
      </c>
      <c r="B159" s="5" t="s">
        <v>11445</v>
      </c>
      <c r="C159" s="5">
        <v>155</v>
      </c>
      <c r="D159" s="5" t="s">
        <v>1746</v>
      </c>
      <c r="E159" s="5" t="s">
        <v>1747</v>
      </c>
      <c r="F159" s="5" t="s">
        <v>1746</v>
      </c>
      <c r="G159" s="5" t="s">
        <v>1747</v>
      </c>
      <c r="H159" s="5" t="s">
        <v>11446</v>
      </c>
      <c r="I159" s="5" t="s">
        <v>11447</v>
      </c>
      <c r="J159" s="5" t="s">
        <v>1754</v>
      </c>
      <c r="K159" s="5"/>
      <c r="L159" s="5"/>
    </row>
    <row r="160" spans="1:12">
      <c r="A160" s="5" t="s">
        <v>11444</v>
      </c>
      <c r="B160" s="5" t="s">
        <v>11445</v>
      </c>
      <c r="C160" s="5">
        <v>156</v>
      </c>
      <c r="D160" s="5" t="s">
        <v>1756</v>
      </c>
      <c r="E160" s="5" t="s">
        <v>1757</v>
      </c>
      <c r="F160" s="5" t="s">
        <v>1756</v>
      </c>
      <c r="G160" s="5" t="s">
        <v>1757</v>
      </c>
      <c r="H160" s="5" t="s">
        <v>11446</v>
      </c>
      <c r="I160" s="5" t="s">
        <v>11447</v>
      </c>
      <c r="J160" s="5" t="s">
        <v>11528</v>
      </c>
      <c r="K160" s="5"/>
      <c r="L160" s="5"/>
    </row>
    <row r="161" spans="1:12">
      <c r="A161" s="5" t="s">
        <v>11444</v>
      </c>
      <c r="B161" s="5" t="s">
        <v>11445</v>
      </c>
      <c r="C161" s="5">
        <v>157</v>
      </c>
      <c r="D161" s="5" t="s">
        <v>1767</v>
      </c>
      <c r="E161" s="5" t="s">
        <v>1768</v>
      </c>
      <c r="F161" s="5" t="s">
        <v>1767</v>
      </c>
      <c r="G161" s="5" t="s">
        <v>1768</v>
      </c>
      <c r="H161" s="5" t="s">
        <v>11446</v>
      </c>
      <c r="I161" s="5" t="s">
        <v>11447</v>
      </c>
      <c r="J161" s="5" t="s">
        <v>1775</v>
      </c>
      <c r="K161" s="5"/>
      <c r="L161" s="5"/>
    </row>
    <row r="162" spans="1:12" ht="76.5">
      <c r="A162" s="5" t="s">
        <v>11444</v>
      </c>
      <c r="B162" s="5" t="s">
        <v>11445</v>
      </c>
      <c r="C162" s="5">
        <v>158</v>
      </c>
      <c r="D162" s="5" t="s">
        <v>60</v>
      </c>
      <c r="E162" s="5" t="s">
        <v>61</v>
      </c>
      <c r="F162" s="5" t="s">
        <v>60</v>
      </c>
      <c r="G162" s="5" t="s">
        <v>61</v>
      </c>
      <c r="H162" s="5" t="s">
        <v>11446</v>
      </c>
      <c r="I162" s="5" t="s">
        <v>11447</v>
      </c>
      <c r="J162" s="5" t="s">
        <v>11529</v>
      </c>
      <c r="K162" s="5"/>
      <c r="L162" s="5" t="s">
        <v>11478</v>
      </c>
    </row>
    <row r="163" spans="1:12">
      <c r="A163" s="5" t="s">
        <v>11444</v>
      </c>
      <c r="B163" s="5" t="s">
        <v>11445</v>
      </c>
      <c r="C163" s="5">
        <v>159</v>
      </c>
      <c r="D163" s="5" t="s">
        <v>1790</v>
      </c>
      <c r="E163" s="5" t="s">
        <v>1791</v>
      </c>
      <c r="F163" s="5" t="s">
        <v>1790</v>
      </c>
      <c r="G163" s="5" t="s">
        <v>1791</v>
      </c>
      <c r="H163" s="5" t="s">
        <v>11446</v>
      </c>
      <c r="I163" s="5" t="s">
        <v>11447</v>
      </c>
      <c r="J163" s="5" t="s">
        <v>1798</v>
      </c>
      <c r="K163" s="5"/>
      <c r="L163" s="5"/>
    </row>
    <row r="164" spans="1:12">
      <c r="A164" s="5" t="s">
        <v>11444</v>
      </c>
      <c r="B164" s="5" t="s">
        <v>11445</v>
      </c>
      <c r="C164" s="5">
        <v>160</v>
      </c>
      <c r="D164" s="5" t="s">
        <v>1800</v>
      </c>
      <c r="E164" s="5" t="s">
        <v>1801</v>
      </c>
      <c r="F164" s="5" t="s">
        <v>1800</v>
      </c>
      <c r="G164" s="5" t="s">
        <v>1801</v>
      </c>
      <c r="H164" s="5" t="s">
        <v>11446</v>
      </c>
      <c r="I164" s="5" t="s">
        <v>11447</v>
      </c>
      <c r="J164" s="5" t="s">
        <v>11530</v>
      </c>
      <c r="K164" s="5"/>
      <c r="L164" s="5"/>
    </row>
    <row r="165" spans="1:12" ht="51">
      <c r="A165" s="5" t="s">
        <v>11444</v>
      </c>
      <c r="B165" s="5" t="s">
        <v>11445</v>
      </c>
      <c r="C165" s="5">
        <v>161</v>
      </c>
      <c r="D165" s="5" t="s">
        <v>67</v>
      </c>
      <c r="E165" s="5" t="s">
        <v>1808</v>
      </c>
      <c r="F165" s="5" t="s">
        <v>67</v>
      </c>
      <c r="G165" s="5" t="s">
        <v>1808</v>
      </c>
      <c r="H165" s="5" t="s">
        <v>11446</v>
      </c>
      <c r="I165" s="5" t="s">
        <v>11447</v>
      </c>
      <c r="J165" s="5" t="s">
        <v>11531</v>
      </c>
      <c r="K165" s="5"/>
      <c r="L165" s="5"/>
    </row>
    <row r="166" spans="1:12" ht="25.5">
      <c r="A166" s="5" t="s">
        <v>11444</v>
      </c>
      <c r="B166" s="5" t="s">
        <v>11445</v>
      </c>
      <c r="C166" s="5">
        <v>162</v>
      </c>
      <c r="D166" s="5" t="s">
        <v>1821</v>
      </c>
      <c r="E166" s="5" t="s">
        <v>1822</v>
      </c>
      <c r="F166" s="5" t="s">
        <v>1821</v>
      </c>
      <c r="G166" s="5" t="s">
        <v>1822</v>
      </c>
      <c r="H166" s="5" t="s">
        <v>11446</v>
      </c>
      <c r="I166" s="5" t="s">
        <v>11447</v>
      </c>
      <c r="J166" s="5" t="s">
        <v>11532</v>
      </c>
      <c r="K166" s="5"/>
      <c r="L166" s="5"/>
    </row>
    <row r="167" spans="1:12" ht="51">
      <c r="A167" s="5" t="s">
        <v>11444</v>
      </c>
      <c r="B167" s="5" t="s">
        <v>11445</v>
      </c>
      <c r="C167" s="5">
        <v>163</v>
      </c>
      <c r="D167" s="5" t="s">
        <v>1831</v>
      </c>
      <c r="E167" s="5" t="s">
        <v>1832</v>
      </c>
      <c r="F167" s="5" t="s">
        <v>1831</v>
      </c>
      <c r="G167" s="5" t="s">
        <v>1832</v>
      </c>
      <c r="H167" s="5" t="s">
        <v>11446</v>
      </c>
      <c r="I167" s="5" t="s">
        <v>11447</v>
      </c>
      <c r="J167" s="5" t="s">
        <v>1835</v>
      </c>
      <c r="K167" s="5"/>
      <c r="L167" s="5" t="s">
        <v>11492</v>
      </c>
    </row>
    <row r="168" spans="1:12">
      <c r="A168" s="5" t="s">
        <v>11444</v>
      </c>
      <c r="B168" s="5" t="s">
        <v>11445</v>
      </c>
      <c r="C168" s="5">
        <v>164</v>
      </c>
      <c r="D168" s="5" t="s">
        <v>1837</v>
      </c>
      <c r="E168" s="5" t="s">
        <v>1838</v>
      </c>
      <c r="F168" s="5" t="s">
        <v>1837</v>
      </c>
      <c r="G168" s="5" t="s">
        <v>1838</v>
      </c>
      <c r="H168" s="5" t="s">
        <v>11446</v>
      </c>
      <c r="I168" s="5" t="s">
        <v>11447</v>
      </c>
      <c r="J168" s="5" t="s">
        <v>1842</v>
      </c>
      <c r="K168" s="5"/>
      <c r="L168" s="5"/>
    </row>
    <row r="169" spans="1:12">
      <c r="A169" s="5" t="s">
        <v>11444</v>
      </c>
      <c r="B169" s="5" t="s">
        <v>11445</v>
      </c>
      <c r="C169" s="5">
        <v>165</v>
      </c>
      <c r="D169" s="5" t="s">
        <v>1844</v>
      </c>
      <c r="E169" s="5" t="s">
        <v>1845</v>
      </c>
      <c r="F169" s="5" t="s">
        <v>1844</v>
      </c>
      <c r="G169" s="5" t="s">
        <v>1845</v>
      </c>
      <c r="H169" s="5" t="s">
        <v>11446</v>
      </c>
      <c r="I169" s="5" t="s">
        <v>11447</v>
      </c>
      <c r="J169" s="5" t="s">
        <v>1853</v>
      </c>
      <c r="K169" s="5"/>
      <c r="L169" s="5"/>
    </row>
    <row r="170" spans="1:12">
      <c r="A170" s="5" t="s">
        <v>11444</v>
      </c>
      <c r="B170" s="5" t="s">
        <v>11445</v>
      </c>
      <c r="C170" s="5">
        <v>166</v>
      </c>
      <c r="D170" s="5" t="s">
        <v>1855</v>
      </c>
      <c r="E170" s="5" t="s">
        <v>1856</v>
      </c>
      <c r="F170" s="5" t="s">
        <v>1855</v>
      </c>
      <c r="G170" s="5" t="s">
        <v>1856</v>
      </c>
      <c r="H170" s="5" t="s">
        <v>11446</v>
      </c>
      <c r="I170" s="5" t="s">
        <v>11447</v>
      </c>
      <c r="J170" s="5" t="s">
        <v>1858</v>
      </c>
      <c r="K170" s="5"/>
      <c r="L170" s="5"/>
    </row>
    <row r="171" spans="1:12">
      <c r="A171" s="5" t="s">
        <v>11444</v>
      </c>
      <c r="B171" s="5" t="s">
        <v>11445</v>
      </c>
      <c r="C171" s="5">
        <v>167</v>
      </c>
      <c r="D171" s="5" t="s">
        <v>1860</v>
      </c>
      <c r="E171" s="5" t="s">
        <v>1861</v>
      </c>
      <c r="F171" s="5" t="s">
        <v>1860</v>
      </c>
      <c r="G171" s="5" t="s">
        <v>1861</v>
      </c>
      <c r="H171" s="5" t="s">
        <v>11446</v>
      </c>
      <c r="I171" s="5" t="s">
        <v>11447</v>
      </c>
      <c r="J171" s="5" t="s">
        <v>1866</v>
      </c>
      <c r="K171" s="5"/>
      <c r="L171" s="5"/>
    </row>
    <row r="172" spans="1:12" ht="38.25">
      <c r="A172" s="5" t="s">
        <v>11444</v>
      </c>
      <c r="B172" s="5" t="s">
        <v>11445</v>
      </c>
      <c r="C172" s="5">
        <v>168</v>
      </c>
      <c r="D172" s="5" t="s">
        <v>1868</v>
      </c>
      <c r="E172" s="5" t="s">
        <v>1869</v>
      </c>
      <c r="F172" s="5" t="s">
        <v>1868</v>
      </c>
      <c r="G172" s="5" t="s">
        <v>1869</v>
      </c>
      <c r="H172" s="5" t="s">
        <v>11446</v>
      </c>
      <c r="I172" s="5" t="s">
        <v>11447</v>
      </c>
      <c r="J172" s="5" t="s">
        <v>11533</v>
      </c>
      <c r="K172" s="5"/>
      <c r="L172" s="5" t="s">
        <v>11525</v>
      </c>
    </row>
    <row r="173" spans="1:12">
      <c r="A173" s="5" t="s">
        <v>11444</v>
      </c>
      <c r="B173" s="5" t="s">
        <v>11445</v>
      </c>
      <c r="C173" s="5">
        <v>169</v>
      </c>
      <c r="D173" s="5" t="s">
        <v>1877</v>
      </c>
      <c r="E173" s="5" t="s">
        <v>1878</v>
      </c>
      <c r="F173" s="5" t="s">
        <v>1877</v>
      </c>
      <c r="G173" s="5" t="s">
        <v>1878</v>
      </c>
      <c r="H173" s="5" t="s">
        <v>11446</v>
      </c>
      <c r="I173" s="5" t="s">
        <v>11447</v>
      </c>
      <c r="J173" s="5" t="s">
        <v>1886</v>
      </c>
      <c r="K173" s="5"/>
      <c r="L173" s="5"/>
    </row>
    <row r="174" spans="1:12">
      <c r="A174" s="5" t="s">
        <v>11444</v>
      </c>
      <c r="B174" s="5" t="s">
        <v>11445</v>
      </c>
      <c r="C174" s="5">
        <v>170</v>
      </c>
      <c r="D174" s="5" t="s">
        <v>1888</v>
      </c>
      <c r="E174" s="5" t="s">
        <v>1889</v>
      </c>
      <c r="F174" s="5" t="s">
        <v>1888</v>
      </c>
      <c r="G174" s="5" t="s">
        <v>1889</v>
      </c>
      <c r="H174" s="5" t="s">
        <v>11446</v>
      </c>
      <c r="I174" s="5" t="s">
        <v>11447</v>
      </c>
      <c r="J174" s="5" t="s">
        <v>1893</v>
      </c>
      <c r="K174" s="5"/>
      <c r="L174" s="5"/>
    </row>
    <row r="175" spans="1:12" ht="38.25">
      <c r="A175" s="5" t="s">
        <v>11444</v>
      </c>
      <c r="B175" s="5" t="s">
        <v>11445</v>
      </c>
      <c r="C175" s="5">
        <v>171</v>
      </c>
      <c r="D175" s="5" t="s">
        <v>1895</v>
      </c>
      <c r="E175" s="5" t="s">
        <v>1896</v>
      </c>
      <c r="F175" s="5" t="s">
        <v>1895</v>
      </c>
      <c r="G175" s="5" t="s">
        <v>1896</v>
      </c>
      <c r="H175" s="5" t="s">
        <v>11446</v>
      </c>
      <c r="I175" s="5" t="s">
        <v>11447</v>
      </c>
      <c r="J175" s="5" t="s">
        <v>1903</v>
      </c>
      <c r="K175" s="5"/>
      <c r="L175" s="5" t="s">
        <v>11517</v>
      </c>
    </row>
    <row r="176" spans="1:12">
      <c r="A176" s="5" t="s">
        <v>11444</v>
      </c>
      <c r="B176" s="5" t="s">
        <v>11445</v>
      </c>
      <c r="C176" s="5">
        <v>172</v>
      </c>
      <c r="D176" s="5" t="s">
        <v>1905</v>
      </c>
      <c r="E176" s="5" t="s">
        <v>1906</v>
      </c>
      <c r="F176" s="5" t="s">
        <v>1905</v>
      </c>
      <c r="G176" s="5" t="s">
        <v>1906</v>
      </c>
      <c r="H176" s="5" t="s">
        <v>11446</v>
      </c>
      <c r="I176" s="5" t="s">
        <v>11447</v>
      </c>
      <c r="J176" s="5" t="s">
        <v>1911</v>
      </c>
      <c r="K176" s="5"/>
      <c r="L176" s="5"/>
    </row>
    <row r="177" spans="1:12">
      <c r="A177" s="5" t="s">
        <v>11444</v>
      </c>
      <c r="B177" s="5" t="s">
        <v>11445</v>
      </c>
      <c r="C177" s="5">
        <v>173</v>
      </c>
      <c r="D177" s="5" t="s">
        <v>1913</v>
      </c>
      <c r="E177" s="5" t="s">
        <v>1914</v>
      </c>
      <c r="F177" s="5" t="s">
        <v>1913</v>
      </c>
      <c r="G177" s="5" t="s">
        <v>1914</v>
      </c>
      <c r="H177" s="5" t="s">
        <v>11446</v>
      </c>
      <c r="I177" s="5" t="s">
        <v>11447</v>
      </c>
      <c r="J177" s="5" t="s">
        <v>1920</v>
      </c>
      <c r="K177" s="5"/>
      <c r="L177" s="5"/>
    </row>
    <row r="178" spans="1:12">
      <c r="A178" s="5" t="s">
        <v>11444</v>
      </c>
      <c r="B178" s="5" t="s">
        <v>11445</v>
      </c>
      <c r="C178" s="5">
        <v>174</v>
      </c>
      <c r="D178" s="5" t="s">
        <v>1922</v>
      </c>
      <c r="E178" s="5" t="s">
        <v>1923</v>
      </c>
      <c r="F178" s="5" t="s">
        <v>1922</v>
      </c>
      <c r="G178" s="5" t="s">
        <v>1923</v>
      </c>
      <c r="H178" s="5" t="s">
        <v>11446</v>
      </c>
      <c r="I178" s="5" t="s">
        <v>11447</v>
      </c>
      <c r="J178" s="5" t="s">
        <v>1928</v>
      </c>
      <c r="K178" s="5"/>
      <c r="L178" s="5"/>
    </row>
    <row r="179" spans="1:12">
      <c r="A179" s="5" t="s">
        <v>11444</v>
      </c>
      <c r="B179" s="5" t="s">
        <v>11445</v>
      </c>
      <c r="C179" s="5">
        <v>175</v>
      </c>
      <c r="D179" s="5" t="s">
        <v>1930</v>
      </c>
      <c r="E179" s="5" t="s">
        <v>1931</v>
      </c>
      <c r="F179" s="5" t="s">
        <v>1930</v>
      </c>
      <c r="G179" s="5" t="s">
        <v>1931</v>
      </c>
      <c r="H179" s="5" t="s">
        <v>11446</v>
      </c>
      <c r="I179" s="5" t="s">
        <v>11447</v>
      </c>
      <c r="J179" s="5" t="s">
        <v>1939</v>
      </c>
      <c r="K179" s="5"/>
      <c r="L179" s="5"/>
    </row>
    <row r="180" spans="1:12" ht="51">
      <c r="A180" s="5" t="s">
        <v>11444</v>
      </c>
      <c r="B180" s="5" t="s">
        <v>11445</v>
      </c>
      <c r="C180" s="5">
        <v>176</v>
      </c>
      <c r="D180" s="5" t="s">
        <v>1941</v>
      </c>
      <c r="E180" s="5" t="s">
        <v>1942</v>
      </c>
      <c r="F180" s="5" t="s">
        <v>1941</v>
      </c>
      <c r="G180" s="5" t="s">
        <v>1942</v>
      </c>
      <c r="H180" s="5" t="s">
        <v>11446</v>
      </c>
      <c r="I180" s="5" t="s">
        <v>11447</v>
      </c>
      <c r="J180" s="5" t="s">
        <v>11534</v>
      </c>
      <c r="K180" s="5"/>
      <c r="L180" s="5" t="s">
        <v>11520</v>
      </c>
    </row>
    <row r="181" spans="1:12" ht="25.5">
      <c r="A181" s="5" t="s">
        <v>11444</v>
      </c>
      <c r="B181" s="5" t="s">
        <v>11445</v>
      </c>
      <c r="C181" s="5">
        <v>177</v>
      </c>
      <c r="D181" s="5" t="s">
        <v>1954</v>
      </c>
      <c r="E181" s="5" t="s">
        <v>11535</v>
      </c>
      <c r="F181" s="5" t="s">
        <v>1954</v>
      </c>
      <c r="G181" s="5" t="s">
        <v>1955</v>
      </c>
      <c r="H181" s="5" t="s">
        <v>11446</v>
      </c>
      <c r="I181" s="5" t="s">
        <v>11447</v>
      </c>
      <c r="J181" s="5" t="s">
        <v>1969</v>
      </c>
      <c r="K181" s="5"/>
      <c r="L181" s="5"/>
    </row>
    <row r="182" spans="1:12">
      <c r="A182" s="5" t="s">
        <v>11444</v>
      </c>
      <c r="B182" s="5" t="s">
        <v>11445</v>
      </c>
      <c r="C182" s="5">
        <v>178</v>
      </c>
      <c r="D182" s="5" t="s">
        <v>1971</v>
      </c>
      <c r="E182" s="5" t="s">
        <v>1972</v>
      </c>
      <c r="F182" s="5" t="s">
        <v>1971</v>
      </c>
      <c r="G182" s="5" t="s">
        <v>1972</v>
      </c>
      <c r="H182" s="5" t="s">
        <v>11446</v>
      </c>
      <c r="I182" s="5" t="s">
        <v>11447</v>
      </c>
      <c r="J182" s="5" t="s">
        <v>1979</v>
      </c>
      <c r="K182" s="5"/>
      <c r="L182" s="5"/>
    </row>
    <row r="183" spans="1:12" ht="51">
      <c r="A183" s="5" t="s">
        <v>11536</v>
      </c>
      <c r="B183" s="5" t="s">
        <v>11537</v>
      </c>
      <c r="C183" s="5">
        <v>7</v>
      </c>
      <c r="D183" s="5" t="s">
        <v>1992</v>
      </c>
      <c r="E183" s="5" t="s">
        <v>1982</v>
      </c>
      <c r="F183" s="5" t="s">
        <v>1981</v>
      </c>
      <c r="G183" s="5" t="s">
        <v>1982</v>
      </c>
      <c r="H183" s="5" t="s">
        <v>11538</v>
      </c>
      <c r="I183" s="5" t="s">
        <v>11539</v>
      </c>
      <c r="J183" s="5" t="s">
        <v>11540</v>
      </c>
      <c r="K183" s="5"/>
      <c r="L183" s="5" t="s">
        <v>11541</v>
      </c>
    </row>
    <row r="184" spans="1:12" ht="25.5">
      <c r="A184" s="5" t="s">
        <v>11536</v>
      </c>
      <c r="B184" s="5" t="s">
        <v>11537</v>
      </c>
      <c r="C184" s="5">
        <v>8</v>
      </c>
      <c r="D184" s="5" t="s">
        <v>2007</v>
      </c>
      <c r="E184" s="5" t="s">
        <v>1998</v>
      </c>
      <c r="F184" s="5" t="s">
        <v>1997</v>
      </c>
      <c r="G184" s="5" t="s">
        <v>1998</v>
      </c>
      <c r="H184" s="5" t="s">
        <v>11538</v>
      </c>
      <c r="I184" s="5" t="s">
        <v>11539</v>
      </c>
      <c r="J184" s="5" t="s">
        <v>11542</v>
      </c>
      <c r="K184" s="5"/>
      <c r="L184" s="5"/>
    </row>
    <row r="185" spans="1:12" ht="25.5">
      <c r="A185" s="5" t="s">
        <v>11536</v>
      </c>
      <c r="B185" s="5" t="s">
        <v>11537</v>
      </c>
      <c r="C185" s="5">
        <v>9</v>
      </c>
      <c r="D185" s="5" t="s">
        <v>11543</v>
      </c>
      <c r="E185" s="5" t="s">
        <v>68</v>
      </c>
      <c r="F185" s="5" t="s">
        <v>67</v>
      </c>
      <c r="G185" s="5" t="s">
        <v>1808</v>
      </c>
      <c r="H185" s="5" t="s">
        <v>11544</v>
      </c>
      <c r="I185" s="5" t="s">
        <v>11545</v>
      </c>
      <c r="J185" s="5" t="s">
        <v>11546</v>
      </c>
      <c r="K185" s="5"/>
      <c r="L185" s="5"/>
    </row>
    <row r="186" spans="1:12" ht="38.25">
      <c r="A186" s="5" t="s">
        <v>11536</v>
      </c>
      <c r="B186" s="5" t="s">
        <v>11537</v>
      </c>
      <c r="C186" s="5">
        <v>10</v>
      </c>
      <c r="D186" s="5" t="s">
        <v>11547</v>
      </c>
      <c r="E186" s="5" t="s">
        <v>11548</v>
      </c>
      <c r="F186" s="5" t="s">
        <v>1204</v>
      </c>
      <c r="G186" s="5" t="s">
        <v>1205</v>
      </c>
      <c r="H186" s="5" t="s">
        <v>11544</v>
      </c>
      <c r="I186" s="5" t="s">
        <v>11549</v>
      </c>
      <c r="J186" s="5" t="s">
        <v>11550</v>
      </c>
      <c r="K186" s="5" t="s">
        <v>1216</v>
      </c>
      <c r="L186" s="5"/>
    </row>
    <row r="187" spans="1:12" ht="25.5">
      <c r="A187" s="5" t="s">
        <v>11536</v>
      </c>
      <c r="B187" s="5" t="s">
        <v>11537</v>
      </c>
      <c r="C187" s="5">
        <v>11</v>
      </c>
      <c r="D187" s="5" t="s">
        <v>2021</v>
      </c>
      <c r="E187" s="5" t="s">
        <v>2012</v>
      </c>
      <c r="F187" s="5" t="s">
        <v>2011</v>
      </c>
      <c r="G187" s="5" t="s">
        <v>2012</v>
      </c>
      <c r="H187" s="5" t="s">
        <v>11538</v>
      </c>
      <c r="I187" s="5" t="s">
        <v>11539</v>
      </c>
      <c r="J187" s="5" t="s">
        <v>11551</v>
      </c>
      <c r="K187" s="5"/>
      <c r="L187" s="5"/>
    </row>
    <row r="188" spans="1:12" ht="127.5">
      <c r="A188" s="5" t="s">
        <v>11536</v>
      </c>
      <c r="B188" s="5" t="s">
        <v>11537</v>
      </c>
      <c r="C188" s="5">
        <v>12</v>
      </c>
      <c r="D188" s="5" t="s">
        <v>11552</v>
      </c>
      <c r="E188" s="5" t="s">
        <v>11553</v>
      </c>
      <c r="F188" s="5" t="s">
        <v>565</v>
      </c>
      <c r="G188" s="5" t="s">
        <v>566</v>
      </c>
      <c r="H188" s="5" t="s">
        <v>11544</v>
      </c>
      <c r="I188" s="5" t="s">
        <v>11554</v>
      </c>
      <c r="J188" s="5" t="s">
        <v>11555</v>
      </c>
      <c r="K188" s="5"/>
      <c r="L188" s="5" t="s">
        <v>11477</v>
      </c>
    </row>
    <row r="189" spans="1:12" ht="63.75">
      <c r="A189" s="5" t="s">
        <v>11536</v>
      </c>
      <c r="B189" s="5" t="s">
        <v>11537</v>
      </c>
      <c r="C189" s="5">
        <v>13</v>
      </c>
      <c r="D189" s="5" t="s">
        <v>2035</v>
      </c>
      <c r="E189" s="5" t="s">
        <v>2026</v>
      </c>
      <c r="F189" s="5" t="s">
        <v>2025</v>
      </c>
      <c r="G189" s="5" t="s">
        <v>2026</v>
      </c>
      <c r="H189" s="5" t="s">
        <v>11538</v>
      </c>
      <c r="I189" s="5" t="s">
        <v>11539</v>
      </c>
      <c r="J189" s="5" t="s">
        <v>11556</v>
      </c>
      <c r="K189" s="5"/>
      <c r="L189" s="5" t="s">
        <v>11557</v>
      </c>
    </row>
    <row r="190" spans="1:12">
      <c r="A190" s="5" t="s">
        <v>11536</v>
      </c>
      <c r="B190" s="5" t="s">
        <v>11537</v>
      </c>
      <c r="C190" s="5">
        <v>14</v>
      </c>
      <c r="D190" s="5" t="s">
        <v>11558</v>
      </c>
      <c r="E190" s="5" t="s">
        <v>11559</v>
      </c>
      <c r="F190" s="5" t="s">
        <v>470</v>
      </c>
      <c r="G190" s="5" t="s">
        <v>471</v>
      </c>
      <c r="H190" s="5" t="s">
        <v>11544</v>
      </c>
      <c r="I190" s="5" t="s">
        <v>11560</v>
      </c>
      <c r="J190" s="5" t="s">
        <v>11561</v>
      </c>
      <c r="K190" s="5"/>
      <c r="L190" s="5"/>
    </row>
    <row r="191" spans="1:12" ht="25.5">
      <c r="A191" s="5" t="s">
        <v>11536</v>
      </c>
      <c r="B191" s="5" t="s">
        <v>11537</v>
      </c>
      <c r="C191" s="5">
        <v>15</v>
      </c>
      <c r="D191" s="5" t="s">
        <v>2050</v>
      </c>
      <c r="E191" s="5" t="s">
        <v>2041</v>
      </c>
      <c r="F191" s="5" t="s">
        <v>2040</v>
      </c>
      <c r="G191" s="5" t="s">
        <v>2041</v>
      </c>
      <c r="H191" s="5" t="s">
        <v>11538</v>
      </c>
      <c r="I191" s="5" t="s">
        <v>11539</v>
      </c>
      <c r="J191" s="5" t="s">
        <v>11562</v>
      </c>
      <c r="K191" s="5"/>
      <c r="L191" s="5"/>
    </row>
    <row r="192" spans="1:12" ht="25.5">
      <c r="A192" s="5" t="s">
        <v>11536</v>
      </c>
      <c r="B192" s="5" t="s">
        <v>11537</v>
      </c>
      <c r="C192" s="5">
        <v>16</v>
      </c>
      <c r="D192" s="5" t="s">
        <v>2062</v>
      </c>
      <c r="E192" s="5" t="s">
        <v>2053</v>
      </c>
      <c r="F192" s="5" t="s">
        <v>81</v>
      </c>
      <c r="G192" s="5" t="s">
        <v>2053</v>
      </c>
      <c r="H192" s="5" t="s">
        <v>11538</v>
      </c>
      <c r="I192" s="5" t="s">
        <v>11539</v>
      </c>
      <c r="J192" s="5" t="s">
        <v>11563</v>
      </c>
      <c r="K192" s="5"/>
      <c r="L192" s="5"/>
    </row>
    <row r="193" spans="1:12" ht="25.5">
      <c r="A193" s="5" t="s">
        <v>11536</v>
      </c>
      <c r="B193" s="5" t="s">
        <v>11537</v>
      </c>
      <c r="C193" s="5">
        <v>17</v>
      </c>
      <c r="D193" s="5" t="s">
        <v>2076</v>
      </c>
      <c r="E193" s="5" t="s">
        <v>2067</v>
      </c>
      <c r="F193" s="5" t="s">
        <v>2066</v>
      </c>
      <c r="G193" s="5" t="s">
        <v>2067</v>
      </c>
      <c r="H193" s="5" t="s">
        <v>11538</v>
      </c>
      <c r="I193" s="5" t="s">
        <v>11539</v>
      </c>
      <c r="J193" s="5" t="s">
        <v>11564</v>
      </c>
      <c r="K193" s="5"/>
      <c r="L193" s="5"/>
    </row>
    <row r="194" spans="1:12" ht="38.25">
      <c r="A194" s="5" t="s">
        <v>11536</v>
      </c>
      <c r="B194" s="5" t="s">
        <v>11537</v>
      </c>
      <c r="C194" s="5">
        <v>18</v>
      </c>
      <c r="D194" s="5" t="s">
        <v>2090</v>
      </c>
      <c r="E194" s="5" t="s">
        <v>2081</v>
      </c>
      <c r="F194" s="5" t="s">
        <v>2080</v>
      </c>
      <c r="G194" s="5" t="s">
        <v>2081</v>
      </c>
      <c r="H194" s="5" t="s">
        <v>11538</v>
      </c>
      <c r="I194" s="5" t="s">
        <v>11539</v>
      </c>
      <c r="J194" s="5" t="s">
        <v>11565</v>
      </c>
      <c r="K194" s="5"/>
      <c r="L194" s="5" t="s">
        <v>11566</v>
      </c>
    </row>
    <row r="195" spans="1:12" ht="38.25">
      <c r="A195" s="5" t="s">
        <v>11536</v>
      </c>
      <c r="B195" s="5" t="s">
        <v>11537</v>
      </c>
      <c r="C195" s="5">
        <v>19</v>
      </c>
      <c r="D195" s="5" t="s">
        <v>2104</v>
      </c>
      <c r="E195" s="5" t="s">
        <v>2096</v>
      </c>
      <c r="F195" s="5" t="s">
        <v>2095</v>
      </c>
      <c r="G195" s="5" t="s">
        <v>2096</v>
      </c>
      <c r="H195" s="5" t="s">
        <v>11538</v>
      </c>
      <c r="I195" s="5" t="s">
        <v>11539</v>
      </c>
      <c r="J195" s="5" t="s">
        <v>11567</v>
      </c>
      <c r="K195" s="5"/>
      <c r="L195" s="5" t="s">
        <v>11566</v>
      </c>
    </row>
    <row r="196" spans="1:12" ht="25.5">
      <c r="A196" s="5" t="s">
        <v>11536</v>
      </c>
      <c r="B196" s="5" t="s">
        <v>11537</v>
      </c>
      <c r="C196" s="5">
        <v>20</v>
      </c>
      <c r="D196" s="5" t="s">
        <v>2118</v>
      </c>
      <c r="E196" s="5" t="s">
        <v>2108</v>
      </c>
      <c r="F196" s="5" t="s">
        <v>2107</v>
      </c>
      <c r="G196" s="5" t="s">
        <v>2108</v>
      </c>
      <c r="H196" s="5" t="s">
        <v>11538</v>
      </c>
      <c r="I196" s="5" t="s">
        <v>11539</v>
      </c>
      <c r="J196" s="5" t="s">
        <v>11568</v>
      </c>
      <c r="K196" s="5"/>
      <c r="L196" s="5"/>
    </row>
    <row r="197" spans="1:12" ht="25.5">
      <c r="A197" s="5" t="s">
        <v>11536</v>
      </c>
      <c r="B197" s="5" t="s">
        <v>11537</v>
      </c>
      <c r="C197" s="5">
        <v>21</v>
      </c>
      <c r="D197" s="5" t="s">
        <v>2132</v>
      </c>
      <c r="E197" s="5" t="s">
        <v>2123</v>
      </c>
      <c r="F197" s="5" t="s">
        <v>2122</v>
      </c>
      <c r="G197" s="5" t="s">
        <v>2123</v>
      </c>
      <c r="H197" s="5" t="s">
        <v>11538</v>
      </c>
      <c r="I197" s="5" t="s">
        <v>11539</v>
      </c>
      <c r="J197" s="5" t="s">
        <v>11569</v>
      </c>
      <c r="K197" s="5"/>
      <c r="L197" s="5"/>
    </row>
    <row r="198" spans="1:12" ht="38.25">
      <c r="A198" s="5" t="s">
        <v>11536</v>
      </c>
      <c r="B198" s="5" t="s">
        <v>11537</v>
      </c>
      <c r="C198" s="5">
        <v>22</v>
      </c>
      <c r="D198" s="5" t="s">
        <v>2147</v>
      </c>
      <c r="E198" s="5" t="s">
        <v>2137</v>
      </c>
      <c r="F198" s="5" t="s">
        <v>2136</v>
      </c>
      <c r="G198" s="5" t="s">
        <v>2137</v>
      </c>
      <c r="H198" s="5" t="s">
        <v>11538</v>
      </c>
      <c r="I198" s="5" t="s">
        <v>11539</v>
      </c>
      <c r="J198" s="5" t="s">
        <v>11570</v>
      </c>
      <c r="K198" s="5"/>
      <c r="L198" s="5" t="s">
        <v>11571</v>
      </c>
    </row>
    <row r="199" spans="1:12" ht="25.5">
      <c r="A199" s="5" t="s">
        <v>11536</v>
      </c>
      <c r="B199" s="5" t="s">
        <v>11537</v>
      </c>
      <c r="C199" s="5">
        <v>23</v>
      </c>
      <c r="D199" s="5" t="s">
        <v>2161</v>
      </c>
      <c r="E199" s="5" t="s">
        <v>2152</v>
      </c>
      <c r="F199" s="5" t="s">
        <v>2151</v>
      </c>
      <c r="G199" s="5" t="s">
        <v>2152</v>
      </c>
      <c r="H199" s="5" t="s">
        <v>11538</v>
      </c>
      <c r="I199" s="5" t="s">
        <v>11539</v>
      </c>
      <c r="J199" s="5" t="s">
        <v>11572</v>
      </c>
      <c r="K199" s="5"/>
      <c r="L199" s="5"/>
    </row>
    <row r="200" spans="1:12" ht="51">
      <c r="A200" s="5" t="s">
        <v>11536</v>
      </c>
      <c r="B200" s="5" t="s">
        <v>11537</v>
      </c>
      <c r="C200" s="5">
        <v>24</v>
      </c>
      <c r="D200" s="5" t="s">
        <v>11573</v>
      </c>
      <c r="E200" s="5" t="s">
        <v>11574</v>
      </c>
      <c r="F200" s="5" t="s">
        <v>894</v>
      </c>
      <c r="G200" s="5" t="s">
        <v>895</v>
      </c>
      <c r="H200" s="5" t="s">
        <v>11544</v>
      </c>
      <c r="I200" s="5" t="s">
        <v>11575</v>
      </c>
      <c r="J200" s="5" t="s">
        <v>11576</v>
      </c>
      <c r="K200" s="5" t="s">
        <v>906</v>
      </c>
      <c r="L200" s="5" t="s">
        <v>11492</v>
      </c>
    </row>
    <row r="201" spans="1:12" ht="76.5">
      <c r="A201" s="5" t="s">
        <v>11536</v>
      </c>
      <c r="B201" s="5" t="s">
        <v>11537</v>
      </c>
      <c r="C201" s="5">
        <v>25</v>
      </c>
      <c r="D201" s="5" t="s">
        <v>11577</v>
      </c>
      <c r="E201" s="5" t="s">
        <v>11578</v>
      </c>
      <c r="F201" s="5" t="s">
        <v>32</v>
      </c>
      <c r="G201" s="5" t="s">
        <v>508</v>
      </c>
      <c r="H201" s="5" t="s">
        <v>11544</v>
      </c>
      <c r="I201" s="5" t="s">
        <v>11579</v>
      </c>
      <c r="J201" s="5" t="s">
        <v>11580</v>
      </c>
      <c r="K201" s="5"/>
      <c r="L201" s="5" t="s">
        <v>11471</v>
      </c>
    </row>
    <row r="202" spans="1:12" ht="25.5">
      <c r="A202" s="5" t="s">
        <v>11536</v>
      </c>
      <c r="B202" s="5" t="s">
        <v>11537</v>
      </c>
      <c r="C202" s="5">
        <v>26</v>
      </c>
      <c r="D202" s="5" t="s">
        <v>2177</v>
      </c>
      <c r="E202" s="5" t="s">
        <v>2166</v>
      </c>
      <c r="F202" s="5" t="s">
        <v>2165</v>
      </c>
      <c r="G202" s="5" t="s">
        <v>2166</v>
      </c>
      <c r="H202" s="5" t="s">
        <v>11538</v>
      </c>
      <c r="I202" s="5" t="s">
        <v>11539</v>
      </c>
      <c r="J202" s="5" t="s">
        <v>11581</v>
      </c>
      <c r="K202" s="5"/>
      <c r="L202" s="5"/>
    </row>
    <row r="203" spans="1:12" ht="25.5">
      <c r="A203" s="5" t="s">
        <v>11536</v>
      </c>
      <c r="B203" s="5" t="s">
        <v>11537</v>
      </c>
      <c r="C203" s="5">
        <v>27</v>
      </c>
      <c r="D203" s="5" t="s">
        <v>2191</v>
      </c>
      <c r="E203" s="5" t="s">
        <v>2182</v>
      </c>
      <c r="F203" s="5" t="s">
        <v>2181</v>
      </c>
      <c r="G203" s="5" t="s">
        <v>2182</v>
      </c>
      <c r="H203" s="5" t="s">
        <v>11538</v>
      </c>
      <c r="I203" s="5" t="s">
        <v>11539</v>
      </c>
      <c r="J203" s="5" t="s">
        <v>11582</v>
      </c>
      <c r="K203" s="5"/>
      <c r="L203" s="5"/>
    </row>
    <row r="204" spans="1:12" ht="25.5">
      <c r="A204" s="5" t="s">
        <v>11536</v>
      </c>
      <c r="B204" s="5" t="s">
        <v>11537</v>
      </c>
      <c r="C204" s="5">
        <v>28</v>
      </c>
      <c r="D204" s="5" t="s">
        <v>11583</v>
      </c>
      <c r="E204" s="5" t="s">
        <v>1955</v>
      </c>
      <c r="F204" s="5" t="s">
        <v>1954</v>
      </c>
      <c r="G204" s="5" t="s">
        <v>1955</v>
      </c>
      <c r="H204" s="5" t="s">
        <v>11544</v>
      </c>
      <c r="I204" s="5" t="s">
        <v>11584</v>
      </c>
      <c r="J204" s="5" t="s">
        <v>11585</v>
      </c>
      <c r="K204" s="5" t="s">
        <v>1967</v>
      </c>
      <c r="L204" s="5"/>
    </row>
    <row r="205" spans="1:12" ht="25.5">
      <c r="A205" s="5" t="s">
        <v>11536</v>
      </c>
      <c r="B205" s="5" t="s">
        <v>11537</v>
      </c>
      <c r="C205" s="5">
        <v>29</v>
      </c>
      <c r="D205" s="5" t="s">
        <v>11586</v>
      </c>
      <c r="E205" s="5" t="s">
        <v>11587</v>
      </c>
      <c r="F205" s="5" t="s">
        <v>165</v>
      </c>
      <c r="G205" s="5" t="s">
        <v>166</v>
      </c>
      <c r="H205" s="5" t="s">
        <v>11544</v>
      </c>
      <c r="I205" s="5" t="s">
        <v>11588</v>
      </c>
      <c r="J205" s="5" t="s">
        <v>11589</v>
      </c>
      <c r="K205" s="5" t="s">
        <v>181</v>
      </c>
      <c r="L205" s="5"/>
    </row>
    <row r="206" spans="1:12">
      <c r="A206" s="5" t="s">
        <v>11536</v>
      </c>
      <c r="B206" s="5" t="s">
        <v>11537</v>
      </c>
      <c r="C206" s="5">
        <v>30</v>
      </c>
      <c r="D206" s="5" t="s">
        <v>11590</v>
      </c>
      <c r="E206" s="5" t="s">
        <v>303</v>
      </c>
      <c r="F206" s="5" t="s">
        <v>302</v>
      </c>
      <c r="G206" s="5" t="s">
        <v>303</v>
      </c>
      <c r="H206" s="5" t="s">
        <v>11544</v>
      </c>
      <c r="I206" s="5" t="s">
        <v>11591</v>
      </c>
      <c r="J206" s="5" t="s">
        <v>11592</v>
      </c>
      <c r="K206" s="5"/>
      <c r="L206" s="5"/>
    </row>
    <row r="207" spans="1:12" ht="51">
      <c r="A207" s="5" t="s">
        <v>11536</v>
      </c>
      <c r="B207" s="5" t="s">
        <v>11537</v>
      </c>
      <c r="C207" s="5">
        <v>31</v>
      </c>
      <c r="D207" s="5" t="s">
        <v>2205</v>
      </c>
      <c r="E207" s="5" t="s">
        <v>2196</v>
      </c>
      <c r="F207" s="5" t="s">
        <v>2195</v>
      </c>
      <c r="G207" s="5" t="s">
        <v>2196</v>
      </c>
      <c r="H207" s="5" t="s">
        <v>11538</v>
      </c>
      <c r="I207" s="5" t="s">
        <v>11539</v>
      </c>
      <c r="J207" s="5" t="s">
        <v>11593</v>
      </c>
      <c r="K207" s="5"/>
      <c r="L207" s="5" t="s">
        <v>11594</v>
      </c>
    </row>
    <row r="208" spans="1:12" ht="51">
      <c r="A208" s="5" t="s">
        <v>11536</v>
      </c>
      <c r="B208" s="5" t="s">
        <v>11537</v>
      </c>
      <c r="C208" s="5">
        <v>32</v>
      </c>
      <c r="D208" s="5" t="s">
        <v>2220</v>
      </c>
      <c r="E208" s="5" t="s">
        <v>2211</v>
      </c>
      <c r="F208" s="5" t="s">
        <v>2210</v>
      </c>
      <c r="G208" s="5" t="s">
        <v>2211</v>
      </c>
      <c r="H208" s="5" t="s">
        <v>11538</v>
      </c>
      <c r="I208" s="5" t="s">
        <v>11539</v>
      </c>
      <c r="J208" s="5" t="s">
        <v>11595</v>
      </c>
      <c r="K208" s="5"/>
      <c r="L208" s="5" t="s">
        <v>11594</v>
      </c>
    </row>
    <row r="209" spans="1:12" ht="38.25">
      <c r="A209" s="5" t="s">
        <v>11536</v>
      </c>
      <c r="B209" s="5" t="s">
        <v>11537</v>
      </c>
      <c r="C209" s="5">
        <v>33</v>
      </c>
      <c r="D209" s="5" t="s">
        <v>2234</v>
      </c>
      <c r="E209" s="5" t="s">
        <v>2224</v>
      </c>
      <c r="F209" s="5" t="s">
        <v>2223</v>
      </c>
      <c r="G209" s="5" t="s">
        <v>2224</v>
      </c>
      <c r="H209" s="5" t="s">
        <v>11538</v>
      </c>
      <c r="I209" s="5" t="s">
        <v>11539</v>
      </c>
      <c r="J209" s="5" t="s">
        <v>11596</v>
      </c>
      <c r="K209" s="5"/>
      <c r="L209" s="5" t="s">
        <v>11498</v>
      </c>
    </row>
    <row r="210" spans="1:12" ht="25.5">
      <c r="A210" s="5" t="s">
        <v>11536</v>
      </c>
      <c r="B210" s="5" t="s">
        <v>11537</v>
      </c>
      <c r="C210" s="5">
        <v>34</v>
      </c>
      <c r="D210" s="5" t="s">
        <v>11597</v>
      </c>
      <c r="E210" s="5" t="s">
        <v>40</v>
      </c>
      <c r="F210" s="5" t="s">
        <v>39</v>
      </c>
      <c r="G210" s="5" t="s">
        <v>1158</v>
      </c>
      <c r="H210" s="5" t="s">
        <v>11544</v>
      </c>
      <c r="I210" s="5" t="s">
        <v>11598</v>
      </c>
      <c r="J210" s="5" t="s">
        <v>11501</v>
      </c>
      <c r="K210" s="5"/>
      <c r="L210" s="5"/>
    </row>
    <row r="211" spans="1:12">
      <c r="A211" s="5" t="s">
        <v>11536</v>
      </c>
      <c r="B211" s="5" t="s">
        <v>11537</v>
      </c>
      <c r="C211" s="5">
        <v>35</v>
      </c>
      <c r="D211" s="5" t="s">
        <v>11599</v>
      </c>
      <c r="E211" s="5" t="s">
        <v>11600</v>
      </c>
      <c r="F211" s="5" t="s">
        <v>433</v>
      </c>
      <c r="G211" s="5" t="s">
        <v>434</v>
      </c>
      <c r="H211" s="5" t="s">
        <v>11544</v>
      </c>
      <c r="I211" s="5" t="s">
        <v>11601</v>
      </c>
      <c r="J211" s="5" t="s">
        <v>11602</v>
      </c>
      <c r="K211" s="5"/>
      <c r="L211" s="5"/>
    </row>
    <row r="212" spans="1:12" ht="76.5">
      <c r="A212" s="5" t="s">
        <v>11536</v>
      </c>
      <c r="B212" s="5" t="s">
        <v>11537</v>
      </c>
      <c r="C212" s="5">
        <v>36</v>
      </c>
      <c r="D212" s="5" t="s">
        <v>11603</v>
      </c>
      <c r="E212" s="5" t="s">
        <v>11604</v>
      </c>
      <c r="F212" s="5" t="s">
        <v>969</v>
      </c>
      <c r="G212" s="5" t="s">
        <v>970</v>
      </c>
      <c r="H212" s="5" t="s">
        <v>11544</v>
      </c>
      <c r="I212" s="5" t="s">
        <v>11605</v>
      </c>
      <c r="J212" s="5" t="s">
        <v>11606</v>
      </c>
      <c r="K212" s="5"/>
      <c r="L212" s="5" t="s">
        <v>11478</v>
      </c>
    </row>
    <row r="213" spans="1:12">
      <c r="A213" s="5" t="s">
        <v>11536</v>
      </c>
      <c r="B213" s="5" t="s">
        <v>11537</v>
      </c>
      <c r="C213" s="5">
        <v>37</v>
      </c>
      <c r="D213" s="5" t="s">
        <v>11607</v>
      </c>
      <c r="E213" s="5" t="s">
        <v>983</v>
      </c>
      <c r="F213" s="5" t="s">
        <v>982</v>
      </c>
      <c r="G213" s="5" t="s">
        <v>983</v>
      </c>
      <c r="H213" s="5" t="s">
        <v>11544</v>
      </c>
      <c r="I213" s="5" t="s">
        <v>11608</v>
      </c>
      <c r="J213" s="5" t="s">
        <v>11609</v>
      </c>
      <c r="K213" s="5"/>
      <c r="L213" s="5"/>
    </row>
    <row r="214" spans="1:12" ht="76.5">
      <c r="A214" s="5" t="s">
        <v>11536</v>
      </c>
      <c r="B214" s="5" t="s">
        <v>11537</v>
      </c>
      <c r="C214" s="5">
        <v>38</v>
      </c>
      <c r="D214" s="5" t="s">
        <v>11610</v>
      </c>
      <c r="E214" s="5" t="s">
        <v>61</v>
      </c>
      <c r="F214" s="5" t="s">
        <v>60</v>
      </c>
      <c r="G214" s="5" t="s">
        <v>61</v>
      </c>
      <c r="H214" s="5" t="s">
        <v>11544</v>
      </c>
      <c r="I214" s="5" t="s">
        <v>11611</v>
      </c>
      <c r="J214" s="5" t="s">
        <v>11612</v>
      </c>
      <c r="K214" s="5"/>
      <c r="L214" s="5" t="s">
        <v>11478</v>
      </c>
    </row>
    <row r="215" spans="1:12" ht="38.25">
      <c r="A215" s="5" t="s">
        <v>11536</v>
      </c>
      <c r="B215" s="5" t="s">
        <v>11537</v>
      </c>
      <c r="C215" s="5">
        <v>39</v>
      </c>
      <c r="D215" s="5" t="s">
        <v>2248</v>
      </c>
      <c r="E215" s="5" t="s">
        <v>2239</v>
      </c>
      <c r="F215" s="5" t="s">
        <v>2238</v>
      </c>
      <c r="G215" s="5" t="s">
        <v>2239</v>
      </c>
      <c r="H215" s="5" t="s">
        <v>11538</v>
      </c>
      <c r="I215" s="5" t="s">
        <v>11539</v>
      </c>
      <c r="J215" s="5" t="s">
        <v>11613</v>
      </c>
      <c r="K215" s="5"/>
      <c r="L215" s="5" t="s">
        <v>11498</v>
      </c>
    </row>
    <row r="216" spans="1:12">
      <c r="A216" s="5" t="s">
        <v>11536</v>
      </c>
      <c r="B216" s="5" t="s">
        <v>11537</v>
      </c>
      <c r="C216" s="5">
        <v>40</v>
      </c>
      <c r="D216" s="5" t="s">
        <v>11614</v>
      </c>
      <c r="E216" s="5" t="s">
        <v>11615</v>
      </c>
      <c r="F216" s="5" t="s">
        <v>824</v>
      </c>
      <c r="G216" s="5" t="s">
        <v>825</v>
      </c>
      <c r="H216" s="5" t="s">
        <v>11544</v>
      </c>
      <c r="I216" s="5" t="s">
        <v>11616</v>
      </c>
      <c r="J216" s="5" t="s">
        <v>11617</v>
      </c>
      <c r="K216" s="5"/>
      <c r="L216" s="5"/>
    </row>
    <row r="217" spans="1:12" ht="25.5">
      <c r="A217" s="5" t="s">
        <v>11536</v>
      </c>
      <c r="B217" s="5" t="s">
        <v>11537</v>
      </c>
      <c r="C217" s="5">
        <v>41</v>
      </c>
      <c r="D217" s="5" t="s">
        <v>2263</v>
      </c>
      <c r="E217" s="5" t="s">
        <v>2253</v>
      </c>
      <c r="F217" s="5" t="s">
        <v>2252</v>
      </c>
      <c r="G217" s="5" t="s">
        <v>2253</v>
      </c>
      <c r="H217" s="5" t="s">
        <v>11538</v>
      </c>
      <c r="I217" s="5" t="s">
        <v>11539</v>
      </c>
      <c r="J217" s="5" t="s">
        <v>11618</v>
      </c>
      <c r="K217" s="5"/>
      <c r="L217" s="5"/>
    </row>
    <row r="218" spans="1:12" ht="25.5">
      <c r="A218" s="5" t="s">
        <v>11536</v>
      </c>
      <c r="B218" s="5" t="s">
        <v>11537</v>
      </c>
      <c r="C218" s="5">
        <v>42</v>
      </c>
      <c r="D218" s="5" t="s">
        <v>2277</v>
      </c>
      <c r="E218" s="5" t="s">
        <v>2268</v>
      </c>
      <c r="F218" s="5" t="s">
        <v>2267</v>
      </c>
      <c r="G218" s="5" t="s">
        <v>2268</v>
      </c>
      <c r="H218" s="5" t="s">
        <v>11538</v>
      </c>
      <c r="I218" s="5" t="s">
        <v>11539</v>
      </c>
      <c r="J218" s="5" t="s">
        <v>11619</v>
      </c>
      <c r="K218" s="5"/>
      <c r="L218" s="5"/>
    </row>
    <row r="219" spans="1:12" ht="25.5">
      <c r="A219" s="5" t="s">
        <v>11536</v>
      </c>
      <c r="B219" s="5" t="s">
        <v>11537</v>
      </c>
      <c r="C219" s="5">
        <v>43</v>
      </c>
      <c r="D219" s="5" t="s">
        <v>2291</v>
      </c>
      <c r="E219" s="5" t="s">
        <v>2282</v>
      </c>
      <c r="F219" s="5" t="s">
        <v>2281</v>
      </c>
      <c r="G219" s="5" t="s">
        <v>2282</v>
      </c>
      <c r="H219" s="5" t="s">
        <v>11538</v>
      </c>
      <c r="I219" s="5" t="s">
        <v>11539</v>
      </c>
      <c r="J219" s="5" t="s">
        <v>11620</v>
      </c>
      <c r="K219" s="5"/>
      <c r="L219" s="5"/>
    </row>
    <row r="220" spans="1:12" ht="25.5">
      <c r="A220" s="5" t="s">
        <v>11536</v>
      </c>
      <c r="B220" s="5" t="s">
        <v>11537</v>
      </c>
      <c r="C220" s="5">
        <v>44</v>
      </c>
      <c r="D220" s="5" t="s">
        <v>2305</v>
      </c>
      <c r="E220" s="5" t="s">
        <v>2296</v>
      </c>
      <c r="F220" s="5" t="s">
        <v>2295</v>
      </c>
      <c r="G220" s="5" t="s">
        <v>2296</v>
      </c>
      <c r="H220" s="5" t="s">
        <v>11538</v>
      </c>
      <c r="I220" s="5" t="s">
        <v>11539</v>
      </c>
      <c r="J220" s="5" t="s">
        <v>11621</v>
      </c>
      <c r="K220" s="5"/>
      <c r="L220" s="5"/>
    </row>
    <row r="221" spans="1:12" ht="38.25">
      <c r="A221" s="5" t="s">
        <v>11536</v>
      </c>
      <c r="B221" s="5" t="s">
        <v>11537</v>
      </c>
      <c r="C221" s="5">
        <v>45</v>
      </c>
      <c r="D221" s="5" t="s">
        <v>2319</v>
      </c>
      <c r="E221" s="5" t="s">
        <v>2310</v>
      </c>
      <c r="F221" s="5" t="s">
        <v>2309</v>
      </c>
      <c r="G221" s="5" t="s">
        <v>2310</v>
      </c>
      <c r="H221" s="5" t="s">
        <v>11538</v>
      </c>
      <c r="I221" s="5" t="s">
        <v>11539</v>
      </c>
      <c r="J221" s="5" t="s">
        <v>11622</v>
      </c>
      <c r="K221" s="5"/>
      <c r="L221" s="5" t="s">
        <v>11623</v>
      </c>
    </row>
    <row r="222" spans="1:12" ht="38.25">
      <c r="A222" s="5" t="s">
        <v>11536</v>
      </c>
      <c r="B222" s="5" t="s">
        <v>11537</v>
      </c>
      <c r="C222" s="5">
        <v>46</v>
      </c>
      <c r="D222" s="5" t="s">
        <v>2331</v>
      </c>
      <c r="E222" s="5" t="s">
        <v>2324</v>
      </c>
      <c r="F222" s="5" t="s">
        <v>2323</v>
      </c>
      <c r="G222" s="5" t="s">
        <v>2324</v>
      </c>
      <c r="H222" s="5" t="s">
        <v>11538</v>
      </c>
      <c r="I222" s="5" t="s">
        <v>11539</v>
      </c>
      <c r="J222" s="5" t="s">
        <v>11624</v>
      </c>
      <c r="K222" s="5"/>
      <c r="L222" s="5" t="s">
        <v>11623</v>
      </c>
    </row>
    <row r="223" spans="1:12" ht="38.25">
      <c r="A223" s="5" t="s">
        <v>11536</v>
      </c>
      <c r="B223" s="5" t="s">
        <v>11537</v>
      </c>
      <c r="C223" s="5">
        <v>47</v>
      </c>
      <c r="D223" s="5" t="s">
        <v>2342</v>
      </c>
      <c r="E223" s="5" t="s">
        <v>2335</v>
      </c>
      <c r="F223" s="5" t="s">
        <v>2334</v>
      </c>
      <c r="G223" s="5" t="s">
        <v>2335</v>
      </c>
      <c r="H223" s="5" t="s">
        <v>11538</v>
      </c>
      <c r="I223" s="5" t="s">
        <v>11539</v>
      </c>
      <c r="J223" s="5" t="s">
        <v>11625</v>
      </c>
      <c r="K223" s="5"/>
      <c r="L223" s="5" t="s">
        <v>11623</v>
      </c>
    </row>
    <row r="224" spans="1:12" ht="25.5">
      <c r="A224" s="5" t="s">
        <v>11536</v>
      </c>
      <c r="B224" s="5" t="s">
        <v>11537</v>
      </c>
      <c r="C224" s="5">
        <v>48</v>
      </c>
      <c r="D224" s="5" t="s">
        <v>2355</v>
      </c>
      <c r="E224" s="5" t="s">
        <v>2346</v>
      </c>
      <c r="F224" s="5" t="s">
        <v>2345</v>
      </c>
      <c r="G224" s="5" t="s">
        <v>2346</v>
      </c>
      <c r="H224" s="5" t="s">
        <v>11538</v>
      </c>
      <c r="I224" s="5" t="s">
        <v>11539</v>
      </c>
      <c r="J224" s="5" t="s">
        <v>11626</v>
      </c>
      <c r="K224" s="5"/>
      <c r="L224" s="5"/>
    </row>
    <row r="225" spans="1:12" ht="25.5">
      <c r="A225" s="5" t="s">
        <v>11536</v>
      </c>
      <c r="B225" s="5" t="s">
        <v>11537</v>
      </c>
      <c r="C225" s="5">
        <v>49</v>
      </c>
      <c r="D225" s="5" t="s">
        <v>2368</v>
      </c>
      <c r="E225" s="5" t="s">
        <v>2360</v>
      </c>
      <c r="F225" s="5" t="s">
        <v>2359</v>
      </c>
      <c r="G225" s="5" t="s">
        <v>2360</v>
      </c>
      <c r="H225" s="5" t="s">
        <v>11538</v>
      </c>
      <c r="I225" s="5" t="s">
        <v>11539</v>
      </c>
      <c r="J225" s="5" t="s">
        <v>11627</v>
      </c>
      <c r="K225" s="5"/>
      <c r="L225" s="5"/>
    </row>
    <row r="226" spans="1:12" ht="25.5">
      <c r="A226" s="5" t="s">
        <v>11536</v>
      </c>
      <c r="B226" s="5" t="s">
        <v>11537</v>
      </c>
      <c r="C226" s="5">
        <v>50</v>
      </c>
      <c r="D226" s="5" t="s">
        <v>2382</v>
      </c>
      <c r="E226" s="5" t="s">
        <v>2373</v>
      </c>
      <c r="F226" s="5" t="s">
        <v>2372</v>
      </c>
      <c r="G226" s="5" t="s">
        <v>2373</v>
      </c>
      <c r="H226" s="5" t="s">
        <v>11538</v>
      </c>
      <c r="I226" s="5" t="s">
        <v>11539</v>
      </c>
      <c r="J226" s="5" t="s">
        <v>11628</v>
      </c>
      <c r="K226" s="5"/>
      <c r="L226" s="5"/>
    </row>
    <row r="227" spans="1:12" ht="25.5">
      <c r="A227" s="5" t="s">
        <v>11536</v>
      </c>
      <c r="B227" s="5" t="s">
        <v>11537</v>
      </c>
      <c r="C227" s="5">
        <v>51</v>
      </c>
      <c r="D227" s="5" t="s">
        <v>2396</v>
      </c>
      <c r="E227" s="5" t="s">
        <v>2387</v>
      </c>
      <c r="F227" s="5" t="s">
        <v>2386</v>
      </c>
      <c r="G227" s="5" t="s">
        <v>2387</v>
      </c>
      <c r="H227" s="5" t="s">
        <v>11538</v>
      </c>
      <c r="I227" s="5" t="s">
        <v>11539</v>
      </c>
      <c r="J227" s="5" t="s">
        <v>11629</v>
      </c>
      <c r="K227" s="5"/>
      <c r="L227" s="5"/>
    </row>
    <row r="228" spans="1:12" ht="25.5">
      <c r="A228" s="5" t="s">
        <v>11536</v>
      </c>
      <c r="B228" s="5" t="s">
        <v>11537</v>
      </c>
      <c r="C228" s="5">
        <v>52</v>
      </c>
      <c r="D228" s="5" t="s">
        <v>2410</v>
      </c>
      <c r="E228" s="5" t="s">
        <v>2401</v>
      </c>
      <c r="F228" s="5" t="s">
        <v>2400</v>
      </c>
      <c r="G228" s="5" t="s">
        <v>2401</v>
      </c>
      <c r="H228" s="5" t="s">
        <v>11538</v>
      </c>
      <c r="I228" s="5" t="s">
        <v>11539</v>
      </c>
      <c r="J228" s="5" t="s">
        <v>11630</v>
      </c>
      <c r="K228" s="5"/>
      <c r="L228" s="5"/>
    </row>
    <row r="229" spans="1:12" ht="25.5">
      <c r="A229" s="5" t="s">
        <v>11536</v>
      </c>
      <c r="B229" s="5" t="s">
        <v>11537</v>
      </c>
      <c r="C229" s="5">
        <v>53</v>
      </c>
      <c r="D229" s="5" t="s">
        <v>2423</v>
      </c>
      <c r="E229" s="5" t="s">
        <v>2414</v>
      </c>
      <c r="F229" s="5" t="s">
        <v>2413</v>
      </c>
      <c r="G229" s="5" t="s">
        <v>2414</v>
      </c>
      <c r="H229" s="5" t="s">
        <v>11538</v>
      </c>
      <c r="I229" s="5" t="s">
        <v>11539</v>
      </c>
      <c r="J229" s="5" t="s">
        <v>11631</v>
      </c>
      <c r="K229" s="5"/>
      <c r="L229" s="5"/>
    </row>
    <row r="230" spans="1:12" ht="25.5">
      <c r="A230" s="5" t="s">
        <v>11536</v>
      </c>
      <c r="B230" s="5" t="s">
        <v>11537</v>
      </c>
      <c r="C230" s="5">
        <v>54</v>
      </c>
      <c r="D230" s="5" t="s">
        <v>2436</v>
      </c>
      <c r="E230" s="5" t="s">
        <v>2427</v>
      </c>
      <c r="F230" s="5" t="s">
        <v>2426</v>
      </c>
      <c r="G230" s="5" t="s">
        <v>2427</v>
      </c>
      <c r="H230" s="5" t="s">
        <v>11538</v>
      </c>
      <c r="I230" s="5" t="s">
        <v>11539</v>
      </c>
      <c r="J230" s="5" t="s">
        <v>11632</v>
      </c>
      <c r="K230" s="5"/>
      <c r="L230" s="5"/>
    </row>
    <row r="231" spans="1:12" ht="25.5">
      <c r="A231" s="5" t="s">
        <v>11536</v>
      </c>
      <c r="B231" s="5" t="s">
        <v>11537</v>
      </c>
      <c r="C231" s="5">
        <v>55</v>
      </c>
      <c r="D231" s="5" t="s">
        <v>2448</v>
      </c>
      <c r="E231" s="5" t="s">
        <v>2440</v>
      </c>
      <c r="F231" s="5" t="s">
        <v>2439</v>
      </c>
      <c r="G231" s="5" t="s">
        <v>2440</v>
      </c>
      <c r="H231" s="5" t="s">
        <v>11538</v>
      </c>
      <c r="I231" s="5" t="s">
        <v>11539</v>
      </c>
      <c r="J231" s="5" t="s">
        <v>11633</v>
      </c>
      <c r="K231" s="5"/>
      <c r="L231" s="5"/>
    </row>
    <row r="232" spans="1:12" ht="25.5">
      <c r="A232" s="5" t="s">
        <v>11536</v>
      </c>
      <c r="B232" s="5" t="s">
        <v>11537</v>
      </c>
      <c r="C232" s="5">
        <v>56</v>
      </c>
      <c r="D232" s="5" t="s">
        <v>2461</v>
      </c>
      <c r="E232" s="5" t="s">
        <v>2452</v>
      </c>
      <c r="F232" s="5" t="s">
        <v>2451</v>
      </c>
      <c r="G232" s="5" t="s">
        <v>2452</v>
      </c>
      <c r="H232" s="5" t="s">
        <v>11538</v>
      </c>
      <c r="I232" s="5" t="s">
        <v>11539</v>
      </c>
      <c r="J232" s="5" t="s">
        <v>11634</v>
      </c>
      <c r="K232" s="5"/>
      <c r="L232" s="5"/>
    </row>
    <row r="233" spans="1:12" ht="25.5">
      <c r="A233" s="5" t="s">
        <v>11536</v>
      </c>
      <c r="B233" s="5" t="s">
        <v>11537</v>
      </c>
      <c r="C233" s="5">
        <v>57</v>
      </c>
      <c r="D233" s="5" t="s">
        <v>2475</v>
      </c>
      <c r="E233" s="5" t="s">
        <v>2466</v>
      </c>
      <c r="F233" s="5" t="s">
        <v>2465</v>
      </c>
      <c r="G233" s="5" t="s">
        <v>2466</v>
      </c>
      <c r="H233" s="5" t="s">
        <v>11538</v>
      </c>
      <c r="I233" s="5" t="s">
        <v>11539</v>
      </c>
      <c r="J233" s="5" t="s">
        <v>11635</v>
      </c>
      <c r="K233" s="5"/>
      <c r="L233" s="5"/>
    </row>
    <row r="234" spans="1:12" ht="38.25">
      <c r="A234" s="5" t="s">
        <v>11536</v>
      </c>
      <c r="B234" s="5" t="s">
        <v>11537</v>
      </c>
      <c r="C234" s="5">
        <v>58</v>
      </c>
      <c r="D234" s="5" t="s">
        <v>2488</v>
      </c>
      <c r="E234" s="5" t="s">
        <v>2479</v>
      </c>
      <c r="F234" s="5" t="s">
        <v>2478</v>
      </c>
      <c r="G234" s="5" t="s">
        <v>2479</v>
      </c>
      <c r="H234" s="5" t="s">
        <v>11538</v>
      </c>
      <c r="I234" s="5" t="s">
        <v>11539</v>
      </c>
      <c r="J234" s="5" t="s">
        <v>11636</v>
      </c>
      <c r="K234" s="5"/>
      <c r="L234" s="5" t="s">
        <v>11637</v>
      </c>
    </row>
    <row r="235" spans="1:12" ht="38.25">
      <c r="A235" s="5" t="s">
        <v>11536</v>
      </c>
      <c r="B235" s="5" t="s">
        <v>11537</v>
      </c>
      <c r="C235" s="5">
        <v>59</v>
      </c>
      <c r="D235" s="5" t="s">
        <v>2501</v>
      </c>
      <c r="E235" s="5" t="s">
        <v>2493</v>
      </c>
      <c r="F235" s="5" t="s">
        <v>2492</v>
      </c>
      <c r="G235" s="5" t="s">
        <v>2493</v>
      </c>
      <c r="H235" s="5" t="s">
        <v>11538</v>
      </c>
      <c r="I235" s="5" t="s">
        <v>11539</v>
      </c>
      <c r="J235" s="5" t="s">
        <v>11638</v>
      </c>
      <c r="K235" s="5"/>
      <c r="L235" s="5" t="s">
        <v>11637</v>
      </c>
    </row>
    <row r="236" spans="1:12" ht="25.5">
      <c r="A236" s="5" t="s">
        <v>11536</v>
      </c>
      <c r="B236" s="5" t="s">
        <v>11537</v>
      </c>
      <c r="C236" s="5">
        <v>60</v>
      </c>
      <c r="D236" s="5" t="s">
        <v>2513</v>
      </c>
      <c r="E236" s="5" t="s">
        <v>2505</v>
      </c>
      <c r="F236" s="5" t="s">
        <v>2504</v>
      </c>
      <c r="G236" s="5" t="s">
        <v>2505</v>
      </c>
      <c r="H236" s="5" t="s">
        <v>11538</v>
      </c>
      <c r="I236" s="5" t="s">
        <v>11539</v>
      </c>
      <c r="J236" s="5" t="s">
        <v>11639</v>
      </c>
      <c r="K236" s="5"/>
      <c r="L236" s="5"/>
    </row>
    <row r="237" spans="1:12" ht="51">
      <c r="A237" s="5" t="s">
        <v>11536</v>
      </c>
      <c r="B237" s="5" t="s">
        <v>11537</v>
      </c>
      <c r="C237" s="5">
        <v>61</v>
      </c>
      <c r="D237" s="5" t="s">
        <v>2526</v>
      </c>
      <c r="E237" s="5" t="s">
        <v>2518</v>
      </c>
      <c r="F237" s="5" t="s">
        <v>2517</v>
      </c>
      <c r="G237" s="5" t="s">
        <v>2518</v>
      </c>
      <c r="H237" s="5" t="s">
        <v>11538</v>
      </c>
      <c r="I237" s="5" t="s">
        <v>11539</v>
      </c>
      <c r="J237" s="5" t="s">
        <v>11640</v>
      </c>
      <c r="K237" s="5"/>
      <c r="L237" s="5" t="s">
        <v>11541</v>
      </c>
    </row>
    <row r="238" spans="1:12" ht="51">
      <c r="A238" s="5" t="s">
        <v>11536</v>
      </c>
      <c r="B238" s="5" t="s">
        <v>11537</v>
      </c>
      <c r="C238" s="5">
        <v>62</v>
      </c>
      <c r="D238" s="5" t="s">
        <v>2538</v>
      </c>
      <c r="E238" s="5" t="s">
        <v>2530</v>
      </c>
      <c r="F238" s="5" t="s">
        <v>2529</v>
      </c>
      <c r="G238" s="5" t="s">
        <v>2530</v>
      </c>
      <c r="H238" s="5" t="s">
        <v>11538</v>
      </c>
      <c r="I238" s="5" t="s">
        <v>11539</v>
      </c>
      <c r="J238" s="5" t="s">
        <v>11641</v>
      </c>
      <c r="K238" s="5"/>
      <c r="L238" s="5" t="s">
        <v>11541</v>
      </c>
    </row>
    <row r="239" spans="1:12" ht="38.25">
      <c r="A239" s="5" t="s">
        <v>11536</v>
      </c>
      <c r="B239" s="5" t="s">
        <v>11537</v>
      </c>
      <c r="C239" s="5">
        <v>63</v>
      </c>
      <c r="D239" s="5" t="s">
        <v>2552</v>
      </c>
      <c r="E239" s="5" t="s">
        <v>2543</v>
      </c>
      <c r="F239" s="5" t="s">
        <v>2542</v>
      </c>
      <c r="G239" s="5" t="s">
        <v>2543</v>
      </c>
      <c r="H239" s="5" t="s">
        <v>11538</v>
      </c>
      <c r="I239" s="5" t="s">
        <v>11539</v>
      </c>
      <c r="J239" s="5" t="s">
        <v>11642</v>
      </c>
      <c r="K239" s="5"/>
      <c r="L239" s="5" t="s">
        <v>11643</v>
      </c>
    </row>
    <row r="240" spans="1:12" ht="38.25">
      <c r="A240" s="5" t="s">
        <v>11536</v>
      </c>
      <c r="B240" s="5" t="s">
        <v>11537</v>
      </c>
      <c r="C240" s="5">
        <v>64</v>
      </c>
      <c r="D240" s="5" t="s">
        <v>2565</v>
      </c>
      <c r="E240" s="5" t="s">
        <v>2558</v>
      </c>
      <c r="F240" s="5" t="s">
        <v>2557</v>
      </c>
      <c r="G240" s="5" t="s">
        <v>2558</v>
      </c>
      <c r="H240" s="5" t="s">
        <v>11538</v>
      </c>
      <c r="I240" s="5" t="s">
        <v>11539</v>
      </c>
      <c r="J240" s="5" t="s">
        <v>11644</v>
      </c>
      <c r="K240" s="5"/>
      <c r="L240" s="5" t="s">
        <v>11643</v>
      </c>
    </row>
    <row r="241" spans="1:12" ht="38.25">
      <c r="A241" s="5" t="s">
        <v>11536</v>
      </c>
      <c r="B241" s="5" t="s">
        <v>11537</v>
      </c>
      <c r="C241" s="5">
        <v>65</v>
      </c>
      <c r="D241" s="5" t="s">
        <v>2576</v>
      </c>
      <c r="E241" s="5" t="s">
        <v>2569</v>
      </c>
      <c r="F241" s="5" t="s">
        <v>2568</v>
      </c>
      <c r="G241" s="5" t="s">
        <v>2569</v>
      </c>
      <c r="H241" s="5" t="s">
        <v>11538</v>
      </c>
      <c r="I241" s="5" t="s">
        <v>11539</v>
      </c>
      <c r="J241" s="5" t="s">
        <v>11645</v>
      </c>
      <c r="K241" s="5"/>
      <c r="L241" s="5" t="s">
        <v>11643</v>
      </c>
    </row>
    <row r="242" spans="1:12" ht="25.5">
      <c r="A242" s="5" t="s">
        <v>11536</v>
      </c>
      <c r="B242" s="5" t="s">
        <v>11537</v>
      </c>
      <c r="C242" s="5">
        <v>66</v>
      </c>
      <c r="D242" s="5" t="s">
        <v>2590</v>
      </c>
      <c r="E242" s="5" t="s">
        <v>2581</v>
      </c>
      <c r="F242" s="5" t="s">
        <v>2580</v>
      </c>
      <c r="G242" s="5" t="s">
        <v>2581</v>
      </c>
      <c r="H242" s="5" t="s">
        <v>11538</v>
      </c>
      <c r="I242" s="5" t="s">
        <v>11539</v>
      </c>
      <c r="J242" s="5" t="s">
        <v>11646</v>
      </c>
      <c r="K242" s="5"/>
      <c r="L242" s="5"/>
    </row>
    <row r="243" spans="1:12" ht="25.5">
      <c r="A243" s="5" t="s">
        <v>11536</v>
      </c>
      <c r="B243" s="5" t="s">
        <v>11537</v>
      </c>
      <c r="C243" s="5">
        <v>67</v>
      </c>
      <c r="D243" s="5" t="s">
        <v>2603</v>
      </c>
      <c r="E243" s="5" t="s">
        <v>2594</v>
      </c>
      <c r="F243" s="5" t="s">
        <v>2593</v>
      </c>
      <c r="G243" s="5" t="s">
        <v>2594</v>
      </c>
      <c r="H243" s="5" t="s">
        <v>11538</v>
      </c>
      <c r="I243" s="5" t="s">
        <v>11539</v>
      </c>
      <c r="J243" s="5" t="s">
        <v>11647</v>
      </c>
      <c r="K243" s="5"/>
      <c r="L243" s="5"/>
    </row>
    <row r="244" spans="1:12" ht="25.5">
      <c r="A244" s="5" t="s">
        <v>11536</v>
      </c>
      <c r="B244" s="5" t="s">
        <v>11537</v>
      </c>
      <c r="C244" s="5">
        <v>68</v>
      </c>
      <c r="D244" s="5" t="s">
        <v>2619</v>
      </c>
      <c r="E244" s="5" t="s">
        <v>2608</v>
      </c>
      <c r="F244" s="5" t="s">
        <v>2607</v>
      </c>
      <c r="G244" s="5" t="s">
        <v>2608</v>
      </c>
      <c r="H244" s="5" t="s">
        <v>11538</v>
      </c>
      <c r="I244" s="5" t="s">
        <v>11539</v>
      </c>
      <c r="J244" s="5" t="s">
        <v>11648</v>
      </c>
      <c r="K244" s="5"/>
      <c r="L244" s="5"/>
    </row>
    <row r="245" spans="1:12" ht="25.5">
      <c r="A245" s="5" t="s">
        <v>11536</v>
      </c>
      <c r="B245" s="5" t="s">
        <v>11537</v>
      </c>
      <c r="C245" s="5">
        <v>69</v>
      </c>
      <c r="D245" s="5" t="s">
        <v>2632</v>
      </c>
      <c r="E245" s="5" t="s">
        <v>2623</v>
      </c>
      <c r="F245" s="5" t="s">
        <v>2622</v>
      </c>
      <c r="G245" s="5" t="s">
        <v>2623</v>
      </c>
      <c r="H245" s="5" t="s">
        <v>11538</v>
      </c>
      <c r="I245" s="5" t="s">
        <v>11539</v>
      </c>
      <c r="J245" s="5" t="s">
        <v>11649</v>
      </c>
      <c r="K245" s="5"/>
      <c r="L245" s="5"/>
    </row>
    <row r="246" spans="1:12" ht="25.5">
      <c r="A246" s="5" t="s">
        <v>11536</v>
      </c>
      <c r="B246" s="5" t="s">
        <v>11537</v>
      </c>
      <c r="C246" s="5">
        <v>70</v>
      </c>
      <c r="D246" s="5" t="s">
        <v>2646</v>
      </c>
      <c r="E246" s="5" t="s">
        <v>2637</v>
      </c>
      <c r="F246" s="5" t="s">
        <v>2636</v>
      </c>
      <c r="G246" s="5" t="s">
        <v>2637</v>
      </c>
      <c r="H246" s="5" t="s">
        <v>11538</v>
      </c>
      <c r="I246" s="5" t="s">
        <v>11539</v>
      </c>
      <c r="J246" s="5" t="s">
        <v>11650</v>
      </c>
      <c r="K246" s="5"/>
      <c r="L246" s="5"/>
    </row>
    <row r="247" spans="1:12" ht="25.5">
      <c r="A247" s="5" t="s">
        <v>11536</v>
      </c>
      <c r="B247" s="5" t="s">
        <v>11537</v>
      </c>
      <c r="C247" s="5">
        <v>71</v>
      </c>
      <c r="D247" s="5" t="s">
        <v>2659</v>
      </c>
      <c r="E247" s="5" t="s">
        <v>2651</v>
      </c>
      <c r="F247" s="5" t="s">
        <v>2650</v>
      </c>
      <c r="G247" s="5" t="s">
        <v>2651</v>
      </c>
      <c r="H247" s="5" t="s">
        <v>11538</v>
      </c>
      <c r="I247" s="5" t="s">
        <v>11539</v>
      </c>
      <c r="J247" s="5" t="s">
        <v>11651</v>
      </c>
      <c r="K247" s="5"/>
      <c r="L247" s="5"/>
    </row>
    <row r="248" spans="1:12" ht="25.5">
      <c r="A248" s="5" t="s">
        <v>11536</v>
      </c>
      <c r="B248" s="5" t="s">
        <v>11537</v>
      </c>
      <c r="C248" s="5">
        <v>72</v>
      </c>
      <c r="D248" s="5" t="s">
        <v>2673</v>
      </c>
      <c r="E248" s="5" t="s">
        <v>2664</v>
      </c>
      <c r="F248" s="5" t="s">
        <v>2663</v>
      </c>
      <c r="G248" s="5" t="s">
        <v>2664</v>
      </c>
      <c r="H248" s="5" t="s">
        <v>11538</v>
      </c>
      <c r="I248" s="5" t="s">
        <v>11539</v>
      </c>
      <c r="J248" s="5" t="s">
        <v>11652</v>
      </c>
      <c r="K248" s="5"/>
      <c r="L248" s="5"/>
    </row>
    <row r="249" spans="1:12" ht="25.5">
      <c r="A249" s="5" t="s">
        <v>11536</v>
      </c>
      <c r="B249" s="5" t="s">
        <v>11537</v>
      </c>
      <c r="C249" s="5">
        <v>73</v>
      </c>
      <c r="D249" s="5" t="s">
        <v>2686</v>
      </c>
      <c r="E249" s="5" t="s">
        <v>2677</v>
      </c>
      <c r="F249" s="5" t="s">
        <v>2676</v>
      </c>
      <c r="G249" s="5" t="s">
        <v>2677</v>
      </c>
      <c r="H249" s="5" t="s">
        <v>11538</v>
      </c>
      <c r="I249" s="5" t="s">
        <v>11539</v>
      </c>
      <c r="J249" s="5" t="s">
        <v>11653</v>
      </c>
      <c r="K249" s="5"/>
      <c r="L249" s="5"/>
    </row>
    <row r="250" spans="1:12" ht="38.25">
      <c r="A250" s="5" t="s">
        <v>11536</v>
      </c>
      <c r="B250" s="5" t="s">
        <v>11537</v>
      </c>
      <c r="C250" s="5">
        <v>74</v>
      </c>
      <c r="D250" s="5" t="s">
        <v>2700</v>
      </c>
      <c r="E250" s="5" t="s">
        <v>2691</v>
      </c>
      <c r="F250" s="5" t="s">
        <v>2690</v>
      </c>
      <c r="G250" s="5" t="s">
        <v>2691</v>
      </c>
      <c r="H250" s="5" t="s">
        <v>11538</v>
      </c>
      <c r="I250" s="5" t="s">
        <v>11539</v>
      </c>
      <c r="J250" s="5" t="s">
        <v>11654</v>
      </c>
      <c r="K250" s="5"/>
      <c r="L250" s="5" t="s">
        <v>11655</v>
      </c>
    </row>
    <row r="251" spans="1:12" ht="38.25">
      <c r="A251" s="5" t="s">
        <v>11536</v>
      </c>
      <c r="B251" s="5" t="s">
        <v>11537</v>
      </c>
      <c r="C251" s="5">
        <v>75</v>
      </c>
      <c r="D251" s="5" t="s">
        <v>2714</v>
      </c>
      <c r="E251" s="5" t="s">
        <v>2706</v>
      </c>
      <c r="F251" s="5" t="s">
        <v>2705</v>
      </c>
      <c r="G251" s="5" t="s">
        <v>2706</v>
      </c>
      <c r="H251" s="5" t="s">
        <v>11538</v>
      </c>
      <c r="I251" s="5" t="s">
        <v>11539</v>
      </c>
      <c r="J251" s="5" t="s">
        <v>11656</v>
      </c>
      <c r="K251" s="5"/>
      <c r="L251" s="5" t="s">
        <v>11655</v>
      </c>
    </row>
    <row r="252" spans="1:12" ht="25.5">
      <c r="A252" s="5" t="s">
        <v>11536</v>
      </c>
      <c r="B252" s="5" t="s">
        <v>11537</v>
      </c>
      <c r="C252" s="5">
        <v>76</v>
      </c>
      <c r="D252" s="5" t="s">
        <v>2729</v>
      </c>
      <c r="E252" s="5" t="s">
        <v>2718</v>
      </c>
      <c r="F252" s="5" t="s">
        <v>2717</v>
      </c>
      <c r="G252" s="5" t="s">
        <v>2718</v>
      </c>
      <c r="H252" s="5" t="s">
        <v>11538</v>
      </c>
      <c r="I252" s="5" t="s">
        <v>11539</v>
      </c>
      <c r="J252" s="5" t="s">
        <v>11657</v>
      </c>
      <c r="K252" s="5"/>
      <c r="L252" s="5"/>
    </row>
    <row r="253" spans="1:12" ht="38.25">
      <c r="A253" s="5" t="s">
        <v>11536</v>
      </c>
      <c r="B253" s="5" t="s">
        <v>11537</v>
      </c>
      <c r="C253" s="5">
        <v>77</v>
      </c>
      <c r="D253" s="5" t="s">
        <v>2743</v>
      </c>
      <c r="E253" s="5" t="s">
        <v>2734</v>
      </c>
      <c r="F253" s="5" t="s">
        <v>2733</v>
      </c>
      <c r="G253" s="5" t="s">
        <v>2734</v>
      </c>
      <c r="H253" s="5" t="s">
        <v>11538</v>
      </c>
      <c r="I253" s="5" t="s">
        <v>11539</v>
      </c>
      <c r="J253" s="5" t="s">
        <v>11658</v>
      </c>
      <c r="K253" s="5"/>
      <c r="L253" s="5" t="s">
        <v>11571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0"/>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37" customWidth="1"/>
    <col min="2" max="2" width="55" customWidth="1"/>
    <col min="3" max="3" width="22" customWidth="1"/>
    <col min="4" max="4" width="130" customWidth="1"/>
    <col min="5" max="5" width="95" customWidth="1"/>
  </cols>
  <sheetData>
    <row r="1" spans="1:5" ht="12" customHeight="1">
      <c r="A1" s="1"/>
      <c r="B1" s="1"/>
      <c r="C1" s="1"/>
      <c r="D1" s="1"/>
      <c r="E1" s="1"/>
    </row>
    <row r="2" spans="1:5" ht="24" customHeight="1">
      <c r="A2" s="2" t="s">
        <v>11659</v>
      </c>
      <c r="B2" s="1"/>
      <c r="C2" s="1"/>
      <c r="D2" s="1"/>
      <c r="E2" s="1"/>
    </row>
    <row r="3" spans="1:5" ht="21" customHeight="1">
      <c r="A3" s="3" t="s">
        <v>11660</v>
      </c>
      <c r="B3" s="1"/>
      <c r="C3" s="1"/>
      <c r="D3" s="1"/>
      <c r="E3" s="1"/>
    </row>
    <row r="4" spans="1:5" ht="9.9499999999999993" customHeight="1">
      <c r="A4" s="1"/>
      <c r="B4" s="1"/>
      <c r="C4" s="1"/>
      <c r="D4" s="1"/>
      <c r="E4" s="1"/>
    </row>
    <row r="5" spans="1:5" ht="42.95" customHeight="1">
      <c r="A5" s="4" t="s">
        <v>11661</v>
      </c>
      <c r="B5" s="4" t="s">
        <v>11662</v>
      </c>
      <c r="C5" s="4" t="s">
        <v>11440</v>
      </c>
      <c r="D5" s="4" t="s">
        <v>11663</v>
      </c>
      <c r="E5" s="4" t="s">
        <v>11441</v>
      </c>
    </row>
    <row r="6" spans="1:5" ht="25.5">
      <c r="A6" s="5" t="s">
        <v>11664</v>
      </c>
      <c r="B6" s="5" t="s">
        <v>11665</v>
      </c>
      <c r="C6" s="5" t="s">
        <v>11666</v>
      </c>
      <c r="D6" s="5" t="s">
        <v>11667</v>
      </c>
      <c r="E6" s="5" t="s">
        <v>150</v>
      </c>
    </row>
    <row r="7" spans="1:5">
      <c r="A7" s="5" t="s">
        <v>11668</v>
      </c>
      <c r="B7" s="5" t="s">
        <v>11669</v>
      </c>
      <c r="C7" s="5" t="s">
        <v>11666</v>
      </c>
      <c r="D7" s="5" t="s">
        <v>11670</v>
      </c>
      <c r="E7" s="5" t="s">
        <v>208</v>
      </c>
    </row>
    <row r="8" spans="1:5">
      <c r="A8" s="5" t="s">
        <v>11671</v>
      </c>
      <c r="B8" s="5" t="s">
        <v>11669</v>
      </c>
      <c r="C8" s="5" t="s">
        <v>11666</v>
      </c>
      <c r="D8" s="5" t="s">
        <v>11672</v>
      </c>
      <c r="E8" s="5" t="s">
        <v>232</v>
      </c>
    </row>
    <row r="9" spans="1:5">
      <c r="A9" s="5" t="s">
        <v>11673</v>
      </c>
      <c r="B9" s="5" t="s">
        <v>11674</v>
      </c>
      <c r="C9" s="5" t="s">
        <v>11666</v>
      </c>
      <c r="D9" s="5" t="s">
        <v>11675</v>
      </c>
      <c r="E9" s="5" t="s">
        <v>374</v>
      </c>
    </row>
    <row r="10" spans="1:5">
      <c r="A10" s="5" t="s">
        <v>11676</v>
      </c>
      <c r="B10" s="5" t="s">
        <v>11677</v>
      </c>
      <c r="C10" s="5" t="s">
        <v>11666</v>
      </c>
      <c r="D10" s="5" t="s">
        <v>11678</v>
      </c>
      <c r="E10" s="5" t="s">
        <v>543</v>
      </c>
    </row>
    <row r="11" spans="1:5" ht="25.5">
      <c r="A11" s="5" t="s">
        <v>11679</v>
      </c>
      <c r="B11" s="5" t="s">
        <v>11680</v>
      </c>
      <c r="C11" s="5" t="s">
        <v>11666</v>
      </c>
      <c r="D11" s="5" t="s">
        <v>11681</v>
      </c>
      <c r="E11" s="5"/>
    </row>
    <row r="12" spans="1:5">
      <c r="A12" s="5" t="s">
        <v>11682</v>
      </c>
      <c r="B12" s="5" t="s">
        <v>11683</v>
      </c>
      <c r="C12" s="5" t="s">
        <v>11666</v>
      </c>
      <c r="D12" s="5" t="s">
        <v>11684</v>
      </c>
      <c r="E12" s="5"/>
    </row>
    <row r="13" spans="1:5">
      <c r="A13" s="5" t="s">
        <v>11685</v>
      </c>
      <c r="B13" s="5" t="s">
        <v>11686</v>
      </c>
      <c r="C13" s="5" t="s">
        <v>11666</v>
      </c>
      <c r="D13" s="5" t="s">
        <v>11687</v>
      </c>
      <c r="E13" s="5"/>
    </row>
    <row r="14" spans="1:5">
      <c r="A14" s="5" t="s">
        <v>11688</v>
      </c>
      <c r="B14" s="5" t="s">
        <v>11689</v>
      </c>
      <c r="C14" s="5" t="s">
        <v>11666</v>
      </c>
      <c r="D14" s="5" t="s">
        <v>11690</v>
      </c>
      <c r="E14" s="5"/>
    </row>
    <row r="15" spans="1:5">
      <c r="A15" s="5" t="s">
        <v>11691</v>
      </c>
      <c r="B15" s="5" t="s">
        <v>11692</v>
      </c>
      <c r="C15" s="5" t="s">
        <v>11666</v>
      </c>
      <c r="D15" s="5" t="s">
        <v>11693</v>
      </c>
      <c r="E15" s="5" t="s">
        <v>11694</v>
      </c>
    </row>
    <row r="16" spans="1:5" ht="25.5">
      <c r="A16" s="5" t="s">
        <v>11695</v>
      </c>
      <c r="B16" s="5" t="s">
        <v>11696</v>
      </c>
      <c r="C16" s="5" t="s">
        <v>11666</v>
      </c>
      <c r="D16" s="5" t="s">
        <v>11697</v>
      </c>
      <c r="E16" s="5"/>
    </row>
    <row r="17" spans="1:5" ht="25.5">
      <c r="A17" s="5" t="s">
        <v>11698</v>
      </c>
      <c r="B17" s="5" t="s">
        <v>11699</v>
      </c>
      <c r="C17" s="5" t="s">
        <v>11666</v>
      </c>
      <c r="D17" s="5" t="s">
        <v>11700</v>
      </c>
      <c r="E17" s="5" t="s">
        <v>11701</v>
      </c>
    </row>
    <row r="18" spans="1:5" ht="25.5">
      <c r="A18" s="5" t="s">
        <v>11702</v>
      </c>
      <c r="B18" s="5" t="s">
        <v>11703</v>
      </c>
      <c r="C18" s="5" t="s">
        <v>11666</v>
      </c>
      <c r="D18" s="5" t="s">
        <v>11704</v>
      </c>
      <c r="E18" s="5" t="s">
        <v>11705</v>
      </c>
    </row>
    <row r="19" spans="1:5">
      <c r="A19" s="5" t="s">
        <v>11706</v>
      </c>
      <c r="B19" s="5" t="s">
        <v>11707</v>
      </c>
      <c r="C19" s="5" t="s">
        <v>11666</v>
      </c>
      <c r="D19" s="5" t="s">
        <v>11708</v>
      </c>
      <c r="E19" s="5"/>
    </row>
    <row r="20" spans="1:5">
      <c r="A20" s="5" t="s">
        <v>11709</v>
      </c>
      <c r="B20" s="5" t="s">
        <v>11710</v>
      </c>
      <c r="C20" s="5" t="s">
        <v>11666</v>
      </c>
      <c r="D20" s="5" t="s">
        <v>11711</v>
      </c>
      <c r="E20" s="5"/>
    </row>
    <row r="21" spans="1:5">
      <c r="A21" s="5" t="s">
        <v>11712</v>
      </c>
      <c r="B21" s="5" t="s">
        <v>11713</v>
      </c>
      <c r="C21" s="5" t="s">
        <v>11666</v>
      </c>
      <c r="D21" s="5" t="s">
        <v>11714</v>
      </c>
      <c r="E21" s="5"/>
    </row>
    <row r="22" spans="1:5" ht="25.5">
      <c r="A22" s="5" t="s">
        <v>11715</v>
      </c>
      <c r="B22" s="5" t="s">
        <v>11716</v>
      </c>
      <c r="C22" s="5" t="s">
        <v>11666</v>
      </c>
      <c r="D22" s="5" t="s">
        <v>11717</v>
      </c>
      <c r="E22" s="5" t="s">
        <v>1952</v>
      </c>
    </row>
    <row r="23" spans="1:5" ht="25.5">
      <c r="A23" s="5" t="s">
        <v>11718</v>
      </c>
      <c r="B23" s="5" t="s">
        <v>11719</v>
      </c>
      <c r="C23" s="5" t="s">
        <v>11666</v>
      </c>
      <c r="D23" s="5" t="s">
        <v>11720</v>
      </c>
      <c r="E23" s="5"/>
    </row>
    <row r="24" spans="1:5">
      <c r="A24" s="5" t="s">
        <v>11721</v>
      </c>
      <c r="B24" s="5" t="s">
        <v>11722</v>
      </c>
      <c r="C24" s="5" t="s">
        <v>11666</v>
      </c>
      <c r="D24" s="5" t="s">
        <v>11723</v>
      </c>
      <c r="E24" s="5" t="s">
        <v>11724</v>
      </c>
    </row>
    <row r="25" spans="1:5">
      <c r="A25" s="5" t="s">
        <v>11725</v>
      </c>
      <c r="B25" s="5" t="s">
        <v>11726</v>
      </c>
      <c r="C25" s="5" t="s">
        <v>11666</v>
      </c>
      <c r="D25" s="5" t="s">
        <v>11727</v>
      </c>
      <c r="E25" s="5"/>
    </row>
    <row r="26" spans="1:5">
      <c r="A26" s="5" t="s">
        <v>11728</v>
      </c>
      <c r="B26" s="5" t="s">
        <v>11729</v>
      </c>
      <c r="C26" s="5" t="s">
        <v>11666</v>
      </c>
      <c r="D26" s="5" t="s">
        <v>11730</v>
      </c>
      <c r="E26" s="5"/>
    </row>
    <row r="27" spans="1:5">
      <c r="A27" s="5" t="s">
        <v>11731</v>
      </c>
      <c r="B27" s="5" t="s">
        <v>11732</v>
      </c>
      <c r="C27" s="5" t="s">
        <v>11666</v>
      </c>
      <c r="D27" s="5" t="s">
        <v>11733</v>
      </c>
      <c r="E27" s="5"/>
    </row>
    <row r="28" spans="1:5">
      <c r="A28" s="5" t="s">
        <v>11734</v>
      </c>
      <c r="B28" s="5" t="s">
        <v>11735</v>
      </c>
      <c r="C28" s="5" t="s">
        <v>11666</v>
      </c>
      <c r="D28" s="5" t="s">
        <v>11736</v>
      </c>
      <c r="E28" s="5"/>
    </row>
    <row r="29" spans="1:5">
      <c r="A29" s="5" t="s">
        <v>11737</v>
      </c>
      <c r="B29" s="5" t="s">
        <v>11738</v>
      </c>
      <c r="C29" s="5" t="s">
        <v>11666</v>
      </c>
      <c r="D29" s="5" t="s">
        <v>11739</v>
      </c>
      <c r="E29" s="5"/>
    </row>
    <row r="30" spans="1:5" ht="25.5">
      <c r="A30" s="5" t="s">
        <v>11740</v>
      </c>
      <c r="B30" s="5" t="s">
        <v>11741</v>
      </c>
      <c r="C30" s="5" t="s">
        <v>11666</v>
      </c>
      <c r="D30" s="5" t="s">
        <v>11742</v>
      </c>
      <c r="E30" s="5"/>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33" customWidth="1"/>
    <col min="2" max="2" width="90" customWidth="1"/>
    <col min="3" max="3" width="58" customWidth="1"/>
    <col min="4" max="4" width="85" customWidth="1"/>
    <col min="5" max="5" width="78" customWidth="1"/>
    <col min="6" max="6" width="120" customWidth="1"/>
    <col min="7" max="7" width="22" customWidth="1"/>
    <col min="8" max="8" width="20" customWidth="1"/>
  </cols>
  <sheetData>
    <row r="1" spans="1:8" ht="12" customHeight="1">
      <c r="A1" s="1"/>
      <c r="B1" s="1"/>
      <c r="C1" s="1"/>
      <c r="D1" s="1"/>
      <c r="E1" s="1"/>
      <c r="F1" s="1"/>
      <c r="G1" s="1"/>
      <c r="H1" s="1"/>
    </row>
    <row r="2" spans="1:8" ht="24" customHeight="1">
      <c r="A2" s="2" t="s">
        <v>11743</v>
      </c>
      <c r="B2" s="1"/>
      <c r="C2" s="1"/>
      <c r="D2" s="1"/>
      <c r="E2" s="1"/>
      <c r="F2" s="1"/>
      <c r="G2" s="1"/>
      <c r="H2" s="1"/>
    </row>
    <row r="3" spans="1:8" ht="21" customHeight="1">
      <c r="A3" s="3" t="s">
        <v>11744</v>
      </c>
      <c r="B3" s="1"/>
      <c r="C3" s="1"/>
      <c r="D3" s="1"/>
      <c r="E3" s="1"/>
      <c r="F3" s="1"/>
      <c r="G3" s="1"/>
      <c r="H3" s="1"/>
    </row>
    <row r="4" spans="1:8" ht="9.9499999999999993" customHeight="1">
      <c r="A4" s="1"/>
      <c r="B4" s="1"/>
      <c r="C4" s="1"/>
      <c r="D4" s="1"/>
      <c r="E4" s="1"/>
      <c r="F4" s="1"/>
      <c r="G4" s="1"/>
      <c r="H4" s="1"/>
    </row>
    <row r="5" spans="1:8" ht="42.95" customHeight="1">
      <c r="A5" s="4" t="s">
        <v>11745</v>
      </c>
      <c r="B5" s="4" t="s">
        <v>11746</v>
      </c>
      <c r="C5" s="4" t="s">
        <v>11747</v>
      </c>
      <c r="D5" s="4" t="s">
        <v>11748</v>
      </c>
      <c r="E5" s="4" t="s">
        <v>11749</v>
      </c>
      <c r="F5" s="4" t="s">
        <v>11750</v>
      </c>
      <c r="G5" s="4" t="s">
        <v>11751</v>
      </c>
      <c r="H5" s="4" t="s">
        <v>11752</v>
      </c>
    </row>
    <row r="6" spans="1:8" ht="25.5">
      <c r="A6" s="5" t="s">
        <v>11753</v>
      </c>
      <c r="B6" s="5" t="s">
        <v>11754</v>
      </c>
      <c r="C6" s="5" t="s">
        <v>11755</v>
      </c>
      <c r="D6" s="5" t="s">
        <v>11756</v>
      </c>
      <c r="E6" s="5" t="s">
        <v>11757</v>
      </c>
      <c r="F6" s="5" t="s">
        <v>11758</v>
      </c>
      <c r="G6" s="5" t="str">
        <f>HYPERLINK("https://huggingface.co/datasets/natix-network-org/natix-edge-case-driving-dataset","Source")</f>
        <v>Source</v>
      </c>
      <c r="H6" s="11">
        <v>46306.5</v>
      </c>
    </row>
    <row r="7" spans="1:8">
      <c r="A7" s="5" t="s">
        <v>2698</v>
      </c>
      <c r="B7" s="5" t="s">
        <v>11759</v>
      </c>
      <c r="C7" s="5" t="s">
        <v>11760</v>
      </c>
      <c r="D7" s="5" t="s">
        <v>11761</v>
      </c>
      <c r="E7" s="5" t="s">
        <v>11762</v>
      </c>
      <c r="F7" s="5" t="s">
        <v>11763</v>
      </c>
      <c r="G7" s="5" t="str">
        <f>HYPERLINK("https://waymo.com/open/faq/","Source")</f>
        <v>Source</v>
      </c>
      <c r="H7" s="11">
        <v>46306.5</v>
      </c>
    </row>
    <row r="8" spans="1:8" ht="25.5">
      <c r="A8" s="5" t="s">
        <v>11764</v>
      </c>
      <c r="B8" s="5" t="s">
        <v>11765</v>
      </c>
      <c r="C8" s="5" t="s">
        <v>11766</v>
      </c>
      <c r="D8" s="5" t="s">
        <v>11767</v>
      </c>
      <c r="E8" s="5" t="s">
        <v>11768</v>
      </c>
      <c r="F8" s="5" t="s">
        <v>11769</v>
      </c>
      <c r="G8" s="5" t="str">
        <f>HYPERLINK("https://github.com/awslabs/open-data-registry/blob/main/datasets/aurora_msds.yaml","Source")</f>
        <v>Source</v>
      </c>
      <c r="H8" s="11">
        <v>46306.5</v>
      </c>
    </row>
    <row r="9" spans="1:8" ht="25.5">
      <c r="A9" s="5" t="s">
        <v>11770</v>
      </c>
      <c r="B9" s="5" t="s">
        <v>11771</v>
      </c>
      <c r="C9" s="5" t="s">
        <v>11772</v>
      </c>
      <c r="D9" s="5" t="s">
        <v>11773</v>
      </c>
      <c r="E9" s="5" t="s">
        <v>11774</v>
      </c>
      <c r="F9" s="5" t="s">
        <v>11775</v>
      </c>
      <c r="G9" s="5" t="str">
        <f>HYPERLINK("https://rivian.com/en-CA/legal/privacy-adas-notice","Source")</f>
        <v>Source</v>
      </c>
      <c r="H9" s="11">
        <v>46306.5</v>
      </c>
    </row>
    <row r="10" spans="1:8">
      <c r="A10" s="5" t="s">
        <v>11776</v>
      </c>
      <c r="B10" s="5" t="s">
        <v>11777</v>
      </c>
      <c r="C10" s="5" t="s">
        <v>2505</v>
      </c>
      <c r="D10" s="5" t="s">
        <v>11778</v>
      </c>
      <c r="E10" s="5" t="s">
        <v>11779</v>
      </c>
      <c r="F10" s="5" t="s">
        <v>11780</v>
      </c>
      <c r="G10" s="5" t="str">
        <f>HYPERLINK("https://www.man.eu/truckscenes","Source")</f>
        <v>Source</v>
      </c>
      <c r="H10" s="11">
        <v>46306.5</v>
      </c>
    </row>
    <row r="11" spans="1:8">
      <c r="A11" s="5" t="s">
        <v>11781</v>
      </c>
      <c r="B11" s="5" t="s">
        <v>11782</v>
      </c>
      <c r="C11" s="5" t="s">
        <v>11783</v>
      </c>
      <c r="D11" s="5" t="s">
        <v>11784</v>
      </c>
      <c r="E11" s="5" t="s">
        <v>11785</v>
      </c>
      <c r="F11" s="5" t="s">
        <v>11786</v>
      </c>
      <c r="G11" s="5" t="str">
        <f>HYPERLINK("https://huggingface.co/datasets/Torc-Robotics/TruckDrive","Source")</f>
        <v>Source</v>
      </c>
      <c r="H11" s="11">
        <v>46306.5</v>
      </c>
    </row>
    <row r="12" spans="1:8">
      <c r="A12" s="5" t="s">
        <v>11787</v>
      </c>
      <c r="B12" s="5" t="s">
        <v>11788</v>
      </c>
      <c r="C12" s="5" t="s">
        <v>11789</v>
      </c>
      <c r="D12" s="5" t="s">
        <v>11790</v>
      </c>
      <c r="E12" s="5" t="s">
        <v>11791</v>
      </c>
      <c r="F12" s="5" t="s">
        <v>11792</v>
      </c>
      <c r="G12" s="5" t="str">
        <f>HYPERLINK("https://github.com/Santara/deeptesla","Source")</f>
        <v>Source</v>
      </c>
      <c r="H12" s="11">
        <v>46306.5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B182"/>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5" customWidth="1"/>
    <col min="2" max="2" width="55" customWidth="1"/>
    <col min="3" max="158" width="34" customWidth="1"/>
  </cols>
  <sheetData>
    <row r="1" spans="1:158"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row>
    <row r="2" spans="1:158" ht="24" customHeight="1">
      <c r="A2" s="2" t="s">
        <v>11793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row>
    <row r="3" spans="1:158" ht="21" customHeight="1">
      <c r="A3" s="3" t="s">
        <v>11794</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row>
    <row r="4" spans="1:158" ht="9.9499999999999993"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row>
    <row r="5" spans="1:158" ht="42.95" customHeight="1">
      <c r="A5" s="4" t="s">
        <v>11795</v>
      </c>
      <c r="B5" s="4" t="s">
        <v>11796</v>
      </c>
      <c r="C5" s="4" t="s">
        <v>11797</v>
      </c>
      <c r="D5" s="4" t="s">
        <v>11798</v>
      </c>
      <c r="E5" s="4" t="s">
        <v>11799</v>
      </c>
      <c r="F5" s="4" t="s">
        <v>11800</v>
      </c>
      <c r="G5" s="4" t="s">
        <v>11801</v>
      </c>
      <c r="H5" s="4" t="s">
        <v>11802</v>
      </c>
      <c r="I5" s="4" t="s">
        <v>11803</v>
      </c>
      <c r="J5" s="4" t="s">
        <v>11804</v>
      </c>
      <c r="K5" s="4" t="s">
        <v>11805</v>
      </c>
      <c r="L5" s="4" t="s">
        <v>11806</v>
      </c>
      <c r="M5" s="4" t="s">
        <v>11807</v>
      </c>
      <c r="N5" s="4" t="s">
        <v>11808</v>
      </c>
      <c r="O5" s="4" t="s">
        <v>11809</v>
      </c>
      <c r="P5" s="4" t="s">
        <v>11810</v>
      </c>
      <c r="Q5" s="4" t="s">
        <v>11811</v>
      </c>
      <c r="R5" s="4" t="s">
        <v>11812</v>
      </c>
      <c r="S5" s="4" t="s">
        <v>11813</v>
      </c>
      <c r="T5" s="4" t="s">
        <v>11814</v>
      </c>
      <c r="U5" s="4" t="s">
        <v>11815</v>
      </c>
      <c r="V5" s="4" t="s">
        <v>11816</v>
      </c>
      <c r="W5" s="4" t="s">
        <v>11817</v>
      </c>
      <c r="X5" s="4" t="s">
        <v>11818</v>
      </c>
      <c r="Y5" s="4" t="s">
        <v>11819</v>
      </c>
      <c r="Z5" s="4" t="s">
        <v>11820</v>
      </c>
      <c r="AA5" s="4" t="s">
        <v>11821</v>
      </c>
      <c r="AB5" s="4" t="s">
        <v>11822</v>
      </c>
      <c r="AC5" s="4" t="s">
        <v>11823</v>
      </c>
      <c r="AD5" s="4" t="s">
        <v>11824</v>
      </c>
      <c r="AE5" s="4" t="s">
        <v>11825</v>
      </c>
      <c r="AF5" s="4" t="s">
        <v>11826</v>
      </c>
      <c r="AG5" s="4" t="s">
        <v>11827</v>
      </c>
      <c r="AH5" s="4" t="s">
        <v>11828</v>
      </c>
      <c r="AI5" s="4" t="s">
        <v>11829</v>
      </c>
      <c r="AJ5" s="4" t="s">
        <v>11830</v>
      </c>
      <c r="AK5" s="4" t="s">
        <v>11831</v>
      </c>
      <c r="AL5" s="4" t="s">
        <v>11832</v>
      </c>
      <c r="AM5" s="4" t="s">
        <v>11833</v>
      </c>
      <c r="AN5" s="4" t="s">
        <v>11834</v>
      </c>
      <c r="AO5" s="4" t="s">
        <v>11835</v>
      </c>
      <c r="AP5" s="4" t="s">
        <v>11836</v>
      </c>
      <c r="AQ5" s="4" t="s">
        <v>11837</v>
      </c>
      <c r="AR5" s="4" t="s">
        <v>11838</v>
      </c>
      <c r="AS5" s="4" t="s">
        <v>11839</v>
      </c>
      <c r="AT5" s="4" t="s">
        <v>11840</v>
      </c>
      <c r="AU5" s="4" t="s">
        <v>11841</v>
      </c>
      <c r="AV5" s="4" t="s">
        <v>11842</v>
      </c>
      <c r="AW5" s="4" t="s">
        <v>11843</v>
      </c>
      <c r="AX5" s="4" t="s">
        <v>11844</v>
      </c>
      <c r="AY5" s="4" t="s">
        <v>11845</v>
      </c>
      <c r="AZ5" s="4" t="s">
        <v>11846</v>
      </c>
      <c r="BA5" s="4" t="s">
        <v>11847</v>
      </c>
      <c r="BB5" s="4" t="s">
        <v>11848</v>
      </c>
      <c r="BC5" s="4" t="s">
        <v>11849</v>
      </c>
      <c r="BD5" s="4" t="s">
        <v>11850</v>
      </c>
      <c r="BE5" s="4" t="s">
        <v>11851</v>
      </c>
      <c r="BF5" s="4" t="s">
        <v>11852</v>
      </c>
      <c r="BG5" s="4" t="s">
        <v>11853</v>
      </c>
      <c r="BH5" s="4" t="s">
        <v>11854</v>
      </c>
      <c r="BI5" s="4" t="s">
        <v>11855</v>
      </c>
      <c r="BJ5" s="4" t="s">
        <v>11856</v>
      </c>
      <c r="BK5" s="4" t="s">
        <v>11857</v>
      </c>
      <c r="BL5" s="4" t="s">
        <v>11858</v>
      </c>
      <c r="BM5" s="4" t="s">
        <v>11859</v>
      </c>
      <c r="BN5" s="4" t="s">
        <v>11860</v>
      </c>
      <c r="BO5" s="4" t="s">
        <v>11861</v>
      </c>
      <c r="BP5" s="4" t="s">
        <v>11862</v>
      </c>
      <c r="BQ5" s="4" t="s">
        <v>11863</v>
      </c>
      <c r="BR5" s="4" t="s">
        <v>11864</v>
      </c>
      <c r="BS5" s="4" t="s">
        <v>11865</v>
      </c>
      <c r="BT5" s="4" t="s">
        <v>11866</v>
      </c>
      <c r="BU5" s="4" t="s">
        <v>11867</v>
      </c>
      <c r="BV5" s="4" t="s">
        <v>11868</v>
      </c>
      <c r="BW5" s="4" t="s">
        <v>11869</v>
      </c>
      <c r="BX5" s="4" t="s">
        <v>11870</v>
      </c>
      <c r="BY5" s="4" t="s">
        <v>11871</v>
      </c>
      <c r="BZ5" s="4" t="s">
        <v>11872</v>
      </c>
      <c r="CA5" s="4" t="s">
        <v>11873</v>
      </c>
      <c r="CB5" s="4" t="s">
        <v>11874</v>
      </c>
      <c r="CC5" s="4" t="s">
        <v>11875</v>
      </c>
      <c r="CD5" s="4" t="s">
        <v>11876</v>
      </c>
      <c r="CE5" s="4" t="s">
        <v>11877</v>
      </c>
      <c r="CF5" s="4" t="s">
        <v>11878</v>
      </c>
      <c r="CG5" s="4" t="s">
        <v>11879</v>
      </c>
      <c r="CH5" s="4" t="s">
        <v>11880</v>
      </c>
      <c r="CI5" s="4" t="s">
        <v>11881</v>
      </c>
      <c r="CJ5" s="4" t="s">
        <v>11882</v>
      </c>
      <c r="CK5" s="4" t="s">
        <v>5672</v>
      </c>
      <c r="CL5" s="4" t="s">
        <v>11883</v>
      </c>
      <c r="CM5" s="4" t="s">
        <v>11884</v>
      </c>
      <c r="CN5" s="4" t="s">
        <v>11885</v>
      </c>
      <c r="CO5" s="4" t="s">
        <v>11886</v>
      </c>
      <c r="CP5" s="4" t="s">
        <v>11887</v>
      </c>
      <c r="CQ5" s="4" t="s">
        <v>11888</v>
      </c>
      <c r="CR5" s="4" t="s">
        <v>11889</v>
      </c>
      <c r="CS5" s="4" t="s">
        <v>11890</v>
      </c>
      <c r="CT5" s="4" t="s">
        <v>11891</v>
      </c>
      <c r="CU5" s="4" t="s">
        <v>11892</v>
      </c>
      <c r="CV5" s="4" t="s">
        <v>11893</v>
      </c>
      <c r="CW5" s="4" t="s">
        <v>11894</v>
      </c>
      <c r="CX5" s="4" t="s">
        <v>11895</v>
      </c>
      <c r="CY5" s="4" t="s">
        <v>11896</v>
      </c>
      <c r="CZ5" s="4" t="s">
        <v>11897</v>
      </c>
      <c r="DA5" s="4" t="s">
        <v>11898</v>
      </c>
      <c r="DB5" s="4" t="s">
        <v>11899</v>
      </c>
      <c r="DC5" s="4" t="s">
        <v>11900</v>
      </c>
      <c r="DD5" s="4" t="s">
        <v>11901</v>
      </c>
      <c r="DE5" s="4" t="s">
        <v>11902</v>
      </c>
      <c r="DF5" s="4" t="s">
        <v>11903</v>
      </c>
      <c r="DG5" s="4" t="s">
        <v>11904</v>
      </c>
      <c r="DH5" s="4" t="s">
        <v>11905</v>
      </c>
      <c r="DI5" s="4" t="s">
        <v>11906</v>
      </c>
      <c r="DJ5" s="4" t="s">
        <v>11907</v>
      </c>
      <c r="DK5" s="4" t="s">
        <v>11908</v>
      </c>
      <c r="DL5" s="4" t="s">
        <v>11909</v>
      </c>
      <c r="DM5" s="4" t="s">
        <v>11910</v>
      </c>
      <c r="DN5" s="4" t="s">
        <v>11911</v>
      </c>
      <c r="DO5" s="4" t="s">
        <v>11912</v>
      </c>
      <c r="DP5" s="4" t="s">
        <v>11913</v>
      </c>
      <c r="DQ5" s="4" t="s">
        <v>11914</v>
      </c>
      <c r="DR5" s="4" t="s">
        <v>11915</v>
      </c>
      <c r="DS5" s="4" t="s">
        <v>11916</v>
      </c>
      <c r="DT5" s="4" t="s">
        <v>11917</v>
      </c>
      <c r="DU5" s="4" t="s">
        <v>11918</v>
      </c>
      <c r="DV5" s="4" t="s">
        <v>11919</v>
      </c>
      <c r="DW5" s="4" t="s">
        <v>11920</v>
      </c>
      <c r="DX5" s="4" t="s">
        <v>11921</v>
      </c>
      <c r="DY5" s="4" t="s">
        <v>11922</v>
      </c>
      <c r="DZ5" s="4" t="s">
        <v>11923</v>
      </c>
      <c r="EA5" s="4" t="s">
        <v>11924</v>
      </c>
      <c r="EB5" s="4" t="s">
        <v>11925</v>
      </c>
      <c r="EC5" s="4" t="s">
        <v>11926</v>
      </c>
      <c r="ED5" s="4" t="s">
        <v>11927</v>
      </c>
      <c r="EE5" s="4" t="s">
        <v>11928</v>
      </c>
      <c r="EF5" s="4" t="s">
        <v>11929</v>
      </c>
      <c r="EG5" s="4" t="s">
        <v>11930</v>
      </c>
      <c r="EH5" s="4" t="s">
        <v>11931</v>
      </c>
      <c r="EI5" s="4" t="s">
        <v>11932</v>
      </c>
      <c r="EJ5" s="4" t="s">
        <v>11933</v>
      </c>
      <c r="EK5" s="4" t="s">
        <v>11934</v>
      </c>
      <c r="EL5" s="4" t="s">
        <v>11935</v>
      </c>
      <c r="EM5" s="4" t="s">
        <v>11936</v>
      </c>
      <c r="EN5" s="4" t="s">
        <v>11937</v>
      </c>
      <c r="EO5" s="4" t="s">
        <v>11938</v>
      </c>
      <c r="EP5" s="4" t="s">
        <v>11939</v>
      </c>
      <c r="EQ5" s="4" t="s">
        <v>11940</v>
      </c>
      <c r="ER5" s="4" t="s">
        <v>11941</v>
      </c>
      <c r="ES5" s="4" t="s">
        <v>11942</v>
      </c>
      <c r="ET5" s="4" t="s">
        <v>11943</v>
      </c>
      <c r="EU5" s="4" t="s">
        <v>11944</v>
      </c>
      <c r="EV5" s="4" t="s">
        <v>11945</v>
      </c>
      <c r="EW5" s="4" t="s">
        <v>11946</v>
      </c>
      <c r="EX5" s="4" t="s">
        <v>11947</v>
      </c>
      <c r="EY5" s="4" t="s">
        <v>11948</v>
      </c>
      <c r="EZ5" s="4" t="s">
        <v>11949</v>
      </c>
      <c r="FA5" s="4" t="s">
        <v>11950</v>
      </c>
      <c r="FB5" s="4" t="s">
        <v>11951</v>
      </c>
    </row>
    <row r="6" spans="1:158" ht="51">
      <c r="A6" s="5" t="s">
        <v>116</v>
      </c>
      <c r="B6" s="5" t="s">
        <v>117</v>
      </c>
      <c r="C6" s="5" t="s">
        <v>11952</v>
      </c>
      <c r="D6" s="5" t="s">
        <v>119</v>
      </c>
      <c r="E6" s="5" t="s">
        <v>11953</v>
      </c>
      <c r="F6" s="5" t="s">
        <v>11954</v>
      </c>
      <c r="G6" s="5" t="s">
        <v>11955</v>
      </c>
      <c r="H6" s="5" t="s">
        <v>11235</v>
      </c>
      <c r="I6" s="5" t="s">
        <v>129</v>
      </c>
      <c r="J6" s="5" t="s">
        <v>3510</v>
      </c>
      <c r="K6" s="5" t="s">
        <v>11956</v>
      </c>
      <c r="L6" s="5" t="s">
        <v>130</v>
      </c>
      <c r="M6" s="5" t="s">
        <v>130</v>
      </c>
      <c r="N6" s="5" t="s">
        <v>11952</v>
      </c>
      <c r="O6" s="5" t="s">
        <v>11952</v>
      </c>
      <c r="P6" s="5" t="s">
        <v>11952</v>
      </c>
      <c r="Q6" s="5" t="s">
        <v>11952</v>
      </c>
      <c r="R6" s="5" t="s">
        <v>11952</v>
      </c>
      <c r="S6" s="5" t="s">
        <v>11952</v>
      </c>
      <c r="T6" s="5" t="s">
        <v>121</v>
      </c>
      <c r="U6" s="5" t="s">
        <v>3510</v>
      </c>
      <c r="V6" s="5" t="s">
        <v>121</v>
      </c>
      <c r="W6" s="5" t="s">
        <v>121</v>
      </c>
      <c r="X6" s="5" t="s">
        <v>121</v>
      </c>
      <c r="Y6" s="5" t="s">
        <v>121</v>
      </c>
      <c r="Z6" s="5" t="s">
        <v>11952</v>
      </c>
      <c r="AA6" s="5" t="s">
        <v>11952</v>
      </c>
      <c r="AB6" s="5" t="s">
        <v>121</v>
      </c>
      <c r="AC6" s="5" t="s">
        <v>121</v>
      </c>
      <c r="AD6" s="5" t="s">
        <v>121</v>
      </c>
      <c r="AE6" s="5" t="s">
        <v>121</v>
      </c>
      <c r="AF6" s="5" t="s">
        <v>121</v>
      </c>
      <c r="AG6" s="5" t="s">
        <v>121</v>
      </c>
      <c r="AH6" s="5" t="s">
        <v>121</v>
      </c>
      <c r="AI6" s="5" t="s">
        <v>121</v>
      </c>
      <c r="AJ6" s="5" t="s">
        <v>121</v>
      </c>
      <c r="AK6" s="5" t="s">
        <v>121</v>
      </c>
      <c r="AL6" s="5" t="s">
        <v>121</v>
      </c>
      <c r="AM6" s="5" t="s">
        <v>121</v>
      </c>
      <c r="AN6" s="5" t="s">
        <v>121</v>
      </c>
      <c r="AO6" s="5" t="s">
        <v>121</v>
      </c>
      <c r="AP6" s="5" t="s">
        <v>121</v>
      </c>
      <c r="AQ6" s="5" t="s">
        <v>121</v>
      </c>
      <c r="AR6" s="5" t="s">
        <v>121</v>
      </c>
      <c r="AS6" s="5" t="s">
        <v>125</v>
      </c>
      <c r="AT6" s="5" t="s">
        <v>121</v>
      </c>
      <c r="AU6" s="5" t="s">
        <v>121</v>
      </c>
      <c r="AV6" s="5" t="s">
        <v>121</v>
      </c>
      <c r="AW6" s="5" t="s">
        <v>121</v>
      </c>
      <c r="AX6" s="5" t="s">
        <v>121</v>
      </c>
      <c r="AY6" s="5" t="s">
        <v>121</v>
      </c>
      <c r="AZ6" s="5" t="s">
        <v>121</v>
      </c>
      <c r="BA6" s="5" t="s">
        <v>121</v>
      </c>
      <c r="BB6" s="5" t="s">
        <v>3510</v>
      </c>
      <c r="BC6" s="5" t="s">
        <v>3510</v>
      </c>
      <c r="BD6" s="5" t="s">
        <v>121</v>
      </c>
      <c r="BE6" s="5" t="s">
        <v>121</v>
      </c>
      <c r="BF6" s="5" t="s">
        <v>121</v>
      </c>
      <c r="BG6" s="5" t="s">
        <v>121</v>
      </c>
      <c r="BH6" s="5" t="s">
        <v>11957</v>
      </c>
      <c r="BI6" s="5" t="s">
        <v>121</v>
      </c>
      <c r="BJ6" s="5" t="s">
        <v>122</v>
      </c>
      <c r="BK6" s="5" t="s">
        <v>121</v>
      </c>
      <c r="BL6" s="5" t="s">
        <v>1693</v>
      </c>
      <c r="BM6" s="5" t="s">
        <v>1693</v>
      </c>
      <c r="BN6" s="5" t="s">
        <v>123</v>
      </c>
      <c r="BO6" s="5" t="s">
        <v>121</v>
      </c>
      <c r="BP6" s="5" t="s">
        <v>2854</v>
      </c>
      <c r="BQ6" s="5" t="s">
        <v>121</v>
      </c>
      <c r="BR6" s="5" t="s">
        <v>121</v>
      </c>
      <c r="BS6" s="5" t="s">
        <v>121</v>
      </c>
      <c r="BT6" s="5" t="s">
        <v>121</v>
      </c>
      <c r="BU6" s="5" t="s">
        <v>121</v>
      </c>
      <c r="BV6" s="5" t="s">
        <v>3510</v>
      </c>
      <c r="BW6" s="5" t="s">
        <v>3510</v>
      </c>
      <c r="BX6" s="5" t="s">
        <v>3510</v>
      </c>
      <c r="BY6" s="5" t="s">
        <v>121</v>
      </c>
      <c r="BZ6" s="5" t="s">
        <v>121</v>
      </c>
      <c r="CA6" s="5" t="s">
        <v>121</v>
      </c>
      <c r="CB6" s="5" t="s">
        <v>121</v>
      </c>
      <c r="CC6" s="5" t="s">
        <v>120</v>
      </c>
      <c r="CD6" s="5" t="s">
        <v>121</v>
      </c>
      <c r="CE6" s="5" t="s">
        <v>121</v>
      </c>
      <c r="CF6" s="5" t="s">
        <v>11958</v>
      </c>
      <c r="CG6" s="5" t="s">
        <v>121</v>
      </c>
      <c r="CH6" s="5" t="s">
        <v>121</v>
      </c>
      <c r="CI6" s="5" t="s">
        <v>11959</v>
      </c>
      <c r="CJ6" s="5" t="s">
        <v>124</v>
      </c>
      <c r="CK6" s="5" t="s">
        <v>121</v>
      </c>
      <c r="CL6" s="5" t="s">
        <v>3510</v>
      </c>
      <c r="CM6" s="5" t="s">
        <v>124</v>
      </c>
      <c r="CN6" s="5" t="s">
        <v>121</v>
      </c>
      <c r="CO6" s="5" t="s">
        <v>121</v>
      </c>
      <c r="CP6" s="5" t="s">
        <v>3510</v>
      </c>
      <c r="CQ6" s="5" t="s">
        <v>126</v>
      </c>
      <c r="CR6" s="5" t="s">
        <v>11960</v>
      </c>
      <c r="CS6" s="5" t="s">
        <v>3510</v>
      </c>
      <c r="CT6" s="5" t="s">
        <v>3510</v>
      </c>
      <c r="CU6" s="5" t="s">
        <v>3510</v>
      </c>
      <c r="CV6" s="5" t="s">
        <v>11952</v>
      </c>
      <c r="CW6" s="5" t="s">
        <v>11952</v>
      </c>
      <c r="CX6" s="5" t="s">
        <v>11961</v>
      </c>
      <c r="CY6" s="5" t="s">
        <v>11962</v>
      </c>
      <c r="CZ6" s="5" t="s">
        <v>3510</v>
      </c>
      <c r="DA6" s="5" t="s">
        <v>11952</v>
      </c>
      <c r="DB6" s="5" t="s">
        <v>11963</v>
      </c>
      <c r="DC6" s="5" t="s">
        <v>11963</v>
      </c>
      <c r="DD6" s="5" t="s">
        <v>11963</v>
      </c>
      <c r="DE6" s="5" t="s">
        <v>11963</v>
      </c>
      <c r="DF6" s="5" t="s">
        <v>3510</v>
      </c>
      <c r="DG6" s="5" t="s">
        <v>11964</v>
      </c>
      <c r="DH6" s="5" t="s">
        <v>11965</v>
      </c>
      <c r="DI6" s="5" t="s">
        <v>11966</v>
      </c>
      <c r="DJ6" s="5" t="s">
        <v>11966</v>
      </c>
      <c r="DK6" s="5" t="s">
        <v>11967</v>
      </c>
      <c r="DL6" s="5">
        <v>4</v>
      </c>
      <c r="DM6" s="5">
        <v>1</v>
      </c>
      <c r="DN6" s="5">
        <v>1</v>
      </c>
      <c r="DO6" s="5">
        <v>0</v>
      </c>
      <c r="DP6" s="5">
        <v>1</v>
      </c>
      <c r="DQ6" s="5">
        <v>1</v>
      </c>
      <c r="DR6" s="5">
        <v>0</v>
      </c>
      <c r="DS6" s="5">
        <v>27</v>
      </c>
      <c r="DT6" s="5" t="s">
        <v>11968</v>
      </c>
      <c r="DU6" s="5" t="s">
        <v>11969</v>
      </c>
      <c r="DV6" s="5" t="s">
        <v>11970</v>
      </c>
      <c r="DW6" s="5"/>
      <c r="DX6" s="5">
        <v>7</v>
      </c>
      <c r="DY6" s="5"/>
      <c r="DZ6" s="5">
        <v>100</v>
      </c>
      <c r="EA6" s="5"/>
      <c r="EB6" s="5">
        <v>7.0000000000000007E-2</v>
      </c>
      <c r="EC6" s="5"/>
      <c r="ED6" s="5" t="s">
        <v>11971</v>
      </c>
      <c r="EE6" s="5"/>
      <c r="EF6" s="5" t="s">
        <v>11971</v>
      </c>
      <c r="EG6" s="5"/>
      <c r="EH6" s="5" t="s">
        <v>11971</v>
      </c>
      <c r="EI6" s="5"/>
      <c r="EJ6" s="5" t="s">
        <v>11971</v>
      </c>
      <c r="EK6" s="5"/>
      <c r="EL6" s="5" t="s">
        <v>11971</v>
      </c>
      <c r="EM6" s="5"/>
      <c r="EN6" s="5" t="s">
        <v>11971</v>
      </c>
      <c r="EO6" s="5"/>
      <c r="EP6" s="5" t="s">
        <v>11971</v>
      </c>
      <c r="EQ6" s="5"/>
      <c r="ER6" s="5" t="s">
        <v>11971</v>
      </c>
      <c r="ES6" s="5"/>
      <c r="ET6" s="5" t="s">
        <v>11972</v>
      </c>
      <c r="EU6" s="5"/>
      <c r="EV6" s="5"/>
      <c r="EW6" s="5"/>
      <c r="EX6" s="5"/>
      <c r="EY6" s="5" t="s">
        <v>2856</v>
      </c>
      <c r="EZ6" s="5"/>
      <c r="FA6" s="5" t="s">
        <v>130</v>
      </c>
      <c r="FB6" s="5"/>
    </row>
    <row r="7" spans="1:158" ht="293.25">
      <c r="A7" s="5" t="s">
        <v>132</v>
      </c>
      <c r="B7" s="5" t="s">
        <v>133</v>
      </c>
      <c r="C7" s="5" t="s">
        <v>11973</v>
      </c>
      <c r="D7" s="5" t="s">
        <v>119</v>
      </c>
      <c r="E7" s="5" t="s">
        <v>11974</v>
      </c>
      <c r="F7" s="5" t="s">
        <v>11975</v>
      </c>
      <c r="G7" s="5" t="s">
        <v>11976</v>
      </c>
      <c r="H7" s="5" t="s">
        <v>11977</v>
      </c>
      <c r="I7" s="5" t="s">
        <v>129</v>
      </c>
      <c r="J7" s="5" t="s">
        <v>3510</v>
      </c>
      <c r="K7" s="5" t="s">
        <v>11978</v>
      </c>
      <c r="L7" s="5" t="s">
        <v>140</v>
      </c>
      <c r="M7" s="5" t="s">
        <v>11448</v>
      </c>
      <c r="N7" s="5" t="s">
        <v>11952</v>
      </c>
      <c r="O7" s="5" t="s">
        <v>11952</v>
      </c>
      <c r="P7" s="5" t="s">
        <v>11952</v>
      </c>
      <c r="Q7" s="5" t="s">
        <v>11952</v>
      </c>
      <c r="R7" s="5" t="s">
        <v>11952</v>
      </c>
      <c r="S7" s="5" t="s">
        <v>11952</v>
      </c>
      <c r="T7" s="5" t="s">
        <v>121</v>
      </c>
      <c r="U7" s="5" t="s">
        <v>2854</v>
      </c>
      <c r="V7" s="5" t="s">
        <v>11979</v>
      </c>
      <c r="W7" s="5" t="s">
        <v>121</v>
      </c>
      <c r="X7" s="5" t="s">
        <v>11980</v>
      </c>
      <c r="Y7" s="5" t="s">
        <v>121</v>
      </c>
      <c r="Z7" s="5" t="s">
        <v>121</v>
      </c>
      <c r="AA7" s="5" t="s">
        <v>11981</v>
      </c>
      <c r="AB7" s="5" t="s">
        <v>121</v>
      </c>
      <c r="AC7" s="5" t="s">
        <v>121</v>
      </c>
      <c r="AD7" s="5" t="s">
        <v>121</v>
      </c>
      <c r="AE7" s="5" t="s">
        <v>121</v>
      </c>
      <c r="AF7" s="5" t="s">
        <v>121</v>
      </c>
      <c r="AG7" s="5" t="s">
        <v>121</v>
      </c>
      <c r="AH7" s="5" t="s">
        <v>121</v>
      </c>
      <c r="AI7" s="5" t="s">
        <v>121</v>
      </c>
      <c r="AJ7" s="5" t="s">
        <v>121</v>
      </c>
      <c r="AK7" s="5" t="s">
        <v>121</v>
      </c>
      <c r="AL7" s="5" t="s">
        <v>121</v>
      </c>
      <c r="AM7" s="5" t="s">
        <v>121</v>
      </c>
      <c r="AN7" s="5" t="s">
        <v>121</v>
      </c>
      <c r="AO7" s="5" t="s">
        <v>121</v>
      </c>
      <c r="AP7" s="5" t="s">
        <v>121</v>
      </c>
      <c r="AQ7" s="5" t="s">
        <v>121</v>
      </c>
      <c r="AR7" s="5" t="s">
        <v>121</v>
      </c>
      <c r="AS7" s="5" t="s">
        <v>138</v>
      </c>
      <c r="AT7" s="5" t="s">
        <v>121</v>
      </c>
      <c r="AU7" s="5" t="s">
        <v>121</v>
      </c>
      <c r="AV7" s="5" t="s">
        <v>121</v>
      </c>
      <c r="AW7" s="5" t="s">
        <v>121</v>
      </c>
      <c r="AX7" s="5" t="s">
        <v>121</v>
      </c>
      <c r="AY7" s="5" t="s">
        <v>121</v>
      </c>
      <c r="AZ7" s="5" t="s">
        <v>121</v>
      </c>
      <c r="BA7" s="5" t="s">
        <v>121</v>
      </c>
      <c r="BB7" s="5" t="s">
        <v>3510</v>
      </c>
      <c r="BC7" s="5" t="s">
        <v>121</v>
      </c>
      <c r="BD7" s="5" t="s">
        <v>121</v>
      </c>
      <c r="BE7" s="5" t="s">
        <v>121</v>
      </c>
      <c r="BF7" s="5" t="s">
        <v>121</v>
      </c>
      <c r="BG7" s="5" t="s">
        <v>121</v>
      </c>
      <c r="BH7" s="5" t="s">
        <v>11982</v>
      </c>
      <c r="BI7" s="5" t="s">
        <v>121</v>
      </c>
      <c r="BJ7" s="5" t="s">
        <v>135</v>
      </c>
      <c r="BK7" s="5" t="s">
        <v>121</v>
      </c>
      <c r="BL7" s="5" t="s">
        <v>11983</v>
      </c>
      <c r="BM7" s="5" t="s">
        <v>11983</v>
      </c>
      <c r="BN7" s="5" t="s">
        <v>136</v>
      </c>
      <c r="BO7" s="5" t="s">
        <v>11984</v>
      </c>
      <c r="BP7" s="5" t="s">
        <v>2854</v>
      </c>
      <c r="BQ7" s="5" t="s">
        <v>2854</v>
      </c>
      <c r="BR7" s="5" t="s">
        <v>2854</v>
      </c>
      <c r="BS7" s="5" t="s">
        <v>121</v>
      </c>
      <c r="BT7" s="5" t="s">
        <v>121</v>
      </c>
      <c r="BU7" s="5" t="s">
        <v>121</v>
      </c>
      <c r="BV7" s="5" t="s">
        <v>3510</v>
      </c>
      <c r="BW7" s="5" t="s">
        <v>3510</v>
      </c>
      <c r="BX7" s="5" t="s">
        <v>3510</v>
      </c>
      <c r="BY7" s="5" t="s">
        <v>11985</v>
      </c>
      <c r="BZ7" s="5" t="s">
        <v>121</v>
      </c>
      <c r="CA7" s="5" t="s">
        <v>121</v>
      </c>
      <c r="CB7" s="5" t="s">
        <v>121</v>
      </c>
      <c r="CC7" s="5" t="s">
        <v>134</v>
      </c>
      <c r="CD7" s="5" t="s">
        <v>121</v>
      </c>
      <c r="CE7" s="5" t="s">
        <v>121</v>
      </c>
      <c r="CF7" s="5" t="s">
        <v>11958</v>
      </c>
      <c r="CG7" s="5" t="s">
        <v>121</v>
      </c>
      <c r="CH7" s="5" t="s">
        <v>121</v>
      </c>
      <c r="CI7" s="5" t="s">
        <v>11986</v>
      </c>
      <c r="CJ7" s="5" t="s">
        <v>137</v>
      </c>
      <c r="CK7" s="5" t="s">
        <v>121</v>
      </c>
      <c r="CL7" s="5" t="s">
        <v>3510</v>
      </c>
      <c r="CM7" s="5" t="s">
        <v>137</v>
      </c>
      <c r="CN7" s="5" t="s">
        <v>121</v>
      </c>
      <c r="CO7" s="5" t="s">
        <v>121</v>
      </c>
      <c r="CP7" s="5" t="s">
        <v>3510</v>
      </c>
      <c r="CQ7" s="5" t="s">
        <v>139</v>
      </c>
      <c r="CR7" s="5" t="s">
        <v>11960</v>
      </c>
      <c r="CS7" s="5" t="s">
        <v>3510</v>
      </c>
      <c r="CT7" s="5" t="s">
        <v>3510</v>
      </c>
      <c r="CU7" s="5" t="s">
        <v>3510</v>
      </c>
      <c r="CV7" s="5" t="s">
        <v>11952</v>
      </c>
      <c r="CW7" s="5" t="s">
        <v>11952</v>
      </c>
      <c r="CX7" s="5" t="s">
        <v>11987</v>
      </c>
      <c r="CY7" s="5" t="s">
        <v>11988</v>
      </c>
      <c r="CZ7" s="5" t="s">
        <v>11989</v>
      </c>
      <c r="DA7" s="5" t="s">
        <v>11989</v>
      </c>
      <c r="DB7" s="5" t="s">
        <v>11963</v>
      </c>
      <c r="DC7" s="5" t="s">
        <v>11990</v>
      </c>
      <c r="DD7" s="5" t="s">
        <v>11963</v>
      </c>
      <c r="DE7" s="5" t="s">
        <v>11991</v>
      </c>
      <c r="DF7" s="5" t="s">
        <v>2854</v>
      </c>
      <c r="DG7" s="5" t="s">
        <v>11992</v>
      </c>
      <c r="DH7" s="5" t="s">
        <v>11993</v>
      </c>
      <c r="DI7" s="5" t="s">
        <v>11966</v>
      </c>
      <c r="DJ7" s="5" t="s">
        <v>11994</v>
      </c>
      <c r="DK7" s="5" t="s">
        <v>11995</v>
      </c>
      <c r="DL7" s="5">
        <v>2</v>
      </c>
      <c r="DM7" s="5">
        <v>2</v>
      </c>
      <c r="DN7" s="5">
        <v>1.7</v>
      </c>
      <c r="DO7" s="5">
        <v>0.3</v>
      </c>
      <c r="DP7" s="5">
        <v>1.7</v>
      </c>
      <c r="DQ7" s="5">
        <v>0.7</v>
      </c>
      <c r="DR7" s="5">
        <v>0</v>
      </c>
      <c r="DS7" s="5">
        <v>26.8</v>
      </c>
      <c r="DT7" s="5" t="s">
        <v>11968</v>
      </c>
      <c r="DU7" s="5" t="s">
        <v>11996</v>
      </c>
      <c r="DV7" s="5" t="s">
        <v>11970</v>
      </c>
      <c r="DW7" s="5"/>
      <c r="DX7" s="5">
        <v>6</v>
      </c>
      <c r="DY7" s="5"/>
      <c r="DZ7" s="5">
        <v>100</v>
      </c>
      <c r="EA7" s="5"/>
      <c r="EB7" s="5">
        <v>0.06</v>
      </c>
      <c r="EC7" s="5"/>
      <c r="ED7" s="5" t="s">
        <v>11971</v>
      </c>
      <c r="EE7" s="5"/>
      <c r="EF7" s="5" t="s">
        <v>11997</v>
      </c>
      <c r="EG7" s="5"/>
      <c r="EH7" s="5" t="s">
        <v>11997</v>
      </c>
      <c r="EI7" s="5"/>
      <c r="EJ7" s="5" t="s">
        <v>11997</v>
      </c>
      <c r="EK7" s="5"/>
      <c r="EL7" s="5" t="s">
        <v>11997</v>
      </c>
      <c r="EM7" s="5"/>
      <c r="EN7" s="5" t="s">
        <v>11997</v>
      </c>
      <c r="EO7" s="5"/>
      <c r="EP7" s="5" t="s">
        <v>11998</v>
      </c>
      <c r="EQ7" s="5"/>
      <c r="ER7" s="5" t="s">
        <v>11997</v>
      </c>
      <c r="ES7" s="5"/>
      <c r="ET7" s="5" t="s">
        <v>11972</v>
      </c>
      <c r="EU7" s="5"/>
      <c r="EV7" s="5"/>
      <c r="EW7" s="5"/>
      <c r="EX7" s="5"/>
      <c r="EY7" s="5" t="s">
        <v>2902</v>
      </c>
      <c r="EZ7" s="5"/>
      <c r="FA7" s="5" t="s">
        <v>140</v>
      </c>
      <c r="FB7" s="5"/>
    </row>
    <row r="8" spans="1:158" ht="51">
      <c r="A8" s="5" t="s">
        <v>142</v>
      </c>
      <c r="B8" s="5" t="s">
        <v>143</v>
      </c>
      <c r="C8" s="5" t="s">
        <v>11952</v>
      </c>
      <c r="D8" s="5" t="s">
        <v>144</v>
      </c>
      <c r="E8" s="5" t="s">
        <v>11953</v>
      </c>
      <c r="F8" s="5" t="s">
        <v>11954</v>
      </c>
      <c r="G8" s="5" t="s">
        <v>11955</v>
      </c>
      <c r="H8" s="5" t="s">
        <v>11235</v>
      </c>
      <c r="I8" s="5" t="s">
        <v>129</v>
      </c>
      <c r="J8" s="5" t="s">
        <v>3510</v>
      </c>
      <c r="K8" s="5" t="s">
        <v>11956</v>
      </c>
      <c r="L8" s="5" t="s">
        <v>150</v>
      </c>
      <c r="M8" s="5" t="s">
        <v>150</v>
      </c>
      <c r="N8" s="5" t="s">
        <v>11952</v>
      </c>
      <c r="O8" s="5" t="s">
        <v>11952</v>
      </c>
      <c r="P8" s="5" t="s">
        <v>11952</v>
      </c>
      <c r="Q8" s="5" t="s">
        <v>11952</v>
      </c>
      <c r="R8" s="5" t="s">
        <v>11952</v>
      </c>
      <c r="S8" s="5" t="s">
        <v>11952</v>
      </c>
      <c r="T8" s="5" t="s">
        <v>121</v>
      </c>
      <c r="U8" s="5" t="s">
        <v>3510</v>
      </c>
      <c r="V8" s="5" t="s">
        <v>121</v>
      </c>
      <c r="W8" s="5" t="s">
        <v>121</v>
      </c>
      <c r="X8" s="5" t="s">
        <v>121</v>
      </c>
      <c r="Y8" s="5" t="s">
        <v>121</v>
      </c>
      <c r="Z8" s="5" t="s">
        <v>11952</v>
      </c>
      <c r="AA8" s="5" t="s">
        <v>11952</v>
      </c>
      <c r="AB8" s="5" t="s">
        <v>121</v>
      </c>
      <c r="AC8" s="5" t="s">
        <v>121</v>
      </c>
      <c r="AD8" s="5" t="s">
        <v>121</v>
      </c>
      <c r="AE8" s="5" t="s">
        <v>121</v>
      </c>
      <c r="AF8" s="5" t="s">
        <v>121</v>
      </c>
      <c r="AG8" s="5" t="s">
        <v>121</v>
      </c>
      <c r="AH8" s="5" t="s">
        <v>121</v>
      </c>
      <c r="AI8" s="5" t="s">
        <v>121</v>
      </c>
      <c r="AJ8" s="5" t="s">
        <v>121</v>
      </c>
      <c r="AK8" s="5" t="s">
        <v>121</v>
      </c>
      <c r="AL8" s="5" t="s">
        <v>121</v>
      </c>
      <c r="AM8" s="5" t="s">
        <v>121</v>
      </c>
      <c r="AN8" s="5" t="s">
        <v>121</v>
      </c>
      <c r="AO8" s="5" t="s">
        <v>121</v>
      </c>
      <c r="AP8" s="5" t="s">
        <v>121</v>
      </c>
      <c r="AQ8" s="5" t="s">
        <v>121</v>
      </c>
      <c r="AR8" s="5" t="s">
        <v>121</v>
      </c>
      <c r="AS8" s="5" t="s">
        <v>147</v>
      </c>
      <c r="AT8" s="5" t="s">
        <v>121</v>
      </c>
      <c r="AU8" s="5" t="s">
        <v>121</v>
      </c>
      <c r="AV8" s="5" t="s">
        <v>121</v>
      </c>
      <c r="AW8" s="5" t="s">
        <v>121</v>
      </c>
      <c r="AX8" s="5" t="s">
        <v>121</v>
      </c>
      <c r="AY8" s="5" t="s">
        <v>121</v>
      </c>
      <c r="AZ8" s="5" t="s">
        <v>121</v>
      </c>
      <c r="BA8" s="5" t="s">
        <v>121</v>
      </c>
      <c r="BB8" s="5" t="s">
        <v>121</v>
      </c>
      <c r="BC8" s="5" t="s">
        <v>121</v>
      </c>
      <c r="BD8" s="5" t="s">
        <v>121</v>
      </c>
      <c r="BE8" s="5" t="s">
        <v>121</v>
      </c>
      <c r="BF8" s="5" t="s">
        <v>121</v>
      </c>
      <c r="BG8" s="5" t="s">
        <v>121</v>
      </c>
      <c r="BH8" s="5" t="s">
        <v>11999</v>
      </c>
      <c r="BI8" s="5" t="s">
        <v>121</v>
      </c>
      <c r="BJ8" s="5" t="s">
        <v>146</v>
      </c>
      <c r="BK8" s="5" t="s">
        <v>121</v>
      </c>
      <c r="BL8" s="5" t="s">
        <v>121</v>
      </c>
      <c r="BM8" s="5" t="s">
        <v>121</v>
      </c>
      <c r="BN8" s="5" t="s">
        <v>121</v>
      </c>
      <c r="BO8" s="5" t="s">
        <v>121</v>
      </c>
      <c r="BP8" s="5" t="s">
        <v>121</v>
      </c>
      <c r="BQ8" s="5" t="s">
        <v>121</v>
      </c>
      <c r="BR8" s="5" t="s">
        <v>121</v>
      </c>
      <c r="BS8" s="5" t="s">
        <v>121</v>
      </c>
      <c r="BT8" s="5" t="s">
        <v>121</v>
      </c>
      <c r="BU8" s="5" t="s">
        <v>121</v>
      </c>
      <c r="BV8" s="5" t="s">
        <v>121</v>
      </c>
      <c r="BW8" s="5" t="s">
        <v>121</v>
      </c>
      <c r="BX8" s="5" t="s">
        <v>121</v>
      </c>
      <c r="BY8" s="5" t="s">
        <v>121</v>
      </c>
      <c r="BZ8" s="5" t="s">
        <v>121</v>
      </c>
      <c r="CA8" s="5" t="s">
        <v>121</v>
      </c>
      <c r="CB8" s="5" t="s">
        <v>121</v>
      </c>
      <c r="CC8" s="5" t="s">
        <v>145</v>
      </c>
      <c r="CD8" s="5" t="s">
        <v>121</v>
      </c>
      <c r="CE8" s="5" t="s">
        <v>121</v>
      </c>
      <c r="CF8" s="5" t="s">
        <v>11958</v>
      </c>
      <c r="CG8" s="5" t="s">
        <v>121</v>
      </c>
      <c r="CH8" s="5" t="s">
        <v>121</v>
      </c>
      <c r="CI8" s="5" t="s">
        <v>11959</v>
      </c>
      <c r="CJ8" s="5" t="s">
        <v>124</v>
      </c>
      <c r="CK8" s="5" t="s">
        <v>121</v>
      </c>
      <c r="CL8" s="5" t="s">
        <v>3510</v>
      </c>
      <c r="CM8" s="5" t="s">
        <v>124</v>
      </c>
      <c r="CN8" s="5" t="s">
        <v>121</v>
      </c>
      <c r="CO8" s="5" t="s">
        <v>121</v>
      </c>
      <c r="CP8" s="5" t="s">
        <v>3510</v>
      </c>
      <c r="CQ8" s="5" t="s">
        <v>148</v>
      </c>
      <c r="CR8" s="5" t="s">
        <v>11960</v>
      </c>
      <c r="CS8" s="5" t="s">
        <v>3510</v>
      </c>
      <c r="CT8" s="5" t="s">
        <v>3510</v>
      </c>
      <c r="CU8" s="5" t="s">
        <v>3510</v>
      </c>
      <c r="CV8" s="5" t="s">
        <v>11952</v>
      </c>
      <c r="CW8" s="5" t="s">
        <v>12000</v>
      </c>
      <c r="CX8" s="5" t="s">
        <v>11961</v>
      </c>
      <c r="CY8" s="5" t="s">
        <v>12001</v>
      </c>
      <c r="CZ8" s="5" t="s">
        <v>3510</v>
      </c>
      <c r="DA8" s="5" t="s">
        <v>11952</v>
      </c>
      <c r="DB8" s="5" t="s">
        <v>11963</v>
      </c>
      <c r="DC8" s="5" t="s">
        <v>11963</v>
      </c>
      <c r="DD8" s="5" t="s">
        <v>11963</v>
      </c>
      <c r="DE8" s="5" t="s">
        <v>11963</v>
      </c>
      <c r="DF8" s="5" t="s">
        <v>3510</v>
      </c>
      <c r="DG8" s="5" t="s">
        <v>11964</v>
      </c>
      <c r="DH8" s="5" t="s">
        <v>12002</v>
      </c>
      <c r="DI8" s="5" t="s">
        <v>11966</v>
      </c>
      <c r="DJ8" s="5" t="s">
        <v>11966</v>
      </c>
      <c r="DK8" s="5" t="s">
        <v>11967</v>
      </c>
      <c r="DL8" s="5">
        <v>4</v>
      </c>
      <c r="DM8" s="5">
        <v>1</v>
      </c>
      <c r="DN8" s="5">
        <v>1</v>
      </c>
      <c r="DO8" s="5">
        <v>0</v>
      </c>
      <c r="DP8" s="5">
        <v>1</v>
      </c>
      <c r="DQ8" s="5">
        <v>1</v>
      </c>
      <c r="DR8" s="5">
        <v>0</v>
      </c>
      <c r="DS8" s="5">
        <v>27</v>
      </c>
      <c r="DT8" s="5" t="s">
        <v>11968</v>
      </c>
      <c r="DU8" s="5" t="s">
        <v>11969</v>
      </c>
      <c r="DV8" s="5" t="s">
        <v>11970</v>
      </c>
      <c r="DW8" s="5"/>
      <c r="DX8" s="5">
        <v>7</v>
      </c>
      <c r="DY8" s="5"/>
      <c r="DZ8" s="5">
        <v>100</v>
      </c>
      <c r="EA8" s="5"/>
      <c r="EB8" s="5">
        <v>7.0000000000000007E-2</v>
      </c>
      <c r="EC8" s="5"/>
      <c r="ED8" s="5" t="s">
        <v>11971</v>
      </c>
      <c r="EE8" s="5"/>
      <c r="EF8" s="5" t="s">
        <v>11997</v>
      </c>
      <c r="EG8" s="5"/>
      <c r="EH8" s="5" t="s">
        <v>11997</v>
      </c>
      <c r="EI8" s="5"/>
      <c r="EJ8" s="5" t="s">
        <v>11997</v>
      </c>
      <c r="EK8" s="5"/>
      <c r="EL8" s="5" t="s">
        <v>11997</v>
      </c>
      <c r="EM8" s="5"/>
      <c r="EN8" s="5" t="s">
        <v>11997</v>
      </c>
      <c r="EO8" s="5"/>
      <c r="EP8" s="5" t="s">
        <v>11998</v>
      </c>
      <c r="EQ8" s="5"/>
      <c r="ER8" s="5" t="s">
        <v>11997</v>
      </c>
      <c r="ES8" s="5"/>
      <c r="ET8" s="5" t="s">
        <v>11972</v>
      </c>
      <c r="EU8" s="5"/>
      <c r="EV8" s="5"/>
      <c r="EW8" s="5"/>
      <c r="EX8" s="5"/>
      <c r="EY8" s="5" t="s">
        <v>2932</v>
      </c>
      <c r="EZ8" s="5"/>
      <c r="FA8" s="5" t="s">
        <v>150</v>
      </c>
      <c r="FB8" s="5"/>
    </row>
    <row r="9" spans="1:158" ht="63.75">
      <c r="A9" s="5" t="s">
        <v>152</v>
      </c>
      <c r="B9" s="5" t="s">
        <v>153</v>
      </c>
      <c r="C9" s="5" t="s">
        <v>11952</v>
      </c>
      <c r="D9" s="5" t="s">
        <v>119</v>
      </c>
      <c r="E9" s="5" t="s">
        <v>11953</v>
      </c>
      <c r="F9" s="5" t="s">
        <v>11954</v>
      </c>
      <c r="G9" s="5" t="s">
        <v>11955</v>
      </c>
      <c r="H9" s="5" t="s">
        <v>11235</v>
      </c>
      <c r="I9" s="5" t="s">
        <v>129</v>
      </c>
      <c r="J9" s="5" t="s">
        <v>3510</v>
      </c>
      <c r="K9" s="5" t="s">
        <v>11956</v>
      </c>
      <c r="L9" s="5" t="s">
        <v>163</v>
      </c>
      <c r="M9" s="5" t="s">
        <v>163</v>
      </c>
      <c r="N9" s="5" t="s">
        <v>11952</v>
      </c>
      <c r="O9" s="5" t="s">
        <v>11952</v>
      </c>
      <c r="P9" s="5" t="s">
        <v>11952</v>
      </c>
      <c r="Q9" s="5" t="s">
        <v>11952</v>
      </c>
      <c r="R9" s="5" t="s">
        <v>11952</v>
      </c>
      <c r="S9" s="5" t="s">
        <v>11952</v>
      </c>
      <c r="T9" s="5" t="s">
        <v>121</v>
      </c>
      <c r="U9" s="5" t="s">
        <v>3510</v>
      </c>
      <c r="V9" s="5" t="s">
        <v>121</v>
      </c>
      <c r="W9" s="5" t="s">
        <v>121</v>
      </c>
      <c r="X9" s="5" t="s">
        <v>121</v>
      </c>
      <c r="Y9" s="5" t="s">
        <v>121</v>
      </c>
      <c r="Z9" s="5" t="s">
        <v>11952</v>
      </c>
      <c r="AA9" s="5" t="s">
        <v>11952</v>
      </c>
      <c r="AB9" s="5" t="s">
        <v>155</v>
      </c>
      <c r="AC9" s="5" t="s">
        <v>160</v>
      </c>
      <c r="AD9" s="5" t="s">
        <v>121</v>
      </c>
      <c r="AE9" s="5" t="s">
        <v>121</v>
      </c>
      <c r="AF9" s="5" t="s">
        <v>160</v>
      </c>
      <c r="AG9" s="5" t="s">
        <v>121</v>
      </c>
      <c r="AH9" s="5" t="s">
        <v>121</v>
      </c>
      <c r="AI9" s="5" t="s">
        <v>121</v>
      </c>
      <c r="AJ9" s="5" t="s">
        <v>121</v>
      </c>
      <c r="AK9" s="5" t="s">
        <v>121</v>
      </c>
      <c r="AL9" s="5" t="s">
        <v>121</v>
      </c>
      <c r="AM9" s="5" t="s">
        <v>121</v>
      </c>
      <c r="AN9" s="5" t="s">
        <v>121</v>
      </c>
      <c r="AO9" s="5" t="s">
        <v>121</v>
      </c>
      <c r="AP9" s="5" t="s">
        <v>121</v>
      </c>
      <c r="AQ9" s="5" t="s">
        <v>121</v>
      </c>
      <c r="AR9" s="5" t="s">
        <v>121</v>
      </c>
      <c r="AS9" s="5" t="s">
        <v>161</v>
      </c>
      <c r="AT9" s="5" t="s">
        <v>121</v>
      </c>
      <c r="AU9" s="5" t="s">
        <v>156</v>
      </c>
      <c r="AV9" s="5" t="s">
        <v>12003</v>
      </c>
      <c r="AW9" s="5" t="s">
        <v>156</v>
      </c>
      <c r="AX9" s="5" t="s">
        <v>12004</v>
      </c>
      <c r="AY9" s="5" t="s">
        <v>121</v>
      </c>
      <c r="AZ9" s="5" t="s">
        <v>121</v>
      </c>
      <c r="BA9" s="5" t="s">
        <v>121</v>
      </c>
      <c r="BB9" s="5" t="s">
        <v>3510</v>
      </c>
      <c r="BC9" s="5" t="s">
        <v>121</v>
      </c>
      <c r="BD9" s="5" t="s">
        <v>121</v>
      </c>
      <c r="BE9" s="5" t="s">
        <v>121</v>
      </c>
      <c r="BF9" s="5" t="s">
        <v>121</v>
      </c>
      <c r="BG9" s="5" t="s">
        <v>121</v>
      </c>
      <c r="BH9" s="5" t="s">
        <v>12005</v>
      </c>
      <c r="BI9" s="5" t="s">
        <v>121</v>
      </c>
      <c r="BJ9" s="5" t="s">
        <v>157</v>
      </c>
      <c r="BK9" s="5" t="s">
        <v>121</v>
      </c>
      <c r="BL9" s="5" t="s">
        <v>154</v>
      </c>
      <c r="BM9" s="5" t="s">
        <v>154</v>
      </c>
      <c r="BN9" s="5" t="s">
        <v>158</v>
      </c>
      <c r="BO9" s="5" t="s">
        <v>12006</v>
      </c>
      <c r="BP9" s="5" t="s">
        <v>121</v>
      </c>
      <c r="BQ9" s="5" t="s">
        <v>2854</v>
      </c>
      <c r="BR9" s="5" t="s">
        <v>2854</v>
      </c>
      <c r="BS9" s="5" t="s">
        <v>121</v>
      </c>
      <c r="BT9" s="5" t="s">
        <v>121</v>
      </c>
      <c r="BU9" s="5" t="s">
        <v>121</v>
      </c>
      <c r="BV9" s="5" t="s">
        <v>3510</v>
      </c>
      <c r="BW9" s="5" t="s">
        <v>3510</v>
      </c>
      <c r="BX9" s="5" t="s">
        <v>3510</v>
      </c>
      <c r="BY9" s="5" t="s">
        <v>121</v>
      </c>
      <c r="BZ9" s="5" t="s">
        <v>121</v>
      </c>
      <c r="CA9" s="5" t="s">
        <v>121</v>
      </c>
      <c r="CB9" s="5" t="s">
        <v>121</v>
      </c>
      <c r="CC9" s="5" t="s">
        <v>154</v>
      </c>
      <c r="CD9" s="5" t="s">
        <v>121</v>
      </c>
      <c r="CE9" s="5" t="s">
        <v>121</v>
      </c>
      <c r="CF9" s="5" t="s">
        <v>11958</v>
      </c>
      <c r="CG9" s="5" t="s">
        <v>121</v>
      </c>
      <c r="CH9" s="5" t="s">
        <v>121</v>
      </c>
      <c r="CI9" s="5" t="s">
        <v>11959</v>
      </c>
      <c r="CJ9" s="5" t="s">
        <v>159</v>
      </c>
      <c r="CK9" s="5" t="s">
        <v>121</v>
      </c>
      <c r="CL9" s="5" t="s">
        <v>121</v>
      </c>
      <c r="CM9" s="5" t="s">
        <v>159</v>
      </c>
      <c r="CN9" s="5" t="s">
        <v>121</v>
      </c>
      <c r="CO9" s="5" t="s">
        <v>121</v>
      </c>
      <c r="CP9" s="5" t="s">
        <v>3510</v>
      </c>
      <c r="CQ9" s="5" t="s">
        <v>162</v>
      </c>
      <c r="CR9" s="5" t="s">
        <v>11960</v>
      </c>
      <c r="CS9" s="5" t="s">
        <v>3510</v>
      </c>
      <c r="CT9" s="5" t="s">
        <v>3510</v>
      </c>
      <c r="CU9" s="5" t="s">
        <v>3510</v>
      </c>
      <c r="CV9" s="5" t="s">
        <v>11952</v>
      </c>
      <c r="CW9" s="5" t="s">
        <v>11952</v>
      </c>
      <c r="CX9" s="5" t="s">
        <v>11961</v>
      </c>
      <c r="CY9" s="5" t="s">
        <v>12007</v>
      </c>
      <c r="CZ9" s="5" t="s">
        <v>3510</v>
      </c>
      <c r="DA9" s="5" t="s">
        <v>11952</v>
      </c>
      <c r="DB9" s="5" t="s">
        <v>11963</v>
      </c>
      <c r="DC9" s="5" t="s">
        <v>11963</v>
      </c>
      <c r="DD9" s="5" t="s">
        <v>11963</v>
      </c>
      <c r="DE9" s="5" t="s">
        <v>11963</v>
      </c>
      <c r="DF9" s="5" t="s">
        <v>3510</v>
      </c>
      <c r="DG9" s="5" t="s">
        <v>11964</v>
      </c>
      <c r="DH9" s="5" t="s">
        <v>12008</v>
      </c>
      <c r="DI9" s="5" t="s">
        <v>11975</v>
      </c>
      <c r="DJ9" s="5" t="s">
        <v>11966</v>
      </c>
      <c r="DK9" s="5" t="s">
        <v>11967</v>
      </c>
      <c r="DL9" s="5">
        <v>2</v>
      </c>
      <c r="DM9" s="5">
        <v>4</v>
      </c>
      <c r="DN9" s="5">
        <v>2.5</v>
      </c>
      <c r="DO9" s="5">
        <v>2</v>
      </c>
      <c r="DP9" s="5">
        <v>3</v>
      </c>
      <c r="DQ9" s="5">
        <v>1</v>
      </c>
      <c r="DR9" s="5">
        <v>0</v>
      </c>
      <c r="DS9" s="5">
        <v>45.5</v>
      </c>
      <c r="DT9" s="5" t="s">
        <v>11968</v>
      </c>
      <c r="DU9" s="5" t="s">
        <v>11969</v>
      </c>
      <c r="DV9" s="5" t="s">
        <v>11970</v>
      </c>
      <c r="DW9" s="5"/>
      <c r="DX9" s="5">
        <v>12</v>
      </c>
      <c r="DY9" s="5"/>
      <c r="DZ9" s="5">
        <v>100</v>
      </c>
      <c r="EA9" s="5"/>
      <c r="EB9" s="5">
        <v>0.12</v>
      </c>
      <c r="EC9" s="5"/>
      <c r="ED9" s="5" t="s">
        <v>11971</v>
      </c>
      <c r="EE9" s="5"/>
      <c r="EF9" s="5" t="s">
        <v>11997</v>
      </c>
      <c r="EG9" s="5"/>
      <c r="EH9" s="5" t="s">
        <v>11997</v>
      </c>
      <c r="EI9" s="5"/>
      <c r="EJ9" s="5" t="s">
        <v>11997</v>
      </c>
      <c r="EK9" s="5"/>
      <c r="EL9" s="5" t="s">
        <v>11997</v>
      </c>
      <c r="EM9" s="5"/>
      <c r="EN9" s="5" t="s">
        <v>11997</v>
      </c>
      <c r="EO9" s="5"/>
      <c r="EP9" s="5" t="s">
        <v>11998</v>
      </c>
      <c r="EQ9" s="5"/>
      <c r="ER9" s="5" t="s">
        <v>11997</v>
      </c>
      <c r="ES9" s="5"/>
      <c r="ET9" s="5" t="s">
        <v>11972</v>
      </c>
      <c r="EU9" s="5"/>
      <c r="EV9" s="5"/>
      <c r="EW9" s="5"/>
      <c r="EX9" s="5"/>
      <c r="EY9" s="5" t="s">
        <v>2956</v>
      </c>
      <c r="EZ9" s="5"/>
      <c r="FA9" s="5" t="s">
        <v>163</v>
      </c>
      <c r="FB9" s="5"/>
    </row>
    <row r="10" spans="1:158" ht="409.5">
      <c r="A10" s="5" t="s">
        <v>165</v>
      </c>
      <c r="B10" s="5" t="s">
        <v>11450</v>
      </c>
      <c r="C10" s="5" t="s">
        <v>12009</v>
      </c>
      <c r="D10" s="5" t="s">
        <v>12010</v>
      </c>
      <c r="E10" s="5" t="s">
        <v>12011</v>
      </c>
      <c r="F10" s="5" t="s">
        <v>11994</v>
      </c>
      <c r="G10" s="5" t="s">
        <v>12012</v>
      </c>
      <c r="H10" s="5" t="s">
        <v>11977</v>
      </c>
      <c r="I10" s="5" t="s">
        <v>12013</v>
      </c>
      <c r="J10" s="5" t="s">
        <v>2854</v>
      </c>
      <c r="K10" s="5" t="s">
        <v>12014</v>
      </c>
      <c r="L10" s="5" t="s">
        <v>185</v>
      </c>
      <c r="M10" s="5" t="s">
        <v>12015</v>
      </c>
      <c r="N10" s="5" t="s">
        <v>11952</v>
      </c>
      <c r="O10" s="5" t="s">
        <v>11952</v>
      </c>
      <c r="P10" s="5" t="s">
        <v>184</v>
      </c>
      <c r="Q10" s="5" t="s">
        <v>11952</v>
      </c>
      <c r="R10" s="5" t="s">
        <v>11952</v>
      </c>
      <c r="S10" s="5" t="s">
        <v>11952</v>
      </c>
      <c r="T10" s="5" t="s">
        <v>121</v>
      </c>
      <c r="U10" s="5" t="s">
        <v>2854</v>
      </c>
      <c r="V10" s="5" t="s">
        <v>12016</v>
      </c>
      <c r="W10" s="5" t="s">
        <v>12017</v>
      </c>
      <c r="X10" s="5" t="s">
        <v>12018</v>
      </c>
      <c r="Y10" s="5" t="s">
        <v>121</v>
      </c>
      <c r="Z10" s="5" t="s">
        <v>2854</v>
      </c>
      <c r="AA10" s="5" t="s">
        <v>11981</v>
      </c>
      <c r="AB10" s="5" t="s">
        <v>155</v>
      </c>
      <c r="AC10" s="5" t="s">
        <v>12019</v>
      </c>
      <c r="AD10" s="5" t="s">
        <v>121</v>
      </c>
      <c r="AE10" s="5" t="s">
        <v>121</v>
      </c>
      <c r="AF10" s="5" t="s">
        <v>12019</v>
      </c>
      <c r="AG10" s="5" t="s">
        <v>121</v>
      </c>
      <c r="AH10" s="5" t="s">
        <v>121</v>
      </c>
      <c r="AI10" s="5" t="s">
        <v>121</v>
      </c>
      <c r="AJ10" s="5" t="s">
        <v>121</v>
      </c>
      <c r="AK10" s="5" t="s">
        <v>121</v>
      </c>
      <c r="AL10" s="5" t="s">
        <v>121</v>
      </c>
      <c r="AM10" s="5" t="s">
        <v>121</v>
      </c>
      <c r="AN10" s="5" t="s">
        <v>12020</v>
      </c>
      <c r="AO10" s="5" t="s">
        <v>121</v>
      </c>
      <c r="AP10" s="5" t="s">
        <v>2302</v>
      </c>
      <c r="AQ10" s="5" t="s">
        <v>121</v>
      </c>
      <c r="AR10" s="5" t="s">
        <v>12021</v>
      </c>
      <c r="AS10" s="5" t="s">
        <v>12022</v>
      </c>
      <c r="AT10" s="5" t="s">
        <v>121</v>
      </c>
      <c r="AU10" s="5" t="s">
        <v>12023</v>
      </c>
      <c r="AV10" s="5" t="s">
        <v>12003</v>
      </c>
      <c r="AW10" s="5" t="s">
        <v>12023</v>
      </c>
      <c r="AX10" s="5" t="s">
        <v>121</v>
      </c>
      <c r="AY10" s="5" t="s">
        <v>121</v>
      </c>
      <c r="AZ10" s="5" t="s">
        <v>121</v>
      </c>
      <c r="BA10" s="5" t="s">
        <v>121</v>
      </c>
      <c r="BB10" s="5" t="s">
        <v>3510</v>
      </c>
      <c r="BC10" s="5" t="s">
        <v>121</v>
      </c>
      <c r="BD10" s="5" t="s">
        <v>121</v>
      </c>
      <c r="BE10" s="5" t="s">
        <v>121</v>
      </c>
      <c r="BF10" s="5" t="s">
        <v>12024</v>
      </c>
      <c r="BG10" s="5" t="s">
        <v>121</v>
      </c>
      <c r="BH10" s="5" t="s">
        <v>12025</v>
      </c>
      <c r="BI10" s="5" t="s">
        <v>12025</v>
      </c>
      <c r="BJ10" s="5" t="s">
        <v>12026</v>
      </c>
      <c r="BK10" s="5" t="s">
        <v>121</v>
      </c>
      <c r="BL10" s="5" t="s">
        <v>12027</v>
      </c>
      <c r="BM10" s="5" t="s">
        <v>12027</v>
      </c>
      <c r="BN10" s="5" t="s">
        <v>12028</v>
      </c>
      <c r="BO10" s="5" t="s">
        <v>121</v>
      </c>
      <c r="BP10" s="5" t="s">
        <v>2854</v>
      </c>
      <c r="BQ10" s="5" t="s">
        <v>121</v>
      </c>
      <c r="BR10" s="5" t="s">
        <v>121</v>
      </c>
      <c r="BS10" s="5" t="s">
        <v>121</v>
      </c>
      <c r="BT10" s="5" t="s">
        <v>121</v>
      </c>
      <c r="BU10" s="5" t="s">
        <v>121</v>
      </c>
      <c r="BV10" s="5" t="s">
        <v>3510</v>
      </c>
      <c r="BW10" s="5" t="s">
        <v>3510</v>
      </c>
      <c r="BX10" s="5" t="s">
        <v>3510</v>
      </c>
      <c r="BY10" s="5" t="s">
        <v>12029</v>
      </c>
      <c r="BZ10" s="5" t="s">
        <v>12030</v>
      </c>
      <c r="CA10" s="5" t="s">
        <v>121</v>
      </c>
      <c r="CB10" s="5" t="s">
        <v>121</v>
      </c>
      <c r="CC10" s="5" t="s">
        <v>12031</v>
      </c>
      <c r="CD10" s="5" t="s">
        <v>12032</v>
      </c>
      <c r="CE10" s="5" t="s">
        <v>12032</v>
      </c>
      <c r="CF10" s="5" t="s">
        <v>11958</v>
      </c>
      <c r="CG10" s="5" t="s">
        <v>12033</v>
      </c>
      <c r="CH10" s="5" t="s">
        <v>121</v>
      </c>
      <c r="CI10" s="5" t="s">
        <v>12034</v>
      </c>
      <c r="CJ10" s="5" t="s">
        <v>124</v>
      </c>
      <c r="CK10" s="5" t="s">
        <v>12035</v>
      </c>
      <c r="CL10" s="5" t="s">
        <v>3510</v>
      </c>
      <c r="CM10" s="5" t="s">
        <v>124</v>
      </c>
      <c r="CN10" s="5" t="s">
        <v>121</v>
      </c>
      <c r="CO10" s="5" t="s">
        <v>121</v>
      </c>
      <c r="CP10" s="5" t="s">
        <v>3510</v>
      </c>
      <c r="CQ10" s="5" t="s">
        <v>12036</v>
      </c>
      <c r="CR10" s="5" t="s">
        <v>11960</v>
      </c>
      <c r="CS10" s="5" t="s">
        <v>2854</v>
      </c>
      <c r="CT10" s="5" t="s">
        <v>3510</v>
      </c>
      <c r="CU10" s="5" t="s">
        <v>3510</v>
      </c>
      <c r="CV10" s="5" t="s">
        <v>11952</v>
      </c>
      <c r="CW10" s="5" t="s">
        <v>11952</v>
      </c>
      <c r="CX10" s="5" t="s">
        <v>12037</v>
      </c>
      <c r="CY10" s="5" t="s">
        <v>12038</v>
      </c>
      <c r="CZ10" s="5" t="s">
        <v>11989</v>
      </c>
      <c r="DA10" s="5" t="s">
        <v>11989</v>
      </c>
      <c r="DB10" s="5" t="s">
        <v>12039</v>
      </c>
      <c r="DC10" s="5" t="s">
        <v>12040</v>
      </c>
      <c r="DD10" s="5" t="s">
        <v>11963</v>
      </c>
      <c r="DE10" s="5" t="s">
        <v>12041</v>
      </c>
      <c r="DF10" s="5" t="s">
        <v>3510</v>
      </c>
      <c r="DG10" s="5" t="s">
        <v>12042</v>
      </c>
      <c r="DH10" s="5" t="s">
        <v>12043</v>
      </c>
      <c r="DI10" s="5" t="s">
        <v>11975</v>
      </c>
      <c r="DJ10" s="5" t="s">
        <v>12044</v>
      </c>
      <c r="DK10" s="5" t="s">
        <v>12045</v>
      </c>
      <c r="DL10" s="5">
        <v>4.2</v>
      </c>
      <c r="DM10" s="5">
        <v>3</v>
      </c>
      <c r="DN10" s="5">
        <v>3.9</v>
      </c>
      <c r="DO10" s="5">
        <v>4.8</v>
      </c>
      <c r="DP10" s="5">
        <v>3.2</v>
      </c>
      <c r="DQ10" s="5">
        <v>1.5</v>
      </c>
      <c r="DR10" s="5">
        <v>1</v>
      </c>
      <c r="DS10" s="5">
        <v>66.3</v>
      </c>
      <c r="DT10" s="5" t="s">
        <v>11968</v>
      </c>
      <c r="DU10" s="5" t="s">
        <v>12046</v>
      </c>
      <c r="DV10" s="5" t="s">
        <v>11970</v>
      </c>
      <c r="DW10" s="5"/>
      <c r="DX10" s="5">
        <v>24</v>
      </c>
      <c r="DY10" s="5"/>
      <c r="DZ10" s="5">
        <v>100</v>
      </c>
      <c r="EA10" s="5"/>
      <c r="EB10" s="5">
        <v>0.24</v>
      </c>
      <c r="EC10" s="5"/>
      <c r="ED10" s="5" t="s">
        <v>11971</v>
      </c>
      <c r="EE10" s="5"/>
      <c r="EF10" s="5" t="s">
        <v>11997</v>
      </c>
      <c r="EG10" s="5"/>
      <c r="EH10" s="5" t="s">
        <v>11997</v>
      </c>
      <c r="EI10" s="5"/>
      <c r="EJ10" s="5" t="s">
        <v>11997</v>
      </c>
      <c r="EK10" s="5"/>
      <c r="EL10" s="5" t="s">
        <v>11997</v>
      </c>
      <c r="EM10" s="5"/>
      <c r="EN10" s="5" t="s">
        <v>11997</v>
      </c>
      <c r="EO10" s="5"/>
      <c r="EP10" s="5" t="s">
        <v>11998</v>
      </c>
      <c r="EQ10" s="5"/>
      <c r="ER10" s="5" t="s">
        <v>11997</v>
      </c>
      <c r="ES10" s="5"/>
      <c r="ET10" s="5" t="s">
        <v>11972</v>
      </c>
      <c r="EU10" s="5"/>
      <c r="EV10" s="5"/>
      <c r="EW10" s="5"/>
      <c r="EX10" s="5"/>
      <c r="EY10" s="5" t="s">
        <v>12047</v>
      </c>
      <c r="EZ10" s="5"/>
      <c r="FA10" s="5" t="s">
        <v>185</v>
      </c>
      <c r="FB10" s="5"/>
    </row>
    <row r="11" spans="1:158" ht="63.75">
      <c r="A11" s="5" t="s">
        <v>187</v>
      </c>
      <c r="B11" s="5" t="s">
        <v>188</v>
      </c>
      <c r="C11" s="5" t="s">
        <v>11952</v>
      </c>
      <c r="D11" s="5" t="s">
        <v>119</v>
      </c>
      <c r="E11" s="5" t="s">
        <v>11953</v>
      </c>
      <c r="F11" s="5" t="s">
        <v>11954</v>
      </c>
      <c r="G11" s="5" t="s">
        <v>11955</v>
      </c>
      <c r="H11" s="5" t="s">
        <v>11235</v>
      </c>
      <c r="I11" s="5" t="s">
        <v>129</v>
      </c>
      <c r="J11" s="5" t="s">
        <v>3510</v>
      </c>
      <c r="K11" s="5" t="s">
        <v>11956</v>
      </c>
      <c r="L11" s="5" t="s">
        <v>194</v>
      </c>
      <c r="M11" s="5" t="s">
        <v>194</v>
      </c>
      <c r="N11" s="5" t="s">
        <v>11952</v>
      </c>
      <c r="O11" s="5" t="s">
        <v>11952</v>
      </c>
      <c r="P11" s="5" t="s">
        <v>11952</v>
      </c>
      <c r="Q11" s="5" t="s">
        <v>11952</v>
      </c>
      <c r="R11" s="5" t="s">
        <v>11952</v>
      </c>
      <c r="S11" s="5" t="s">
        <v>11952</v>
      </c>
      <c r="T11" s="5" t="s">
        <v>121</v>
      </c>
      <c r="U11" s="5" t="s">
        <v>3510</v>
      </c>
      <c r="V11" s="5" t="s">
        <v>121</v>
      </c>
      <c r="W11" s="5" t="s">
        <v>121</v>
      </c>
      <c r="X11" s="5" t="s">
        <v>121</v>
      </c>
      <c r="Y11" s="5" t="s">
        <v>121</v>
      </c>
      <c r="Z11" s="5" t="s">
        <v>11952</v>
      </c>
      <c r="AA11" s="5" t="s">
        <v>11952</v>
      </c>
      <c r="AB11" s="5" t="s">
        <v>155</v>
      </c>
      <c r="AC11" s="5" t="s">
        <v>192</v>
      </c>
      <c r="AD11" s="5" t="s">
        <v>121</v>
      </c>
      <c r="AE11" s="5" t="s">
        <v>121</v>
      </c>
      <c r="AF11" s="5" t="s">
        <v>192</v>
      </c>
      <c r="AG11" s="5" t="s">
        <v>121</v>
      </c>
      <c r="AH11" s="5" t="s">
        <v>121</v>
      </c>
      <c r="AI11" s="5" t="s">
        <v>121</v>
      </c>
      <c r="AJ11" s="5" t="s">
        <v>121</v>
      </c>
      <c r="AK11" s="5" t="s">
        <v>121</v>
      </c>
      <c r="AL11" s="5" t="s">
        <v>121</v>
      </c>
      <c r="AM11" s="5" t="s">
        <v>121</v>
      </c>
      <c r="AN11" s="5" t="s">
        <v>12048</v>
      </c>
      <c r="AO11" s="5" t="s">
        <v>121</v>
      </c>
      <c r="AP11" s="5" t="s">
        <v>121</v>
      </c>
      <c r="AQ11" s="5" t="s">
        <v>121</v>
      </c>
      <c r="AR11" s="5" t="s">
        <v>121</v>
      </c>
      <c r="AS11" s="5" t="s">
        <v>147</v>
      </c>
      <c r="AT11" s="5" t="s">
        <v>121</v>
      </c>
      <c r="AU11" s="5" t="s">
        <v>189</v>
      </c>
      <c r="AV11" s="5" t="s">
        <v>121</v>
      </c>
      <c r="AW11" s="5" t="s">
        <v>121</v>
      </c>
      <c r="AX11" s="5" t="s">
        <v>121</v>
      </c>
      <c r="AY11" s="5" t="s">
        <v>121</v>
      </c>
      <c r="AZ11" s="5" t="s">
        <v>121</v>
      </c>
      <c r="BA11" s="5" t="s">
        <v>121</v>
      </c>
      <c r="BB11" s="5" t="s">
        <v>3510</v>
      </c>
      <c r="BC11" s="5" t="s">
        <v>3510</v>
      </c>
      <c r="BD11" s="5" t="s">
        <v>121</v>
      </c>
      <c r="BE11" s="5" t="s">
        <v>121</v>
      </c>
      <c r="BF11" s="5" t="s">
        <v>121</v>
      </c>
      <c r="BG11" s="5" t="s">
        <v>121</v>
      </c>
      <c r="BH11" s="5" t="s">
        <v>12049</v>
      </c>
      <c r="BI11" s="5" t="s">
        <v>121</v>
      </c>
      <c r="BJ11" s="5" t="s">
        <v>190</v>
      </c>
      <c r="BK11" s="5" t="s">
        <v>121</v>
      </c>
      <c r="BL11" s="5" t="s">
        <v>1693</v>
      </c>
      <c r="BM11" s="5" t="s">
        <v>1693</v>
      </c>
      <c r="BN11" s="5" t="s">
        <v>191</v>
      </c>
      <c r="BO11" s="5" t="s">
        <v>121</v>
      </c>
      <c r="BP11" s="5" t="s">
        <v>2854</v>
      </c>
      <c r="BQ11" s="5" t="s">
        <v>121</v>
      </c>
      <c r="BR11" s="5" t="s">
        <v>121</v>
      </c>
      <c r="BS11" s="5" t="s">
        <v>121</v>
      </c>
      <c r="BT11" s="5" t="s">
        <v>121</v>
      </c>
      <c r="BU11" s="5" t="s">
        <v>121</v>
      </c>
      <c r="BV11" s="5" t="s">
        <v>3510</v>
      </c>
      <c r="BW11" s="5" t="s">
        <v>3510</v>
      </c>
      <c r="BX11" s="5" t="s">
        <v>3510</v>
      </c>
      <c r="BY11" s="5" t="s">
        <v>121</v>
      </c>
      <c r="BZ11" s="5" t="s">
        <v>121</v>
      </c>
      <c r="CA11" s="5" t="s">
        <v>121</v>
      </c>
      <c r="CB11" s="5" t="s">
        <v>121</v>
      </c>
      <c r="CC11" s="5" t="s">
        <v>120</v>
      </c>
      <c r="CD11" s="5" t="s">
        <v>121</v>
      </c>
      <c r="CE11" s="5" t="s">
        <v>121</v>
      </c>
      <c r="CF11" s="5" t="s">
        <v>11958</v>
      </c>
      <c r="CG11" s="5" t="s">
        <v>121</v>
      </c>
      <c r="CH11" s="5" t="s">
        <v>121</v>
      </c>
      <c r="CI11" s="5" t="s">
        <v>11959</v>
      </c>
      <c r="CJ11" s="5" t="s">
        <v>124</v>
      </c>
      <c r="CK11" s="5" t="s">
        <v>121</v>
      </c>
      <c r="CL11" s="5" t="s">
        <v>3510</v>
      </c>
      <c r="CM11" s="5" t="s">
        <v>124</v>
      </c>
      <c r="CN11" s="5" t="s">
        <v>121</v>
      </c>
      <c r="CO11" s="5" t="s">
        <v>121</v>
      </c>
      <c r="CP11" s="5" t="s">
        <v>3510</v>
      </c>
      <c r="CQ11" s="5" t="s">
        <v>193</v>
      </c>
      <c r="CR11" s="5" t="s">
        <v>11960</v>
      </c>
      <c r="CS11" s="5" t="s">
        <v>3510</v>
      </c>
      <c r="CT11" s="5" t="s">
        <v>3510</v>
      </c>
      <c r="CU11" s="5" t="s">
        <v>3510</v>
      </c>
      <c r="CV11" s="5" t="s">
        <v>11952</v>
      </c>
      <c r="CW11" s="5" t="s">
        <v>11952</v>
      </c>
      <c r="CX11" s="5" t="s">
        <v>11961</v>
      </c>
      <c r="CY11" s="5" t="s">
        <v>12050</v>
      </c>
      <c r="CZ11" s="5" t="s">
        <v>3510</v>
      </c>
      <c r="DA11" s="5" t="s">
        <v>11952</v>
      </c>
      <c r="DB11" s="5" t="s">
        <v>11963</v>
      </c>
      <c r="DC11" s="5" t="s">
        <v>11963</v>
      </c>
      <c r="DD11" s="5" t="s">
        <v>11963</v>
      </c>
      <c r="DE11" s="5" t="s">
        <v>11963</v>
      </c>
      <c r="DF11" s="5" t="s">
        <v>3510</v>
      </c>
      <c r="DG11" s="5" t="s">
        <v>11964</v>
      </c>
      <c r="DH11" s="5" t="s">
        <v>12051</v>
      </c>
      <c r="DI11" s="5" t="s">
        <v>11975</v>
      </c>
      <c r="DJ11" s="5" t="s">
        <v>11966</v>
      </c>
      <c r="DK11" s="5" t="s">
        <v>11967</v>
      </c>
      <c r="DL11" s="5">
        <v>4</v>
      </c>
      <c r="DM11" s="5">
        <v>2</v>
      </c>
      <c r="DN11" s="5">
        <v>1.5</v>
      </c>
      <c r="DO11" s="5">
        <v>1</v>
      </c>
      <c r="DP11" s="5">
        <v>2</v>
      </c>
      <c r="DQ11" s="5">
        <v>1</v>
      </c>
      <c r="DR11" s="5">
        <v>0</v>
      </c>
      <c r="DS11" s="5">
        <v>37.5</v>
      </c>
      <c r="DT11" s="5" t="s">
        <v>11968</v>
      </c>
      <c r="DU11" s="5" t="s">
        <v>11969</v>
      </c>
      <c r="DV11" s="5" t="s">
        <v>11970</v>
      </c>
      <c r="DW11" s="5"/>
      <c r="DX11" s="5">
        <v>10</v>
      </c>
      <c r="DY11" s="5"/>
      <c r="DZ11" s="5">
        <v>100</v>
      </c>
      <c r="EA11" s="5"/>
      <c r="EB11" s="5">
        <v>0.1</v>
      </c>
      <c r="EC11" s="5"/>
      <c r="ED11" s="5" t="s">
        <v>11971</v>
      </c>
      <c r="EE11" s="5"/>
      <c r="EF11" s="5" t="s">
        <v>11997</v>
      </c>
      <c r="EG11" s="5"/>
      <c r="EH11" s="5" t="s">
        <v>11997</v>
      </c>
      <c r="EI11" s="5"/>
      <c r="EJ11" s="5" t="s">
        <v>11997</v>
      </c>
      <c r="EK11" s="5"/>
      <c r="EL11" s="5" t="s">
        <v>11997</v>
      </c>
      <c r="EM11" s="5"/>
      <c r="EN11" s="5" t="s">
        <v>11997</v>
      </c>
      <c r="EO11" s="5"/>
      <c r="EP11" s="5" t="s">
        <v>11998</v>
      </c>
      <c r="EQ11" s="5"/>
      <c r="ER11" s="5" t="s">
        <v>11997</v>
      </c>
      <c r="ES11" s="5"/>
      <c r="ET11" s="5" t="s">
        <v>11972</v>
      </c>
      <c r="EU11" s="5"/>
      <c r="EV11" s="5"/>
      <c r="EW11" s="5"/>
      <c r="EX11" s="5"/>
      <c r="EY11" s="5" t="s">
        <v>3053</v>
      </c>
      <c r="EZ11" s="5"/>
      <c r="FA11" s="5" t="s">
        <v>194</v>
      </c>
      <c r="FB11" s="5"/>
    </row>
    <row r="12" spans="1:158" ht="409.5">
      <c r="A12" s="5" t="s">
        <v>25</v>
      </c>
      <c r="B12" s="5" t="s">
        <v>196</v>
      </c>
      <c r="C12" s="5" t="s">
        <v>12052</v>
      </c>
      <c r="D12" s="5" t="s">
        <v>12053</v>
      </c>
      <c r="E12" s="5" t="s">
        <v>12011</v>
      </c>
      <c r="F12" s="5" t="s">
        <v>11994</v>
      </c>
      <c r="G12" s="5" t="s">
        <v>12054</v>
      </c>
      <c r="H12" s="5" t="s">
        <v>11977</v>
      </c>
      <c r="I12" s="5" t="s">
        <v>207</v>
      </c>
      <c r="J12" s="5" t="s">
        <v>2854</v>
      </c>
      <c r="K12" s="5" t="s">
        <v>12055</v>
      </c>
      <c r="L12" s="5" t="s">
        <v>208</v>
      </c>
      <c r="M12" s="5" t="s">
        <v>208</v>
      </c>
      <c r="N12" s="5" t="s">
        <v>11952</v>
      </c>
      <c r="O12" s="5" t="s">
        <v>11952</v>
      </c>
      <c r="P12" s="5" t="s">
        <v>11952</v>
      </c>
      <c r="Q12" s="5" t="s">
        <v>11952</v>
      </c>
      <c r="R12" s="5" t="s">
        <v>12056</v>
      </c>
      <c r="S12" s="5" t="s">
        <v>11952</v>
      </c>
      <c r="T12" s="5" t="s">
        <v>12057</v>
      </c>
      <c r="U12" s="5" t="s">
        <v>2854</v>
      </c>
      <c r="V12" s="5" t="s">
        <v>12058</v>
      </c>
      <c r="W12" s="5" t="s">
        <v>12059</v>
      </c>
      <c r="X12" s="5" t="s">
        <v>12060</v>
      </c>
      <c r="Y12" s="5" t="s">
        <v>121</v>
      </c>
      <c r="Z12" s="5" t="s">
        <v>2854</v>
      </c>
      <c r="AA12" s="5" t="s">
        <v>11981</v>
      </c>
      <c r="AB12" s="5" t="s">
        <v>155</v>
      </c>
      <c r="AC12" s="5" t="s">
        <v>202</v>
      </c>
      <c r="AD12" s="5" t="s">
        <v>121</v>
      </c>
      <c r="AE12" s="5" t="s">
        <v>121</v>
      </c>
      <c r="AF12" s="5" t="s">
        <v>202</v>
      </c>
      <c r="AG12" s="5" t="s">
        <v>121</v>
      </c>
      <c r="AH12" s="5" t="s">
        <v>121</v>
      </c>
      <c r="AI12" s="5" t="s">
        <v>121</v>
      </c>
      <c r="AJ12" s="5" t="s">
        <v>121</v>
      </c>
      <c r="AK12" s="5" t="s">
        <v>121</v>
      </c>
      <c r="AL12" s="5" t="s">
        <v>121</v>
      </c>
      <c r="AM12" s="5" t="s">
        <v>121</v>
      </c>
      <c r="AN12" s="5" t="s">
        <v>12061</v>
      </c>
      <c r="AO12" s="5" t="s">
        <v>121</v>
      </c>
      <c r="AP12" s="5" t="s">
        <v>1350</v>
      </c>
      <c r="AQ12" s="5" t="s">
        <v>121</v>
      </c>
      <c r="AR12" s="5" t="s">
        <v>12062</v>
      </c>
      <c r="AS12" s="5" t="s">
        <v>203</v>
      </c>
      <c r="AT12" s="5" t="s">
        <v>121</v>
      </c>
      <c r="AU12" s="5" t="s">
        <v>198</v>
      </c>
      <c r="AV12" s="5" t="s">
        <v>121</v>
      </c>
      <c r="AW12" s="5" t="s">
        <v>198</v>
      </c>
      <c r="AX12" s="5" t="s">
        <v>12063</v>
      </c>
      <c r="AY12" s="5" t="s">
        <v>2854</v>
      </c>
      <c r="AZ12" s="5" t="s">
        <v>121</v>
      </c>
      <c r="BA12" s="5" t="s">
        <v>121</v>
      </c>
      <c r="BB12" s="5" t="s">
        <v>3510</v>
      </c>
      <c r="BC12" s="5" t="s">
        <v>3510</v>
      </c>
      <c r="BD12" s="5" t="s">
        <v>121</v>
      </c>
      <c r="BE12" s="5" t="s">
        <v>121</v>
      </c>
      <c r="BF12" s="5" t="s">
        <v>12064</v>
      </c>
      <c r="BG12" s="5" t="s">
        <v>121</v>
      </c>
      <c r="BH12" s="5" t="s">
        <v>12065</v>
      </c>
      <c r="BI12" s="5" t="s">
        <v>121</v>
      </c>
      <c r="BJ12" s="5" t="s">
        <v>199</v>
      </c>
      <c r="BK12" s="5" t="s">
        <v>121</v>
      </c>
      <c r="BL12" s="5" t="s">
        <v>12066</v>
      </c>
      <c r="BM12" s="5" t="s">
        <v>12066</v>
      </c>
      <c r="BN12" s="5" t="s">
        <v>200</v>
      </c>
      <c r="BO12" s="5" t="s">
        <v>11984</v>
      </c>
      <c r="BP12" s="5" t="s">
        <v>121</v>
      </c>
      <c r="BQ12" s="5" t="s">
        <v>121</v>
      </c>
      <c r="BR12" s="5" t="s">
        <v>2854</v>
      </c>
      <c r="BS12" s="5" t="s">
        <v>121</v>
      </c>
      <c r="BT12" s="5" t="s">
        <v>121</v>
      </c>
      <c r="BU12" s="5" t="s">
        <v>121</v>
      </c>
      <c r="BV12" s="5" t="s">
        <v>3510</v>
      </c>
      <c r="BW12" s="5" t="s">
        <v>3510</v>
      </c>
      <c r="BX12" s="5" t="s">
        <v>3510</v>
      </c>
      <c r="BY12" s="5" t="s">
        <v>12067</v>
      </c>
      <c r="BZ12" s="5" t="s">
        <v>12068</v>
      </c>
      <c r="CA12" s="5" t="s">
        <v>121</v>
      </c>
      <c r="CB12" s="5" t="s">
        <v>121</v>
      </c>
      <c r="CC12" s="5" t="s">
        <v>197</v>
      </c>
      <c r="CD12" s="5" t="s">
        <v>12069</v>
      </c>
      <c r="CE12" s="5" t="s">
        <v>12069</v>
      </c>
      <c r="CF12" s="5" t="s">
        <v>11958</v>
      </c>
      <c r="CG12" s="5" t="s">
        <v>12070</v>
      </c>
      <c r="CH12" s="5" t="s">
        <v>12071</v>
      </c>
      <c r="CI12" s="5" t="s">
        <v>12072</v>
      </c>
      <c r="CJ12" s="5" t="s">
        <v>201</v>
      </c>
      <c r="CK12" s="5" t="s">
        <v>121</v>
      </c>
      <c r="CL12" s="5" t="s">
        <v>2854</v>
      </c>
      <c r="CM12" s="5" t="s">
        <v>201</v>
      </c>
      <c r="CN12" s="5" t="s">
        <v>121</v>
      </c>
      <c r="CO12" s="5" t="s">
        <v>121</v>
      </c>
      <c r="CP12" s="5" t="s">
        <v>3510</v>
      </c>
      <c r="CQ12" s="5" t="s">
        <v>204</v>
      </c>
      <c r="CR12" s="5" t="s">
        <v>11960</v>
      </c>
      <c r="CS12" s="5" t="s">
        <v>2854</v>
      </c>
      <c r="CT12" s="5" t="s">
        <v>3510</v>
      </c>
      <c r="CU12" s="5" t="s">
        <v>3510</v>
      </c>
      <c r="CV12" s="5" t="s">
        <v>11952</v>
      </c>
      <c r="CW12" s="5" t="s">
        <v>12073</v>
      </c>
      <c r="CX12" s="5" t="s">
        <v>12074</v>
      </c>
      <c r="CY12" s="5" t="s">
        <v>12075</v>
      </c>
      <c r="CZ12" s="5" t="s">
        <v>11989</v>
      </c>
      <c r="DA12" s="5" t="s">
        <v>11989</v>
      </c>
      <c r="DB12" s="5" t="s">
        <v>12076</v>
      </c>
      <c r="DC12" s="5" t="s">
        <v>12077</v>
      </c>
      <c r="DD12" s="5" t="s">
        <v>11963</v>
      </c>
      <c r="DE12" s="5" t="s">
        <v>12078</v>
      </c>
      <c r="DF12" s="5" t="s">
        <v>2854</v>
      </c>
      <c r="DG12" s="5" t="s">
        <v>12079</v>
      </c>
      <c r="DH12" s="5" t="s">
        <v>12080</v>
      </c>
      <c r="DI12" s="5" t="s">
        <v>11975</v>
      </c>
      <c r="DJ12" s="5" t="s">
        <v>12044</v>
      </c>
      <c r="DK12" s="5" t="s">
        <v>12081</v>
      </c>
      <c r="DL12" s="5">
        <v>3.8</v>
      </c>
      <c r="DM12" s="5">
        <v>4.5</v>
      </c>
      <c r="DN12" s="5">
        <v>4.4000000000000004</v>
      </c>
      <c r="DO12" s="5">
        <v>3</v>
      </c>
      <c r="DP12" s="5">
        <v>2.5</v>
      </c>
      <c r="DQ12" s="5">
        <v>1</v>
      </c>
      <c r="DR12" s="5">
        <v>0</v>
      </c>
      <c r="DS12" s="5">
        <v>62.4</v>
      </c>
      <c r="DT12" s="5" t="s">
        <v>11968</v>
      </c>
      <c r="DU12" s="5" t="s">
        <v>12046</v>
      </c>
      <c r="DV12" s="5" t="s">
        <v>11970</v>
      </c>
      <c r="DW12" s="5"/>
      <c r="DX12" s="5">
        <v>10</v>
      </c>
      <c r="DY12" s="5"/>
      <c r="DZ12" s="5">
        <v>100</v>
      </c>
      <c r="EA12" s="5"/>
      <c r="EB12" s="5">
        <v>0.1</v>
      </c>
      <c r="EC12" s="5"/>
      <c r="ED12" s="5" t="s">
        <v>11971</v>
      </c>
      <c r="EE12" s="5"/>
      <c r="EF12" s="5" t="s">
        <v>11997</v>
      </c>
      <c r="EG12" s="5"/>
      <c r="EH12" s="5" t="s">
        <v>11997</v>
      </c>
      <c r="EI12" s="5"/>
      <c r="EJ12" s="5" t="s">
        <v>11997</v>
      </c>
      <c r="EK12" s="5"/>
      <c r="EL12" s="5" t="s">
        <v>11997</v>
      </c>
      <c r="EM12" s="5"/>
      <c r="EN12" s="5" t="s">
        <v>11997</v>
      </c>
      <c r="EO12" s="5"/>
      <c r="EP12" s="5" t="s">
        <v>11998</v>
      </c>
      <c r="EQ12" s="5"/>
      <c r="ER12" s="5" t="s">
        <v>11997</v>
      </c>
      <c r="ES12" s="5"/>
      <c r="ET12" s="5" t="s">
        <v>11972</v>
      </c>
      <c r="EU12" s="5"/>
      <c r="EV12" s="5"/>
      <c r="EW12" s="5"/>
      <c r="EX12" s="5"/>
      <c r="EY12" s="5" t="s">
        <v>12082</v>
      </c>
      <c r="EZ12" s="5"/>
      <c r="FA12" s="5" t="s">
        <v>208</v>
      </c>
      <c r="FB12" s="5"/>
    </row>
    <row r="13" spans="1:158" ht="76.5">
      <c r="A13" s="5" t="s">
        <v>211</v>
      </c>
      <c r="B13" s="5" t="s">
        <v>212</v>
      </c>
      <c r="C13" s="5" t="s">
        <v>11952</v>
      </c>
      <c r="D13" s="5" t="s">
        <v>121</v>
      </c>
      <c r="E13" s="5" t="s">
        <v>11953</v>
      </c>
      <c r="F13" s="5" t="s">
        <v>11954</v>
      </c>
      <c r="G13" s="5" t="s">
        <v>11955</v>
      </c>
      <c r="H13" s="5" t="s">
        <v>11238</v>
      </c>
      <c r="I13" s="5" t="s">
        <v>129</v>
      </c>
      <c r="J13" s="5" t="s">
        <v>3510</v>
      </c>
      <c r="K13" s="5" t="s">
        <v>11956</v>
      </c>
      <c r="L13" s="5" t="s">
        <v>221</v>
      </c>
      <c r="M13" s="5" t="s">
        <v>221</v>
      </c>
      <c r="N13" s="5" t="s">
        <v>11952</v>
      </c>
      <c r="O13" s="5" t="s">
        <v>11952</v>
      </c>
      <c r="P13" s="5" t="s">
        <v>11952</v>
      </c>
      <c r="Q13" s="5" t="s">
        <v>11952</v>
      </c>
      <c r="R13" s="5" t="s">
        <v>11952</v>
      </c>
      <c r="S13" s="5" t="s">
        <v>11952</v>
      </c>
      <c r="T13" s="5" t="s">
        <v>121</v>
      </c>
      <c r="U13" s="5" t="s">
        <v>2854</v>
      </c>
      <c r="V13" s="5" t="s">
        <v>221</v>
      </c>
      <c r="W13" s="5" t="s">
        <v>121</v>
      </c>
      <c r="X13" s="5" t="s">
        <v>221</v>
      </c>
      <c r="Y13" s="5" t="s">
        <v>121</v>
      </c>
      <c r="Z13" s="5" t="s">
        <v>121</v>
      </c>
      <c r="AA13" s="5" t="s">
        <v>11981</v>
      </c>
      <c r="AB13" s="5" t="s">
        <v>155</v>
      </c>
      <c r="AC13" s="5" t="s">
        <v>217</v>
      </c>
      <c r="AD13" s="5" t="s">
        <v>121</v>
      </c>
      <c r="AE13" s="5" t="s">
        <v>121</v>
      </c>
      <c r="AF13" s="5" t="s">
        <v>217</v>
      </c>
      <c r="AG13" s="5" t="s">
        <v>121</v>
      </c>
      <c r="AH13" s="5" t="s">
        <v>121</v>
      </c>
      <c r="AI13" s="5" t="s">
        <v>121</v>
      </c>
      <c r="AJ13" s="5" t="s">
        <v>121</v>
      </c>
      <c r="AK13" s="5" t="s">
        <v>121</v>
      </c>
      <c r="AL13" s="5" t="s">
        <v>121</v>
      </c>
      <c r="AM13" s="5" t="s">
        <v>121</v>
      </c>
      <c r="AN13" s="5" t="s">
        <v>121</v>
      </c>
      <c r="AO13" s="5" t="s">
        <v>121</v>
      </c>
      <c r="AP13" s="5" t="s">
        <v>2302</v>
      </c>
      <c r="AQ13" s="5" t="s">
        <v>121</v>
      </c>
      <c r="AR13" s="5" t="s">
        <v>12083</v>
      </c>
      <c r="AS13" s="5" t="s">
        <v>218</v>
      </c>
      <c r="AT13" s="5" t="s">
        <v>121</v>
      </c>
      <c r="AU13" s="5" t="s">
        <v>214</v>
      </c>
      <c r="AV13" s="5" t="s">
        <v>121</v>
      </c>
      <c r="AW13" s="5" t="s">
        <v>214</v>
      </c>
      <c r="AX13" s="5" t="s">
        <v>121</v>
      </c>
      <c r="AY13" s="5" t="s">
        <v>2854</v>
      </c>
      <c r="AZ13" s="5" t="s">
        <v>121</v>
      </c>
      <c r="BA13" s="5" t="s">
        <v>121</v>
      </c>
      <c r="BB13" s="5" t="s">
        <v>121</v>
      </c>
      <c r="BC13" s="5" t="s">
        <v>121</v>
      </c>
      <c r="BD13" s="5" t="s">
        <v>121</v>
      </c>
      <c r="BE13" s="5" t="s">
        <v>121</v>
      </c>
      <c r="BF13" s="5" t="s">
        <v>121</v>
      </c>
      <c r="BG13" s="5" t="s">
        <v>121</v>
      </c>
      <c r="BH13" s="5" t="s">
        <v>12084</v>
      </c>
      <c r="BI13" s="5" t="s">
        <v>121</v>
      </c>
      <c r="BJ13" s="5" t="s">
        <v>215</v>
      </c>
      <c r="BK13" s="5" t="s">
        <v>121</v>
      </c>
      <c r="BL13" s="5" t="s">
        <v>1273</v>
      </c>
      <c r="BM13" s="5" t="s">
        <v>1273</v>
      </c>
      <c r="BN13" s="5" t="s">
        <v>216</v>
      </c>
      <c r="BO13" s="5" t="s">
        <v>121</v>
      </c>
      <c r="BP13" s="5" t="s">
        <v>121</v>
      </c>
      <c r="BQ13" s="5" t="s">
        <v>121</v>
      </c>
      <c r="BR13" s="5" t="s">
        <v>2854</v>
      </c>
      <c r="BS13" s="5" t="s">
        <v>121</v>
      </c>
      <c r="BT13" s="5" t="s">
        <v>121</v>
      </c>
      <c r="BU13" s="5" t="s">
        <v>121</v>
      </c>
      <c r="BV13" s="5" t="s">
        <v>121</v>
      </c>
      <c r="BW13" s="5" t="s">
        <v>121</v>
      </c>
      <c r="BX13" s="5" t="s">
        <v>121</v>
      </c>
      <c r="BY13" s="5" t="s">
        <v>12085</v>
      </c>
      <c r="BZ13" s="5" t="s">
        <v>121</v>
      </c>
      <c r="CA13" s="5" t="s">
        <v>121</v>
      </c>
      <c r="CB13" s="5" t="s">
        <v>121</v>
      </c>
      <c r="CC13" s="5" t="s">
        <v>213</v>
      </c>
      <c r="CD13" s="5" t="s">
        <v>121</v>
      </c>
      <c r="CE13" s="5" t="s">
        <v>121</v>
      </c>
      <c r="CF13" s="5" t="s">
        <v>11958</v>
      </c>
      <c r="CG13" s="5" t="s">
        <v>121</v>
      </c>
      <c r="CH13" s="5" t="s">
        <v>121</v>
      </c>
      <c r="CI13" s="5" t="s">
        <v>12034</v>
      </c>
      <c r="CJ13" s="5" t="s">
        <v>124</v>
      </c>
      <c r="CK13" s="5" t="s">
        <v>121</v>
      </c>
      <c r="CL13" s="5" t="s">
        <v>3510</v>
      </c>
      <c r="CM13" s="5" t="s">
        <v>124</v>
      </c>
      <c r="CN13" s="5" t="s">
        <v>121</v>
      </c>
      <c r="CO13" s="5" t="s">
        <v>121</v>
      </c>
      <c r="CP13" s="5" t="s">
        <v>3510</v>
      </c>
      <c r="CQ13" s="5" t="s">
        <v>219</v>
      </c>
      <c r="CR13" s="5" t="s">
        <v>11960</v>
      </c>
      <c r="CS13" s="5" t="s">
        <v>3510</v>
      </c>
      <c r="CT13" s="5" t="s">
        <v>3510</v>
      </c>
      <c r="CU13" s="5" t="s">
        <v>3510</v>
      </c>
      <c r="CV13" s="5" t="s">
        <v>11952</v>
      </c>
      <c r="CW13" s="5" t="s">
        <v>11952</v>
      </c>
      <c r="CX13" s="5" t="s">
        <v>12086</v>
      </c>
      <c r="CY13" s="5" t="s">
        <v>12087</v>
      </c>
      <c r="CZ13" s="5" t="s">
        <v>11952</v>
      </c>
      <c r="DA13" s="5" t="s">
        <v>11952</v>
      </c>
      <c r="DB13" s="5" t="s">
        <v>11963</v>
      </c>
      <c r="DC13" s="5" t="s">
        <v>11963</v>
      </c>
      <c r="DD13" s="5" t="s">
        <v>11963</v>
      </c>
      <c r="DE13" s="5" t="s">
        <v>11963</v>
      </c>
      <c r="DF13" s="5" t="s">
        <v>3510</v>
      </c>
      <c r="DG13" s="5" t="s">
        <v>11964</v>
      </c>
      <c r="DH13" s="5" t="s">
        <v>12088</v>
      </c>
      <c r="DI13" s="5" t="s">
        <v>11994</v>
      </c>
      <c r="DJ13" s="5" t="s">
        <v>11966</v>
      </c>
      <c r="DK13" s="5" t="s">
        <v>11967</v>
      </c>
      <c r="DL13" s="5">
        <v>4</v>
      </c>
      <c r="DM13" s="5">
        <v>4</v>
      </c>
      <c r="DN13" s="5">
        <v>4.5</v>
      </c>
      <c r="DO13" s="5">
        <v>1</v>
      </c>
      <c r="DP13" s="5">
        <v>2</v>
      </c>
      <c r="DQ13" s="5">
        <v>1</v>
      </c>
      <c r="DR13" s="5">
        <v>0</v>
      </c>
      <c r="DS13" s="5">
        <v>54.5</v>
      </c>
      <c r="DT13" s="5" t="s">
        <v>11968</v>
      </c>
      <c r="DU13" s="5" t="s">
        <v>11969</v>
      </c>
      <c r="DV13" s="5" t="s">
        <v>11970</v>
      </c>
      <c r="DW13" s="5"/>
      <c r="DX13" s="5">
        <v>14</v>
      </c>
      <c r="DY13" s="5"/>
      <c r="DZ13" s="5">
        <v>100</v>
      </c>
      <c r="EA13" s="5"/>
      <c r="EB13" s="5">
        <v>0.14000000000000001</v>
      </c>
      <c r="EC13" s="5"/>
      <c r="ED13" s="5" t="s">
        <v>11971</v>
      </c>
      <c r="EE13" s="5"/>
      <c r="EF13" s="5" t="s">
        <v>11997</v>
      </c>
      <c r="EG13" s="5"/>
      <c r="EH13" s="5" t="s">
        <v>11997</v>
      </c>
      <c r="EI13" s="5"/>
      <c r="EJ13" s="5" t="s">
        <v>11997</v>
      </c>
      <c r="EK13" s="5"/>
      <c r="EL13" s="5" t="s">
        <v>11997</v>
      </c>
      <c r="EM13" s="5"/>
      <c r="EN13" s="5" t="s">
        <v>11997</v>
      </c>
      <c r="EO13" s="5"/>
      <c r="EP13" s="5" t="s">
        <v>11998</v>
      </c>
      <c r="EQ13" s="5"/>
      <c r="ER13" s="5" t="s">
        <v>11997</v>
      </c>
      <c r="ES13" s="5"/>
      <c r="ET13" s="5" t="s">
        <v>11972</v>
      </c>
      <c r="EU13" s="5"/>
      <c r="EV13" s="5"/>
      <c r="EW13" s="5"/>
      <c r="EX13" s="5"/>
      <c r="EY13" s="5" t="s">
        <v>3128</v>
      </c>
      <c r="EZ13" s="5"/>
      <c r="FA13" s="5" t="s">
        <v>221</v>
      </c>
      <c r="FB13" s="5"/>
    </row>
    <row r="14" spans="1:158" ht="76.5">
      <c r="A14" s="5" t="s">
        <v>223</v>
      </c>
      <c r="B14" s="5" t="s">
        <v>224</v>
      </c>
      <c r="C14" s="5" t="s">
        <v>11952</v>
      </c>
      <c r="D14" s="5" t="s">
        <v>224</v>
      </c>
      <c r="E14" s="5" t="s">
        <v>11953</v>
      </c>
      <c r="F14" s="5" t="s">
        <v>11954</v>
      </c>
      <c r="G14" s="5" t="s">
        <v>11955</v>
      </c>
      <c r="H14" s="5" t="s">
        <v>11238</v>
      </c>
      <c r="I14" s="5" t="s">
        <v>129</v>
      </c>
      <c r="J14" s="5" t="s">
        <v>3510</v>
      </c>
      <c r="K14" s="5" t="s">
        <v>11956</v>
      </c>
      <c r="L14" s="5" t="s">
        <v>232</v>
      </c>
      <c r="M14" s="5" t="s">
        <v>232</v>
      </c>
      <c r="N14" s="5" t="s">
        <v>11952</v>
      </c>
      <c r="O14" s="5" t="s">
        <v>11952</v>
      </c>
      <c r="P14" s="5" t="s">
        <v>11952</v>
      </c>
      <c r="Q14" s="5" t="s">
        <v>11952</v>
      </c>
      <c r="R14" s="5" t="s">
        <v>11952</v>
      </c>
      <c r="S14" s="5" t="s">
        <v>11952</v>
      </c>
      <c r="T14" s="5" t="s">
        <v>121</v>
      </c>
      <c r="U14" s="5" t="s">
        <v>2854</v>
      </c>
      <c r="V14" s="5" t="s">
        <v>232</v>
      </c>
      <c r="W14" s="5" t="s">
        <v>121</v>
      </c>
      <c r="X14" s="5" t="s">
        <v>232</v>
      </c>
      <c r="Y14" s="5" t="s">
        <v>121</v>
      </c>
      <c r="Z14" s="5" t="s">
        <v>121</v>
      </c>
      <c r="AA14" s="5" t="s">
        <v>11981</v>
      </c>
      <c r="AB14" s="5" t="s">
        <v>155</v>
      </c>
      <c r="AC14" s="5" t="s">
        <v>228</v>
      </c>
      <c r="AD14" s="5" t="s">
        <v>121</v>
      </c>
      <c r="AE14" s="5" t="s">
        <v>121</v>
      </c>
      <c r="AF14" s="5" t="s">
        <v>228</v>
      </c>
      <c r="AG14" s="5" t="s">
        <v>121</v>
      </c>
      <c r="AH14" s="5" t="s">
        <v>121</v>
      </c>
      <c r="AI14" s="5" t="s">
        <v>121</v>
      </c>
      <c r="AJ14" s="5" t="s">
        <v>121</v>
      </c>
      <c r="AK14" s="5" t="s">
        <v>121</v>
      </c>
      <c r="AL14" s="5" t="s">
        <v>121</v>
      </c>
      <c r="AM14" s="5" t="s">
        <v>121</v>
      </c>
      <c r="AN14" s="5" t="s">
        <v>121</v>
      </c>
      <c r="AO14" s="5" t="s">
        <v>121</v>
      </c>
      <c r="AP14" s="5" t="s">
        <v>121</v>
      </c>
      <c r="AQ14" s="5" t="s">
        <v>121</v>
      </c>
      <c r="AR14" s="5" t="s">
        <v>121</v>
      </c>
      <c r="AS14" s="5" t="s">
        <v>229</v>
      </c>
      <c r="AT14" s="5" t="s">
        <v>121</v>
      </c>
      <c r="AU14" s="5" t="s">
        <v>225</v>
      </c>
      <c r="AV14" s="5" t="s">
        <v>121</v>
      </c>
      <c r="AW14" s="5" t="s">
        <v>225</v>
      </c>
      <c r="AX14" s="5" t="s">
        <v>121</v>
      </c>
      <c r="AY14" s="5" t="s">
        <v>121</v>
      </c>
      <c r="AZ14" s="5" t="s">
        <v>121</v>
      </c>
      <c r="BA14" s="5" t="s">
        <v>121</v>
      </c>
      <c r="BB14" s="5" t="s">
        <v>121</v>
      </c>
      <c r="BC14" s="5" t="s">
        <v>121</v>
      </c>
      <c r="BD14" s="5" t="s">
        <v>12089</v>
      </c>
      <c r="BE14" s="5" t="s">
        <v>121</v>
      </c>
      <c r="BF14" s="5" t="s">
        <v>12090</v>
      </c>
      <c r="BG14" s="5" t="s">
        <v>121</v>
      </c>
      <c r="BH14" s="5" t="s">
        <v>12084</v>
      </c>
      <c r="BI14" s="5" t="s">
        <v>121</v>
      </c>
      <c r="BJ14" s="5" t="s">
        <v>226</v>
      </c>
      <c r="BK14" s="5" t="s">
        <v>121</v>
      </c>
      <c r="BL14" s="5" t="s">
        <v>1273</v>
      </c>
      <c r="BM14" s="5" t="s">
        <v>1273</v>
      </c>
      <c r="BN14" s="5" t="s">
        <v>227</v>
      </c>
      <c r="BO14" s="5" t="s">
        <v>11984</v>
      </c>
      <c r="BP14" s="5" t="s">
        <v>121</v>
      </c>
      <c r="BQ14" s="5" t="s">
        <v>121</v>
      </c>
      <c r="BR14" s="5" t="s">
        <v>2854</v>
      </c>
      <c r="BS14" s="5" t="s">
        <v>121</v>
      </c>
      <c r="BT14" s="5" t="s">
        <v>121</v>
      </c>
      <c r="BU14" s="5" t="s">
        <v>121</v>
      </c>
      <c r="BV14" s="5" t="s">
        <v>121</v>
      </c>
      <c r="BW14" s="5" t="s">
        <v>121</v>
      </c>
      <c r="BX14" s="5" t="s">
        <v>121</v>
      </c>
      <c r="BY14" s="5" t="s">
        <v>12091</v>
      </c>
      <c r="BZ14" s="5" t="s">
        <v>121</v>
      </c>
      <c r="CA14" s="5" t="s">
        <v>121</v>
      </c>
      <c r="CB14" s="5" t="s">
        <v>121</v>
      </c>
      <c r="CC14" s="5" t="s">
        <v>213</v>
      </c>
      <c r="CD14" s="5" t="s">
        <v>121</v>
      </c>
      <c r="CE14" s="5" t="s">
        <v>121</v>
      </c>
      <c r="CF14" s="5" t="s">
        <v>11958</v>
      </c>
      <c r="CG14" s="5" t="s">
        <v>121</v>
      </c>
      <c r="CH14" s="5" t="s">
        <v>121</v>
      </c>
      <c r="CI14" s="5" t="s">
        <v>12034</v>
      </c>
      <c r="CJ14" s="5" t="s">
        <v>124</v>
      </c>
      <c r="CK14" s="5" t="s">
        <v>121</v>
      </c>
      <c r="CL14" s="5" t="s">
        <v>3510</v>
      </c>
      <c r="CM14" s="5" t="s">
        <v>124</v>
      </c>
      <c r="CN14" s="5" t="s">
        <v>121</v>
      </c>
      <c r="CO14" s="5" t="s">
        <v>121</v>
      </c>
      <c r="CP14" s="5" t="s">
        <v>3510</v>
      </c>
      <c r="CQ14" s="5" t="s">
        <v>230</v>
      </c>
      <c r="CR14" s="5" t="s">
        <v>11960</v>
      </c>
      <c r="CS14" s="5" t="s">
        <v>3510</v>
      </c>
      <c r="CT14" s="5" t="s">
        <v>3510</v>
      </c>
      <c r="CU14" s="5" t="s">
        <v>3510</v>
      </c>
      <c r="CV14" s="5" t="s">
        <v>11952</v>
      </c>
      <c r="CW14" s="5" t="s">
        <v>11952</v>
      </c>
      <c r="CX14" s="5" t="s">
        <v>12086</v>
      </c>
      <c r="CY14" s="5" t="s">
        <v>12092</v>
      </c>
      <c r="CZ14" s="5" t="s">
        <v>11952</v>
      </c>
      <c r="DA14" s="5" t="s">
        <v>11952</v>
      </c>
      <c r="DB14" s="5" t="s">
        <v>11963</v>
      </c>
      <c r="DC14" s="5" t="s">
        <v>11963</v>
      </c>
      <c r="DD14" s="5" t="s">
        <v>11963</v>
      </c>
      <c r="DE14" s="5" t="s">
        <v>11963</v>
      </c>
      <c r="DF14" s="5" t="s">
        <v>3510</v>
      </c>
      <c r="DG14" s="5" t="s">
        <v>11964</v>
      </c>
      <c r="DH14" s="5" t="s">
        <v>12093</v>
      </c>
      <c r="DI14" s="5" t="s">
        <v>11994</v>
      </c>
      <c r="DJ14" s="5" t="s">
        <v>11966</v>
      </c>
      <c r="DK14" s="5" t="s">
        <v>11967</v>
      </c>
      <c r="DL14" s="5">
        <v>4</v>
      </c>
      <c r="DM14" s="5">
        <v>4</v>
      </c>
      <c r="DN14" s="5">
        <v>4</v>
      </c>
      <c r="DO14" s="5">
        <v>2</v>
      </c>
      <c r="DP14" s="5">
        <v>2</v>
      </c>
      <c r="DQ14" s="5">
        <v>3</v>
      </c>
      <c r="DR14" s="5">
        <v>0</v>
      </c>
      <c r="DS14" s="5">
        <v>60</v>
      </c>
      <c r="DT14" s="5" t="s">
        <v>11968</v>
      </c>
      <c r="DU14" s="5" t="s">
        <v>11969</v>
      </c>
      <c r="DV14" s="5" t="s">
        <v>11970</v>
      </c>
      <c r="DW14" s="5"/>
      <c r="DX14" s="5">
        <v>16</v>
      </c>
      <c r="DY14" s="5"/>
      <c r="DZ14" s="5">
        <v>100</v>
      </c>
      <c r="EA14" s="5"/>
      <c r="EB14" s="5">
        <v>0.16</v>
      </c>
      <c r="EC14" s="5"/>
      <c r="ED14" s="5" t="s">
        <v>11971</v>
      </c>
      <c r="EE14" s="5"/>
      <c r="EF14" s="5" t="s">
        <v>11997</v>
      </c>
      <c r="EG14" s="5"/>
      <c r="EH14" s="5" t="s">
        <v>11997</v>
      </c>
      <c r="EI14" s="5"/>
      <c r="EJ14" s="5" t="s">
        <v>11997</v>
      </c>
      <c r="EK14" s="5"/>
      <c r="EL14" s="5" t="s">
        <v>11997</v>
      </c>
      <c r="EM14" s="5"/>
      <c r="EN14" s="5" t="s">
        <v>11997</v>
      </c>
      <c r="EO14" s="5"/>
      <c r="EP14" s="5" t="s">
        <v>11998</v>
      </c>
      <c r="EQ14" s="5"/>
      <c r="ER14" s="5" t="s">
        <v>11997</v>
      </c>
      <c r="ES14" s="5"/>
      <c r="ET14" s="5" t="s">
        <v>11972</v>
      </c>
      <c r="EU14" s="5"/>
      <c r="EV14" s="5"/>
      <c r="EW14" s="5"/>
      <c r="EX14" s="5"/>
      <c r="EY14" s="5" t="s">
        <v>3162</v>
      </c>
      <c r="EZ14" s="5"/>
      <c r="FA14" s="5" t="s">
        <v>232</v>
      </c>
      <c r="FB14" s="5"/>
    </row>
    <row r="15" spans="1:158" ht="216.75">
      <c r="A15" s="5" t="s">
        <v>234</v>
      </c>
      <c r="B15" s="5" t="s">
        <v>235</v>
      </c>
      <c r="C15" s="5" t="s">
        <v>12094</v>
      </c>
      <c r="D15" s="5" t="s">
        <v>236</v>
      </c>
      <c r="E15" s="5" t="s">
        <v>12011</v>
      </c>
      <c r="F15" s="5" t="s">
        <v>11994</v>
      </c>
      <c r="G15" s="5" t="s">
        <v>12095</v>
      </c>
      <c r="H15" s="5" t="s">
        <v>12096</v>
      </c>
      <c r="I15" s="5" t="s">
        <v>12097</v>
      </c>
      <c r="J15" s="5" t="s">
        <v>2854</v>
      </c>
      <c r="K15" s="5" t="s">
        <v>12098</v>
      </c>
      <c r="L15" s="5" t="s">
        <v>246</v>
      </c>
      <c r="M15" s="5" t="s">
        <v>12099</v>
      </c>
      <c r="N15" s="5" t="s">
        <v>11952</v>
      </c>
      <c r="O15" s="5" t="s">
        <v>246</v>
      </c>
      <c r="P15" s="5" t="s">
        <v>11952</v>
      </c>
      <c r="Q15" s="5" t="s">
        <v>11952</v>
      </c>
      <c r="R15" s="5" t="s">
        <v>11952</v>
      </c>
      <c r="S15" s="5" t="s">
        <v>11952</v>
      </c>
      <c r="T15" s="5" t="s">
        <v>12100</v>
      </c>
      <c r="U15" s="5" t="s">
        <v>2854</v>
      </c>
      <c r="V15" s="5" t="s">
        <v>12101</v>
      </c>
      <c r="W15" s="5" t="s">
        <v>121</v>
      </c>
      <c r="X15" s="5" t="s">
        <v>12102</v>
      </c>
      <c r="Y15" s="5" t="s">
        <v>121</v>
      </c>
      <c r="Z15" s="5" t="s">
        <v>121</v>
      </c>
      <c r="AA15" s="5" t="s">
        <v>11981</v>
      </c>
      <c r="AB15" s="5" t="s">
        <v>155</v>
      </c>
      <c r="AC15" s="5" t="s">
        <v>242</v>
      </c>
      <c r="AD15" s="5" t="s">
        <v>121</v>
      </c>
      <c r="AE15" s="5" t="s">
        <v>121</v>
      </c>
      <c r="AF15" s="5" t="s">
        <v>242</v>
      </c>
      <c r="AG15" s="5" t="s">
        <v>121</v>
      </c>
      <c r="AH15" s="5" t="s">
        <v>121</v>
      </c>
      <c r="AI15" s="5" t="s">
        <v>121</v>
      </c>
      <c r="AJ15" s="5" t="s">
        <v>121</v>
      </c>
      <c r="AK15" s="5" t="s">
        <v>121</v>
      </c>
      <c r="AL15" s="5" t="s">
        <v>121</v>
      </c>
      <c r="AM15" s="5" t="s">
        <v>121</v>
      </c>
      <c r="AN15" s="5" t="s">
        <v>121</v>
      </c>
      <c r="AO15" s="5" t="s">
        <v>121</v>
      </c>
      <c r="AP15" s="5" t="s">
        <v>1814</v>
      </c>
      <c r="AQ15" s="5" t="s">
        <v>121</v>
      </c>
      <c r="AR15" s="5" t="s">
        <v>12103</v>
      </c>
      <c r="AS15" s="5" t="s">
        <v>243</v>
      </c>
      <c r="AT15" s="5" t="s">
        <v>12104</v>
      </c>
      <c r="AU15" s="5" t="s">
        <v>238</v>
      </c>
      <c r="AV15" s="5" t="s">
        <v>121</v>
      </c>
      <c r="AW15" s="5" t="s">
        <v>121</v>
      </c>
      <c r="AX15" s="5" t="s">
        <v>121</v>
      </c>
      <c r="AY15" s="5" t="s">
        <v>121</v>
      </c>
      <c r="AZ15" s="5" t="s">
        <v>121</v>
      </c>
      <c r="BA15" s="5" t="s">
        <v>121</v>
      </c>
      <c r="BB15" s="5" t="s">
        <v>3510</v>
      </c>
      <c r="BC15" s="5" t="s">
        <v>121</v>
      </c>
      <c r="BD15" s="5" t="s">
        <v>121</v>
      </c>
      <c r="BE15" s="5" t="s">
        <v>121</v>
      </c>
      <c r="BF15" s="5" t="s">
        <v>121</v>
      </c>
      <c r="BG15" s="5" t="s">
        <v>121</v>
      </c>
      <c r="BH15" s="5" t="s">
        <v>12105</v>
      </c>
      <c r="BI15" s="5" t="s">
        <v>121</v>
      </c>
      <c r="BJ15" s="5" t="s">
        <v>239</v>
      </c>
      <c r="BK15" s="5" t="s">
        <v>121</v>
      </c>
      <c r="BL15" s="5" t="s">
        <v>12106</v>
      </c>
      <c r="BM15" s="5" t="s">
        <v>12106</v>
      </c>
      <c r="BN15" s="5" t="s">
        <v>240</v>
      </c>
      <c r="BO15" s="5" t="s">
        <v>11984</v>
      </c>
      <c r="BP15" s="5" t="s">
        <v>2854</v>
      </c>
      <c r="BQ15" s="5" t="s">
        <v>2854</v>
      </c>
      <c r="BR15" s="5" t="s">
        <v>2854</v>
      </c>
      <c r="BS15" s="5" t="s">
        <v>121</v>
      </c>
      <c r="BT15" s="5" t="s">
        <v>121</v>
      </c>
      <c r="BU15" s="5" t="s">
        <v>121</v>
      </c>
      <c r="BV15" s="5" t="s">
        <v>3510</v>
      </c>
      <c r="BW15" s="5" t="s">
        <v>3510</v>
      </c>
      <c r="BX15" s="5" t="s">
        <v>3510</v>
      </c>
      <c r="BY15" s="5" t="s">
        <v>12107</v>
      </c>
      <c r="BZ15" s="5" t="s">
        <v>121</v>
      </c>
      <c r="CA15" s="5" t="s">
        <v>121</v>
      </c>
      <c r="CB15" s="5" t="s">
        <v>121</v>
      </c>
      <c r="CC15" s="5" t="s">
        <v>237</v>
      </c>
      <c r="CD15" s="5" t="s">
        <v>121</v>
      </c>
      <c r="CE15" s="5" t="s">
        <v>121</v>
      </c>
      <c r="CF15" s="5" t="s">
        <v>11958</v>
      </c>
      <c r="CG15" s="5" t="s">
        <v>121</v>
      </c>
      <c r="CH15" s="5" t="s">
        <v>121</v>
      </c>
      <c r="CI15" s="5" t="s">
        <v>12108</v>
      </c>
      <c r="CJ15" s="5" t="s">
        <v>124</v>
      </c>
      <c r="CK15" s="5" t="s">
        <v>241</v>
      </c>
      <c r="CL15" s="5" t="s">
        <v>3510</v>
      </c>
      <c r="CM15" s="5" t="s">
        <v>124</v>
      </c>
      <c r="CN15" s="5" t="s">
        <v>121</v>
      </c>
      <c r="CO15" s="5" t="s">
        <v>121</v>
      </c>
      <c r="CP15" s="5" t="s">
        <v>3510</v>
      </c>
      <c r="CQ15" s="5" t="s">
        <v>244</v>
      </c>
      <c r="CR15" s="5" t="s">
        <v>11960</v>
      </c>
      <c r="CS15" s="5" t="s">
        <v>2854</v>
      </c>
      <c r="CT15" s="5" t="s">
        <v>3510</v>
      </c>
      <c r="CU15" s="5" t="s">
        <v>3510</v>
      </c>
      <c r="CV15" s="5" t="s">
        <v>11952</v>
      </c>
      <c r="CW15" s="5" t="s">
        <v>11952</v>
      </c>
      <c r="CX15" s="5" t="s">
        <v>12109</v>
      </c>
      <c r="CY15" s="5" t="s">
        <v>12110</v>
      </c>
      <c r="CZ15" s="5" t="s">
        <v>11952</v>
      </c>
      <c r="DA15" s="5" t="s">
        <v>11989</v>
      </c>
      <c r="DB15" s="5" t="s">
        <v>11963</v>
      </c>
      <c r="DC15" s="5" t="s">
        <v>12111</v>
      </c>
      <c r="DD15" s="5" t="s">
        <v>11963</v>
      </c>
      <c r="DE15" s="5" t="s">
        <v>12112</v>
      </c>
      <c r="DF15" s="5" t="s">
        <v>2854</v>
      </c>
      <c r="DG15" s="5" t="s">
        <v>12113</v>
      </c>
      <c r="DH15" s="5" t="s">
        <v>12114</v>
      </c>
      <c r="DI15" s="5" t="s">
        <v>11966</v>
      </c>
      <c r="DJ15" s="5" t="s">
        <v>11966</v>
      </c>
      <c r="DK15" s="5" t="s">
        <v>12115</v>
      </c>
      <c r="DL15" s="5">
        <v>4.5</v>
      </c>
      <c r="DM15" s="5">
        <v>3.5</v>
      </c>
      <c r="DN15" s="5">
        <v>3.5</v>
      </c>
      <c r="DO15" s="5">
        <v>3</v>
      </c>
      <c r="DP15" s="5">
        <v>3</v>
      </c>
      <c r="DQ15" s="5">
        <v>1</v>
      </c>
      <c r="DR15" s="5">
        <v>0</v>
      </c>
      <c r="DS15" s="5">
        <v>59.5</v>
      </c>
      <c r="DT15" s="5" t="s">
        <v>11968</v>
      </c>
      <c r="DU15" s="5" t="s">
        <v>12116</v>
      </c>
      <c r="DV15" s="5" t="s">
        <v>11970</v>
      </c>
      <c r="DW15" s="5"/>
      <c r="DX15" s="5">
        <v>22</v>
      </c>
      <c r="DY15" s="5"/>
      <c r="DZ15" s="5">
        <v>100</v>
      </c>
      <c r="EA15" s="5"/>
      <c r="EB15" s="5">
        <v>0.22</v>
      </c>
      <c r="EC15" s="5"/>
      <c r="ED15" s="5" t="s">
        <v>11971</v>
      </c>
      <c r="EE15" s="5"/>
      <c r="EF15" s="5" t="s">
        <v>11997</v>
      </c>
      <c r="EG15" s="5"/>
      <c r="EH15" s="5" t="s">
        <v>11997</v>
      </c>
      <c r="EI15" s="5"/>
      <c r="EJ15" s="5" t="s">
        <v>11997</v>
      </c>
      <c r="EK15" s="5"/>
      <c r="EL15" s="5" t="s">
        <v>11997</v>
      </c>
      <c r="EM15" s="5"/>
      <c r="EN15" s="5" t="s">
        <v>11997</v>
      </c>
      <c r="EO15" s="5"/>
      <c r="EP15" s="5" t="s">
        <v>11998</v>
      </c>
      <c r="EQ15" s="5"/>
      <c r="ER15" s="5" t="s">
        <v>11997</v>
      </c>
      <c r="ES15" s="5"/>
      <c r="ET15" s="5" t="s">
        <v>11972</v>
      </c>
      <c r="EU15" s="5"/>
      <c r="EV15" s="5"/>
      <c r="EW15" s="5"/>
      <c r="EX15" s="5"/>
      <c r="EY15" s="5" t="s">
        <v>3195</v>
      </c>
      <c r="EZ15" s="5"/>
      <c r="FA15" s="5" t="s">
        <v>246</v>
      </c>
      <c r="FB15" s="5"/>
    </row>
    <row r="16" spans="1:158" ht="63.75">
      <c r="A16" s="5" t="s">
        <v>46</v>
      </c>
      <c r="B16" s="5" t="s">
        <v>47</v>
      </c>
      <c r="C16" s="5" t="s">
        <v>11952</v>
      </c>
      <c r="D16" s="5" t="s">
        <v>121</v>
      </c>
      <c r="E16" s="5" t="s">
        <v>11953</v>
      </c>
      <c r="F16" s="5" t="s">
        <v>11954</v>
      </c>
      <c r="G16" s="5" t="s">
        <v>11955</v>
      </c>
      <c r="H16" s="5" t="s">
        <v>11238</v>
      </c>
      <c r="I16" s="5" t="s">
        <v>129</v>
      </c>
      <c r="J16" s="5" t="s">
        <v>3510</v>
      </c>
      <c r="K16" s="5" t="s">
        <v>11956</v>
      </c>
      <c r="L16" s="5" t="s">
        <v>3226</v>
      </c>
      <c r="M16" s="5" t="s">
        <v>3226</v>
      </c>
      <c r="N16" s="5" t="s">
        <v>11952</v>
      </c>
      <c r="O16" s="5" t="s">
        <v>11952</v>
      </c>
      <c r="P16" s="5" t="s">
        <v>11952</v>
      </c>
      <c r="Q16" s="5" t="s">
        <v>11952</v>
      </c>
      <c r="R16" s="5" t="s">
        <v>11952</v>
      </c>
      <c r="S16" s="5" t="s">
        <v>11952</v>
      </c>
      <c r="T16" s="5" t="s">
        <v>121</v>
      </c>
      <c r="U16" s="5" t="s">
        <v>2854</v>
      </c>
      <c r="V16" s="5" t="s">
        <v>3226</v>
      </c>
      <c r="W16" s="5" t="s">
        <v>121</v>
      </c>
      <c r="X16" s="5" t="s">
        <v>3226</v>
      </c>
      <c r="Y16" s="5" t="s">
        <v>121</v>
      </c>
      <c r="Z16" s="5" t="s">
        <v>121</v>
      </c>
      <c r="AA16" s="5" t="s">
        <v>11981</v>
      </c>
      <c r="AB16" s="5" t="s">
        <v>121</v>
      </c>
      <c r="AC16" s="5" t="s">
        <v>121</v>
      </c>
      <c r="AD16" s="5" t="s">
        <v>121</v>
      </c>
      <c r="AE16" s="5" t="s">
        <v>121</v>
      </c>
      <c r="AF16" s="5" t="s">
        <v>121</v>
      </c>
      <c r="AG16" s="5" t="s">
        <v>121</v>
      </c>
      <c r="AH16" s="5" t="s">
        <v>121</v>
      </c>
      <c r="AI16" s="5" t="s">
        <v>121</v>
      </c>
      <c r="AJ16" s="5" t="s">
        <v>121</v>
      </c>
      <c r="AK16" s="5" t="s">
        <v>121</v>
      </c>
      <c r="AL16" s="5" t="s">
        <v>121</v>
      </c>
      <c r="AM16" s="5" t="s">
        <v>121</v>
      </c>
      <c r="AN16" s="5" t="s">
        <v>121</v>
      </c>
      <c r="AO16" s="5" t="s">
        <v>121</v>
      </c>
      <c r="AP16" s="5" t="s">
        <v>121</v>
      </c>
      <c r="AQ16" s="5" t="s">
        <v>121</v>
      </c>
      <c r="AR16" s="5" t="s">
        <v>121</v>
      </c>
      <c r="AS16" s="5" t="s">
        <v>250</v>
      </c>
      <c r="AT16" s="5" t="s">
        <v>121</v>
      </c>
      <c r="AU16" s="5" t="s">
        <v>249</v>
      </c>
      <c r="AV16" s="5" t="s">
        <v>121</v>
      </c>
      <c r="AW16" s="5" t="s">
        <v>121</v>
      </c>
      <c r="AX16" s="5" t="s">
        <v>121</v>
      </c>
      <c r="AY16" s="5" t="s">
        <v>121</v>
      </c>
      <c r="AZ16" s="5" t="s">
        <v>121</v>
      </c>
      <c r="BA16" s="5" t="s">
        <v>121</v>
      </c>
      <c r="BB16" s="5" t="s">
        <v>121</v>
      </c>
      <c r="BC16" s="5" t="s">
        <v>121</v>
      </c>
      <c r="BD16" s="5" t="s">
        <v>121</v>
      </c>
      <c r="BE16" s="5" t="s">
        <v>121</v>
      </c>
      <c r="BF16" s="5" t="s">
        <v>121</v>
      </c>
      <c r="BG16" s="5" t="s">
        <v>121</v>
      </c>
      <c r="BH16" s="5" t="s">
        <v>1082</v>
      </c>
      <c r="BI16" s="5" t="s">
        <v>121</v>
      </c>
      <c r="BJ16" s="5" t="s">
        <v>226</v>
      </c>
      <c r="BK16" s="5" t="s">
        <v>121</v>
      </c>
      <c r="BL16" s="5" t="s">
        <v>1273</v>
      </c>
      <c r="BM16" s="5" t="s">
        <v>1273</v>
      </c>
      <c r="BN16" s="5" t="s">
        <v>227</v>
      </c>
      <c r="BO16" s="5" t="s">
        <v>11984</v>
      </c>
      <c r="BP16" s="5" t="s">
        <v>121</v>
      </c>
      <c r="BQ16" s="5" t="s">
        <v>121</v>
      </c>
      <c r="BR16" s="5" t="s">
        <v>2854</v>
      </c>
      <c r="BS16" s="5" t="s">
        <v>121</v>
      </c>
      <c r="BT16" s="5" t="s">
        <v>121</v>
      </c>
      <c r="BU16" s="5" t="s">
        <v>121</v>
      </c>
      <c r="BV16" s="5" t="s">
        <v>121</v>
      </c>
      <c r="BW16" s="5" t="s">
        <v>121</v>
      </c>
      <c r="BX16" s="5" t="s">
        <v>121</v>
      </c>
      <c r="BY16" s="5" t="s">
        <v>12117</v>
      </c>
      <c r="BZ16" s="5" t="s">
        <v>121</v>
      </c>
      <c r="CA16" s="5" t="s">
        <v>121</v>
      </c>
      <c r="CB16" s="5" t="s">
        <v>121</v>
      </c>
      <c r="CC16" s="5" t="s">
        <v>248</v>
      </c>
      <c r="CD16" s="5" t="s">
        <v>121</v>
      </c>
      <c r="CE16" s="5" t="s">
        <v>121</v>
      </c>
      <c r="CF16" s="5" t="s">
        <v>11958</v>
      </c>
      <c r="CG16" s="5" t="s">
        <v>121</v>
      </c>
      <c r="CH16" s="5" t="s">
        <v>121</v>
      </c>
      <c r="CI16" s="5" t="s">
        <v>11959</v>
      </c>
      <c r="CJ16" s="5" t="s">
        <v>124</v>
      </c>
      <c r="CK16" s="5" t="s">
        <v>121</v>
      </c>
      <c r="CL16" s="5" t="s">
        <v>3510</v>
      </c>
      <c r="CM16" s="5" t="s">
        <v>124</v>
      </c>
      <c r="CN16" s="5" t="s">
        <v>121</v>
      </c>
      <c r="CO16" s="5" t="s">
        <v>121</v>
      </c>
      <c r="CP16" s="5" t="s">
        <v>3510</v>
      </c>
      <c r="CQ16" s="5" t="s">
        <v>251</v>
      </c>
      <c r="CR16" s="5" t="s">
        <v>12118</v>
      </c>
      <c r="CS16" s="5" t="s">
        <v>3510</v>
      </c>
      <c r="CT16" s="5" t="s">
        <v>3510</v>
      </c>
      <c r="CU16" s="5" t="s">
        <v>2854</v>
      </c>
      <c r="CV16" s="5" t="s">
        <v>12119</v>
      </c>
      <c r="CW16" s="5" t="s">
        <v>11952</v>
      </c>
      <c r="CX16" s="5" t="s">
        <v>12086</v>
      </c>
      <c r="CY16" s="5" t="s">
        <v>12120</v>
      </c>
      <c r="CZ16" s="5" t="s">
        <v>11952</v>
      </c>
      <c r="DA16" s="5" t="s">
        <v>11952</v>
      </c>
      <c r="DB16" s="5" t="s">
        <v>11963</v>
      </c>
      <c r="DC16" s="5" t="s">
        <v>11963</v>
      </c>
      <c r="DD16" s="5" t="s">
        <v>11963</v>
      </c>
      <c r="DE16" s="5" t="s">
        <v>11963</v>
      </c>
      <c r="DF16" s="5" t="s">
        <v>3510</v>
      </c>
      <c r="DG16" s="5" t="s">
        <v>11964</v>
      </c>
      <c r="DH16" s="5" t="s">
        <v>12121</v>
      </c>
      <c r="DI16" s="5" t="s">
        <v>11994</v>
      </c>
      <c r="DJ16" s="5" t="s">
        <v>11966</v>
      </c>
      <c r="DK16" s="5" t="s">
        <v>11967</v>
      </c>
      <c r="DL16" s="5">
        <v>5</v>
      </c>
      <c r="DM16" s="5">
        <v>3</v>
      </c>
      <c r="DN16" s="5">
        <v>4</v>
      </c>
      <c r="DO16" s="5">
        <v>4</v>
      </c>
      <c r="DP16" s="5">
        <v>4</v>
      </c>
      <c r="DQ16" s="5">
        <v>1</v>
      </c>
      <c r="DR16" s="5">
        <v>0</v>
      </c>
      <c r="DS16" s="5">
        <v>66</v>
      </c>
      <c r="DT16" s="5" t="s">
        <v>11968</v>
      </c>
      <c r="DU16" s="5" t="s">
        <v>11969</v>
      </c>
      <c r="DV16" s="5" t="s">
        <v>11970</v>
      </c>
      <c r="DW16" s="5"/>
      <c r="DX16" s="5">
        <v>18</v>
      </c>
      <c r="DY16" s="5"/>
      <c r="DZ16" s="5">
        <v>100</v>
      </c>
      <c r="EA16" s="5"/>
      <c r="EB16" s="5">
        <v>0.18</v>
      </c>
      <c r="EC16" s="5"/>
      <c r="ED16" s="5" t="s">
        <v>11971</v>
      </c>
      <c r="EE16" s="5"/>
      <c r="EF16" s="5" t="s">
        <v>11997</v>
      </c>
      <c r="EG16" s="5"/>
      <c r="EH16" s="5" t="s">
        <v>11997</v>
      </c>
      <c r="EI16" s="5"/>
      <c r="EJ16" s="5" t="s">
        <v>11997</v>
      </c>
      <c r="EK16" s="5"/>
      <c r="EL16" s="5" t="s">
        <v>11997</v>
      </c>
      <c r="EM16" s="5"/>
      <c r="EN16" s="5" t="s">
        <v>11997</v>
      </c>
      <c r="EO16" s="5"/>
      <c r="EP16" s="5" t="s">
        <v>11998</v>
      </c>
      <c r="EQ16" s="5"/>
      <c r="ER16" s="5" t="s">
        <v>11997</v>
      </c>
      <c r="ES16" s="5"/>
      <c r="ET16" s="5" t="s">
        <v>11972</v>
      </c>
      <c r="EU16" s="5"/>
      <c r="EV16" s="5"/>
      <c r="EW16" s="5"/>
      <c r="EX16" s="5"/>
      <c r="EY16" s="5" t="s">
        <v>12122</v>
      </c>
      <c r="EZ16" s="5"/>
      <c r="FA16" s="5" t="s">
        <v>3226</v>
      </c>
      <c r="FB16" s="5"/>
    </row>
    <row r="17" spans="1:158" ht="63.75">
      <c r="A17" s="5" t="s">
        <v>256</v>
      </c>
      <c r="B17" s="5" t="s">
        <v>257</v>
      </c>
      <c r="C17" s="5" t="s">
        <v>11952</v>
      </c>
      <c r="D17" s="5" t="s">
        <v>119</v>
      </c>
      <c r="E17" s="5" t="s">
        <v>11953</v>
      </c>
      <c r="F17" s="5" t="s">
        <v>11954</v>
      </c>
      <c r="G17" s="5" t="s">
        <v>11955</v>
      </c>
      <c r="H17" s="5" t="s">
        <v>11235</v>
      </c>
      <c r="I17" s="5" t="s">
        <v>129</v>
      </c>
      <c r="J17" s="5" t="s">
        <v>3510</v>
      </c>
      <c r="K17" s="5" t="s">
        <v>11956</v>
      </c>
      <c r="L17" s="5" t="s">
        <v>266</v>
      </c>
      <c r="M17" s="5" t="s">
        <v>266</v>
      </c>
      <c r="N17" s="5" t="s">
        <v>11952</v>
      </c>
      <c r="O17" s="5" t="s">
        <v>11952</v>
      </c>
      <c r="P17" s="5" t="s">
        <v>11952</v>
      </c>
      <c r="Q17" s="5" t="s">
        <v>11952</v>
      </c>
      <c r="R17" s="5" t="s">
        <v>11952</v>
      </c>
      <c r="S17" s="5" t="s">
        <v>11952</v>
      </c>
      <c r="T17" s="5" t="s">
        <v>121</v>
      </c>
      <c r="U17" s="5" t="s">
        <v>2854</v>
      </c>
      <c r="V17" s="5" t="s">
        <v>12123</v>
      </c>
      <c r="W17" s="5" t="s">
        <v>12124</v>
      </c>
      <c r="X17" s="5" t="s">
        <v>12125</v>
      </c>
      <c r="Y17" s="5" t="s">
        <v>121</v>
      </c>
      <c r="Z17" s="5" t="s">
        <v>2854</v>
      </c>
      <c r="AA17" s="5" t="s">
        <v>11981</v>
      </c>
      <c r="AB17" s="5" t="s">
        <v>155</v>
      </c>
      <c r="AC17" s="5" t="s">
        <v>263</v>
      </c>
      <c r="AD17" s="5" t="s">
        <v>121</v>
      </c>
      <c r="AE17" s="5" t="s">
        <v>121</v>
      </c>
      <c r="AF17" s="5" t="s">
        <v>263</v>
      </c>
      <c r="AG17" s="5" t="s">
        <v>121</v>
      </c>
      <c r="AH17" s="5" t="s">
        <v>121</v>
      </c>
      <c r="AI17" s="5" t="s">
        <v>121</v>
      </c>
      <c r="AJ17" s="5" t="s">
        <v>121</v>
      </c>
      <c r="AK17" s="5" t="s">
        <v>121</v>
      </c>
      <c r="AL17" s="5" t="s">
        <v>121</v>
      </c>
      <c r="AM17" s="5" t="s">
        <v>121</v>
      </c>
      <c r="AN17" s="5" t="s">
        <v>121</v>
      </c>
      <c r="AO17" s="5" t="s">
        <v>121</v>
      </c>
      <c r="AP17" s="5" t="s">
        <v>121</v>
      </c>
      <c r="AQ17" s="5" t="s">
        <v>121</v>
      </c>
      <c r="AR17" s="5" t="s">
        <v>121</v>
      </c>
      <c r="AS17" s="5" t="s">
        <v>264</v>
      </c>
      <c r="AT17" s="5" t="s">
        <v>121</v>
      </c>
      <c r="AU17" s="5" t="s">
        <v>259</v>
      </c>
      <c r="AV17" s="5" t="s">
        <v>121</v>
      </c>
      <c r="AW17" s="5" t="s">
        <v>121</v>
      </c>
      <c r="AX17" s="5" t="s">
        <v>121</v>
      </c>
      <c r="AY17" s="5" t="s">
        <v>2854</v>
      </c>
      <c r="AZ17" s="5" t="s">
        <v>121</v>
      </c>
      <c r="BA17" s="5" t="s">
        <v>121</v>
      </c>
      <c r="BB17" s="5" t="s">
        <v>3510</v>
      </c>
      <c r="BC17" s="5" t="s">
        <v>121</v>
      </c>
      <c r="BD17" s="5" t="s">
        <v>121</v>
      </c>
      <c r="BE17" s="5" t="s">
        <v>12126</v>
      </c>
      <c r="BF17" s="5" t="s">
        <v>12127</v>
      </c>
      <c r="BG17" s="5" t="s">
        <v>121</v>
      </c>
      <c r="BH17" s="5" t="s">
        <v>11999</v>
      </c>
      <c r="BI17" s="5" t="s">
        <v>121</v>
      </c>
      <c r="BJ17" s="5" t="s">
        <v>260</v>
      </c>
      <c r="BK17" s="5" t="s">
        <v>121</v>
      </c>
      <c r="BL17" s="5" t="s">
        <v>1273</v>
      </c>
      <c r="BM17" s="5" t="s">
        <v>1273</v>
      </c>
      <c r="BN17" s="5" t="s">
        <v>261</v>
      </c>
      <c r="BO17" s="5" t="s">
        <v>11984</v>
      </c>
      <c r="BP17" s="5" t="s">
        <v>121</v>
      </c>
      <c r="BQ17" s="5" t="s">
        <v>121</v>
      </c>
      <c r="BR17" s="5" t="s">
        <v>2854</v>
      </c>
      <c r="BS17" s="5" t="s">
        <v>121</v>
      </c>
      <c r="BT17" s="5" t="s">
        <v>121</v>
      </c>
      <c r="BU17" s="5" t="s">
        <v>121</v>
      </c>
      <c r="BV17" s="5" t="s">
        <v>3510</v>
      </c>
      <c r="BW17" s="5" t="s">
        <v>3510</v>
      </c>
      <c r="BX17" s="5" t="s">
        <v>3510</v>
      </c>
      <c r="BY17" s="5" t="s">
        <v>12128</v>
      </c>
      <c r="BZ17" s="5" t="s">
        <v>121</v>
      </c>
      <c r="CA17" s="5" t="s">
        <v>121</v>
      </c>
      <c r="CB17" s="5" t="s">
        <v>121</v>
      </c>
      <c r="CC17" s="5" t="s">
        <v>258</v>
      </c>
      <c r="CD17" s="5" t="s">
        <v>121</v>
      </c>
      <c r="CE17" s="5" t="s">
        <v>121</v>
      </c>
      <c r="CF17" s="5" t="s">
        <v>11958</v>
      </c>
      <c r="CG17" s="5" t="s">
        <v>121</v>
      </c>
      <c r="CH17" s="5" t="s">
        <v>121</v>
      </c>
      <c r="CI17" s="5" t="s">
        <v>12034</v>
      </c>
      <c r="CJ17" s="5" t="s">
        <v>124</v>
      </c>
      <c r="CK17" s="5" t="s">
        <v>262</v>
      </c>
      <c r="CL17" s="5" t="s">
        <v>3510</v>
      </c>
      <c r="CM17" s="5" t="s">
        <v>124</v>
      </c>
      <c r="CN17" s="5" t="s">
        <v>121</v>
      </c>
      <c r="CO17" s="5" t="s">
        <v>121</v>
      </c>
      <c r="CP17" s="5" t="s">
        <v>3510</v>
      </c>
      <c r="CQ17" s="5" t="s">
        <v>265</v>
      </c>
      <c r="CR17" s="5" t="s">
        <v>11960</v>
      </c>
      <c r="CS17" s="5" t="s">
        <v>3510</v>
      </c>
      <c r="CT17" s="5" t="s">
        <v>3510</v>
      </c>
      <c r="CU17" s="5" t="s">
        <v>3510</v>
      </c>
      <c r="CV17" s="5" t="s">
        <v>11952</v>
      </c>
      <c r="CW17" s="5" t="s">
        <v>11952</v>
      </c>
      <c r="CX17" s="5" t="s">
        <v>11961</v>
      </c>
      <c r="CY17" s="5" t="s">
        <v>12129</v>
      </c>
      <c r="CZ17" s="5" t="s">
        <v>3510</v>
      </c>
      <c r="DA17" s="5" t="s">
        <v>11952</v>
      </c>
      <c r="DB17" s="5" t="s">
        <v>11963</v>
      </c>
      <c r="DC17" s="5" t="s">
        <v>11963</v>
      </c>
      <c r="DD17" s="5" t="s">
        <v>11963</v>
      </c>
      <c r="DE17" s="5" t="s">
        <v>11963</v>
      </c>
      <c r="DF17" s="5" t="s">
        <v>3510</v>
      </c>
      <c r="DG17" s="5" t="s">
        <v>11964</v>
      </c>
      <c r="DH17" s="5" t="s">
        <v>12130</v>
      </c>
      <c r="DI17" s="5" t="s">
        <v>11975</v>
      </c>
      <c r="DJ17" s="5" t="s">
        <v>11966</v>
      </c>
      <c r="DK17" s="5" t="s">
        <v>11967</v>
      </c>
      <c r="DL17" s="5">
        <v>4</v>
      </c>
      <c r="DM17" s="5">
        <v>4</v>
      </c>
      <c r="DN17" s="5">
        <v>3</v>
      </c>
      <c r="DO17" s="5">
        <v>2</v>
      </c>
      <c r="DP17" s="5">
        <v>3</v>
      </c>
      <c r="DQ17" s="5">
        <v>1</v>
      </c>
      <c r="DR17" s="5">
        <v>0</v>
      </c>
      <c r="DS17" s="5">
        <v>55</v>
      </c>
      <c r="DT17" s="5" t="s">
        <v>11968</v>
      </c>
      <c r="DU17" s="5" t="s">
        <v>11969</v>
      </c>
      <c r="DV17" s="5" t="s">
        <v>11970</v>
      </c>
      <c r="DW17" s="5"/>
      <c r="DX17" s="5">
        <v>12</v>
      </c>
      <c r="DY17" s="5"/>
      <c r="DZ17" s="5">
        <v>100</v>
      </c>
      <c r="EA17" s="5"/>
      <c r="EB17" s="5">
        <v>0.12</v>
      </c>
      <c r="EC17" s="5"/>
      <c r="ED17" s="5" t="s">
        <v>11971</v>
      </c>
      <c r="EE17" s="5"/>
      <c r="EF17" s="5" t="s">
        <v>11997</v>
      </c>
      <c r="EG17" s="5"/>
      <c r="EH17" s="5" t="s">
        <v>11997</v>
      </c>
      <c r="EI17" s="5"/>
      <c r="EJ17" s="5" t="s">
        <v>11997</v>
      </c>
      <c r="EK17" s="5"/>
      <c r="EL17" s="5" t="s">
        <v>11997</v>
      </c>
      <c r="EM17" s="5"/>
      <c r="EN17" s="5" t="s">
        <v>11997</v>
      </c>
      <c r="EO17" s="5"/>
      <c r="EP17" s="5" t="s">
        <v>11998</v>
      </c>
      <c r="EQ17" s="5"/>
      <c r="ER17" s="5" t="s">
        <v>11997</v>
      </c>
      <c r="ES17" s="5"/>
      <c r="ET17" s="5" t="s">
        <v>11972</v>
      </c>
      <c r="EU17" s="5"/>
      <c r="EV17" s="5"/>
      <c r="EW17" s="5"/>
      <c r="EX17" s="5"/>
      <c r="EY17" s="5" t="s">
        <v>3269</v>
      </c>
      <c r="EZ17" s="5"/>
      <c r="FA17" s="5" t="s">
        <v>266</v>
      </c>
      <c r="FB17" s="5"/>
    </row>
    <row r="18" spans="1:158" ht="76.5">
      <c r="A18" s="5" t="s">
        <v>268</v>
      </c>
      <c r="B18" s="5" t="s">
        <v>269</v>
      </c>
      <c r="C18" s="5" t="s">
        <v>11952</v>
      </c>
      <c r="D18" s="5" t="s">
        <v>269</v>
      </c>
      <c r="E18" s="5" t="s">
        <v>11953</v>
      </c>
      <c r="F18" s="5" t="s">
        <v>11954</v>
      </c>
      <c r="G18" s="5" t="s">
        <v>11955</v>
      </c>
      <c r="H18" s="5" t="s">
        <v>11238</v>
      </c>
      <c r="I18" s="5" t="s">
        <v>129</v>
      </c>
      <c r="J18" s="5" t="s">
        <v>3510</v>
      </c>
      <c r="K18" s="5" t="s">
        <v>11956</v>
      </c>
      <c r="L18" s="5" t="s">
        <v>232</v>
      </c>
      <c r="M18" s="5" t="s">
        <v>232</v>
      </c>
      <c r="N18" s="5" t="s">
        <v>11952</v>
      </c>
      <c r="O18" s="5" t="s">
        <v>11952</v>
      </c>
      <c r="P18" s="5" t="s">
        <v>11952</v>
      </c>
      <c r="Q18" s="5" t="s">
        <v>11952</v>
      </c>
      <c r="R18" s="5" t="s">
        <v>11952</v>
      </c>
      <c r="S18" s="5" t="s">
        <v>11952</v>
      </c>
      <c r="T18" s="5" t="s">
        <v>121</v>
      </c>
      <c r="U18" s="5" t="s">
        <v>2854</v>
      </c>
      <c r="V18" s="5" t="s">
        <v>232</v>
      </c>
      <c r="W18" s="5" t="s">
        <v>121</v>
      </c>
      <c r="X18" s="5" t="s">
        <v>232</v>
      </c>
      <c r="Y18" s="5" t="s">
        <v>121</v>
      </c>
      <c r="Z18" s="5" t="s">
        <v>121</v>
      </c>
      <c r="AA18" s="5" t="s">
        <v>11981</v>
      </c>
      <c r="AB18" s="5" t="s">
        <v>155</v>
      </c>
      <c r="AC18" s="5" t="s">
        <v>271</v>
      </c>
      <c r="AD18" s="5" t="s">
        <v>121</v>
      </c>
      <c r="AE18" s="5" t="s">
        <v>121</v>
      </c>
      <c r="AF18" s="5" t="s">
        <v>271</v>
      </c>
      <c r="AG18" s="5" t="s">
        <v>121</v>
      </c>
      <c r="AH18" s="5" t="s">
        <v>121</v>
      </c>
      <c r="AI18" s="5" t="s">
        <v>121</v>
      </c>
      <c r="AJ18" s="5" t="s">
        <v>121</v>
      </c>
      <c r="AK18" s="5" t="s">
        <v>121</v>
      </c>
      <c r="AL18" s="5" t="s">
        <v>121</v>
      </c>
      <c r="AM18" s="5" t="s">
        <v>121</v>
      </c>
      <c r="AN18" s="5" t="s">
        <v>121</v>
      </c>
      <c r="AO18" s="5" t="s">
        <v>121</v>
      </c>
      <c r="AP18" s="5" t="s">
        <v>121</v>
      </c>
      <c r="AQ18" s="5" t="s">
        <v>121</v>
      </c>
      <c r="AR18" s="5" t="s">
        <v>121</v>
      </c>
      <c r="AS18" s="5" t="s">
        <v>229</v>
      </c>
      <c r="AT18" s="5" t="s">
        <v>121</v>
      </c>
      <c r="AU18" s="5" t="s">
        <v>270</v>
      </c>
      <c r="AV18" s="5" t="s">
        <v>121</v>
      </c>
      <c r="AW18" s="5" t="s">
        <v>270</v>
      </c>
      <c r="AX18" s="5" t="s">
        <v>121</v>
      </c>
      <c r="AY18" s="5" t="s">
        <v>121</v>
      </c>
      <c r="AZ18" s="5" t="s">
        <v>121</v>
      </c>
      <c r="BA18" s="5" t="s">
        <v>121</v>
      </c>
      <c r="BB18" s="5" t="s">
        <v>121</v>
      </c>
      <c r="BC18" s="5" t="s">
        <v>121</v>
      </c>
      <c r="BD18" s="5" t="s">
        <v>121</v>
      </c>
      <c r="BE18" s="5" t="s">
        <v>121</v>
      </c>
      <c r="BF18" s="5" t="s">
        <v>121</v>
      </c>
      <c r="BG18" s="5" t="s">
        <v>121</v>
      </c>
      <c r="BH18" s="5" t="s">
        <v>12084</v>
      </c>
      <c r="BI18" s="5" t="s">
        <v>121</v>
      </c>
      <c r="BJ18" s="5" t="s">
        <v>226</v>
      </c>
      <c r="BK18" s="5" t="s">
        <v>121</v>
      </c>
      <c r="BL18" s="5" t="s">
        <v>1273</v>
      </c>
      <c r="BM18" s="5" t="s">
        <v>1273</v>
      </c>
      <c r="BN18" s="5" t="s">
        <v>227</v>
      </c>
      <c r="BO18" s="5" t="s">
        <v>11984</v>
      </c>
      <c r="BP18" s="5" t="s">
        <v>121</v>
      </c>
      <c r="BQ18" s="5" t="s">
        <v>121</v>
      </c>
      <c r="BR18" s="5" t="s">
        <v>2854</v>
      </c>
      <c r="BS18" s="5" t="s">
        <v>121</v>
      </c>
      <c r="BT18" s="5" t="s">
        <v>121</v>
      </c>
      <c r="BU18" s="5" t="s">
        <v>121</v>
      </c>
      <c r="BV18" s="5" t="s">
        <v>121</v>
      </c>
      <c r="BW18" s="5" t="s">
        <v>121</v>
      </c>
      <c r="BX18" s="5" t="s">
        <v>121</v>
      </c>
      <c r="BY18" s="5" t="s">
        <v>12091</v>
      </c>
      <c r="BZ18" s="5" t="s">
        <v>121</v>
      </c>
      <c r="CA18" s="5" t="s">
        <v>121</v>
      </c>
      <c r="CB18" s="5" t="s">
        <v>121</v>
      </c>
      <c r="CC18" s="5" t="s">
        <v>213</v>
      </c>
      <c r="CD18" s="5" t="s">
        <v>121</v>
      </c>
      <c r="CE18" s="5" t="s">
        <v>121</v>
      </c>
      <c r="CF18" s="5" t="s">
        <v>11958</v>
      </c>
      <c r="CG18" s="5" t="s">
        <v>121</v>
      </c>
      <c r="CH18" s="5" t="s">
        <v>121</v>
      </c>
      <c r="CI18" s="5" t="s">
        <v>12034</v>
      </c>
      <c r="CJ18" s="5" t="s">
        <v>124</v>
      </c>
      <c r="CK18" s="5" t="s">
        <v>121</v>
      </c>
      <c r="CL18" s="5" t="s">
        <v>3510</v>
      </c>
      <c r="CM18" s="5" t="s">
        <v>124</v>
      </c>
      <c r="CN18" s="5" t="s">
        <v>121</v>
      </c>
      <c r="CO18" s="5" t="s">
        <v>121</v>
      </c>
      <c r="CP18" s="5" t="s">
        <v>3510</v>
      </c>
      <c r="CQ18" s="5" t="s">
        <v>272</v>
      </c>
      <c r="CR18" s="5" t="s">
        <v>11960</v>
      </c>
      <c r="CS18" s="5" t="s">
        <v>3510</v>
      </c>
      <c r="CT18" s="5" t="s">
        <v>3510</v>
      </c>
      <c r="CU18" s="5" t="s">
        <v>3510</v>
      </c>
      <c r="CV18" s="5" t="s">
        <v>11952</v>
      </c>
      <c r="CW18" s="5" t="s">
        <v>11952</v>
      </c>
      <c r="CX18" s="5" t="s">
        <v>12086</v>
      </c>
      <c r="CY18" s="5" t="s">
        <v>12131</v>
      </c>
      <c r="CZ18" s="5" t="s">
        <v>11952</v>
      </c>
      <c r="DA18" s="5" t="s">
        <v>11952</v>
      </c>
      <c r="DB18" s="5" t="s">
        <v>11963</v>
      </c>
      <c r="DC18" s="5" t="s">
        <v>11963</v>
      </c>
      <c r="DD18" s="5" t="s">
        <v>11963</v>
      </c>
      <c r="DE18" s="5" t="s">
        <v>11963</v>
      </c>
      <c r="DF18" s="5" t="s">
        <v>3510</v>
      </c>
      <c r="DG18" s="5" t="s">
        <v>11964</v>
      </c>
      <c r="DH18" s="5" t="s">
        <v>12093</v>
      </c>
      <c r="DI18" s="5" t="s">
        <v>11994</v>
      </c>
      <c r="DJ18" s="5" t="s">
        <v>11966</v>
      </c>
      <c r="DK18" s="5" t="s">
        <v>11967</v>
      </c>
      <c r="DL18" s="5">
        <v>4</v>
      </c>
      <c r="DM18" s="5">
        <v>4</v>
      </c>
      <c r="DN18" s="5">
        <v>4</v>
      </c>
      <c r="DO18" s="5">
        <v>2</v>
      </c>
      <c r="DP18" s="5">
        <v>2</v>
      </c>
      <c r="DQ18" s="5">
        <v>2</v>
      </c>
      <c r="DR18" s="5">
        <v>0</v>
      </c>
      <c r="DS18" s="5">
        <v>58</v>
      </c>
      <c r="DT18" s="5" t="s">
        <v>11968</v>
      </c>
      <c r="DU18" s="5" t="s">
        <v>11969</v>
      </c>
      <c r="DV18" s="5" t="s">
        <v>11970</v>
      </c>
      <c r="DW18" s="5"/>
      <c r="DX18" s="5">
        <v>20</v>
      </c>
      <c r="DY18" s="5"/>
      <c r="DZ18" s="5">
        <v>100</v>
      </c>
      <c r="EA18" s="5"/>
      <c r="EB18" s="5">
        <v>0.2</v>
      </c>
      <c r="EC18" s="5"/>
      <c r="ED18" s="5" t="s">
        <v>11971</v>
      </c>
      <c r="EE18" s="5"/>
      <c r="EF18" s="5" t="s">
        <v>11997</v>
      </c>
      <c r="EG18" s="5"/>
      <c r="EH18" s="5" t="s">
        <v>11997</v>
      </c>
      <c r="EI18" s="5"/>
      <c r="EJ18" s="5" t="s">
        <v>11997</v>
      </c>
      <c r="EK18" s="5"/>
      <c r="EL18" s="5" t="s">
        <v>11997</v>
      </c>
      <c r="EM18" s="5"/>
      <c r="EN18" s="5" t="s">
        <v>11997</v>
      </c>
      <c r="EO18" s="5"/>
      <c r="EP18" s="5" t="s">
        <v>11998</v>
      </c>
      <c r="EQ18" s="5"/>
      <c r="ER18" s="5" t="s">
        <v>11997</v>
      </c>
      <c r="ES18" s="5"/>
      <c r="ET18" s="5" t="s">
        <v>11972</v>
      </c>
      <c r="EU18" s="5"/>
      <c r="EV18" s="5"/>
      <c r="EW18" s="5"/>
      <c r="EX18" s="5"/>
      <c r="EY18" s="5" t="s">
        <v>3299</v>
      </c>
      <c r="EZ18" s="5"/>
      <c r="FA18" s="5" t="s">
        <v>232</v>
      </c>
      <c r="FB18" s="5"/>
    </row>
    <row r="19" spans="1:158" ht="63.75">
      <c r="A19" s="5" t="s">
        <v>274</v>
      </c>
      <c r="B19" s="5" t="s">
        <v>275</v>
      </c>
      <c r="C19" s="5" t="s">
        <v>11952</v>
      </c>
      <c r="D19" s="5" t="s">
        <v>275</v>
      </c>
      <c r="E19" s="5" t="s">
        <v>11953</v>
      </c>
      <c r="F19" s="5" t="s">
        <v>11954</v>
      </c>
      <c r="G19" s="5" t="s">
        <v>11955</v>
      </c>
      <c r="H19" s="5" t="s">
        <v>11238</v>
      </c>
      <c r="I19" s="5" t="s">
        <v>129</v>
      </c>
      <c r="J19" s="5" t="s">
        <v>3510</v>
      </c>
      <c r="K19" s="5" t="s">
        <v>11956</v>
      </c>
      <c r="L19" s="5" t="s">
        <v>232</v>
      </c>
      <c r="M19" s="5" t="s">
        <v>232</v>
      </c>
      <c r="N19" s="5" t="s">
        <v>11952</v>
      </c>
      <c r="O19" s="5" t="s">
        <v>11952</v>
      </c>
      <c r="P19" s="5" t="s">
        <v>11952</v>
      </c>
      <c r="Q19" s="5" t="s">
        <v>11952</v>
      </c>
      <c r="R19" s="5" t="s">
        <v>11952</v>
      </c>
      <c r="S19" s="5" t="s">
        <v>11952</v>
      </c>
      <c r="T19" s="5" t="s">
        <v>121</v>
      </c>
      <c r="U19" s="5" t="s">
        <v>2854</v>
      </c>
      <c r="V19" s="5" t="s">
        <v>232</v>
      </c>
      <c r="W19" s="5" t="s">
        <v>121</v>
      </c>
      <c r="X19" s="5" t="s">
        <v>232</v>
      </c>
      <c r="Y19" s="5" t="s">
        <v>121</v>
      </c>
      <c r="Z19" s="5" t="s">
        <v>121</v>
      </c>
      <c r="AA19" s="5" t="s">
        <v>11981</v>
      </c>
      <c r="AB19" s="5" t="s">
        <v>155</v>
      </c>
      <c r="AC19" s="5" t="s">
        <v>277</v>
      </c>
      <c r="AD19" s="5" t="s">
        <v>121</v>
      </c>
      <c r="AE19" s="5" t="s">
        <v>121</v>
      </c>
      <c r="AF19" s="5" t="s">
        <v>277</v>
      </c>
      <c r="AG19" s="5" t="s">
        <v>121</v>
      </c>
      <c r="AH19" s="5" t="s">
        <v>121</v>
      </c>
      <c r="AI19" s="5" t="s">
        <v>121</v>
      </c>
      <c r="AJ19" s="5" t="s">
        <v>121</v>
      </c>
      <c r="AK19" s="5" t="s">
        <v>121</v>
      </c>
      <c r="AL19" s="5" t="s">
        <v>121</v>
      </c>
      <c r="AM19" s="5" t="s">
        <v>121</v>
      </c>
      <c r="AN19" s="5" t="s">
        <v>121</v>
      </c>
      <c r="AO19" s="5" t="s">
        <v>121</v>
      </c>
      <c r="AP19" s="5" t="s">
        <v>121</v>
      </c>
      <c r="AQ19" s="5" t="s">
        <v>121</v>
      </c>
      <c r="AR19" s="5" t="s">
        <v>121</v>
      </c>
      <c r="AS19" s="5" t="s">
        <v>229</v>
      </c>
      <c r="AT19" s="5" t="s">
        <v>121</v>
      </c>
      <c r="AU19" s="5" t="s">
        <v>276</v>
      </c>
      <c r="AV19" s="5" t="s">
        <v>121</v>
      </c>
      <c r="AW19" s="5" t="s">
        <v>276</v>
      </c>
      <c r="AX19" s="5" t="s">
        <v>121</v>
      </c>
      <c r="AY19" s="5" t="s">
        <v>121</v>
      </c>
      <c r="AZ19" s="5" t="s">
        <v>121</v>
      </c>
      <c r="BA19" s="5" t="s">
        <v>121</v>
      </c>
      <c r="BB19" s="5" t="s">
        <v>121</v>
      </c>
      <c r="BC19" s="5" t="s">
        <v>121</v>
      </c>
      <c r="BD19" s="5" t="s">
        <v>121</v>
      </c>
      <c r="BE19" s="5" t="s">
        <v>121</v>
      </c>
      <c r="BF19" s="5" t="s">
        <v>121</v>
      </c>
      <c r="BG19" s="5" t="s">
        <v>121</v>
      </c>
      <c r="BH19" s="5" t="s">
        <v>12084</v>
      </c>
      <c r="BI19" s="5" t="s">
        <v>121</v>
      </c>
      <c r="BJ19" s="5" t="s">
        <v>226</v>
      </c>
      <c r="BK19" s="5" t="s">
        <v>121</v>
      </c>
      <c r="BL19" s="5" t="s">
        <v>1273</v>
      </c>
      <c r="BM19" s="5" t="s">
        <v>1273</v>
      </c>
      <c r="BN19" s="5" t="s">
        <v>227</v>
      </c>
      <c r="BO19" s="5" t="s">
        <v>11984</v>
      </c>
      <c r="BP19" s="5" t="s">
        <v>121</v>
      </c>
      <c r="BQ19" s="5" t="s">
        <v>121</v>
      </c>
      <c r="BR19" s="5" t="s">
        <v>2854</v>
      </c>
      <c r="BS19" s="5" t="s">
        <v>121</v>
      </c>
      <c r="BT19" s="5" t="s">
        <v>121</v>
      </c>
      <c r="BU19" s="5" t="s">
        <v>121</v>
      </c>
      <c r="BV19" s="5" t="s">
        <v>121</v>
      </c>
      <c r="BW19" s="5" t="s">
        <v>121</v>
      </c>
      <c r="BX19" s="5" t="s">
        <v>121</v>
      </c>
      <c r="BY19" s="5" t="s">
        <v>12091</v>
      </c>
      <c r="BZ19" s="5" t="s">
        <v>121</v>
      </c>
      <c r="CA19" s="5" t="s">
        <v>121</v>
      </c>
      <c r="CB19" s="5" t="s">
        <v>121</v>
      </c>
      <c r="CC19" s="5" t="s">
        <v>213</v>
      </c>
      <c r="CD19" s="5" t="s">
        <v>121</v>
      </c>
      <c r="CE19" s="5" t="s">
        <v>121</v>
      </c>
      <c r="CF19" s="5" t="s">
        <v>11958</v>
      </c>
      <c r="CG19" s="5" t="s">
        <v>121</v>
      </c>
      <c r="CH19" s="5" t="s">
        <v>121</v>
      </c>
      <c r="CI19" s="5" t="s">
        <v>12034</v>
      </c>
      <c r="CJ19" s="5" t="s">
        <v>124</v>
      </c>
      <c r="CK19" s="5" t="s">
        <v>121</v>
      </c>
      <c r="CL19" s="5" t="s">
        <v>3510</v>
      </c>
      <c r="CM19" s="5" t="s">
        <v>124</v>
      </c>
      <c r="CN19" s="5" t="s">
        <v>121</v>
      </c>
      <c r="CO19" s="5" t="s">
        <v>121</v>
      </c>
      <c r="CP19" s="5" t="s">
        <v>3510</v>
      </c>
      <c r="CQ19" s="5" t="s">
        <v>278</v>
      </c>
      <c r="CR19" s="5" t="s">
        <v>11960</v>
      </c>
      <c r="CS19" s="5" t="s">
        <v>3510</v>
      </c>
      <c r="CT19" s="5" t="s">
        <v>3510</v>
      </c>
      <c r="CU19" s="5" t="s">
        <v>3510</v>
      </c>
      <c r="CV19" s="5" t="s">
        <v>11952</v>
      </c>
      <c r="CW19" s="5" t="s">
        <v>11952</v>
      </c>
      <c r="CX19" s="5" t="s">
        <v>12086</v>
      </c>
      <c r="CY19" s="5" t="s">
        <v>12132</v>
      </c>
      <c r="CZ19" s="5" t="s">
        <v>11952</v>
      </c>
      <c r="DA19" s="5" t="s">
        <v>11952</v>
      </c>
      <c r="DB19" s="5" t="s">
        <v>11963</v>
      </c>
      <c r="DC19" s="5" t="s">
        <v>11963</v>
      </c>
      <c r="DD19" s="5" t="s">
        <v>11963</v>
      </c>
      <c r="DE19" s="5" t="s">
        <v>11963</v>
      </c>
      <c r="DF19" s="5" t="s">
        <v>3510</v>
      </c>
      <c r="DG19" s="5" t="s">
        <v>11964</v>
      </c>
      <c r="DH19" s="5" t="s">
        <v>12093</v>
      </c>
      <c r="DI19" s="5" t="s">
        <v>11994</v>
      </c>
      <c r="DJ19" s="5" t="s">
        <v>11966</v>
      </c>
      <c r="DK19" s="5" t="s">
        <v>11967</v>
      </c>
      <c r="DL19" s="5">
        <v>4</v>
      </c>
      <c r="DM19" s="5">
        <v>4</v>
      </c>
      <c r="DN19" s="5">
        <v>4</v>
      </c>
      <c r="DO19" s="5">
        <v>1</v>
      </c>
      <c r="DP19" s="5">
        <v>2</v>
      </c>
      <c r="DQ19" s="5">
        <v>3</v>
      </c>
      <c r="DR19" s="5">
        <v>0</v>
      </c>
      <c r="DS19" s="5">
        <v>57</v>
      </c>
      <c r="DT19" s="5" t="s">
        <v>11968</v>
      </c>
      <c r="DU19" s="5" t="s">
        <v>11969</v>
      </c>
      <c r="DV19" s="5" t="s">
        <v>11970</v>
      </c>
      <c r="DW19" s="5"/>
      <c r="DX19" s="5">
        <v>16</v>
      </c>
      <c r="DY19" s="5"/>
      <c r="DZ19" s="5">
        <v>100</v>
      </c>
      <c r="EA19" s="5"/>
      <c r="EB19" s="5">
        <v>0.16</v>
      </c>
      <c r="EC19" s="5"/>
      <c r="ED19" s="5" t="s">
        <v>11971</v>
      </c>
      <c r="EE19" s="5"/>
      <c r="EF19" s="5" t="s">
        <v>11997</v>
      </c>
      <c r="EG19" s="5"/>
      <c r="EH19" s="5" t="s">
        <v>11997</v>
      </c>
      <c r="EI19" s="5"/>
      <c r="EJ19" s="5" t="s">
        <v>11997</v>
      </c>
      <c r="EK19" s="5"/>
      <c r="EL19" s="5" t="s">
        <v>11997</v>
      </c>
      <c r="EM19" s="5"/>
      <c r="EN19" s="5" t="s">
        <v>11997</v>
      </c>
      <c r="EO19" s="5"/>
      <c r="EP19" s="5" t="s">
        <v>11998</v>
      </c>
      <c r="EQ19" s="5"/>
      <c r="ER19" s="5" t="s">
        <v>11997</v>
      </c>
      <c r="ES19" s="5"/>
      <c r="ET19" s="5" t="s">
        <v>11972</v>
      </c>
      <c r="EU19" s="5"/>
      <c r="EV19" s="5"/>
      <c r="EW19" s="5"/>
      <c r="EX19" s="5"/>
      <c r="EY19" s="5" t="s">
        <v>3329</v>
      </c>
      <c r="EZ19" s="5"/>
      <c r="FA19" s="5" t="s">
        <v>232</v>
      </c>
      <c r="FB19" s="5"/>
    </row>
    <row r="20" spans="1:158" ht="76.5">
      <c r="A20" s="5" t="s">
        <v>280</v>
      </c>
      <c r="B20" s="5" t="s">
        <v>281</v>
      </c>
      <c r="C20" s="5" t="s">
        <v>11952</v>
      </c>
      <c r="D20" s="5" t="s">
        <v>282</v>
      </c>
      <c r="E20" s="5" t="s">
        <v>11953</v>
      </c>
      <c r="F20" s="5" t="s">
        <v>11954</v>
      </c>
      <c r="G20" s="5" t="s">
        <v>11955</v>
      </c>
      <c r="H20" s="5" t="s">
        <v>11237</v>
      </c>
      <c r="I20" s="5" t="s">
        <v>129</v>
      </c>
      <c r="J20" s="5" t="s">
        <v>3510</v>
      </c>
      <c r="K20" s="5" t="s">
        <v>11956</v>
      </c>
      <c r="L20" s="5" t="s">
        <v>291</v>
      </c>
      <c r="M20" s="5" t="s">
        <v>291</v>
      </c>
      <c r="N20" s="5" t="s">
        <v>11952</v>
      </c>
      <c r="O20" s="5" t="s">
        <v>11952</v>
      </c>
      <c r="P20" s="5" t="s">
        <v>11952</v>
      </c>
      <c r="Q20" s="5" t="s">
        <v>11952</v>
      </c>
      <c r="R20" s="5" t="s">
        <v>11952</v>
      </c>
      <c r="S20" s="5" t="s">
        <v>11952</v>
      </c>
      <c r="T20" s="5" t="s">
        <v>12133</v>
      </c>
      <c r="U20" s="5" t="s">
        <v>2854</v>
      </c>
      <c r="V20" s="5" t="s">
        <v>12134</v>
      </c>
      <c r="W20" s="5" t="s">
        <v>12134</v>
      </c>
      <c r="X20" s="5" t="s">
        <v>121</v>
      </c>
      <c r="Y20" s="5" t="s">
        <v>121</v>
      </c>
      <c r="Z20" s="5" t="s">
        <v>2854</v>
      </c>
      <c r="AA20" s="5" t="s">
        <v>11981</v>
      </c>
      <c r="AB20" s="5" t="s">
        <v>155</v>
      </c>
      <c r="AC20" s="5" t="s">
        <v>288</v>
      </c>
      <c r="AD20" s="5" t="s">
        <v>121</v>
      </c>
      <c r="AE20" s="5" t="s">
        <v>121</v>
      </c>
      <c r="AF20" s="5" t="s">
        <v>288</v>
      </c>
      <c r="AG20" s="5" t="s">
        <v>121</v>
      </c>
      <c r="AH20" s="5" t="s">
        <v>121</v>
      </c>
      <c r="AI20" s="5" t="s">
        <v>121</v>
      </c>
      <c r="AJ20" s="5" t="s">
        <v>121</v>
      </c>
      <c r="AK20" s="5" t="s">
        <v>121</v>
      </c>
      <c r="AL20" s="5" t="s">
        <v>121</v>
      </c>
      <c r="AM20" s="5" t="s">
        <v>121</v>
      </c>
      <c r="AN20" s="5" t="s">
        <v>12135</v>
      </c>
      <c r="AO20" s="5" t="s">
        <v>121</v>
      </c>
      <c r="AP20" s="5" t="s">
        <v>2302</v>
      </c>
      <c r="AQ20" s="5" t="s">
        <v>121</v>
      </c>
      <c r="AR20" s="5" t="s">
        <v>12136</v>
      </c>
      <c r="AS20" s="5" t="s">
        <v>289</v>
      </c>
      <c r="AT20" s="5" t="s">
        <v>121</v>
      </c>
      <c r="AU20" s="5" t="s">
        <v>284</v>
      </c>
      <c r="AV20" s="5" t="s">
        <v>121</v>
      </c>
      <c r="AW20" s="5" t="s">
        <v>284</v>
      </c>
      <c r="AX20" s="5" t="s">
        <v>12004</v>
      </c>
      <c r="AY20" s="5" t="s">
        <v>121</v>
      </c>
      <c r="AZ20" s="5" t="s">
        <v>2854</v>
      </c>
      <c r="BA20" s="5" t="s">
        <v>121</v>
      </c>
      <c r="BB20" s="5" t="s">
        <v>121</v>
      </c>
      <c r="BC20" s="5" t="s">
        <v>121</v>
      </c>
      <c r="BD20" s="5" t="s">
        <v>121</v>
      </c>
      <c r="BE20" s="5" t="s">
        <v>121</v>
      </c>
      <c r="BF20" s="5" t="s">
        <v>12137</v>
      </c>
      <c r="BG20" s="5" t="s">
        <v>121</v>
      </c>
      <c r="BH20" s="5" t="s">
        <v>12138</v>
      </c>
      <c r="BI20" s="5" t="s">
        <v>121</v>
      </c>
      <c r="BJ20" s="5" t="s">
        <v>285</v>
      </c>
      <c r="BK20" s="5" t="s">
        <v>121</v>
      </c>
      <c r="BL20" s="5" t="s">
        <v>342</v>
      </c>
      <c r="BM20" s="5" t="s">
        <v>342</v>
      </c>
      <c r="BN20" s="5" t="s">
        <v>286</v>
      </c>
      <c r="BO20" s="5" t="s">
        <v>121</v>
      </c>
      <c r="BP20" s="5" t="s">
        <v>121</v>
      </c>
      <c r="BQ20" s="5" t="s">
        <v>2854</v>
      </c>
      <c r="BR20" s="5" t="s">
        <v>121</v>
      </c>
      <c r="BS20" s="5" t="s">
        <v>121</v>
      </c>
      <c r="BT20" s="5" t="s">
        <v>121</v>
      </c>
      <c r="BU20" s="5" t="s">
        <v>121</v>
      </c>
      <c r="BV20" s="5" t="s">
        <v>121</v>
      </c>
      <c r="BW20" s="5" t="s">
        <v>121</v>
      </c>
      <c r="BX20" s="5" t="s">
        <v>121</v>
      </c>
      <c r="BY20" s="5" t="s">
        <v>12139</v>
      </c>
      <c r="BZ20" s="5" t="s">
        <v>12140</v>
      </c>
      <c r="CA20" s="5" t="s">
        <v>121</v>
      </c>
      <c r="CB20" s="5" t="s">
        <v>121</v>
      </c>
      <c r="CC20" s="5" t="s">
        <v>283</v>
      </c>
      <c r="CD20" s="5" t="s">
        <v>12141</v>
      </c>
      <c r="CE20" s="5" t="s">
        <v>12141</v>
      </c>
      <c r="CF20" s="5" t="s">
        <v>11958</v>
      </c>
      <c r="CG20" s="5" t="s">
        <v>121</v>
      </c>
      <c r="CH20" s="5" t="s">
        <v>121</v>
      </c>
      <c r="CI20" s="5" t="s">
        <v>11959</v>
      </c>
      <c r="CJ20" s="5" t="s">
        <v>287</v>
      </c>
      <c r="CK20" s="5" t="s">
        <v>121</v>
      </c>
      <c r="CL20" s="5" t="s">
        <v>2854</v>
      </c>
      <c r="CM20" s="5" t="s">
        <v>287</v>
      </c>
      <c r="CN20" s="5" t="s">
        <v>121</v>
      </c>
      <c r="CO20" s="5" t="s">
        <v>121</v>
      </c>
      <c r="CP20" s="5" t="s">
        <v>3510</v>
      </c>
      <c r="CQ20" s="5" t="s">
        <v>290</v>
      </c>
      <c r="CR20" s="5" t="s">
        <v>11960</v>
      </c>
      <c r="CS20" s="5" t="s">
        <v>3510</v>
      </c>
      <c r="CT20" s="5" t="s">
        <v>3510</v>
      </c>
      <c r="CU20" s="5" t="s">
        <v>3510</v>
      </c>
      <c r="CV20" s="5" t="s">
        <v>11952</v>
      </c>
      <c r="CW20" s="5" t="s">
        <v>11952</v>
      </c>
      <c r="CX20" s="5" t="s">
        <v>12142</v>
      </c>
      <c r="CY20" s="5" t="s">
        <v>12143</v>
      </c>
      <c r="CZ20" s="5" t="s">
        <v>11952</v>
      </c>
      <c r="DA20" s="5" t="s">
        <v>3510</v>
      </c>
      <c r="DB20" s="5" t="s">
        <v>11963</v>
      </c>
      <c r="DC20" s="5" t="s">
        <v>11963</v>
      </c>
      <c r="DD20" s="5" t="s">
        <v>11963</v>
      </c>
      <c r="DE20" s="5" t="s">
        <v>11963</v>
      </c>
      <c r="DF20" s="5" t="s">
        <v>3510</v>
      </c>
      <c r="DG20" s="5" t="s">
        <v>11964</v>
      </c>
      <c r="DH20" s="5" t="s">
        <v>12144</v>
      </c>
      <c r="DI20" s="5" t="s">
        <v>11994</v>
      </c>
      <c r="DJ20" s="5" t="s">
        <v>11966</v>
      </c>
      <c r="DK20" s="5" t="s">
        <v>11967</v>
      </c>
      <c r="DL20" s="5">
        <v>2</v>
      </c>
      <c r="DM20" s="5">
        <v>4</v>
      </c>
      <c r="DN20" s="5">
        <v>3.5</v>
      </c>
      <c r="DO20" s="5">
        <v>3</v>
      </c>
      <c r="DP20" s="5">
        <v>3</v>
      </c>
      <c r="DQ20" s="5">
        <v>2</v>
      </c>
      <c r="DR20" s="5">
        <v>0</v>
      </c>
      <c r="DS20" s="5">
        <v>53.5</v>
      </c>
      <c r="DT20" s="5" t="s">
        <v>11968</v>
      </c>
      <c r="DU20" s="5" t="s">
        <v>11969</v>
      </c>
      <c r="DV20" s="5" t="s">
        <v>11970</v>
      </c>
      <c r="DW20" s="5"/>
      <c r="DX20" s="5">
        <v>16</v>
      </c>
      <c r="DY20" s="5"/>
      <c r="DZ20" s="5">
        <v>100</v>
      </c>
      <c r="EA20" s="5"/>
      <c r="EB20" s="5">
        <v>0.16</v>
      </c>
      <c r="EC20" s="5"/>
      <c r="ED20" s="5" t="s">
        <v>11971</v>
      </c>
      <c r="EE20" s="5"/>
      <c r="EF20" s="5" t="s">
        <v>11997</v>
      </c>
      <c r="EG20" s="5"/>
      <c r="EH20" s="5" t="s">
        <v>11997</v>
      </c>
      <c r="EI20" s="5"/>
      <c r="EJ20" s="5" t="s">
        <v>11997</v>
      </c>
      <c r="EK20" s="5"/>
      <c r="EL20" s="5" t="s">
        <v>11997</v>
      </c>
      <c r="EM20" s="5"/>
      <c r="EN20" s="5" t="s">
        <v>11997</v>
      </c>
      <c r="EO20" s="5"/>
      <c r="EP20" s="5" t="s">
        <v>11998</v>
      </c>
      <c r="EQ20" s="5"/>
      <c r="ER20" s="5" t="s">
        <v>11997</v>
      </c>
      <c r="ES20" s="5"/>
      <c r="ET20" s="5" t="s">
        <v>11972</v>
      </c>
      <c r="EU20" s="5"/>
      <c r="EV20" s="5"/>
      <c r="EW20" s="5"/>
      <c r="EX20" s="5"/>
      <c r="EY20" s="5" t="s">
        <v>3359</v>
      </c>
      <c r="EZ20" s="5"/>
      <c r="FA20" s="5" t="s">
        <v>291</v>
      </c>
      <c r="FB20" s="5"/>
    </row>
    <row r="21" spans="1:158" ht="76.5">
      <c r="A21" s="5" t="s">
        <v>293</v>
      </c>
      <c r="B21" s="5" t="s">
        <v>294</v>
      </c>
      <c r="C21" s="5" t="s">
        <v>11952</v>
      </c>
      <c r="D21" s="5" t="s">
        <v>295</v>
      </c>
      <c r="E21" s="5" t="s">
        <v>11953</v>
      </c>
      <c r="F21" s="5" t="s">
        <v>11954</v>
      </c>
      <c r="G21" s="5" t="s">
        <v>11955</v>
      </c>
      <c r="H21" s="5" t="s">
        <v>11238</v>
      </c>
      <c r="I21" s="5" t="s">
        <v>129</v>
      </c>
      <c r="J21" s="5" t="s">
        <v>3510</v>
      </c>
      <c r="K21" s="5" t="s">
        <v>11956</v>
      </c>
      <c r="L21" s="5" t="s">
        <v>300</v>
      </c>
      <c r="M21" s="5" t="s">
        <v>300</v>
      </c>
      <c r="N21" s="5" t="s">
        <v>11952</v>
      </c>
      <c r="O21" s="5" t="s">
        <v>11952</v>
      </c>
      <c r="P21" s="5" t="s">
        <v>11952</v>
      </c>
      <c r="Q21" s="5" t="s">
        <v>11952</v>
      </c>
      <c r="R21" s="5" t="s">
        <v>11952</v>
      </c>
      <c r="S21" s="5" t="s">
        <v>11952</v>
      </c>
      <c r="T21" s="5" t="s">
        <v>12145</v>
      </c>
      <c r="U21" s="5" t="s">
        <v>2854</v>
      </c>
      <c r="V21" s="5" t="s">
        <v>12146</v>
      </c>
      <c r="W21" s="5" t="s">
        <v>12145</v>
      </c>
      <c r="X21" s="5" t="s">
        <v>12146</v>
      </c>
      <c r="Y21" s="5" t="s">
        <v>121</v>
      </c>
      <c r="Z21" s="5" t="s">
        <v>2854</v>
      </c>
      <c r="AA21" s="5" t="s">
        <v>11981</v>
      </c>
      <c r="AB21" s="5" t="s">
        <v>155</v>
      </c>
      <c r="AC21" s="5" t="s">
        <v>297</v>
      </c>
      <c r="AD21" s="5" t="s">
        <v>121</v>
      </c>
      <c r="AE21" s="5" t="s">
        <v>121</v>
      </c>
      <c r="AF21" s="5" t="s">
        <v>297</v>
      </c>
      <c r="AG21" s="5" t="s">
        <v>121</v>
      </c>
      <c r="AH21" s="5" t="s">
        <v>121</v>
      </c>
      <c r="AI21" s="5" t="s">
        <v>121</v>
      </c>
      <c r="AJ21" s="5" t="s">
        <v>121</v>
      </c>
      <c r="AK21" s="5" t="s">
        <v>121</v>
      </c>
      <c r="AL21" s="5" t="s">
        <v>121</v>
      </c>
      <c r="AM21" s="5" t="s">
        <v>121</v>
      </c>
      <c r="AN21" s="5" t="s">
        <v>121</v>
      </c>
      <c r="AO21" s="5" t="s">
        <v>121</v>
      </c>
      <c r="AP21" s="5" t="s">
        <v>121</v>
      </c>
      <c r="AQ21" s="5" t="s">
        <v>121</v>
      </c>
      <c r="AR21" s="5" t="s">
        <v>121</v>
      </c>
      <c r="AS21" s="5" t="s">
        <v>298</v>
      </c>
      <c r="AT21" s="5" t="s">
        <v>121</v>
      </c>
      <c r="AU21" s="5" t="s">
        <v>296</v>
      </c>
      <c r="AV21" s="5" t="s">
        <v>121</v>
      </c>
      <c r="AW21" s="5" t="s">
        <v>296</v>
      </c>
      <c r="AX21" s="5" t="s">
        <v>121</v>
      </c>
      <c r="AY21" s="5" t="s">
        <v>121</v>
      </c>
      <c r="AZ21" s="5" t="s">
        <v>121</v>
      </c>
      <c r="BA21" s="5" t="s">
        <v>121</v>
      </c>
      <c r="BB21" s="5" t="s">
        <v>121</v>
      </c>
      <c r="BC21" s="5" t="s">
        <v>121</v>
      </c>
      <c r="BD21" s="5" t="s">
        <v>121</v>
      </c>
      <c r="BE21" s="5" t="s">
        <v>121</v>
      </c>
      <c r="BF21" s="5" t="s">
        <v>121</v>
      </c>
      <c r="BG21" s="5" t="s">
        <v>121</v>
      </c>
      <c r="BH21" s="5" t="s">
        <v>1082</v>
      </c>
      <c r="BI21" s="5" t="s">
        <v>121</v>
      </c>
      <c r="BJ21" s="5" t="s">
        <v>226</v>
      </c>
      <c r="BK21" s="5" t="s">
        <v>121</v>
      </c>
      <c r="BL21" s="5" t="s">
        <v>1273</v>
      </c>
      <c r="BM21" s="5" t="s">
        <v>1273</v>
      </c>
      <c r="BN21" s="5" t="s">
        <v>227</v>
      </c>
      <c r="BO21" s="5" t="s">
        <v>11984</v>
      </c>
      <c r="BP21" s="5" t="s">
        <v>121</v>
      </c>
      <c r="BQ21" s="5" t="s">
        <v>121</v>
      </c>
      <c r="BR21" s="5" t="s">
        <v>2854</v>
      </c>
      <c r="BS21" s="5" t="s">
        <v>121</v>
      </c>
      <c r="BT21" s="5" t="s">
        <v>121</v>
      </c>
      <c r="BU21" s="5" t="s">
        <v>121</v>
      </c>
      <c r="BV21" s="5" t="s">
        <v>121</v>
      </c>
      <c r="BW21" s="5" t="s">
        <v>121</v>
      </c>
      <c r="BX21" s="5" t="s">
        <v>121</v>
      </c>
      <c r="BY21" s="5" t="s">
        <v>12091</v>
      </c>
      <c r="BZ21" s="5" t="s">
        <v>121</v>
      </c>
      <c r="CA21" s="5" t="s">
        <v>121</v>
      </c>
      <c r="CB21" s="5" t="s">
        <v>121</v>
      </c>
      <c r="CC21" s="5" t="s">
        <v>213</v>
      </c>
      <c r="CD21" s="5" t="s">
        <v>121</v>
      </c>
      <c r="CE21" s="5" t="s">
        <v>121</v>
      </c>
      <c r="CF21" s="5" t="s">
        <v>11958</v>
      </c>
      <c r="CG21" s="5" t="s">
        <v>121</v>
      </c>
      <c r="CH21" s="5" t="s">
        <v>121</v>
      </c>
      <c r="CI21" s="5" t="s">
        <v>11959</v>
      </c>
      <c r="CJ21" s="5" t="s">
        <v>124</v>
      </c>
      <c r="CK21" s="5" t="s">
        <v>121</v>
      </c>
      <c r="CL21" s="5" t="s">
        <v>3510</v>
      </c>
      <c r="CM21" s="5" t="s">
        <v>124</v>
      </c>
      <c r="CN21" s="5" t="s">
        <v>121</v>
      </c>
      <c r="CO21" s="5" t="s">
        <v>121</v>
      </c>
      <c r="CP21" s="5" t="s">
        <v>3510</v>
      </c>
      <c r="CQ21" s="5" t="s">
        <v>299</v>
      </c>
      <c r="CR21" s="5" t="s">
        <v>11960</v>
      </c>
      <c r="CS21" s="5" t="s">
        <v>3510</v>
      </c>
      <c r="CT21" s="5" t="s">
        <v>3510</v>
      </c>
      <c r="CU21" s="5" t="s">
        <v>3510</v>
      </c>
      <c r="CV21" s="5" t="s">
        <v>11952</v>
      </c>
      <c r="CW21" s="5" t="s">
        <v>11952</v>
      </c>
      <c r="CX21" s="5" t="s">
        <v>12086</v>
      </c>
      <c r="CY21" s="5" t="s">
        <v>12147</v>
      </c>
      <c r="CZ21" s="5" t="s">
        <v>11952</v>
      </c>
      <c r="DA21" s="5" t="s">
        <v>11952</v>
      </c>
      <c r="DB21" s="5" t="s">
        <v>11963</v>
      </c>
      <c r="DC21" s="5" t="s">
        <v>11963</v>
      </c>
      <c r="DD21" s="5" t="s">
        <v>11963</v>
      </c>
      <c r="DE21" s="5" t="s">
        <v>11963</v>
      </c>
      <c r="DF21" s="5" t="s">
        <v>3510</v>
      </c>
      <c r="DG21" s="5" t="s">
        <v>11964</v>
      </c>
      <c r="DH21" s="5" t="s">
        <v>12148</v>
      </c>
      <c r="DI21" s="5" t="s">
        <v>11994</v>
      </c>
      <c r="DJ21" s="5" t="s">
        <v>11966</v>
      </c>
      <c r="DK21" s="5" t="s">
        <v>11967</v>
      </c>
      <c r="DL21" s="5">
        <v>4</v>
      </c>
      <c r="DM21" s="5">
        <v>4</v>
      </c>
      <c r="DN21" s="5">
        <v>4</v>
      </c>
      <c r="DO21" s="5">
        <v>2</v>
      </c>
      <c r="DP21" s="5">
        <v>3</v>
      </c>
      <c r="DQ21" s="5">
        <v>1</v>
      </c>
      <c r="DR21" s="5">
        <v>0</v>
      </c>
      <c r="DS21" s="5">
        <v>58</v>
      </c>
      <c r="DT21" s="5" t="s">
        <v>11968</v>
      </c>
      <c r="DU21" s="5" t="s">
        <v>11969</v>
      </c>
      <c r="DV21" s="5" t="s">
        <v>11970</v>
      </c>
      <c r="DW21" s="5"/>
      <c r="DX21" s="5">
        <v>13</v>
      </c>
      <c r="DY21" s="5"/>
      <c r="DZ21" s="5">
        <v>100</v>
      </c>
      <c r="EA21" s="5"/>
      <c r="EB21" s="5">
        <v>0.13</v>
      </c>
      <c r="EC21" s="5"/>
      <c r="ED21" s="5" t="s">
        <v>11971</v>
      </c>
      <c r="EE21" s="5"/>
      <c r="EF21" s="5" t="s">
        <v>11997</v>
      </c>
      <c r="EG21" s="5"/>
      <c r="EH21" s="5" t="s">
        <v>11997</v>
      </c>
      <c r="EI21" s="5"/>
      <c r="EJ21" s="5" t="s">
        <v>11997</v>
      </c>
      <c r="EK21" s="5"/>
      <c r="EL21" s="5" t="s">
        <v>11997</v>
      </c>
      <c r="EM21" s="5"/>
      <c r="EN21" s="5" t="s">
        <v>11997</v>
      </c>
      <c r="EO21" s="5"/>
      <c r="EP21" s="5" t="s">
        <v>11998</v>
      </c>
      <c r="EQ21" s="5"/>
      <c r="ER21" s="5" t="s">
        <v>11997</v>
      </c>
      <c r="ES21" s="5"/>
      <c r="ET21" s="5" t="s">
        <v>11972</v>
      </c>
      <c r="EU21" s="5"/>
      <c r="EV21" s="5"/>
      <c r="EW21" s="5"/>
      <c r="EX21" s="5"/>
      <c r="EY21" s="5" t="s">
        <v>3393</v>
      </c>
      <c r="EZ21" s="5"/>
      <c r="FA21" s="5" t="s">
        <v>300</v>
      </c>
      <c r="FB21" s="5"/>
    </row>
    <row r="22" spans="1:158" ht="409.5">
      <c r="A22" s="5" t="s">
        <v>302</v>
      </c>
      <c r="B22" s="5" t="s">
        <v>303</v>
      </c>
      <c r="C22" s="5" t="s">
        <v>11952</v>
      </c>
      <c r="D22" s="5" t="s">
        <v>12149</v>
      </c>
      <c r="E22" s="5" t="s">
        <v>12011</v>
      </c>
      <c r="F22" s="5" t="s">
        <v>11994</v>
      </c>
      <c r="G22" s="5" t="s">
        <v>12150</v>
      </c>
      <c r="H22" s="5" t="s">
        <v>11977</v>
      </c>
      <c r="I22" s="5" t="s">
        <v>129</v>
      </c>
      <c r="J22" s="5" t="s">
        <v>3510</v>
      </c>
      <c r="K22" s="5" t="s">
        <v>12151</v>
      </c>
      <c r="L22" s="5" t="s">
        <v>315</v>
      </c>
      <c r="M22" s="5" t="s">
        <v>315</v>
      </c>
      <c r="N22" s="5" t="s">
        <v>11952</v>
      </c>
      <c r="O22" s="5" t="s">
        <v>11952</v>
      </c>
      <c r="P22" s="5" t="s">
        <v>11952</v>
      </c>
      <c r="Q22" s="5" t="s">
        <v>11952</v>
      </c>
      <c r="R22" s="5" t="s">
        <v>11952</v>
      </c>
      <c r="S22" s="5" t="s">
        <v>11952</v>
      </c>
      <c r="T22" s="5" t="s">
        <v>121</v>
      </c>
      <c r="U22" s="5" t="s">
        <v>2854</v>
      </c>
      <c r="V22" s="5" t="s">
        <v>12152</v>
      </c>
      <c r="W22" s="5" t="s">
        <v>12153</v>
      </c>
      <c r="X22" s="5" t="s">
        <v>12154</v>
      </c>
      <c r="Y22" s="5" t="s">
        <v>121</v>
      </c>
      <c r="Z22" s="5" t="s">
        <v>2854</v>
      </c>
      <c r="AA22" s="5" t="s">
        <v>11981</v>
      </c>
      <c r="AB22" s="5" t="s">
        <v>155</v>
      </c>
      <c r="AC22" s="5" t="s">
        <v>12155</v>
      </c>
      <c r="AD22" s="5" t="s">
        <v>121</v>
      </c>
      <c r="AE22" s="5" t="s">
        <v>121</v>
      </c>
      <c r="AF22" s="5" t="s">
        <v>12155</v>
      </c>
      <c r="AG22" s="5" t="s">
        <v>121</v>
      </c>
      <c r="AH22" s="5" t="s">
        <v>121</v>
      </c>
      <c r="AI22" s="5" t="s">
        <v>121</v>
      </c>
      <c r="AJ22" s="5" t="s">
        <v>121</v>
      </c>
      <c r="AK22" s="5" t="s">
        <v>121</v>
      </c>
      <c r="AL22" s="5" t="s">
        <v>121</v>
      </c>
      <c r="AM22" s="5" t="s">
        <v>121</v>
      </c>
      <c r="AN22" s="5" t="s">
        <v>121</v>
      </c>
      <c r="AO22" s="5" t="s">
        <v>121</v>
      </c>
      <c r="AP22" s="5" t="s">
        <v>2379</v>
      </c>
      <c r="AQ22" s="5" t="s">
        <v>121</v>
      </c>
      <c r="AR22" s="5" t="s">
        <v>12156</v>
      </c>
      <c r="AS22" s="5" t="s">
        <v>12157</v>
      </c>
      <c r="AT22" s="5" t="s">
        <v>121</v>
      </c>
      <c r="AU22" s="5" t="s">
        <v>12158</v>
      </c>
      <c r="AV22" s="5" t="s">
        <v>12003</v>
      </c>
      <c r="AW22" s="5" t="s">
        <v>12158</v>
      </c>
      <c r="AX22" s="5" t="s">
        <v>12159</v>
      </c>
      <c r="AY22" s="5" t="s">
        <v>121</v>
      </c>
      <c r="AZ22" s="5" t="s">
        <v>121</v>
      </c>
      <c r="BA22" s="5" t="s">
        <v>121</v>
      </c>
      <c r="BB22" s="5" t="s">
        <v>3510</v>
      </c>
      <c r="BC22" s="5" t="s">
        <v>121</v>
      </c>
      <c r="BD22" s="5" t="s">
        <v>121</v>
      </c>
      <c r="BE22" s="5" t="s">
        <v>12160</v>
      </c>
      <c r="BF22" s="5" t="s">
        <v>12160</v>
      </c>
      <c r="BG22" s="5" t="s">
        <v>121</v>
      </c>
      <c r="BH22" s="5" t="s">
        <v>12161</v>
      </c>
      <c r="BI22" s="5" t="s">
        <v>121</v>
      </c>
      <c r="BJ22" s="5" t="s">
        <v>12162</v>
      </c>
      <c r="BK22" s="5" t="s">
        <v>121</v>
      </c>
      <c r="BL22" s="5" t="s">
        <v>12163</v>
      </c>
      <c r="BM22" s="5" t="s">
        <v>12163</v>
      </c>
      <c r="BN22" s="5" t="s">
        <v>12164</v>
      </c>
      <c r="BO22" s="5" t="s">
        <v>11984</v>
      </c>
      <c r="BP22" s="5" t="s">
        <v>121</v>
      </c>
      <c r="BQ22" s="5" t="s">
        <v>121</v>
      </c>
      <c r="BR22" s="5" t="s">
        <v>2854</v>
      </c>
      <c r="BS22" s="5" t="s">
        <v>121</v>
      </c>
      <c r="BT22" s="5" t="s">
        <v>121</v>
      </c>
      <c r="BU22" s="5" t="s">
        <v>121</v>
      </c>
      <c r="BV22" s="5" t="s">
        <v>3510</v>
      </c>
      <c r="BW22" s="5" t="s">
        <v>3510</v>
      </c>
      <c r="BX22" s="5" t="s">
        <v>3510</v>
      </c>
      <c r="BY22" s="5" t="s">
        <v>12165</v>
      </c>
      <c r="BZ22" s="5" t="s">
        <v>12166</v>
      </c>
      <c r="CA22" s="5" t="s">
        <v>121</v>
      </c>
      <c r="CB22" s="5" t="s">
        <v>121</v>
      </c>
      <c r="CC22" s="5" t="s">
        <v>12167</v>
      </c>
      <c r="CD22" s="5" t="s">
        <v>12168</v>
      </c>
      <c r="CE22" s="5" t="s">
        <v>12168</v>
      </c>
      <c r="CF22" s="5" t="s">
        <v>11958</v>
      </c>
      <c r="CG22" s="5" t="s">
        <v>121</v>
      </c>
      <c r="CH22" s="5" t="s">
        <v>121</v>
      </c>
      <c r="CI22" s="5" t="s">
        <v>12034</v>
      </c>
      <c r="CJ22" s="5" t="s">
        <v>124</v>
      </c>
      <c r="CK22" s="5" t="s">
        <v>12169</v>
      </c>
      <c r="CL22" s="5" t="s">
        <v>3510</v>
      </c>
      <c r="CM22" s="5" t="s">
        <v>124</v>
      </c>
      <c r="CN22" s="5" t="s">
        <v>121</v>
      </c>
      <c r="CO22" s="5" t="s">
        <v>121</v>
      </c>
      <c r="CP22" s="5" t="s">
        <v>3510</v>
      </c>
      <c r="CQ22" s="5" t="s">
        <v>12170</v>
      </c>
      <c r="CR22" s="5" t="s">
        <v>11960</v>
      </c>
      <c r="CS22" s="5" t="s">
        <v>3510</v>
      </c>
      <c r="CT22" s="5" t="s">
        <v>3510</v>
      </c>
      <c r="CU22" s="5" t="s">
        <v>3510</v>
      </c>
      <c r="CV22" s="5" t="s">
        <v>11952</v>
      </c>
      <c r="CW22" s="5" t="s">
        <v>11952</v>
      </c>
      <c r="CX22" s="5" t="s">
        <v>11987</v>
      </c>
      <c r="CY22" s="5" t="s">
        <v>12171</v>
      </c>
      <c r="CZ22" s="5" t="s">
        <v>11989</v>
      </c>
      <c r="DA22" s="5" t="s">
        <v>11989</v>
      </c>
      <c r="DB22" s="5" t="s">
        <v>11963</v>
      </c>
      <c r="DC22" s="5" t="s">
        <v>12172</v>
      </c>
      <c r="DD22" s="5" t="s">
        <v>11963</v>
      </c>
      <c r="DE22" s="5" t="s">
        <v>12173</v>
      </c>
      <c r="DF22" s="5" t="s">
        <v>3510</v>
      </c>
      <c r="DG22" s="5" t="s">
        <v>12174</v>
      </c>
      <c r="DH22" s="5" t="s">
        <v>12175</v>
      </c>
      <c r="DI22" s="5" t="s">
        <v>11975</v>
      </c>
      <c r="DJ22" s="5" t="s">
        <v>11966</v>
      </c>
      <c r="DK22" s="5" t="s">
        <v>12176</v>
      </c>
      <c r="DL22" s="5">
        <v>4</v>
      </c>
      <c r="DM22" s="5">
        <v>4.7</v>
      </c>
      <c r="DN22" s="5">
        <v>3.8</v>
      </c>
      <c r="DO22" s="5">
        <v>2.2999999999999998</v>
      </c>
      <c r="DP22" s="5">
        <v>2.2999999999999998</v>
      </c>
      <c r="DQ22" s="5">
        <v>1.3</v>
      </c>
      <c r="DR22" s="5">
        <v>0</v>
      </c>
      <c r="DS22" s="5">
        <v>60.3</v>
      </c>
      <c r="DT22" s="5" t="s">
        <v>11968</v>
      </c>
      <c r="DU22" s="5" t="s">
        <v>11996</v>
      </c>
      <c r="DV22" s="5" t="s">
        <v>11970</v>
      </c>
      <c r="DW22" s="5"/>
      <c r="DX22" s="5">
        <v>12</v>
      </c>
      <c r="DY22" s="5"/>
      <c r="DZ22" s="5">
        <v>100</v>
      </c>
      <c r="EA22" s="5"/>
      <c r="EB22" s="5">
        <v>0.12</v>
      </c>
      <c r="EC22" s="5"/>
      <c r="ED22" s="5" t="s">
        <v>11971</v>
      </c>
      <c r="EE22" s="5"/>
      <c r="EF22" s="5" t="s">
        <v>11997</v>
      </c>
      <c r="EG22" s="5"/>
      <c r="EH22" s="5" t="s">
        <v>11997</v>
      </c>
      <c r="EI22" s="5"/>
      <c r="EJ22" s="5" t="s">
        <v>11997</v>
      </c>
      <c r="EK22" s="5"/>
      <c r="EL22" s="5" t="s">
        <v>11997</v>
      </c>
      <c r="EM22" s="5"/>
      <c r="EN22" s="5" t="s">
        <v>11997</v>
      </c>
      <c r="EO22" s="5"/>
      <c r="EP22" s="5" t="s">
        <v>11998</v>
      </c>
      <c r="EQ22" s="5"/>
      <c r="ER22" s="5" t="s">
        <v>11997</v>
      </c>
      <c r="ES22" s="5"/>
      <c r="ET22" s="5" t="s">
        <v>11972</v>
      </c>
      <c r="EU22" s="5"/>
      <c r="EV22" s="5"/>
      <c r="EW22" s="5"/>
      <c r="EX22" s="5"/>
      <c r="EY22" s="5" t="s">
        <v>12177</v>
      </c>
      <c r="EZ22" s="5"/>
      <c r="FA22" s="5" t="s">
        <v>315</v>
      </c>
      <c r="FB22" s="5"/>
    </row>
    <row r="23" spans="1:158" ht="267.75">
      <c r="A23" s="5" t="s">
        <v>317</v>
      </c>
      <c r="B23" s="5" t="s">
        <v>318</v>
      </c>
      <c r="C23" s="5" t="s">
        <v>11952</v>
      </c>
      <c r="D23" s="5" t="s">
        <v>319</v>
      </c>
      <c r="E23" s="5" t="s">
        <v>12011</v>
      </c>
      <c r="F23" s="5" t="s">
        <v>11994</v>
      </c>
      <c r="G23" s="5" t="s">
        <v>12178</v>
      </c>
      <c r="H23" s="5" t="s">
        <v>12096</v>
      </c>
      <c r="I23" s="5" t="s">
        <v>129</v>
      </c>
      <c r="J23" s="5" t="s">
        <v>3510</v>
      </c>
      <c r="K23" s="5" t="s">
        <v>12179</v>
      </c>
      <c r="L23" s="5" t="s">
        <v>208</v>
      </c>
      <c r="M23" s="5" t="s">
        <v>208</v>
      </c>
      <c r="N23" s="5" t="s">
        <v>11952</v>
      </c>
      <c r="O23" s="5" t="s">
        <v>11952</v>
      </c>
      <c r="P23" s="5" t="s">
        <v>11952</v>
      </c>
      <c r="Q23" s="5" t="s">
        <v>11952</v>
      </c>
      <c r="R23" s="5" t="s">
        <v>11952</v>
      </c>
      <c r="S23" s="5" t="s">
        <v>11952</v>
      </c>
      <c r="T23" s="5" t="s">
        <v>12180</v>
      </c>
      <c r="U23" s="5" t="s">
        <v>2854</v>
      </c>
      <c r="V23" s="5" t="s">
        <v>12181</v>
      </c>
      <c r="W23" s="5" t="s">
        <v>12182</v>
      </c>
      <c r="X23" s="5" t="s">
        <v>208</v>
      </c>
      <c r="Y23" s="5" t="s">
        <v>121</v>
      </c>
      <c r="Z23" s="5" t="s">
        <v>2854</v>
      </c>
      <c r="AA23" s="5" t="s">
        <v>11981</v>
      </c>
      <c r="AB23" s="5" t="s">
        <v>155</v>
      </c>
      <c r="AC23" s="5" t="s">
        <v>324</v>
      </c>
      <c r="AD23" s="5" t="s">
        <v>121</v>
      </c>
      <c r="AE23" s="5" t="s">
        <v>121</v>
      </c>
      <c r="AF23" s="5" t="s">
        <v>324</v>
      </c>
      <c r="AG23" s="5" t="s">
        <v>121</v>
      </c>
      <c r="AH23" s="5" t="s">
        <v>121</v>
      </c>
      <c r="AI23" s="5" t="s">
        <v>121</v>
      </c>
      <c r="AJ23" s="5" t="s">
        <v>121</v>
      </c>
      <c r="AK23" s="5" t="s">
        <v>121</v>
      </c>
      <c r="AL23" s="5" t="s">
        <v>121</v>
      </c>
      <c r="AM23" s="5" t="s">
        <v>121</v>
      </c>
      <c r="AN23" s="5" t="s">
        <v>12183</v>
      </c>
      <c r="AO23" s="5" t="s">
        <v>121</v>
      </c>
      <c r="AP23" s="5" t="s">
        <v>2202</v>
      </c>
      <c r="AQ23" s="5" t="s">
        <v>121</v>
      </c>
      <c r="AR23" s="5" t="s">
        <v>121</v>
      </c>
      <c r="AS23" s="5" t="s">
        <v>325</v>
      </c>
      <c r="AT23" s="5" t="s">
        <v>121</v>
      </c>
      <c r="AU23" s="5" t="s">
        <v>321</v>
      </c>
      <c r="AV23" s="5" t="s">
        <v>121</v>
      </c>
      <c r="AW23" s="5" t="s">
        <v>321</v>
      </c>
      <c r="AX23" s="5" t="s">
        <v>121</v>
      </c>
      <c r="AY23" s="5" t="s">
        <v>121</v>
      </c>
      <c r="AZ23" s="5" t="s">
        <v>121</v>
      </c>
      <c r="BA23" s="5" t="s">
        <v>121</v>
      </c>
      <c r="BB23" s="5" t="s">
        <v>121</v>
      </c>
      <c r="BC23" s="5" t="s">
        <v>121</v>
      </c>
      <c r="BD23" s="5" t="s">
        <v>121</v>
      </c>
      <c r="BE23" s="5" t="s">
        <v>121</v>
      </c>
      <c r="BF23" s="5" t="s">
        <v>121</v>
      </c>
      <c r="BG23" s="5" t="s">
        <v>121</v>
      </c>
      <c r="BH23" s="5" t="s">
        <v>12084</v>
      </c>
      <c r="BI23" s="5" t="s">
        <v>121</v>
      </c>
      <c r="BJ23" s="5" t="s">
        <v>322</v>
      </c>
      <c r="BK23" s="5" t="s">
        <v>121</v>
      </c>
      <c r="BL23" s="5" t="s">
        <v>248</v>
      </c>
      <c r="BM23" s="5" t="s">
        <v>248</v>
      </c>
      <c r="BN23" s="5" t="s">
        <v>323</v>
      </c>
      <c r="BO23" s="5" t="s">
        <v>11984</v>
      </c>
      <c r="BP23" s="5" t="s">
        <v>121</v>
      </c>
      <c r="BQ23" s="5" t="s">
        <v>121</v>
      </c>
      <c r="BR23" s="5" t="s">
        <v>2854</v>
      </c>
      <c r="BS23" s="5" t="s">
        <v>121</v>
      </c>
      <c r="BT23" s="5" t="s">
        <v>121</v>
      </c>
      <c r="BU23" s="5" t="s">
        <v>121</v>
      </c>
      <c r="BV23" s="5" t="s">
        <v>121</v>
      </c>
      <c r="BW23" s="5" t="s">
        <v>121</v>
      </c>
      <c r="BX23" s="5" t="s">
        <v>121</v>
      </c>
      <c r="BY23" s="5" t="s">
        <v>12184</v>
      </c>
      <c r="BZ23" s="5" t="s">
        <v>12185</v>
      </c>
      <c r="CA23" s="5" t="s">
        <v>121</v>
      </c>
      <c r="CB23" s="5" t="s">
        <v>121</v>
      </c>
      <c r="CC23" s="5" t="s">
        <v>320</v>
      </c>
      <c r="CD23" s="5" t="s">
        <v>12186</v>
      </c>
      <c r="CE23" s="5" t="s">
        <v>12186</v>
      </c>
      <c r="CF23" s="5" t="s">
        <v>11958</v>
      </c>
      <c r="CG23" s="5" t="s">
        <v>121</v>
      </c>
      <c r="CH23" s="5" t="s">
        <v>121</v>
      </c>
      <c r="CI23" s="5" t="s">
        <v>12034</v>
      </c>
      <c r="CJ23" s="5" t="s">
        <v>124</v>
      </c>
      <c r="CK23" s="5" t="s">
        <v>121</v>
      </c>
      <c r="CL23" s="5" t="s">
        <v>3510</v>
      </c>
      <c r="CM23" s="5" t="s">
        <v>124</v>
      </c>
      <c r="CN23" s="5" t="s">
        <v>121</v>
      </c>
      <c r="CO23" s="5" t="s">
        <v>121</v>
      </c>
      <c r="CP23" s="5" t="s">
        <v>3510</v>
      </c>
      <c r="CQ23" s="5" t="s">
        <v>326</v>
      </c>
      <c r="CR23" s="5" t="s">
        <v>12187</v>
      </c>
      <c r="CS23" s="5" t="s">
        <v>3510</v>
      </c>
      <c r="CT23" s="5" t="s">
        <v>3510</v>
      </c>
      <c r="CU23" s="5" t="s">
        <v>2854</v>
      </c>
      <c r="CV23" s="5" t="s">
        <v>12188</v>
      </c>
      <c r="CW23" s="5" t="s">
        <v>12189</v>
      </c>
      <c r="CX23" s="5" t="s">
        <v>12190</v>
      </c>
      <c r="CY23" s="5" t="s">
        <v>12191</v>
      </c>
      <c r="CZ23" s="5" t="s">
        <v>11952</v>
      </c>
      <c r="DA23" s="5" t="s">
        <v>11989</v>
      </c>
      <c r="DB23" s="5" t="s">
        <v>11963</v>
      </c>
      <c r="DC23" s="5" t="s">
        <v>12192</v>
      </c>
      <c r="DD23" s="5" t="s">
        <v>11963</v>
      </c>
      <c r="DE23" s="5" t="s">
        <v>12193</v>
      </c>
      <c r="DF23" s="5" t="s">
        <v>3510</v>
      </c>
      <c r="DG23" s="5" t="s">
        <v>12194</v>
      </c>
      <c r="DH23" s="5" t="s">
        <v>12195</v>
      </c>
      <c r="DI23" s="5" t="s">
        <v>11975</v>
      </c>
      <c r="DJ23" s="5" t="s">
        <v>11966</v>
      </c>
      <c r="DK23" s="5" t="s">
        <v>12176</v>
      </c>
      <c r="DL23" s="5">
        <v>3.5</v>
      </c>
      <c r="DM23" s="5">
        <v>4</v>
      </c>
      <c r="DN23" s="5">
        <v>4</v>
      </c>
      <c r="DO23" s="5">
        <v>1.5</v>
      </c>
      <c r="DP23" s="5">
        <v>2</v>
      </c>
      <c r="DQ23" s="5">
        <v>1</v>
      </c>
      <c r="DR23" s="5">
        <v>0</v>
      </c>
      <c r="DS23" s="5">
        <v>52.5</v>
      </c>
      <c r="DT23" s="5" t="s">
        <v>11968</v>
      </c>
      <c r="DU23" s="5" t="s">
        <v>12116</v>
      </c>
      <c r="DV23" s="5" t="s">
        <v>11970</v>
      </c>
      <c r="DW23" s="5"/>
      <c r="DX23" s="5">
        <v>14</v>
      </c>
      <c r="DY23" s="5"/>
      <c r="DZ23" s="5">
        <v>100</v>
      </c>
      <c r="EA23" s="5"/>
      <c r="EB23" s="5">
        <v>0.14000000000000001</v>
      </c>
      <c r="EC23" s="5"/>
      <c r="ED23" s="5" t="s">
        <v>11971</v>
      </c>
      <c r="EE23" s="5"/>
      <c r="EF23" s="5" t="s">
        <v>11997</v>
      </c>
      <c r="EG23" s="5"/>
      <c r="EH23" s="5" t="s">
        <v>11997</v>
      </c>
      <c r="EI23" s="5"/>
      <c r="EJ23" s="5" t="s">
        <v>11997</v>
      </c>
      <c r="EK23" s="5"/>
      <c r="EL23" s="5" t="s">
        <v>11997</v>
      </c>
      <c r="EM23" s="5"/>
      <c r="EN23" s="5" t="s">
        <v>11997</v>
      </c>
      <c r="EO23" s="5"/>
      <c r="EP23" s="5" t="s">
        <v>11998</v>
      </c>
      <c r="EQ23" s="5"/>
      <c r="ER23" s="5" t="s">
        <v>11997</v>
      </c>
      <c r="ES23" s="5"/>
      <c r="ET23" s="5" t="s">
        <v>11972</v>
      </c>
      <c r="EU23" s="5"/>
      <c r="EV23" s="5"/>
      <c r="EW23" s="5"/>
      <c r="EX23" s="5"/>
      <c r="EY23" s="5" t="s">
        <v>3475</v>
      </c>
      <c r="EZ23" s="5"/>
      <c r="FA23" s="5" t="s">
        <v>208</v>
      </c>
      <c r="FB23" s="5"/>
    </row>
    <row r="24" spans="1:158" ht="76.5">
      <c r="A24" s="5" t="s">
        <v>329</v>
      </c>
      <c r="B24" s="5" t="s">
        <v>330</v>
      </c>
      <c r="C24" s="5" t="s">
        <v>11952</v>
      </c>
      <c r="D24" s="5" t="s">
        <v>331</v>
      </c>
      <c r="E24" s="5" t="s">
        <v>11953</v>
      </c>
      <c r="F24" s="5" t="s">
        <v>11954</v>
      </c>
      <c r="G24" s="5" t="s">
        <v>11955</v>
      </c>
      <c r="H24" s="5" t="s">
        <v>11235</v>
      </c>
      <c r="I24" s="5" t="s">
        <v>129</v>
      </c>
      <c r="J24" s="5" t="s">
        <v>3510</v>
      </c>
      <c r="K24" s="5" t="s">
        <v>11956</v>
      </c>
      <c r="L24" s="5" t="s">
        <v>338</v>
      </c>
      <c r="M24" s="5" t="s">
        <v>338</v>
      </c>
      <c r="N24" s="5" t="s">
        <v>11952</v>
      </c>
      <c r="O24" s="5" t="s">
        <v>11952</v>
      </c>
      <c r="P24" s="5" t="s">
        <v>11952</v>
      </c>
      <c r="Q24" s="5" t="s">
        <v>11952</v>
      </c>
      <c r="R24" s="5" t="s">
        <v>11952</v>
      </c>
      <c r="S24" s="5" t="s">
        <v>11952</v>
      </c>
      <c r="T24" s="5" t="s">
        <v>121</v>
      </c>
      <c r="U24" s="5" t="s">
        <v>2854</v>
      </c>
      <c r="V24" s="5" t="s">
        <v>12196</v>
      </c>
      <c r="W24" s="5" t="s">
        <v>121</v>
      </c>
      <c r="X24" s="5" t="s">
        <v>121</v>
      </c>
      <c r="Y24" s="5" t="s">
        <v>121</v>
      </c>
      <c r="Z24" s="5" t="s">
        <v>121</v>
      </c>
      <c r="AA24" s="5" t="s">
        <v>11981</v>
      </c>
      <c r="AB24" s="5" t="s">
        <v>121</v>
      </c>
      <c r="AC24" s="5" t="s">
        <v>121</v>
      </c>
      <c r="AD24" s="5" t="s">
        <v>121</v>
      </c>
      <c r="AE24" s="5" t="s">
        <v>121</v>
      </c>
      <c r="AF24" s="5" t="s">
        <v>121</v>
      </c>
      <c r="AG24" s="5" t="s">
        <v>121</v>
      </c>
      <c r="AH24" s="5" t="s">
        <v>121</v>
      </c>
      <c r="AI24" s="5" t="s">
        <v>121</v>
      </c>
      <c r="AJ24" s="5" t="s">
        <v>121</v>
      </c>
      <c r="AK24" s="5" t="s">
        <v>121</v>
      </c>
      <c r="AL24" s="5" t="s">
        <v>121</v>
      </c>
      <c r="AM24" s="5" t="s">
        <v>121</v>
      </c>
      <c r="AN24" s="5" t="s">
        <v>121</v>
      </c>
      <c r="AO24" s="5" t="s">
        <v>121</v>
      </c>
      <c r="AP24" s="5" t="s">
        <v>121</v>
      </c>
      <c r="AQ24" s="5" t="s">
        <v>121</v>
      </c>
      <c r="AR24" s="5" t="s">
        <v>121</v>
      </c>
      <c r="AS24" s="5" t="s">
        <v>336</v>
      </c>
      <c r="AT24" s="5" t="s">
        <v>121</v>
      </c>
      <c r="AU24" s="5" t="s">
        <v>333</v>
      </c>
      <c r="AV24" s="5" t="s">
        <v>121</v>
      </c>
      <c r="AW24" s="5" t="s">
        <v>121</v>
      </c>
      <c r="AX24" s="5" t="s">
        <v>121</v>
      </c>
      <c r="AY24" s="5" t="s">
        <v>121</v>
      </c>
      <c r="AZ24" s="5" t="s">
        <v>2854</v>
      </c>
      <c r="BA24" s="5" t="s">
        <v>121</v>
      </c>
      <c r="BB24" s="5" t="s">
        <v>3510</v>
      </c>
      <c r="BC24" s="5" t="s">
        <v>121</v>
      </c>
      <c r="BD24" s="5" t="s">
        <v>121</v>
      </c>
      <c r="BE24" s="5" t="s">
        <v>121</v>
      </c>
      <c r="BF24" s="5" t="s">
        <v>121</v>
      </c>
      <c r="BG24" s="5" t="s">
        <v>121</v>
      </c>
      <c r="BH24" s="5" t="s">
        <v>12197</v>
      </c>
      <c r="BI24" s="5" t="s">
        <v>121</v>
      </c>
      <c r="BJ24" s="5" t="s">
        <v>334</v>
      </c>
      <c r="BK24" s="5" t="s">
        <v>121</v>
      </c>
      <c r="BL24" s="5" t="s">
        <v>12198</v>
      </c>
      <c r="BM24" s="5" t="s">
        <v>12198</v>
      </c>
      <c r="BN24" s="5" t="s">
        <v>121</v>
      </c>
      <c r="BO24" s="5" t="s">
        <v>121</v>
      </c>
      <c r="BP24" s="5" t="s">
        <v>121</v>
      </c>
      <c r="BQ24" s="5" t="s">
        <v>2854</v>
      </c>
      <c r="BR24" s="5" t="s">
        <v>121</v>
      </c>
      <c r="BS24" s="5" t="s">
        <v>121</v>
      </c>
      <c r="BT24" s="5" t="s">
        <v>121</v>
      </c>
      <c r="BU24" s="5" t="s">
        <v>121</v>
      </c>
      <c r="BV24" s="5" t="s">
        <v>3510</v>
      </c>
      <c r="BW24" s="5" t="s">
        <v>3510</v>
      </c>
      <c r="BX24" s="5" t="s">
        <v>3510</v>
      </c>
      <c r="BY24" s="5" t="s">
        <v>121</v>
      </c>
      <c r="BZ24" s="5" t="s">
        <v>121</v>
      </c>
      <c r="CA24" s="5" t="s">
        <v>121</v>
      </c>
      <c r="CB24" s="5" t="s">
        <v>121</v>
      </c>
      <c r="CC24" s="5" t="s">
        <v>332</v>
      </c>
      <c r="CD24" s="5" t="s">
        <v>121</v>
      </c>
      <c r="CE24" s="5" t="s">
        <v>121</v>
      </c>
      <c r="CF24" s="5" t="s">
        <v>11958</v>
      </c>
      <c r="CG24" s="5" t="s">
        <v>121</v>
      </c>
      <c r="CH24" s="5" t="s">
        <v>121</v>
      </c>
      <c r="CI24" s="5" t="s">
        <v>11972</v>
      </c>
      <c r="CJ24" s="5" t="s">
        <v>335</v>
      </c>
      <c r="CK24" s="5" t="s">
        <v>121</v>
      </c>
      <c r="CL24" s="5" t="s">
        <v>121</v>
      </c>
      <c r="CM24" s="5" t="s">
        <v>335</v>
      </c>
      <c r="CN24" s="5" t="s">
        <v>121</v>
      </c>
      <c r="CO24" s="5" t="s">
        <v>121</v>
      </c>
      <c r="CP24" s="5" t="s">
        <v>2854</v>
      </c>
      <c r="CQ24" s="5" t="s">
        <v>337</v>
      </c>
      <c r="CR24" s="5" t="s">
        <v>11960</v>
      </c>
      <c r="CS24" s="5" t="s">
        <v>3510</v>
      </c>
      <c r="CT24" s="5" t="s">
        <v>3510</v>
      </c>
      <c r="CU24" s="5" t="s">
        <v>3510</v>
      </c>
      <c r="CV24" s="5" t="s">
        <v>11952</v>
      </c>
      <c r="CW24" s="5" t="s">
        <v>11952</v>
      </c>
      <c r="CX24" s="5" t="s">
        <v>11961</v>
      </c>
      <c r="CY24" s="5" t="s">
        <v>12199</v>
      </c>
      <c r="CZ24" s="5" t="s">
        <v>3510</v>
      </c>
      <c r="DA24" s="5" t="s">
        <v>11952</v>
      </c>
      <c r="DB24" s="5" t="s">
        <v>11963</v>
      </c>
      <c r="DC24" s="5" t="s">
        <v>11963</v>
      </c>
      <c r="DD24" s="5" t="s">
        <v>11963</v>
      </c>
      <c r="DE24" s="5" t="s">
        <v>11963</v>
      </c>
      <c r="DF24" s="5" t="s">
        <v>3510</v>
      </c>
      <c r="DG24" s="5" t="s">
        <v>11964</v>
      </c>
      <c r="DH24" s="5" t="s">
        <v>12200</v>
      </c>
      <c r="DI24" s="5" t="s">
        <v>11966</v>
      </c>
      <c r="DJ24" s="5" t="s">
        <v>11994</v>
      </c>
      <c r="DK24" s="5" t="s">
        <v>12201</v>
      </c>
      <c r="DL24" s="5">
        <v>1</v>
      </c>
      <c r="DM24" s="5">
        <v>3.5</v>
      </c>
      <c r="DN24" s="5">
        <v>0.6</v>
      </c>
      <c r="DO24" s="5">
        <v>1</v>
      </c>
      <c r="DP24" s="5">
        <v>1.5</v>
      </c>
      <c r="DQ24" s="5">
        <v>1.5</v>
      </c>
      <c r="DR24" s="5">
        <v>0</v>
      </c>
      <c r="DS24" s="5">
        <v>28.8</v>
      </c>
      <c r="DT24" s="5" t="s">
        <v>12202</v>
      </c>
      <c r="DU24" s="5" t="s">
        <v>12203</v>
      </c>
      <c r="DV24" s="5" t="s">
        <v>11970</v>
      </c>
      <c r="DW24" s="5"/>
      <c r="DX24" s="5">
        <v>6</v>
      </c>
      <c r="DY24" s="5"/>
      <c r="DZ24" s="5">
        <v>98</v>
      </c>
      <c r="EA24" s="5"/>
      <c r="EB24" s="5">
        <v>0.08</v>
      </c>
      <c r="EC24" s="5"/>
      <c r="ED24" s="5" t="s">
        <v>11971</v>
      </c>
      <c r="EE24" s="5"/>
      <c r="EF24" s="5" t="s">
        <v>11997</v>
      </c>
      <c r="EG24" s="5"/>
      <c r="EH24" s="5" t="s">
        <v>11997</v>
      </c>
      <c r="EI24" s="5"/>
      <c r="EJ24" s="5" t="s">
        <v>11997</v>
      </c>
      <c r="EK24" s="5"/>
      <c r="EL24" s="5" t="s">
        <v>11997</v>
      </c>
      <c r="EM24" s="5"/>
      <c r="EN24" s="5" t="s">
        <v>11997</v>
      </c>
      <c r="EO24" s="5"/>
      <c r="EP24" s="5" t="s">
        <v>11998</v>
      </c>
      <c r="EQ24" s="5"/>
      <c r="ER24" s="5" t="s">
        <v>11997</v>
      </c>
      <c r="ES24" s="5"/>
      <c r="ET24" s="5" t="s">
        <v>11972</v>
      </c>
      <c r="EU24" s="5"/>
      <c r="EV24" s="5"/>
      <c r="EW24" s="5"/>
      <c r="EX24" s="5"/>
      <c r="EY24" s="5" t="s">
        <v>3508</v>
      </c>
      <c r="EZ24" s="5"/>
      <c r="FA24" s="5" t="s">
        <v>338</v>
      </c>
      <c r="FB24" s="5"/>
    </row>
    <row r="25" spans="1:158" ht="191.25">
      <c r="A25" s="5" t="s">
        <v>340</v>
      </c>
      <c r="B25" s="5" t="s">
        <v>341</v>
      </c>
      <c r="C25" s="5" t="s">
        <v>12204</v>
      </c>
      <c r="D25" s="5" t="s">
        <v>121</v>
      </c>
      <c r="E25" s="5" t="s">
        <v>12011</v>
      </c>
      <c r="F25" s="5" t="s">
        <v>11994</v>
      </c>
      <c r="G25" s="5" t="s">
        <v>12205</v>
      </c>
      <c r="H25" s="5" t="s">
        <v>12096</v>
      </c>
      <c r="I25" s="5" t="s">
        <v>129</v>
      </c>
      <c r="J25" s="5" t="s">
        <v>3510</v>
      </c>
      <c r="K25" s="5" t="s">
        <v>12151</v>
      </c>
      <c r="L25" s="5" t="s">
        <v>348</v>
      </c>
      <c r="M25" s="5" t="s">
        <v>348</v>
      </c>
      <c r="N25" s="5" t="s">
        <v>11952</v>
      </c>
      <c r="O25" s="5" t="s">
        <v>11952</v>
      </c>
      <c r="P25" s="5" t="s">
        <v>11952</v>
      </c>
      <c r="Q25" s="5" t="s">
        <v>11952</v>
      </c>
      <c r="R25" s="5" t="s">
        <v>11952</v>
      </c>
      <c r="S25" s="5" t="s">
        <v>11952</v>
      </c>
      <c r="T25" s="5" t="s">
        <v>121</v>
      </c>
      <c r="U25" s="5" t="s">
        <v>2854</v>
      </c>
      <c r="V25" s="5" t="s">
        <v>12206</v>
      </c>
      <c r="W25" s="5" t="s">
        <v>12207</v>
      </c>
      <c r="X25" s="5" t="s">
        <v>348</v>
      </c>
      <c r="Y25" s="5" t="s">
        <v>121</v>
      </c>
      <c r="Z25" s="5" t="s">
        <v>2854</v>
      </c>
      <c r="AA25" s="5" t="s">
        <v>11981</v>
      </c>
      <c r="AB25" s="5" t="s">
        <v>155</v>
      </c>
      <c r="AC25" s="5" t="s">
        <v>345</v>
      </c>
      <c r="AD25" s="5" t="s">
        <v>121</v>
      </c>
      <c r="AE25" s="5" t="s">
        <v>121</v>
      </c>
      <c r="AF25" s="5" t="s">
        <v>345</v>
      </c>
      <c r="AG25" s="5" t="s">
        <v>121</v>
      </c>
      <c r="AH25" s="5" t="s">
        <v>121</v>
      </c>
      <c r="AI25" s="5" t="s">
        <v>121</v>
      </c>
      <c r="AJ25" s="5" t="s">
        <v>121</v>
      </c>
      <c r="AK25" s="5" t="s">
        <v>121</v>
      </c>
      <c r="AL25" s="5" t="s">
        <v>121</v>
      </c>
      <c r="AM25" s="5" t="s">
        <v>121</v>
      </c>
      <c r="AN25" s="5" t="s">
        <v>121</v>
      </c>
      <c r="AO25" s="5" t="s">
        <v>121</v>
      </c>
      <c r="AP25" s="5" t="s">
        <v>2302</v>
      </c>
      <c r="AQ25" s="5" t="s">
        <v>121</v>
      </c>
      <c r="AR25" s="5" t="s">
        <v>121</v>
      </c>
      <c r="AS25" s="5" t="s">
        <v>346</v>
      </c>
      <c r="AT25" s="5" t="s">
        <v>121</v>
      </c>
      <c r="AU25" s="5" t="s">
        <v>343</v>
      </c>
      <c r="AV25" s="5" t="s">
        <v>12003</v>
      </c>
      <c r="AW25" s="5" t="s">
        <v>121</v>
      </c>
      <c r="AX25" s="5" t="s">
        <v>121</v>
      </c>
      <c r="AY25" s="5" t="s">
        <v>121</v>
      </c>
      <c r="AZ25" s="5" t="s">
        <v>121</v>
      </c>
      <c r="BA25" s="5" t="s">
        <v>121</v>
      </c>
      <c r="BB25" s="5" t="s">
        <v>121</v>
      </c>
      <c r="BC25" s="5" t="s">
        <v>121</v>
      </c>
      <c r="BD25" s="5" t="s">
        <v>121</v>
      </c>
      <c r="BE25" s="5" t="s">
        <v>121</v>
      </c>
      <c r="BF25" s="5" t="s">
        <v>121</v>
      </c>
      <c r="BG25" s="5" t="s">
        <v>121</v>
      </c>
      <c r="BH25" s="5" t="s">
        <v>344</v>
      </c>
      <c r="BI25" s="5" t="s">
        <v>121</v>
      </c>
      <c r="BJ25" s="5" t="s">
        <v>344</v>
      </c>
      <c r="BK25" s="5" t="s">
        <v>121</v>
      </c>
      <c r="BL25" s="5" t="s">
        <v>342</v>
      </c>
      <c r="BM25" s="5" t="s">
        <v>342</v>
      </c>
      <c r="BN25" s="5" t="s">
        <v>121</v>
      </c>
      <c r="BO25" s="5" t="s">
        <v>121</v>
      </c>
      <c r="BP25" s="5" t="s">
        <v>121</v>
      </c>
      <c r="BQ25" s="5" t="s">
        <v>2854</v>
      </c>
      <c r="BR25" s="5" t="s">
        <v>121</v>
      </c>
      <c r="BS25" s="5" t="s">
        <v>121</v>
      </c>
      <c r="BT25" s="5" t="s">
        <v>121</v>
      </c>
      <c r="BU25" s="5" t="s">
        <v>121</v>
      </c>
      <c r="BV25" s="5" t="s">
        <v>121</v>
      </c>
      <c r="BW25" s="5" t="s">
        <v>121</v>
      </c>
      <c r="BX25" s="5" t="s">
        <v>121</v>
      </c>
      <c r="BY25" s="5" t="s">
        <v>12208</v>
      </c>
      <c r="BZ25" s="5" t="s">
        <v>121</v>
      </c>
      <c r="CA25" s="5" t="s">
        <v>121</v>
      </c>
      <c r="CB25" s="5" t="s">
        <v>121</v>
      </c>
      <c r="CC25" s="5" t="s">
        <v>342</v>
      </c>
      <c r="CD25" s="5" t="s">
        <v>12209</v>
      </c>
      <c r="CE25" s="5" t="s">
        <v>12209</v>
      </c>
      <c r="CF25" s="5" t="s">
        <v>11958</v>
      </c>
      <c r="CG25" s="5" t="s">
        <v>121</v>
      </c>
      <c r="CH25" s="5" t="s">
        <v>121</v>
      </c>
      <c r="CI25" s="5" t="s">
        <v>12108</v>
      </c>
      <c r="CJ25" s="5" t="s">
        <v>124</v>
      </c>
      <c r="CK25" s="5" t="s">
        <v>121</v>
      </c>
      <c r="CL25" s="5" t="s">
        <v>3510</v>
      </c>
      <c r="CM25" s="5" t="s">
        <v>124</v>
      </c>
      <c r="CN25" s="5" t="s">
        <v>121</v>
      </c>
      <c r="CO25" s="5" t="s">
        <v>121</v>
      </c>
      <c r="CP25" s="5" t="s">
        <v>3510</v>
      </c>
      <c r="CQ25" s="5" t="s">
        <v>347</v>
      </c>
      <c r="CR25" s="5" t="s">
        <v>11960</v>
      </c>
      <c r="CS25" s="5" t="s">
        <v>3510</v>
      </c>
      <c r="CT25" s="5" t="s">
        <v>3510</v>
      </c>
      <c r="CU25" s="5" t="s">
        <v>3510</v>
      </c>
      <c r="CV25" s="5" t="s">
        <v>11952</v>
      </c>
      <c r="CW25" s="5" t="s">
        <v>11952</v>
      </c>
      <c r="CX25" s="5" t="s">
        <v>12190</v>
      </c>
      <c r="CY25" s="5" t="s">
        <v>12210</v>
      </c>
      <c r="CZ25" s="5" t="s">
        <v>11952</v>
      </c>
      <c r="DA25" s="5" t="s">
        <v>11989</v>
      </c>
      <c r="DB25" s="5" t="s">
        <v>11963</v>
      </c>
      <c r="DC25" s="5" t="s">
        <v>12211</v>
      </c>
      <c r="DD25" s="5" t="s">
        <v>11963</v>
      </c>
      <c r="DE25" s="5" t="s">
        <v>12212</v>
      </c>
      <c r="DF25" s="5" t="s">
        <v>2854</v>
      </c>
      <c r="DG25" s="5" t="s">
        <v>12213</v>
      </c>
      <c r="DH25" s="5" t="s">
        <v>12214</v>
      </c>
      <c r="DI25" s="5" t="s">
        <v>11975</v>
      </c>
      <c r="DJ25" s="5" t="s">
        <v>11994</v>
      </c>
      <c r="DK25" s="5" t="s">
        <v>12215</v>
      </c>
      <c r="DL25" s="5">
        <v>4</v>
      </c>
      <c r="DM25" s="5">
        <v>4</v>
      </c>
      <c r="DN25" s="5">
        <v>3</v>
      </c>
      <c r="DO25" s="5">
        <v>4.5</v>
      </c>
      <c r="DP25" s="5">
        <v>2</v>
      </c>
      <c r="DQ25" s="5">
        <v>2</v>
      </c>
      <c r="DR25" s="5">
        <v>0</v>
      </c>
      <c r="DS25" s="5">
        <v>62.5</v>
      </c>
      <c r="DT25" s="5" t="s">
        <v>11968</v>
      </c>
      <c r="DU25" s="5" t="s">
        <v>12116</v>
      </c>
      <c r="DV25" s="5" t="s">
        <v>11970</v>
      </c>
      <c r="DW25" s="5"/>
      <c r="DX25" s="5">
        <v>12</v>
      </c>
      <c r="DY25" s="5"/>
      <c r="DZ25" s="5">
        <v>100</v>
      </c>
      <c r="EA25" s="5"/>
      <c r="EB25" s="5">
        <v>0.12</v>
      </c>
      <c r="EC25" s="5"/>
      <c r="ED25" s="5" t="s">
        <v>11971</v>
      </c>
      <c r="EE25" s="5"/>
      <c r="EF25" s="5" t="s">
        <v>11997</v>
      </c>
      <c r="EG25" s="5"/>
      <c r="EH25" s="5" t="s">
        <v>11997</v>
      </c>
      <c r="EI25" s="5"/>
      <c r="EJ25" s="5" t="s">
        <v>11997</v>
      </c>
      <c r="EK25" s="5"/>
      <c r="EL25" s="5" t="s">
        <v>11997</v>
      </c>
      <c r="EM25" s="5"/>
      <c r="EN25" s="5" t="s">
        <v>11997</v>
      </c>
      <c r="EO25" s="5"/>
      <c r="EP25" s="5" t="s">
        <v>11998</v>
      </c>
      <c r="EQ25" s="5"/>
      <c r="ER25" s="5" t="s">
        <v>11997</v>
      </c>
      <c r="ES25" s="5"/>
      <c r="ET25" s="5" t="s">
        <v>11972</v>
      </c>
      <c r="EU25" s="5"/>
      <c r="EV25" s="5"/>
      <c r="EW25" s="5"/>
      <c r="EX25" s="5"/>
      <c r="EY25" s="5" t="s">
        <v>3536</v>
      </c>
      <c r="EZ25" s="5"/>
      <c r="FA25" s="5" t="s">
        <v>348</v>
      </c>
      <c r="FB25" s="5"/>
    </row>
    <row r="26" spans="1:158" ht="76.5">
      <c r="A26" s="5" t="s">
        <v>350</v>
      </c>
      <c r="B26" s="5" t="s">
        <v>351</v>
      </c>
      <c r="C26" s="5" t="s">
        <v>11952</v>
      </c>
      <c r="D26" s="5" t="s">
        <v>352</v>
      </c>
      <c r="E26" s="5" t="s">
        <v>11953</v>
      </c>
      <c r="F26" s="5" t="s">
        <v>11954</v>
      </c>
      <c r="G26" s="5" t="s">
        <v>11955</v>
      </c>
      <c r="H26" s="5" t="s">
        <v>11235</v>
      </c>
      <c r="I26" s="5" t="s">
        <v>129</v>
      </c>
      <c r="J26" s="5" t="s">
        <v>3510</v>
      </c>
      <c r="K26" s="5" t="s">
        <v>11956</v>
      </c>
      <c r="L26" s="5" t="s">
        <v>358</v>
      </c>
      <c r="M26" s="5" t="s">
        <v>358</v>
      </c>
      <c r="N26" s="5" t="s">
        <v>11952</v>
      </c>
      <c r="O26" s="5" t="s">
        <v>11952</v>
      </c>
      <c r="P26" s="5" t="s">
        <v>11952</v>
      </c>
      <c r="Q26" s="5" t="s">
        <v>11952</v>
      </c>
      <c r="R26" s="5" t="s">
        <v>11952</v>
      </c>
      <c r="S26" s="5" t="s">
        <v>11952</v>
      </c>
      <c r="T26" s="5" t="s">
        <v>121</v>
      </c>
      <c r="U26" s="5" t="s">
        <v>2854</v>
      </c>
      <c r="V26" s="5" t="s">
        <v>12216</v>
      </c>
      <c r="W26" s="5" t="s">
        <v>121</v>
      </c>
      <c r="X26" s="5" t="s">
        <v>121</v>
      </c>
      <c r="Y26" s="5" t="s">
        <v>121</v>
      </c>
      <c r="Z26" s="5" t="s">
        <v>121</v>
      </c>
      <c r="AA26" s="5" t="s">
        <v>11981</v>
      </c>
      <c r="AB26" s="5" t="s">
        <v>155</v>
      </c>
      <c r="AC26" s="5" t="s">
        <v>355</v>
      </c>
      <c r="AD26" s="5" t="s">
        <v>121</v>
      </c>
      <c r="AE26" s="5" t="s">
        <v>121</v>
      </c>
      <c r="AF26" s="5" t="s">
        <v>355</v>
      </c>
      <c r="AG26" s="5" t="s">
        <v>121</v>
      </c>
      <c r="AH26" s="5" t="s">
        <v>121</v>
      </c>
      <c r="AI26" s="5" t="s">
        <v>121</v>
      </c>
      <c r="AJ26" s="5" t="s">
        <v>121</v>
      </c>
      <c r="AK26" s="5" t="s">
        <v>121</v>
      </c>
      <c r="AL26" s="5" t="s">
        <v>121</v>
      </c>
      <c r="AM26" s="5" t="s">
        <v>121</v>
      </c>
      <c r="AN26" s="5" t="s">
        <v>121</v>
      </c>
      <c r="AO26" s="5" t="s">
        <v>121</v>
      </c>
      <c r="AP26" s="5" t="s">
        <v>12217</v>
      </c>
      <c r="AQ26" s="5" t="s">
        <v>121</v>
      </c>
      <c r="AR26" s="5" t="s">
        <v>121</v>
      </c>
      <c r="AS26" s="5" t="s">
        <v>356</v>
      </c>
      <c r="AT26" s="5" t="s">
        <v>121</v>
      </c>
      <c r="AU26" s="5" t="s">
        <v>121</v>
      </c>
      <c r="AV26" s="5" t="s">
        <v>121</v>
      </c>
      <c r="AW26" s="5" t="s">
        <v>121</v>
      </c>
      <c r="AX26" s="5" t="s">
        <v>121</v>
      </c>
      <c r="AY26" s="5" t="s">
        <v>121</v>
      </c>
      <c r="AZ26" s="5" t="s">
        <v>121</v>
      </c>
      <c r="BA26" s="5" t="s">
        <v>121</v>
      </c>
      <c r="BB26" s="5" t="s">
        <v>3510</v>
      </c>
      <c r="BC26" s="5" t="s">
        <v>121</v>
      </c>
      <c r="BD26" s="5" t="s">
        <v>121</v>
      </c>
      <c r="BE26" s="5" t="s">
        <v>121</v>
      </c>
      <c r="BF26" s="5" t="s">
        <v>121</v>
      </c>
      <c r="BG26" s="5" t="s">
        <v>121</v>
      </c>
      <c r="BH26" s="5" t="s">
        <v>12218</v>
      </c>
      <c r="BI26" s="5" t="s">
        <v>121</v>
      </c>
      <c r="BJ26" s="5" t="s">
        <v>353</v>
      </c>
      <c r="BK26" s="5" t="s">
        <v>121</v>
      </c>
      <c r="BL26" s="5" t="s">
        <v>332</v>
      </c>
      <c r="BM26" s="5" t="s">
        <v>332</v>
      </c>
      <c r="BN26" s="5" t="s">
        <v>354</v>
      </c>
      <c r="BO26" s="5" t="s">
        <v>12219</v>
      </c>
      <c r="BP26" s="5" t="s">
        <v>121</v>
      </c>
      <c r="BQ26" s="5" t="s">
        <v>2854</v>
      </c>
      <c r="BR26" s="5" t="s">
        <v>121</v>
      </c>
      <c r="BS26" s="5" t="s">
        <v>121</v>
      </c>
      <c r="BT26" s="5" t="s">
        <v>121</v>
      </c>
      <c r="BU26" s="5" t="s">
        <v>121</v>
      </c>
      <c r="BV26" s="5" t="s">
        <v>3510</v>
      </c>
      <c r="BW26" s="5" t="s">
        <v>3510</v>
      </c>
      <c r="BX26" s="5" t="s">
        <v>3510</v>
      </c>
      <c r="BY26" s="5" t="s">
        <v>121</v>
      </c>
      <c r="BZ26" s="5" t="s">
        <v>121</v>
      </c>
      <c r="CA26" s="5" t="s">
        <v>121</v>
      </c>
      <c r="CB26" s="5" t="s">
        <v>121</v>
      </c>
      <c r="CC26" s="5" t="s">
        <v>332</v>
      </c>
      <c r="CD26" s="5" t="s">
        <v>121</v>
      </c>
      <c r="CE26" s="5" t="s">
        <v>121</v>
      </c>
      <c r="CF26" s="5" t="s">
        <v>11958</v>
      </c>
      <c r="CG26" s="5" t="s">
        <v>121</v>
      </c>
      <c r="CH26" s="5" t="s">
        <v>121</v>
      </c>
      <c r="CI26" s="5" t="s">
        <v>12034</v>
      </c>
      <c r="CJ26" s="5" t="s">
        <v>124</v>
      </c>
      <c r="CK26" s="5" t="s">
        <v>121</v>
      </c>
      <c r="CL26" s="5" t="s">
        <v>3510</v>
      </c>
      <c r="CM26" s="5" t="s">
        <v>124</v>
      </c>
      <c r="CN26" s="5" t="s">
        <v>121</v>
      </c>
      <c r="CO26" s="5" t="s">
        <v>121</v>
      </c>
      <c r="CP26" s="5" t="s">
        <v>3510</v>
      </c>
      <c r="CQ26" s="5" t="s">
        <v>357</v>
      </c>
      <c r="CR26" s="5" t="s">
        <v>11960</v>
      </c>
      <c r="CS26" s="5" t="s">
        <v>3510</v>
      </c>
      <c r="CT26" s="5" t="s">
        <v>3510</v>
      </c>
      <c r="CU26" s="5" t="s">
        <v>3510</v>
      </c>
      <c r="CV26" s="5" t="s">
        <v>11952</v>
      </c>
      <c r="CW26" s="5" t="s">
        <v>11952</v>
      </c>
      <c r="CX26" s="5" t="s">
        <v>11961</v>
      </c>
      <c r="CY26" s="5" t="s">
        <v>12220</v>
      </c>
      <c r="CZ26" s="5" t="s">
        <v>3510</v>
      </c>
      <c r="DA26" s="5" t="s">
        <v>11952</v>
      </c>
      <c r="DB26" s="5" t="s">
        <v>11963</v>
      </c>
      <c r="DC26" s="5" t="s">
        <v>11963</v>
      </c>
      <c r="DD26" s="5" t="s">
        <v>11963</v>
      </c>
      <c r="DE26" s="5" t="s">
        <v>11963</v>
      </c>
      <c r="DF26" s="5" t="s">
        <v>3510</v>
      </c>
      <c r="DG26" s="5" t="s">
        <v>11964</v>
      </c>
      <c r="DH26" s="5" t="s">
        <v>12221</v>
      </c>
      <c r="DI26" s="5" t="s">
        <v>11975</v>
      </c>
      <c r="DJ26" s="5" t="s">
        <v>11966</v>
      </c>
      <c r="DK26" s="5" t="s">
        <v>11967</v>
      </c>
      <c r="DL26" s="5">
        <v>4</v>
      </c>
      <c r="DM26" s="5">
        <v>3</v>
      </c>
      <c r="DN26" s="5">
        <v>2.5</v>
      </c>
      <c r="DO26" s="5">
        <v>5</v>
      </c>
      <c r="DP26" s="5">
        <v>3</v>
      </c>
      <c r="DQ26" s="5">
        <v>1</v>
      </c>
      <c r="DR26" s="5">
        <v>0</v>
      </c>
      <c r="DS26" s="5">
        <v>58.5</v>
      </c>
      <c r="DT26" s="5" t="s">
        <v>11968</v>
      </c>
      <c r="DU26" s="5" t="s">
        <v>11969</v>
      </c>
      <c r="DV26" s="5" t="s">
        <v>11970</v>
      </c>
      <c r="DW26" s="5"/>
      <c r="DX26" s="5">
        <v>12</v>
      </c>
      <c r="DY26" s="5"/>
      <c r="DZ26" s="5">
        <v>100</v>
      </c>
      <c r="EA26" s="5"/>
      <c r="EB26" s="5">
        <v>0.12</v>
      </c>
      <c r="EC26" s="5"/>
      <c r="ED26" s="5" t="s">
        <v>11971</v>
      </c>
      <c r="EE26" s="5"/>
      <c r="EF26" s="5" t="s">
        <v>11997</v>
      </c>
      <c r="EG26" s="5"/>
      <c r="EH26" s="5" t="s">
        <v>11997</v>
      </c>
      <c r="EI26" s="5"/>
      <c r="EJ26" s="5" t="s">
        <v>11997</v>
      </c>
      <c r="EK26" s="5"/>
      <c r="EL26" s="5" t="s">
        <v>11997</v>
      </c>
      <c r="EM26" s="5"/>
      <c r="EN26" s="5" t="s">
        <v>11997</v>
      </c>
      <c r="EO26" s="5"/>
      <c r="EP26" s="5" t="s">
        <v>11998</v>
      </c>
      <c r="EQ26" s="5"/>
      <c r="ER26" s="5" t="s">
        <v>11997</v>
      </c>
      <c r="ES26" s="5"/>
      <c r="ET26" s="5" t="s">
        <v>11972</v>
      </c>
      <c r="EU26" s="5"/>
      <c r="EV26" s="5"/>
      <c r="EW26" s="5"/>
      <c r="EX26" s="5"/>
      <c r="EY26" s="5" t="s">
        <v>3567</v>
      </c>
      <c r="EZ26" s="5"/>
      <c r="FA26" s="5" t="s">
        <v>358</v>
      </c>
      <c r="FB26" s="5"/>
    </row>
    <row r="27" spans="1:158" ht="409.5">
      <c r="A27" s="5" t="s">
        <v>360</v>
      </c>
      <c r="B27" s="5" t="s">
        <v>361</v>
      </c>
      <c r="C27" s="5" t="s">
        <v>12222</v>
      </c>
      <c r="D27" s="5" t="s">
        <v>362</v>
      </c>
      <c r="E27" s="5" t="s">
        <v>12011</v>
      </c>
      <c r="F27" s="5" t="s">
        <v>11994</v>
      </c>
      <c r="G27" s="5" t="s">
        <v>12223</v>
      </c>
      <c r="H27" s="5" t="s">
        <v>12224</v>
      </c>
      <c r="I27" s="5" t="s">
        <v>373</v>
      </c>
      <c r="J27" s="5" t="s">
        <v>2854</v>
      </c>
      <c r="K27" s="5" t="s">
        <v>12225</v>
      </c>
      <c r="L27" s="5" t="s">
        <v>374</v>
      </c>
      <c r="M27" s="5" t="s">
        <v>12226</v>
      </c>
      <c r="N27" s="5" t="s">
        <v>11952</v>
      </c>
      <c r="O27" s="5" t="s">
        <v>11952</v>
      </c>
      <c r="P27" s="5" t="s">
        <v>11952</v>
      </c>
      <c r="Q27" s="5" t="s">
        <v>12227</v>
      </c>
      <c r="R27" s="5" t="s">
        <v>11952</v>
      </c>
      <c r="S27" s="5" t="s">
        <v>11952</v>
      </c>
      <c r="T27" s="5" t="s">
        <v>12228</v>
      </c>
      <c r="U27" s="5" t="s">
        <v>2854</v>
      </c>
      <c r="V27" s="5" t="s">
        <v>12229</v>
      </c>
      <c r="W27" s="5" t="s">
        <v>12230</v>
      </c>
      <c r="X27" s="5" t="s">
        <v>12231</v>
      </c>
      <c r="Y27" s="5" t="s">
        <v>121</v>
      </c>
      <c r="Z27" s="5" t="s">
        <v>2854</v>
      </c>
      <c r="AA27" s="5" t="s">
        <v>11981</v>
      </c>
      <c r="AB27" s="5" t="s">
        <v>155</v>
      </c>
      <c r="AC27" s="5" t="s">
        <v>369</v>
      </c>
      <c r="AD27" s="5" t="s">
        <v>121</v>
      </c>
      <c r="AE27" s="5" t="s">
        <v>121</v>
      </c>
      <c r="AF27" s="5" t="s">
        <v>369</v>
      </c>
      <c r="AG27" s="5" t="s">
        <v>121</v>
      </c>
      <c r="AH27" s="5" t="s">
        <v>121</v>
      </c>
      <c r="AI27" s="5" t="s">
        <v>121</v>
      </c>
      <c r="AJ27" s="5" t="s">
        <v>121</v>
      </c>
      <c r="AK27" s="5" t="s">
        <v>121</v>
      </c>
      <c r="AL27" s="5" t="s">
        <v>121</v>
      </c>
      <c r="AM27" s="5" t="s">
        <v>121</v>
      </c>
      <c r="AN27" s="5" t="s">
        <v>12232</v>
      </c>
      <c r="AO27" s="5" t="s">
        <v>121</v>
      </c>
      <c r="AP27" s="5" t="s">
        <v>1350</v>
      </c>
      <c r="AQ27" s="5" t="s">
        <v>121</v>
      </c>
      <c r="AR27" s="5" t="s">
        <v>121</v>
      </c>
      <c r="AS27" s="5" t="s">
        <v>370</v>
      </c>
      <c r="AT27" s="5" t="s">
        <v>121</v>
      </c>
      <c r="AU27" s="5" t="s">
        <v>364</v>
      </c>
      <c r="AV27" s="5" t="s">
        <v>12003</v>
      </c>
      <c r="AW27" s="5" t="s">
        <v>364</v>
      </c>
      <c r="AX27" s="5" t="s">
        <v>12159</v>
      </c>
      <c r="AY27" s="5" t="s">
        <v>121</v>
      </c>
      <c r="AZ27" s="5" t="s">
        <v>121</v>
      </c>
      <c r="BA27" s="5" t="s">
        <v>121</v>
      </c>
      <c r="BB27" s="5" t="s">
        <v>3510</v>
      </c>
      <c r="BC27" s="5" t="s">
        <v>3510</v>
      </c>
      <c r="BD27" s="5" t="s">
        <v>12233</v>
      </c>
      <c r="BE27" s="5" t="s">
        <v>121</v>
      </c>
      <c r="BF27" s="5" t="s">
        <v>12234</v>
      </c>
      <c r="BG27" s="5" t="s">
        <v>121</v>
      </c>
      <c r="BH27" s="5" t="s">
        <v>12235</v>
      </c>
      <c r="BI27" s="5" t="s">
        <v>121</v>
      </c>
      <c r="BJ27" s="5" t="s">
        <v>365</v>
      </c>
      <c r="BK27" s="5" t="s">
        <v>121</v>
      </c>
      <c r="BL27" s="5" t="s">
        <v>12236</v>
      </c>
      <c r="BM27" s="5" t="s">
        <v>12236</v>
      </c>
      <c r="BN27" s="5" t="s">
        <v>366</v>
      </c>
      <c r="BO27" s="5" t="s">
        <v>11984</v>
      </c>
      <c r="BP27" s="5" t="s">
        <v>121</v>
      </c>
      <c r="BQ27" s="5" t="s">
        <v>121</v>
      </c>
      <c r="BR27" s="5" t="s">
        <v>2854</v>
      </c>
      <c r="BS27" s="5" t="s">
        <v>121</v>
      </c>
      <c r="BT27" s="5" t="s">
        <v>121</v>
      </c>
      <c r="BU27" s="5" t="s">
        <v>121</v>
      </c>
      <c r="BV27" s="5" t="s">
        <v>3510</v>
      </c>
      <c r="BW27" s="5" t="s">
        <v>3510</v>
      </c>
      <c r="BX27" s="5" t="s">
        <v>3510</v>
      </c>
      <c r="BY27" s="5" t="s">
        <v>12237</v>
      </c>
      <c r="BZ27" s="5" t="s">
        <v>12238</v>
      </c>
      <c r="CA27" s="5" t="s">
        <v>121</v>
      </c>
      <c r="CB27" s="5" t="s">
        <v>121</v>
      </c>
      <c r="CC27" s="5" t="s">
        <v>363</v>
      </c>
      <c r="CD27" s="5" t="s">
        <v>12239</v>
      </c>
      <c r="CE27" s="5" t="s">
        <v>12239</v>
      </c>
      <c r="CF27" s="5" t="s">
        <v>11958</v>
      </c>
      <c r="CG27" s="5" t="s">
        <v>12240</v>
      </c>
      <c r="CH27" s="5" t="s">
        <v>121</v>
      </c>
      <c r="CI27" s="5" t="s">
        <v>12241</v>
      </c>
      <c r="CJ27" s="5" t="s">
        <v>368</v>
      </c>
      <c r="CK27" s="5" t="s">
        <v>367</v>
      </c>
      <c r="CL27" s="5" t="s">
        <v>3510</v>
      </c>
      <c r="CM27" s="5" t="s">
        <v>368</v>
      </c>
      <c r="CN27" s="5" t="s">
        <v>121</v>
      </c>
      <c r="CO27" s="5" t="s">
        <v>121</v>
      </c>
      <c r="CP27" s="5" t="s">
        <v>3510</v>
      </c>
      <c r="CQ27" s="5" t="s">
        <v>371</v>
      </c>
      <c r="CR27" s="5" t="s">
        <v>11960</v>
      </c>
      <c r="CS27" s="5" t="s">
        <v>2854</v>
      </c>
      <c r="CT27" s="5" t="s">
        <v>3510</v>
      </c>
      <c r="CU27" s="5" t="s">
        <v>3510</v>
      </c>
      <c r="CV27" s="5" t="s">
        <v>11952</v>
      </c>
      <c r="CW27" s="5" t="s">
        <v>12242</v>
      </c>
      <c r="CX27" s="5" t="s">
        <v>12243</v>
      </c>
      <c r="CY27" s="5" t="s">
        <v>12244</v>
      </c>
      <c r="CZ27" s="5" t="s">
        <v>11989</v>
      </c>
      <c r="DA27" s="5" t="s">
        <v>11952</v>
      </c>
      <c r="DB27" s="5" t="s">
        <v>12245</v>
      </c>
      <c r="DC27" s="5" t="s">
        <v>12246</v>
      </c>
      <c r="DD27" s="5" t="s">
        <v>11963</v>
      </c>
      <c r="DE27" s="5" t="s">
        <v>12247</v>
      </c>
      <c r="DF27" s="5" t="s">
        <v>2854</v>
      </c>
      <c r="DG27" s="5" t="s">
        <v>12248</v>
      </c>
      <c r="DH27" s="5" t="s">
        <v>12249</v>
      </c>
      <c r="DI27" s="5" t="s">
        <v>11966</v>
      </c>
      <c r="DJ27" s="5" t="s">
        <v>12044</v>
      </c>
      <c r="DK27" s="5" t="s">
        <v>12250</v>
      </c>
      <c r="DL27" s="5">
        <v>4.2</v>
      </c>
      <c r="DM27" s="5">
        <v>4.2</v>
      </c>
      <c r="DN27" s="5">
        <v>3.6</v>
      </c>
      <c r="DO27" s="5">
        <v>1.8</v>
      </c>
      <c r="DP27" s="5">
        <v>2.8</v>
      </c>
      <c r="DQ27" s="5">
        <v>3.8</v>
      </c>
      <c r="DR27" s="5">
        <v>0</v>
      </c>
      <c r="DS27" s="5">
        <v>63</v>
      </c>
      <c r="DT27" s="5" t="s">
        <v>11968</v>
      </c>
      <c r="DU27" s="5" t="s">
        <v>12046</v>
      </c>
      <c r="DV27" s="5" t="s">
        <v>11970</v>
      </c>
      <c r="DW27" s="5"/>
      <c r="DX27" s="5">
        <v>16</v>
      </c>
      <c r="DY27" s="5"/>
      <c r="DZ27" s="5">
        <v>100</v>
      </c>
      <c r="EA27" s="5"/>
      <c r="EB27" s="5">
        <v>0.16</v>
      </c>
      <c r="EC27" s="5"/>
      <c r="ED27" s="5" t="s">
        <v>11971</v>
      </c>
      <c r="EE27" s="5"/>
      <c r="EF27" s="5" t="s">
        <v>11997</v>
      </c>
      <c r="EG27" s="5"/>
      <c r="EH27" s="5" t="s">
        <v>11997</v>
      </c>
      <c r="EI27" s="5"/>
      <c r="EJ27" s="5" t="s">
        <v>11997</v>
      </c>
      <c r="EK27" s="5"/>
      <c r="EL27" s="5" t="s">
        <v>11997</v>
      </c>
      <c r="EM27" s="5"/>
      <c r="EN27" s="5" t="s">
        <v>11997</v>
      </c>
      <c r="EO27" s="5"/>
      <c r="EP27" s="5" t="s">
        <v>11998</v>
      </c>
      <c r="EQ27" s="5"/>
      <c r="ER27" s="5" t="s">
        <v>11997</v>
      </c>
      <c r="ES27" s="5"/>
      <c r="ET27" s="5" t="s">
        <v>11972</v>
      </c>
      <c r="EU27" s="5"/>
      <c r="EV27" s="5"/>
      <c r="EW27" s="5"/>
      <c r="EX27" s="5"/>
      <c r="EY27" s="5" t="s">
        <v>3596</v>
      </c>
      <c r="EZ27" s="5"/>
      <c r="FA27" s="5" t="s">
        <v>374</v>
      </c>
      <c r="FB27" s="5"/>
    </row>
    <row r="28" spans="1:158" ht="280.5">
      <c r="A28" s="5" t="s">
        <v>376</v>
      </c>
      <c r="B28" s="5" t="s">
        <v>377</v>
      </c>
      <c r="C28" s="5" t="s">
        <v>12251</v>
      </c>
      <c r="D28" s="5" t="s">
        <v>378</v>
      </c>
      <c r="E28" s="5" t="s">
        <v>12011</v>
      </c>
      <c r="F28" s="5" t="s">
        <v>11994</v>
      </c>
      <c r="G28" s="5" t="s">
        <v>12252</v>
      </c>
      <c r="H28" s="5" t="s">
        <v>11235</v>
      </c>
      <c r="I28" s="5" t="s">
        <v>373</v>
      </c>
      <c r="J28" s="5" t="s">
        <v>2854</v>
      </c>
      <c r="K28" s="5" t="s">
        <v>12253</v>
      </c>
      <c r="L28" s="5" t="s">
        <v>374</v>
      </c>
      <c r="M28" s="5" t="s">
        <v>374</v>
      </c>
      <c r="N28" s="5" t="s">
        <v>11952</v>
      </c>
      <c r="O28" s="5" t="s">
        <v>11952</v>
      </c>
      <c r="P28" s="5" t="s">
        <v>11952</v>
      </c>
      <c r="Q28" s="5" t="s">
        <v>12254</v>
      </c>
      <c r="R28" s="5" t="s">
        <v>11952</v>
      </c>
      <c r="S28" s="5" t="s">
        <v>11952</v>
      </c>
      <c r="T28" s="5" t="s">
        <v>12255</v>
      </c>
      <c r="U28" s="5" t="s">
        <v>2854</v>
      </c>
      <c r="V28" s="5" t="s">
        <v>12256</v>
      </c>
      <c r="W28" s="5" t="s">
        <v>12257</v>
      </c>
      <c r="X28" s="5" t="s">
        <v>12258</v>
      </c>
      <c r="Y28" s="5" t="s">
        <v>121</v>
      </c>
      <c r="Z28" s="5" t="s">
        <v>2854</v>
      </c>
      <c r="AA28" s="5" t="s">
        <v>11981</v>
      </c>
      <c r="AB28" s="5" t="s">
        <v>121</v>
      </c>
      <c r="AC28" s="5" t="s">
        <v>121</v>
      </c>
      <c r="AD28" s="5" t="s">
        <v>121</v>
      </c>
      <c r="AE28" s="5" t="s">
        <v>121</v>
      </c>
      <c r="AF28" s="5" t="s">
        <v>121</v>
      </c>
      <c r="AG28" s="5" t="s">
        <v>121</v>
      </c>
      <c r="AH28" s="5" t="s">
        <v>121</v>
      </c>
      <c r="AI28" s="5" t="s">
        <v>121</v>
      </c>
      <c r="AJ28" s="5" t="s">
        <v>121</v>
      </c>
      <c r="AK28" s="5" t="s">
        <v>121</v>
      </c>
      <c r="AL28" s="5" t="s">
        <v>121</v>
      </c>
      <c r="AM28" s="5" t="s">
        <v>121</v>
      </c>
      <c r="AN28" s="5" t="s">
        <v>121</v>
      </c>
      <c r="AO28" s="5" t="s">
        <v>121</v>
      </c>
      <c r="AP28" s="5" t="s">
        <v>1350</v>
      </c>
      <c r="AQ28" s="5" t="s">
        <v>121</v>
      </c>
      <c r="AR28" s="5" t="s">
        <v>121</v>
      </c>
      <c r="AS28" s="5" t="s">
        <v>384</v>
      </c>
      <c r="AT28" s="5" t="s">
        <v>121</v>
      </c>
      <c r="AU28" s="5" t="s">
        <v>380</v>
      </c>
      <c r="AV28" s="5" t="s">
        <v>12003</v>
      </c>
      <c r="AW28" s="5" t="s">
        <v>380</v>
      </c>
      <c r="AX28" s="5" t="s">
        <v>12159</v>
      </c>
      <c r="AY28" s="5" t="s">
        <v>121</v>
      </c>
      <c r="AZ28" s="5" t="s">
        <v>121</v>
      </c>
      <c r="BA28" s="5" t="s">
        <v>121</v>
      </c>
      <c r="BB28" s="5" t="s">
        <v>3510</v>
      </c>
      <c r="BC28" s="5" t="s">
        <v>3510</v>
      </c>
      <c r="BD28" s="5" t="s">
        <v>12233</v>
      </c>
      <c r="BE28" s="5" t="s">
        <v>121</v>
      </c>
      <c r="BF28" s="5" t="s">
        <v>121</v>
      </c>
      <c r="BG28" s="5" t="s">
        <v>121</v>
      </c>
      <c r="BH28" s="5" t="s">
        <v>12259</v>
      </c>
      <c r="BI28" s="5" t="s">
        <v>121</v>
      </c>
      <c r="BJ28" s="5" t="s">
        <v>381</v>
      </c>
      <c r="BK28" s="5" t="s">
        <v>121</v>
      </c>
      <c r="BL28" s="5" t="s">
        <v>12260</v>
      </c>
      <c r="BM28" s="5" t="s">
        <v>12260</v>
      </c>
      <c r="BN28" s="5" t="s">
        <v>382</v>
      </c>
      <c r="BO28" s="5" t="s">
        <v>12261</v>
      </c>
      <c r="BP28" s="5" t="s">
        <v>121</v>
      </c>
      <c r="BQ28" s="5" t="s">
        <v>2854</v>
      </c>
      <c r="BR28" s="5" t="s">
        <v>121</v>
      </c>
      <c r="BS28" s="5" t="s">
        <v>121</v>
      </c>
      <c r="BT28" s="5" t="s">
        <v>121</v>
      </c>
      <c r="BU28" s="5" t="s">
        <v>121</v>
      </c>
      <c r="BV28" s="5" t="s">
        <v>3510</v>
      </c>
      <c r="BW28" s="5" t="s">
        <v>3510</v>
      </c>
      <c r="BX28" s="5" t="s">
        <v>3510</v>
      </c>
      <c r="BY28" s="5" t="s">
        <v>12262</v>
      </c>
      <c r="BZ28" s="5" t="s">
        <v>12263</v>
      </c>
      <c r="CA28" s="5" t="s">
        <v>121</v>
      </c>
      <c r="CB28" s="5" t="s">
        <v>121</v>
      </c>
      <c r="CC28" s="5" t="s">
        <v>379</v>
      </c>
      <c r="CD28" s="5" t="s">
        <v>121</v>
      </c>
      <c r="CE28" s="5" t="s">
        <v>121</v>
      </c>
      <c r="CF28" s="5" t="s">
        <v>11958</v>
      </c>
      <c r="CG28" s="5" t="s">
        <v>121</v>
      </c>
      <c r="CH28" s="5" t="s">
        <v>121</v>
      </c>
      <c r="CI28" s="5" t="s">
        <v>12034</v>
      </c>
      <c r="CJ28" s="5" t="s">
        <v>124</v>
      </c>
      <c r="CK28" s="5" t="s">
        <v>383</v>
      </c>
      <c r="CL28" s="5" t="s">
        <v>3510</v>
      </c>
      <c r="CM28" s="5" t="s">
        <v>124</v>
      </c>
      <c r="CN28" s="5" t="s">
        <v>121</v>
      </c>
      <c r="CO28" s="5" t="s">
        <v>121</v>
      </c>
      <c r="CP28" s="5" t="s">
        <v>3510</v>
      </c>
      <c r="CQ28" s="5" t="s">
        <v>385</v>
      </c>
      <c r="CR28" s="5" t="s">
        <v>11960</v>
      </c>
      <c r="CS28" s="5" t="s">
        <v>2854</v>
      </c>
      <c r="CT28" s="5" t="s">
        <v>3510</v>
      </c>
      <c r="CU28" s="5" t="s">
        <v>3510</v>
      </c>
      <c r="CV28" s="5" t="s">
        <v>11952</v>
      </c>
      <c r="CW28" s="5" t="s">
        <v>12264</v>
      </c>
      <c r="CX28" s="5" t="s">
        <v>12265</v>
      </c>
      <c r="CY28" s="5" t="s">
        <v>12266</v>
      </c>
      <c r="CZ28" s="5" t="s">
        <v>3510</v>
      </c>
      <c r="DA28" s="5" t="s">
        <v>11952</v>
      </c>
      <c r="DB28" s="5" t="s">
        <v>11963</v>
      </c>
      <c r="DC28" s="5" t="s">
        <v>12267</v>
      </c>
      <c r="DD28" s="5" t="s">
        <v>11963</v>
      </c>
      <c r="DE28" s="5" t="s">
        <v>12268</v>
      </c>
      <c r="DF28" s="5" t="s">
        <v>3510</v>
      </c>
      <c r="DG28" s="5" t="s">
        <v>12269</v>
      </c>
      <c r="DH28" s="5" t="s">
        <v>12270</v>
      </c>
      <c r="DI28" s="5" t="s">
        <v>11975</v>
      </c>
      <c r="DJ28" s="5" t="s">
        <v>11966</v>
      </c>
      <c r="DK28" s="5" t="s">
        <v>12176</v>
      </c>
      <c r="DL28" s="5">
        <v>5</v>
      </c>
      <c r="DM28" s="5">
        <v>3.5</v>
      </c>
      <c r="DN28" s="5">
        <v>3.5</v>
      </c>
      <c r="DO28" s="5">
        <v>1.5</v>
      </c>
      <c r="DP28" s="5">
        <v>2.5</v>
      </c>
      <c r="DQ28" s="5">
        <v>4</v>
      </c>
      <c r="DR28" s="5">
        <v>0</v>
      </c>
      <c r="DS28" s="5">
        <v>62</v>
      </c>
      <c r="DT28" s="5" t="s">
        <v>11968</v>
      </c>
      <c r="DU28" s="5" t="s">
        <v>12116</v>
      </c>
      <c r="DV28" s="5" t="s">
        <v>11970</v>
      </c>
      <c r="DW28" s="5"/>
      <c r="DX28" s="5">
        <v>10</v>
      </c>
      <c r="DY28" s="5"/>
      <c r="DZ28" s="5">
        <v>100</v>
      </c>
      <c r="EA28" s="5"/>
      <c r="EB28" s="5">
        <v>0.1</v>
      </c>
      <c r="EC28" s="5"/>
      <c r="ED28" s="5" t="s">
        <v>11971</v>
      </c>
      <c r="EE28" s="5"/>
      <c r="EF28" s="5" t="s">
        <v>11997</v>
      </c>
      <c r="EG28" s="5"/>
      <c r="EH28" s="5" t="s">
        <v>11997</v>
      </c>
      <c r="EI28" s="5"/>
      <c r="EJ28" s="5" t="s">
        <v>11997</v>
      </c>
      <c r="EK28" s="5"/>
      <c r="EL28" s="5" t="s">
        <v>11997</v>
      </c>
      <c r="EM28" s="5"/>
      <c r="EN28" s="5" t="s">
        <v>11997</v>
      </c>
      <c r="EO28" s="5"/>
      <c r="EP28" s="5" t="s">
        <v>11998</v>
      </c>
      <c r="EQ28" s="5"/>
      <c r="ER28" s="5" t="s">
        <v>11997</v>
      </c>
      <c r="ES28" s="5"/>
      <c r="ET28" s="5" t="s">
        <v>11972</v>
      </c>
      <c r="EU28" s="5"/>
      <c r="EV28" s="5"/>
      <c r="EW28" s="5"/>
      <c r="EX28" s="5"/>
      <c r="EY28" s="5" t="s">
        <v>3630</v>
      </c>
      <c r="EZ28" s="5"/>
      <c r="FA28" s="5" t="s">
        <v>374</v>
      </c>
      <c r="FB28" s="5"/>
    </row>
    <row r="29" spans="1:158" ht="306">
      <c r="A29" s="5" t="s">
        <v>387</v>
      </c>
      <c r="B29" s="5" t="s">
        <v>388</v>
      </c>
      <c r="C29" s="5" t="s">
        <v>12271</v>
      </c>
      <c r="D29" s="5" t="s">
        <v>119</v>
      </c>
      <c r="E29" s="5" t="s">
        <v>12011</v>
      </c>
      <c r="F29" s="5" t="s">
        <v>11994</v>
      </c>
      <c r="G29" s="5" t="s">
        <v>12272</v>
      </c>
      <c r="H29" s="5" t="s">
        <v>11977</v>
      </c>
      <c r="I29" s="5" t="s">
        <v>129</v>
      </c>
      <c r="J29" s="5" t="s">
        <v>3510</v>
      </c>
      <c r="K29" s="5" t="s">
        <v>12151</v>
      </c>
      <c r="L29" s="5" t="s">
        <v>395</v>
      </c>
      <c r="M29" s="5" t="s">
        <v>395</v>
      </c>
      <c r="N29" s="5" t="s">
        <v>11952</v>
      </c>
      <c r="O29" s="5" t="s">
        <v>11952</v>
      </c>
      <c r="P29" s="5" t="s">
        <v>11952</v>
      </c>
      <c r="Q29" s="5" t="s">
        <v>11952</v>
      </c>
      <c r="R29" s="5" t="s">
        <v>11952</v>
      </c>
      <c r="S29" s="5" t="s">
        <v>11952</v>
      </c>
      <c r="T29" s="5" t="s">
        <v>12273</v>
      </c>
      <c r="U29" s="5" t="s">
        <v>2854</v>
      </c>
      <c r="V29" s="5" t="s">
        <v>12274</v>
      </c>
      <c r="W29" s="5" t="s">
        <v>12273</v>
      </c>
      <c r="X29" s="5" t="s">
        <v>12275</v>
      </c>
      <c r="Y29" s="5" t="s">
        <v>121</v>
      </c>
      <c r="Z29" s="5" t="s">
        <v>12276</v>
      </c>
      <c r="AA29" s="5" t="s">
        <v>11981</v>
      </c>
      <c r="AB29" s="5" t="s">
        <v>121</v>
      </c>
      <c r="AC29" s="5" t="s">
        <v>121</v>
      </c>
      <c r="AD29" s="5" t="s">
        <v>121</v>
      </c>
      <c r="AE29" s="5" t="s">
        <v>121</v>
      </c>
      <c r="AF29" s="5" t="s">
        <v>121</v>
      </c>
      <c r="AG29" s="5" t="s">
        <v>121</v>
      </c>
      <c r="AH29" s="5" t="s">
        <v>121</v>
      </c>
      <c r="AI29" s="5" t="s">
        <v>121</v>
      </c>
      <c r="AJ29" s="5" t="s">
        <v>121</v>
      </c>
      <c r="AK29" s="5" t="s">
        <v>121</v>
      </c>
      <c r="AL29" s="5" t="s">
        <v>121</v>
      </c>
      <c r="AM29" s="5" t="s">
        <v>121</v>
      </c>
      <c r="AN29" s="5" t="s">
        <v>121</v>
      </c>
      <c r="AO29" s="5" t="s">
        <v>121</v>
      </c>
      <c r="AP29" s="5" t="s">
        <v>1350</v>
      </c>
      <c r="AQ29" s="5" t="s">
        <v>121</v>
      </c>
      <c r="AR29" s="5" t="s">
        <v>12277</v>
      </c>
      <c r="AS29" s="5" t="s">
        <v>393</v>
      </c>
      <c r="AT29" s="5" t="s">
        <v>121</v>
      </c>
      <c r="AU29" s="5" t="s">
        <v>390</v>
      </c>
      <c r="AV29" s="5" t="s">
        <v>12003</v>
      </c>
      <c r="AW29" s="5" t="s">
        <v>121</v>
      </c>
      <c r="AX29" s="5" t="s">
        <v>121</v>
      </c>
      <c r="AY29" s="5" t="s">
        <v>121</v>
      </c>
      <c r="AZ29" s="5" t="s">
        <v>121</v>
      </c>
      <c r="BA29" s="5" t="s">
        <v>121</v>
      </c>
      <c r="BB29" s="5" t="s">
        <v>2854</v>
      </c>
      <c r="BC29" s="5" t="s">
        <v>121</v>
      </c>
      <c r="BD29" s="5" t="s">
        <v>12089</v>
      </c>
      <c r="BE29" s="5" t="s">
        <v>121</v>
      </c>
      <c r="BF29" s="5" t="s">
        <v>121</v>
      </c>
      <c r="BG29" s="5" t="s">
        <v>121</v>
      </c>
      <c r="BH29" s="5" t="s">
        <v>12278</v>
      </c>
      <c r="BI29" s="5" t="s">
        <v>121</v>
      </c>
      <c r="BJ29" s="5" t="s">
        <v>391</v>
      </c>
      <c r="BK29" s="5" t="s">
        <v>121</v>
      </c>
      <c r="BL29" s="5" t="s">
        <v>12279</v>
      </c>
      <c r="BM29" s="5" t="s">
        <v>12279</v>
      </c>
      <c r="BN29" s="5" t="s">
        <v>392</v>
      </c>
      <c r="BO29" s="5" t="s">
        <v>12280</v>
      </c>
      <c r="BP29" s="5" t="s">
        <v>2854</v>
      </c>
      <c r="BQ29" s="5" t="s">
        <v>121</v>
      </c>
      <c r="BR29" s="5" t="s">
        <v>2854</v>
      </c>
      <c r="BS29" s="5" t="s">
        <v>2854</v>
      </c>
      <c r="BT29" s="5" t="s">
        <v>121</v>
      </c>
      <c r="BU29" s="5" t="s">
        <v>2854</v>
      </c>
      <c r="BV29" s="5" t="s">
        <v>2854</v>
      </c>
      <c r="BW29" s="5" t="s">
        <v>3510</v>
      </c>
      <c r="BX29" s="5" t="s">
        <v>3510</v>
      </c>
      <c r="BY29" s="5" t="s">
        <v>12281</v>
      </c>
      <c r="BZ29" s="5" t="s">
        <v>121</v>
      </c>
      <c r="CA29" s="5" t="s">
        <v>121</v>
      </c>
      <c r="CB29" s="5" t="s">
        <v>121</v>
      </c>
      <c r="CC29" s="5" t="s">
        <v>389</v>
      </c>
      <c r="CD29" s="5" t="s">
        <v>12282</v>
      </c>
      <c r="CE29" s="5" t="s">
        <v>12282</v>
      </c>
      <c r="CF29" s="5" t="s">
        <v>11958</v>
      </c>
      <c r="CG29" s="5" t="s">
        <v>121</v>
      </c>
      <c r="CH29" s="5" t="s">
        <v>121</v>
      </c>
      <c r="CI29" s="5" t="s">
        <v>12034</v>
      </c>
      <c r="CJ29" s="5" t="s">
        <v>124</v>
      </c>
      <c r="CK29" s="5" t="s">
        <v>121</v>
      </c>
      <c r="CL29" s="5" t="s">
        <v>3510</v>
      </c>
      <c r="CM29" s="5" t="s">
        <v>124</v>
      </c>
      <c r="CN29" s="5" t="s">
        <v>121</v>
      </c>
      <c r="CO29" s="5" t="s">
        <v>121</v>
      </c>
      <c r="CP29" s="5" t="s">
        <v>3510</v>
      </c>
      <c r="CQ29" s="5" t="s">
        <v>394</v>
      </c>
      <c r="CR29" s="5" t="s">
        <v>11960</v>
      </c>
      <c r="CS29" s="5" t="s">
        <v>3510</v>
      </c>
      <c r="CT29" s="5" t="s">
        <v>3510</v>
      </c>
      <c r="CU29" s="5" t="s">
        <v>3510</v>
      </c>
      <c r="CV29" s="5" t="s">
        <v>11952</v>
      </c>
      <c r="CW29" s="5" t="s">
        <v>11952</v>
      </c>
      <c r="CX29" s="5" t="s">
        <v>11987</v>
      </c>
      <c r="CY29" s="5" t="s">
        <v>12283</v>
      </c>
      <c r="CZ29" s="5" t="s">
        <v>11989</v>
      </c>
      <c r="DA29" s="5" t="s">
        <v>11989</v>
      </c>
      <c r="DB29" s="5" t="s">
        <v>11963</v>
      </c>
      <c r="DC29" s="5" t="s">
        <v>12284</v>
      </c>
      <c r="DD29" s="5" t="s">
        <v>11963</v>
      </c>
      <c r="DE29" s="5" t="s">
        <v>12285</v>
      </c>
      <c r="DF29" s="5" t="s">
        <v>3510</v>
      </c>
      <c r="DG29" s="5" t="s">
        <v>12286</v>
      </c>
      <c r="DH29" s="5" t="s">
        <v>12287</v>
      </c>
      <c r="DI29" s="5" t="s">
        <v>11975</v>
      </c>
      <c r="DJ29" s="5" t="s">
        <v>12044</v>
      </c>
      <c r="DK29" s="5" t="s">
        <v>12288</v>
      </c>
      <c r="DL29" s="5">
        <v>4</v>
      </c>
      <c r="DM29" s="5">
        <v>4.3</v>
      </c>
      <c r="DN29" s="5">
        <v>2.8</v>
      </c>
      <c r="DO29" s="5">
        <v>0.7</v>
      </c>
      <c r="DP29" s="5">
        <v>2</v>
      </c>
      <c r="DQ29" s="5">
        <v>3.3</v>
      </c>
      <c r="DR29" s="5">
        <v>3</v>
      </c>
      <c r="DS29" s="5">
        <v>60.3</v>
      </c>
      <c r="DT29" s="5" t="s">
        <v>11968</v>
      </c>
      <c r="DU29" s="5" t="s">
        <v>11996</v>
      </c>
      <c r="DV29" s="5" t="s">
        <v>11970</v>
      </c>
      <c r="DW29" s="5"/>
      <c r="DX29" s="5">
        <v>16</v>
      </c>
      <c r="DY29" s="5"/>
      <c r="DZ29" s="5">
        <v>100</v>
      </c>
      <c r="EA29" s="5"/>
      <c r="EB29" s="5">
        <v>0.16</v>
      </c>
      <c r="EC29" s="5"/>
      <c r="ED29" s="5" t="s">
        <v>11971</v>
      </c>
      <c r="EE29" s="5"/>
      <c r="EF29" s="5" t="s">
        <v>11997</v>
      </c>
      <c r="EG29" s="5"/>
      <c r="EH29" s="5" t="s">
        <v>11997</v>
      </c>
      <c r="EI29" s="5"/>
      <c r="EJ29" s="5" t="s">
        <v>11997</v>
      </c>
      <c r="EK29" s="5"/>
      <c r="EL29" s="5" t="s">
        <v>11997</v>
      </c>
      <c r="EM29" s="5"/>
      <c r="EN29" s="5" t="s">
        <v>11997</v>
      </c>
      <c r="EO29" s="5"/>
      <c r="EP29" s="5" t="s">
        <v>11998</v>
      </c>
      <c r="EQ29" s="5"/>
      <c r="ER29" s="5" t="s">
        <v>11997</v>
      </c>
      <c r="ES29" s="5"/>
      <c r="ET29" s="5" t="s">
        <v>11972</v>
      </c>
      <c r="EU29" s="5"/>
      <c r="EV29" s="5"/>
      <c r="EW29" s="5"/>
      <c r="EX29" s="5"/>
      <c r="EY29" s="5" t="s">
        <v>3662</v>
      </c>
      <c r="EZ29" s="5"/>
      <c r="FA29" s="5" t="s">
        <v>395</v>
      </c>
      <c r="FB29" s="5"/>
    </row>
    <row r="30" spans="1:158" ht="51">
      <c r="A30" s="5" t="s">
        <v>397</v>
      </c>
      <c r="B30" s="5" t="s">
        <v>398</v>
      </c>
      <c r="C30" s="5" t="s">
        <v>11952</v>
      </c>
      <c r="D30" s="5" t="s">
        <v>399</v>
      </c>
      <c r="E30" s="5" t="s">
        <v>11953</v>
      </c>
      <c r="F30" s="5" t="s">
        <v>11954</v>
      </c>
      <c r="G30" s="5" t="s">
        <v>11955</v>
      </c>
      <c r="H30" s="5" t="s">
        <v>11235</v>
      </c>
      <c r="I30" s="5" t="s">
        <v>129</v>
      </c>
      <c r="J30" s="5" t="s">
        <v>3510</v>
      </c>
      <c r="K30" s="5" t="s">
        <v>11956</v>
      </c>
      <c r="L30" s="5" t="s">
        <v>150</v>
      </c>
      <c r="M30" s="5" t="s">
        <v>150</v>
      </c>
      <c r="N30" s="5" t="s">
        <v>11952</v>
      </c>
      <c r="O30" s="5" t="s">
        <v>11952</v>
      </c>
      <c r="P30" s="5" t="s">
        <v>11952</v>
      </c>
      <c r="Q30" s="5" t="s">
        <v>11952</v>
      </c>
      <c r="R30" s="5" t="s">
        <v>11952</v>
      </c>
      <c r="S30" s="5" t="s">
        <v>11952</v>
      </c>
      <c r="T30" s="5" t="s">
        <v>121</v>
      </c>
      <c r="U30" s="5" t="s">
        <v>3510</v>
      </c>
      <c r="V30" s="5" t="s">
        <v>121</v>
      </c>
      <c r="W30" s="5" t="s">
        <v>121</v>
      </c>
      <c r="X30" s="5" t="s">
        <v>121</v>
      </c>
      <c r="Y30" s="5" t="s">
        <v>121</v>
      </c>
      <c r="Z30" s="5" t="s">
        <v>11952</v>
      </c>
      <c r="AA30" s="5" t="s">
        <v>11952</v>
      </c>
      <c r="AB30" s="5" t="s">
        <v>121</v>
      </c>
      <c r="AC30" s="5" t="s">
        <v>121</v>
      </c>
      <c r="AD30" s="5" t="s">
        <v>121</v>
      </c>
      <c r="AE30" s="5" t="s">
        <v>121</v>
      </c>
      <c r="AF30" s="5" t="s">
        <v>121</v>
      </c>
      <c r="AG30" s="5" t="s">
        <v>121</v>
      </c>
      <c r="AH30" s="5" t="s">
        <v>121</v>
      </c>
      <c r="AI30" s="5" t="s">
        <v>121</v>
      </c>
      <c r="AJ30" s="5" t="s">
        <v>121</v>
      </c>
      <c r="AK30" s="5" t="s">
        <v>121</v>
      </c>
      <c r="AL30" s="5" t="s">
        <v>121</v>
      </c>
      <c r="AM30" s="5" t="s">
        <v>121</v>
      </c>
      <c r="AN30" s="5" t="s">
        <v>121</v>
      </c>
      <c r="AO30" s="5" t="s">
        <v>121</v>
      </c>
      <c r="AP30" s="5" t="s">
        <v>121</v>
      </c>
      <c r="AQ30" s="5" t="s">
        <v>121</v>
      </c>
      <c r="AR30" s="5" t="s">
        <v>121</v>
      </c>
      <c r="AS30" s="5" t="s">
        <v>147</v>
      </c>
      <c r="AT30" s="5" t="s">
        <v>121</v>
      </c>
      <c r="AU30" s="5" t="s">
        <v>121</v>
      </c>
      <c r="AV30" s="5" t="s">
        <v>121</v>
      </c>
      <c r="AW30" s="5" t="s">
        <v>121</v>
      </c>
      <c r="AX30" s="5" t="s">
        <v>121</v>
      </c>
      <c r="AY30" s="5" t="s">
        <v>121</v>
      </c>
      <c r="AZ30" s="5" t="s">
        <v>121</v>
      </c>
      <c r="BA30" s="5" t="s">
        <v>121</v>
      </c>
      <c r="BB30" s="5" t="s">
        <v>121</v>
      </c>
      <c r="BC30" s="5" t="s">
        <v>121</v>
      </c>
      <c r="BD30" s="5" t="s">
        <v>121</v>
      </c>
      <c r="BE30" s="5" t="s">
        <v>121</v>
      </c>
      <c r="BF30" s="5" t="s">
        <v>121</v>
      </c>
      <c r="BG30" s="5" t="s">
        <v>121</v>
      </c>
      <c r="BH30" s="5" t="s">
        <v>11999</v>
      </c>
      <c r="BI30" s="5" t="s">
        <v>121</v>
      </c>
      <c r="BJ30" s="5" t="s">
        <v>146</v>
      </c>
      <c r="BK30" s="5" t="s">
        <v>121</v>
      </c>
      <c r="BL30" s="5" t="s">
        <v>121</v>
      </c>
      <c r="BM30" s="5" t="s">
        <v>121</v>
      </c>
      <c r="BN30" s="5" t="s">
        <v>121</v>
      </c>
      <c r="BO30" s="5" t="s">
        <v>121</v>
      </c>
      <c r="BP30" s="5" t="s">
        <v>121</v>
      </c>
      <c r="BQ30" s="5" t="s">
        <v>121</v>
      </c>
      <c r="BR30" s="5" t="s">
        <v>121</v>
      </c>
      <c r="BS30" s="5" t="s">
        <v>121</v>
      </c>
      <c r="BT30" s="5" t="s">
        <v>121</v>
      </c>
      <c r="BU30" s="5" t="s">
        <v>121</v>
      </c>
      <c r="BV30" s="5" t="s">
        <v>121</v>
      </c>
      <c r="BW30" s="5" t="s">
        <v>121</v>
      </c>
      <c r="BX30" s="5" t="s">
        <v>121</v>
      </c>
      <c r="BY30" s="5" t="s">
        <v>121</v>
      </c>
      <c r="BZ30" s="5" t="s">
        <v>121</v>
      </c>
      <c r="CA30" s="5" t="s">
        <v>121</v>
      </c>
      <c r="CB30" s="5" t="s">
        <v>121</v>
      </c>
      <c r="CC30" s="5" t="s">
        <v>145</v>
      </c>
      <c r="CD30" s="5" t="s">
        <v>121</v>
      </c>
      <c r="CE30" s="5" t="s">
        <v>121</v>
      </c>
      <c r="CF30" s="5" t="s">
        <v>11958</v>
      </c>
      <c r="CG30" s="5" t="s">
        <v>121</v>
      </c>
      <c r="CH30" s="5" t="s">
        <v>121</v>
      </c>
      <c r="CI30" s="5" t="s">
        <v>11959</v>
      </c>
      <c r="CJ30" s="5" t="s">
        <v>124</v>
      </c>
      <c r="CK30" s="5" t="s">
        <v>121</v>
      </c>
      <c r="CL30" s="5" t="s">
        <v>3510</v>
      </c>
      <c r="CM30" s="5" t="s">
        <v>124</v>
      </c>
      <c r="CN30" s="5" t="s">
        <v>121</v>
      </c>
      <c r="CO30" s="5" t="s">
        <v>121</v>
      </c>
      <c r="CP30" s="5" t="s">
        <v>3510</v>
      </c>
      <c r="CQ30" s="5" t="s">
        <v>400</v>
      </c>
      <c r="CR30" s="5" t="s">
        <v>11960</v>
      </c>
      <c r="CS30" s="5" t="s">
        <v>3510</v>
      </c>
      <c r="CT30" s="5" t="s">
        <v>3510</v>
      </c>
      <c r="CU30" s="5" t="s">
        <v>3510</v>
      </c>
      <c r="CV30" s="5" t="s">
        <v>11952</v>
      </c>
      <c r="CW30" s="5" t="s">
        <v>12289</v>
      </c>
      <c r="CX30" s="5" t="s">
        <v>11961</v>
      </c>
      <c r="CY30" s="5" t="s">
        <v>12290</v>
      </c>
      <c r="CZ30" s="5" t="s">
        <v>3510</v>
      </c>
      <c r="DA30" s="5" t="s">
        <v>11952</v>
      </c>
      <c r="DB30" s="5" t="s">
        <v>11963</v>
      </c>
      <c r="DC30" s="5" t="s">
        <v>11963</v>
      </c>
      <c r="DD30" s="5" t="s">
        <v>11963</v>
      </c>
      <c r="DE30" s="5" t="s">
        <v>11963</v>
      </c>
      <c r="DF30" s="5" t="s">
        <v>3510</v>
      </c>
      <c r="DG30" s="5" t="s">
        <v>11964</v>
      </c>
      <c r="DH30" s="5" t="s">
        <v>12002</v>
      </c>
      <c r="DI30" s="5" t="s">
        <v>11966</v>
      </c>
      <c r="DJ30" s="5" t="s">
        <v>11966</v>
      </c>
      <c r="DK30" s="5" t="s">
        <v>11967</v>
      </c>
      <c r="DL30" s="5">
        <v>4</v>
      </c>
      <c r="DM30" s="5">
        <v>1</v>
      </c>
      <c r="DN30" s="5">
        <v>1</v>
      </c>
      <c r="DO30" s="5">
        <v>0</v>
      </c>
      <c r="DP30" s="5">
        <v>1</v>
      </c>
      <c r="DQ30" s="5">
        <v>1</v>
      </c>
      <c r="DR30" s="5">
        <v>0</v>
      </c>
      <c r="DS30" s="5">
        <v>27</v>
      </c>
      <c r="DT30" s="5" t="s">
        <v>11968</v>
      </c>
      <c r="DU30" s="5" t="s">
        <v>11969</v>
      </c>
      <c r="DV30" s="5" t="s">
        <v>11970</v>
      </c>
      <c r="DW30" s="5"/>
      <c r="DX30" s="5">
        <v>7</v>
      </c>
      <c r="DY30" s="5"/>
      <c r="DZ30" s="5">
        <v>100</v>
      </c>
      <c r="EA30" s="5"/>
      <c r="EB30" s="5">
        <v>7.0000000000000007E-2</v>
      </c>
      <c r="EC30" s="5"/>
      <c r="ED30" s="5" t="s">
        <v>11971</v>
      </c>
      <c r="EE30" s="5"/>
      <c r="EF30" s="5" t="s">
        <v>11997</v>
      </c>
      <c r="EG30" s="5"/>
      <c r="EH30" s="5" t="s">
        <v>11997</v>
      </c>
      <c r="EI30" s="5"/>
      <c r="EJ30" s="5" t="s">
        <v>11997</v>
      </c>
      <c r="EK30" s="5"/>
      <c r="EL30" s="5" t="s">
        <v>11997</v>
      </c>
      <c r="EM30" s="5"/>
      <c r="EN30" s="5" t="s">
        <v>11997</v>
      </c>
      <c r="EO30" s="5"/>
      <c r="EP30" s="5" t="s">
        <v>11998</v>
      </c>
      <c r="EQ30" s="5"/>
      <c r="ER30" s="5" t="s">
        <v>11997</v>
      </c>
      <c r="ES30" s="5"/>
      <c r="ET30" s="5" t="s">
        <v>11972</v>
      </c>
      <c r="EU30" s="5"/>
      <c r="EV30" s="5"/>
      <c r="EW30" s="5"/>
      <c r="EX30" s="5"/>
      <c r="EY30" s="5" t="s">
        <v>3693</v>
      </c>
      <c r="EZ30" s="5"/>
      <c r="FA30" s="5" t="s">
        <v>150</v>
      </c>
      <c r="FB30" s="5"/>
    </row>
    <row r="31" spans="1:158" ht="51">
      <c r="A31" s="5" t="s">
        <v>402</v>
      </c>
      <c r="B31" s="5" t="s">
        <v>403</v>
      </c>
      <c r="C31" s="5" t="s">
        <v>11952</v>
      </c>
      <c r="D31" s="5" t="s">
        <v>404</v>
      </c>
      <c r="E31" s="5" t="s">
        <v>11953</v>
      </c>
      <c r="F31" s="5" t="s">
        <v>11954</v>
      </c>
      <c r="G31" s="5" t="s">
        <v>11955</v>
      </c>
      <c r="H31" s="5" t="s">
        <v>11235</v>
      </c>
      <c r="I31" s="5" t="s">
        <v>129</v>
      </c>
      <c r="J31" s="5" t="s">
        <v>3510</v>
      </c>
      <c r="K31" s="5" t="s">
        <v>11956</v>
      </c>
      <c r="L31" s="5" t="s">
        <v>411</v>
      </c>
      <c r="M31" s="5" t="s">
        <v>411</v>
      </c>
      <c r="N31" s="5" t="s">
        <v>11952</v>
      </c>
      <c r="O31" s="5" t="s">
        <v>11952</v>
      </c>
      <c r="P31" s="5" t="s">
        <v>11952</v>
      </c>
      <c r="Q31" s="5" t="s">
        <v>11952</v>
      </c>
      <c r="R31" s="5" t="s">
        <v>11952</v>
      </c>
      <c r="S31" s="5" t="s">
        <v>11952</v>
      </c>
      <c r="T31" s="5" t="s">
        <v>121</v>
      </c>
      <c r="U31" s="5" t="s">
        <v>2854</v>
      </c>
      <c r="V31" s="5" t="s">
        <v>12291</v>
      </c>
      <c r="W31" s="5" t="s">
        <v>121</v>
      </c>
      <c r="X31" s="5" t="s">
        <v>121</v>
      </c>
      <c r="Y31" s="5" t="s">
        <v>121</v>
      </c>
      <c r="Z31" s="5" t="s">
        <v>121</v>
      </c>
      <c r="AA31" s="5" t="s">
        <v>11981</v>
      </c>
      <c r="AB31" s="5" t="s">
        <v>155</v>
      </c>
      <c r="AC31" s="5" t="s">
        <v>408</v>
      </c>
      <c r="AD31" s="5" t="s">
        <v>121</v>
      </c>
      <c r="AE31" s="5" t="s">
        <v>121</v>
      </c>
      <c r="AF31" s="5" t="s">
        <v>408</v>
      </c>
      <c r="AG31" s="5" t="s">
        <v>121</v>
      </c>
      <c r="AH31" s="5" t="s">
        <v>121</v>
      </c>
      <c r="AI31" s="5" t="s">
        <v>121</v>
      </c>
      <c r="AJ31" s="5" t="s">
        <v>121</v>
      </c>
      <c r="AK31" s="5" t="s">
        <v>121</v>
      </c>
      <c r="AL31" s="5" t="s">
        <v>121</v>
      </c>
      <c r="AM31" s="5" t="s">
        <v>121</v>
      </c>
      <c r="AN31" s="5" t="s">
        <v>121</v>
      </c>
      <c r="AO31" s="5" t="s">
        <v>121</v>
      </c>
      <c r="AP31" s="5" t="s">
        <v>121</v>
      </c>
      <c r="AQ31" s="5" t="s">
        <v>121</v>
      </c>
      <c r="AR31" s="5" t="s">
        <v>121</v>
      </c>
      <c r="AS31" s="5" t="s">
        <v>409</v>
      </c>
      <c r="AT31" s="5" t="s">
        <v>121</v>
      </c>
      <c r="AU31" s="5" t="s">
        <v>406</v>
      </c>
      <c r="AV31" s="5" t="s">
        <v>12003</v>
      </c>
      <c r="AW31" s="5" t="s">
        <v>406</v>
      </c>
      <c r="AX31" s="5" t="s">
        <v>12159</v>
      </c>
      <c r="AY31" s="5" t="s">
        <v>121</v>
      </c>
      <c r="AZ31" s="5" t="s">
        <v>121</v>
      </c>
      <c r="BA31" s="5" t="s">
        <v>121</v>
      </c>
      <c r="BB31" s="5" t="s">
        <v>3510</v>
      </c>
      <c r="BC31" s="5" t="s">
        <v>121</v>
      </c>
      <c r="BD31" s="5" t="s">
        <v>121</v>
      </c>
      <c r="BE31" s="5" t="s">
        <v>121</v>
      </c>
      <c r="BF31" s="5" t="s">
        <v>121</v>
      </c>
      <c r="BG31" s="5" t="s">
        <v>121</v>
      </c>
      <c r="BH31" s="5" t="s">
        <v>12292</v>
      </c>
      <c r="BI31" s="5" t="s">
        <v>121</v>
      </c>
      <c r="BJ31" s="5" t="s">
        <v>407</v>
      </c>
      <c r="BK31" s="5" t="s">
        <v>121</v>
      </c>
      <c r="BL31" s="5" t="s">
        <v>405</v>
      </c>
      <c r="BM31" s="5" t="s">
        <v>405</v>
      </c>
      <c r="BN31" s="5" t="s">
        <v>121</v>
      </c>
      <c r="BO31" s="5" t="s">
        <v>121</v>
      </c>
      <c r="BP31" s="5" t="s">
        <v>121</v>
      </c>
      <c r="BQ31" s="5" t="s">
        <v>121</v>
      </c>
      <c r="BR31" s="5" t="s">
        <v>2854</v>
      </c>
      <c r="BS31" s="5" t="s">
        <v>121</v>
      </c>
      <c r="BT31" s="5" t="s">
        <v>121</v>
      </c>
      <c r="BU31" s="5" t="s">
        <v>121</v>
      </c>
      <c r="BV31" s="5" t="s">
        <v>3510</v>
      </c>
      <c r="BW31" s="5" t="s">
        <v>3510</v>
      </c>
      <c r="BX31" s="5" t="s">
        <v>3510</v>
      </c>
      <c r="BY31" s="5" t="s">
        <v>121</v>
      </c>
      <c r="BZ31" s="5" t="s">
        <v>121</v>
      </c>
      <c r="CA31" s="5" t="s">
        <v>121</v>
      </c>
      <c r="CB31" s="5" t="s">
        <v>121</v>
      </c>
      <c r="CC31" s="5" t="s">
        <v>405</v>
      </c>
      <c r="CD31" s="5" t="s">
        <v>121</v>
      </c>
      <c r="CE31" s="5" t="s">
        <v>121</v>
      </c>
      <c r="CF31" s="5" t="s">
        <v>11958</v>
      </c>
      <c r="CG31" s="5" t="s">
        <v>121</v>
      </c>
      <c r="CH31" s="5" t="s">
        <v>121</v>
      </c>
      <c r="CI31" s="5" t="s">
        <v>11972</v>
      </c>
      <c r="CJ31" s="5" t="s">
        <v>335</v>
      </c>
      <c r="CK31" s="5" t="s">
        <v>121</v>
      </c>
      <c r="CL31" s="5" t="s">
        <v>121</v>
      </c>
      <c r="CM31" s="5" t="s">
        <v>335</v>
      </c>
      <c r="CN31" s="5" t="s">
        <v>121</v>
      </c>
      <c r="CO31" s="5" t="s">
        <v>121</v>
      </c>
      <c r="CP31" s="5" t="s">
        <v>2854</v>
      </c>
      <c r="CQ31" s="5" t="s">
        <v>410</v>
      </c>
      <c r="CR31" s="5" t="s">
        <v>11960</v>
      </c>
      <c r="CS31" s="5" t="s">
        <v>3510</v>
      </c>
      <c r="CT31" s="5" t="s">
        <v>3510</v>
      </c>
      <c r="CU31" s="5" t="s">
        <v>3510</v>
      </c>
      <c r="CV31" s="5" t="s">
        <v>11952</v>
      </c>
      <c r="CW31" s="5" t="s">
        <v>11952</v>
      </c>
      <c r="CX31" s="5" t="s">
        <v>11961</v>
      </c>
      <c r="CY31" s="5" t="s">
        <v>12293</v>
      </c>
      <c r="CZ31" s="5" t="s">
        <v>3510</v>
      </c>
      <c r="DA31" s="5" t="s">
        <v>11952</v>
      </c>
      <c r="DB31" s="5" t="s">
        <v>11963</v>
      </c>
      <c r="DC31" s="5" t="s">
        <v>11963</v>
      </c>
      <c r="DD31" s="5" t="s">
        <v>11963</v>
      </c>
      <c r="DE31" s="5" t="s">
        <v>11963</v>
      </c>
      <c r="DF31" s="5" t="s">
        <v>3510</v>
      </c>
      <c r="DG31" s="5" t="s">
        <v>11964</v>
      </c>
      <c r="DH31" s="5" t="s">
        <v>12294</v>
      </c>
      <c r="DI31" s="5" t="s">
        <v>11975</v>
      </c>
      <c r="DJ31" s="5" t="s">
        <v>11994</v>
      </c>
      <c r="DK31" s="5" t="s">
        <v>12201</v>
      </c>
      <c r="DL31" s="5">
        <v>1</v>
      </c>
      <c r="DM31" s="5">
        <v>4</v>
      </c>
      <c r="DN31" s="5">
        <v>1.2</v>
      </c>
      <c r="DO31" s="5">
        <v>3</v>
      </c>
      <c r="DP31" s="5">
        <v>2</v>
      </c>
      <c r="DQ31" s="5">
        <v>1.5</v>
      </c>
      <c r="DR31" s="5">
        <v>0</v>
      </c>
      <c r="DS31" s="5">
        <v>39.6</v>
      </c>
      <c r="DT31" s="5" t="s">
        <v>12202</v>
      </c>
      <c r="DU31" s="5" t="s">
        <v>12203</v>
      </c>
      <c r="DV31" s="5" t="s">
        <v>11970</v>
      </c>
      <c r="DW31" s="5"/>
      <c r="DX31" s="5">
        <v>14</v>
      </c>
      <c r="DY31" s="5"/>
      <c r="DZ31" s="5">
        <v>98</v>
      </c>
      <c r="EA31" s="5"/>
      <c r="EB31" s="5">
        <v>0.16</v>
      </c>
      <c r="EC31" s="5"/>
      <c r="ED31" s="5" t="s">
        <v>11971</v>
      </c>
      <c r="EE31" s="5"/>
      <c r="EF31" s="5" t="s">
        <v>11997</v>
      </c>
      <c r="EG31" s="5"/>
      <c r="EH31" s="5" t="s">
        <v>11997</v>
      </c>
      <c r="EI31" s="5"/>
      <c r="EJ31" s="5" t="s">
        <v>11997</v>
      </c>
      <c r="EK31" s="5"/>
      <c r="EL31" s="5" t="s">
        <v>11997</v>
      </c>
      <c r="EM31" s="5"/>
      <c r="EN31" s="5" t="s">
        <v>11997</v>
      </c>
      <c r="EO31" s="5"/>
      <c r="EP31" s="5" t="s">
        <v>11998</v>
      </c>
      <c r="EQ31" s="5"/>
      <c r="ER31" s="5" t="s">
        <v>11997</v>
      </c>
      <c r="ES31" s="5"/>
      <c r="ET31" s="5" t="s">
        <v>11972</v>
      </c>
      <c r="EU31" s="5"/>
      <c r="EV31" s="5"/>
      <c r="EW31" s="5"/>
      <c r="EX31" s="5"/>
      <c r="EY31" s="5" t="s">
        <v>3717</v>
      </c>
      <c r="EZ31" s="5"/>
      <c r="FA31" s="5" t="s">
        <v>411</v>
      </c>
      <c r="FB31" s="5"/>
    </row>
    <row r="32" spans="1:158" ht="63.75">
      <c r="A32" s="5" t="s">
        <v>413</v>
      </c>
      <c r="B32" s="5" t="s">
        <v>414</v>
      </c>
      <c r="C32" s="5" t="s">
        <v>11952</v>
      </c>
      <c r="D32" s="5" t="s">
        <v>119</v>
      </c>
      <c r="E32" s="5" t="s">
        <v>11953</v>
      </c>
      <c r="F32" s="5" t="s">
        <v>11954</v>
      </c>
      <c r="G32" s="5" t="s">
        <v>11955</v>
      </c>
      <c r="H32" s="5" t="s">
        <v>11235</v>
      </c>
      <c r="I32" s="5" t="s">
        <v>129</v>
      </c>
      <c r="J32" s="5" t="s">
        <v>3510</v>
      </c>
      <c r="K32" s="5" t="s">
        <v>11956</v>
      </c>
      <c r="L32" s="5" t="s">
        <v>418</v>
      </c>
      <c r="M32" s="5" t="s">
        <v>418</v>
      </c>
      <c r="N32" s="5" t="s">
        <v>11952</v>
      </c>
      <c r="O32" s="5" t="s">
        <v>11952</v>
      </c>
      <c r="P32" s="5" t="s">
        <v>11952</v>
      </c>
      <c r="Q32" s="5" t="s">
        <v>11952</v>
      </c>
      <c r="R32" s="5" t="s">
        <v>11952</v>
      </c>
      <c r="S32" s="5" t="s">
        <v>11952</v>
      </c>
      <c r="T32" s="5" t="s">
        <v>121</v>
      </c>
      <c r="U32" s="5" t="s">
        <v>2854</v>
      </c>
      <c r="V32" s="5" t="s">
        <v>12295</v>
      </c>
      <c r="W32" s="5" t="s">
        <v>121</v>
      </c>
      <c r="X32" s="5" t="s">
        <v>121</v>
      </c>
      <c r="Y32" s="5" t="s">
        <v>121</v>
      </c>
      <c r="Z32" s="5" t="s">
        <v>121</v>
      </c>
      <c r="AA32" s="5" t="s">
        <v>11981</v>
      </c>
      <c r="AB32" s="5" t="s">
        <v>121</v>
      </c>
      <c r="AC32" s="5" t="s">
        <v>121</v>
      </c>
      <c r="AD32" s="5" t="s">
        <v>121</v>
      </c>
      <c r="AE32" s="5" t="s">
        <v>121</v>
      </c>
      <c r="AF32" s="5" t="s">
        <v>121</v>
      </c>
      <c r="AG32" s="5" t="s">
        <v>121</v>
      </c>
      <c r="AH32" s="5" t="s">
        <v>121</v>
      </c>
      <c r="AI32" s="5" t="s">
        <v>121</v>
      </c>
      <c r="AJ32" s="5" t="s">
        <v>121</v>
      </c>
      <c r="AK32" s="5" t="s">
        <v>121</v>
      </c>
      <c r="AL32" s="5" t="s">
        <v>121</v>
      </c>
      <c r="AM32" s="5" t="s">
        <v>121</v>
      </c>
      <c r="AN32" s="5" t="s">
        <v>121</v>
      </c>
      <c r="AO32" s="5" t="s">
        <v>121</v>
      </c>
      <c r="AP32" s="5" t="s">
        <v>121</v>
      </c>
      <c r="AQ32" s="5" t="s">
        <v>121</v>
      </c>
      <c r="AR32" s="5" t="s">
        <v>121</v>
      </c>
      <c r="AS32" s="5" t="s">
        <v>416</v>
      </c>
      <c r="AT32" s="5" t="s">
        <v>121</v>
      </c>
      <c r="AU32" s="5" t="s">
        <v>121</v>
      </c>
      <c r="AV32" s="5" t="s">
        <v>121</v>
      </c>
      <c r="AW32" s="5" t="s">
        <v>121</v>
      </c>
      <c r="AX32" s="5" t="s">
        <v>121</v>
      </c>
      <c r="AY32" s="5" t="s">
        <v>121</v>
      </c>
      <c r="AZ32" s="5" t="s">
        <v>121</v>
      </c>
      <c r="BA32" s="5" t="s">
        <v>121</v>
      </c>
      <c r="BB32" s="5" t="s">
        <v>3510</v>
      </c>
      <c r="BC32" s="5" t="s">
        <v>121</v>
      </c>
      <c r="BD32" s="5" t="s">
        <v>121</v>
      </c>
      <c r="BE32" s="5" t="s">
        <v>121</v>
      </c>
      <c r="BF32" s="5" t="s">
        <v>12296</v>
      </c>
      <c r="BG32" s="5" t="s">
        <v>121</v>
      </c>
      <c r="BH32" s="5" t="s">
        <v>11999</v>
      </c>
      <c r="BI32" s="5" t="s">
        <v>121</v>
      </c>
      <c r="BJ32" s="5" t="s">
        <v>121</v>
      </c>
      <c r="BK32" s="5" t="s">
        <v>121</v>
      </c>
      <c r="BL32" s="5" t="s">
        <v>12297</v>
      </c>
      <c r="BM32" s="5" t="s">
        <v>12297</v>
      </c>
      <c r="BN32" s="5" t="s">
        <v>121</v>
      </c>
      <c r="BO32" s="5" t="s">
        <v>121</v>
      </c>
      <c r="BP32" s="5" t="s">
        <v>121</v>
      </c>
      <c r="BQ32" s="5" t="s">
        <v>121</v>
      </c>
      <c r="BR32" s="5" t="s">
        <v>121</v>
      </c>
      <c r="BS32" s="5" t="s">
        <v>121</v>
      </c>
      <c r="BT32" s="5" t="s">
        <v>121</v>
      </c>
      <c r="BU32" s="5" t="s">
        <v>121</v>
      </c>
      <c r="BV32" s="5" t="s">
        <v>3510</v>
      </c>
      <c r="BW32" s="5" t="s">
        <v>3510</v>
      </c>
      <c r="BX32" s="5" t="s">
        <v>3510</v>
      </c>
      <c r="BY32" s="5" t="s">
        <v>121</v>
      </c>
      <c r="BZ32" s="5" t="s">
        <v>121</v>
      </c>
      <c r="CA32" s="5" t="s">
        <v>121</v>
      </c>
      <c r="CB32" s="5" t="s">
        <v>121</v>
      </c>
      <c r="CC32" s="5" t="s">
        <v>415</v>
      </c>
      <c r="CD32" s="5" t="s">
        <v>121</v>
      </c>
      <c r="CE32" s="5" t="s">
        <v>121</v>
      </c>
      <c r="CF32" s="5" t="s">
        <v>11958</v>
      </c>
      <c r="CG32" s="5" t="s">
        <v>121</v>
      </c>
      <c r="CH32" s="5" t="s">
        <v>121</v>
      </c>
      <c r="CI32" s="5" t="s">
        <v>11959</v>
      </c>
      <c r="CJ32" s="5" t="s">
        <v>159</v>
      </c>
      <c r="CK32" s="5" t="s">
        <v>121</v>
      </c>
      <c r="CL32" s="5" t="s">
        <v>121</v>
      </c>
      <c r="CM32" s="5" t="s">
        <v>159</v>
      </c>
      <c r="CN32" s="5" t="s">
        <v>121</v>
      </c>
      <c r="CO32" s="5" t="s">
        <v>121</v>
      </c>
      <c r="CP32" s="5" t="s">
        <v>3510</v>
      </c>
      <c r="CQ32" s="5" t="s">
        <v>417</v>
      </c>
      <c r="CR32" s="5" t="s">
        <v>11960</v>
      </c>
      <c r="CS32" s="5" t="s">
        <v>3510</v>
      </c>
      <c r="CT32" s="5" t="s">
        <v>3510</v>
      </c>
      <c r="CU32" s="5" t="s">
        <v>3510</v>
      </c>
      <c r="CV32" s="5" t="s">
        <v>11952</v>
      </c>
      <c r="CW32" s="5" t="s">
        <v>11952</v>
      </c>
      <c r="CX32" s="5" t="s">
        <v>11961</v>
      </c>
      <c r="CY32" s="5" t="s">
        <v>12298</v>
      </c>
      <c r="CZ32" s="5" t="s">
        <v>3510</v>
      </c>
      <c r="DA32" s="5" t="s">
        <v>11952</v>
      </c>
      <c r="DB32" s="5" t="s">
        <v>11963</v>
      </c>
      <c r="DC32" s="5" t="s">
        <v>11963</v>
      </c>
      <c r="DD32" s="5" t="s">
        <v>11963</v>
      </c>
      <c r="DE32" s="5" t="s">
        <v>11963</v>
      </c>
      <c r="DF32" s="5" t="s">
        <v>3510</v>
      </c>
      <c r="DG32" s="5" t="s">
        <v>11964</v>
      </c>
      <c r="DH32" s="5" t="s">
        <v>12299</v>
      </c>
      <c r="DI32" s="5" t="s">
        <v>11966</v>
      </c>
      <c r="DJ32" s="5" t="s">
        <v>11966</v>
      </c>
      <c r="DK32" s="5" t="s">
        <v>11967</v>
      </c>
      <c r="DL32" s="5">
        <v>2</v>
      </c>
      <c r="DM32" s="5">
        <v>2</v>
      </c>
      <c r="DN32" s="5">
        <v>1.5</v>
      </c>
      <c r="DO32" s="5">
        <v>0</v>
      </c>
      <c r="DP32" s="5">
        <v>3</v>
      </c>
      <c r="DQ32" s="5">
        <v>1</v>
      </c>
      <c r="DR32" s="5">
        <v>0</v>
      </c>
      <c r="DS32" s="5">
        <v>28.5</v>
      </c>
      <c r="DT32" s="5" t="s">
        <v>11968</v>
      </c>
      <c r="DU32" s="5" t="s">
        <v>11969</v>
      </c>
      <c r="DV32" s="5" t="s">
        <v>11970</v>
      </c>
      <c r="DW32" s="5"/>
      <c r="DX32" s="5">
        <v>8</v>
      </c>
      <c r="DY32" s="5"/>
      <c r="DZ32" s="5">
        <v>100</v>
      </c>
      <c r="EA32" s="5"/>
      <c r="EB32" s="5">
        <v>0.08</v>
      </c>
      <c r="EC32" s="5"/>
      <c r="ED32" s="5" t="s">
        <v>11971</v>
      </c>
      <c r="EE32" s="5"/>
      <c r="EF32" s="5" t="s">
        <v>11997</v>
      </c>
      <c r="EG32" s="5"/>
      <c r="EH32" s="5" t="s">
        <v>11997</v>
      </c>
      <c r="EI32" s="5"/>
      <c r="EJ32" s="5" t="s">
        <v>11997</v>
      </c>
      <c r="EK32" s="5"/>
      <c r="EL32" s="5" t="s">
        <v>11997</v>
      </c>
      <c r="EM32" s="5"/>
      <c r="EN32" s="5" t="s">
        <v>11997</v>
      </c>
      <c r="EO32" s="5"/>
      <c r="EP32" s="5" t="s">
        <v>11998</v>
      </c>
      <c r="EQ32" s="5"/>
      <c r="ER32" s="5" t="s">
        <v>11997</v>
      </c>
      <c r="ES32" s="5"/>
      <c r="ET32" s="5" t="s">
        <v>11972</v>
      </c>
      <c r="EU32" s="5"/>
      <c r="EV32" s="5"/>
      <c r="EW32" s="5"/>
      <c r="EX32" s="5"/>
      <c r="EY32" s="5" t="s">
        <v>3745</v>
      </c>
      <c r="EZ32" s="5"/>
      <c r="FA32" s="5" t="s">
        <v>418</v>
      </c>
      <c r="FB32" s="5"/>
    </row>
    <row r="33" spans="1:158" ht="89.25">
      <c r="A33" s="5" t="s">
        <v>420</v>
      </c>
      <c r="B33" s="5" t="s">
        <v>421</v>
      </c>
      <c r="C33" s="5" t="s">
        <v>11952</v>
      </c>
      <c r="D33" s="5" t="s">
        <v>121</v>
      </c>
      <c r="E33" s="5" t="s">
        <v>11953</v>
      </c>
      <c r="F33" s="5" t="s">
        <v>11954</v>
      </c>
      <c r="G33" s="5" t="s">
        <v>11955</v>
      </c>
      <c r="H33" s="5" t="s">
        <v>11238</v>
      </c>
      <c r="I33" s="5" t="s">
        <v>129</v>
      </c>
      <c r="J33" s="5" t="s">
        <v>3510</v>
      </c>
      <c r="K33" s="5" t="s">
        <v>11956</v>
      </c>
      <c r="L33" s="5" t="s">
        <v>431</v>
      </c>
      <c r="M33" s="5" t="s">
        <v>431</v>
      </c>
      <c r="N33" s="5" t="s">
        <v>11952</v>
      </c>
      <c r="O33" s="5" t="s">
        <v>11952</v>
      </c>
      <c r="P33" s="5" t="s">
        <v>11952</v>
      </c>
      <c r="Q33" s="5" t="s">
        <v>11952</v>
      </c>
      <c r="R33" s="5" t="s">
        <v>11952</v>
      </c>
      <c r="S33" s="5" t="s">
        <v>12300</v>
      </c>
      <c r="T33" s="5" t="s">
        <v>12301</v>
      </c>
      <c r="U33" s="5" t="s">
        <v>2854</v>
      </c>
      <c r="V33" s="5" t="s">
        <v>12300</v>
      </c>
      <c r="W33" s="5" t="s">
        <v>121</v>
      </c>
      <c r="X33" s="5" t="s">
        <v>12300</v>
      </c>
      <c r="Y33" s="5" t="s">
        <v>121</v>
      </c>
      <c r="Z33" s="5" t="s">
        <v>12276</v>
      </c>
      <c r="AA33" s="5" t="s">
        <v>11981</v>
      </c>
      <c r="AB33" s="5" t="s">
        <v>155</v>
      </c>
      <c r="AC33" s="5" t="s">
        <v>427</v>
      </c>
      <c r="AD33" s="5" t="s">
        <v>121</v>
      </c>
      <c r="AE33" s="5" t="s">
        <v>121</v>
      </c>
      <c r="AF33" s="5" t="s">
        <v>427</v>
      </c>
      <c r="AG33" s="5" t="s">
        <v>121</v>
      </c>
      <c r="AH33" s="5" t="s">
        <v>12302</v>
      </c>
      <c r="AI33" s="5" t="s">
        <v>1549</v>
      </c>
      <c r="AJ33" s="5" t="s">
        <v>121</v>
      </c>
      <c r="AK33" s="5" t="s">
        <v>121</v>
      </c>
      <c r="AL33" s="5" t="s">
        <v>121</v>
      </c>
      <c r="AM33" s="5" t="s">
        <v>121</v>
      </c>
      <c r="AN33" s="5" t="s">
        <v>12303</v>
      </c>
      <c r="AO33" s="5" t="s">
        <v>121</v>
      </c>
      <c r="AP33" s="5" t="s">
        <v>121</v>
      </c>
      <c r="AQ33" s="5" t="s">
        <v>121</v>
      </c>
      <c r="AR33" s="5" t="s">
        <v>121</v>
      </c>
      <c r="AS33" s="5" t="s">
        <v>428</v>
      </c>
      <c r="AT33" s="5" t="s">
        <v>121</v>
      </c>
      <c r="AU33" s="5" t="s">
        <v>423</v>
      </c>
      <c r="AV33" s="5" t="s">
        <v>121</v>
      </c>
      <c r="AW33" s="5" t="s">
        <v>121</v>
      </c>
      <c r="AX33" s="5" t="s">
        <v>121</v>
      </c>
      <c r="AY33" s="5" t="s">
        <v>121</v>
      </c>
      <c r="AZ33" s="5" t="s">
        <v>121</v>
      </c>
      <c r="BA33" s="5" t="s">
        <v>121</v>
      </c>
      <c r="BB33" s="5" t="s">
        <v>121</v>
      </c>
      <c r="BC33" s="5" t="s">
        <v>121</v>
      </c>
      <c r="BD33" s="5" t="s">
        <v>121</v>
      </c>
      <c r="BE33" s="5" t="s">
        <v>121</v>
      </c>
      <c r="BF33" s="5" t="s">
        <v>121</v>
      </c>
      <c r="BG33" s="5" t="s">
        <v>121</v>
      </c>
      <c r="BH33" s="5" t="s">
        <v>12304</v>
      </c>
      <c r="BI33" s="5" t="s">
        <v>121</v>
      </c>
      <c r="BJ33" s="5" t="s">
        <v>424</v>
      </c>
      <c r="BK33" s="5" t="s">
        <v>1549</v>
      </c>
      <c r="BL33" s="5" t="s">
        <v>12305</v>
      </c>
      <c r="BM33" s="5" t="s">
        <v>12305</v>
      </c>
      <c r="BN33" s="5" t="s">
        <v>425</v>
      </c>
      <c r="BO33" s="5" t="s">
        <v>121</v>
      </c>
      <c r="BP33" s="5" t="s">
        <v>121</v>
      </c>
      <c r="BQ33" s="5" t="s">
        <v>121</v>
      </c>
      <c r="BR33" s="5" t="s">
        <v>2854</v>
      </c>
      <c r="BS33" s="5" t="s">
        <v>121</v>
      </c>
      <c r="BT33" s="5" t="s">
        <v>121</v>
      </c>
      <c r="BU33" s="5" t="s">
        <v>121</v>
      </c>
      <c r="BV33" s="5" t="s">
        <v>121</v>
      </c>
      <c r="BW33" s="5" t="s">
        <v>121</v>
      </c>
      <c r="BX33" s="5" t="s">
        <v>121</v>
      </c>
      <c r="BY33" s="5" t="s">
        <v>12091</v>
      </c>
      <c r="BZ33" s="5" t="s">
        <v>121</v>
      </c>
      <c r="CA33" s="5" t="s">
        <v>121</v>
      </c>
      <c r="CB33" s="5" t="s">
        <v>121</v>
      </c>
      <c r="CC33" s="5" t="s">
        <v>422</v>
      </c>
      <c r="CD33" s="5" t="s">
        <v>121</v>
      </c>
      <c r="CE33" s="5" t="s">
        <v>121</v>
      </c>
      <c r="CF33" s="5" t="s">
        <v>11958</v>
      </c>
      <c r="CG33" s="5" t="s">
        <v>121</v>
      </c>
      <c r="CH33" s="5" t="s">
        <v>121</v>
      </c>
      <c r="CI33" s="5" t="s">
        <v>11972</v>
      </c>
      <c r="CJ33" s="5" t="s">
        <v>426</v>
      </c>
      <c r="CK33" s="5" t="s">
        <v>121</v>
      </c>
      <c r="CL33" s="5" t="s">
        <v>121</v>
      </c>
      <c r="CM33" s="5" t="s">
        <v>426</v>
      </c>
      <c r="CN33" s="5" t="s">
        <v>121</v>
      </c>
      <c r="CO33" s="5" t="s">
        <v>121</v>
      </c>
      <c r="CP33" s="5" t="s">
        <v>3510</v>
      </c>
      <c r="CQ33" s="5" t="s">
        <v>429</v>
      </c>
      <c r="CR33" s="5" t="s">
        <v>11960</v>
      </c>
      <c r="CS33" s="5" t="s">
        <v>3510</v>
      </c>
      <c r="CT33" s="5" t="s">
        <v>3510</v>
      </c>
      <c r="CU33" s="5" t="s">
        <v>3510</v>
      </c>
      <c r="CV33" s="5" t="s">
        <v>11952</v>
      </c>
      <c r="CW33" s="5" t="s">
        <v>11952</v>
      </c>
      <c r="CX33" s="5" t="s">
        <v>12086</v>
      </c>
      <c r="CY33" s="5" t="s">
        <v>12306</v>
      </c>
      <c r="CZ33" s="5" t="s">
        <v>11952</v>
      </c>
      <c r="DA33" s="5" t="s">
        <v>11952</v>
      </c>
      <c r="DB33" s="5" t="s">
        <v>11963</v>
      </c>
      <c r="DC33" s="5" t="s">
        <v>11963</v>
      </c>
      <c r="DD33" s="5" t="s">
        <v>11963</v>
      </c>
      <c r="DE33" s="5" t="s">
        <v>11963</v>
      </c>
      <c r="DF33" s="5" t="s">
        <v>3510</v>
      </c>
      <c r="DG33" s="5" t="s">
        <v>12307</v>
      </c>
      <c r="DH33" s="5" t="s">
        <v>12308</v>
      </c>
      <c r="DI33" s="5" t="s">
        <v>11966</v>
      </c>
      <c r="DJ33" s="5" t="s">
        <v>11994</v>
      </c>
      <c r="DK33" s="5" t="s">
        <v>12309</v>
      </c>
      <c r="DL33" s="5">
        <v>1</v>
      </c>
      <c r="DM33" s="5">
        <v>4</v>
      </c>
      <c r="DN33" s="5">
        <v>2.5</v>
      </c>
      <c r="DO33" s="5">
        <v>4</v>
      </c>
      <c r="DP33" s="5">
        <v>3</v>
      </c>
      <c r="DQ33" s="5">
        <v>1</v>
      </c>
      <c r="DR33" s="5">
        <v>0</v>
      </c>
      <c r="DS33" s="5">
        <v>47.5</v>
      </c>
      <c r="DT33" s="5" t="s">
        <v>11968</v>
      </c>
      <c r="DU33" s="5" t="s">
        <v>11969</v>
      </c>
      <c r="DV33" s="5" t="s">
        <v>11970</v>
      </c>
      <c r="DW33" s="5"/>
      <c r="DX33" s="5">
        <v>8</v>
      </c>
      <c r="DY33" s="5"/>
      <c r="DZ33" s="5">
        <v>100</v>
      </c>
      <c r="EA33" s="5"/>
      <c r="EB33" s="5">
        <v>0.08</v>
      </c>
      <c r="EC33" s="5"/>
      <c r="ED33" s="5" t="s">
        <v>11971</v>
      </c>
      <c r="EE33" s="5"/>
      <c r="EF33" s="5" t="s">
        <v>11997</v>
      </c>
      <c r="EG33" s="5"/>
      <c r="EH33" s="5" t="s">
        <v>11997</v>
      </c>
      <c r="EI33" s="5"/>
      <c r="EJ33" s="5" t="s">
        <v>11997</v>
      </c>
      <c r="EK33" s="5"/>
      <c r="EL33" s="5" t="s">
        <v>11997</v>
      </c>
      <c r="EM33" s="5"/>
      <c r="EN33" s="5" t="s">
        <v>11997</v>
      </c>
      <c r="EO33" s="5"/>
      <c r="EP33" s="5" t="s">
        <v>11998</v>
      </c>
      <c r="EQ33" s="5"/>
      <c r="ER33" s="5" t="s">
        <v>11997</v>
      </c>
      <c r="ES33" s="5"/>
      <c r="ET33" s="5" t="s">
        <v>11972</v>
      </c>
      <c r="EU33" s="5"/>
      <c r="EV33" s="5"/>
      <c r="EW33" s="5"/>
      <c r="EX33" s="5"/>
      <c r="EY33" s="5" t="s">
        <v>3770</v>
      </c>
      <c r="EZ33" s="5"/>
      <c r="FA33" s="5" t="s">
        <v>431</v>
      </c>
      <c r="FB33" s="5"/>
    </row>
    <row r="34" spans="1:158" ht="267.75">
      <c r="A34" s="5" t="s">
        <v>433</v>
      </c>
      <c r="B34" s="5" t="s">
        <v>434</v>
      </c>
      <c r="C34" s="5" t="s">
        <v>12310</v>
      </c>
      <c r="D34" s="5" t="s">
        <v>12311</v>
      </c>
      <c r="E34" s="5" t="s">
        <v>12011</v>
      </c>
      <c r="F34" s="5" t="s">
        <v>11994</v>
      </c>
      <c r="G34" s="5" t="s">
        <v>12312</v>
      </c>
      <c r="H34" s="5" t="s">
        <v>11977</v>
      </c>
      <c r="I34" s="5" t="s">
        <v>129</v>
      </c>
      <c r="J34" s="5" t="s">
        <v>3510</v>
      </c>
      <c r="K34" s="5" t="s">
        <v>12151</v>
      </c>
      <c r="L34" s="5" t="s">
        <v>446</v>
      </c>
      <c r="M34" s="5" t="s">
        <v>446</v>
      </c>
      <c r="N34" s="5" t="s">
        <v>11952</v>
      </c>
      <c r="O34" s="5" t="s">
        <v>11952</v>
      </c>
      <c r="P34" s="5" t="s">
        <v>11952</v>
      </c>
      <c r="Q34" s="5" t="s">
        <v>11952</v>
      </c>
      <c r="R34" s="5" t="s">
        <v>11952</v>
      </c>
      <c r="S34" s="5" t="s">
        <v>11952</v>
      </c>
      <c r="T34" s="5" t="s">
        <v>121</v>
      </c>
      <c r="U34" s="5" t="s">
        <v>2854</v>
      </c>
      <c r="V34" s="5" t="s">
        <v>12313</v>
      </c>
      <c r="W34" s="5" t="s">
        <v>121</v>
      </c>
      <c r="X34" s="5" t="s">
        <v>446</v>
      </c>
      <c r="Y34" s="5" t="s">
        <v>121</v>
      </c>
      <c r="Z34" s="5" t="s">
        <v>121</v>
      </c>
      <c r="AA34" s="5" t="s">
        <v>11981</v>
      </c>
      <c r="AB34" s="5" t="s">
        <v>155</v>
      </c>
      <c r="AC34" s="5" t="s">
        <v>12314</v>
      </c>
      <c r="AD34" s="5" t="s">
        <v>121</v>
      </c>
      <c r="AE34" s="5" t="s">
        <v>121</v>
      </c>
      <c r="AF34" s="5" t="s">
        <v>12314</v>
      </c>
      <c r="AG34" s="5" t="s">
        <v>121</v>
      </c>
      <c r="AH34" s="5" t="s">
        <v>121</v>
      </c>
      <c r="AI34" s="5" t="s">
        <v>121</v>
      </c>
      <c r="AJ34" s="5" t="s">
        <v>121</v>
      </c>
      <c r="AK34" s="5" t="s">
        <v>121</v>
      </c>
      <c r="AL34" s="5" t="s">
        <v>121</v>
      </c>
      <c r="AM34" s="5" t="s">
        <v>121</v>
      </c>
      <c r="AN34" s="5" t="s">
        <v>12315</v>
      </c>
      <c r="AO34" s="5" t="s">
        <v>121</v>
      </c>
      <c r="AP34" s="5" t="s">
        <v>121</v>
      </c>
      <c r="AQ34" s="5" t="s">
        <v>121</v>
      </c>
      <c r="AR34" s="5" t="s">
        <v>121</v>
      </c>
      <c r="AS34" s="5" t="s">
        <v>12316</v>
      </c>
      <c r="AT34" s="5" t="s">
        <v>121</v>
      </c>
      <c r="AU34" s="5" t="s">
        <v>12317</v>
      </c>
      <c r="AV34" s="5" t="s">
        <v>121</v>
      </c>
      <c r="AW34" s="5" t="s">
        <v>121</v>
      </c>
      <c r="AX34" s="5" t="s">
        <v>121</v>
      </c>
      <c r="AY34" s="5" t="s">
        <v>121</v>
      </c>
      <c r="AZ34" s="5" t="s">
        <v>121</v>
      </c>
      <c r="BA34" s="5" t="s">
        <v>121</v>
      </c>
      <c r="BB34" s="5" t="s">
        <v>3510</v>
      </c>
      <c r="BC34" s="5" t="s">
        <v>121</v>
      </c>
      <c r="BD34" s="5" t="s">
        <v>121</v>
      </c>
      <c r="BE34" s="5" t="s">
        <v>121</v>
      </c>
      <c r="BF34" s="5" t="s">
        <v>121</v>
      </c>
      <c r="BG34" s="5" t="s">
        <v>121</v>
      </c>
      <c r="BH34" s="5" t="s">
        <v>12292</v>
      </c>
      <c r="BI34" s="5" t="s">
        <v>121</v>
      </c>
      <c r="BJ34" s="5" t="s">
        <v>12318</v>
      </c>
      <c r="BK34" s="5" t="s">
        <v>121</v>
      </c>
      <c r="BL34" s="5" t="s">
        <v>1273</v>
      </c>
      <c r="BM34" s="5" t="s">
        <v>1273</v>
      </c>
      <c r="BN34" s="5" t="s">
        <v>12319</v>
      </c>
      <c r="BO34" s="5" t="s">
        <v>11984</v>
      </c>
      <c r="BP34" s="5" t="s">
        <v>121</v>
      </c>
      <c r="BQ34" s="5" t="s">
        <v>121</v>
      </c>
      <c r="BR34" s="5" t="s">
        <v>2854</v>
      </c>
      <c r="BS34" s="5" t="s">
        <v>121</v>
      </c>
      <c r="BT34" s="5" t="s">
        <v>121</v>
      </c>
      <c r="BU34" s="5" t="s">
        <v>121</v>
      </c>
      <c r="BV34" s="5" t="s">
        <v>3510</v>
      </c>
      <c r="BW34" s="5" t="s">
        <v>3510</v>
      </c>
      <c r="BX34" s="5" t="s">
        <v>3510</v>
      </c>
      <c r="BY34" s="5" t="s">
        <v>12320</v>
      </c>
      <c r="BZ34" s="5" t="s">
        <v>12321</v>
      </c>
      <c r="CA34" s="5" t="s">
        <v>121</v>
      </c>
      <c r="CB34" s="5" t="s">
        <v>121</v>
      </c>
      <c r="CC34" s="5" t="s">
        <v>12322</v>
      </c>
      <c r="CD34" s="5" t="s">
        <v>121</v>
      </c>
      <c r="CE34" s="5" t="s">
        <v>121</v>
      </c>
      <c r="CF34" s="5" t="s">
        <v>11958</v>
      </c>
      <c r="CG34" s="5" t="s">
        <v>121</v>
      </c>
      <c r="CH34" s="5" t="s">
        <v>121</v>
      </c>
      <c r="CI34" s="5" t="s">
        <v>11959</v>
      </c>
      <c r="CJ34" s="5" t="s">
        <v>1061</v>
      </c>
      <c r="CK34" s="5" t="s">
        <v>12323</v>
      </c>
      <c r="CL34" s="5" t="s">
        <v>121</v>
      </c>
      <c r="CM34" s="5" t="s">
        <v>1061</v>
      </c>
      <c r="CN34" s="5" t="s">
        <v>121</v>
      </c>
      <c r="CO34" s="5" t="s">
        <v>121</v>
      </c>
      <c r="CP34" s="5" t="s">
        <v>3510</v>
      </c>
      <c r="CQ34" s="5" t="s">
        <v>12324</v>
      </c>
      <c r="CR34" s="5" t="s">
        <v>11960</v>
      </c>
      <c r="CS34" s="5" t="s">
        <v>3510</v>
      </c>
      <c r="CT34" s="5" t="s">
        <v>3510</v>
      </c>
      <c r="CU34" s="5" t="s">
        <v>3510</v>
      </c>
      <c r="CV34" s="5" t="s">
        <v>11952</v>
      </c>
      <c r="CW34" s="5" t="s">
        <v>11952</v>
      </c>
      <c r="CX34" s="5" t="s">
        <v>11987</v>
      </c>
      <c r="CY34" s="5" t="s">
        <v>12325</v>
      </c>
      <c r="CZ34" s="5" t="s">
        <v>11989</v>
      </c>
      <c r="DA34" s="5" t="s">
        <v>11989</v>
      </c>
      <c r="DB34" s="5" t="s">
        <v>12326</v>
      </c>
      <c r="DC34" s="5" t="s">
        <v>12327</v>
      </c>
      <c r="DD34" s="5" t="s">
        <v>11963</v>
      </c>
      <c r="DE34" s="5" t="s">
        <v>12328</v>
      </c>
      <c r="DF34" s="5" t="s">
        <v>3510</v>
      </c>
      <c r="DG34" s="5" t="s">
        <v>12329</v>
      </c>
      <c r="DH34" s="5" t="s">
        <v>12330</v>
      </c>
      <c r="DI34" s="5" t="s">
        <v>11975</v>
      </c>
      <c r="DJ34" s="5" t="s">
        <v>11994</v>
      </c>
      <c r="DK34" s="5" t="s">
        <v>12331</v>
      </c>
      <c r="DL34" s="5">
        <v>2</v>
      </c>
      <c r="DM34" s="5">
        <v>4.7</v>
      </c>
      <c r="DN34" s="5">
        <v>3.2</v>
      </c>
      <c r="DO34" s="5">
        <v>3</v>
      </c>
      <c r="DP34" s="5">
        <v>2.2999999999999998</v>
      </c>
      <c r="DQ34" s="5">
        <v>1</v>
      </c>
      <c r="DR34" s="5">
        <v>0</v>
      </c>
      <c r="DS34" s="5">
        <v>52</v>
      </c>
      <c r="DT34" s="5" t="s">
        <v>11968</v>
      </c>
      <c r="DU34" s="5" t="s">
        <v>11996</v>
      </c>
      <c r="DV34" s="5" t="s">
        <v>11970</v>
      </c>
      <c r="DW34" s="5"/>
      <c r="DX34" s="5">
        <v>16</v>
      </c>
      <c r="DY34" s="5"/>
      <c r="DZ34" s="5">
        <v>98</v>
      </c>
      <c r="EA34" s="5"/>
      <c r="EB34" s="5">
        <v>0.18</v>
      </c>
      <c r="EC34" s="5"/>
      <c r="ED34" s="5" t="s">
        <v>11971</v>
      </c>
      <c r="EE34" s="5"/>
      <c r="EF34" s="5" t="s">
        <v>11997</v>
      </c>
      <c r="EG34" s="5"/>
      <c r="EH34" s="5" t="s">
        <v>11997</v>
      </c>
      <c r="EI34" s="5"/>
      <c r="EJ34" s="5" t="s">
        <v>11997</v>
      </c>
      <c r="EK34" s="5"/>
      <c r="EL34" s="5" t="s">
        <v>11997</v>
      </c>
      <c r="EM34" s="5"/>
      <c r="EN34" s="5" t="s">
        <v>11997</v>
      </c>
      <c r="EO34" s="5"/>
      <c r="EP34" s="5" t="s">
        <v>11998</v>
      </c>
      <c r="EQ34" s="5"/>
      <c r="ER34" s="5" t="s">
        <v>11997</v>
      </c>
      <c r="ES34" s="5"/>
      <c r="ET34" s="5" t="s">
        <v>11972</v>
      </c>
      <c r="EU34" s="5"/>
      <c r="EV34" s="5"/>
      <c r="EW34" s="5"/>
      <c r="EX34" s="5"/>
      <c r="EY34" s="5" t="s">
        <v>12332</v>
      </c>
      <c r="EZ34" s="5"/>
      <c r="FA34" s="5" t="s">
        <v>446</v>
      </c>
      <c r="FB34" s="5"/>
    </row>
    <row r="35" spans="1:158" ht="280.5">
      <c r="A35" s="5" t="s">
        <v>448</v>
      </c>
      <c r="B35" s="5" t="s">
        <v>449</v>
      </c>
      <c r="C35" s="5" t="s">
        <v>12333</v>
      </c>
      <c r="D35" s="5" t="s">
        <v>450</v>
      </c>
      <c r="E35" s="5" t="s">
        <v>12011</v>
      </c>
      <c r="F35" s="5" t="s">
        <v>11994</v>
      </c>
      <c r="G35" s="5" t="s">
        <v>12334</v>
      </c>
      <c r="H35" s="5" t="s">
        <v>12096</v>
      </c>
      <c r="I35" s="5" t="s">
        <v>129</v>
      </c>
      <c r="J35" s="5" t="s">
        <v>3510</v>
      </c>
      <c r="K35" s="5" t="s">
        <v>12335</v>
      </c>
      <c r="L35" s="5" t="s">
        <v>459</v>
      </c>
      <c r="M35" s="5" t="s">
        <v>459</v>
      </c>
      <c r="N35" s="5" t="s">
        <v>11952</v>
      </c>
      <c r="O35" s="5" t="s">
        <v>11952</v>
      </c>
      <c r="P35" s="5" t="s">
        <v>11952</v>
      </c>
      <c r="Q35" s="5" t="s">
        <v>11952</v>
      </c>
      <c r="R35" s="5" t="s">
        <v>11952</v>
      </c>
      <c r="S35" s="5" t="s">
        <v>12336</v>
      </c>
      <c r="T35" s="5" t="s">
        <v>12337</v>
      </c>
      <c r="U35" s="5" t="s">
        <v>2854</v>
      </c>
      <c r="V35" s="5" t="s">
        <v>12338</v>
      </c>
      <c r="W35" s="5" t="s">
        <v>12339</v>
      </c>
      <c r="X35" s="5" t="s">
        <v>12340</v>
      </c>
      <c r="Y35" s="5" t="s">
        <v>121</v>
      </c>
      <c r="Z35" s="5" t="s">
        <v>2854</v>
      </c>
      <c r="AA35" s="5" t="s">
        <v>11981</v>
      </c>
      <c r="AB35" s="5" t="s">
        <v>155</v>
      </c>
      <c r="AC35" s="5" t="s">
        <v>456</v>
      </c>
      <c r="AD35" s="5" t="s">
        <v>121</v>
      </c>
      <c r="AE35" s="5" t="s">
        <v>121</v>
      </c>
      <c r="AF35" s="5" t="s">
        <v>456</v>
      </c>
      <c r="AG35" s="5" t="s">
        <v>12341</v>
      </c>
      <c r="AH35" s="5" t="s">
        <v>121</v>
      </c>
      <c r="AI35" s="5" t="s">
        <v>121</v>
      </c>
      <c r="AJ35" s="5" t="s">
        <v>121</v>
      </c>
      <c r="AK35" s="5" t="s">
        <v>121</v>
      </c>
      <c r="AL35" s="5" t="s">
        <v>121</v>
      </c>
      <c r="AM35" s="5" t="s">
        <v>121</v>
      </c>
      <c r="AN35" s="5" t="s">
        <v>12342</v>
      </c>
      <c r="AO35" s="5" t="s">
        <v>121</v>
      </c>
      <c r="AP35" s="5" t="s">
        <v>1350</v>
      </c>
      <c r="AQ35" s="5" t="s">
        <v>121</v>
      </c>
      <c r="AR35" s="5" t="s">
        <v>12343</v>
      </c>
      <c r="AS35" s="5" t="s">
        <v>457</v>
      </c>
      <c r="AT35" s="5" t="s">
        <v>121</v>
      </c>
      <c r="AU35" s="5" t="s">
        <v>452</v>
      </c>
      <c r="AV35" s="5" t="s">
        <v>121</v>
      </c>
      <c r="AW35" s="5" t="s">
        <v>121</v>
      </c>
      <c r="AX35" s="5" t="s">
        <v>12344</v>
      </c>
      <c r="AY35" s="5" t="s">
        <v>121</v>
      </c>
      <c r="AZ35" s="5" t="s">
        <v>121</v>
      </c>
      <c r="BA35" s="5" t="s">
        <v>121</v>
      </c>
      <c r="BB35" s="5" t="s">
        <v>121</v>
      </c>
      <c r="BC35" s="5" t="s">
        <v>2854</v>
      </c>
      <c r="BD35" s="5" t="s">
        <v>121</v>
      </c>
      <c r="BE35" s="5" t="s">
        <v>121</v>
      </c>
      <c r="BF35" s="5" t="s">
        <v>12345</v>
      </c>
      <c r="BG35" s="5" t="s">
        <v>121</v>
      </c>
      <c r="BH35" s="5" t="s">
        <v>12346</v>
      </c>
      <c r="BI35" s="5" t="s">
        <v>12346</v>
      </c>
      <c r="BJ35" s="5" t="s">
        <v>453</v>
      </c>
      <c r="BK35" s="5" t="s">
        <v>121</v>
      </c>
      <c r="BL35" s="5" t="s">
        <v>12347</v>
      </c>
      <c r="BM35" s="5" t="s">
        <v>12347</v>
      </c>
      <c r="BN35" s="5" t="s">
        <v>454</v>
      </c>
      <c r="BO35" s="5" t="s">
        <v>121</v>
      </c>
      <c r="BP35" s="5" t="s">
        <v>2854</v>
      </c>
      <c r="BQ35" s="5" t="s">
        <v>2854</v>
      </c>
      <c r="BR35" s="5" t="s">
        <v>121</v>
      </c>
      <c r="BS35" s="5" t="s">
        <v>121</v>
      </c>
      <c r="BT35" s="5" t="s">
        <v>121</v>
      </c>
      <c r="BU35" s="5" t="s">
        <v>121</v>
      </c>
      <c r="BV35" s="5" t="s">
        <v>121</v>
      </c>
      <c r="BW35" s="5" t="s">
        <v>121</v>
      </c>
      <c r="BX35" s="5" t="s">
        <v>121</v>
      </c>
      <c r="BY35" s="5" t="s">
        <v>12348</v>
      </c>
      <c r="BZ35" s="5" t="s">
        <v>12349</v>
      </c>
      <c r="CA35" s="5" t="s">
        <v>121</v>
      </c>
      <c r="CB35" s="5" t="s">
        <v>121</v>
      </c>
      <c r="CC35" s="5" t="s">
        <v>451</v>
      </c>
      <c r="CD35" s="5" t="s">
        <v>12350</v>
      </c>
      <c r="CE35" s="5" t="s">
        <v>12350</v>
      </c>
      <c r="CF35" s="5" t="s">
        <v>11958</v>
      </c>
      <c r="CG35" s="5" t="s">
        <v>12351</v>
      </c>
      <c r="CH35" s="5" t="s">
        <v>12352</v>
      </c>
      <c r="CI35" s="5" t="s">
        <v>12108</v>
      </c>
      <c r="CJ35" s="5" t="s">
        <v>455</v>
      </c>
      <c r="CK35" s="5" t="s">
        <v>121</v>
      </c>
      <c r="CL35" s="5" t="s">
        <v>3510</v>
      </c>
      <c r="CM35" s="5" t="s">
        <v>455</v>
      </c>
      <c r="CN35" s="5" t="s">
        <v>121</v>
      </c>
      <c r="CO35" s="5" t="s">
        <v>121</v>
      </c>
      <c r="CP35" s="5" t="s">
        <v>2854</v>
      </c>
      <c r="CQ35" s="5" t="s">
        <v>458</v>
      </c>
      <c r="CR35" s="5" t="s">
        <v>11960</v>
      </c>
      <c r="CS35" s="5" t="s">
        <v>3510</v>
      </c>
      <c r="CT35" s="5" t="s">
        <v>3510</v>
      </c>
      <c r="CU35" s="5" t="s">
        <v>3510</v>
      </c>
      <c r="CV35" s="5" t="s">
        <v>11952</v>
      </c>
      <c r="CW35" s="5" t="s">
        <v>11952</v>
      </c>
      <c r="CX35" s="5" t="s">
        <v>12190</v>
      </c>
      <c r="CY35" s="5" t="s">
        <v>12353</v>
      </c>
      <c r="CZ35" s="5" t="s">
        <v>11952</v>
      </c>
      <c r="DA35" s="5" t="s">
        <v>11989</v>
      </c>
      <c r="DB35" s="5" t="s">
        <v>11963</v>
      </c>
      <c r="DC35" s="5" t="s">
        <v>12354</v>
      </c>
      <c r="DD35" s="5" t="s">
        <v>11963</v>
      </c>
      <c r="DE35" s="5" t="s">
        <v>12355</v>
      </c>
      <c r="DF35" s="5" t="s">
        <v>2854</v>
      </c>
      <c r="DG35" s="5" t="s">
        <v>12356</v>
      </c>
      <c r="DH35" s="5" t="s">
        <v>12357</v>
      </c>
      <c r="DI35" s="5" t="s">
        <v>11966</v>
      </c>
      <c r="DJ35" s="5" t="s">
        <v>12044</v>
      </c>
      <c r="DK35" s="5" t="s">
        <v>12358</v>
      </c>
      <c r="DL35" s="5">
        <v>2.5</v>
      </c>
      <c r="DM35" s="5">
        <v>4</v>
      </c>
      <c r="DN35" s="5">
        <v>3.5</v>
      </c>
      <c r="DO35" s="5">
        <v>4</v>
      </c>
      <c r="DP35" s="5">
        <v>3</v>
      </c>
      <c r="DQ35" s="5">
        <v>2</v>
      </c>
      <c r="DR35" s="5">
        <v>0.5</v>
      </c>
      <c r="DS35" s="5">
        <v>59.5</v>
      </c>
      <c r="DT35" s="5" t="s">
        <v>11968</v>
      </c>
      <c r="DU35" s="5" t="s">
        <v>12116</v>
      </c>
      <c r="DV35" s="5" t="s">
        <v>11970</v>
      </c>
      <c r="DW35" s="5"/>
      <c r="DX35" s="5">
        <v>12</v>
      </c>
      <c r="DY35" s="5"/>
      <c r="DZ35" s="5">
        <v>100</v>
      </c>
      <c r="EA35" s="5"/>
      <c r="EB35" s="5">
        <v>0.12</v>
      </c>
      <c r="EC35" s="5"/>
      <c r="ED35" s="5" t="s">
        <v>11971</v>
      </c>
      <c r="EE35" s="5"/>
      <c r="EF35" s="5" t="s">
        <v>11997</v>
      </c>
      <c r="EG35" s="5"/>
      <c r="EH35" s="5" t="s">
        <v>11997</v>
      </c>
      <c r="EI35" s="5"/>
      <c r="EJ35" s="5" t="s">
        <v>11997</v>
      </c>
      <c r="EK35" s="5"/>
      <c r="EL35" s="5" t="s">
        <v>11997</v>
      </c>
      <c r="EM35" s="5"/>
      <c r="EN35" s="5" t="s">
        <v>11997</v>
      </c>
      <c r="EO35" s="5"/>
      <c r="EP35" s="5" t="s">
        <v>11998</v>
      </c>
      <c r="EQ35" s="5"/>
      <c r="ER35" s="5" t="s">
        <v>11997</v>
      </c>
      <c r="ES35" s="5"/>
      <c r="ET35" s="5" t="s">
        <v>11972</v>
      </c>
      <c r="EU35" s="5"/>
      <c r="EV35" s="5"/>
      <c r="EW35" s="5"/>
      <c r="EX35" s="5"/>
      <c r="EY35" s="5" t="s">
        <v>3850</v>
      </c>
      <c r="EZ35" s="5"/>
      <c r="FA35" s="5" t="s">
        <v>459</v>
      </c>
      <c r="FB35" s="5"/>
    </row>
    <row r="36" spans="1:158" ht="63.75">
      <c r="A36" s="5" t="s">
        <v>461</v>
      </c>
      <c r="B36" s="5" t="s">
        <v>462</v>
      </c>
      <c r="C36" s="5" t="s">
        <v>11952</v>
      </c>
      <c r="D36" s="5" t="s">
        <v>121</v>
      </c>
      <c r="E36" s="5" t="s">
        <v>11953</v>
      </c>
      <c r="F36" s="5" t="s">
        <v>11954</v>
      </c>
      <c r="G36" s="5" t="s">
        <v>11955</v>
      </c>
      <c r="H36" s="5" t="s">
        <v>11238</v>
      </c>
      <c r="I36" s="5" t="s">
        <v>129</v>
      </c>
      <c r="J36" s="5" t="s">
        <v>3510</v>
      </c>
      <c r="K36" s="5" t="s">
        <v>11956</v>
      </c>
      <c r="L36" s="5" t="s">
        <v>468</v>
      </c>
      <c r="M36" s="5" t="s">
        <v>468</v>
      </c>
      <c r="N36" s="5" t="s">
        <v>11952</v>
      </c>
      <c r="O36" s="5" t="s">
        <v>11952</v>
      </c>
      <c r="P36" s="5" t="s">
        <v>11952</v>
      </c>
      <c r="Q36" s="5" t="s">
        <v>11952</v>
      </c>
      <c r="R36" s="5" t="s">
        <v>11952</v>
      </c>
      <c r="S36" s="5" t="s">
        <v>11952</v>
      </c>
      <c r="T36" s="5" t="s">
        <v>121</v>
      </c>
      <c r="U36" s="5" t="s">
        <v>2854</v>
      </c>
      <c r="V36" s="5" t="s">
        <v>468</v>
      </c>
      <c r="W36" s="5" t="s">
        <v>121</v>
      </c>
      <c r="X36" s="5" t="s">
        <v>468</v>
      </c>
      <c r="Y36" s="5" t="s">
        <v>121</v>
      </c>
      <c r="Z36" s="5" t="s">
        <v>121</v>
      </c>
      <c r="AA36" s="5" t="s">
        <v>11981</v>
      </c>
      <c r="AB36" s="5" t="s">
        <v>155</v>
      </c>
      <c r="AC36" s="5" t="s">
        <v>466</v>
      </c>
      <c r="AD36" s="5" t="s">
        <v>121</v>
      </c>
      <c r="AE36" s="5" t="s">
        <v>121</v>
      </c>
      <c r="AF36" s="5" t="s">
        <v>466</v>
      </c>
      <c r="AG36" s="5" t="s">
        <v>121</v>
      </c>
      <c r="AH36" s="5" t="s">
        <v>121</v>
      </c>
      <c r="AI36" s="5" t="s">
        <v>121</v>
      </c>
      <c r="AJ36" s="5" t="s">
        <v>121</v>
      </c>
      <c r="AK36" s="5" t="s">
        <v>121</v>
      </c>
      <c r="AL36" s="5" t="s">
        <v>121</v>
      </c>
      <c r="AM36" s="5" t="s">
        <v>121</v>
      </c>
      <c r="AN36" s="5" t="s">
        <v>121</v>
      </c>
      <c r="AO36" s="5" t="s">
        <v>121</v>
      </c>
      <c r="AP36" s="5" t="s">
        <v>121</v>
      </c>
      <c r="AQ36" s="5" t="s">
        <v>121</v>
      </c>
      <c r="AR36" s="5" t="s">
        <v>121</v>
      </c>
      <c r="AS36" s="5" t="s">
        <v>428</v>
      </c>
      <c r="AT36" s="5" t="s">
        <v>121</v>
      </c>
      <c r="AU36" s="5" t="s">
        <v>463</v>
      </c>
      <c r="AV36" s="5" t="s">
        <v>121</v>
      </c>
      <c r="AW36" s="5" t="s">
        <v>121</v>
      </c>
      <c r="AX36" s="5" t="s">
        <v>121</v>
      </c>
      <c r="AY36" s="5" t="s">
        <v>121</v>
      </c>
      <c r="AZ36" s="5" t="s">
        <v>121</v>
      </c>
      <c r="BA36" s="5" t="s">
        <v>121</v>
      </c>
      <c r="BB36" s="5" t="s">
        <v>121</v>
      </c>
      <c r="BC36" s="5" t="s">
        <v>121</v>
      </c>
      <c r="BD36" s="5" t="s">
        <v>121</v>
      </c>
      <c r="BE36" s="5" t="s">
        <v>121</v>
      </c>
      <c r="BF36" s="5" t="s">
        <v>121</v>
      </c>
      <c r="BG36" s="5" t="s">
        <v>121</v>
      </c>
      <c r="BH36" s="5" t="s">
        <v>1760</v>
      </c>
      <c r="BI36" s="5" t="s">
        <v>121</v>
      </c>
      <c r="BJ36" s="5" t="s">
        <v>464</v>
      </c>
      <c r="BK36" s="5" t="s">
        <v>121</v>
      </c>
      <c r="BL36" s="5" t="s">
        <v>332</v>
      </c>
      <c r="BM36" s="5" t="s">
        <v>332</v>
      </c>
      <c r="BN36" s="5" t="s">
        <v>465</v>
      </c>
      <c r="BO36" s="5" t="s">
        <v>12219</v>
      </c>
      <c r="BP36" s="5" t="s">
        <v>121</v>
      </c>
      <c r="BQ36" s="5" t="s">
        <v>2854</v>
      </c>
      <c r="BR36" s="5" t="s">
        <v>121</v>
      </c>
      <c r="BS36" s="5" t="s">
        <v>121</v>
      </c>
      <c r="BT36" s="5" t="s">
        <v>121</v>
      </c>
      <c r="BU36" s="5" t="s">
        <v>121</v>
      </c>
      <c r="BV36" s="5" t="s">
        <v>121</v>
      </c>
      <c r="BW36" s="5" t="s">
        <v>121</v>
      </c>
      <c r="BX36" s="5" t="s">
        <v>121</v>
      </c>
      <c r="BY36" s="5" t="s">
        <v>12359</v>
      </c>
      <c r="BZ36" s="5" t="s">
        <v>121</v>
      </c>
      <c r="CA36" s="5" t="s">
        <v>121</v>
      </c>
      <c r="CB36" s="5" t="s">
        <v>121</v>
      </c>
      <c r="CC36" s="5" t="s">
        <v>342</v>
      </c>
      <c r="CD36" s="5" t="s">
        <v>121</v>
      </c>
      <c r="CE36" s="5" t="s">
        <v>121</v>
      </c>
      <c r="CF36" s="5" t="s">
        <v>11958</v>
      </c>
      <c r="CG36" s="5" t="s">
        <v>121</v>
      </c>
      <c r="CH36" s="5" t="s">
        <v>121</v>
      </c>
      <c r="CI36" s="5" t="s">
        <v>11959</v>
      </c>
      <c r="CJ36" s="5" t="s">
        <v>124</v>
      </c>
      <c r="CK36" s="5" t="s">
        <v>121</v>
      </c>
      <c r="CL36" s="5" t="s">
        <v>3510</v>
      </c>
      <c r="CM36" s="5" t="s">
        <v>124</v>
      </c>
      <c r="CN36" s="5" t="s">
        <v>121</v>
      </c>
      <c r="CO36" s="5" t="s">
        <v>121</v>
      </c>
      <c r="CP36" s="5" t="s">
        <v>3510</v>
      </c>
      <c r="CQ36" s="5" t="s">
        <v>467</v>
      </c>
      <c r="CR36" s="5" t="s">
        <v>11960</v>
      </c>
      <c r="CS36" s="5" t="s">
        <v>3510</v>
      </c>
      <c r="CT36" s="5" t="s">
        <v>3510</v>
      </c>
      <c r="CU36" s="5" t="s">
        <v>3510</v>
      </c>
      <c r="CV36" s="5" t="s">
        <v>11952</v>
      </c>
      <c r="CW36" s="5" t="s">
        <v>11952</v>
      </c>
      <c r="CX36" s="5" t="s">
        <v>12086</v>
      </c>
      <c r="CY36" s="5" t="s">
        <v>12360</v>
      </c>
      <c r="CZ36" s="5" t="s">
        <v>11952</v>
      </c>
      <c r="DA36" s="5" t="s">
        <v>11952</v>
      </c>
      <c r="DB36" s="5" t="s">
        <v>11963</v>
      </c>
      <c r="DC36" s="5" t="s">
        <v>11963</v>
      </c>
      <c r="DD36" s="5" t="s">
        <v>11963</v>
      </c>
      <c r="DE36" s="5" t="s">
        <v>11963</v>
      </c>
      <c r="DF36" s="5" t="s">
        <v>3510</v>
      </c>
      <c r="DG36" s="5" t="s">
        <v>11964</v>
      </c>
      <c r="DH36" s="5" t="s">
        <v>12361</v>
      </c>
      <c r="DI36" s="5" t="s">
        <v>11975</v>
      </c>
      <c r="DJ36" s="5" t="s">
        <v>11966</v>
      </c>
      <c r="DK36" s="5" t="s">
        <v>11967</v>
      </c>
      <c r="DL36" s="5">
        <v>4</v>
      </c>
      <c r="DM36" s="5">
        <v>3</v>
      </c>
      <c r="DN36" s="5">
        <v>2</v>
      </c>
      <c r="DO36" s="5">
        <v>3</v>
      </c>
      <c r="DP36" s="5">
        <v>4</v>
      </c>
      <c r="DQ36" s="5">
        <v>0</v>
      </c>
      <c r="DR36" s="5">
        <v>0</v>
      </c>
      <c r="DS36" s="5">
        <v>51</v>
      </c>
      <c r="DT36" s="5" t="s">
        <v>11968</v>
      </c>
      <c r="DU36" s="5" t="s">
        <v>11969</v>
      </c>
      <c r="DV36" s="5" t="s">
        <v>11970</v>
      </c>
      <c r="DW36" s="5"/>
      <c r="DX36" s="5">
        <v>14</v>
      </c>
      <c r="DY36" s="5"/>
      <c r="DZ36" s="5">
        <v>100</v>
      </c>
      <c r="EA36" s="5"/>
      <c r="EB36" s="5">
        <v>0.14000000000000001</v>
      </c>
      <c r="EC36" s="5"/>
      <c r="ED36" s="5" t="s">
        <v>11971</v>
      </c>
      <c r="EE36" s="5"/>
      <c r="EF36" s="5" t="s">
        <v>11997</v>
      </c>
      <c r="EG36" s="5"/>
      <c r="EH36" s="5" t="s">
        <v>11997</v>
      </c>
      <c r="EI36" s="5"/>
      <c r="EJ36" s="5" t="s">
        <v>11997</v>
      </c>
      <c r="EK36" s="5"/>
      <c r="EL36" s="5" t="s">
        <v>11997</v>
      </c>
      <c r="EM36" s="5"/>
      <c r="EN36" s="5" t="s">
        <v>11997</v>
      </c>
      <c r="EO36" s="5"/>
      <c r="EP36" s="5" t="s">
        <v>11998</v>
      </c>
      <c r="EQ36" s="5"/>
      <c r="ER36" s="5" t="s">
        <v>11997</v>
      </c>
      <c r="ES36" s="5"/>
      <c r="ET36" s="5" t="s">
        <v>11972</v>
      </c>
      <c r="EU36" s="5"/>
      <c r="EV36" s="5"/>
      <c r="EW36" s="5"/>
      <c r="EX36" s="5"/>
      <c r="EY36" s="5" t="s">
        <v>3883</v>
      </c>
      <c r="EZ36" s="5"/>
      <c r="FA36" s="5" t="s">
        <v>468</v>
      </c>
      <c r="FB36" s="5"/>
    </row>
    <row r="37" spans="1:158" ht="89.25">
      <c r="A37" s="5" t="s">
        <v>470</v>
      </c>
      <c r="B37" s="5" t="s">
        <v>471</v>
      </c>
      <c r="C37" s="5" t="s">
        <v>11952</v>
      </c>
      <c r="D37" s="5" t="s">
        <v>121</v>
      </c>
      <c r="E37" s="5" t="s">
        <v>11953</v>
      </c>
      <c r="F37" s="5" t="s">
        <v>11954</v>
      </c>
      <c r="G37" s="5" t="s">
        <v>11955</v>
      </c>
      <c r="H37" s="5" t="s">
        <v>11238</v>
      </c>
      <c r="I37" s="5" t="s">
        <v>129</v>
      </c>
      <c r="J37" s="5" t="s">
        <v>3510</v>
      </c>
      <c r="K37" s="5" t="s">
        <v>11956</v>
      </c>
      <c r="L37" s="5" t="s">
        <v>482</v>
      </c>
      <c r="M37" s="5" t="s">
        <v>482</v>
      </c>
      <c r="N37" s="5" t="s">
        <v>11952</v>
      </c>
      <c r="O37" s="5" t="s">
        <v>11952</v>
      </c>
      <c r="P37" s="5" t="s">
        <v>11952</v>
      </c>
      <c r="Q37" s="5" t="s">
        <v>11952</v>
      </c>
      <c r="R37" s="5" t="s">
        <v>11952</v>
      </c>
      <c r="S37" s="5" t="s">
        <v>11952</v>
      </c>
      <c r="T37" s="5" t="s">
        <v>121</v>
      </c>
      <c r="U37" s="5" t="s">
        <v>2854</v>
      </c>
      <c r="V37" s="5" t="s">
        <v>482</v>
      </c>
      <c r="W37" s="5" t="s">
        <v>121</v>
      </c>
      <c r="X37" s="5" t="s">
        <v>482</v>
      </c>
      <c r="Y37" s="5" t="s">
        <v>121</v>
      </c>
      <c r="Z37" s="5" t="s">
        <v>121</v>
      </c>
      <c r="AA37" s="5" t="s">
        <v>11981</v>
      </c>
      <c r="AB37" s="5" t="s">
        <v>121</v>
      </c>
      <c r="AC37" s="5" t="s">
        <v>121</v>
      </c>
      <c r="AD37" s="5" t="s">
        <v>121</v>
      </c>
      <c r="AE37" s="5" t="s">
        <v>121</v>
      </c>
      <c r="AF37" s="5" t="s">
        <v>121</v>
      </c>
      <c r="AG37" s="5" t="s">
        <v>121</v>
      </c>
      <c r="AH37" s="5" t="s">
        <v>121</v>
      </c>
      <c r="AI37" s="5" t="s">
        <v>121</v>
      </c>
      <c r="AJ37" s="5" t="s">
        <v>121</v>
      </c>
      <c r="AK37" s="5" t="s">
        <v>121</v>
      </c>
      <c r="AL37" s="5" t="s">
        <v>121</v>
      </c>
      <c r="AM37" s="5" t="s">
        <v>121</v>
      </c>
      <c r="AN37" s="5" t="s">
        <v>121</v>
      </c>
      <c r="AO37" s="5" t="s">
        <v>121</v>
      </c>
      <c r="AP37" s="5" t="s">
        <v>121</v>
      </c>
      <c r="AQ37" s="5" t="s">
        <v>121</v>
      </c>
      <c r="AR37" s="5" t="s">
        <v>121</v>
      </c>
      <c r="AS37" s="5" t="s">
        <v>12362</v>
      </c>
      <c r="AT37" s="5" t="s">
        <v>121</v>
      </c>
      <c r="AU37" s="5" t="s">
        <v>12363</v>
      </c>
      <c r="AV37" s="5" t="s">
        <v>12003</v>
      </c>
      <c r="AW37" s="5" t="s">
        <v>12363</v>
      </c>
      <c r="AX37" s="5" t="s">
        <v>121</v>
      </c>
      <c r="AY37" s="5" t="s">
        <v>121</v>
      </c>
      <c r="AZ37" s="5" t="s">
        <v>121</v>
      </c>
      <c r="BA37" s="5" t="s">
        <v>121</v>
      </c>
      <c r="BB37" s="5" t="s">
        <v>121</v>
      </c>
      <c r="BC37" s="5" t="s">
        <v>121</v>
      </c>
      <c r="BD37" s="5" t="s">
        <v>121</v>
      </c>
      <c r="BE37" s="5" t="s">
        <v>121</v>
      </c>
      <c r="BF37" s="5" t="s">
        <v>121</v>
      </c>
      <c r="BG37" s="5" t="s">
        <v>121</v>
      </c>
      <c r="BH37" s="5" t="s">
        <v>12364</v>
      </c>
      <c r="BI37" s="5" t="s">
        <v>121</v>
      </c>
      <c r="BJ37" s="5" t="s">
        <v>12365</v>
      </c>
      <c r="BK37" s="5" t="s">
        <v>121</v>
      </c>
      <c r="BL37" s="5" t="s">
        <v>1273</v>
      </c>
      <c r="BM37" s="5" t="s">
        <v>1273</v>
      </c>
      <c r="BN37" s="5" t="s">
        <v>136</v>
      </c>
      <c r="BO37" s="5" t="s">
        <v>11984</v>
      </c>
      <c r="BP37" s="5" t="s">
        <v>121</v>
      </c>
      <c r="BQ37" s="5" t="s">
        <v>121</v>
      </c>
      <c r="BR37" s="5" t="s">
        <v>2854</v>
      </c>
      <c r="BS37" s="5" t="s">
        <v>121</v>
      </c>
      <c r="BT37" s="5" t="s">
        <v>121</v>
      </c>
      <c r="BU37" s="5" t="s">
        <v>121</v>
      </c>
      <c r="BV37" s="5" t="s">
        <v>121</v>
      </c>
      <c r="BW37" s="5" t="s">
        <v>121</v>
      </c>
      <c r="BX37" s="5" t="s">
        <v>121</v>
      </c>
      <c r="BY37" s="5" t="s">
        <v>12366</v>
      </c>
      <c r="BZ37" s="5" t="s">
        <v>121</v>
      </c>
      <c r="CA37" s="5" t="s">
        <v>121</v>
      </c>
      <c r="CB37" s="5" t="s">
        <v>121</v>
      </c>
      <c r="CC37" s="5" t="s">
        <v>12367</v>
      </c>
      <c r="CD37" s="5" t="s">
        <v>121</v>
      </c>
      <c r="CE37" s="5" t="s">
        <v>121</v>
      </c>
      <c r="CF37" s="5" t="s">
        <v>11958</v>
      </c>
      <c r="CG37" s="5" t="s">
        <v>121</v>
      </c>
      <c r="CH37" s="5" t="s">
        <v>121</v>
      </c>
      <c r="CI37" s="5" t="s">
        <v>11959</v>
      </c>
      <c r="CJ37" s="5" t="s">
        <v>124</v>
      </c>
      <c r="CK37" s="5" t="s">
        <v>121</v>
      </c>
      <c r="CL37" s="5" t="s">
        <v>3510</v>
      </c>
      <c r="CM37" s="5" t="s">
        <v>124</v>
      </c>
      <c r="CN37" s="5" t="s">
        <v>121</v>
      </c>
      <c r="CO37" s="5" t="s">
        <v>121</v>
      </c>
      <c r="CP37" s="5" t="s">
        <v>3510</v>
      </c>
      <c r="CQ37" s="5" t="s">
        <v>12368</v>
      </c>
      <c r="CR37" s="5" t="s">
        <v>11960</v>
      </c>
      <c r="CS37" s="5" t="s">
        <v>3510</v>
      </c>
      <c r="CT37" s="5" t="s">
        <v>3510</v>
      </c>
      <c r="CU37" s="5" t="s">
        <v>3510</v>
      </c>
      <c r="CV37" s="5" t="s">
        <v>11952</v>
      </c>
      <c r="CW37" s="5" t="s">
        <v>11952</v>
      </c>
      <c r="CX37" s="5" t="s">
        <v>12086</v>
      </c>
      <c r="CY37" s="5" t="s">
        <v>12369</v>
      </c>
      <c r="CZ37" s="5" t="s">
        <v>11952</v>
      </c>
      <c r="DA37" s="5" t="s">
        <v>11952</v>
      </c>
      <c r="DB37" s="5" t="s">
        <v>11963</v>
      </c>
      <c r="DC37" s="5" t="s">
        <v>11963</v>
      </c>
      <c r="DD37" s="5" t="s">
        <v>11963</v>
      </c>
      <c r="DE37" s="5" t="s">
        <v>11963</v>
      </c>
      <c r="DF37" s="5" t="s">
        <v>3510</v>
      </c>
      <c r="DG37" s="5" t="s">
        <v>11964</v>
      </c>
      <c r="DH37" s="5" t="s">
        <v>12370</v>
      </c>
      <c r="DI37" s="5" t="s">
        <v>11994</v>
      </c>
      <c r="DJ37" s="5" t="s">
        <v>11966</v>
      </c>
      <c r="DK37" s="5" t="s">
        <v>11967</v>
      </c>
      <c r="DL37" s="5">
        <v>4</v>
      </c>
      <c r="DM37" s="5">
        <v>3</v>
      </c>
      <c r="DN37" s="5">
        <v>4</v>
      </c>
      <c r="DO37" s="5">
        <v>4</v>
      </c>
      <c r="DP37" s="5">
        <v>5</v>
      </c>
      <c r="DQ37" s="5">
        <v>1</v>
      </c>
      <c r="DR37" s="5">
        <v>0</v>
      </c>
      <c r="DS37" s="5">
        <v>64</v>
      </c>
      <c r="DT37" s="5" t="s">
        <v>11968</v>
      </c>
      <c r="DU37" s="5" t="s">
        <v>11969</v>
      </c>
      <c r="DV37" s="5" t="s">
        <v>11970</v>
      </c>
      <c r="DW37" s="5"/>
      <c r="DX37" s="5">
        <v>14</v>
      </c>
      <c r="DY37" s="5"/>
      <c r="DZ37" s="5">
        <v>100</v>
      </c>
      <c r="EA37" s="5"/>
      <c r="EB37" s="5">
        <v>0.14000000000000001</v>
      </c>
      <c r="EC37" s="5"/>
      <c r="ED37" s="5" t="s">
        <v>11971</v>
      </c>
      <c r="EE37" s="5"/>
      <c r="EF37" s="5" t="s">
        <v>11997</v>
      </c>
      <c r="EG37" s="5"/>
      <c r="EH37" s="5" t="s">
        <v>11997</v>
      </c>
      <c r="EI37" s="5"/>
      <c r="EJ37" s="5" t="s">
        <v>11997</v>
      </c>
      <c r="EK37" s="5"/>
      <c r="EL37" s="5" t="s">
        <v>11997</v>
      </c>
      <c r="EM37" s="5"/>
      <c r="EN37" s="5" t="s">
        <v>11997</v>
      </c>
      <c r="EO37" s="5"/>
      <c r="EP37" s="5" t="s">
        <v>11998</v>
      </c>
      <c r="EQ37" s="5"/>
      <c r="ER37" s="5" t="s">
        <v>11997</v>
      </c>
      <c r="ES37" s="5"/>
      <c r="ET37" s="5" t="s">
        <v>11972</v>
      </c>
      <c r="EU37" s="5"/>
      <c r="EV37" s="5"/>
      <c r="EW37" s="5"/>
      <c r="EX37" s="5"/>
      <c r="EY37" s="5" t="s">
        <v>12371</v>
      </c>
      <c r="EZ37" s="5"/>
      <c r="FA37" s="5" t="s">
        <v>482</v>
      </c>
      <c r="FB37" s="5"/>
    </row>
    <row r="38" spans="1:158" ht="76.5">
      <c r="A38" s="5" t="s">
        <v>484</v>
      </c>
      <c r="B38" s="5" t="s">
        <v>485</v>
      </c>
      <c r="C38" s="5" t="s">
        <v>11952</v>
      </c>
      <c r="D38" s="5" t="s">
        <v>121</v>
      </c>
      <c r="E38" s="5" t="s">
        <v>11953</v>
      </c>
      <c r="F38" s="5" t="s">
        <v>11954</v>
      </c>
      <c r="G38" s="5" t="s">
        <v>11955</v>
      </c>
      <c r="H38" s="5" t="s">
        <v>11238</v>
      </c>
      <c r="I38" s="5" t="s">
        <v>129</v>
      </c>
      <c r="J38" s="5" t="s">
        <v>3510</v>
      </c>
      <c r="K38" s="5" t="s">
        <v>11956</v>
      </c>
      <c r="L38" s="5" t="s">
        <v>492</v>
      </c>
      <c r="M38" s="5" t="s">
        <v>492</v>
      </c>
      <c r="N38" s="5" t="s">
        <v>11952</v>
      </c>
      <c r="O38" s="5" t="s">
        <v>11952</v>
      </c>
      <c r="P38" s="5" t="s">
        <v>11952</v>
      </c>
      <c r="Q38" s="5" t="s">
        <v>11952</v>
      </c>
      <c r="R38" s="5" t="s">
        <v>11952</v>
      </c>
      <c r="S38" s="5" t="s">
        <v>11952</v>
      </c>
      <c r="T38" s="5" t="s">
        <v>12372</v>
      </c>
      <c r="U38" s="5" t="s">
        <v>2854</v>
      </c>
      <c r="V38" s="5" t="s">
        <v>12373</v>
      </c>
      <c r="W38" s="5" t="s">
        <v>12372</v>
      </c>
      <c r="X38" s="5" t="s">
        <v>12373</v>
      </c>
      <c r="Y38" s="5" t="s">
        <v>121</v>
      </c>
      <c r="Z38" s="5" t="s">
        <v>2854</v>
      </c>
      <c r="AA38" s="5" t="s">
        <v>11981</v>
      </c>
      <c r="AB38" s="5" t="s">
        <v>121</v>
      </c>
      <c r="AC38" s="5" t="s">
        <v>121</v>
      </c>
      <c r="AD38" s="5" t="s">
        <v>121</v>
      </c>
      <c r="AE38" s="5" t="s">
        <v>121</v>
      </c>
      <c r="AF38" s="5" t="s">
        <v>121</v>
      </c>
      <c r="AG38" s="5" t="s">
        <v>121</v>
      </c>
      <c r="AH38" s="5" t="s">
        <v>121</v>
      </c>
      <c r="AI38" s="5" t="s">
        <v>121</v>
      </c>
      <c r="AJ38" s="5" t="s">
        <v>121</v>
      </c>
      <c r="AK38" s="5" t="s">
        <v>121</v>
      </c>
      <c r="AL38" s="5" t="s">
        <v>121</v>
      </c>
      <c r="AM38" s="5" t="s">
        <v>121</v>
      </c>
      <c r="AN38" s="5" t="s">
        <v>121</v>
      </c>
      <c r="AO38" s="5" t="s">
        <v>121</v>
      </c>
      <c r="AP38" s="5" t="s">
        <v>12374</v>
      </c>
      <c r="AQ38" s="5" t="s">
        <v>121</v>
      </c>
      <c r="AR38" s="5" t="s">
        <v>12375</v>
      </c>
      <c r="AS38" s="5" t="s">
        <v>490</v>
      </c>
      <c r="AT38" s="5" t="s">
        <v>121</v>
      </c>
      <c r="AU38" s="5" t="s">
        <v>487</v>
      </c>
      <c r="AV38" s="5" t="s">
        <v>121</v>
      </c>
      <c r="AW38" s="5" t="s">
        <v>487</v>
      </c>
      <c r="AX38" s="5" t="s">
        <v>121</v>
      </c>
      <c r="AY38" s="5" t="s">
        <v>121</v>
      </c>
      <c r="AZ38" s="5" t="s">
        <v>121</v>
      </c>
      <c r="BA38" s="5" t="s">
        <v>121</v>
      </c>
      <c r="BB38" s="5" t="s">
        <v>121</v>
      </c>
      <c r="BC38" s="5" t="s">
        <v>121</v>
      </c>
      <c r="BD38" s="5" t="s">
        <v>121</v>
      </c>
      <c r="BE38" s="5" t="s">
        <v>121</v>
      </c>
      <c r="BF38" s="5" t="s">
        <v>121</v>
      </c>
      <c r="BG38" s="5" t="s">
        <v>121</v>
      </c>
      <c r="BH38" s="5" t="s">
        <v>12376</v>
      </c>
      <c r="BI38" s="5" t="s">
        <v>121</v>
      </c>
      <c r="BJ38" s="5" t="s">
        <v>488</v>
      </c>
      <c r="BK38" s="5" t="s">
        <v>121</v>
      </c>
      <c r="BL38" s="5" t="s">
        <v>12377</v>
      </c>
      <c r="BM38" s="5" t="s">
        <v>12377</v>
      </c>
      <c r="BN38" s="5" t="s">
        <v>489</v>
      </c>
      <c r="BO38" s="5" t="s">
        <v>12378</v>
      </c>
      <c r="BP38" s="5" t="s">
        <v>121</v>
      </c>
      <c r="BQ38" s="5" t="s">
        <v>2854</v>
      </c>
      <c r="BR38" s="5" t="s">
        <v>2854</v>
      </c>
      <c r="BS38" s="5" t="s">
        <v>121</v>
      </c>
      <c r="BT38" s="5" t="s">
        <v>121</v>
      </c>
      <c r="BU38" s="5" t="s">
        <v>121</v>
      </c>
      <c r="BV38" s="5" t="s">
        <v>121</v>
      </c>
      <c r="BW38" s="5" t="s">
        <v>121</v>
      </c>
      <c r="BX38" s="5" t="s">
        <v>121</v>
      </c>
      <c r="BY38" s="5" t="s">
        <v>12379</v>
      </c>
      <c r="BZ38" s="5" t="s">
        <v>12380</v>
      </c>
      <c r="CA38" s="5" t="s">
        <v>121</v>
      </c>
      <c r="CB38" s="5" t="s">
        <v>121</v>
      </c>
      <c r="CC38" s="5" t="s">
        <v>486</v>
      </c>
      <c r="CD38" s="5" t="s">
        <v>121</v>
      </c>
      <c r="CE38" s="5" t="s">
        <v>121</v>
      </c>
      <c r="CF38" s="5" t="s">
        <v>11958</v>
      </c>
      <c r="CG38" s="5" t="s">
        <v>121</v>
      </c>
      <c r="CH38" s="5" t="s">
        <v>121</v>
      </c>
      <c r="CI38" s="5" t="s">
        <v>12034</v>
      </c>
      <c r="CJ38" s="5" t="s">
        <v>124</v>
      </c>
      <c r="CK38" s="5" t="s">
        <v>121</v>
      </c>
      <c r="CL38" s="5" t="s">
        <v>3510</v>
      </c>
      <c r="CM38" s="5" t="s">
        <v>124</v>
      </c>
      <c r="CN38" s="5" t="s">
        <v>121</v>
      </c>
      <c r="CO38" s="5" t="s">
        <v>121</v>
      </c>
      <c r="CP38" s="5" t="s">
        <v>3510</v>
      </c>
      <c r="CQ38" s="5" t="s">
        <v>491</v>
      </c>
      <c r="CR38" s="5" t="s">
        <v>11960</v>
      </c>
      <c r="CS38" s="5" t="s">
        <v>3510</v>
      </c>
      <c r="CT38" s="5" t="s">
        <v>3510</v>
      </c>
      <c r="CU38" s="5" t="s">
        <v>3510</v>
      </c>
      <c r="CV38" s="5" t="s">
        <v>11952</v>
      </c>
      <c r="CW38" s="5" t="s">
        <v>11952</v>
      </c>
      <c r="CX38" s="5" t="s">
        <v>12086</v>
      </c>
      <c r="CY38" s="5" t="s">
        <v>12381</v>
      </c>
      <c r="CZ38" s="5" t="s">
        <v>11952</v>
      </c>
      <c r="DA38" s="5" t="s">
        <v>11952</v>
      </c>
      <c r="DB38" s="5" t="s">
        <v>11963</v>
      </c>
      <c r="DC38" s="5" t="s">
        <v>11963</v>
      </c>
      <c r="DD38" s="5" t="s">
        <v>11963</v>
      </c>
      <c r="DE38" s="5" t="s">
        <v>11963</v>
      </c>
      <c r="DF38" s="5" t="s">
        <v>3510</v>
      </c>
      <c r="DG38" s="5" t="s">
        <v>11964</v>
      </c>
      <c r="DH38" s="5" t="s">
        <v>12382</v>
      </c>
      <c r="DI38" s="5" t="s">
        <v>11994</v>
      </c>
      <c r="DJ38" s="5" t="s">
        <v>11966</v>
      </c>
      <c r="DK38" s="5" t="s">
        <v>11967</v>
      </c>
      <c r="DL38" s="5">
        <v>4</v>
      </c>
      <c r="DM38" s="5">
        <v>4</v>
      </c>
      <c r="DN38" s="5">
        <v>3.5</v>
      </c>
      <c r="DO38" s="5">
        <v>2</v>
      </c>
      <c r="DP38" s="5">
        <v>3</v>
      </c>
      <c r="DQ38" s="5">
        <v>1</v>
      </c>
      <c r="DR38" s="5">
        <v>0</v>
      </c>
      <c r="DS38" s="5">
        <v>56.5</v>
      </c>
      <c r="DT38" s="5" t="s">
        <v>11968</v>
      </c>
      <c r="DU38" s="5" t="s">
        <v>11969</v>
      </c>
      <c r="DV38" s="5" t="s">
        <v>11970</v>
      </c>
      <c r="DW38" s="5"/>
      <c r="DX38" s="5">
        <v>12</v>
      </c>
      <c r="DY38" s="5"/>
      <c r="DZ38" s="5">
        <v>100</v>
      </c>
      <c r="EA38" s="5"/>
      <c r="EB38" s="5">
        <v>0.12</v>
      </c>
      <c r="EC38" s="5"/>
      <c r="ED38" s="5" t="s">
        <v>11971</v>
      </c>
      <c r="EE38" s="5"/>
      <c r="EF38" s="5" t="s">
        <v>11997</v>
      </c>
      <c r="EG38" s="5"/>
      <c r="EH38" s="5" t="s">
        <v>11997</v>
      </c>
      <c r="EI38" s="5"/>
      <c r="EJ38" s="5" t="s">
        <v>11997</v>
      </c>
      <c r="EK38" s="5"/>
      <c r="EL38" s="5" t="s">
        <v>11997</v>
      </c>
      <c r="EM38" s="5"/>
      <c r="EN38" s="5" t="s">
        <v>11997</v>
      </c>
      <c r="EO38" s="5"/>
      <c r="EP38" s="5" t="s">
        <v>11998</v>
      </c>
      <c r="EQ38" s="5"/>
      <c r="ER38" s="5" t="s">
        <v>11997</v>
      </c>
      <c r="ES38" s="5"/>
      <c r="ET38" s="5" t="s">
        <v>11972</v>
      </c>
      <c r="EU38" s="5"/>
      <c r="EV38" s="5"/>
      <c r="EW38" s="5"/>
      <c r="EX38" s="5"/>
      <c r="EY38" s="5" t="s">
        <v>3963</v>
      </c>
      <c r="EZ38" s="5"/>
      <c r="FA38" s="5" t="s">
        <v>492</v>
      </c>
      <c r="FB38" s="5"/>
    </row>
    <row r="39" spans="1:158" ht="409.5">
      <c r="A39" s="5" t="s">
        <v>494</v>
      </c>
      <c r="B39" s="5" t="s">
        <v>495</v>
      </c>
      <c r="C39" s="5" t="s">
        <v>12383</v>
      </c>
      <c r="D39" s="5" t="s">
        <v>496</v>
      </c>
      <c r="E39" s="5" t="s">
        <v>12011</v>
      </c>
      <c r="F39" s="5" t="s">
        <v>11994</v>
      </c>
      <c r="G39" s="5" t="s">
        <v>12384</v>
      </c>
      <c r="H39" s="5" t="s">
        <v>11977</v>
      </c>
      <c r="I39" s="5" t="s">
        <v>12097</v>
      </c>
      <c r="J39" s="5" t="s">
        <v>2854</v>
      </c>
      <c r="K39" s="5" t="s">
        <v>12385</v>
      </c>
      <c r="L39" s="5" t="s">
        <v>506</v>
      </c>
      <c r="M39" s="5" t="s">
        <v>12386</v>
      </c>
      <c r="N39" s="5" t="s">
        <v>11952</v>
      </c>
      <c r="O39" s="5" t="s">
        <v>12387</v>
      </c>
      <c r="P39" s="5" t="s">
        <v>11952</v>
      </c>
      <c r="Q39" s="5" t="s">
        <v>11952</v>
      </c>
      <c r="R39" s="5" t="s">
        <v>11952</v>
      </c>
      <c r="S39" s="5" t="s">
        <v>11952</v>
      </c>
      <c r="T39" s="5" t="s">
        <v>12388</v>
      </c>
      <c r="U39" s="5" t="s">
        <v>2854</v>
      </c>
      <c r="V39" s="5" t="s">
        <v>12389</v>
      </c>
      <c r="W39" s="5" t="s">
        <v>12390</v>
      </c>
      <c r="X39" s="5" t="s">
        <v>12391</v>
      </c>
      <c r="Y39" s="5" t="s">
        <v>121</v>
      </c>
      <c r="Z39" s="5" t="s">
        <v>2854</v>
      </c>
      <c r="AA39" s="5" t="s">
        <v>11981</v>
      </c>
      <c r="AB39" s="5" t="s">
        <v>155</v>
      </c>
      <c r="AC39" s="5" t="s">
        <v>502</v>
      </c>
      <c r="AD39" s="5" t="s">
        <v>121</v>
      </c>
      <c r="AE39" s="5" t="s">
        <v>121</v>
      </c>
      <c r="AF39" s="5" t="s">
        <v>502</v>
      </c>
      <c r="AG39" s="5" t="s">
        <v>121</v>
      </c>
      <c r="AH39" s="5" t="s">
        <v>121</v>
      </c>
      <c r="AI39" s="5" t="s">
        <v>121</v>
      </c>
      <c r="AJ39" s="5" t="s">
        <v>121</v>
      </c>
      <c r="AK39" s="5" t="s">
        <v>121</v>
      </c>
      <c r="AL39" s="5" t="s">
        <v>121</v>
      </c>
      <c r="AM39" s="5" t="s">
        <v>121</v>
      </c>
      <c r="AN39" s="5" t="s">
        <v>12392</v>
      </c>
      <c r="AO39" s="5" t="s">
        <v>121</v>
      </c>
      <c r="AP39" s="5" t="s">
        <v>12393</v>
      </c>
      <c r="AQ39" s="5" t="s">
        <v>121</v>
      </c>
      <c r="AR39" s="5" t="s">
        <v>12394</v>
      </c>
      <c r="AS39" s="5" t="s">
        <v>503</v>
      </c>
      <c r="AT39" s="5" t="s">
        <v>121</v>
      </c>
      <c r="AU39" s="5" t="s">
        <v>498</v>
      </c>
      <c r="AV39" s="5" t="s">
        <v>12003</v>
      </c>
      <c r="AW39" s="5" t="s">
        <v>498</v>
      </c>
      <c r="AX39" s="5" t="s">
        <v>12159</v>
      </c>
      <c r="AY39" s="5" t="s">
        <v>2854</v>
      </c>
      <c r="AZ39" s="5" t="s">
        <v>121</v>
      </c>
      <c r="BA39" s="5" t="s">
        <v>121</v>
      </c>
      <c r="BB39" s="5" t="s">
        <v>3510</v>
      </c>
      <c r="BC39" s="5" t="s">
        <v>3510</v>
      </c>
      <c r="BD39" s="5" t="s">
        <v>121</v>
      </c>
      <c r="BE39" s="5" t="s">
        <v>12395</v>
      </c>
      <c r="BF39" s="5" t="s">
        <v>12395</v>
      </c>
      <c r="BG39" s="5" t="s">
        <v>121</v>
      </c>
      <c r="BH39" s="5" t="s">
        <v>12396</v>
      </c>
      <c r="BI39" s="5" t="s">
        <v>121</v>
      </c>
      <c r="BJ39" s="5" t="s">
        <v>499</v>
      </c>
      <c r="BK39" s="5" t="s">
        <v>121</v>
      </c>
      <c r="BL39" s="5" t="s">
        <v>12397</v>
      </c>
      <c r="BM39" s="5" t="s">
        <v>12397</v>
      </c>
      <c r="BN39" s="5" t="s">
        <v>500</v>
      </c>
      <c r="BO39" s="5" t="s">
        <v>12398</v>
      </c>
      <c r="BP39" s="5" t="s">
        <v>2854</v>
      </c>
      <c r="BQ39" s="5" t="s">
        <v>2854</v>
      </c>
      <c r="BR39" s="5" t="s">
        <v>121</v>
      </c>
      <c r="BS39" s="5" t="s">
        <v>121</v>
      </c>
      <c r="BT39" s="5" t="s">
        <v>121</v>
      </c>
      <c r="BU39" s="5" t="s">
        <v>121</v>
      </c>
      <c r="BV39" s="5" t="s">
        <v>3510</v>
      </c>
      <c r="BW39" s="5" t="s">
        <v>3510</v>
      </c>
      <c r="BX39" s="5" t="s">
        <v>3510</v>
      </c>
      <c r="BY39" s="5" t="s">
        <v>12399</v>
      </c>
      <c r="BZ39" s="5" t="s">
        <v>12400</v>
      </c>
      <c r="CA39" s="5" t="s">
        <v>121</v>
      </c>
      <c r="CB39" s="5" t="s">
        <v>121</v>
      </c>
      <c r="CC39" s="5" t="s">
        <v>497</v>
      </c>
      <c r="CD39" s="5" t="s">
        <v>12401</v>
      </c>
      <c r="CE39" s="5" t="s">
        <v>12401</v>
      </c>
      <c r="CF39" s="5" t="s">
        <v>11958</v>
      </c>
      <c r="CG39" s="5" t="s">
        <v>12402</v>
      </c>
      <c r="CH39" s="5" t="s">
        <v>121</v>
      </c>
      <c r="CI39" s="5" t="s">
        <v>12034</v>
      </c>
      <c r="CJ39" s="5" t="s">
        <v>124</v>
      </c>
      <c r="CK39" s="5" t="s">
        <v>501</v>
      </c>
      <c r="CL39" s="5" t="s">
        <v>3510</v>
      </c>
      <c r="CM39" s="5" t="s">
        <v>124</v>
      </c>
      <c r="CN39" s="5" t="s">
        <v>121</v>
      </c>
      <c r="CO39" s="5" t="s">
        <v>121</v>
      </c>
      <c r="CP39" s="5" t="s">
        <v>3510</v>
      </c>
      <c r="CQ39" s="5" t="s">
        <v>504</v>
      </c>
      <c r="CR39" s="5" t="s">
        <v>11960</v>
      </c>
      <c r="CS39" s="5" t="s">
        <v>2854</v>
      </c>
      <c r="CT39" s="5" t="s">
        <v>3510</v>
      </c>
      <c r="CU39" s="5" t="s">
        <v>3510</v>
      </c>
      <c r="CV39" s="5" t="s">
        <v>12403</v>
      </c>
      <c r="CW39" s="5" t="s">
        <v>12404</v>
      </c>
      <c r="CX39" s="5" t="s">
        <v>12405</v>
      </c>
      <c r="CY39" s="5" t="s">
        <v>12406</v>
      </c>
      <c r="CZ39" s="5" t="s">
        <v>11989</v>
      </c>
      <c r="DA39" s="5" t="s">
        <v>11989</v>
      </c>
      <c r="DB39" s="5" t="s">
        <v>12407</v>
      </c>
      <c r="DC39" s="5" t="s">
        <v>12408</v>
      </c>
      <c r="DD39" s="5" t="s">
        <v>11963</v>
      </c>
      <c r="DE39" s="5" t="s">
        <v>12409</v>
      </c>
      <c r="DF39" s="5" t="s">
        <v>3510</v>
      </c>
      <c r="DG39" s="5" t="s">
        <v>12410</v>
      </c>
      <c r="DH39" s="5" t="s">
        <v>12411</v>
      </c>
      <c r="DI39" s="5" t="s">
        <v>11994</v>
      </c>
      <c r="DJ39" s="5" t="s">
        <v>11994</v>
      </c>
      <c r="DK39" s="5" t="s">
        <v>12412</v>
      </c>
      <c r="DL39" s="5">
        <v>4.7</v>
      </c>
      <c r="DM39" s="5">
        <v>3.8</v>
      </c>
      <c r="DN39" s="5">
        <v>4.5999999999999996</v>
      </c>
      <c r="DO39" s="5">
        <v>4.5</v>
      </c>
      <c r="DP39" s="5">
        <v>4.3</v>
      </c>
      <c r="DQ39" s="5">
        <v>2</v>
      </c>
      <c r="DR39" s="5">
        <v>0</v>
      </c>
      <c r="DS39" s="5">
        <v>73.900000000000006</v>
      </c>
      <c r="DT39" s="5" t="s">
        <v>11968</v>
      </c>
      <c r="DU39" s="5" t="s">
        <v>12413</v>
      </c>
      <c r="DV39" s="5" t="s">
        <v>11970</v>
      </c>
      <c r="DW39" s="5"/>
      <c r="DX39" s="5">
        <v>24</v>
      </c>
      <c r="DY39" s="5"/>
      <c r="DZ39" s="5">
        <v>100</v>
      </c>
      <c r="EA39" s="5"/>
      <c r="EB39" s="5">
        <v>0.24</v>
      </c>
      <c r="EC39" s="5"/>
      <c r="ED39" s="5" t="s">
        <v>11971</v>
      </c>
      <c r="EE39" s="5"/>
      <c r="EF39" s="5" t="s">
        <v>11997</v>
      </c>
      <c r="EG39" s="5"/>
      <c r="EH39" s="5" t="s">
        <v>11997</v>
      </c>
      <c r="EI39" s="5"/>
      <c r="EJ39" s="5" t="s">
        <v>11997</v>
      </c>
      <c r="EK39" s="5"/>
      <c r="EL39" s="5" t="s">
        <v>11997</v>
      </c>
      <c r="EM39" s="5"/>
      <c r="EN39" s="5" t="s">
        <v>11997</v>
      </c>
      <c r="EO39" s="5"/>
      <c r="EP39" s="5" t="s">
        <v>11998</v>
      </c>
      <c r="EQ39" s="5"/>
      <c r="ER39" s="5" t="s">
        <v>11997</v>
      </c>
      <c r="ES39" s="5"/>
      <c r="ET39" s="5" t="s">
        <v>11972</v>
      </c>
      <c r="EU39" s="5"/>
      <c r="EV39" s="5"/>
      <c r="EW39" s="5"/>
      <c r="EX39" s="5"/>
      <c r="EY39" s="5" t="s">
        <v>3994</v>
      </c>
      <c r="EZ39" s="5"/>
      <c r="FA39" s="5" t="s">
        <v>506</v>
      </c>
      <c r="FB39" s="5"/>
    </row>
    <row r="40" spans="1:158" ht="409.5">
      <c r="A40" s="5" t="s">
        <v>32</v>
      </c>
      <c r="B40" s="5" t="s">
        <v>508</v>
      </c>
      <c r="C40" s="5" t="s">
        <v>12414</v>
      </c>
      <c r="D40" s="5" t="s">
        <v>12415</v>
      </c>
      <c r="E40" s="5" t="s">
        <v>12011</v>
      </c>
      <c r="F40" s="5" t="s">
        <v>11994</v>
      </c>
      <c r="G40" s="5" t="s">
        <v>12416</v>
      </c>
      <c r="H40" s="5" t="s">
        <v>11977</v>
      </c>
      <c r="I40" s="5" t="s">
        <v>207</v>
      </c>
      <c r="J40" s="5" t="s">
        <v>2854</v>
      </c>
      <c r="K40" s="5" t="s">
        <v>12417</v>
      </c>
      <c r="L40" s="5" t="s">
        <v>543</v>
      </c>
      <c r="M40" s="5" t="s">
        <v>12418</v>
      </c>
      <c r="N40" s="5" t="s">
        <v>11952</v>
      </c>
      <c r="O40" s="5" t="s">
        <v>11952</v>
      </c>
      <c r="P40" s="5" t="s">
        <v>11952</v>
      </c>
      <c r="Q40" s="5" t="s">
        <v>11952</v>
      </c>
      <c r="R40" s="5" t="s">
        <v>12419</v>
      </c>
      <c r="S40" s="5" t="s">
        <v>12420</v>
      </c>
      <c r="T40" s="5" t="s">
        <v>12421</v>
      </c>
      <c r="U40" s="5" t="s">
        <v>2854</v>
      </c>
      <c r="V40" s="5" t="s">
        <v>12422</v>
      </c>
      <c r="W40" s="5" t="s">
        <v>12423</v>
      </c>
      <c r="X40" s="5" t="s">
        <v>12424</v>
      </c>
      <c r="Y40" s="5" t="s">
        <v>121</v>
      </c>
      <c r="Z40" s="5" t="s">
        <v>2854</v>
      </c>
      <c r="AA40" s="5" t="s">
        <v>11981</v>
      </c>
      <c r="AB40" s="5" t="s">
        <v>155</v>
      </c>
      <c r="AC40" s="5" t="s">
        <v>12425</v>
      </c>
      <c r="AD40" s="5" t="s">
        <v>121</v>
      </c>
      <c r="AE40" s="5" t="s">
        <v>121</v>
      </c>
      <c r="AF40" s="5" t="s">
        <v>12425</v>
      </c>
      <c r="AG40" s="5" t="s">
        <v>121</v>
      </c>
      <c r="AH40" s="5" t="s">
        <v>121</v>
      </c>
      <c r="AI40" s="5" t="s">
        <v>121</v>
      </c>
      <c r="AJ40" s="5" t="s">
        <v>121</v>
      </c>
      <c r="AK40" s="5" t="s">
        <v>121</v>
      </c>
      <c r="AL40" s="5" t="s">
        <v>121</v>
      </c>
      <c r="AM40" s="5" t="s">
        <v>121</v>
      </c>
      <c r="AN40" s="5" t="s">
        <v>12426</v>
      </c>
      <c r="AO40" s="5" t="s">
        <v>121</v>
      </c>
      <c r="AP40" s="5" t="s">
        <v>12427</v>
      </c>
      <c r="AQ40" s="5" t="s">
        <v>121</v>
      </c>
      <c r="AR40" s="5" t="s">
        <v>12428</v>
      </c>
      <c r="AS40" s="5" t="s">
        <v>12429</v>
      </c>
      <c r="AT40" s="5" t="s">
        <v>121</v>
      </c>
      <c r="AU40" s="5" t="s">
        <v>12430</v>
      </c>
      <c r="AV40" s="5" t="s">
        <v>12003</v>
      </c>
      <c r="AW40" s="5" t="s">
        <v>12430</v>
      </c>
      <c r="AX40" s="5" t="s">
        <v>12159</v>
      </c>
      <c r="AY40" s="5" t="s">
        <v>2854</v>
      </c>
      <c r="AZ40" s="5" t="s">
        <v>2854</v>
      </c>
      <c r="BA40" s="5" t="s">
        <v>121</v>
      </c>
      <c r="BB40" s="5" t="s">
        <v>3510</v>
      </c>
      <c r="BC40" s="5" t="s">
        <v>3510</v>
      </c>
      <c r="BD40" s="5" t="s">
        <v>121</v>
      </c>
      <c r="BE40" s="5" t="s">
        <v>12431</v>
      </c>
      <c r="BF40" s="5" t="s">
        <v>12432</v>
      </c>
      <c r="BG40" s="5" t="s">
        <v>121</v>
      </c>
      <c r="BH40" s="5" t="s">
        <v>12433</v>
      </c>
      <c r="BI40" s="5" t="s">
        <v>121</v>
      </c>
      <c r="BJ40" s="5" t="s">
        <v>12434</v>
      </c>
      <c r="BK40" s="5" t="s">
        <v>121</v>
      </c>
      <c r="BL40" s="5" t="s">
        <v>12435</v>
      </c>
      <c r="BM40" s="5" t="s">
        <v>12435</v>
      </c>
      <c r="BN40" s="5" t="s">
        <v>12436</v>
      </c>
      <c r="BO40" s="5" t="s">
        <v>12437</v>
      </c>
      <c r="BP40" s="5" t="s">
        <v>2854</v>
      </c>
      <c r="BQ40" s="5" t="s">
        <v>2854</v>
      </c>
      <c r="BR40" s="5" t="s">
        <v>121</v>
      </c>
      <c r="BS40" s="5" t="s">
        <v>121</v>
      </c>
      <c r="BT40" s="5" t="s">
        <v>121</v>
      </c>
      <c r="BU40" s="5" t="s">
        <v>121</v>
      </c>
      <c r="BV40" s="5" t="s">
        <v>3510</v>
      </c>
      <c r="BW40" s="5" t="s">
        <v>3510</v>
      </c>
      <c r="BX40" s="5" t="s">
        <v>3510</v>
      </c>
      <c r="BY40" s="5" t="s">
        <v>12438</v>
      </c>
      <c r="BZ40" s="5" t="s">
        <v>12439</v>
      </c>
      <c r="CA40" s="5" t="s">
        <v>121</v>
      </c>
      <c r="CB40" s="5" t="s">
        <v>121</v>
      </c>
      <c r="CC40" s="5" t="s">
        <v>12440</v>
      </c>
      <c r="CD40" s="5" t="s">
        <v>12441</v>
      </c>
      <c r="CE40" s="5" t="s">
        <v>12441</v>
      </c>
      <c r="CF40" s="5" t="s">
        <v>11958</v>
      </c>
      <c r="CG40" s="5" t="s">
        <v>12442</v>
      </c>
      <c r="CH40" s="5" t="s">
        <v>12443</v>
      </c>
      <c r="CI40" s="5" t="s">
        <v>12034</v>
      </c>
      <c r="CJ40" s="5" t="s">
        <v>12444</v>
      </c>
      <c r="CK40" s="5" t="s">
        <v>12445</v>
      </c>
      <c r="CL40" s="5" t="s">
        <v>2854</v>
      </c>
      <c r="CM40" s="5" t="s">
        <v>12444</v>
      </c>
      <c r="CN40" s="5" t="s">
        <v>121</v>
      </c>
      <c r="CO40" s="5" t="s">
        <v>121</v>
      </c>
      <c r="CP40" s="5" t="s">
        <v>3510</v>
      </c>
      <c r="CQ40" s="5" t="s">
        <v>12446</v>
      </c>
      <c r="CR40" s="5" t="s">
        <v>11960</v>
      </c>
      <c r="CS40" s="5" t="s">
        <v>2854</v>
      </c>
      <c r="CT40" s="5" t="s">
        <v>3510</v>
      </c>
      <c r="CU40" s="5" t="s">
        <v>3510</v>
      </c>
      <c r="CV40" s="5" t="s">
        <v>12447</v>
      </c>
      <c r="CW40" s="5" t="s">
        <v>12448</v>
      </c>
      <c r="CX40" s="5" t="s">
        <v>12449</v>
      </c>
      <c r="CY40" s="5" t="s">
        <v>12450</v>
      </c>
      <c r="CZ40" s="5" t="s">
        <v>11989</v>
      </c>
      <c r="DA40" s="5" t="s">
        <v>11989</v>
      </c>
      <c r="DB40" s="5" t="s">
        <v>12451</v>
      </c>
      <c r="DC40" s="5" t="s">
        <v>12452</v>
      </c>
      <c r="DD40" s="5" t="s">
        <v>11963</v>
      </c>
      <c r="DE40" s="5" t="s">
        <v>12453</v>
      </c>
      <c r="DF40" s="5" t="s">
        <v>3510</v>
      </c>
      <c r="DG40" s="5" t="s">
        <v>12454</v>
      </c>
      <c r="DH40" s="5" t="s">
        <v>12455</v>
      </c>
      <c r="DI40" s="5" t="s">
        <v>11975</v>
      </c>
      <c r="DJ40" s="5" t="s">
        <v>11994</v>
      </c>
      <c r="DK40" s="5" t="s">
        <v>12456</v>
      </c>
      <c r="DL40" s="5">
        <v>4.8</v>
      </c>
      <c r="DM40" s="5">
        <v>4.2</v>
      </c>
      <c r="DN40" s="5">
        <v>4.5999999999999996</v>
      </c>
      <c r="DO40" s="5">
        <v>5</v>
      </c>
      <c r="DP40" s="5">
        <v>4.5999999999999996</v>
      </c>
      <c r="DQ40" s="5">
        <v>2.2000000000000002</v>
      </c>
      <c r="DR40" s="5">
        <v>0</v>
      </c>
      <c r="DS40" s="5">
        <v>78.400000000000006</v>
      </c>
      <c r="DT40" s="5" t="s">
        <v>11968</v>
      </c>
      <c r="DU40" s="5" t="s">
        <v>12457</v>
      </c>
      <c r="DV40" s="5" t="s">
        <v>11970</v>
      </c>
      <c r="DW40" s="5"/>
      <c r="DX40" s="5">
        <v>37</v>
      </c>
      <c r="DY40" s="5"/>
      <c r="DZ40" s="5">
        <v>100</v>
      </c>
      <c r="EA40" s="5"/>
      <c r="EB40" s="5">
        <v>0.37</v>
      </c>
      <c r="EC40" s="5"/>
      <c r="ED40" s="5" t="s">
        <v>11971</v>
      </c>
      <c r="EE40" s="5"/>
      <c r="EF40" s="5" t="s">
        <v>11997</v>
      </c>
      <c r="EG40" s="5"/>
      <c r="EH40" s="5" t="s">
        <v>11997</v>
      </c>
      <c r="EI40" s="5"/>
      <c r="EJ40" s="5" t="s">
        <v>11997</v>
      </c>
      <c r="EK40" s="5"/>
      <c r="EL40" s="5" t="s">
        <v>11997</v>
      </c>
      <c r="EM40" s="5"/>
      <c r="EN40" s="5" t="s">
        <v>11997</v>
      </c>
      <c r="EO40" s="5"/>
      <c r="EP40" s="5" t="s">
        <v>11998</v>
      </c>
      <c r="EQ40" s="5"/>
      <c r="ER40" s="5" t="s">
        <v>11997</v>
      </c>
      <c r="ES40" s="5"/>
      <c r="ET40" s="5" t="s">
        <v>11972</v>
      </c>
      <c r="EU40" s="5"/>
      <c r="EV40" s="5"/>
      <c r="EW40" s="5"/>
      <c r="EX40" s="5"/>
      <c r="EY40" s="5" t="s">
        <v>12458</v>
      </c>
      <c r="EZ40" s="5"/>
      <c r="FA40" s="5" t="s">
        <v>12459</v>
      </c>
      <c r="FB40" s="5"/>
    </row>
    <row r="41" spans="1:158" ht="76.5">
      <c r="A41" s="5" t="s">
        <v>522</v>
      </c>
      <c r="B41" s="5" t="s">
        <v>523</v>
      </c>
      <c r="C41" s="5" t="s">
        <v>11952</v>
      </c>
      <c r="D41" s="5" t="s">
        <v>524</v>
      </c>
      <c r="E41" s="5" t="s">
        <v>11953</v>
      </c>
      <c r="F41" s="5" t="s">
        <v>11954</v>
      </c>
      <c r="G41" s="5" t="s">
        <v>11955</v>
      </c>
      <c r="H41" s="5" t="s">
        <v>11235</v>
      </c>
      <c r="I41" s="5" t="s">
        <v>129</v>
      </c>
      <c r="J41" s="5" t="s">
        <v>3510</v>
      </c>
      <c r="K41" s="5" t="s">
        <v>11956</v>
      </c>
      <c r="L41" s="5" t="s">
        <v>530</v>
      </c>
      <c r="M41" s="5" t="s">
        <v>530</v>
      </c>
      <c r="N41" s="5" t="s">
        <v>11952</v>
      </c>
      <c r="O41" s="5" t="s">
        <v>11952</v>
      </c>
      <c r="P41" s="5" t="s">
        <v>11952</v>
      </c>
      <c r="Q41" s="5" t="s">
        <v>11952</v>
      </c>
      <c r="R41" s="5" t="s">
        <v>11952</v>
      </c>
      <c r="S41" s="5" t="s">
        <v>11952</v>
      </c>
      <c r="T41" s="5" t="s">
        <v>121</v>
      </c>
      <c r="U41" s="5" t="s">
        <v>3510</v>
      </c>
      <c r="V41" s="5" t="s">
        <v>121</v>
      </c>
      <c r="W41" s="5" t="s">
        <v>121</v>
      </c>
      <c r="X41" s="5" t="s">
        <v>121</v>
      </c>
      <c r="Y41" s="5" t="s">
        <v>121</v>
      </c>
      <c r="Z41" s="5" t="s">
        <v>11952</v>
      </c>
      <c r="AA41" s="5" t="s">
        <v>11952</v>
      </c>
      <c r="AB41" s="5" t="s">
        <v>155</v>
      </c>
      <c r="AC41" s="5" t="s">
        <v>527</v>
      </c>
      <c r="AD41" s="5" t="s">
        <v>121</v>
      </c>
      <c r="AE41" s="5" t="s">
        <v>121</v>
      </c>
      <c r="AF41" s="5" t="s">
        <v>527</v>
      </c>
      <c r="AG41" s="5" t="s">
        <v>121</v>
      </c>
      <c r="AH41" s="5" t="s">
        <v>121</v>
      </c>
      <c r="AI41" s="5" t="s">
        <v>121</v>
      </c>
      <c r="AJ41" s="5" t="s">
        <v>121</v>
      </c>
      <c r="AK41" s="5" t="s">
        <v>121</v>
      </c>
      <c r="AL41" s="5" t="s">
        <v>121</v>
      </c>
      <c r="AM41" s="5" t="s">
        <v>121</v>
      </c>
      <c r="AN41" s="5" t="s">
        <v>121</v>
      </c>
      <c r="AO41" s="5" t="s">
        <v>121</v>
      </c>
      <c r="AP41" s="5" t="s">
        <v>12460</v>
      </c>
      <c r="AQ41" s="5" t="s">
        <v>121</v>
      </c>
      <c r="AR41" s="5" t="s">
        <v>12461</v>
      </c>
      <c r="AS41" s="5" t="s">
        <v>528</v>
      </c>
      <c r="AT41" s="5" t="s">
        <v>121</v>
      </c>
      <c r="AU41" s="5" t="s">
        <v>525</v>
      </c>
      <c r="AV41" s="5" t="s">
        <v>121</v>
      </c>
      <c r="AW41" s="5" t="s">
        <v>121</v>
      </c>
      <c r="AX41" s="5" t="s">
        <v>121</v>
      </c>
      <c r="AY41" s="5" t="s">
        <v>121</v>
      </c>
      <c r="AZ41" s="5" t="s">
        <v>121</v>
      </c>
      <c r="BA41" s="5" t="s">
        <v>121</v>
      </c>
      <c r="BB41" s="5" t="s">
        <v>3510</v>
      </c>
      <c r="BC41" s="5" t="s">
        <v>121</v>
      </c>
      <c r="BD41" s="5" t="s">
        <v>121</v>
      </c>
      <c r="BE41" s="5" t="s">
        <v>121</v>
      </c>
      <c r="BF41" s="5" t="s">
        <v>121</v>
      </c>
      <c r="BG41" s="5" t="s">
        <v>121</v>
      </c>
      <c r="BH41" s="5" t="s">
        <v>12462</v>
      </c>
      <c r="BI41" s="5" t="s">
        <v>121</v>
      </c>
      <c r="BJ41" s="5" t="s">
        <v>526</v>
      </c>
      <c r="BK41" s="5" t="s">
        <v>121</v>
      </c>
      <c r="BL41" s="5" t="s">
        <v>332</v>
      </c>
      <c r="BM41" s="5" t="s">
        <v>332</v>
      </c>
      <c r="BN41" s="5" t="s">
        <v>354</v>
      </c>
      <c r="BO41" s="5" t="s">
        <v>12219</v>
      </c>
      <c r="BP41" s="5" t="s">
        <v>121</v>
      </c>
      <c r="BQ41" s="5" t="s">
        <v>2854</v>
      </c>
      <c r="BR41" s="5" t="s">
        <v>121</v>
      </c>
      <c r="BS41" s="5" t="s">
        <v>121</v>
      </c>
      <c r="BT41" s="5" t="s">
        <v>121</v>
      </c>
      <c r="BU41" s="5" t="s">
        <v>121</v>
      </c>
      <c r="BV41" s="5" t="s">
        <v>3510</v>
      </c>
      <c r="BW41" s="5" t="s">
        <v>3510</v>
      </c>
      <c r="BX41" s="5" t="s">
        <v>3510</v>
      </c>
      <c r="BY41" s="5" t="s">
        <v>12463</v>
      </c>
      <c r="BZ41" s="5" t="s">
        <v>12464</v>
      </c>
      <c r="CA41" s="5" t="s">
        <v>121</v>
      </c>
      <c r="CB41" s="5" t="s">
        <v>121</v>
      </c>
      <c r="CC41" s="5" t="s">
        <v>332</v>
      </c>
      <c r="CD41" s="5" t="s">
        <v>121</v>
      </c>
      <c r="CE41" s="5" t="s">
        <v>121</v>
      </c>
      <c r="CF41" s="5" t="s">
        <v>11958</v>
      </c>
      <c r="CG41" s="5" t="s">
        <v>121</v>
      </c>
      <c r="CH41" s="5" t="s">
        <v>121</v>
      </c>
      <c r="CI41" s="5" t="s">
        <v>12034</v>
      </c>
      <c r="CJ41" s="5" t="s">
        <v>124</v>
      </c>
      <c r="CK41" s="5" t="s">
        <v>121</v>
      </c>
      <c r="CL41" s="5" t="s">
        <v>3510</v>
      </c>
      <c r="CM41" s="5" t="s">
        <v>124</v>
      </c>
      <c r="CN41" s="5" t="s">
        <v>121</v>
      </c>
      <c r="CO41" s="5" t="s">
        <v>121</v>
      </c>
      <c r="CP41" s="5" t="s">
        <v>3510</v>
      </c>
      <c r="CQ41" s="5" t="s">
        <v>529</v>
      </c>
      <c r="CR41" s="5" t="s">
        <v>11960</v>
      </c>
      <c r="CS41" s="5" t="s">
        <v>3510</v>
      </c>
      <c r="CT41" s="5" t="s">
        <v>3510</v>
      </c>
      <c r="CU41" s="5" t="s">
        <v>3510</v>
      </c>
      <c r="CV41" s="5" t="s">
        <v>11952</v>
      </c>
      <c r="CW41" s="5" t="s">
        <v>11952</v>
      </c>
      <c r="CX41" s="5" t="s">
        <v>11961</v>
      </c>
      <c r="CY41" s="5" t="s">
        <v>12465</v>
      </c>
      <c r="CZ41" s="5" t="s">
        <v>3510</v>
      </c>
      <c r="DA41" s="5" t="s">
        <v>11952</v>
      </c>
      <c r="DB41" s="5" t="s">
        <v>11963</v>
      </c>
      <c r="DC41" s="5" t="s">
        <v>11963</v>
      </c>
      <c r="DD41" s="5" t="s">
        <v>11963</v>
      </c>
      <c r="DE41" s="5" t="s">
        <v>11963</v>
      </c>
      <c r="DF41" s="5" t="s">
        <v>3510</v>
      </c>
      <c r="DG41" s="5" t="s">
        <v>11964</v>
      </c>
      <c r="DH41" s="5" t="s">
        <v>12466</v>
      </c>
      <c r="DI41" s="5" t="s">
        <v>11975</v>
      </c>
      <c r="DJ41" s="5" t="s">
        <v>11966</v>
      </c>
      <c r="DK41" s="5" t="s">
        <v>11967</v>
      </c>
      <c r="DL41" s="5">
        <v>4</v>
      </c>
      <c r="DM41" s="5">
        <v>3</v>
      </c>
      <c r="DN41" s="5">
        <v>2.5</v>
      </c>
      <c r="DO41" s="5">
        <v>4</v>
      </c>
      <c r="DP41" s="5">
        <v>3</v>
      </c>
      <c r="DQ41" s="5">
        <v>1</v>
      </c>
      <c r="DR41" s="5">
        <v>0</v>
      </c>
      <c r="DS41" s="5">
        <v>55.5</v>
      </c>
      <c r="DT41" s="5" t="s">
        <v>11968</v>
      </c>
      <c r="DU41" s="5" t="s">
        <v>11969</v>
      </c>
      <c r="DV41" s="5" t="s">
        <v>11970</v>
      </c>
      <c r="DW41" s="5"/>
      <c r="DX41" s="5">
        <v>23</v>
      </c>
      <c r="DY41" s="5"/>
      <c r="DZ41" s="5">
        <v>100</v>
      </c>
      <c r="EA41" s="5"/>
      <c r="EB41" s="5">
        <v>0.23</v>
      </c>
      <c r="EC41" s="5"/>
      <c r="ED41" s="5" t="s">
        <v>11971</v>
      </c>
      <c r="EE41" s="5"/>
      <c r="EF41" s="5" t="s">
        <v>11997</v>
      </c>
      <c r="EG41" s="5"/>
      <c r="EH41" s="5" t="s">
        <v>11997</v>
      </c>
      <c r="EI41" s="5"/>
      <c r="EJ41" s="5" t="s">
        <v>11997</v>
      </c>
      <c r="EK41" s="5"/>
      <c r="EL41" s="5" t="s">
        <v>11997</v>
      </c>
      <c r="EM41" s="5"/>
      <c r="EN41" s="5" t="s">
        <v>11997</v>
      </c>
      <c r="EO41" s="5"/>
      <c r="EP41" s="5" t="s">
        <v>11998</v>
      </c>
      <c r="EQ41" s="5"/>
      <c r="ER41" s="5" t="s">
        <v>11997</v>
      </c>
      <c r="ES41" s="5"/>
      <c r="ET41" s="5" t="s">
        <v>11972</v>
      </c>
      <c r="EU41" s="5"/>
      <c r="EV41" s="5"/>
      <c r="EW41" s="5"/>
      <c r="EX41" s="5"/>
      <c r="EY41" s="5" t="s">
        <v>4075</v>
      </c>
      <c r="EZ41" s="5"/>
      <c r="FA41" s="5" t="s">
        <v>530</v>
      </c>
      <c r="FB41" s="5"/>
    </row>
    <row r="42" spans="1:158" ht="293.25">
      <c r="A42" s="5" t="s">
        <v>532</v>
      </c>
      <c r="B42" s="5" t="s">
        <v>533</v>
      </c>
      <c r="C42" s="5" t="s">
        <v>12467</v>
      </c>
      <c r="D42" s="5" t="s">
        <v>534</v>
      </c>
      <c r="E42" s="5" t="s">
        <v>12011</v>
      </c>
      <c r="F42" s="5" t="s">
        <v>11994</v>
      </c>
      <c r="G42" s="5" t="s">
        <v>12468</v>
      </c>
      <c r="H42" s="5" t="s">
        <v>12096</v>
      </c>
      <c r="I42" s="5" t="s">
        <v>129</v>
      </c>
      <c r="J42" s="5" t="s">
        <v>3510</v>
      </c>
      <c r="K42" s="5" t="s">
        <v>12469</v>
      </c>
      <c r="L42" s="5" t="s">
        <v>543</v>
      </c>
      <c r="M42" s="5" t="s">
        <v>12470</v>
      </c>
      <c r="N42" s="5" t="s">
        <v>11952</v>
      </c>
      <c r="O42" s="5" t="s">
        <v>11952</v>
      </c>
      <c r="P42" s="5" t="s">
        <v>11952</v>
      </c>
      <c r="Q42" s="5" t="s">
        <v>11952</v>
      </c>
      <c r="R42" s="5" t="s">
        <v>11952</v>
      </c>
      <c r="S42" s="5" t="s">
        <v>11952</v>
      </c>
      <c r="T42" s="5" t="s">
        <v>121</v>
      </c>
      <c r="U42" s="5" t="s">
        <v>2854</v>
      </c>
      <c r="V42" s="5" t="s">
        <v>12471</v>
      </c>
      <c r="W42" s="5" t="s">
        <v>12472</v>
      </c>
      <c r="X42" s="5" t="s">
        <v>12473</v>
      </c>
      <c r="Y42" s="5" t="s">
        <v>121</v>
      </c>
      <c r="Z42" s="5" t="s">
        <v>2854</v>
      </c>
      <c r="AA42" s="5" t="s">
        <v>11981</v>
      </c>
      <c r="AB42" s="5" t="s">
        <v>155</v>
      </c>
      <c r="AC42" s="5" t="s">
        <v>540</v>
      </c>
      <c r="AD42" s="5" t="s">
        <v>121</v>
      </c>
      <c r="AE42" s="5" t="s">
        <v>121</v>
      </c>
      <c r="AF42" s="5" t="s">
        <v>540</v>
      </c>
      <c r="AG42" s="5" t="s">
        <v>121</v>
      </c>
      <c r="AH42" s="5" t="s">
        <v>12474</v>
      </c>
      <c r="AI42" s="5" t="s">
        <v>121</v>
      </c>
      <c r="AJ42" s="5" t="s">
        <v>121</v>
      </c>
      <c r="AK42" s="5" t="s">
        <v>121</v>
      </c>
      <c r="AL42" s="5" t="s">
        <v>121</v>
      </c>
      <c r="AM42" s="5" t="s">
        <v>121</v>
      </c>
      <c r="AN42" s="5" t="s">
        <v>12475</v>
      </c>
      <c r="AO42" s="5" t="s">
        <v>121</v>
      </c>
      <c r="AP42" s="5" t="s">
        <v>12476</v>
      </c>
      <c r="AQ42" s="5" t="s">
        <v>121</v>
      </c>
      <c r="AR42" s="5" t="s">
        <v>12477</v>
      </c>
      <c r="AS42" s="5" t="s">
        <v>541</v>
      </c>
      <c r="AT42" s="5" t="s">
        <v>121</v>
      </c>
      <c r="AU42" s="5" t="s">
        <v>536</v>
      </c>
      <c r="AV42" s="5" t="s">
        <v>12003</v>
      </c>
      <c r="AW42" s="5" t="s">
        <v>121</v>
      </c>
      <c r="AX42" s="5" t="s">
        <v>12159</v>
      </c>
      <c r="AY42" s="5" t="s">
        <v>2854</v>
      </c>
      <c r="AZ42" s="5" t="s">
        <v>121</v>
      </c>
      <c r="BA42" s="5" t="s">
        <v>121</v>
      </c>
      <c r="BB42" s="5" t="s">
        <v>121</v>
      </c>
      <c r="BC42" s="5" t="s">
        <v>121</v>
      </c>
      <c r="BD42" s="5" t="s">
        <v>121</v>
      </c>
      <c r="BE42" s="5" t="s">
        <v>12478</v>
      </c>
      <c r="BF42" s="5" t="s">
        <v>12478</v>
      </c>
      <c r="BG42" s="5" t="s">
        <v>121</v>
      </c>
      <c r="BH42" s="5" t="s">
        <v>12479</v>
      </c>
      <c r="BI42" s="5" t="s">
        <v>121</v>
      </c>
      <c r="BJ42" s="5" t="s">
        <v>537</v>
      </c>
      <c r="BK42" s="5" t="s">
        <v>121</v>
      </c>
      <c r="BL42" s="5" t="s">
        <v>12480</v>
      </c>
      <c r="BM42" s="5" t="s">
        <v>12480</v>
      </c>
      <c r="BN42" s="5" t="s">
        <v>538</v>
      </c>
      <c r="BO42" s="5" t="s">
        <v>12398</v>
      </c>
      <c r="BP42" s="5" t="s">
        <v>2854</v>
      </c>
      <c r="BQ42" s="5" t="s">
        <v>2854</v>
      </c>
      <c r="BR42" s="5" t="s">
        <v>121</v>
      </c>
      <c r="BS42" s="5" t="s">
        <v>121</v>
      </c>
      <c r="BT42" s="5" t="s">
        <v>121</v>
      </c>
      <c r="BU42" s="5" t="s">
        <v>121</v>
      </c>
      <c r="BV42" s="5" t="s">
        <v>121</v>
      </c>
      <c r="BW42" s="5" t="s">
        <v>121</v>
      </c>
      <c r="BX42" s="5" t="s">
        <v>121</v>
      </c>
      <c r="BY42" s="5" t="s">
        <v>12481</v>
      </c>
      <c r="BZ42" s="5" t="s">
        <v>12482</v>
      </c>
      <c r="CA42" s="5" t="s">
        <v>121</v>
      </c>
      <c r="CB42" s="5" t="s">
        <v>121</v>
      </c>
      <c r="CC42" s="5" t="s">
        <v>535</v>
      </c>
      <c r="CD42" s="5" t="s">
        <v>12483</v>
      </c>
      <c r="CE42" s="5" t="s">
        <v>12483</v>
      </c>
      <c r="CF42" s="5" t="s">
        <v>11958</v>
      </c>
      <c r="CG42" s="5" t="s">
        <v>121</v>
      </c>
      <c r="CH42" s="5" t="s">
        <v>121</v>
      </c>
      <c r="CI42" s="5" t="s">
        <v>12034</v>
      </c>
      <c r="CJ42" s="5" t="s">
        <v>124</v>
      </c>
      <c r="CK42" s="5" t="s">
        <v>539</v>
      </c>
      <c r="CL42" s="5" t="s">
        <v>3510</v>
      </c>
      <c r="CM42" s="5" t="s">
        <v>124</v>
      </c>
      <c r="CN42" s="5" t="s">
        <v>121</v>
      </c>
      <c r="CO42" s="5" t="s">
        <v>121</v>
      </c>
      <c r="CP42" s="5" t="s">
        <v>3510</v>
      </c>
      <c r="CQ42" s="5" t="s">
        <v>542</v>
      </c>
      <c r="CR42" s="5" t="s">
        <v>11960</v>
      </c>
      <c r="CS42" s="5" t="s">
        <v>3510</v>
      </c>
      <c r="CT42" s="5" t="s">
        <v>3510</v>
      </c>
      <c r="CU42" s="5" t="s">
        <v>3510</v>
      </c>
      <c r="CV42" s="5" t="s">
        <v>11952</v>
      </c>
      <c r="CW42" s="5" t="s">
        <v>12484</v>
      </c>
      <c r="CX42" s="5" t="s">
        <v>12190</v>
      </c>
      <c r="CY42" s="5" t="s">
        <v>12485</v>
      </c>
      <c r="CZ42" s="5" t="s">
        <v>11952</v>
      </c>
      <c r="DA42" s="5" t="s">
        <v>11989</v>
      </c>
      <c r="DB42" s="5" t="s">
        <v>11963</v>
      </c>
      <c r="DC42" s="5" t="s">
        <v>12486</v>
      </c>
      <c r="DD42" s="5" t="s">
        <v>11963</v>
      </c>
      <c r="DE42" s="5" t="s">
        <v>12487</v>
      </c>
      <c r="DF42" s="5" t="s">
        <v>3510</v>
      </c>
      <c r="DG42" s="5" t="s">
        <v>12488</v>
      </c>
      <c r="DH42" s="5" t="s">
        <v>12489</v>
      </c>
      <c r="DI42" s="5" t="s">
        <v>11994</v>
      </c>
      <c r="DJ42" s="5" t="s">
        <v>11966</v>
      </c>
      <c r="DK42" s="5" t="s">
        <v>12490</v>
      </c>
      <c r="DL42" s="5">
        <v>5</v>
      </c>
      <c r="DM42" s="5">
        <v>4</v>
      </c>
      <c r="DN42" s="5">
        <v>4.5</v>
      </c>
      <c r="DO42" s="5">
        <v>3.5</v>
      </c>
      <c r="DP42" s="5">
        <v>3.5</v>
      </c>
      <c r="DQ42" s="5">
        <v>2</v>
      </c>
      <c r="DR42" s="5">
        <v>0</v>
      </c>
      <c r="DS42" s="5">
        <v>71</v>
      </c>
      <c r="DT42" s="5" t="s">
        <v>11968</v>
      </c>
      <c r="DU42" s="5" t="s">
        <v>12116</v>
      </c>
      <c r="DV42" s="5" t="s">
        <v>11970</v>
      </c>
      <c r="DW42" s="5"/>
      <c r="DX42" s="5">
        <v>22</v>
      </c>
      <c r="DY42" s="5"/>
      <c r="DZ42" s="5">
        <v>100</v>
      </c>
      <c r="EA42" s="5"/>
      <c r="EB42" s="5">
        <v>0.22</v>
      </c>
      <c r="EC42" s="5"/>
      <c r="ED42" s="5" t="s">
        <v>11971</v>
      </c>
      <c r="EE42" s="5"/>
      <c r="EF42" s="5" t="s">
        <v>11997</v>
      </c>
      <c r="EG42" s="5"/>
      <c r="EH42" s="5" t="s">
        <v>11997</v>
      </c>
      <c r="EI42" s="5"/>
      <c r="EJ42" s="5" t="s">
        <v>11997</v>
      </c>
      <c r="EK42" s="5"/>
      <c r="EL42" s="5" t="s">
        <v>11997</v>
      </c>
      <c r="EM42" s="5"/>
      <c r="EN42" s="5" t="s">
        <v>11997</v>
      </c>
      <c r="EO42" s="5"/>
      <c r="EP42" s="5" t="s">
        <v>11998</v>
      </c>
      <c r="EQ42" s="5"/>
      <c r="ER42" s="5" t="s">
        <v>11997</v>
      </c>
      <c r="ES42" s="5"/>
      <c r="ET42" s="5" t="s">
        <v>11972</v>
      </c>
      <c r="EU42" s="5"/>
      <c r="EV42" s="5"/>
      <c r="EW42" s="5"/>
      <c r="EX42" s="5"/>
      <c r="EY42" s="5" t="s">
        <v>4106</v>
      </c>
      <c r="EZ42" s="5"/>
      <c r="FA42" s="5" t="s">
        <v>543</v>
      </c>
      <c r="FB42" s="5"/>
    </row>
    <row r="43" spans="1:158" ht="229.5">
      <c r="A43" s="5" t="s">
        <v>545</v>
      </c>
      <c r="B43" s="5" t="s">
        <v>546</v>
      </c>
      <c r="C43" s="5" t="s">
        <v>12491</v>
      </c>
      <c r="D43" s="5" t="s">
        <v>547</v>
      </c>
      <c r="E43" s="5" t="s">
        <v>12011</v>
      </c>
      <c r="F43" s="5" t="s">
        <v>11994</v>
      </c>
      <c r="G43" s="5" t="s">
        <v>12492</v>
      </c>
      <c r="H43" s="5" t="s">
        <v>12096</v>
      </c>
      <c r="I43" s="5" t="s">
        <v>129</v>
      </c>
      <c r="J43" s="5" t="s">
        <v>3510</v>
      </c>
      <c r="K43" s="5" t="s">
        <v>12469</v>
      </c>
      <c r="L43" s="5" t="s">
        <v>543</v>
      </c>
      <c r="M43" s="5" t="s">
        <v>11473</v>
      </c>
      <c r="N43" s="5" t="s">
        <v>11952</v>
      </c>
      <c r="O43" s="5" t="s">
        <v>11952</v>
      </c>
      <c r="P43" s="5" t="s">
        <v>11952</v>
      </c>
      <c r="Q43" s="5" t="s">
        <v>11952</v>
      </c>
      <c r="R43" s="5" t="s">
        <v>11952</v>
      </c>
      <c r="S43" s="5" t="s">
        <v>11952</v>
      </c>
      <c r="T43" s="5" t="s">
        <v>121</v>
      </c>
      <c r="U43" s="5" t="s">
        <v>2854</v>
      </c>
      <c r="V43" s="5" t="s">
        <v>12493</v>
      </c>
      <c r="W43" s="5" t="s">
        <v>12494</v>
      </c>
      <c r="X43" s="5" t="s">
        <v>543</v>
      </c>
      <c r="Y43" s="5" t="s">
        <v>121</v>
      </c>
      <c r="Z43" s="5" t="s">
        <v>2854</v>
      </c>
      <c r="AA43" s="5" t="s">
        <v>11981</v>
      </c>
      <c r="AB43" s="5" t="s">
        <v>121</v>
      </c>
      <c r="AC43" s="5" t="s">
        <v>121</v>
      </c>
      <c r="AD43" s="5" t="s">
        <v>121</v>
      </c>
      <c r="AE43" s="5" t="s">
        <v>121</v>
      </c>
      <c r="AF43" s="5" t="s">
        <v>121</v>
      </c>
      <c r="AG43" s="5" t="s">
        <v>121</v>
      </c>
      <c r="AH43" s="5" t="s">
        <v>121</v>
      </c>
      <c r="AI43" s="5" t="s">
        <v>121</v>
      </c>
      <c r="AJ43" s="5" t="s">
        <v>121</v>
      </c>
      <c r="AK43" s="5" t="s">
        <v>121</v>
      </c>
      <c r="AL43" s="5" t="s">
        <v>121</v>
      </c>
      <c r="AM43" s="5" t="s">
        <v>121</v>
      </c>
      <c r="AN43" s="5" t="s">
        <v>121</v>
      </c>
      <c r="AO43" s="5" t="s">
        <v>121</v>
      </c>
      <c r="AP43" s="5" t="s">
        <v>12476</v>
      </c>
      <c r="AQ43" s="5" t="s">
        <v>121</v>
      </c>
      <c r="AR43" s="5" t="s">
        <v>121</v>
      </c>
      <c r="AS43" s="5" t="s">
        <v>551</v>
      </c>
      <c r="AT43" s="5" t="s">
        <v>121</v>
      </c>
      <c r="AU43" s="5" t="s">
        <v>549</v>
      </c>
      <c r="AV43" s="5" t="s">
        <v>12003</v>
      </c>
      <c r="AW43" s="5" t="s">
        <v>121</v>
      </c>
      <c r="AX43" s="5" t="s">
        <v>12159</v>
      </c>
      <c r="AY43" s="5" t="s">
        <v>2854</v>
      </c>
      <c r="AZ43" s="5" t="s">
        <v>121</v>
      </c>
      <c r="BA43" s="5" t="s">
        <v>121</v>
      </c>
      <c r="BB43" s="5" t="s">
        <v>121</v>
      </c>
      <c r="BC43" s="5" t="s">
        <v>121</v>
      </c>
      <c r="BD43" s="5" t="s">
        <v>121</v>
      </c>
      <c r="BE43" s="5" t="s">
        <v>121</v>
      </c>
      <c r="BF43" s="5" t="s">
        <v>121</v>
      </c>
      <c r="BG43" s="5" t="s">
        <v>121</v>
      </c>
      <c r="BH43" s="5" t="s">
        <v>12495</v>
      </c>
      <c r="BI43" s="5" t="s">
        <v>121</v>
      </c>
      <c r="BJ43" s="5" t="s">
        <v>550</v>
      </c>
      <c r="BK43" s="5" t="s">
        <v>121</v>
      </c>
      <c r="BL43" s="5" t="s">
        <v>12496</v>
      </c>
      <c r="BM43" s="5" t="s">
        <v>12496</v>
      </c>
      <c r="BN43" s="5" t="s">
        <v>538</v>
      </c>
      <c r="BO43" s="5" t="s">
        <v>12398</v>
      </c>
      <c r="BP43" s="5" t="s">
        <v>2854</v>
      </c>
      <c r="BQ43" s="5" t="s">
        <v>2854</v>
      </c>
      <c r="BR43" s="5" t="s">
        <v>121</v>
      </c>
      <c r="BS43" s="5" t="s">
        <v>121</v>
      </c>
      <c r="BT43" s="5" t="s">
        <v>121</v>
      </c>
      <c r="BU43" s="5" t="s">
        <v>121</v>
      </c>
      <c r="BV43" s="5" t="s">
        <v>121</v>
      </c>
      <c r="BW43" s="5" t="s">
        <v>121</v>
      </c>
      <c r="BX43" s="5" t="s">
        <v>121</v>
      </c>
      <c r="BY43" s="5" t="s">
        <v>12497</v>
      </c>
      <c r="BZ43" s="5" t="s">
        <v>121</v>
      </c>
      <c r="CA43" s="5" t="s">
        <v>121</v>
      </c>
      <c r="CB43" s="5" t="s">
        <v>121</v>
      </c>
      <c r="CC43" s="5" t="s">
        <v>548</v>
      </c>
      <c r="CD43" s="5" t="s">
        <v>12498</v>
      </c>
      <c r="CE43" s="5" t="s">
        <v>12498</v>
      </c>
      <c r="CF43" s="5" t="s">
        <v>11958</v>
      </c>
      <c r="CG43" s="5" t="s">
        <v>12499</v>
      </c>
      <c r="CH43" s="5" t="s">
        <v>12500</v>
      </c>
      <c r="CI43" s="5" t="s">
        <v>12501</v>
      </c>
      <c r="CJ43" s="5" t="s">
        <v>124</v>
      </c>
      <c r="CK43" s="5" t="s">
        <v>121</v>
      </c>
      <c r="CL43" s="5" t="s">
        <v>3510</v>
      </c>
      <c r="CM43" s="5" t="s">
        <v>124</v>
      </c>
      <c r="CN43" s="5" t="s">
        <v>121</v>
      </c>
      <c r="CO43" s="5" t="s">
        <v>121</v>
      </c>
      <c r="CP43" s="5" t="s">
        <v>3510</v>
      </c>
      <c r="CQ43" s="5" t="s">
        <v>552</v>
      </c>
      <c r="CR43" s="5" t="s">
        <v>11960</v>
      </c>
      <c r="CS43" s="5" t="s">
        <v>3510</v>
      </c>
      <c r="CT43" s="5" t="s">
        <v>3510</v>
      </c>
      <c r="CU43" s="5" t="s">
        <v>3510</v>
      </c>
      <c r="CV43" s="5" t="s">
        <v>12502</v>
      </c>
      <c r="CW43" s="5" t="s">
        <v>12503</v>
      </c>
      <c r="CX43" s="5" t="s">
        <v>12190</v>
      </c>
      <c r="CY43" s="5" t="s">
        <v>12504</v>
      </c>
      <c r="CZ43" s="5" t="s">
        <v>11952</v>
      </c>
      <c r="DA43" s="5" t="s">
        <v>11989</v>
      </c>
      <c r="DB43" s="5" t="s">
        <v>11963</v>
      </c>
      <c r="DC43" s="5" t="s">
        <v>12505</v>
      </c>
      <c r="DD43" s="5" t="s">
        <v>11963</v>
      </c>
      <c r="DE43" s="5" t="s">
        <v>12506</v>
      </c>
      <c r="DF43" s="5" t="s">
        <v>2854</v>
      </c>
      <c r="DG43" s="5" t="s">
        <v>12507</v>
      </c>
      <c r="DH43" s="5" t="s">
        <v>12508</v>
      </c>
      <c r="DI43" s="5" t="s">
        <v>11975</v>
      </c>
      <c r="DJ43" s="5" t="s">
        <v>12044</v>
      </c>
      <c r="DK43" s="5" t="s">
        <v>12509</v>
      </c>
      <c r="DL43" s="5">
        <v>4.5</v>
      </c>
      <c r="DM43" s="5">
        <v>3.5</v>
      </c>
      <c r="DN43" s="5">
        <v>3.5</v>
      </c>
      <c r="DO43" s="5">
        <v>2</v>
      </c>
      <c r="DP43" s="5">
        <v>3</v>
      </c>
      <c r="DQ43" s="5">
        <v>2</v>
      </c>
      <c r="DR43" s="5">
        <v>0</v>
      </c>
      <c r="DS43" s="5">
        <v>58.5</v>
      </c>
      <c r="DT43" s="5" t="s">
        <v>11968</v>
      </c>
      <c r="DU43" s="5" t="s">
        <v>12116</v>
      </c>
      <c r="DV43" s="5" t="s">
        <v>11970</v>
      </c>
      <c r="DW43" s="5"/>
      <c r="DX43" s="5">
        <v>12</v>
      </c>
      <c r="DY43" s="5"/>
      <c r="DZ43" s="5">
        <v>100</v>
      </c>
      <c r="EA43" s="5"/>
      <c r="EB43" s="5">
        <v>0.12</v>
      </c>
      <c r="EC43" s="5"/>
      <c r="ED43" s="5" t="s">
        <v>11971</v>
      </c>
      <c r="EE43" s="5"/>
      <c r="EF43" s="5" t="s">
        <v>11997</v>
      </c>
      <c r="EG43" s="5"/>
      <c r="EH43" s="5" t="s">
        <v>11997</v>
      </c>
      <c r="EI43" s="5"/>
      <c r="EJ43" s="5" t="s">
        <v>11997</v>
      </c>
      <c r="EK43" s="5"/>
      <c r="EL43" s="5" t="s">
        <v>11997</v>
      </c>
      <c r="EM43" s="5"/>
      <c r="EN43" s="5" t="s">
        <v>11997</v>
      </c>
      <c r="EO43" s="5"/>
      <c r="EP43" s="5" t="s">
        <v>11998</v>
      </c>
      <c r="EQ43" s="5"/>
      <c r="ER43" s="5" t="s">
        <v>11997</v>
      </c>
      <c r="ES43" s="5"/>
      <c r="ET43" s="5" t="s">
        <v>11972</v>
      </c>
      <c r="EU43" s="5"/>
      <c r="EV43" s="5"/>
      <c r="EW43" s="5"/>
      <c r="EX43" s="5"/>
      <c r="EY43" s="5" t="s">
        <v>4139</v>
      </c>
      <c r="EZ43" s="5"/>
      <c r="FA43" s="5" t="s">
        <v>543</v>
      </c>
      <c r="FB43" s="5"/>
    </row>
    <row r="44" spans="1:158" ht="153">
      <c r="A44" s="5" t="s">
        <v>554</v>
      </c>
      <c r="B44" s="5" t="s">
        <v>555</v>
      </c>
      <c r="C44" s="5" t="s">
        <v>12510</v>
      </c>
      <c r="D44" s="5" t="s">
        <v>556</v>
      </c>
      <c r="E44" s="5" t="s">
        <v>12011</v>
      </c>
      <c r="F44" s="5" t="s">
        <v>11994</v>
      </c>
      <c r="G44" s="5" t="s">
        <v>12511</v>
      </c>
      <c r="H44" s="5" t="s">
        <v>12512</v>
      </c>
      <c r="I44" s="5" t="s">
        <v>12097</v>
      </c>
      <c r="J44" s="5" t="s">
        <v>2854</v>
      </c>
      <c r="K44" s="5" t="s">
        <v>12513</v>
      </c>
      <c r="L44" s="5" t="s">
        <v>563</v>
      </c>
      <c r="M44" s="5" t="s">
        <v>11952</v>
      </c>
      <c r="N44" s="5" t="s">
        <v>11952</v>
      </c>
      <c r="O44" s="5" t="s">
        <v>563</v>
      </c>
      <c r="P44" s="5" t="s">
        <v>11952</v>
      </c>
      <c r="Q44" s="5" t="s">
        <v>11952</v>
      </c>
      <c r="R44" s="5" t="s">
        <v>11952</v>
      </c>
      <c r="S44" s="5" t="s">
        <v>11952</v>
      </c>
      <c r="T44" s="5" t="s">
        <v>12514</v>
      </c>
      <c r="U44" s="5" t="s">
        <v>2854</v>
      </c>
      <c r="V44" s="5" t="s">
        <v>12515</v>
      </c>
      <c r="W44" s="5" t="s">
        <v>12516</v>
      </c>
      <c r="X44" s="5" t="s">
        <v>12517</v>
      </c>
      <c r="Y44" s="5" t="s">
        <v>121</v>
      </c>
      <c r="Z44" s="5" t="s">
        <v>2854</v>
      </c>
      <c r="AA44" s="5" t="s">
        <v>11981</v>
      </c>
      <c r="AB44" s="5" t="s">
        <v>155</v>
      </c>
      <c r="AC44" s="5" t="s">
        <v>560</v>
      </c>
      <c r="AD44" s="5" t="s">
        <v>121</v>
      </c>
      <c r="AE44" s="5" t="s">
        <v>121</v>
      </c>
      <c r="AF44" s="5" t="s">
        <v>560</v>
      </c>
      <c r="AG44" s="5" t="s">
        <v>121</v>
      </c>
      <c r="AH44" s="5" t="s">
        <v>121</v>
      </c>
      <c r="AI44" s="5" t="s">
        <v>121</v>
      </c>
      <c r="AJ44" s="5" t="s">
        <v>121</v>
      </c>
      <c r="AK44" s="5" t="s">
        <v>121</v>
      </c>
      <c r="AL44" s="5" t="s">
        <v>121</v>
      </c>
      <c r="AM44" s="5" t="s">
        <v>121</v>
      </c>
      <c r="AN44" s="5" t="s">
        <v>121</v>
      </c>
      <c r="AO44" s="5" t="s">
        <v>121</v>
      </c>
      <c r="AP44" s="5" t="s">
        <v>121</v>
      </c>
      <c r="AQ44" s="5" t="s">
        <v>121</v>
      </c>
      <c r="AR44" s="5" t="s">
        <v>121</v>
      </c>
      <c r="AS44" s="5" t="s">
        <v>428</v>
      </c>
      <c r="AT44" s="5" t="s">
        <v>121</v>
      </c>
      <c r="AU44" s="5" t="s">
        <v>121</v>
      </c>
      <c r="AV44" s="5" t="s">
        <v>121</v>
      </c>
      <c r="AW44" s="5" t="s">
        <v>121</v>
      </c>
      <c r="AX44" s="5" t="s">
        <v>121</v>
      </c>
      <c r="AY44" s="5" t="s">
        <v>121</v>
      </c>
      <c r="AZ44" s="5" t="s">
        <v>121</v>
      </c>
      <c r="BA44" s="5" t="s">
        <v>121</v>
      </c>
      <c r="BB44" s="5" t="s">
        <v>3510</v>
      </c>
      <c r="BC44" s="5" t="s">
        <v>121</v>
      </c>
      <c r="BD44" s="5" t="s">
        <v>121</v>
      </c>
      <c r="BE44" s="5" t="s">
        <v>121</v>
      </c>
      <c r="BF44" s="5" t="s">
        <v>121</v>
      </c>
      <c r="BG44" s="5" t="s">
        <v>121</v>
      </c>
      <c r="BH44" s="5" t="s">
        <v>12518</v>
      </c>
      <c r="BI44" s="5" t="s">
        <v>121</v>
      </c>
      <c r="BJ44" s="5" t="s">
        <v>558</v>
      </c>
      <c r="BK44" s="5" t="s">
        <v>121</v>
      </c>
      <c r="BL44" s="5" t="s">
        <v>12519</v>
      </c>
      <c r="BM44" s="5" t="s">
        <v>12519</v>
      </c>
      <c r="BN44" s="5" t="s">
        <v>559</v>
      </c>
      <c r="BO44" s="5" t="s">
        <v>11984</v>
      </c>
      <c r="BP44" s="5" t="s">
        <v>121</v>
      </c>
      <c r="BQ44" s="5" t="s">
        <v>2854</v>
      </c>
      <c r="BR44" s="5" t="s">
        <v>2854</v>
      </c>
      <c r="BS44" s="5" t="s">
        <v>121</v>
      </c>
      <c r="BT44" s="5" t="s">
        <v>121</v>
      </c>
      <c r="BU44" s="5" t="s">
        <v>121</v>
      </c>
      <c r="BV44" s="5" t="s">
        <v>3510</v>
      </c>
      <c r="BW44" s="5" t="s">
        <v>3510</v>
      </c>
      <c r="BX44" s="5" t="s">
        <v>3510</v>
      </c>
      <c r="BY44" s="5" t="s">
        <v>12520</v>
      </c>
      <c r="BZ44" s="5" t="s">
        <v>121</v>
      </c>
      <c r="CA44" s="5" t="s">
        <v>121</v>
      </c>
      <c r="CB44" s="5" t="s">
        <v>121</v>
      </c>
      <c r="CC44" s="5" t="s">
        <v>557</v>
      </c>
      <c r="CD44" s="5" t="s">
        <v>121</v>
      </c>
      <c r="CE44" s="5" t="s">
        <v>121</v>
      </c>
      <c r="CF44" s="5" t="s">
        <v>11958</v>
      </c>
      <c r="CG44" s="5" t="s">
        <v>121</v>
      </c>
      <c r="CH44" s="5" t="s">
        <v>121</v>
      </c>
      <c r="CI44" s="5" t="s">
        <v>12034</v>
      </c>
      <c r="CJ44" s="5" t="s">
        <v>124</v>
      </c>
      <c r="CK44" s="5" t="s">
        <v>241</v>
      </c>
      <c r="CL44" s="5" t="s">
        <v>3510</v>
      </c>
      <c r="CM44" s="5" t="s">
        <v>124</v>
      </c>
      <c r="CN44" s="5" t="s">
        <v>121</v>
      </c>
      <c r="CO44" s="5" t="s">
        <v>121</v>
      </c>
      <c r="CP44" s="5" t="s">
        <v>3510</v>
      </c>
      <c r="CQ44" s="5" t="s">
        <v>561</v>
      </c>
      <c r="CR44" s="5" t="s">
        <v>11960</v>
      </c>
      <c r="CS44" s="5" t="s">
        <v>2854</v>
      </c>
      <c r="CT44" s="5" t="s">
        <v>3510</v>
      </c>
      <c r="CU44" s="5" t="s">
        <v>3510</v>
      </c>
      <c r="CV44" s="5" t="s">
        <v>11952</v>
      </c>
      <c r="CW44" s="5" t="s">
        <v>12521</v>
      </c>
      <c r="CX44" s="5" t="s">
        <v>12522</v>
      </c>
      <c r="CY44" s="5" t="s">
        <v>12523</v>
      </c>
      <c r="CZ44" s="5" t="s">
        <v>11989</v>
      </c>
      <c r="DA44" s="5" t="s">
        <v>11952</v>
      </c>
      <c r="DB44" s="5" t="s">
        <v>11963</v>
      </c>
      <c r="DC44" s="5" t="s">
        <v>12524</v>
      </c>
      <c r="DD44" s="5" t="s">
        <v>11963</v>
      </c>
      <c r="DE44" s="5" t="s">
        <v>12525</v>
      </c>
      <c r="DF44" s="5" t="s">
        <v>3510</v>
      </c>
      <c r="DG44" s="5" t="s">
        <v>12194</v>
      </c>
      <c r="DH44" s="5" t="s">
        <v>12526</v>
      </c>
      <c r="DI44" s="5" t="s">
        <v>11975</v>
      </c>
      <c r="DJ44" s="5" t="s">
        <v>11966</v>
      </c>
      <c r="DK44" s="5" t="s">
        <v>12176</v>
      </c>
      <c r="DL44" s="5">
        <v>5</v>
      </c>
      <c r="DM44" s="5">
        <v>4</v>
      </c>
      <c r="DN44" s="5">
        <v>3.2</v>
      </c>
      <c r="DO44" s="5">
        <v>2</v>
      </c>
      <c r="DP44" s="5">
        <v>1.5</v>
      </c>
      <c r="DQ44" s="5">
        <v>1</v>
      </c>
      <c r="DR44" s="5">
        <v>0</v>
      </c>
      <c r="DS44" s="5">
        <v>56.6</v>
      </c>
      <c r="DT44" s="5" t="s">
        <v>11968</v>
      </c>
      <c r="DU44" s="5" t="s">
        <v>12116</v>
      </c>
      <c r="DV44" s="5" t="s">
        <v>11970</v>
      </c>
      <c r="DW44" s="5"/>
      <c r="DX44" s="5">
        <v>14</v>
      </c>
      <c r="DY44" s="5"/>
      <c r="DZ44" s="5">
        <v>100</v>
      </c>
      <c r="EA44" s="5"/>
      <c r="EB44" s="5">
        <v>0.14000000000000001</v>
      </c>
      <c r="EC44" s="5"/>
      <c r="ED44" s="5" t="s">
        <v>11971</v>
      </c>
      <c r="EE44" s="5"/>
      <c r="EF44" s="5" t="s">
        <v>11997</v>
      </c>
      <c r="EG44" s="5"/>
      <c r="EH44" s="5" t="s">
        <v>11997</v>
      </c>
      <c r="EI44" s="5"/>
      <c r="EJ44" s="5" t="s">
        <v>11997</v>
      </c>
      <c r="EK44" s="5"/>
      <c r="EL44" s="5" t="s">
        <v>11997</v>
      </c>
      <c r="EM44" s="5"/>
      <c r="EN44" s="5" t="s">
        <v>11997</v>
      </c>
      <c r="EO44" s="5"/>
      <c r="EP44" s="5" t="s">
        <v>11998</v>
      </c>
      <c r="EQ44" s="5"/>
      <c r="ER44" s="5" t="s">
        <v>11997</v>
      </c>
      <c r="ES44" s="5"/>
      <c r="ET44" s="5" t="s">
        <v>11972</v>
      </c>
      <c r="EU44" s="5"/>
      <c r="EV44" s="5"/>
      <c r="EW44" s="5"/>
      <c r="EX44" s="5"/>
      <c r="EY44" s="5" t="s">
        <v>4169</v>
      </c>
      <c r="EZ44" s="5"/>
      <c r="FA44" s="5" t="s">
        <v>563</v>
      </c>
      <c r="FB44" s="5"/>
    </row>
    <row r="45" spans="1:158" ht="409.5">
      <c r="A45" s="5" t="s">
        <v>565</v>
      </c>
      <c r="B45" s="5" t="s">
        <v>11475</v>
      </c>
      <c r="C45" s="5" t="s">
        <v>12527</v>
      </c>
      <c r="D45" s="5" t="s">
        <v>12528</v>
      </c>
      <c r="E45" s="5" t="s">
        <v>12011</v>
      </c>
      <c r="F45" s="5" t="s">
        <v>11994</v>
      </c>
      <c r="G45" s="5" t="s">
        <v>12529</v>
      </c>
      <c r="H45" s="5" t="s">
        <v>12530</v>
      </c>
      <c r="I45" s="5" t="s">
        <v>12531</v>
      </c>
      <c r="J45" s="5" t="s">
        <v>2854</v>
      </c>
      <c r="K45" s="5" t="s">
        <v>12532</v>
      </c>
      <c r="L45" s="5" t="s">
        <v>579</v>
      </c>
      <c r="M45" s="5" t="s">
        <v>12533</v>
      </c>
      <c r="N45" s="5" t="s">
        <v>11952</v>
      </c>
      <c r="O45" s="5" t="s">
        <v>579</v>
      </c>
      <c r="P45" s="5" t="s">
        <v>11952</v>
      </c>
      <c r="Q45" s="5" t="s">
        <v>11952</v>
      </c>
      <c r="R45" s="5" t="s">
        <v>12534</v>
      </c>
      <c r="S45" s="5" t="s">
        <v>11952</v>
      </c>
      <c r="T45" s="5" t="s">
        <v>12535</v>
      </c>
      <c r="U45" s="5" t="s">
        <v>2854</v>
      </c>
      <c r="V45" s="5" t="s">
        <v>12536</v>
      </c>
      <c r="W45" s="5" t="s">
        <v>12537</v>
      </c>
      <c r="X45" s="5" t="s">
        <v>2038</v>
      </c>
      <c r="Y45" s="5" t="s">
        <v>121</v>
      </c>
      <c r="Z45" s="5" t="s">
        <v>2854</v>
      </c>
      <c r="AA45" s="5" t="s">
        <v>11981</v>
      </c>
      <c r="AB45" s="5" t="s">
        <v>155</v>
      </c>
      <c r="AC45" s="5" t="s">
        <v>12538</v>
      </c>
      <c r="AD45" s="5" t="s">
        <v>121</v>
      </c>
      <c r="AE45" s="5" t="s">
        <v>121</v>
      </c>
      <c r="AF45" s="5" t="s">
        <v>12538</v>
      </c>
      <c r="AG45" s="5" t="s">
        <v>121</v>
      </c>
      <c r="AH45" s="5" t="s">
        <v>121</v>
      </c>
      <c r="AI45" s="5" t="s">
        <v>121</v>
      </c>
      <c r="AJ45" s="5" t="s">
        <v>12539</v>
      </c>
      <c r="AK45" s="5" t="s">
        <v>12540</v>
      </c>
      <c r="AL45" s="5" t="s">
        <v>121</v>
      </c>
      <c r="AM45" s="5" t="s">
        <v>121</v>
      </c>
      <c r="AN45" s="5" t="s">
        <v>12541</v>
      </c>
      <c r="AO45" s="5" t="s">
        <v>121</v>
      </c>
      <c r="AP45" s="5" t="s">
        <v>1814</v>
      </c>
      <c r="AQ45" s="5" t="s">
        <v>121</v>
      </c>
      <c r="AR45" s="5" t="s">
        <v>12542</v>
      </c>
      <c r="AS45" s="5" t="s">
        <v>12543</v>
      </c>
      <c r="AT45" s="5" t="s">
        <v>121</v>
      </c>
      <c r="AU45" s="5" t="s">
        <v>12544</v>
      </c>
      <c r="AV45" s="5" t="s">
        <v>12003</v>
      </c>
      <c r="AW45" s="5" t="s">
        <v>12544</v>
      </c>
      <c r="AX45" s="5" t="s">
        <v>12159</v>
      </c>
      <c r="AY45" s="5" t="s">
        <v>2854</v>
      </c>
      <c r="AZ45" s="5" t="s">
        <v>121</v>
      </c>
      <c r="BA45" s="5" t="s">
        <v>121</v>
      </c>
      <c r="BB45" s="5" t="s">
        <v>3510</v>
      </c>
      <c r="BC45" s="5" t="s">
        <v>121</v>
      </c>
      <c r="BD45" s="5" t="s">
        <v>121</v>
      </c>
      <c r="BE45" s="5" t="s">
        <v>12545</v>
      </c>
      <c r="BF45" s="5" t="s">
        <v>12546</v>
      </c>
      <c r="BG45" s="5" t="s">
        <v>121</v>
      </c>
      <c r="BH45" s="5" t="s">
        <v>12547</v>
      </c>
      <c r="BI45" s="5" t="s">
        <v>12547</v>
      </c>
      <c r="BJ45" s="5" t="s">
        <v>12548</v>
      </c>
      <c r="BK45" s="5" t="s">
        <v>121</v>
      </c>
      <c r="BL45" s="5" t="s">
        <v>12549</v>
      </c>
      <c r="BM45" s="5" t="s">
        <v>12549</v>
      </c>
      <c r="BN45" s="5" t="s">
        <v>12550</v>
      </c>
      <c r="BO45" s="5" t="s">
        <v>11984</v>
      </c>
      <c r="BP45" s="5" t="s">
        <v>2854</v>
      </c>
      <c r="BQ45" s="5" t="s">
        <v>121</v>
      </c>
      <c r="BR45" s="5" t="s">
        <v>2854</v>
      </c>
      <c r="BS45" s="5" t="s">
        <v>121</v>
      </c>
      <c r="BT45" s="5" t="s">
        <v>121</v>
      </c>
      <c r="BU45" s="5" t="s">
        <v>121</v>
      </c>
      <c r="BV45" s="5" t="s">
        <v>3510</v>
      </c>
      <c r="BW45" s="5" t="s">
        <v>3510</v>
      </c>
      <c r="BX45" s="5" t="s">
        <v>3510</v>
      </c>
      <c r="BY45" s="5" t="s">
        <v>12551</v>
      </c>
      <c r="BZ45" s="5" t="s">
        <v>12552</v>
      </c>
      <c r="CA45" s="5" t="s">
        <v>121</v>
      </c>
      <c r="CB45" s="5" t="s">
        <v>121</v>
      </c>
      <c r="CC45" s="5" t="s">
        <v>12553</v>
      </c>
      <c r="CD45" s="5" t="s">
        <v>121</v>
      </c>
      <c r="CE45" s="5" t="s">
        <v>121</v>
      </c>
      <c r="CF45" s="5" t="s">
        <v>11958</v>
      </c>
      <c r="CG45" s="5" t="s">
        <v>121</v>
      </c>
      <c r="CH45" s="5" t="s">
        <v>121</v>
      </c>
      <c r="CI45" s="5" t="s">
        <v>12034</v>
      </c>
      <c r="CJ45" s="5" t="s">
        <v>1503</v>
      </c>
      <c r="CK45" s="5" t="s">
        <v>12554</v>
      </c>
      <c r="CL45" s="5" t="s">
        <v>2854</v>
      </c>
      <c r="CM45" s="5" t="s">
        <v>1503</v>
      </c>
      <c r="CN45" s="5" t="s">
        <v>121</v>
      </c>
      <c r="CO45" s="5" t="s">
        <v>121</v>
      </c>
      <c r="CP45" s="5" t="s">
        <v>3510</v>
      </c>
      <c r="CQ45" s="5" t="s">
        <v>12555</v>
      </c>
      <c r="CR45" s="5" t="s">
        <v>11960</v>
      </c>
      <c r="CS45" s="5" t="s">
        <v>2854</v>
      </c>
      <c r="CT45" s="5" t="s">
        <v>3510</v>
      </c>
      <c r="CU45" s="5" t="s">
        <v>3510</v>
      </c>
      <c r="CV45" s="5" t="s">
        <v>11952</v>
      </c>
      <c r="CW45" s="5" t="s">
        <v>12556</v>
      </c>
      <c r="CX45" s="5" t="s">
        <v>12557</v>
      </c>
      <c r="CY45" s="5" t="s">
        <v>12558</v>
      </c>
      <c r="CZ45" s="5" t="s">
        <v>11989</v>
      </c>
      <c r="DA45" s="5" t="s">
        <v>11989</v>
      </c>
      <c r="DB45" s="5" t="s">
        <v>12559</v>
      </c>
      <c r="DC45" s="5" t="s">
        <v>12560</v>
      </c>
      <c r="DD45" s="5" t="s">
        <v>11963</v>
      </c>
      <c r="DE45" s="5" t="s">
        <v>12561</v>
      </c>
      <c r="DF45" s="5" t="s">
        <v>3510</v>
      </c>
      <c r="DG45" s="5" t="s">
        <v>12562</v>
      </c>
      <c r="DH45" s="5" t="s">
        <v>12563</v>
      </c>
      <c r="DI45" s="5" t="s">
        <v>11975</v>
      </c>
      <c r="DJ45" s="5" t="s">
        <v>12044</v>
      </c>
      <c r="DK45" s="5" t="s">
        <v>12564</v>
      </c>
      <c r="DL45" s="5">
        <v>3.5</v>
      </c>
      <c r="DM45" s="5">
        <v>3.8</v>
      </c>
      <c r="DN45" s="5">
        <v>3.8</v>
      </c>
      <c r="DO45" s="5">
        <v>2.5</v>
      </c>
      <c r="DP45" s="5">
        <v>3.5</v>
      </c>
      <c r="DQ45" s="5">
        <v>1.2</v>
      </c>
      <c r="DR45" s="5">
        <v>0</v>
      </c>
      <c r="DS45" s="5">
        <v>57.5</v>
      </c>
      <c r="DT45" s="5" t="s">
        <v>11968</v>
      </c>
      <c r="DU45" s="5" t="s">
        <v>12046</v>
      </c>
      <c r="DV45" s="5" t="s">
        <v>11970</v>
      </c>
      <c r="DW45" s="5"/>
      <c r="DX45" s="5">
        <v>24</v>
      </c>
      <c r="DY45" s="5"/>
      <c r="DZ45" s="5">
        <v>100</v>
      </c>
      <c r="EA45" s="5"/>
      <c r="EB45" s="5">
        <v>0.24</v>
      </c>
      <c r="EC45" s="5"/>
      <c r="ED45" s="5" t="s">
        <v>11971</v>
      </c>
      <c r="EE45" s="5"/>
      <c r="EF45" s="5" t="s">
        <v>11997</v>
      </c>
      <c r="EG45" s="5"/>
      <c r="EH45" s="5" t="s">
        <v>11997</v>
      </c>
      <c r="EI45" s="5"/>
      <c r="EJ45" s="5" t="s">
        <v>11997</v>
      </c>
      <c r="EK45" s="5"/>
      <c r="EL45" s="5" t="s">
        <v>11997</v>
      </c>
      <c r="EM45" s="5"/>
      <c r="EN45" s="5" t="s">
        <v>11997</v>
      </c>
      <c r="EO45" s="5"/>
      <c r="EP45" s="5" t="s">
        <v>11998</v>
      </c>
      <c r="EQ45" s="5"/>
      <c r="ER45" s="5" t="s">
        <v>11997</v>
      </c>
      <c r="ES45" s="5"/>
      <c r="ET45" s="5" t="s">
        <v>11972</v>
      </c>
      <c r="EU45" s="5"/>
      <c r="EV45" s="5"/>
      <c r="EW45" s="5"/>
      <c r="EX45" s="5"/>
      <c r="EY45" s="5" t="s">
        <v>12565</v>
      </c>
      <c r="EZ45" s="5"/>
      <c r="FA45" s="5" t="s">
        <v>579</v>
      </c>
      <c r="FB45" s="5"/>
    </row>
    <row r="46" spans="1:158" ht="51">
      <c r="A46" s="5" t="s">
        <v>581</v>
      </c>
      <c r="B46" s="5" t="s">
        <v>582</v>
      </c>
      <c r="C46" s="5" t="s">
        <v>11952</v>
      </c>
      <c r="D46" s="5" t="s">
        <v>404</v>
      </c>
      <c r="E46" s="5" t="s">
        <v>11953</v>
      </c>
      <c r="F46" s="5" t="s">
        <v>11954</v>
      </c>
      <c r="G46" s="5" t="s">
        <v>11955</v>
      </c>
      <c r="H46" s="5" t="s">
        <v>11235</v>
      </c>
      <c r="I46" s="5" t="s">
        <v>129</v>
      </c>
      <c r="J46" s="5" t="s">
        <v>3510</v>
      </c>
      <c r="K46" s="5" t="s">
        <v>11956</v>
      </c>
      <c r="L46" s="5" t="s">
        <v>584</v>
      </c>
      <c r="M46" s="5" t="s">
        <v>584</v>
      </c>
      <c r="N46" s="5" t="s">
        <v>11952</v>
      </c>
      <c r="O46" s="5" t="s">
        <v>11952</v>
      </c>
      <c r="P46" s="5" t="s">
        <v>11952</v>
      </c>
      <c r="Q46" s="5" t="s">
        <v>11952</v>
      </c>
      <c r="R46" s="5" t="s">
        <v>11952</v>
      </c>
      <c r="S46" s="5" t="s">
        <v>11952</v>
      </c>
      <c r="T46" s="5" t="s">
        <v>121</v>
      </c>
      <c r="U46" s="5" t="s">
        <v>3510</v>
      </c>
      <c r="V46" s="5" t="s">
        <v>121</v>
      </c>
      <c r="W46" s="5" t="s">
        <v>121</v>
      </c>
      <c r="X46" s="5" t="s">
        <v>121</v>
      </c>
      <c r="Y46" s="5" t="s">
        <v>121</v>
      </c>
      <c r="Z46" s="5" t="s">
        <v>11952</v>
      </c>
      <c r="AA46" s="5" t="s">
        <v>11952</v>
      </c>
      <c r="AB46" s="5" t="s">
        <v>121</v>
      </c>
      <c r="AC46" s="5" t="s">
        <v>121</v>
      </c>
      <c r="AD46" s="5" t="s">
        <v>121</v>
      </c>
      <c r="AE46" s="5" t="s">
        <v>121</v>
      </c>
      <c r="AF46" s="5" t="s">
        <v>121</v>
      </c>
      <c r="AG46" s="5" t="s">
        <v>121</v>
      </c>
      <c r="AH46" s="5" t="s">
        <v>121</v>
      </c>
      <c r="AI46" s="5" t="s">
        <v>121</v>
      </c>
      <c r="AJ46" s="5" t="s">
        <v>121</v>
      </c>
      <c r="AK46" s="5" t="s">
        <v>121</v>
      </c>
      <c r="AL46" s="5" t="s">
        <v>121</v>
      </c>
      <c r="AM46" s="5" t="s">
        <v>121</v>
      </c>
      <c r="AN46" s="5" t="s">
        <v>121</v>
      </c>
      <c r="AO46" s="5" t="s">
        <v>121</v>
      </c>
      <c r="AP46" s="5" t="s">
        <v>121</v>
      </c>
      <c r="AQ46" s="5" t="s">
        <v>121</v>
      </c>
      <c r="AR46" s="5" t="s">
        <v>121</v>
      </c>
      <c r="AS46" s="5" t="s">
        <v>125</v>
      </c>
      <c r="AT46" s="5" t="s">
        <v>121</v>
      </c>
      <c r="AU46" s="5" t="s">
        <v>121</v>
      </c>
      <c r="AV46" s="5" t="s">
        <v>121</v>
      </c>
      <c r="AW46" s="5" t="s">
        <v>121</v>
      </c>
      <c r="AX46" s="5" t="s">
        <v>121</v>
      </c>
      <c r="AY46" s="5" t="s">
        <v>121</v>
      </c>
      <c r="AZ46" s="5" t="s">
        <v>121</v>
      </c>
      <c r="BA46" s="5" t="s">
        <v>121</v>
      </c>
      <c r="BB46" s="5" t="s">
        <v>121</v>
      </c>
      <c r="BC46" s="5" t="s">
        <v>121</v>
      </c>
      <c r="BD46" s="5" t="s">
        <v>121</v>
      </c>
      <c r="BE46" s="5" t="s">
        <v>121</v>
      </c>
      <c r="BF46" s="5" t="s">
        <v>121</v>
      </c>
      <c r="BG46" s="5" t="s">
        <v>121</v>
      </c>
      <c r="BH46" s="5" t="s">
        <v>12566</v>
      </c>
      <c r="BI46" s="5" t="s">
        <v>121</v>
      </c>
      <c r="BJ46" s="5" t="s">
        <v>121</v>
      </c>
      <c r="BK46" s="5" t="s">
        <v>121</v>
      </c>
      <c r="BL46" s="5" t="s">
        <v>121</v>
      </c>
      <c r="BM46" s="5" t="s">
        <v>121</v>
      </c>
      <c r="BN46" s="5" t="s">
        <v>121</v>
      </c>
      <c r="BO46" s="5" t="s">
        <v>121</v>
      </c>
      <c r="BP46" s="5" t="s">
        <v>121</v>
      </c>
      <c r="BQ46" s="5" t="s">
        <v>121</v>
      </c>
      <c r="BR46" s="5" t="s">
        <v>121</v>
      </c>
      <c r="BS46" s="5" t="s">
        <v>121</v>
      </c>
      <c r="BT46" s="5" t="s">
        <v>121</v>
      </c>
      <c r="BU46" s="5" t="s">
        <v>121</v>
      </c>
      <c r="BV46" s="5" t="s">
        <v>121</v>
      </c>
      <c r="BW46" s="5" t="s">
        <v>121</v>
      </c>
      <c r="BX46" s="5" t="s">
        <v>121</v>
      </c>
      <c r="BY46" s="5" t="s">
        <v>121</v>
      </c>
      <c r="BZ46" s="5" t="s">
        <v>121</v>
      </c>
      <c r="CA46" s="5" t="s">
        <v>121</v>
      </c>
      <c r="CB46" s="5" t="s">
        <v>121</v>
      </c>
      <c r="CC46" s="5" t="s">
        <v>121</v>
      </c>
      <c r="CD46" s="5" t="s">
        <v>121</v>
      </c>
      <c r="CE46" s="5" t="s">
        <v>121</v>
      </c>
      <c r="CF46" s="5" t="s">
        <v>121</v>
      </c>
      <c r="CG46" s="5" t="s">
        <v>121</v>
      </c>
      <c r="CH46" s="5" t="s">
        <v>121</v>
      </c>
      <c r="CI46" s="5" t="s">
        <v>11972</v>
      </c>
      <c r="CJ46" s="5" t="s">
        <v>335</v>
      </c>
      <c r="CK46" s="5" t="s">
        <v>121</v>
      </c>
      <c r="CL46" s="5" t="s">
        <v>121</v>
      </c>
      <c r="CM46" s="5" t="s">
        <v>335</v>
      </c>
      <c r="CN46" s="5" t="s">
        <v>121</v>
      </c>
      <c r="CO46" s="5" t="s">
        <v>121</v>
      </c>
      <c r="CP46" s="5" t="s">
        <v>2854</v>
      </c>
      <c r="CQ46" s="5" t="s">
        <v>583</v>
      </c>
      <c r="CR46" s="5" t="s">
        <v>11960</v>
      </c>
      <c r="CS46" s="5" t="s">
        <v>3510</v>
      </c>
      <c r="CT46" s="5" t="s">
        <v>3510</v>
      </c>
      <c r="CU46" s="5" t="s">
        <v>3510</v>
      </c>
      <c r="CV46" s="5" t="s">
        <v>11952</v>
      </c>
      <c r="CW46" s="5" t="s">
        <v>11952</v>
      </c>
      <c r="CX46" s="5" t="s">
        <v>11961</v>
      </c>
      <c r="CY46" s="5" t="s">
        <v>12567</v>
      </c>
      <c r="CZ46" s="5" t="s">
        <v>3510</v>
      </c>
      <c r="DA46" s="5" t="s">
        <v>11952</v>
      </c>
      <c r="DB46" s="5" t="s">
        <v>11963</v>
      </c>
      <c r="DC46" s="5" t="s">
        <v>11963</v>
      </c>
      <c r="DD46" s="5" t="s">
        <v>11963</v>
      </c>
      <c r="DE46" s="5" t="s">
        <v>11963</v>
      </c>
      <c r="DF46" s="5" t="s">
        <v>3510</v>
      </c>
      <c r="DG46" s="5" t="s">
        <v>11964</v>
      </c>
      <c r="DH46" s="5" t="s">
        <v>12568</v>
      </c>
      <c r="DI46" s="5" t="s">
        <v>11966</v>
      </c>
      <c r="DJ46" s="5" t="s">
        <v>11994</v>
      </c>
      <c r="DK46" s="5" t="s">
        <v>12201</v>
      </c>
      <c r="DL46" s="5">
        <v>1</v>
      </c>
      <c r="DM46" s="5">
        <v>1</v>
      </c>
      <c r="DN46" s="5">
        <v>0</v>
      </c>
      <c r="DO46" s="5">
        <v>1</v>
      </c>
      <c r="DP46" s="5">
        <v>1.5</v>
      </c>
      <c r="DQ46" s="5">
        <v>1.5</v>
      </c>
      <c r="DR46" s="5">
        <v>0</v>
      </c>
      <c r="DS46" s="5">
        <v>17</v>
      </c>
      <c r="DT46" s="5" t="s">
        <v>12202</v>
      </c>
      <c r="DU46" s="5" t="s">
        <v>12203</v>
      </c>
      <c r="DV46" s="5" t="s">
        <v>11970</v>
      </c>
      <c r="DW46" s="5"/>
      <c r="DX46" s="5">
        <v>10</v>
      </c>
      <c r="DY46" s="5"/>
      <c r="DZ46" s="5">
        <v>98</v>
      </c>
      <c r="EA46" s="5"/>
      <c r="EB46" s="5">
        <v>0.12</v>
      </c>
      <c r="EC46" s="5"/>
      <c r="ED46" s="5" t="s">
        <v>11971</v>
      </c>
      <c r="EE46" s="5"/>
      <c r="EF46" s="5" t="s">
        <v>11997</v>
      </c>
      <c r="EG46" s="5"/>
      <c r="EH46" s="5" t="s">
        <v>11997</v>
      </c>
      <c r="EI46" s="5"/>
      <c r="EJ46" s="5" t="s">
        <v>11997</v>
      </c>
      <c r="EK46" s="5"/>
      <c r="EL46" s="5" t="s">
        <v>11997</v>
      </c>
      <c r="EM46" s="5"/>
      <c r="EN46" s="5" t="s">
        <v>11997</v>
      </c>
      <c r="EO46" s="5"/>
      <c r="EP46" s="5" t="s">
        <v>11998</v>
      </c>
      <c r="EQ46" s="5"/>
      <c r="ER46" s="5" t="s">
        <v>11997</v>
      </c>
      <c r="ES46" s="5"/>
      <c r="ET46" s="5" t="s">
        <v>11972</v>
      </c>
      <c r="EU46" s="5"/>
      <c r="EV46" s="5"/>
      <c r="EW46" s="5"/>
      <c r="EX46" s="5"/>
      <c r="EY46" s="5" t="s">
        <v>4245</v>
      </c>
      <c r="EZ46" s="5"/>
      <c r="FA46" s="5" t="s">
        <v>584</v>
      </c>
      <c r="FB46" s="5"/>
    </row>
    <row r="47" spans="1:158" ht="76.5">
      <c r="A47" s="5" t="s">
        <v>586</v>
      </c>
      <c r="B47" s="5" t="s">
        <v>587</v>
      </c>
      <c r="C47" s="5" t="s">
        <v>11952</v>
      </c>
      <c r="D47" s="5" t="s">
        <v>121</v>
      </c>
      <c r="E47" s="5" t="s">
        <v>11953</v>
      </c>
      <c r="F47" s="5" t="s">
        <v>11954</v>
      </c>
      <c r="G47" s="5" t="s">
        <v>11955</v>
      </c>
      <c r="H47" s="5" t="s">
        <v>11238</v>
      </c>
      <c r="I47" s="5" t="s">
        <v>129</v>
      </c>
      <c r="J47" s="5" t="s">
        <v>3510</v>
      </c>
      <c r="K47" s="5" t="s">
        <v>11956</v>
      </c>
      <c r="L47" s="5" t="s">
        <v>594</v>
      </c>
      <c r="M47" s="5" t="s">
        <v>594</v>
      </c>
      <c r="N47" s="5" t="s">
        <v>11952</v>
      </c>
      <c r="O47" s="5" t="s">
        <v>11952</v>
      </c>
      <c r="P47" s="5" t="s">
        <v>11952</v>
      </c>
      <c r="Q47" s="5" t="s">
        <v>11952</v>
      </c>
      <c r="R47" s="5" t="s">
        <v>11952</v>
      </c>
      <c r="S47" s="5" t="s">
        <v>11952</v>
      </c>
      <c r="T47" s="5" t="s">
        <v>121</v>
      </c>
      <c r="U47" s="5" t="s">
        <v>2854</v>
      </c>
      <c r="V47" s="5" t="s">
        <v>594</v>
      </c>
      <c r="W47" s="5" t="s">
        <v>121</v>
      </c>
      <c r="X47" s="5" t="s">
        <v>594</v>
      </c>
      <c r="Y47" s="5" t="s">
        <v>121</v>
      </c>
      <c r="Z47" s="5" t="s">
        <v>121</v>
      </c>
      <c r="AA47" s="5" t="s">
        <v>11981</v>
      </c>
      <c r="AB47" s="5" t="s">
        <v>155</v>
      </c>
      <c r="AC47" s="5" t="s">
        <v>592</v>
      </c>
      <c r="AD47" s="5" t="s">
        <v>121</v>
      </c>
      <c r="AE47" s="5" t="s">
        <v>121</v>
      </c>
      <c r="AF47" s="5" t="s">
        <v>592</v>
      </c>
      <c r="AG47" s="5" t="s">
        <v>121</v>
      </c>
      <c r="AH47" s="5" t="s">
        <v>121</v>
      </c>
      <c r="AI47" s="5" t="s">
        <v>121</v>
      </c>
      <c r="AJ47" s="5" t="s">
        <v>121</v>
      </c>
      <c r="AK47" s="5" t="s">
        <v>121</v>
      </c>
      <c r="AL47" s="5" t="s">
        <v>121</v>
      </c>
      <c r="AM47" s="5" t="s">
        <v>121</v>
      </c>
      <c r="AN47" s="5" t="s">
        <v>121</v>
      </c>
      <c r="AO47" s="5" t="s">
        <v>121</v>
      </c>
      <c r="AP47" s="5" t="s">
        <v>121</v>
      </c>
      <c r="AQ47" s="5" t="s">
        <v>121</v>
      </c>
      <c r="AR47" s="5" t="s">
        <v>121</v>
      </c>
      <c r="AS47" s="5" t="s">
        <v>428</v>
      </c>
      <c r="AT47" s="5" t="s">
        <v>121</v>
      </c>
      <c r="AU47" s="5" t="s">
        <v>589</v>
      </c>
      <c r="AV47" s="5" t="s">
        <v>121</v>
      </c>
      <c r="AW47" s="5" t="s">
        <v>589</v>
      </c>
      <c r="AX47" s="5" t="s">
        <v>12159</v>
      </c>
      <c r="AY47" s="5" t="s">
        <v>121</v>
      </c>
      <c r="AZ47" s="5" t="s">
        <v>121</v>
      </c>
      <c r="BA47" s="5" t="s">
        <v>121</v>
      </c>
      <c r="BB47" s="5" t="s">
        <v>2854</v>
      </c>
      <c r="BC47" s="5" t="s">
        <v>121</v>
      </c>
      <c r="BD47" s="5" t="s">
        <v>12569</v>
      </c>
      <c r="BE47" s="5" t="s">
        <v>121</v>
      </c>
      <c r="BF47" s="5" t="s">
        <v>121</v>
      </c>
      <c r="BG47" s="5" t="s">
        <v>121</v>
      </c>
      <c r="BH47" s="5" t="s">
        <v>590</v>
      </c>
      <c r="BI47" s="5" t="s">
        <v>121</v>
      </c>
      <c r="BJ47" s="5" t="s">
        <v>590</v>
      </c>
      <c r="BK47" s="5" t="s">
        <v>121</v>
      </c>
      <c r="BL47" s="5" t="s">
        <v>12570</v>
      </c>
      <c r="BM47" s="5" t="s">
        <v>12570</v>
      </c>
      <c r="BN47" s="5" t="s">
        <v>591</v>
      </c>
      <c r="BO47" s="5" t="s">
        <v>121</v>
      </c>
      <c r="BP47" s="5" t="s">
        <v>121</v>
      </c>
      <c r="BQ47" s="5" t="s">
        <v>2854</v>
      </c>
      <c r="BR47" s="5" t="s">
        <v>121</v>
      </c>
      <c r="BS47" s="5" t="s">
        <v>121</v>
      </c>
      <c r="BT47" s="5" t="s">
        <v>121</v>
      </c>
      <c r="BU47" s="5" t="s">
        <v>121</v>
      </c>
      <c r="BV47" s="5" t="s">
        <v>121</v>
      </c>
      <c r="BW47" s="5" t="s">
        <v>121</v>
      </c>
      <c r="BX47" s="5" t="s">
        <v>121</v>
      </c>
      <c r="BY47" s="5" t="s">
        <v>12571</v>
      </c>
      <c r="BZ47" s="5" t="s">
        <v>121</v>
      </c>
      <c r="CA47" s="5" t="s">
        <v>121</v>
      </c>
      <c r="CB47" s="5" t="s">
        <v>121</v>
      </c>
      <c r="CC47" s="5" t="s">
        <v>588</v>
      </c>
      <c r="CD47" s="5" t="s">
        <v>121</v>
      </c>
      <c r="CE47" s="5" t="s">
        <v>121</v>
      </c>
      <c r="CF47" s="5" t="s">
        <v>11958</v>
      </c>
      <c r="CG47" s="5" t="s">
        <v>121</v>
      </c>
      <c r="CH47" s="5" t="s">
        <v>121</v>
      </c>
      <c r="CI47" s="5" t="s">
        <v>11959</v>
      </c>
      <c r="CJ47" s="5" t="s">
        <v>124</v>
      </c>
      <c r="CK47" s="5" t="s">
        <v>121</v>
      </c>
      <c r="CL47" s="5" t="s">
        <v>3510</v>
      </c>
      <c r="CM47" s="5" t="s">
        <v>124</v>
      </c>
      <c r="CN47" s="5" t="s">
        <v>121</v>
      </c>
      <c r="CO47" s="5" t="s">
        <v>121</v>
      </c>
      <c r="CP47" s="5" t="s">
        <v>3510</v>
      </c>
      <c r="CQ47" s="5" t="s">
        <v>593</v>
      </c>
      <c r="CR47" s="5" t="s">
        <v>11960</v>
      </c>
      <c r="CS47" s="5" t="s">
        <v>3510</v>
      </c>
      <c r="CT47" s="5" t="s">
        <v>3510</v>
      </c>
      <c r="CU47" s="5" t="s">
        <v>3510</v>
      </c>
      <c r="CV47" s="5" t="s">
        <v>11952</v>
      </c>
      <c r="CW47" s="5" t="s">
        <v>11952</v>
      </c>
      <c r="CX47" s="5" t="s">
        <v>12086</v>
      </c>
      <c r="CY47" s="5" t="s">
        <v>12572</v>
      </c>
      <c r="CZ47" s="5" t="s">
        <v>11952</v>
      </c>
      <c r="DA47" s="5" t="s">
        <v>11952</v>
      </c>
      <c r="DB47" s="5" t="s">
        <v>11963</v>
      </c>
      <c r="DC47" s="5" t="s">
        <v>11963</v>
      </c>
      <c r="DD47" s="5" t="s">
        <v>11963</v>
      </c>
      <c r="DE47" s="5" t="s">
        <v>11963</v>
      </c>
      <c r="DF47" s="5" t="s">
        <v>3510</v>
      </c>
      <c r="DG47" s="5" t="s">
        <v>11964</v>
      </c>
      <c r="DH47" s="5" t="s">
        <v>12573</v>
      </c>
      <c r="DI47" s="5" t="s">
        <v>11994</v>
      </c>
      <c r="DJ47" s="5" t="s">
        <v>11966</v>
      </c>
      <c r="DK47" s="5" t="s">
        <v>11967</v>
      </c>
      <c r="DL47" s="5">
        <v>4</v>
      </c>
      <c r="DM47" s="5">
        <v>4</v>
      </c>
      <c r="DN47" s="5">
        <v>4</v>
      </c>
      <c r="DO47" s="5">
        <v>2</v>
      </c>
      <c r="DP47" s="5">
        <v>2</v>
      </c>
      <c r="DQ47" s="5">
        <v>5</v>
      </c>
      <c r="DR47" s="5">
        <v>0</v>
      </c>
      <c r="DS47" s="5">
        <v>64</v>
      </c>
      <c r="DT47" s="5" t="s">
        <v>11968</v>
      </c>
      <c r="DU47" s="5" t="s">
        <v>11969</v>
      </c>
      <c r="DV47" s="5" t="s">
        <v>11970</v>
      </c>
      <c r="DW47" s="5"/>
      <c r="DX47" s="5">
        <v>18</v>
      </c>
      <c r="DY47" s="5"/>
      <c r="DZ47" s="5">
        <v>100</v>
      </c>
      <c r="EA47" s="5"/>
      <c r="EB47" s="5">
        <v>0.18</v>
      </c>
      <c r="EC47" s="5"/>
      <c r="ED47" s="5" t="s">
        <v>11971</v>
      </c>
      <c r="EE47" s="5"/>
      <c r="EF47" s="5" t="s">
        <v>11997</v>
      </c>
      <c r="EG47" s="5"/>
      <c r="EH47" s="5" t="s">
        <v>11997</v>
      </c>
      <c r="EI47" s="5"/>
      <c r="EJ47" s="5" t="s">
        <v>11997</v>
      </c>
      <c r="EK47" s="5"/>
      <c r="EL47" s="5" t="s">
        <v>11997</v>
      </c>
      <c r="EM47" s="5"/>
      <c r="EN47" s="5" t="s">
        <v>11997</v>
      </c>
      <c r="EO47" s="5"/>
      <c r="EP47" s="5" t="s">
        <v>11998</v>
      </c>
      <c r="EQ47" s="5"/>
      <c r="ER47" s="5" t="s">
        <v>11997</v>
      </c>
      <c r="ES47" s="5"/>
      <c r="ET47" s="5" t="s">
        <v>11972</v>
      </c>
      <c r="EU47" s="5"/>
      <c r="EV47" s="5"/>
      <c r="EW47" s="5"/>
      <c r="EX47" s="5"/>
      <c r="EY47" s="5" t="s">
        <v>4269</v>
      </c>
      <c r="EZ47" s="5"/>
      <c r="FA47" s="5" t="s">
        <v>594</v>
      </c>
      <c r="FB47" s="5"/>
    </row>
    <row r="48" spans="1:158" ht="76.5">
      <c r="A48" s="5" t="s">
        <v>596</v>
      </c>
      <c r="B48" s="5" t="s">
        <v>597</v>
      </c>
      <c r="C48" s="5" t="s">
        <v>11952</v>
      </c>
      <c r="D48" s="5" t="s">
        <v>121</v>
      </c>
      <c r="E48" s="5" t="s">
        <v>11953</v>
      </c>
      <c r="F48" s="5" t="s">
        <v>11954</v>
      </c>
      <c r="G48" s="5" t="s">
        <v>11955</v>
      </c>
      <c r="H48" s="5" t="s">
        <v>11238</v>
      </c>
      <c r="I48" s="5" t="s">
        <v>129</v>
      </c>
      <c r="J48" s="5" t="s">
        <v>3510</v>
      </c>
      <c r="K48" s="5" t="s">
        <v>11956</v>
      </c>
      <c r="L48" s="5" t="s">
        <v>604</v>
      </c>
      <c r="M48" s="5" t="s">
        <v>604</v>
      </c>
      <c r="N48" s="5" t="s">
        <v>11952</v>
      </c>
      <c r="O48" s="5" t="s">
        <v>11952</v>
      </c>
      <c r="P48" s="5" t="s">
        <v>11952</v>
      </c>
      <c r="Q48" s="5" t="s">
        <v>11952</v>
      </c>
      <c r="R48" s="5" t="s">
        <v>11952</v>
      </c>
      <c r="S48" s="5" t="s">
        <v>11952</v>
      </c>
      <c r="T48" s="5" t="s">
        <v>121</v>
      </c>
      <c r="U48" s="5" t="s">
        <v>2854</v>
      </c>
      <c r="V48" s="5" t="s">
        <v>604</v>
      </c>
      <c r="W48" s="5" t="s">
        <v>121</v>
      </c>
      <c r="X48" s="5" t="s">
        <v>604</v>
      </c>
      <c r="Y48" s="5" t="s">
        <v>121</v>
      </c>
      <c r="Z48" s="5" t="s">
        <v>121</v>
      </c>
      <c r="AA48" s="5" t="s">
        <v>11981</v>
      </c>
      <c r="AB48" s="5" t="s">
        <v>121</v>
      </c>
      <c r="AC48" s="5" t="s">
        <v>121</v>
      </c>
      <c r="AD48" s="5" t="s">
        <v>121</v>
      </c>
      <c r="AE48" s="5" t="s">
        <v>121</v>
      </c>
      <c r="AF48" s="5" t="s">
        <v>121</v>
      </c>
      <c r="AG48" s="5" t="s">
        <v>121</v>
      </c>
      <c r="AH48" s="5" t="s">
        <v>121</v>
      </c>
      <c r="AI48" s="5" t="s">
        <v>121</v>
      </c>
      <c r="AJ48" s="5" t="s">
        <v>121</v>
      </c>
      <c r="AK48" s="5" t="s">
        <v>121</v>
      </c>
      <c r="AL48" s="5" t="s">
        <v>121</v>
      </c>
      <c r="AM48" s="5" t="s">
        <v>121</v>
      </c>
      <c r="AN48" s="5" t="s">
        <v>121</v>
      </c>
      <c r="AO48" s="5" t="s">
        <v>121</v>
      </c>
      <c r="AP48" s="5" t="s">
        <v>121</v>
      </c>
      <c r="AQ48" s="5" t="s">
        <v>121</v>
      </c>
      <c r="AR48" s="5" t="s">
        <v>121</v>
      </c>
      <c r="AS48" s="5" t="s">
        <v>428</v>
      </c>
      <c r="AT48" s="5" t="s">
        <v>121</v>
      </c>
      <c r="AU48" s="5" t="s">
        <v>599</v>
      </c>
      <c r="AV48" s="5" t="s">
        <v>121</v>
      </c>
      <c r="AW48" s="5" t="s">
        <v>599</v>
      </c>
      <c r="AX48" s="5" t="s">
        <v>121</v>
      </c>
      <c r="AY48" s="5" t="s">
        <v>121</v>
      </c>
      <c r="AZ48" s="5" t="s">
        <v>121</v>
      </c>
      <c r="BA48" s="5" t="s">
        <v>121</v>
      </c>
      <c r="BB48" s="5" t="s">
        <v>2854</v>
      </c>
      <c r="BC48" s="5" t="s">
        <v>121</v>
      </c>
      <c r="BD48" s="5" t="s">
        <v>12569</v>
      </c>
      <c r="BE48" s="5" t="s">
        <v>121</v>
      </c>
      <c r="BF48" s="5" t="s">
        <v>121</v>
      </c>
      <c r="BG48" s="5" t="s">
        <v>121</v>
      </c>
      <c r="BH48" s="5" t="s">
        <v>1760</v>
      </c>
      <c r="BI48" s="5" t="s">
        <v>121</v>
      </c>
      <c r="BJ48" s="5" t="s">
        <v>600</v>
      </c>
      <c r="BK48" s="5" t="s">
        <v>121</v>
      </c>
      <c r="BL48" s="5" t="s">
        <v>12574</v>
      </c>
      <c r="BM48" s="5" t="s">
        <v>12574</v>
      </c>
      <c r="BN48" s="5" t="s">
        <v>601</v>
      </c>
      <c r="BO48" s="5" t="s">
        <v>121</v>
      </c>
      <c r="BP48" s="5" t="s">
        <v>121</v>
      </c>
      <c r="BQ48" s="5" t="s">
        <v>121</v>
      </c>
      <c r="BR48" s="5" t="s">
        <v>2854</v>
      </c>
      <c r="BS48" s="5" t="s">
        <v>121</v>
      </c>
      <c r="BT48" s="5" t="s">
        <v>121</v>
      </c>
      <c r="BU48" s="5" t="s">
        <v>121</v>
      </c>
      <c r="BV48" s="5" t="s">
        <v>121</v>
      </c>
      <c r="BW48" s="5" t="s">
        <v>121</v>
      </c>
      <c r="BX48" s="5" t="s">
        <v>121</v>
      </c>
      <c r="BY48" s="5" t="s">
        <v>12575</v>
      </c>
      <c r="BZ48" s="5" t="s">
        <v>121</v>
      </c>
      <c r="CA48" s="5" t="s">
        <v>121</v>
      </c>
      <c r="CB48" s="5" t="s">
        <v>121</v>
      </c>
      <c r="CC48" s="5" t="s">
        <v>598</v>
      </c>
      <c r="CD48" s="5" t="s">
        <v>121</v>
      </c>
      <c r="CE48" s="5" t="s">
        <v>121</v>
      </c>
      <c r="CF48" s="5" t="s">
        <v>11958</v>
      </c>
      <c r="CG48" s="5" t="s">
        <v>121</v>
      </c>
      <c r="CH48" s="5" t="s">
        <v>121</v>
      </c>
      <c r="CI48" s="5" t="s">
        <v>12034</v>
      </c>
      <c r="CJ48" s="5" t="s">
        <v>124</v>
      </c>
      <c r="CK48" s="5" t="s">
        <v>121</v>
      </c>
      <c r="CL48" s="5" t="s">
        <v>3510</v>
      </c>
      <c r="CM48" s="5" t="s">
        <v>124</v>
      </c>
      <c r="CN48" s="5" t="s">
        <v>121</v>
      </c>
      <c r="CO48" s="5" t="s">
        <v>121</v>
      </c>
      <c r="CP48" s="5" t="s">
        <v>3510</v>
      </c>
      <c r="CQ48" s="5" t="s">
        <v>602</v>
      </c>
      <c r="CR48" s="5" t="s">
        <v>11960</v>
      </c>
      <c r="CS48" s="5" t="s">
        <v>3510</v>
      </c>
      <c r="CT48" s="5" t="s">
        <v>3510</v>
      </c>
      <c r="CU48" s="5" t="s">
        <v>3510</v>
      </c>
      <c r="CV48" s="5" t="s">
        <v>11952</v>
      </c>
      <c r="CW48" s="5" t="s">
        <v>12576</v>
      </c>
      <c r="CX48" s="5" t="s">
        <v>12086</v>
      </c>
      <c r="CY48" s="5" t="s">
        <v>12577</v>
      </c>
      <c r="CZ48" s="5" t="s">
        <v>11952</v>
      </c>
      <c r="DA48" s="5" t="s">
        <v>11952</v>
      </c>
      <c r="DB48" s="5" t="s">
        <v>11963</v>
      </c>
      <c r="DC48" s="5" t="s">
        <v>11963</v>
      </c>
      <c r="DD48" s="5" t="s">
        <v>11963</v>
      </c>
      <c r="DE48" s="5" t="s">
        <v>11963</v>
      </c>
      <c r="DF48" s="5" t="s">
        <v>3510</v>
      </c>
      <c r="DG48" s="5" t="s">
        <v>12578</v>
      </c>
      <c r="DH48" s="5" t="s">
        <v>12579</v>
      </c>
      <c r="DI48" s="5" t="s">
        <v>11994</v>
      </c>
      <c r="DJ48" s="5" t="s">
        <v>11966</v>
      </c>
      <c r="DK48" s="5" t="s">
        <v>11967</v>
      </c>
      <c r="DL48" s="5">
        <v>5</v>
      </c>
      <c r="DM48" s="5">
        <v>4</v>
      </c>
      <c r="DN48" s="5">
        <v>4</v>
      </c>
      <c r="DO48" s="5">
        <v>2</v>
      </c>
      <c r="DP48" s="5">
        <v>2</v>
      </c>
      <c r="DQ48" s="5">
        <v>5</v>
      </c>
      <c r="DR48" s="5">
        <v>0</v>
      </c>
      <c r="DS48" s="5">
        <v>68</v>
      </c>
      <c r="DT48" s="5" t="s">
        <v>11968</v>
      </c>
      <c r="DU48" s="5" t="s">
        <v>11969</v>
      </c>
      <c r="DV48" s="5" t="s">
        <v>11970</v>
      </c>
      <c r="DW48" s="5"/>
      <c r="DX48" s="5">
        <v>16</v>
      </c>
      <c r="DY48" s="5"/>
      <c r="DZ48" s="5">
        <v>100</v>
      </c>
      <c r="EA48" s="5"/>
      <c r="EB48" s="5">
        <v>0.16</v>
      </c>
      <c r="EC48" s="5"/>
      <c r="ED48" s="5" t="s">
        <v>11971</v>
      </c>
      <c r="EE48" s="5"/>
      <c r="EF48" s="5" t="s">
        <v>11997</v>
      </c>
      <c r="EG48" s="5"/>
      <c r="EH48" s="5" t="s">
        <v>11997</v>
      </c>
      <c r="EI48" s="5"/>
      <c r="EJ48" s="5" t="s">
        <v>11997</v>
      </c>
      <c r="EK48" s="5"/>
      <c r="EL48" s="5" t="s">
        <v>11997</v>
      </c>
      <c r="EM48" s="5"/>
      <c r="EN48" s="5" t="s">
        <v>11997</v>
      </c>
      <c r="EO48" s="5"/>
      <c r="EP48" s="5" t="s">
        <v>11998</v>
      </c>
      <c r="EQ48" s="5"/>
      <c r="ER48" s="5" t="s">
        <v>11997</v>
      </c>
      <c r="ES48" s="5"/>
      <c r="ET48" s="5" t="s">
        <v>11972</v>
      </c>
      <c r="EU48" s="5"/>
      <c r="EV48" s="5"/>
      <c r="EW48" s="5"/>
      <c r="EX48" s="5"/>
      <c r="EY48" s="5" t="s">
        <v>4301</v>
      </c>
      <c r="EZ48" s="5"/>
      <c r="FA48" s="5" t="s">
        <v>604</v>
      </c>
      <c r="FB48" s="5"/>
    </row>
    <row r="49" spans="1:158" ht="409.5">
      <c r="A49" s="5" t="s">
        <v>606</v>
      </c>
      <c r="B49" s="5" t="s">
        <v>607</v>
      </c>
      <c r="C49" s="5" t="s">
        <v>12580</v>
      </c>
      <c r="D49" s="5" t="s">
        <v>608</v>
      </c>
      <c r="E49" s="5" t="s">
        <v>12011</v>
      </c>
      <c r="F49" s="5" t="s">
        <v>11994</v>
      </c>
      <c r="G49" s="5" t="s">
        <v>12581</v>
      </c>
      <c r="H49" s="5" t="s">
        <v>12224</v>
      </c>
      <c r="I49" s="5" t="s">
        <v>12097</v>
      </c>
      <c r="J49" s="5" t="s">
        <v>2854</v>
      </c>
      <c r="K49" s="5" t="s">
        <v>12582</v>
      </c>
      <c r="L49" s="5" t="s">
        <v>617</v>
      </c>
      <c r="M49" s="5" t="s">
        <v>12583</v>
      </c>
      <c r="N49" s="5" t="s">
        <v>11952</v>
      </c>
      <c r="O49" s="5" t="s">
        <v>617</v>
      </c>
      <c r="P49" s="5" t="s">
        <v>11952</v>
      </c>
      <c r="Q49" s="5" t="s">
        <v>11952</v>
      </c>
      <c r="R49" s="5" t="s">
        <v>11952</v>
      </c>
      <c r="S49" s="5" t="s">
        <v>11952</v>
      </c>
      <c r="T49" s="5" t="s">
        <v>12584</v>
      </c>
      <c r="U49" s="5" t="s">
        <v>2854</v>
      </c>
      <c r="V49" s="5" t="s">
        <v>12585</v>
      </c>
      <c r="W49" s="5" t="s">
        <v>12586</v>
      </c>
      <c r="X49" s="5" t="s">
        <v>12583</v>
      </c>
      <c r="Y49" s="5" t="s">
        <v>121</v>
      </c>
      <c r="Z49" s="5" t="s">
        <v>2854</v>
      </c>
      <c r="AA49" s="5" t="s">
        <v>11981</v>
      </c>
      <c r="AB49" s="5" t="s">
        <v>155</v>
      </c>
      <c r="AC49" s="5" t="s">
        <v>614</v>
      </c>
      <c r="AD49" s="5" t="s">
        <v>121</v>
      </c>
      <c r="AE49" s="5" t="s">
        <v>121</v>
      </c>
      <c r="AF49" s="5" t="s">
        <v>12587</v>
      </c>
      <c r="AG49" s="5" t="s">
        <v>121</v>
      </c>
      <c r="AH49" s="5" t="s">
        <v>121</v>
      </c>
      <c r="AI49" s="5" t="s">
        <v>121</v>
      </c>
      <c r="AJ49" s="5" t="s">
        <v>121</v>
      </c>
      <c r="AK49" s="5" t="s">
        <v>121</v>
      </c>
      <c r="AL49" s="5" t="s">
        <v>121</v>
      </c>
      <c r="AM49" s="5" t="s">
        <v>121</v>
      </c>
      <c r="AN49" s="5" t="s">
        <v>12588</v>
      </c>
      <c r="AO49" s="5" t="s">
        <v>121</v>
      </c>
      <c r="AP49" s="5" t="s">
        <v>12589</v>
      </c>
      <c r="AQ49" s="5" t="s">
        <v>121</v>
      </c>
      <c r="AR49" s="5" t="s">
        <v>12590</v>
      </c>
      <c r="AS49" s="5" t="s">
        <v>615</v>
      </c>
      <c r="AT49" s="5" t="s">
        <v>121</v>
      </c>
      <c r="AU49" s="5" t="s">
        <v>610</v>
      </c>
      <c r="AV49" s="5" t="s">
        <v>121</v>
      </c>
      <c r="AW49" s="5" t="s">
        <v>610</v>
      </c>
      <c r="AX49" s="5" t="s">
        <v>12591</v>
      </c>
      <c r="AY49" s="5" t="s">
        <v>121</v>
      </c>
      <c r="AZ49" s="5" t="s">
        <v>121</v>
      </c>
      <c r="BA49" s="5" t="s">
        <v>121</v>
      </c>
      <c r="BB49" s="5" t="s">
        <v>3510</v>
      </c>
      <c r="BC49" s="5" t="s">
        <v>2854</v>
      </c>
      <c r="BD49" s="5" t="s">
        <v>121</v>
      </c>
      <c r="BE49" s="5" t="s">
        <v>121</v>
      </c>
      <c r="BF49" s="5" t="s">
        <v>12592</v>
      </c>
      <c r="BG49" s="5" t="s">
        <v>121</v>
      </c>
      <c r="BH49" s="5" t="s">
        <v>12593</v>
      </c>
      <c r="BI49" s="5" t="s">
        <v>121</v>
      </c>
      <c r="BJ49" s="5" t="s">
        <v>611</v>
      </c>
      <c r="BK49" s="5" t="s">
        <v>121</v>
      </c>
      <c r="BL49" s="5" t="s">
        <v>12594</v>
      </c>
      <c r="BM49" s="5" t="s">
        <v>12594</v>
      </c>
      <c r="BN49" s="5" t="s">
        <v>612</v>
      </c>
      <c r="BO49" s="5" t="s">
        <v>121</v>
      </c>
      <c r="BP49" s="5" t="s">
        <v>2854</v>
      </c>
      <c r="BQ49" s="5" t="s">
        <v>2854</v>
      </c>
      <c r="BR49" s="5" t="s">
        <v>2854</v>
      </c>
      <c r="BS49" s="5" t="s">
        <v>121</v>
      </c>
      <c r="BT49" s="5" t="s">
        <v>121</v>
      </c>
      <c r="BU49" s="5" t="s">
        <v>121</v>
      </c>
      <c r="BV49" s="5" t="s">
        <v>3510</v>
      </c>
      <c r="BW49" s="5" t="s">
        <v>3510</v>
      </c>
      <c r="BX49" s="5" t="s">
        <v>3510</v>
      </c>
      <c r="BY49" s="5" t="s">
        <v>12595</v>
      </c>
      <c r="BZ49" s="5" t="s">
        <v>12596</v>
      </c>
      <c r="CA49" s="5" t="s">
        <v>121</v>
      </c>
      <c r="CB49" s="5" t="s">
        <v>121</v>
      </c>
      <c r="CC49" s="5" t="s">
        <v>609</v>
      </c>
      <c r="CD49" s="5" t="s">
        <v>121</v>
      </c>
      <c r="CE49" s="5" t="s">
        <v>121</v>
      </c>
      <c r="CF49" s="5" t="s">
        <v>11958</v>
      </c>
      <c r="CG49" s="5" t="s">
        <v>121</v>
      </c>
      <c r="CH49" s="5" t="s">
        <v>121</v>
      </c>
      <c r="CI49" s="5" t="s">
        <v>12241</v>
      </c>
      <c r="CJ49" s="5" t="s">
        <v>124</v>
      </c>
      <c r="CK49" s="5" t="s">
        <v>613</v>
      </c>
      <c r="CL49" s="5" t="s">
        <v>3510</v>
      </c>
      <c r="CM49" s="5" t="s">
        <v>124</v>
      </c>
      <c r="CN49" s="5" t="s">
        <v>121</v>
      </c>
      <c r="CO49" s="5" t="s">
        <v>121</v>
      </c>
      <c r="CP49" s="5" t="s">
        <v>3510</v>
      </c>
      <c r="CQ49" s="5" t="s">
        <v>616</v>
      </c>
      <c r="CR49" s="5" t="s">
        <v>11960</v>
      </c>
      <c r="CS49" s="5" t="s">
        <v>2854</v>
      </c>
      <c r="CT49" s="5" t="s">
        <v>3510</v>
      </c>
      <c r="CU49" s="5" t="s">
        <v>3510</v>
      </c>
      <c r="CV49" s="5" t="s">
        <v>11952</v>
      </c>
      <c r="CW49" s="5" t="s">
        <v>11952</v>
      </c>
      <c r="CX49" s="5" t="s">
        <v>12597</v>
      </c>
      <c r="CY49" s="5" t="s">
        <v>12598</v>
      </c>
      <c r="CZ49" s="5" t="s">
        <v>11989</v>
      </c>
      <c r="DA49" s="5" t="s">
        <v>11952</v>
      </c>
      <c r="DB49" s="5" t="s">
        <v>12599</v>
      </c>
      <c r="DC49" s="5" t="s">
        <v>12600</v>
      </c>
      <c r="DD49" s="5" t="s">
        <v>11963</v>
      </c>
      <c r="DE49" s="5" t="s">
        <v>12601</v>
      </c>
      <c r="DF49" s="5" t="s">
        <v>2854</v>
      </c>
      <c r="DG49" s="5" t="s">
        <v>12602</v>
      </c>
      <c r="DH49" s="5" t="s">
        <v>12603</v>
      </c>
      <c r="DI49" s="5" t="s">
        <v>11975</v>
      </c>
      <c r="DJ49" s="5" t="s">
        <v>12044</v>
      </c>
      <c r="DK49" s="5" t="s">
        <v>12604</v>
      </c>
      <c r="DL49" s="5">
        <v>4.8</v>
      </c>
      <c r="DM49" s="5">
        <v>3.2</v>
      </c>
      <c r="DN49" s="5">
        <v>3.9</v>
      </c>
      <c r="DO49" s="5">
        <v>1.8</v>
      </c>
      <c r="DP49" s="5">
        <v>2.5</v>
      </c>
      <c r="DQ49" s="5">
        <v>3.2</v>
      </c>
      <c r="DR49" s="5">
        <v>0.5</v>
      </c>
      <c r="DS49" s="5">
        <v>61.5</v>
      </c>
      <c r="DT49" s="5" t="s">
        <v>11968</v>
      </c>
      <c r="DU49" s="5" t="s">
        <v>12046</v>
      </c>
      <c r="DV49" s="5" t="s">
        <v>11970</v>
      </c>
      <c r="DW49" s="5"/>
      <c r="DX49" s="5">
        <v>14</v>
      </c>
      <c r="DY49" s="5"/>
      <c r="DZ49" s="5">
        <v>100</v>
      </c>
      <c r="EA49" s="5"/>
      <c r="EB49" s="5">
        <v>0.14000000000000001</v>
      </c>
      <c r="EC49" s="5"/>
      <c r="ED49" s="5" t="s">
        <v>11971</v>
      </c>
      <c r="EE49" s="5"/>
      <c r="EF49" s="5" t="s">
        <v>11997</v>
      </c>
      <c r="EG49" s="5"/>
      <c r="EH49" s="5" t="s">
        <v>11997</v>
      </c>
      <c r="EI49" s="5"/>
      <c r="EJ49" s="5" t="s">
        <v>11997</v>
      </c>
      <c r="EK49" s="5"/>
      <c r="EL49" s="5" t="s">
        <v>11997</v>
      </c>
      <c r="EM49" s="5"/>
      <c r="EN49" s="5" t="s">
        <v>11997</v>
      </c>
      <c r="EO49" s="5"/>
      <c r="EP49" s="5" t="s">
        <v>11998</v>
      </c>
      <c r="EQ49" s="5"/>
      <c r="ER49" s="5" t="s">
        <v>11997</v>
      </c>
      <c r="ES49" s="5"/>
      <c r="ET49" s="5" t="s">
        <v>11972</v>
      </c>
      <c r="EU49" s="5"/>
      <c r="EV49" s="5"/>
      <c r="EW49" s="5"/>
      <c r="EX49" s="5"/>
      <c r="EY49" s="5" t="s">
        <v>4331</v>
      </c>
      <c r="EZ49" s="5"/>
      <c r="FA49" s="5" t="s">
        <v>617</v>
      </c>
      <c r="FB49" s="5"/>
    </row>
    <row r="50" spans="1:158" ht="293.25">
      <c r="A50" s="5" t="s">
        <v>619</v>
      </c>
      <c r="B50" s="5" t="s">
        <v>620</v>
      </c>
      <c r="C50" s="5" t="s">
        <v>12605</v>
      </c>
      <c r="D50" s="5" t="s">
        <v>621</v>
      </c>
      <c r="E50" s="5" t="s">
        <v>12011</v>
      </c>
      <c r="F50" s="5" t="s">
        <v>11994</v>
      </c>
      <c r="G50" s="5" t="s">
        <v>12606</v>
      </c>
      <c r="H50" s="5" t="s">
        <v>12512</v>
      </c>
      <c r="I50" s="5" t="s">
        <v>129</v>
      </c>
      <c r="J50" s="5" t="s">
        <v>3510</v>
      </c>
      <c r="K50" s="5" t="s">
        <v>12151</v>
      </c>
      <c r="L50" s="5" t="s">
        <v>628</v>
      </c>
      <c r="M50" s="5" t="s">
        <v>628</v>
      </c>
      <c r="N50" s="5" t="s">
        <v>11952</v>
      </c>
      <c r="O50" s="5" t="s">
        <v>11952</v>
      </c>
      <c r="P50" s="5" t="s">
        <v>11952</v>
      </c>
      <c r="Q50" s="5" t="s">
        <v>11952</v>
      </c>
      <c r="R50" s="5" t="s">
        <v>11952</v>
      </c>
      <c r="S50" s="5" t="s">
        <v>11952</v>
      </c>
      <c r="T50" s="5" t="s">
        <v>121</v>
      </c>
      <c r="U50" s="5" t="s">
        <v>2854</v>
      </c>
      <c r="V50" s="5" t="s">
        <v>12607</v>
      </c>
      <c r="W50" s="5" t="s">
        <v>12608</v>
      </c>
      <c r="X50" s="5" t="s">
        <v>12609</v>
      </c>
      <c r="Y50" s="5" t="s">
        <v>121</v>
      </c>
      <c r="Z50" s="5" t="s">
        <v>2854</v>
      </c>
      <c r="AA50" s="5" t="s">
        <v>11981</v>
      </c>
      <c r="AB50" s="5" t="s">
        <v>155</v>
      </c>
      <c r="AC50" s="5" t="s">
        <v>625</v>
      </c>
      <c r="AD50" s="5" t="s">
        <v>121</v>
      </c>
      <c r="AE50" s="5" t="s">
        <v>121</v>
      </c>
      <c r="AF50" s="5" t="s">
        <v>625</v>
      </c>
      <c r="AG50" s="5" t="s">
        <v>121</v>
      </c>
      <c r="AH50" s="5" t="s">
        <v>121</v>
      </c>
      <c r="AI50" s="5" t="s">
        <v>121</v>
      </c>
      <c r="AJ50" s="5" t="s">
        <v>121</v>
      </c>
      <c r="AK50" s="5" t="s">
        <v>121</v>
      </c>
      <c r="AL50" s="5" t="s">
        <v>121</v>
      </c>
      <c r="AM50" s="5" t="s">
        <v>121</v>
      </c>
      <c r="AN50" s="5" t="s">
        <v>121</v>
      </c>
      <c r="AO50" s="5" t="s">
        <v>121</v>
      </c>
      <c r="AP50" s="5" t="s">
        <v>2302</v>
      </c>
      <c r="AQ50" s="5" t="s">
        <v>121</v>
      </c>
      <c r="AR50" s="5" t="s">
        <v>121</v>
      </c>
      <c r="AS50" s="5" t="s">
        <v>626</v>
      </c>
      <c r="AT50" s="5" t="s">
        <v>121</v>
      </c>
      <c r="AU50" s="5" t="s">
        <v>623</v>
      </c>
      <c r="AV50" s="5" t="s">
        <v>121</v>
      </c>
      <c r="AW50" s="5" t="s">
        <v>623</v>
      </c>
      <c r="AX50" s="5" t="s">
        <v>121</v>
      </c>
      <c r="AY50" s="5" t="s">
        <v>121</v>
      </c>
      <c r="AZ50" s="5" t="s">
        <v>2854</v>
      </c>
      <c r="BA50" s="5" t="s">
        <v>121</v>
      </c>
      <c r="BB50" s="5" t="s">
        <v>3510</v>
      </c>
      <c r="BC50" s="5" t="s">
        <v>121</v>
      </c>
      <c r="BD50" s="5" t="s">
        <v>121</v>
      </c>
      <c r="BE50" s="5" t="s">
        <v>121</v>
      </c>
      <c r="BF50" s="5" t="s">
        <v>121</v>
      </c>
      <c r="BG50" s="5" t="s">
        <v>121</v>
      </c>
      <c r="BH50" s="5" t="s">
        <v>12610</v>
      </c>
      <c r="BI50" s="5" t="s">
        <v>121</v>
      </c>
      <c r="BJ50" s="5" t="s">
        <v>624</v>
      </c>
      <c r="BK50" s="5" t="s">
        <v>121</v>
      </c>
      <c r="BL50" s="5" t="s">
        <v>332</v>
      </c>
      <c r="BM50" s="5" t="s">
        <v>332</v>
      </c>
      <c r="BN50" s="5" t="s">
        <v>121</v>
      </c>
      <c r="BO50" s="5" t="s">
        <v>121</v>
      </c>
      <c r="BP50" s="5" t="s">
        <v>121</v>
      </c>
      <c r="BQ50" s="5" t="s">
        <v>2854</v>
      </c>
      <c r="BR50" s="5" t="s">
        <v>2854</v>
      </c>
      <c r="BS50" s="5" t="s">
        <v>121</v>
      </c>
      <c r="BT50" s="5" t="s">
        <v>121</v>
      </c>
      <c r="BU50" s="5" t="s">
        <v>121</v>
      </c>
      <c r="BV50" s="5" t="s">
        <v>3510</v>
      </c>
      <c r="BW50" s="5" t="s">
        <v>3510</v>
      </c>
      <c r="BX50" s="5" t="s">
        <v>3510</v>
      </c>
      <c r="BY50" s="5" t="s">
        <v>12611</v>
      </c>
      <c r="BZ50" s="5" t="s">
        <v>121</v>
      </c>
      <c r="CA50" s="5" t="s">
        <v>121</v>
      </c>
      <c r="CB50" s="5" t="s">
        <v>121</v>
      </c>
      <c r="CC50" s="5" t="s">
        <v>622</v>
      </c>
      <c r="CD50" s="5" t="s">
        <v>12612</v>
      </c>
      <c r="CE50" s="5" t="s">
        <v>12612</v>
      </c>
      <c r="CF50" s="5" t="s">
        <v>11958</v>
      </c>
      <c r="CG50" s="5" t="s">
        <v>12613</v>
      </c>
      <c r="CH50" s="5" t="s">
        <v>12614</v>
      </c>
      <c r="CI50" s="5" t="s">
        <v>12034</v>
      </c>
      <c r="CJ50" s="5" t="s">
        <v>124</v>
      </c>
      <c r="CK50" s="5" t="s">
        <v>121</v>
      </c>
      <c r="CL50" s="5" t="s">
        <v>3510</v>
      </c>
      <c r="CM50" s="5" t="s">
        <v>124</v>
      </c>
      <c r="CN50" s="5" t="s">
        <v>121</v>
      </c>
      <c r="CO50" s="5" t="s">
        <v>121</v>
      </c>
      <c r="CP50" s="5" t="s">
        <v>3510</v>
      </c>
      <c r="CQ50" s="5" t="s">
        <v>627</v>
      </c>
      <c r="CR50" s="5" t="s">
        <v>11960</v>
      </c>
      <c r="CS50" s="5" t="s">
        <v>3510</v>
      </c>
      <c r="CT50" s="5" t="s">
        <v>3510</v>
      </c>
      <c r="CU50" s="5" t="s">
        <v>3510</v>
      </c>
      <c r="CV50" s="5" t="s">
        <v>11952</v>
      </c>
      <c r="CW50" s="5" t="s">
        <v>12615</v>
      </c>
      <c r="CX50" s="5" t="s">
        <v>12616</v>
      </c>
      <c r="CY50" s="5" t="s">
        <v>12617</v>
      </c>
      <c r="CZ50" s="5" t="s">
        <v>11989</v>
      </c>
      <c r="DA50" s="5" t="s">
        <v>11952</v>
      </c>
      <c r="DB50" s="5" t="s">
        <v>11963</v>
      </c>
      <c r="DC50" s="5" t="s">
        <v>12618</v>
      </c>
      <c r="DD50" s="5" t="s">
        <v>11963</v>
      </c>
      <c r="DE50" s="5" t="s">
        <v>12619</v>
      </c>
      <c r="DF50" s="5" t="s">
        <v>3510</v>
      </c>
      <c r="DG50" s="5" t="s">
        <v>12620</v>
      </c>
      <c r="DH50" s="5" t="s">
        <v>12621</v>
      </c>
      <c r="DI50" s="5" t="s">
        <v>11975</v>
      </c>
      <c r="DJ50" s="5" t="s">
        <v>11966</v>
      </c>
      <c r="DK50" s="5" t="s">
        <v>12176</v>
      </c>
      <c r="DL50" s="5">
        <v>4</v>
      </c>
      <c r="DM50" s="5">
        <v>3.5</v>
      </c>
      <c r="DN50" s="5">
        <v>3.8</v>
      </c>
      <c r="DO50" s="5">
        <v>3.5</v>
      </c>
      <c r="DP50" s="5">
        <v>2.5</v>
      </c>
      <c r="DQ50" s="5">
        <v>1.5</v>
      </c>
      <c r="DR50" s="5">
        <v>0</v>
      </c>
      <c r="DS50" s="5">
        <v>59.9</v>
      </c>
      <c r="DT50" s="5" t="s">
        <v>11968</v>
      </c>
      <c r="DU50" s="5" t="s">
        <v>12116</v>
      </c>
      <c r="DV50" s="5" t="s">
        <v>11970</v>
      </c>
      <c r="DW50" s="5"/>
      <c r="DX50" s="5">
        <v>14</v>
      </c>
      <c r="DY50" s="5"/>
      <c r="DZ50" s="5">
        <v>100</v>
      </c>
      <c r="EA50" s="5"/>
      <c r="EB50" s="5">
        <v>0.14000000000000001</v>
      </c>
      <c r="EC50" s="5"/>
      <c r="ED50" s="5" t="s">
        <v>11971</v>
      </c>
      <c r="EE50" s="5"/>
      <c r="EF50" s="5" t="s">
        <v>11997</v>
      </c>
      <c r="EG50" s="5"/>
      <c r="EH50" s="5" t="s">
        <v>11997</v>
      </c>
      <c r="EI50" s="5"/>
      <c r="EJ50" s="5" t="s">
        <v>11997</v>
      </c>
      <c r="EK50" s="5"/>
      <c r="EL50" s="5" t="s">
        <v>11997</v>
      </c>
      <c r="EM50" s="5"/>
      <c r="EN50" s="5" t="s">
        <v>11997</v>
      </c>
      <c r="EO50" s="5"/>
      <c r="EP50" s="5" t="s">
        <v>11998</v>
      </c>
      <c r="EQ50" s="5"/>
      <c r="ER50" s="5" t="s">
        <v>11997</v>
      </c>
      <c r="ES50" s="5"/>
      <c r="ET50" s="5" t="s">
        <v>11972</v>
      </c>
      <c r="EU50" s="5"/>
      <c r="EV50" s="5"/>
      <c r="EW50" s="5"/>
      <c r="EX50" s="5"/>
      <c r="EY50" s="5" t="s">
        <v>4364</v>
      </c>
      <c r="EZ50" s="5"/>
      <c r="FA50" s="5" t="s">
        <v>628</v>
      </c>
      <c r="FB50" s="5"/>
    </row>
    <row r="51" spans="1:158" ht="89.25">
      <c r="A51" s="5" t="s">
        <v>630</v>
      </c>
      <c r="B51" s="5" t="s">
        <v>631</v>
      </c>
      <c r="C51" s="5" t="s">
        <v>11952</v>
      </c>
      <c r="D51" s="5" t="s">
        <v>632</v>
      </c>
      <c r="E51" s="5" t="s">
        <v>11953</v>
      </c>
      <c r="F51" s="5" t="s">
        <v>11954</v>
      </c>
      <c r="G51" s="5" t="s">
        <v>11955</v>
      </c>
      <c r="H51" s="5" t="s">
        <v>11235</v>
      </c>
      <c r="I51" s="5" t="s">
        <v>129</v>
      </c>
      <c r="J51" s="5" t="s">
        <v>3510</v>
      </c>
      <c r="K51" s="5" t="s">
        <v>11956</v>
      </c>
      <c r="L51" s="5" t="s">
        <v>640</v>
      </c>
      <c r="M51" s="5" t="s">
        <v>640</v>
      </c>
      <c r="N51" s="5" t="s">
        <v>11952</v>
      </c>
      <c r="O51" s="5" t="s">
        <v>11952</v>
      </c>
      <c r="P51" s="5" t="s">
        <v>11952</v>
      </c>
      <c r="Q51" s="5" t="s">
        <v>11952</v>
      </c>
      <c r="R51" s="5" t="s">
        <v>11952</v>
      </c>
      <c r="S51" s="5" t="s">
        <v>11952</v>
      </c>
      <c r="T51" s="5" t="s">
        <v>121</v>
      </c>
      <c r="U51" s="5" t="s">
        <v>2854</v>
      </c>
      <c r="V51" s="5" t="s">
        <v>12622</v>
      </c>
      <c r="W51" s="5" t="s">
        <v>12623</v>
      </c>
      <c r="X51" s="5" t="s">
        <v>121</v>
      </c>
      <c r="Y51" s="5" t="s">
        <v>121</v>
      </c>
      <c r="Z51" s="5" t="s">
        <v>2854</v>
      </c>
      <c r="AA51" s="5" t="s">
        <v>11981</v>
      </c>
      <c r="AB51" s="5" t="s">
        <v>155</v>
      </c>
      <c r="AC51" s="5" t="s">
        <v>637</v>
      </c>
      <c r="AD51" s="5" t="s">
        <v>121</v>
      </c>
      <c r="AE51" s="5" t="s">
        <v>121</v>
      </c>
      <c r="AF51" s="5" t="s">
        <v>637</v>
      </c>
      <c r="AG51" s="5" t="s">
        <v>121</v>
      </c>
      <c r="AH51" s="5" t="s">
        <v>121</v>
      </c>
      <c r="AI51" s="5" t="s">
        <v>121</v>
      </c>
      <c r="AJ51" s="5" t="s">
        <v>121</v>
      </c>
      <c r="AK51" s="5" t="s">
        <v>121</v>
      </c>
      <c r="AL51" s="5" t="s">
        <v>121</v>
      </c>
      <c r="AM51" s="5" t="s">
        <v>121</v>
      </c>
      <c r="AN51" s="5" t="s">
        <v>121</v>
      </c>
      <c r="AO51" s="5" t="s">
        <v>121</v>
      </c>
      <c r="AP51" s="5" t="s">
        <v>121</v>
      </c>
      <c r="AQ51" s="5" t="s">
        <v>121</v>
      </c>
      <c r="AR51" s="5" t="s">
        <v>12624</v>
      </c>
      <c r="AS51" s="5" t="s">
        <v>638</v>
      </c>
      <c r="AT51" s="5" t="s">
        <v>121</v>
      </c>
      <c r="AU51" s="5" t="s">
        <v>634</v>
      </c>
      <c r="AV51" s="5" t="s">
        <v>121</v>
      </c>
      <c r="AW51" s="5" t="s">
        <v>121</v>
      </c>
      <c r="AX51" s="5" t="s">
        <v>121</v>
      </c>
      <c r="AY51" s="5" t="s">
        <v>121</v>
      </c>
      <c r="AZ51" s="5" t="s">
        <v>2854</v>
      </c>
      <c r="BA51" s="5" t="s">
        <v>121</v>
      </c>
      <c r="BB51" s="5" t="s">
        <v>3510</v>
      </c>
      <c r="BC51" s="5" t="s">
        <v>121</v>
      </c>
      <c r="BD51" s="5" t="s">
        <v>121</v>
      </c>
      <c r="BE51" s="5" t="s">
        <v>121</v>
      </c>
      <c r="BF51" s="5" t="s">
        <v>121</v>
      </c>
      <c r="BG51" s="5" t="s">
        <v>121</v>
      </c>
      <c r="BH51" s="5" t="s">
        <v>11999</v>
      </c>
      <c r="BI51" s="5" t="s">
        <v>121</v>
      </c>
      <c r="BJ51" s="5" t="s">
        <v>635</v>
      </c>
      <c r="BK51" s="5" t="s">
        <v>121</v>
      </c>
      <c r="BL51" s="5" t="s">
        <v>1273</v>
      </c>
      <c r="BM51" s="5" t="s">
        <v>1273</v>
      </c>
      <c r="BN51" s="5" t="s">
        <v>636</v>
      </c>
      <c r="BO51" s="5" t="s">
        <v>11984</v>
      </c>
      <c r="BP51" s="5" t="s">
        <v>121</v>
      </c>
      <c r="BQ51" s="5" t="s">
        <v>121</v>
      </c>
      <c r="BR51" s="5" t="s">
        <v>2854</v>
      </c>
      <c r="BS51" s="5" t="s">
        <v>121</v>
      </c>
      <c r="BT51" s="5" t="s">
        <v>121</v>
      </c>
      <c r="BU51" s="5" t="s">
        <v>121</v>
      </c>
      <c r="BV51" s="5" t="s">
        <v>3510</v>
      </c>
      <c r="BW51" s="5" t="s">
        <v>3510</v>
      </c>
      <c r="BX51" s="5" t="s">
        <v>3510</v>
      </c>
      <c r="BY51" s="5" t="s">
        <v>121</v>
      </c>
      <c r="BZ51" s="5" t="s">
        <v>12625</v>
      </c>
      <c r="CA51" s="5" t="s">
        <v>121</v>
      </c>
      <c r="CB51" s="5" t="s">
        <v>121</v>
      </c>
      <c r="CC51" s="5" t="s">
        <v>633</v>
      </c>
      <c r="CD51" s="5" t="s">
        <v>121</v>
      </c>
      <c r="CE51" s="5" t="s">
        <v>121</v>
      </c>
      <c r="CF51" s="5" t="s">
        <v>11958</v>
      </c>
      <c r="CG51" s="5" t="s">
        <v>121</v>
      </c>
      <c r="CH51" s="5" t="s">
        <v>121</v>
      </c>
      <c r="CI51" s="5" t="s">
        <v>11972</v>
      </c>
      <c r="CJ51" s="5" t="s">
        <v>426</v>
      </c>
      <c r="CK51" s="5" t="s">
        <v>121</v>
      </c>
      <c r="CL51" s="5" t="s">
        <v>121</v>
      </c>
      <c r="CM51" s="5" t="s">
        <v>426</v>
      </c>
      <c r="CN51" s="5" t="s">
        <v>121</v>
      </c>
      <c r="CO51" s="5" t="s">
        <v>121</v>
      </c>
      <c r="CP51" s="5" t="s">
        <v>3510</v>
      </c>
      <c r="CQ51" s="5" t="s">
        <v>639</v>
      </c>
      <c r="CR51" s="5" t="s">
        <v>11960</v>
      </c>
      <c r="CS51" s="5" t="s">
        <v>3510</v>
      </c>
      <c r="CT51" s="5" t="s">
        <v>3510</v>
      </c>
      <c r="CU51" s="5" t="s">
        <v>3510</v>
      </c>
      <c r="CV51" s="5" t="s">
        <v>11952</v>
      </c>
      <c r="CW51" s="5" t="s">
        <v>11952</v>
      </c>
      <c r="CX51" s="5" t="s">
        <v>11961</v>
      </c>
      <c r="CY51" s="5" t="s">
        <v>12626</v>
      </c>
      <c r="CZ51" s="5" t="s">
        <v>3510</v>
      </c>
      <c r="DA51" s="5" t="s">
        <v>11952</v>
      </c>
      <c r="DB51" s="5" t="s">
        <v>11963</v>
      </c>
      <c r="DC51" s="5" t="s">
        <v>11963</v>
      </c>
      <c r="DD51" s="5" t="s">
        <v>11963</v>
      </c>
      <c r="DE51" s="5" t="s">
        <v>11963</v>
      </c>
      <c r="DF51" s="5" t="s">
        <v>3510</v>
      </c>
      <c r="DG51" s="5" t="s">
        <v>11964</v>
      </c>
      <c r="DH51" s="5" t="s">
        <v>12627</v>
      </c>
      <c r="DI51" s="5" t="s">
        <v>11975</v>
      </c>
      <c r="DJ51" s="5" t="s">
        <v>11994</v>
      </c>
      <c r="DK51" s="5" t="s">
        <v>12201</v>
      </c>
      <c r="DL51" s="5">
        <v>2</v>
      </c>
      <c r="DM51" s="5">
        <v>5</v>
      </c>
      <c r="DN51" s="5">
        <v>2.5</v>
      </c>
      <c r="DO51" s="5">
        <v>3</v>
      </c>
      <c r="DP51" s="5">
        <v>1.5</v>
      </c>
      <c r="DQ51" s="5">
        <v>1.5</v>
      </c>
      <c r="DR51" s="5">
        <v>0</v>
      </c>
      <c r="DS51" s="5">
        <v>50.5</v>
      </c>
      <c r="DT51" s="5" t="s">
        <v>12202</v>
      </c>
      <c r="DU51" s="5" t="s">
        <v>12203</v>
      </c>
      <c r="DV51" s="5" t="s">
        <v>11970</v>
      </c>
      <c r="DW51" s="5"/>
      <c r="DX51" s="5">
        <v>14</v>
      </c>
      <c r="DY51" s="5"/>
      <c r="DZ51" s="5">
        <v>100</v>
      </c>
      <c r="EA51" s="5"/>
      <c r="EB51" s="5">
        <v>0.14000000000000001</v>
      </c>
      <c r="EC51" s="5"/>
      <c r="ED51" s="5" t="s">
        <v>11971</v>
      </c>
      <c r="EE51" s="5"/>
      <c r="EF51" s="5" t="s">
        <v>11997</v>
      </c>
      <c r="EG51" s="5"/>
      <c r="EH51" s="5" t="s">
        <v>11997</v>
      </c>
      <c r="EI51" s="5"/>
      <c r="EJ51" s="5" t="s">
        <v>11997</v>
      </c>
      <c r="EK51" s="5"/>
      <c r="EL51" s="5" t="s">
        <v>11997</v>
      </c>
      <c r="EM51" s="5"/>
      <c r="EN51" s="5" t="s">
        <v>11997</v>
      </c>
      <c r="EO51" s="5"/>
      <c r="EP51" s="5" t="s">
        <v>11998</v>
      </c>
      <c r="EQ51" s="5"/>
      <c r="ER51" s="5" t="s">
        <v>11997</v>
      </c>
      <c r="ES51" s="5"/>
      <c r="ET51" s="5" t="s">
        <v>11972</v>
      </c>
      <c r="EU51" s="5"/>
      <c r="EV51" s="5"/>
      <c r="EW51" s="5"/>
      <c r="EX51" s="5"/>
      <c r="EY51" s="5" t="s">
        <v>4395</v>
      </c>
      <c r="EZ51" s="5"/>
      <c r="FA51" s="5" t="s">
        <v>640</v>
      </c>
      <c r="FB51" s="5"/>
    </row>
    <row r="52" spans="1:158" ht="331.5">
      <c r="A52" s="5" t="s">
        <v>74</v>
      </c>
      <c r="B52" s="5" t="s">
        <v>642</v>
      </c>
      <c r="C52" s="5" t="s">
        <v>12628</v>
      </c>
      <c r="D52" s="5" t="s">
        <v>12629</v>
      </c>
      <c r="E52" s="5" t="s">
        <v>12011</v>
      </c>
      <c r="F52" s="5" t="s">
        <v>11994</v>
      </c>
      <c r="G52" s="5" t="s">
        <v>12630</v>
      </c>
      <c r="H52" s="5" t="s">
        <v>12530</v>
      </c>
      <c r="I52" s="5" t="s">
        <v>11224</v>
      </c>
      <c r="J52" s="5" t="s">
        <v>3510</v>
      </c>
      <c r="K52" s="5" t="s">
        <v>12631</v>
      </c>
      <c r="L52" s="5" t="s">
        <v>12632</v>
      </c>
      <c r="M52" s="5" t="s">
        <v>11952</v>
      </c>
      <c r="N52" s="5" t="s">
        <v>12632</v>
      </c>
      <c r="O52" s="5" t="s">
        <v>11952</v>
      </c>
      <c r="P52" s="5" t="s">
        <v>11952</v>
      </c>
      <c r="Q52" s="5" t="s">
        <v>11952</v>
      </c>
      <c r="R52" s="5" t="s">
        <v>11952</v>
      </c>
      <c r="S52" s="5" t="s">
        <v>12633</v>
      </c>
      <c r="T52" s="5" t="s">
        <v>12634</v>
      </c>
      <c r="U52" s="5" t="s">
        <v>2854</v>
      </c>
      <c r="V52" s="5" t="s">
        <v>12635</v>
      </c>
      <c r="W52" s="5" t="s">
        <v>12636</v>
      </c>
      <c r="X52" s="5" t="s">
        <v>12637</v>
      </c>
      <c r="Y52" s="5" t="s">
        <v>12638</v>
      </c>
      <c r="Z52" s="5" t="s">
        <v>2854</v>
      </c>
      <c r="AA52" s="5" t="s">
        <v>12639</v>
      </c>
      <c r="AB52" s="5" t="s">
        <v>121</v>
      </c>
      <c r="AC52" s="5" t="s">
        <v>121</v>
      </c>
      <c r="AD52" s="5" t="s">
        <v>121</v>
      </c>
      <c r="AE52" s="5" t="s">
        <v>121</v>
      </c>
      <c r="AF52" s="5" t="s">
        <v>121</v>
      </c>
      <c r="AG52" s="5" t="s">
        <v>12640</v>
      </c>
      <c r="AH52" s="5" t="s">
        <v>121</v>
      </c>
      <c r="AI52" s="5" t="s">
        <v>121</v>
      </c>
      <c r="AJ52" s="5" t="s">
        <v>121</v>
      </c>
      <c r="AK52" s="5" t="s">
        <v>121</v>
      </c>
      <c r="AL52" s="5" t="s">
        <v>121</v>
      </c>
      <c r="AM52" s="5" t="s">
        <v>121</v>
      </c>
      <c r="AN52" s="5" t="s">
        <v>121</v>
      </c>
      <c r="AO52" s="5" t="s">
        <v>121</v>
      </c>
      <c r="AP52" s="5" t="s">
        <v>12641</v>
      </c>
      <c r="AQ52" s="5" t="s">
        <v>121</v>
      </c>
      <c r="AR52" s="5" t="s">
        <v>12642</v>
      </c>
      <c r="AS52" s="5" t="s">
        <v>647</v>
      </c>
      <c r="AT52" s="5" t="s">
        <v>121</v>
      </c>
      <c r="AU52" s="5" t="s">
        <v>643</v>
      </c>
      <c r="AV52" s="5" t="s">
        <v>12003</v>
      </c>
      <c r="AW52" s="5" t="s">
        <v>121</v>
      </c>
      <c r="AX52" s="5" t="s">
        <v>121</v>
      </c>
      <c r="AY52" s="5" t="s">
        <v>121</v>
      </c>
      <c r="AZ52" s="5" t="s">
        <v>121</v>
      </c>
      <c r="BA52" s="5" t="s">
        <v>121</v>
      </c>
      <c r="BB52" s="5" t="s">
        <v>2854</v>
      </c>
      <c r="BC52" s="5" t="s">
        <v>2854</v>
      </c>
      <c r="BD52" s="5" t="s">
        <v>121</v>
      </c>
      <c r="BE52" s="5" t="s">
        <v>121</v>
      </c>
      <c r="BF52" s="5" t="s">
        <v>12643</v>
      </c>
      <c r="BG52" s="5" t="s">
        <v>121</v>
      </c>
      <c r="BH52" s="5" t="s">
        <v>12644</v>
      </c>
      <c r="BI52" s="5" t="s">
        <v>121</v>
      </c>
      <c r="BJ52" s="5" t="s">
        <v>644</v>
      </c>
      <c r="BK52" s="5" t="s">
        <v>121</v>
      </c>
      <c r="BL52" s="5" t="s">
        <v>12645</v>
      </c>
      <c r="BM52" s="5" t="s">
        <v>12645</v>
      </c>
      <c r="BN52" s="5" t="s">
        <v>645</v>
      </c>
      <c r="BO52" s="5" t="s">
        <v>121</v>
      </c>
      <c r="BP52" s="5" t="s">
        <v>121</v>
      </c>
      <c r="BQ52" s="5" t="s">
        <v>121</v>
      </c>
      <c r="BR52" s="5" t="s">
        <v>121</v>
      </c>
      <c r="BS52" s="5" t="s">
        <v>121</v>
      </c>
      <c r="BT52" s="5" t="s">
        <v>121</v>
      </c>
      <c r="BU52" s="5" t="s">
        <v>2854</v>
      </c>
      <c r="BV52" s="5" t="s">
        <v>121</v>
      </c>
      <c r="BW52" s="5" t="s">
        <v>2854</v>
      </c>
      <c r="BX52" s="5" t="s">
        <v>2854</v>
      </c>
      <c r="BY52" s="5" t="s">
        <v>12646</v>
      </c>
      <c r="BZ52" s="5" t="s">
        <v>12647</v>
      </c>
      <c r="CA52" s="5" t="s">
        <v>121</v>
      </c>
      <c r="CB52" s="5" t="s">
        <v>121</v>
      </c>
      <c r="CC52" s="5" t="s">
        <v>121</v>
      </c>
      <c r="CD52" s="5" t="s">
        <v>121</v>
      </c>
      <c r="CE52" s="5" t="s">
        <v>121</v>
      </c>
      <c r="CF52" s="5" t="s">
        <v>121</v>
      </c>
      <c r="CG52" s="5" t="s">
        <v>121</v>
      </c>
      <c r="CH52" s="5" t="s">
        <v>121</v>
      </c>
      <c r="CI52" s="5" t="s">
        <v>12034</v>
      </c>
      <c r="CJ52" s="5" t="s">
        <v>646</v>
      </c>
      <c r="CK52" s="5" t="s">
        <v>121</v>
      </c>
      <c r="CL52" s="5" t="s">
        <v>3510</v>
      </c>
      <c r="CM52" s="5" t="s">
        <v>646</v>
      </c>
      <c r="CN52" s="5" t="s">
        <v>121</v>
      </c>
      <c r="CO52" s="5" t="s">
        <v>121</v>
      </c>
      <c r="CP52" s="5" t="s">
        <v>3510</v>
      </c>
      <c r="CQ52" s="5" t="s">
        <v>648</v>
      </c>
      <c r="CR52" s="5" t="s">
        <v>11960</v>
      </c>
      <c r="CS52" s="5" t="s">
        <v>3510</v>
      </c>
      <c r="CT52" s="5" t="s">
        <v>3510</v>
      </c>
      <c r="CU52" s="5" t="s">
        <v>3510</v>
      </c>
      <c r="CV52" s="5" t="s">
        <v>11952</v>
      </c>
      <c r="CW52" s="5" t="s">
        <v>12648</v>
      </c>
      <c r="CX52" s="5" t="s">
        <v>12649</v>
      </c>
      <c r="CY52" s="5" t="s">
        <v>12650</v>
      </c>
      <c r="CZ52" s="5" t="s">
        <v>11989</v>
      </c>
      <c r="DA52" s="5" t="s">
        <v>11989</v>
      </c>
      <c r="DB52" s="5" t="s">
        <v>11963</v>
      </c>
      <c r="DC52" s="5" t="s">
        <v>12651</v>
      </c>
      <c r="DD52" s="5" t="s">
        <v>11963</v>
      </c>
      <c r="DE52" s="5" t="s">
        <v>12652</v>
      </c>
      <c r="DF52" s="5" t="s">
        <v>3510</v>
      </c>
      <c r="DG52" s="5" t="s">
        <v>12653</v>
      </c>
      <c r="DH52" s="5" t="s">
        <v>12654</v>
      </c>
      <c r="DI52" s="5" t="s">
        <v>11975</v>
      </c>
      <c r="DJ52" s="5" t="s">
        <v>11994</v>
      </c>
      <c r="DK52" s="5" t="s">
        <v>12655</v>
      </c>
      <c r="DL52" s="5">
        <v>3</v>
      </c>
      <c r="DM52" s="5">
        <v>3</v>
      </c>
      <c r="DN52" s="5">
        <v>4</v>
      </c>
      <c r="DO52" s="5">
        <v>4</v>
      </c>
      <c r="DP52" s="5">
        <v>4</v>
      </c>
      <c r="DQ52" s="5">
        <v>4.5</v>
      </c>
      <c r="DR52" s="5">
        <v>4</v>
      </c>
      <c r="DS52" s="5">
        <v>73</v>
      </c>
      <c r="DT52" s="5" t="s">
        <v>11968</v>
      </c>
      <c r="DU52" s="5" t="s">
        <v>12116</v>
      </c>
      <c r="DV52" s="5" t="s">
        <v>11970</v>
      </c>
      <c r="DW52" s="5"/>
      <c r="DX52" s="5">
        <v>57</v>
      </c>
      <c r="DY52" s="5"/>
      <c r="DZ52" s="5">
        <v>100</v>
      </c>
      <c r="EA52" s="5"/>
      <c r="EB52" s="5">
        <v>0.56999999999999995</v>
      </c>
      <c r="EC52" s="5"/>
      <c r="ED52" s="5" t="s">
        <v>11971</v>
      </c>
      <c r="EE52" s="5"/>
      <c r="EF52" s="5" t="s">
        <v>11997</v>
      </c>
      <c r="EG52" s="5"/>
      <c r="EH52" s="5" t="s">
        <v>11997</v>
      </c>
      <c r="EI52" s="5"/>
      <c r="EJ52" s="5" t="s">
        <v>11997</v>
      </c>
      <c r="EK52" s="5"/>
      <c r="EL52" s="5" t="s">
        <v>11997</v>
      </c>
      <c r="EM52" s="5"/>
      <c r="EN52" s="5" t="s">
        <v>11997</v>
      </c>
      <c r="EO52" s="5"/>
      <c r="EP52" s="5" t="s">
        <v>11998</v>
      </c>
      <c r="EQ52" s="5"/>
      <c r="ER52" s="5" t="s">
        <v>11997</v>
      </c>
      <c r="ES52" s="5"/>
      <c r="ET52" s="5" t="s">
        <v>11972</v>
      </c>
      <c r="EU52" s="5"/>
      <c r="EV52" s="5"/>
      <c r="EW52" s="5"/>
      <c r="EX52" s="5"/>
      <c r="EY52" s="5" t="s">
        <v>12656</v>
      </c>
      <c r="EZ52" s="5"/>
      <c r="FA52" s="5" t="s">
        <v>12657</v>
      </c>
      <c r="FB52" s="5"/>
    </row>
    <row r="53" spans="1:158" ht="89.25">
      <c r="A53" s="5" t="s">
        <v>653</v>
      </c>
      <c r="B53" s="5" t="s">
        <v>654</v>
      </c>
      <c r="C53" s="5" t="s">
        <v>12658</v>
      </c>
      <c r="D53" s="5" t="s">
        <v>655</v>
      </c>
      <c r="E53" s="5" t="s">
        <v>11953</v>
      </c>
      <c r="F53" s="5" t="s">
        <v>11954</v>
      </c>
      <c r="G53" s="5" t="s">
        <v>11955</v>
      </c>
      <c r="H53" s="5" t="s">
        <v>11237</v>
      </c>
      <c r="I53" s="5" t="s">
        <v>11224</v>
      </c>
      <c r="J53" s="5" t="s">
        <v>3510</v>
      </c>
      <c r="K53" s="5" t="s">
        <v>11956</v>
      </c>
      <c r="L53" s="5" t="s">
        <v>660</v>
      </c>
      <c r="M53" s="5" t="s">
        <v>11952</v>
      </c>
      <c r="N53" s="5" t="s">
        <v>11952</v>
      </c>
      <c r="O53" s="5" t="s">
        <v>11952</v>
      </c>
      <c r="P53" s="5" t="s">
        <v>11952</v>
      </c>
      <c r="Q53" s="5" t="s">
        <v>11952</v>
      </c>
      <c r="R53" s="5" t="s">
        <v>11952</v>
      </c>
      <c r="S53" s="5" t="s">
        <v>660</v>
      </c>
      <c r="T53" s="5" t="s">
        <v>12659</v>
      </c>
      <c r="U53" s="5" t="s">
        <v>2854</v>
      </c>
      <c r="V53" s="5" t="s">
        <v>12660</v>
      </c>
      <c r="W53" s="5" t="s">
        <v>121</v>
      </c>
      <c r="X53" s="5" t="s">
        <v>12660</v>
      </c>
      <c r="Y53" s="5" t="s">
        <v>121</v>
      </c>
      <c r="Z53" s="5" t="s">
        <v>121</v>
      </c>
      <c r="AA53" s="5" t="s">
        <v>11981</v>
      </c>
      <c r="AB53" s="5" t="s">
        <v>121</v>
      </c>
      <c r="AC53" s="5" t="s">
        <v>121</v>
      </c>
      <c r="AD53" s="5" t="s">
        <v>121</v>
      </c>
      <c r="AE53" s="5" t="s">
        <v>121</v>
      </c>
      <c r="AF53" s="5" t="s">
        <v>121</v>
      </c>
      <c r="AG53" s="5" t="s">
        <v>121</v>
      </c>
      <c r="AH53" s="5" t="s">
        <v>121</v>
      </c>
      <c r="AI53" s="5" t="s">
        <v>121</v>
      </c>
      <c r="AJ53" s="5" t="s">
        <v>121</v>
      </c>
      <c r="AK53" s="5" t="s">
        <v>121</v>
      </c>
      <c r="AL53" s="5" t="s">
        <v>121</v>
      </c>
      <c r="AM53" s="5" t="s">
        <v>121</v>
      </c>
      <c r="AN53" s="5" t="s">
        <v>121</v>
      </c>
      <c r="AO53" s="5" t="s">
        <v>121</v>
      </c>
      <c r="AP53" s="5" t="s">
        <v>121</v>
      </c>
      <c r="AQ53" s="5" t="s">
        <v>121</v>
      </c>
      <c r="AR53" s="5" t="s">
        <v>121</v>
      </c>
      <c r="AS53" s="5" t="s">
        <v>657</v>
      </c>
      <c r="AT53" s="5" t="s">
        <v>121</v>
      </c>
      <c r="AU53" s="5" t="s">
        <v>121</v>
      </c>
      <c r="AV53" s="5" t="s">
        <v>121</v>
      </c>
      <c r="AW53" s="5" t="s">
        <v>121</v>
      </c>
      <c r="AX53" s="5" t="s">
        <v>121</v>
      </c>
      <c r="AY53" s="5" t="s">
        <v>121</v>
      </c>
      <c r="AZ53" s="5" t="s">
        <v>121</v>
      </c>
      <c r="BA53" s="5" t="s">
        <v>121</v>
      </c>
      <c r="BB53" s="5" t="s">
        <v>426</v>
      </c>
      <c r="BC53" s="5" t="s">
        <v>426</v>
      </c>
      <c r="BD53" s="5" t="s">
        <v>121</v>
      </c>
      <c r="BE53" s="5" t="s">
        <v>121</v>
      </c>
      <c r="BF53" s="5" t="s">
        <v>121</v>
      </c>
      <c r="BG53" s="5" t="s">
        <v>121</v>
      </c>
      <c r="BH53" s="5" t="s">
        <v>121</v>
      </c>
      <c r="BI53" s="5" t="s">
        <v>121</v>
      </c>
      <c r="BJ53" s="5" t="s">
        <v>121</v>
      </c>
      <c r="BK53" s="5" t="s">
        <v>121</v>
      </c>
      <c r="BL53" s="5" t="s">
        <v>121</v>
      </c>
      <c r="BM53" s="5" t="s">
        <v>121</v>
      </c>
      <c r="BN53" s="5" t="s">
        <v>656</v>
      </c>
      <c r="BO53" s="5" t="s">
        <v>12261</v>
      </c>
      <c r="BP53" s="5" t="s">
        <v>121</v>
      </c>
      <c r="BQ53" s="5" t="s">
        <v>121</v>
      </c>
      <c r="BR53" s="5" t="s">
        <v>121</v>
      </c>
      <c r="BS53" s="5" t="s">
        <v>121</v>
      </c>
      <c r="BT53" s="5" t="s">
        <v>121</v>
      </c>
      <c r="BU53" s="5" t="s">
        <v>121</v>
      </c>
      <c r="BV53" s="5" t="s">
        <v>426</v>
      </c>
      <c r="BW53" s="5" t="s">
        <v>426</v>
      </c>
      <c r="BX53" s="5" t="s">
        <v>426</v>
      </c>
      <c r="BY53" s="5" t="s">
        <v>121</v>
      </c>
      <c r="BZ53" s="5" t="s">
        <v>121</v>
      </c>
      <c r="CA53" s="5" t="s">
        <v>121</v>
      </c>
      <c r="CB53" s="5" t="s">
        <v>121</v>
      </c>
      <c r="CC53" s="5" t="s">
        <v>121</v>
      </c>
      <c r="CD53" s="5" t="s">
        <v>121</v>
      </c>
      <c r="CE53" s="5" t="s">
        <v>121</v>
      </c>
      <c r="CF53" s="5" t="s">
        <v>121</v>
      </c>
      <c r="CG53" s="5" t="s">
        <v>121</v>
      </c>
      <c r="CH53" s="5" t="s">
        <v>121</v>
      </c>
      <c r="CI53" s="5" t="s">
        <v>11972</v>
      </c>
      <c r="CJ53" s="5" t="s">
        <v>426</v>
      </c>
      <c r="CK53" s="5" t="s">
        <v>121</v>
      </c>
      <c r="CL53" s="5" t="s">
        <v>121</v>
      </c>
      <c r="CM53" s="5" t="s">
        <v>426</v>
      </c>
      <c r="CN53" s="5" t="s">
        <v>121</v>
      </c>
      <c r="CO53" s="5" t="s">
        <v>121</v>
      </c>
      <c r="CP53" s="5" t="s">
        <v>3510</v>
      </c>
      <c r="CQ53" s="5" t="s">
        <v>658</v>
      </c>
      <c r="CR53" s="5" t="s">
        <v>11960</v>
      </c>
      <c r="CS53" s="5" t="s">
        <v>3510</v>
      </c>
      <c r="CT53" s="5" t="s">
        <v>3510</v>
      </c>
      <c r="CU53" s="5" t="s">
        <v>3510</v>
      </c>
      <c r="CV53" s="5" t="s">
        <v>11952</v>
      </c>
      <c r="CW53" s="5" t="s">
        <v>12661</v>
      </c>
      <c r="CX53" s="5" t="s">
        <v>12662</v>
      </c>
      <c r="CY53" s="5" t="s">
        <v>12663</v>
      </c>
      <c r="CZ53" s="5" t="s">
        <v>11952</v>
      </c>
      <c r="DA53" s="5" t="s">
        <v>3510</v>
      </c>
      <c r="DB53" s="5" t="s">
        <v>11963</v>
      </c>
      <c r="DC53" s="5" t="s">
        <v>11963</v>
      </c>
      <c r="DD53" s="5" t="s">
        <v>11963</v>
      </c>
      <c r="DE53" s="5" t="s">
        <v>11963</v>
      </c>
      <c r="DF53" s="5" t="s">
        <v>3510</v>
      </c>
      <c r="DG53" s="5" t="s">
        <v>12664</v>
      </c>
      <c r="DH53" s="5" t="s">
        <v>12665</v>
      </c>
      <c r="DI53" s="5" t="s">
        <v>11966</v>
      </c>
      <c r="DJ53" s="5" t="s">
        <v>11994</v>
      </c>
      <c r="DK53" s="5" t="s">
        <v>12666</v>
      </c>
      <c r="DL53" s="5">
        <v>2</v>
      </c>
      <c r="DM53" s="5">
        <v>1</v>
      </c>
      <c r="DN53" s="5">
        <v>1.2</v>
      </c>
      <c r="DO53" s="5">
        <v>1</v>
      </c>
      <c r="DP53" s="5">
        <v>1.5</v>
      </c>
      <c r="DQ53" s="5">
        <v>1.5</v>
      </c>
      <c r="DR53" s="5">
        <v>0</v>
      </c>
      <c r="DS53" s="5">
        <v>24.6</v>
      </c>
      <c r="DT53" s="5" t="s">
        <v>12202</v>
      </c>
      <c r="DU53" s="5" t="s">
        <v>12203</v>
      </c>
      <c r="DV53" s="5" t="s">
        <v>12667</v>
      </c>
      <c r="DW53" s="5"/>
      <c r="DX53" s="5"/>
      <c r="DY53" s="5"/>
      <c r="DZ53" s="5">
        <v>100</v>
      </c>
      <c r="EA53" s="5"/>
      <c r="EB53" s="5"/>
      <c r="EC53" s="5"/>
      <c r="ED53" s="5" t="s">
        <v>11971</v>
      </c>
      <c r="EE53" s="5"/>
      <c r="EF53" s="5" t="s">
        <v>11997</v>
      </c>
      <c r="EG53" s="5"/>
      <c r="EH53" s="5" t="s">
        <v>11997</v>
      </c>
      <c r="EI53" s="5"/>
      <c r="EJ53" s="5" t="s">
        <v>11997</v>
      </c>
      <c r="EK53" s="5"/>
      <c r="EL53" s="5" t="s">
        <v>11997</v>
      </c>
      <c r="EM53" s="5"/>
      <c r="EN53" s="5" t="s">
        <v>11997</v>
      </c>
      <c r="EO53" s="5"/>
      <c r="EP53" s="5" t="s">
        <v>11998</v>
      </c>
      <c r="EQ53" s="5"/>
      <c r="ER53" s="5" t="s">
        <v>11997</v>
      </c>
      <c r="ES53" s="5"/>
      <c r="ET53" s="5" t="s">
        <v>11972</v>
      </c>
      <c r="EU53" s="5"/>
      <c r="EV53" s="5"/>
      <c r="EW53" s="5"/>
      <c r="EX53" s="5"/>
      <c r="EY53" s="5" t="s">
        <v>4468</v>
      </c>
      <c r="EZ53" s="5"/>
      <c r="FA53" s="5" t="s">
        <v>660</v>
      </c>
      <c r="FB53" s="5"/>
    </row>
    <row r="54" spans="1:158" ht="102">
      <c r="A54" s="5" t="s">
        <v>662</v>
      </c>
      <c r="B54" s="5" t="s">
        <v>663</v>
      </c>
      <c r="C54" s="5" t="s">
        <v>11952</v>
      </c>
      <c r="D54" s="5" t="s">
        <v>664</v>
      </c>
      <c r="E54" s="5" t="s">
        <v>11953</v>
      </c>
      <c r="F54" s="5" t="s">
        <v>11954</v>
      </c>
      <c r="G54" s="5" t="s">
        <v>11955</v>
      </c>
      <c r="H54" s="5" t="s">
        <v>11235</v>
      </c>
      <c r="I54" s="5" t="s">
        <v>562</v>
      </c>
      <c r="J54" s="5" t="s">
        <v>3510</v>
      </c>
      <c r="K54" s="5" t="s">
        <v>11956</v>
      </c>
      <c r="L54" s="5" t="s">
        <v>670</v>
      </c>
      <c r="M54" s="5" t="s">
        <v>11952</v>
      </c>
      <c r="N54" s="5" t="s">
        <v>11952</v>
      </c>
      <c r="O54" s="5" t="s">
        <v>670</v>
      </c>
      <c r="P54" s="5" t="s">
        <v>11952</v>
      </c>
      <c r="Q54" s="5" t="s">
        <v>11952</v>
      </c>
      <c r="R54" s="5" t="s">
        <v>11952</v>
      </c>
      <c r="S54" s="5" t="s">
        <v>11952</v>
      </c>
      <c r="T54" s="5" t="s">
        <v>12668</v>
      </c>
      <c r="U54" s="5" t="s">
        <v>3510</v>
      </c>
      <c r="V54" s="5" t="s">
        <v>121</v>
      </c>
      <c r="W54" s="5" t="s">
        <v>121</v>
      </c>
      <c r="X54" s="5" t="s">
        <v>121</v>
      </c>
      <c r="Y54" s="5" t="s">
        <v>121</v>
      </c>
      <c r="Z54" s="5" t="s">
        <v>11952</v>
      </c>
      <c r="AA54" s="5" t="s">
        <v>11952</v>
      </c>
      <c r="AB54" s="5" t="s">
        <v>155</v>
      </c>
      <c r="AC54" s="5" t="s">
        <v>668</v>
      </c>
      <c r="AD54" s="5" t="s">
        <v>121</v>
      </c>
      <c r="AE54" s="5" t="s">
        <v>121</v>
      </c>
      <c r="AF54" s="5" t="s">
        <v>668</v>
      </c>
      <c r="AG54" s="5" t="s">
        <v>121</v>
      </c>
      <c r="AH54" s="5" t="s">
        <v>121</v>
      </c>
      <c r="AI54" s="5" t="s">
        <v>121</v>
      </c>
      <c r="AJ54" s="5" t="s">
        <v>12669</v>
      </c>
      <c r="AK54" s="5" t="s">
        <v>12670</v>
      </c>
      <c r="AL54" s="5" t="s">
        <v>121</v>
      </c>
      <c r="AM54" s="5" t="s">
        <v>121</v>
      </c>
      <c r="AN54" s="5" t="s">
        <v>12671</v>
      </c>
      <c r="AO54" s="5" t="s">
        <v>121</v>
      </c>
      <c r="AP54" s="5" t="s">
        <v>121</v>
      </c>
      <c r="AQ54" s="5" t="s">
        <v>121</v>
      </c>
      <c r="AR54" s="5" t="s">
        <v>121</v>
      </c>
      <c r="AS54" s="5" t="s">
        <v>121</v>
      </c>
      <c r="AT54" s="5" t="s">
        <v>121</v>
      </c>
      <c r="AU54" s="5" t="s">
        <v>121</v>
      </c>
      <c r="AV54" s="5" t="s">
        <v>121</v>
      </c>
      <c r="AW54" s="5" t="s">
        <v>121</v>
      </c>
      <c r="AX54" s="5" t="s">
        <v>121</v>
      </c>
      <c r="AY54" s="5" t="s">
        <v>121</v>
      </c>
      <c r="AZ54" s="5" t="s">
        <v>121</v>
      </c>
      <c r="BA54" s="5" t="s">
        <v>121</v>
      </c>
      <c r="BB54" s="5" t="s">
        <v>3510</v>
      </c>
      <c r="BC54" s="5" t="s">
        <v>121</v>
      </c>
      <c r="BD54" s="5" t="s">
        <v>121</v>
      </c>
      <c r="BE54" s="5" t="s">
        <v>121</v>
      </c>
      <c r="BF54" s="5" t="s">
        <v>121</v>
      </c>
      <c r="BG54" s="5" t="s">
        <v>121</v>
      </c>
      <c r="BH54" s="5" t="s">
        <v>12672</v>
      </c>
      <c r="BI54" s="5" t="s">
        <v>121</v>
      </c>
      <c r="BJ54" s="5" t="s">
        <v>666</v>
      </c>
      <c r="BK54" s="5" t="s">
        <v>121</v>
      </c>
      <c r="BL54" s="5" t="s">
        <v>332</v>
      </c>
      <c r="BM54" s="5" t="s">
        <v>332</v>
      </c>
      <c r="BN54" s="5" t="s">
        <v>667</v>
      </c>
      <c r="BO54" s="5" t="s">
        <v>12219</v>
      </c>
      <c r="BP54" s="5" t="s">
        <v>121</v>
      </c>
      <c r="BQ54" s="5" t="s">
        <v>2854</v>
      </c>
      <c r="BR54" s="5" t="s">
        <v>121</v>
      </c>
      <c r="BS54" s="5" t="s">
        <v>121</v>
      </c>
      <c r="BT54" s="5" t="s">
        <v>121</v>
      </c>
      <c r="BU54" s="5" t="s">
        <v>121</v>
      </c>
      <c r="BV54" s="5" t="s">
        <v>3510</v>
      </c>
      <c r="BW54" s="5" t="s">
        <v>3510</v>
      </c>
      <c r="BX54" s="5" t="s">
        <v>3510</v>
      </c>
      <c r="BY54" s="5" t="s">
        <v>121</v>
      </c>
      <c r="BZ54" s="5" t="s">
        <v>121</v>
      </c>
      <c r="CA54" s="5" t="s">
        <v>121</v>
      </c>
      <c r="CB54" s="5" t="s">
        <v>121</v>
      </c>
      <c r="CC54" s="5" t="s">
        <v>665</v>
      </c>
      <c r="CD54" s="5" t="s">
        <v>121</v>
      </c>
      <c r="CE54" s="5" t="s">
        <v>121</v>
      </c>
      <c r="CF54" s="5" t="s">
        <v>11958</v>
      </c>
      <c r="CG54" s="5" t="s">
        <v>121</v>
      </c>
      <c r="CH54" s="5" t="s">
        <v>121</v>
      </c>
      <c r="CI54" s="5" t="s">
        <v>12034</v>
      </c>
      <c r="CJ54" s="5" t="s">
        <v>124</v>
      </c>
      <c r="CK54" s="5" t="s">
        <v>241</v>
      </c>
      <c r="CL54" s="5" t="s">
        <v>3510</v>
      </c>
      <c r="CM54" s="5" t="s">
        <v>124</v>
      </c>
      <c r="CN54" s="5" t="s">
        <v>121</v>
      </c>
      <c r="CO54" s="5" t="s">
        <v>121</v>
      </c>
      <c r="CP54" s="5" t="s">
        <v>3510</v>
      </c>
      <c r="CQ54" s="5" t="s">
        <v>669</v>
      </c>
      <c r="CR54" s="5" t="s">
        <v>11960</v>
      </c>
      <c r="CS54" s="5" t="s">
        <v>3510</v>
      </c>
      <c r="CT54" s="5" t="s">
        <v>3510</v>
      </c>
      <c r="CU54" s="5" t="s">
        <v>3510</v>
      </c>
      <c r="CV54" s="5" t="s">
        <v>11952</v>
      </c>
      <c r="CW54" s="5" t="s">
        <v>11952</v>
      </c>
      <c r="CX54" s="5" t="s">
        <v>12673</v>
      </c>
      <c r="CY54" s="5" t="s">
        <v>12674</v>
      </c>
      <c r="CZ54" s="5" t="s">
        <v>3510</v>
      </c>
      <c r="DA54" s="5" t="s">
        <v>11952</v>
      </c>
      <c r="DB54" s="5" t="s">
        <v>11963</v>
      </c>
      <c r="DC54" s="5" t="s">
        <v>11963</v>
      </c>
      <c r="DD54" s="5" t="s">
        <v>11963</v>
      </c>
      <c r="DE54" s="5" t="s">
        <v>11963</v>
      </c>
      <c r="DF54" s="5" t="s">
        <v>3510</v>
      </c>
      <c r="DG54" s="5" t="s">
        <v>11964</v>
      </c>
      <c r="DH54" s="5" t="s">
        <v>12675</v>
      </c>
      <c r="DI54" s="5" t="s">
        <v>11966</v>
      </c>
      <c r="DJ54" s="5" t="s">
        <v>11966</v>
      </c>
      <c r="DK54" s="5" t="s">
        <v>11967</v>
      </c>
      <c r="DL54" s="5">
        <v>5</v>
      </c>
      <c r="DM54" s="5">
        <v>3</v>
      </c>
      <c r="DN54" s="5">
        <v>3</v>
      </c>
      <c r="DO54" s="5">
        <v>2</v>
      </c>
      <c r="DP54" s="5">
        <v>1</v>
      </c>
      <c r="DQ54" s="5">
        <v>0</v>
      </c>
      <c r="DR54" s="5">
        <v>0</v>
      </c>
      <c r="DS54" s="5">
        <v>49</v>
      </c>
      <c r="DT54" s="5" t="s">
        <v>11968</v>
      </c>
      <c r="DU54" s="5" t="s">
        <v>11969</v>
      </c>
      <c r="DV54" s="5" t="s">
        <v>11970</v>
      </c>
      <c r="DW54" s="5"/>
      <c r="DX54" s="5">
        <v>14</v>
      </c>
      <c r="DY54" s="5"/>
      <c r="DZ54" s="5">
        <v>100</v>
      </c>
      <c r="EA54" s="5"/>
      <c r="EB54" s="5">
        <v>0.14000000000000001</v>
      </c>
      <c r="EC54" s="5"/>
      <c r="ED54" s="5" t="s">
        <v>11971</v>
      </c>
      <c r="EE54" s="5"/>
      <c r="EF54" s="5" t="s">
        <v>11997</v>
      </c>
      <c r="EG54" s="5"/>
      <c r="EH54" s="5" t="s">
        <v>11997</v>
      </c>
      <c r="EI54" s="5"/>
      <c r="EJ54" s="5" t="s">
        <v>11997</v>
      </c>
      <c r="EK54" s="5"/>
      <c r="EL54" s="5" t="s">
        <v>11997</v>
      </c>
      <c r="EM54" s="5"/>
      <c r="EN54" s="5" t="s">
        <v>11997</v>
      </c>
      <c r="EO54" s="5"/>
      <c r="EP54" s="5" t="s">
        <v>11998</v>
      </c>
      <c r="EQ54" s="5"/>
      <c r="ER54" s="5" t="s">
        <v>11997</v>
      </c>
      <c r="ES54" s="5"/>
      <c r="ET54" s="5" t="s">
        <v>11972</v>
      </c>
      <c r="EU54" s="5"/>
      <c r="EV54" s="5"/>
      <c r="EW54" s="5"/>
      <c r="EX54" s="5"/>
      <c r="EY54" s="5" t="s">
        <v>4508</v>
      </c>
      <c r="EZ54" s="5"/>
      <c r="FA54" s="5" t="s">
        <v>670</v>
      </c>
      <c r="FB54" s="5"/>
    </row>
    <row r="55" spans="1:158" ht="102">
      <c r="A55" s="5" t="s">
        <v>672</v>
      </c>
      <c r="B55" s="5" t="s">
        <v>673</v>
      </c>
      <c r="C55" s="5" t="s">
        <v>11952</v>
      </c>
      <c r="D55" s="5" t="s">
        <v>556</v>
      </c>
      <c r="E55" s="5" t="s">
        <v>11953</v>
      </c>
      <c r="F55" s="5" t="s">
        <v>11954</v>
      </c>
      <c r="G55" s="5" t="s">
        <v>11955</v>
      </c>
      <c r="H55" s="5" t="s">
        <v>11235</v>
      </c>
      <c r="I55" s="5" t="s">
        <v>562</v>
      </c>
      <c r="J55" s="5" t="s">
        <v>3510</v>
      </c>
      <c r="K55" s="5" t="s">
        <v>11956</v>
      </c>
      <c r="L55" s="5" t="s">
        <v>679</v>
      </c>
      <c r="M55" s="5" t="s">
        <v>11952</v>
      </c>
      <c r="N55" s="5" t="s">
        <v>11952</v>
      </c>
      <c r="O55" s="5" t="s">
        <v>679</v>
      </c>
      <c r="P55" s="5" t="s">
        <v>11952</v>
      </c>
      <c r="Q55" s="5" t="s">
        <v>11952</v>
      </c>
      <c r="R55" s="5" t="s">
        <v>11952</v>
      </c>
      <c r="S55" s="5" t="s">
        <v>11952</v>
      </c>
      <c r="T55" s="5" t="s">
        <v>12676</v>
      </c>
      <c r="U55" s="5" t="s">
        <v>3510</v>
      </c>
      <c r="V55" s="5" t="s">
        <v>121</v>
      </c>
      <c r="W55" s="5" t="s">
        <v>121</v>
      </c>
      <c r="X55" s="5" t="s">
        <v>121</v>
      </c>
      <c r="Y55" s="5" t="s">
        <v>121</v>
      </c>
      <c r="Z55" s="5" t="s">
        <v>11952</v>
      </c>
      <c r="AA55" s="5" t="s">
        <v>11952</v>
      </c>
      <c r="AB55" s="5" t="s">
        <v>121</v>
      </c>
      <c r="AC55" s="5" t="s">
        <v>121</v>
      </c>
      <c r="AD55" s="5" t="s">
        <v>121</v>
      </c>
      <c r="AE55" s="5" t="s">
        <v>121</v>
      </c>
      <c r="AF55" s="5" t="s">
        <v>121</v>
      </c>
      <c r="AG55" s="5" t="s">
        <v>121</v>
      </c>
      <c r="AH55" s="5" t="s">
        <v>121</v>
      </c>
      <c r="AI55" s="5" t="s">
        <v>121</v>
      </c>
      <c r="AJ55" s="5" t="s">
        <v>121</v>
      </c>
      <c r="AK55" s="5" t="s">
        <v>121</v>
      </c>
      <c r="AL55" s="5" t="s">
        <v>121</v>
      </c>
      <c r="AM55" s="5" t="s">
        <v>121</v>
      </c>
      <c r="AN55" s="5" t="s">
        <v>121</v>
      </c>
      <c r="AO55" s="5" t="s">
        <v>121</v>
      </c>
      <c r="AP55" s="5" t="s">
        <v>12677</v>
      </c>
      <c r="AQ55" s="5" t="s">
        <v>121</v>
      </c>
      <c r="AR55" s="5" t="s">
        <v>121</v>
      </c>
      <c r="AS55" s="5" t="s">
        <v>677</v>
      </c>
      <c r="AT55" s="5" t="s">
        <v>121</v>
      </c>
      <c r="AU55" s="5" t="s">
        <v>121</v>
      </c>
      <c r="AV55" s="5" t="s">
        <v>121</v>
      </c>
      <c r="AW55" s="5" t="s">
        <v>121</v>
      </c>
      <c r="AX55" s="5" t="s">
        <v>121</v>
      </c>
      <c r="AY55" s="5" t="s">
        <v>121</v>
      </c>
      <c r="AZ55" s="5" t="s">
        <v>121</v>
      </c>
      <c r="BA55" s="5" t="s">
        <v>121</v>
      </c>
      <c r="BB55" s="5" t="s">
        <v>3510</v>
      </c>
      <c r="BC55" s="5" t="s">
        <v>121</v>
      </c>
      <c r="BD55" s="5" t="s">
        <v>121</v>
      </c>
      <c r="BE55" s="5" t="s">
        <v>121</v>
      </c>
      <c r="BF55" s="5" t="s">
        <v>12678</v>
      </c>
      <c r="BG55" s="5" t="s">
        <v>121</v>
      </c>
      <c r="BH55" s="5" t="s">
        <v>12679</v>
      </c>
      <c r="BI55" s="5" t="s">
        <v>121</v>
      </c>
      <c r="BJ55" s="5" t="s">
        <v>675</v>
      </c>
      <c r="BK55" s="5" t="s">
        <v>121</v>
      </c>
      <c r="BL55" s="5" t="s">
        <v>1693</v>
      </c>
      <c r="BM55" s="5" t="s">
        <v>1693</v>
      </c>
      <c r="BN55" s="5" t="s">
        <v>676</v>
      </c>
      <c r="BO55" s="5" t="s">
        <v>121</v>
      </c>
      <c r="BP55" s="5" t="s">
        <v>2854</v>
      </c>
      <c r="BQ55" s="5" t="s">
        <v>121</v>
      </c>
      <c r="BR55" s="5" t="s">
        <v>121</v>
      </c>
      <c r="BS55" s="5" t="s">
        <v>121</v>
      </c>
      <c r="BT55" s="5" t="s">
        <v>121</v>
      </c>
      <c r="BU55" s="5" t="s">
        <v>121</v>
      </c>
      <c r="BV55" s="5" t="s">
        <v>3510</v>
      </c>
      <c r="BW55" s="5" t="s">
        <v>3510</v>
      </c>
      <c r="BX55" s="5" t="s">
        <v>3510</v>
      </c>
      <c r="BY55" s="5" t="s">
        <v>121</v>
      </c>
      <c r="BZ55" s="5" t="s">
        <v>121</v>
      </c>
      <c r="CA55" s="5" t="s">
        <v>121</v>
      </c>
      <c r="CB55" s="5" t="s">
        <v>121</v>
      </c>
      <c r="CC55" s="5" t="s">
        <v>674</v>
      </c>
      <c r="CD55" s="5" t="s">
        <v>121</v>
      </c>
      <c r="CE55" s="5" t="s">
        <v>121</v>
      </c>
      <c r="CF55" s="5" t="s">
        <v>11958</v>
      </c>
      <c r="CG55" s="5" t="s">
        <v>121</v>
      </c>
      <c r="CH55" s="5" t="s">
        <v>121</v>
      </c>
      <c r="CI55" s="5" t="s">
        <v>11959</v>
      </c>
      <c r="CJ55" s="5" t="s">
        <v>124</v>
      </c>
      <c r="CK55" s="5" t="s">
        <v>241</v>
      </c>
      <c r="CL55" s="5" t="s">
        <v>3510</v>
      </c>
      <c r="CM55" s="5" t="s">
        <v>124</v>
      </c>
      <c r="CN55" s="5" t="s">
        <v>121</v>
      </c>
      <c r="CO55" s="5" t="s">
        <v>121</v>
      </c>
      <c r="CP55" s="5" t="s">
        <v>3510</v>
      </c>
      <c r="CQ55" s="5" t="s">
        <v>678</v>
      </c>
      <c r="CR55" s="5" t="s">
        <v>11960</v>
      </c>
      <c r="CS55" s="5" t="s">
        <v>3510</v>
      </c>
      <c r="CT55" s="5" t="s">
        <v>3510</v>
      </c>
      <c r="CU55" s="5" t="s">
        <v>3510</v>
      </c>
      <c r="CV55" s="5" t="s">
        <v>11952</v>
      </c>
      <c r="CW55" s="5" t="s">
        <v>11952</v>
      </c>
      <c r="CX55" s="5" t="s">
        <v>12673</v>
      </c>
      <c r="CY55" s="5" t="s">
        <v>12680</v>
      </c>
      <c r="CZ55" s="5" t="s">
        <v>3510</v>
      </c>
      <c r="DA55" s="5" t="s">
        <v>11952</v>
      </c>
      <c r="DB55" s="5" t="s">
        <v>11963</v>
      </c>
      <c r="DC55" s="5" t="s">
        <v>11963</v>
      </c>
      <c r="DD55" s="5" t="s">
        <v>11963</v>
      </c>
      <c r="DE55" s="5" t="s">
        <v>11963</v>
      </c>
      <c r="DF55" s="5" t="s">
        <v>3510</v>
      </c>
      <c r="DG55" s="5" t="s">
        <v>11964</v>
      </c>
      <c r="DH55" s="5" t="s">
        <v>12681</v>
      </c>
      <c r="DI55" s="5" t="s">
        <v>11966</v>
      </c>
      <c r="DJ55" s="5" t="s">
        <v>11966</v>
      </c>
      <c r="DK55" s="5" t="s">
        <v>11967</v>
      </c>
      <c r="DL55" s="5">
        <v>5</v>
      </c>
      <c r="DM55" s="5">
        <v>2</v>
      </c>
      <c r="DN55" s="5">
        <v>1.5</v>
      </c>
      <c r="DO55" s="5">
        <v>0</v>
      </c>
      <c r="DP55" s="5">
        <v>2</v>
      </c>
      <c r="DQ55" s="5">
        <v>0</v>
      </c>
      <c r="DR55" s="5">
        <v>0</v>
      </c>
      <c r="DS55" s="5">
        <v>36.5</v>
      </c>
      <c r="DT55" s="5" t="s">
        <v>11968</v>
      </c>
      <c r="DU55" s="5" t="s">
        <v>11969</v>
      </c>
      <c r="DV55" s="5" t="s">
        <v>11970</v>
      </c>
      <c r="DW55" s="5"/>
      <c r="DX55" s="5">
        <v>20</v>
      </c>
      <c r="DY55" s="5"/>
      <c r="DZ55" s="5">
        <v>100</v>
      </c>
      <c r="EA55" s="5"/>
      <c r="EB55" s="5">
        <v>0.2</v>
      </c>
      <c r="EC55" s="5"/>
      <c r="ED55" s="5" t="s">
        <v>11971</v>
      </c>
      <c r="EE55" s="5"/>
      <c r="EF55" s="5" t="s">
        <v>11997</v>
      </c>
      <c r="EG55" s="5"/>
      <c r="EH55" s="5" t="s">
        <v>11997</v>
      </c>
      <c r="EI55" s="5"/>
      <c r="EJ55" s="5" t="s">
        <v>11997</v>
      </c>
      <c r="EK55" s="5"/>
      <c r="EL55" s="5" t="s">
        <v>11997</v>
      </c>
      <c r="EM55" s="5"/>
      <c r="EN55" s="5" t="s">
        <v>11997</v>
      </c>
      <c r="EO55" s="5"/>
      <c r="EP55" s="5" t="s">
        <v>11998</v>
      </c>
      <c r="EQ55" s="5"/>
      <c r="ER55" s="5" t="s">
        <v>11997</v>
      </c>
      <c r="ES55" s="5"/>
      <c r="ET55" s="5" t="s">
        <v>11972</v>
      </c>
      <c r="EU55" s="5"/>
      <c r="EV55" s="5"/>
      <c r="EW55" s="5"/>
      <c r="EX55" s="5"/>
      <c r="EY55" s="5" t="s">
        <v>4538</v>
      </c>
      <c r="EZ55" s="5"/>
      <c r="FA55" s="5" t="s">
        <v>679</v>
      </c>
      <c r="FB55" s="5"/>
    </row>
    <row r="56" spans="1:158" ht="76.5">
      <c r="A56" s="5" t="s">
        <v>681</v>
      </c>
      <c r="B56" s="5" t="s">
        <v>682</v>
      </c>
      <c r="C56" s="5" t="s">
        <v>11952</v>
      </c>
      <c r="D56" s="5" t="s">
        <v>556</v>
      </c>
      <c r="E56" s="5" t="s">
        <v>11953</v>
      </c>
      <c r="F56" s="5" t="s">
        <v>11954</v>
      </c>
      <c r="G56" s="5" t="s">
        <v>11955</v>
      </c>
      <c r="H56" s="5" t="s">
        <v>11237</v>
      </c>
      <c r="I56" s="5" t="s">
        <v>562</v>
      </c>
      <c r="J56" s="5" t="s">
        <v>3510</v>
      </c>
      <c r="K56" s="5" t="s">
        <v>11956</v>
      </c>
      <c r="L56" s="5" t="s">
        <v>689</v>
      </c>
      <c r="M56" s="5" t="s">
        <v>11952</v>
      </c>
      <c r="N56" s="5" t="s">
        <v>11952</v>
      </c>
      <c r="O56" s="5" t="s">
        <v>689</v>
      </c>
      <c r="P56" s="5" t="s">
        <v>11952</v>
      </c>
      <c r="Q56" s="5" t="s">
        <v>11952</v>
      </c>
      <c r="R56" s="5" t="s">
        <v>11952</v>
      </c>
      <c r="S56" s="5" t="s">
        <v>11952</v>
      </c>
      <c r="T56" s="5" t="s">
        <v>12682</v>
      </c>
      <c r="U56" s="5" t="s">
        <v>3510</v>
      </c>
      <c r="V56" s="5" t="s">
        <v>121</v>
      </c>
      <c r="W56" s="5" t="s">
        <v>121</v>
      </c>
      <c r="X56" s="5" t="s">
        <v>121</v>
      </c>
      <c r="Y56" s="5" t="s">
        <v>121</v>
      </c>
      <c r="Z56" s="5" t="s">
        <v>11952</v>
      </c>
      <c r="AA56" s="5" t="s">
        <v>11952</v>
      </c>
      <c r="AB56" s="5" t="s">
        <v>121</v>
      </c>
      <c r="AC56" s="5" t="s">
        <v>121</v>
      </c>
      <c r="AD56" s="5" t="s">
        <v>121</v>
      </c>
      <c r="AE56" s="5" t="s">
        <v>121</v>
      </c>
      <c r="AF56" s="5" t="s">
        <v>121</v>
      </c>
      <c r="AG56" s="5" t="s">
        <v>121</v>
      </c>
      <c r="AH56" s="5" t="s">
        <v>121</v>
      </c>
      <c r="AI56" s="5" t="s">
        <v>121</v>
      </c>
      <c r="AJ56" s="5" t="s">
        <v>121</v>
      </c>
      <c r="AK56" s="5" t="s">
        <v>121</v>
      </c>
      <c r="AL56" s="5" t="s">
        <v>121</v>
      </c>
      <c r="AM56" s="5" t="s">
        <v>121</v>
      </c>
      <c r="AN56" s="5" t="s">
        <v>121</v>
      </c>
      <c r="AO56" s="5" t="s">
        <v>121</v>
      </c>
      <c r="AP56" s="5" t="s">
        <v>12683</v>
      </c>
      <c r="AQ56" s="5" t="s">
        <v>121</v>
      </c>
      <c r="AR56" s="5" t="s">
        <v>121</v>
      </c>
      <c r="AS56" s="5" t="s">
        <v>687</v>
      </c>
      <c r="AT56" s="5" t="s">
        <v>121</v>
      </c>
      <c r="AU56" s="5" t="s">
        <v>684</v>
      </c>
      <c r="AV56" s="5" t="s">
        <v>12003</v>
      </c>
      <c r="AW56" s="5" t="s">
        <v>684</v>
      </c>
      <c r="AX56" s="5" t="s">
        <v>121</v>
      </c>
      <c r="AY56" s="5" t="s">
        <v>2854</v>
      </c>
      <c r="AZ56" s="5" t="s">
        <v>121</v>
      </c>
      <c r="BA56" s="5" t="s">
        <v>121</v>
      </c>
      <c r="BB56" s="5" t="s">
        <v>3510</v>
      </c>
      <c r="BC56" s="5" t="s">
        <v>2854</v>
      </c>
      <c r="BD56" s="5" t="s">
        <v>121</v>
      </c>
      <c r="BE56" s="5" t="s">
        <v>12684</v>
      </c>
      <c r="BF56" s="5" t="s">
        <v>121</v>
      </c>
      <c r="BG56" s="5" t="s">
        <v>121</v>
      </c>
      <c r="BH56" s="5" t="s">
        <v>12685</v>
      </c>
      <c r="BI56" s="5" t="s">
        <v>121</v>
      </c>
      <c r="BJ56" s="5" t="s">
        <v>685</v>
      </c>
      <c r="BK56" s="5" t="s">
        <v>121</v>
      </c>
      <c r="BL56" s="5" t="s">
        <v>1792</v>
      </c>
      <c r="BM56" s="5" t="s">
        <v>1792</v>
      </c>
      <c r="BN56" s="5" t="s">
        <v>686</v>
      </c>
      <c r="BO56" s="5" t="s">
        <v>12437</v>
      </c>
      <c r="BP56" s="5" t="s">
        <v>2854</v>
      </c>
      <c r="BQ56" s="5" t="s">
        <v>2854</v>
      </c>
      <c r="BR56" s="5" t="s">
        <v>121</v>
      </c>
      <c r="BS56" s="5" t="s">
        <v>121</v>
      </c>
      <c r="BT56" s="5" t="s">
        <v>121</v>
      </c>
      <c r="BU56" s="5" t="s">
        <v>121</v>
      </c>
      <c r="BV56" s="5" t="s">
        <v>3510</v>
      </c>
      <c r="BW56" s="5" t="s">
        <v>3510</v>
      </c>
      <c r="BX56" s="5" t="s">
        <v>3510</v>
      </c>
      <c r="BY56" s="5" t="s">
        <v>12686</v>
      </c>
      <c r="BZ56" s="5" t="s">
        <v>121</v>
      </c>
      <c r="CA56" s="5" t="s">
        <v>121</v>
      </c>
      <c r="CB56" s="5" t="s">
        <v>121</v>
      </c>
      <c r="CC56" s="5" t="s">
        <v>683</v>
      </c>
      <c r="CD56" s="5" t="s">
        <v>121</v>
      </c>
      <c r="CE56" s="5" t="s">
        <v>121</v>
      </c>
      <c r="CF56" s="5" t="s">
        <v>11958</v>
      </c>
      <c r="CG56" s="5" t="s">
        <v>121</v>
      </c>
      <c r="CH56" s="5" t="s">
        <v>121</v>
      </c>
      <c r="CI56" s="5" t="s">
        <v>11959</v>
      </c>
      <c r="CJ56" s="5" t="s">
        <v>124</v>
      </c>
      <c r="CK56" s="5" t="s">
        <v>241</v>
      </c>
      <c r="CL56" s="5" t="s">
        <v>3510</v>
      </c>
      <c r="CM56" s="5" t="s">
        <v>124</v>
      </c>
      <c r="CN56" s="5" t="s">
        <v>121</v>
      </c>
      <c r="CO56" s="5" t="s">
        <v>121</v>
      </c>
      <c r="CP56" s="5" t="s">
        <v>3510</v>
      </c>
      <c r="CQ56" s="5" t="s">
        <v>688</v>
      </c>
      <c r="CR56" s="5" t="s">
        <v>11960</v>
      </c>
      <c r="CS56" s="5" t="s">
        <v>3510</v>
      </c>
      <c r="CT56" s="5" t="s">
        <v>3510</v>
      </c>
      <c r="CU56" s="5" t="s">
        <v>3510</v>
      </c>
      <c r="CV56" s="5" t="s">
        <v>11952</v>
      </c>
      <c r="CW56" s="5" t="s">
        <v>11952</v>
      </c>
      <c r="CX56" s="5" t="s">
        <v>12687</v>
      </c>
      <c r="CY56" s="5" t="s">
        <v>12688</v>
      </c>
      <c r="CZ56" s="5" t="s">
        <v>11952</v>
      </c>
      <c r="DA56" s="5" t="s">
        <v>3510</v>
      </c>
      <c r="DB56" s="5" t="s">
        <v>11963</v>
      </c>
      <c r="DC56" s="5" t="s">
        <v>11963</v>
      </c>
      <c r="DD56" s="5" t="s">
        <v>11963</v>
      </c>
      <c r="DE56" s="5" t="s">
        <v>11963</v>
      </c>
      <c r="DF56" s="5" t="s">
        <v>3510</v>
      </c>
      <c r="DG56" s="5" t="s">
        <v>11964</v>
      </c>
      <c r="DH56" s="5" t="s">
        <v>12689</v>
      </c>
      <c r="DI56" s="5" t="s">
        <v>11975</v>
      </c>
      <c r="DJ56" s="5" t="s">
        <v>11966</v>
      </c>
      <c r="DK56" s="5" t="s">
        <v>11967</v>
      </c>
      <c r="DL56" s="5">
        <v>5</v>
      </c>
      <c r="DM56" s="5">
        <v>3</v>
      </c>
      <c r="DN56" s="5">
        <v>3</v>
      </c>
      <c r="DO56" s="5">
        <v>1</v>
      </c>
      <c r="DP56" s="5">
        <v>3</v>
      </c>
      <c r="DQ56" s="5">
        <v>2</v>
      </c>
      <c r="DR56" s="5">
        <v>0.5</v>
      </c>
      <c r="DS56" s="5">
        <v>55</v>
      </c>
      <c r="DT56" s="5" t="s">
        <v>11968</v>
      </c>
      <c r="DU56" s="5" t="s">
        <v>11969</v>
      </c>
      <c r="DV56" s="5" t="s">
        <v>11970</v>
      </c>
      <c r="DW56" s="5"/>
      <c r="DX56" s="5">
        <v>16</v>
      </c>
      <c r="DY56" s="5"/>
      <c r="DZ56" s="5">
        <v>100</v>
      </c>
      <c r="EA56" s="5"/>
      <c r="EB56" s="5">
        <v>0.16</v>
      </c>
      <c r="EC56" s="5"/>
      <c r="ED56" s="5" t="s">
        <v>11971</v>
      </c>
      <c r="EE56" s="5"/>
      <c r="EF56" s="5" t="s">
        <v>11997</v>
      </c>
      <c r="EG56" s="5"/>
      <c r="EH56" s="5" t="s">
        <v>11997</v>
      </c>
      <c r="EI56" s="5"/>
      <c r="EJ56" s="5" t="s">
        <v>11997</v>
      </c>
      <c r="EK56" s="5"/>
      <c r="EL56" s="5" t="s">
        <v>11997</v>
      </c>
      <c r="EM56" s="5"/>
      <c r="EN56" s="5" t="s">
        <v>11997</v>
      </c>
      <c r="EO56" s="5"/>
      <c r="EP56" s="5" t="s">
        <v>11998</v>
      </c>
      <c r="EQ56" s="5"/>
      <c r="ER56" s="5" t="s">
        <v>11997</v>
      </c>
      <c r="ES56" s="5"/>
      <c r="ET56" s="5" t="s">
        <v>11972</v>
      </c>
      <c r="EU56" s="5"/>
      <c r="EV56" s="5"/>
      <c r="EW56" s="5"/>
      <c r="EX56" s="5"/>
      <c r="EY56" s="5" t="s">
        <v>4567</v>
      </c>
      <c r="EZ56" s="5"/>
      <c r="FA56" s="5" t="s">
        <v>689</v>
      </c>
      <c r="FB56" s="5"/>
    </row>
    <row r="57" spans="1:158" ht="63.75">
      <c r="A57" s="5" t="s">
        <v>691</v>
      </c>
      <c r="B57" s="5" t="s">
        <v>692</v>
      </c>
      <c r="C57" s="5" t="s">
        <v>11952</v>
      </c>
      <c r="D57" s="5" t="s">
        <v>664</v>
      </c>
      <c r="E57" s="5" t="s">
        <v>11953</v>
      </c>
      <c r="F57" s="5" t="s">
        <v>11954</v>
      </c>
      <c r="G57" s="5" t="s">
        <v>11955</v>
      </c>
      <c r="H57" s="5" t="s">
        <v>11235</v>
      </c>
      <c r="I57" s="5" t="s">
        <v>562</v>
      </c>
      <c r="J57" s="5" t="s">
        <v>3510</v>
      </c>
      <c r="K57" s="5" t="s">
        <v>11956</v>
      </c>
      <c r="L57" s="5" t="s">
        <v>697</v>
      </c>
      <c r="M57" s="5" t="s">
        <v>11952</v>
      </c>
      <c r="N57" s="5" t="s">
        <v>11952</v>
      </c>
      <c r="O57" s="5" t="s">
        <v>697</v>
      </c>
      <c r="P57" s="5" t="s">
        <v>11952</v>
      </c>
      <c r="Q57" s="5" t="s">
        <v>11952</v>
      </c>
      <c r="R57" s="5" t="s">
        <v>11952</v>
      </c>
      <c r="S57" s="5" t="s">
        <v>11952</v>
      </c>
      <c r="T57" s="5" t="s">
        <v>12690</v>
      </c>
      <c r="U57" s="5" t="s">
        <v>3510</v>
      </c>
      <c r="V57" s="5" t="s">
        <v>121</v>
      </c>
      <c r="W57" s="5" t="s">
        <v>121</v>
      </c>
      <c r="X57" s="5" t="s">
        <v>121</v>
      </c>
      <c r="Y57" s="5" t="s">
        <v>121</v>
      </c>
      <c r="Z57" s="5" t="s">
        <v>11952</v>
      </c>
      <c r="AA57" s="5" t="s">
        <v>11952</v>
      </c>
      <c r="AB57" s="5" t="s">
        <v>155</v>
      </c>
      <c r="AC57" s="5" t="s">
        <v>695</v>
      </c>
      <c r="AD57" s="5" t="s">
        <v>121</v>
      </c>
      <c r="AE57" s="5" t="s">
        <v>121</v>
      </c>
      <c r="AF57" s="5" t="s">
        <v>695</v>
      </c>
      <c r="AG57" s="5" t="s">
        <v>121</v>
      </c>
      <c r="AH57" s="5" t="s">
        <v>121</v>
      </c>
      <c r="AI57" s="5" t="s">
        <v>121</v>
      </c>
      <c r="AJ57" s="5" t="s">
        <v>121</v>
      </c>
      <c r="AK57" s="5" t="s">
        <v>121</v>
      </c>
      <c r="AL57" s="5" t="s">
        <v>121</v>
      </c>
      <c r="AM57" s="5" t="s">
        <v>121</v>
      </c>
      <c r="AN57" s="5" t="s">
        <v>121</v>
      </c>
      <c r="AO57" s="5" t="s">
        <v>121</v>
      </c>
      <c r="AP57" s="5" t="s">
        <v>121</v>
      </c>
      <c r="AQ57" s="5" t="s">
        <v>121</v>
      </c>
      <c r="AR57" s="5" t="s">
        <v>121</v>
      </c>
      <c r="AS57" s="5" t="s">
        <v>121</v>
      </c>
      <c r="AT57" s="5" t="s">
        <v>121</v>
      </c>
      <c r="AU57" s="5" t="s">
        <v>693</v>
      </c>
      <c r="AV57" s="5" t="s">
        <v>121</v>
      </c>
      <c r="AW57" s="5" t="s">
        <v>693</v>
      </c>
      <c r="AX57" s="5" t="s">
        <v>121</v>
      </c>
      <c r="AY57" s="5" t="s">
        <v>121</v>
      </c>
      <c r="AZ57" s="5" t="s">
        <v>121</v>
      </c>
      <c r="BA57" s="5" t="s">
        <v>121</v>
      </c>
      <c r="BB57" s="5" t="s">
        <v>3510</v>
      </c>
      <c r="BC57" s="5" t="s">
        <v>121</v>
      </c>
      <c r="BD57" s="5" t="s">
        <v>121</v>
      </c>
      <c r="BE57" s="5" t="s">
        <v>121</v>
      </c>
      <c r="BF57" s="5" t="s">
        <v>121</v>
      </c>
      <c r="BG57" s="5" t="s">
        <v>121</v>
      </c>
      <c r="BH57" s="5" t="s">
        <v>12691</v>
      </c>
      <c r="BI57" s="5" t="s">
        <v>121</v>
      </c>
      <c r="BJ57" s="5" t="s">
        <v>694</v>
      </c>
      <c r="BK57" s="5" t="s">
        <v>121</v>
      </c>
      <c r="BL57" s="5" t="s">
        <v>1693</v>
      </c>
      <c r="BM57" s="5" t="s">
        <v>1693</v>
      </c>
      <c r="BN57" s="5" t="s">
        <v>121</v>
      </c>
      <c r="BO57" s="5" t="s">
        <v>121</v>
      </c>
      <c r="BP57" s="5" t="s">
        <v>2854</v>
      </c>
      <c r="BQ57" s="5" t="s">
        <v>121</v>
      </c>
      <c r="BR57" s="5" t="s">
        <v>121</v>
      </c>
      <c r="BS57" s="5" t="s">
        <v>121</v>
      </c>
      <c r="BT57" s="5" t="s">
        <v>121</v>
      </c>
      <c r="BU57" s="5" t="s">
        <v>121</v>
      </c>
      <c r="BV57" s="5" t="s">
        <v>3510</v>
      </c>
      <c r="BW57" s="5" t="s">
        <v>3510</v>
      </c>
      <c r="BX57" s="5" t="s">
        <v>3510</v>
      </c>
      <c r="BY57" s="5" t="s">
        <v>121</v>
      </c>
      <c r="BZ57" s="5" t="s">
        <v>121</v>
      </c>
      <c r="CA57" s="5" t="s">
        <v>121</v>
      </c>
      <c r="CB57" s="5" t="s">
        <v>121</v>
      </c>
      <c r="CC57" s="5" t="s">
        <v>120</v>
      </c>
      <c r="CD57" s="5" t="s">
        <v>121</v>
      </c>
      <c r="CE57" s="5" t="s">
        <v>121</v>
      </c>
      <c r="CF57" s="5" t="s">
        <v>11958</v>
      </c>
      <c r="CG57" s="5" t="s">
        <v>121</v>
      </c>
      <c r="CH57" s="5" t="s">
        <v>121</v>
      </c>
      <c r="CI57" s="5" t="s">
        <v>11959</v>
      </c>
      <c r="CJ57" s="5" t="s">
        <v>124</v>
      </c>
      <c r="CK57" s="5" t="s">
        <v>241</v>
      </c>
      <c r="CL57" s="5" t="s">
        <v>3510</v>
      </c>
      <c r="CM57" s="5" t="s">
        <v>124</v>
      </c>
      <c r="CN57" s="5" t="s">
        <v>121</v>
      </c>
      <c r="CO57" s="5" t="s">
        <v>121</v>
      </c>
      <c r="CP57" s="5" t="s">
        <v>3510</v>
      </c>
      <c r="CQ57" s="5" t="s">
        <v>696</v>
      </c>
      <c r="CR57" s="5" t="s">
        <v>11960</v>
      </c>
      <c r="CS57" s="5" t="s">
        <v>3510</v>
      </c>
      <c r="CT57" s="5" t="s">
        <v>3510</v>
      </c>
      <c r="CU57" s="5" t="s">
        <v>3510</v>
      </c>
      <c r="CV57" s="5" t="s">
        <v>11952</v>
      </c>
      <c r="CW57" s="5" t="s">
        <v>11952</v>
      </c>
      <c r="CX57" s="5" t="s">
        <v>12673</v>
      </c>
      <c r="CY57" s="5" t="s">
        <v>12692</v>
      </c>
      <c r="CZ57" s="5" t="s">
        <v>3510</v>
      </c>
      <c r="DA57" s="5" t="s">
        <v>11952</v>
      </c>
      <c r="DB57" s="5" t="s">
        <v>11963</v>
      </c>
      <c r="DC57" s="5" t="s">
        <v>11963</v>
      </c>
      <c r="DD57" s="5" t="s">
        <v>11963</v>
      </c>
      <c r="DE57" s="5" t="s">
        <v>11963</v>
      </c>
      <c r="DF57" s="5" t="s">
        <v>3510</v>
      </c>
      <c r="DG57" s="5" t="s">
        <v>11964</v>
      </c>
      <c r="DH57" s="5" t="s">
        <v>12693</v>
      </c>
      <c r="DI57" s="5" t="s">
        <v>11966</v>
      </c>
      <c r="DJ57" s="5" t="s">
        <v>11966</v>
      </c>
      <c r="DK57" s="5" t="s">
        <v>11967</v>
      </c>
      <c r="DL57" s="5">
        <v>5</v>
      </c>
      <c r="DM57" s="5">
        <v>2</v>
      </c>
      <c r="DN57" s="5">
        <v>1</v>
      </c>
      <c r="DO57" s="5">
        <v>1</v>
      </c>
      <c r="DP57" s="5">
        <v>1</v>
      </c>
      <c r="DQ57" s="5">
        <v>0</v>
      </c>
      <c r="DR57" s="5">
        <v>0</v>
      </c>
      <c r="DS57" s="5">
        <v>36</v>
      </c>
      <c r="DT57" s="5" t="s">
        <v>11968</v>
      </c>
      <c r="DU57" s="5" t="s">
        <v>11969</v>
      </c>
      <c r="DV57" s="5" t="s">
        <v>11970</v>
      </c>
      <c r="DW57" s="5"/>
      <c r="DX57" s="5">
        <v>12</v>
      </c>
      <c r="DY57" s="5"/>
      <c r="DZ57" s="5">
        <v>100</v>
      </c>
      <c r="EA57" s="5"/>
      <c r="EB57" s="5">
        <v>0.12</v>
      </c>
      <c r="EC57" s="5"/>
      <c r="ED57" s="5" t="s">
        <v>11971</v>
      </c>
      <c r="EE57" s="5"/>
      <c r="EF57" s="5" t="s">
        <v>11997</v>
      </c>
      <c r="EG57" s="5"/>
      <c r="EH57" s="5" t="s">
        <v>11997</v>
      </c>
      <c r="EI57" s="5"/>
      <c r="EJ57" s="5" t="s">
        <v>11997</v>
      </c>
      <c r="EK57" s="5"/>
      <c r="EL57" s="5" t="s">
        <v>11997</v>
      </c>
      <c r="EM57" s="5"/>
      <c r="EN57" s="5" t="s">
        <v>11997</v>
      </c>
      <c r="EO57" s="5"/>
      <c r="EP57" s="5" t="s">
        <v>11998</v>
      </c>
      <c r="EQ57" s="5"/>
      <c r="ER57" s="5" t="s">
        <v>11997</v>
      </c>
      <c r="ES57" s="5"/>
      <c r="ET57" s="5" t="s">
        <v>11972</v>
      </c>
      <c r="EU57" s="5"/>
      <c r="EV57" s="5"/>
      <c r="EW57" s="5"/>
      <c r="EX57" s="5"/>
      <c r="EY57" s="5" t="s">
        <v>4598</v>
      </c>
      <c r="EZ57" s="5"/>
      <c r="FA57" s="5" t="s">
        <v>697</v>
      </c>
      <c r="FB57" s="5"/>
    </row>
    <row r="58" spans="1:158" ht="102">
      <c r="A58" s="5" t="s">
        <v>699</v>
      </c>
      <c r="B58" s="5" t="s">
        <v>700</v>
      </c>
      <c r="C58" s="5" t="s">
        <v>11952</v>
      </c>
      <c r="D58" s="5" t="s">
        <v>556</v>
      </c>
      <c r="E58" s="5" t="s">
        <v>11953</v>
      </c>
      <c r="F58" s="5" t="s">
        <v>11954</v>
      </c>
      <c r="G58" s="5" t="s">
        <v>11955</v>
      </c>
      <c r="H58" s="5" t="s">
        <v>11235</v>
      </c>
      <c r="I58" s="5" t="s">
        <v>562</v>
      </c>
      <c r="J58" s="5" t="s">
        <v>3510</v>
      </c>
      <c r="K58" s="5" t="s">
        <v>11956</v>
      </c>
      <c r="L58" s="5" t="s">
        <v>706</v>
      </c>
      <c r="M58" s="5" t="s">
        <v>11952</v>
      </c>
      <c r="N58" s="5" t="s">
        <v>11952</v>
      </c>
      <c r="O58" s="5" t="s">
        <v>706</v>
      </c>
      <c r="P58" s="5" t="s">
        <v>11952</v>
      </c>
      <c r="Q58" s="5" t="s">
        <v>11952</v>
      </c>
      <c r="R58" s="5" t="s">
        <v>11952</v>
      </c>
      <c r="S58" s="5" t="s">
        <v>11952</v>
      </c>
      <c r="T58" s="5" t="s">
        <v>12694</v>
      </c>
      <c r="U58" s="5" t="s">
        <v>3510</v>
      </c>
      <c r="V58" s="5" t="s">
        <v>121</v>
      </c>
      <c r="W58" s="5" t="s">
        <v>121</v>
      </c>
      <c r="X58" s="5" t="s">
        <v>121</v>
      </c>
      <c r="Y58" s="5" t="s">
        <v>121</v>
      </c>
      <c r="Z58" s="5" t="s">
        <v>11952</v>
      </c>
      <c r="AA58" s="5" t="s">
        <v>11952</v>
      </c>
      <c r="AB58" s="5" t="s">
        <v>155</v>
      </c>
      <c r="AC58" s="5" t="s">
        <v>703</v>
      </c>
      <c r="AD58" s="5" t="s">
        <v>121</v>
      </c>
      <c r="AE58" s="5" t="s">
        <v>121</v>
      </c>
      <c r="AF58" s="5" t="s">
        <v>703</v>
      </c>
      <c r="AG58" s="5" t="s">
        <v>121</v>
      </c>
      <c r="AH58" s="5" t="s">
        <v>121</v>
      </c>
      <c r="AI58" s="5" t="s">
        <v>121</v>
      </c>
      <c r="AJ58" s="5" t="s">
        <v>121</v>
      </c>
      <c r="AK58" s="5" t="s">
        <v>121</v>
      </c>
      <c r="AL58" s="5" t="s">
        <v>121</v>
      </c>
      <c r="AM58" s="5" t="s">
        <v>121</v>
      </c>
      <c r="AN58" s="5" t="s">
        <v>12695</v>
      </c>
      <c r="AO58" s="5" t="s">
        <v>121</v>
      </c>
      <c r="AP58" s="5" t="s">
        <v>121</v>
      </c>
      <c r="AQ58" s="5" t="s">
        <v>121</v>
      </c>
      <c r="AR58" s="5" t="s">
        <v>121</v>
      </c>
      <c r="AS58" s="5" t="s">
        <v>704</v>
      </c>
      <c r="AT58" s="5" t="s">
        <v>121</v>
      </c>
      <c r="AU58" s="5" t="s">
        <v>701</v>
      </c>
      <c r="AV58" s="5" t="s">
        <v>12003</v>
      </c>
      <c r="AW58" s="5" t="s">
        <v>701</v>
      </c>
      <c r="AX58" s="5" t="s">
        <v>12159</v>
      </c>
      <c r="AY58" s="5" t="s">
        <v>121</v>
      </c>
      <c r="AZ58" s="5" t="s">
        <v>121</v>
      </c>
      <c r="BA58" s="5" t="s">
        <v>121</v>
      </c>
      <c r="BB58" s="5" t="s">
        <v>3510</v>
      </c>
      <c r="BC58" s="5" t="s">
        <v>121</v>
      </c>
      <c r="BD58" s="5" t="s">
        <v>121</v>
      </c>
      <c r="BE58" s="5" t="s">
        <v>121</v>
      </c>
      <c r="BF58" s="5" t="s">
        <v>121</v>
      </c>
      <c r="BG58" s="5" t="s">
        <v>121</v>
      </c>
      <c r="BH58" s="5" t="s">
        <v>12691</v>
      </c>
      <c r="BI58" s="5" t="s">
        <v>121</v>
      </c>
      <c r="BJ58" s="5" t="s">
        <v>702</v>
      </c>
      <c r="BK58" s="5" t="s">
        <v>121</v>
      </c>
      <c r="BL58" s="5" t="s">
        <v>1693</v>
      </c>
      <c r="BM58" s="5" t="s">
        <v>1693</v>
      </c>
      <c r="BN58" s="5" t="s">
        <v>676</v>
      </c>
      <c r="BO58" s="5" t="s">
        <v>121</v>
      </c>
      <c r="BP58" s="5" t="s">
        <v>2854</v>
      </c>
      <c r="BQ58" s="5" t="s">
        <v>121</v>
      </c>
      <c r="BR58" s="5" t="s">
        <v>121</v>
      </c>
      <c r="BS58" s="5" t="s">
        <v>121</v>
      </c>
      <c r="BT58" s="5" t="s">
        <v>121</v>
      </c>
      <c r="BU58" s="5" t="s">
        <v>121</v>
      </c>
      <c r="BV58" s="5" t="s">
        <v>3510</v>
      </c>
      <c r="BW58" s="5" t="s">
        <v>3510</v>
      </c>
      <c r="BX58" s="5" t="s">
        <v>3510</v>
      </c>
      <c r="BY58" s="5" t="s">
        <v>12696</v>
      </c>
      <c r="BZ58" s="5" t="s">
        <v>12697</v>
      </c>
      <c r="CA58" s="5" t="s">
        <v>121</v>
      </c>
      <c r="CB58" s="5" t="s">
        <v>121</v>
      </c>
      <c r="CC58" s="5" t="s">
        <v>120</v>
      </c>
      <c r="CD58" s="5" t="s">
        <v>121</v>
      </c>
      <c r="CE58" s="5" t="s">
        <v>121</v>
      </c>
      <c r="CF58" s="5" t="s">
        <v>11958</v>
      </c>
      <c r="CG58" s="5" t="s">
        <v>121</v>
      </c>
      <c r="CH58" s="5" t="s">
        <v>121</v>
      </c>
      <c r="CI58" s="5" t="s">
        <v>12034</v>
      </c>
      <c r="CJ58" s="5" t="s">
        <v>124</v>
      </c>
      <c r="CK58" s="5" t="s">
        <v>241</v>
      </c>
      <c r="CL58" s="5" t="s">
        <v>3510</v>
      </c>
      <c r="CM58" s="5" t="s">
        <v>124</v>
      </c>
      <c r="CN58" s="5" t="s">
        <v>121</v>
      </c>
      <c r="CO58" s="5" t="s">
        <v>121</v>
      </c>
      <c r="CP58" s="5" t="s">
        <v>3510</v>
      </c>
      <c r="CQ58" s="5" t="s">
        <v>705</v>
      </c>
      <c r="CR58" s="5" t="s">
        <v>11960</v>
      </c>
      <c r="CS58" s="5" t="s">
        <v>3510</v>
      </c>
      <c r="CT58" s="5" t="s">
        <v>3510</v>
      </c>
      <c r="CU58" s="5" t="s">
        <v>3510</v>
      </c>
      <c r="CV58" s="5" t="s">
        <v>11952</v>
      </c>
      <c r="CW58" s="5" t="s">
        <v>11952</v>
      </c>
      <c r="CX58" s="5" t="s">
        <v>12673</v>
      </c>
      <c r="CY58" s="5" t="s">
        <v>12698</v>
      </c>
      <c r="CZ58" s="5" t="s">
        <v>3510</v>
      </c>
      <c r="DA58" s="5" t="s">
        <v>11952</v>
      </c>
      <c r="DB58" s="5" t="s">
        <v>11963</v>
      </c>
      <c r="DC58" s="5" t="s">
        <v>11963</v>
      </c>
      <c r="DD58" s="5" t="s">
        <v>11963</v>
      </c>
      <c r="DE58" s="5" t="s">
        <v>11963</v>
      </c>
      <c r="DF58" s="5" t="s">
        <v>3510</v>
      </c>
      <c r="DG58" s="5" t="s">
        <v>11964</v>
      </c>
      <c r="DH58" s="5" t="s">
        <v>12699</v>
      </c>
      <c r="DI58" s="5" t="s">
        <v>11975</v>
      </c>
      <c r="DJ58" s="5" t="s">
        <v>11966</v>
      </c>
      <c r="DK58" s="5" t="s">
        <v>11967</v>
      </c>
      <c r="DL58" s="5">
        <v>5</v>
      </c>
      <c r="DM58" s="5">
        <v>2</v>
      </c>
      <c r="DN58" s="5">
        <v>4</v>
      </c>
      <c r="DO58" s="5">
        <v>4</v>
      </c>
      <c r="DP58" s="5">
        <v>2</v>
      </c>
      <c r="DQ58" s="5">
        <v>2</v>
      </c>
      <c r="DR58" s="5">
        <v>0</v>
      </c>
      <c r="DS58" s="5">
        <v>60</v>
      </c>
      <c r="DT58" s="5" t="s">
        <v>11968</v>
      </c>
      <c r="DU58" s="5" t="s">
        <v>11969</v>
      </c>
      <c r="DV58" s="5" t="s">
        <v>11970</v>
      </c>
      <c r="DW58" s="5"/>
      <c r="DX58" s="5">
        <v>22</v>
      </c>
      <c r="DY58" s="5"/>
      <c r="DZ58" s="5">
        <v>100</v>
      </c>
      <c r="EA58" s="5"/>
      <c r="EB58" s="5">
        <v>0.22</v>
      </c>
      <c r="EC58" s="5"/>
      <c r="ED58" s="5" t="s">
        <v>11971</v>
      </c>
      <c r="EE58" s="5"/>
      <c r="EF58" s="5" t="s">
        <v>11997</v>
      </c>
      <c r="EG58" s="5"/>
      <c r="EH58" s="5" t="s">
        <v>11997</v>
      </c>
      <c r="EI58" s="5"/>
      <c r="EJ58" s="5" t="s">
        <v>11997</v>
      </c>
      <c r="EK58" s="5"/>
      <c r="EL58" s="5" t="s">
        <v>11997</v>
      </c>
      <c r="EM58" s="5"/>
      <c r="EN58" s="5" t="s">
        <v>11997</v>
      </c>
      <c r="EO58" s="5"/>
      <c r="EP58" s="5" t="s">
        <v>11998</v>
      </c>
      <c r="EQ58" s="5"/>
      <c r="ER58" s="5" t="s">
        <v>11997</v>
      </c>
      <c r="ES58" s="5"/>
      <c r="ET58" s="5" t="s">
        <v>11972</v>
      </c>
      <c r="EU58" s="5"/>
      <c r="EV58" s="5"/>
      <c r="EW58" s="5"/>
      <c r="EX58" s="5"/>
      <c r="EY58" s="5" t="s">
        <v>4627</v>
      </c>
      <c r="EZ58" s="5"/>
      <c r="FA58" s="5" t="s">
        <v>706</v>
      </c>
      <c r="FB58" s="5"/>
    </row>
    <row r="59" spans="1:158" ht="165.75">
      <c r="A59" s="5" t="s">
        <v>708</v>
      </c>
      <c r="B59" s="5" t="s">
        <v>709</v>
      </c>
      <c r="C59" s="5" t="s">
        <v>12700</v>
      </c>
      <c r="D59" s="5" t="s">
        <v>556</v>
      </c>
      <c r="E59" s="5" t="s">
        <v>12011</v>
      </c>
      <c r="F59" s="5" t="s">
        <v>11994</v>
      </c>
      <c r="G59" s="5" t="s">
        <v>12701</v>
      </c>
      <c r="H59" s="5" t="s">
        <v>12530</v>
      </c>
      <c r="I59" s="5" t="s">
        <v>562</v>
      </c>
      <c r="J59" s="5" t="s">
        <v>3510</v>
      </c>
      <c r="K59" s="5" t="s">
        <v>12702</v>
      </c>
      <c r="L59" s="5" t="s">
        <v>717</v>
      </c>
      <c r="M59" s="5" t="s">
        <v>11952</v>
      </c>
      <c r="N59" s="5" t="s">
        <v>11952</v>
      </c>
      <c r="O59" s="5" t="s">
        <v>717</v>
      </c>
      <c r="P59" s="5" t="s">
        <v>11952</v>
      </c>
      <c r="Q59" s="5" t="s">
        <v>11952</v>
      </c>
      <c r="R59" s="5" t="s">
        <v>11952</v>
      </c>
      <c r="S59" s="5" t="s">
        <v>11952</v>
      </c>
      <c r="T59" s="5" t="s">
        <v>12703</v>
      </c>
      <c r="U59" s="5" t="s">
        <v>2854</v>
      </c>
      <c r="V59" s="5" t="s">
        <v>12704</v>
      </c>
      <c r="W59" s="5" t="s">
        <v>12704</v>
      </c>
      <c r="X59" s="5" t="s">
        <v>121</v>
      </c>
      <c r="Y59" s="5" t="s">
        <v>121</v>
      </c>
      <c r="Z59" s="5" t="s">
        <v>2854</v>
      </c>
      <c r="AA59" s="5" t="s">
        <v>11981</v>
      </c>
      <c r="AB59" s="5" t="s">
        <v>155</v>
      </c>
      <c r="AC59" s="5" t="s">
        <v>714</v>
      </c>
      <c r="AD59" s="5" t="s">
        <v>121</v>
      </c>
      <c r="AE59" s="5" t="s">
        <v>121</v>
      </c>
      <c r="AF59" s="5" t="s">
        <v>714</v>
      </c>
      <c r="AG59" s="5" t="s">
        <v>121</v>
      </c>
      <c r="AH59" s="5" t="s">
        <v>121</v>
      </c>
      <c r="AI59" s="5" t="s">
        <v>121</v>
      </c>
      <c r="AJ59" s="5" t="s">
        <v>121</v>
      </c>
      <c r="AK59" s="5" t="s">
        <v>121</v>
      </c>
      <c r="AL59" s="5" t="s">
        <v>121</v>
      </c>
      <c r="AM59" s="5" t="s">
        <v>121</v>
      </c>
      <c r="AN59" s="5" t="s">
        <v>12705</v>
      </c>
      <c r="AO59" s="5" t="s">
        <v>121</v>
      </c>
      <c r="AP59" s="5" t="s">
        <v>12217</v>
      </c>
      <c r="AQ59" s="5" t="s">
        <v>121</v>
      </c>
      <c r="AR59" s="5" t="s">
        <v>12706</v>
      </c>
      <c r="AS59" s="5" t="s">
        <v>715</v>
      </c>
      <c r="AT59" s="5" t="s">
        <v>121</v>
      </c>
      <c r="AU59" s="5" t="s">
        <v>711</v>
      </c>
      <c r="AV59" s="5" t="s">
        <v>12003</v>
      </c>
      <c r="AW59" s="5" t="s">
        <v>121</v>
      </c>
      <c r="AX59" s="5" t="s">
        <v>12159</v>
      </c>
      <c r="AY59" s="5" t="s">
        <v>2854</v>
      </c>
      <c r="AZ59" s="5" t="s">
        <v>121</v>
      </c>
      <c r="BA59" s="5" t="s">
        <v>121</v>
      </c>
      <c r="BB59" s="5" t="s">
        <v>3510</v>
      </c>
      <c r="BC59" s="5" t="s">
        <v>121</v>
      </c>
      <c r="BD59" s="5" t="s">
        <v>121</v>
      </c>
      <c r="BE59" s="5" t="s">
        <v>121</v>
      </c>
      <c r="BF59" s="5" t="s">
        <v>121</v>
      </c>
      <c r="BG59" s="5" t="s">
        <v>121</v>
      </c>
      <c r="BH59" s="5" t="s">
        <v>12707</v>
      </c>
      <c r="BI59" s="5" t="s">
        <v>121</v>
      </c>
      <c r="BJ59" s="5" t="s">
        <v>712</v>
      </c>
      <c r="BK59" s="5" t="s">
        <v>121</v>
      </c>
      <c r="BL59" s="5" t="s">
        <v>12708</v>
      </c>
      <c r="BM59" s="5" t="s">
        <v>12708</v>
      </c>
      <c r="BN59" s="5" t="s">
        <v>713</v>
      </c>
      <c r="BO59" s="5" t="s">
        <v>12709</v>
      </c>
      <c r="BP59" s="5" t="s">
        <v>2854</v>
      </c>
      <c r="BQ59" s="5" t="s">
        <v>2854</v>
      </c>
      <c r="BR59" s="5" t="s">
        <v>121</v>
      </c>
      <c r="BS59" s="5" t="s">
        <v>2854</v>
      </c>
      <c r="BT59" s="5" t="s">
        <v>121</v>
      </c>
      <c r="BU59" s="5" t="s">
        <v>2854</v>
      </c>
      <c r="BV59" s="5" t="s">
        <v>3510</v>
      </c>
      <c r="BW59" s="5" t="s">
        <v>3510</v>
      </c>
      <c r="BX59" s="5" t="s">
        <v>3510</v>
      </c>
      <c r="BY59" s="5" t="s">
        <v>12520</v>
      </c>
      <c r="BZ59" s="5" t="s">
        <v>12710</v>
      </c>
      <c r="CA59" s="5" t="s">
        <v>121</v>
      </c>
      <c r="CB59" s="5" t="s">
        <v>121</v>
      </c>
      <c r="CC59" s="5" t="s">
        <v>710</v>
      </c>
      <c r="CD59" s="5" t="s">
        <v>121</v>
      </c>
      <c r="CE59" s="5" t="s">
        <v>121</v>
      </c>
      <c r="CF59" s="5" t="s">
        <v>11958</v>
      </c>
      <c r="CG59" s="5" t="s">
        <v>121</v>
      </c>
      <c r="CH59" s="5" t="s">
        <v>121</v>
      </c>
      <c r="CI59" s="5" t="s">
        <v>12034</v>
      </c>
      <c r="CJ59" s="5" t="s">
        <v>124</v>
      </c>
      <c r="CK59" s="5" t="s">
        <v>241</v>
      </c>
      <c r="CL59" s="5" t="s">
        <v>3510</v>
      </c>
      <c r="CM59" s="5" t="s">
        <v>124</v>
      </c>
      <c r="CN59" s="5" t="s">
        <v>121</v>
      </c>
      <c r="CO59" s="5" t="s">
        <v>121</v>
      </c>
      <c r="CP59" s="5" t="s">
        <v>3510</v>
      </c>
      <c r="CQ59" s="5" t="s">
        <v>716</v>
      </c>
      <c r="CR59" s="5" t="s">
        <v>11960</v>
      </c>
      <c r="CS59" s="5" t="s">
        <v>3510</v>
      </c>
      <c r="CT59" s="5" t="s">
        <v>3510</v>
      </c>
      <c r="CU59" s="5" t="s">
        <v>3510</v>
      </c>
      <c r="CV59" s="5" t="s">
        <v>11952</v>
      </c>
      <c r="CW59" s="5" t="s">
        <v>11952</v>
      </c>
      <c r="CX59" s="5" t="s">
        <v>12711</v>
      </c>
      <c r="CY59" s="5" t="s">
        <v>12712</v>
      </c>
      <c r="CZ59" s="5" t="s">
        <v>11989</v>
      </c>
      <c r="DA59" s="5" t="s">
        <v>11989</v>
      </c>
      <c r="DB59" s="5" t="s">
        <v>11963</v>
      </c>
      <c r="DC59" s="5" t="s">
        <v>12713</v>
      </c>
      <c r="DD59" s="5" t="s">
        <v>11963</v>
      </c>
      <c r="DE59" s="5" t="s">
        <v>12714</v>
      </c>
      <c r="DF59" s="5" t="s">
        <v>3510</v>
      </c>
      <c r="DG59" s="5" t="s">
        <v>12715</v>
      </c>
      <c r="DH59" s="5" t="s">
        <v>12716</v>
      </c>
      <c r="DI59" s="5" t="s">
        <v>11975</v>
      </c>
      <c r="DJ59" s="5" t="s">
        <v>11966</v>
      </c>
      <c r="DK59" s="5" t="s">
        <v>12176</v>
      </c>
      <c r="DL59" s="5">
        <v>5</v>
      </c>
      <c r="DM59" s="5">
        <v>4.5</v>
      </c>
      <c r="DN59" s="5">
        <v>3.8</v>
      </c>
      <c r="DO59" s="5">
        <v>3</v>
      </c>
      <c r="DP59" s="5">
        <v>3</v>
      </c>
      <c r="DQ59" s="5">
        <v>2</v>
      </c>
      <c r="DR59" s="5">
        <v>1.5</v>
      </c>
      <c r="DS59" s="5">
        <v>71.400000000000006</v>
      </c>
      <c r="DT59" s="5" t="s">
        <v>11968</v>
      </c>
      <c r="DU59" s="5" t="s">
        <v>12116</v>
      </c>
      <c r="DV59" s="5" t="s">
        <v>11970</v>
      </c>
      <c r="DW59" s="5"/>
      <c r="DX59" s="5">
        <v>18</v>
      </c>
      <c r="DY59" s="5"/>
      <c r="DZ59" s="5">
        <v>100</v>
      </c>
      <c r="EA59" s="5"/>
      <c r="EB59" s="5">
        <v>0.18</v>
      </c>
      <c r="EC59" s="5"/>
      <c r="ED59" s="5" t="s">
        <v>11971</v>
      </c>
      <c r="EE59" s="5"/>
      <c r="EF59" s="5" t="s">
        <v>11997</v>
      </c>
      <c r="EG59" s="5"/>
      <c r="EH59" s="5" t="s">
        <v>11997</v>
      </c>
      <c r="EI59" s="5"/>
      <c r="EJ59" s="5" t="s">
        <v>11997</v>
      </c>
      <c r="EK59" s="5"/>
      <c r="EL59" s="5" t="s">
        <v>11997</v>
      </c>
      <c r="EM59" s="5"/>
      <c r="EN59" s="5" t="s">
        <v>11997</v>
      </c>
      <c r="EO59" s="5"/>
      <c r="EP59" s="5" t="s">
        <v>11998</v>
      </c>
      <c r="EQ59" s="5"/>
      <c r="ER59" s="5" t="s">
        <v>11997</v>
      </c>
      <c r="ES59" s="5"/>
      <c r="ET59" s="5" t="s">
        <v>11972</v>
      </c>
      <c r="EU59" s="5"/>
      <c r="EV59" s="5"/>
      <c r="EW59" s="5"/>
      <c r="EX59" s="5"/>
      <c r="EY59" s="5" t="s">
        <v>4659</v>
      </c>
      <c r="EZ59" s="5"/>
      <c r="FA59" s="5" t="s">
        <v>717</v>
      </c>
      <c r="FB59" s="5"/>
    </row>
    <row r="60" spans="1:158" ht="76.5">
      <c r="A60" s="5" t="s">
        <v>719</v>
      </c>
      <c r="B60" s="5" t="s">
        <v>720</v>
      </c>
      <c r="C60" s="5" t="s">
        <v>11952</v>
      </c>
      <c r="D60" s="5" t="s">
        <v>556</v>
      </c>
      <c r="E60" s="5" t="s">
        <v>11953</v>
      </c>
      <c r="F60" s="5" t="s">
        <v>11954</v>
      </c>
      <c r="G60" s="5" t="s">
        <v>11955</v>
      </c>
      <c r="H60" s="5" t="s">
        <v>11235</v>
      </c>
      <c r="I60" s="5" t="s">
        <v>562</v>
      </c>
      <c r="J60" s="5" t="s">
        <v>3510</v>
      </c>
      <c r="K60" s="5" t="s">
        <v>11956</v>
      </c>
      <c r="L60" s="5" t="s">
        <v>725</v>
      </c>
      <c r="M60" s="5" t="s">
        <v>11952</v>
      </c>
      <c r="N60" s="5" t="s">
        <v>11952</v>
      </c>
      <c r="O60" s="5" t="s">
        <v>725</v>
      </c>
      <c r="P60" s="5" t="s">
        <v>11952</v>
      </c>
      <c r="Q60" s="5" t="s">
        <v>11952</v>
      </c>
      <c r="R60" s="5" t="s">
        <v>11952</v>
      </c>
      <c r="S60" s="5" t="s">
        <v>11952</v>
      </c>
      <c r="T60" s="5" t="s">
        <v>12717</v>
      </c>
      <c r="U60" s="5" t="s">
        <v>3510</v>
      </c>
      <c r="V60" s="5" t="s">
        <v>121</v>
      </c>
      <c r="W60" s="5" t="s">
        <v>121</v>
      </c>
      <c r="X60" s="5" t="s">
        <v>121</v>
      </c>
      <c r="Y60" s="5" t="s">
        <v>121</v>
      </c>
      <c r="Z60" s="5" t="s">
        <v>11952</v>
      </c>
      <c r="AA60" s="5" t="s">
        <v>11952</v>
      </c>
      <c r="AB60" s="5" t="s">
        <v>155</v>
      </c>
      <c r="AC60" s="5" t="s">
        <v>722</v>
      </c>
      <c r="AD60" s="5" t="s">
        <v>121</v>
      </c>
      <c r="AE60" s="5" t="s">
        <v>121</v>
      </c>
      <c r="AF60" s="5" t="s">
        <v>722</v>
      </c>
      <c r="AG60" s="5" t="s">
        <v>121</v>
      </c>
      <c r="AH60" s="5" t="s">
        <v>121</v>
      </c>
      <c r="AI60" s="5" t="s">
        <v>121</v>
      </c>
      <c r="AJ60" s="5" t="s">
        <v>121</v>
      </c>
      <c r="AK60" s="5" t="s">
        <v>121</v>
      </c>
      <c r="AL60" s="5" t="s">
        <v>121</v>
      </c>
      <c r="AM60" s="5" t="s">
        <v>121</v>
      </c>
      <c r="AN60" s="5" t="s">
        <v>121</v>
      </c>
      <c r="AO60" s="5" t="s">
        <v>121</v>
      </c>
      <c r="AP60" s="5" t="s">
        <v>12460</v>
      </c>
      <c r="AQ60" s="5" t="s">
        <v>121</v>
      </c>
      <c r="AR60" s="5" t="s">
        <v>12718</v>
      </c>
      <c r="AS60" s="5" t="s">
        <v>723</v>
      </c>
      <c r="AT60" s="5" t="s">
        <v>121</v>
      </c>
      <c r="AU60" s="5" t="s">
        <v>121</v>
      </c>
      <c r="AV60" s="5" t="s">
        <v>121</v>
      </c>
      <c r="AW60" s="5" t="s">
        <v>121</v>
      </c>
      <c r="AX60" s="5" t="s">
        <v>121</v>
      </c>
      <c r="AY60" s="5" t="s">
        <v>121</v>
      </c>
      <c r="AZ60" s="5" t="s">
        <v>121</v>
      </c>
      <c r="BA60" s="5" t="s">
        <v>121</v>
      </c>
      <c r="BB60" s="5" t="s">
        <v>3510</v>
      </c>
      <c r="BC60" s="5" t="s">
        <v>121</v>
      </c>
      <c r="BD60" s="5" t="s">
        <v>121</v>
      </c>
      <c r="BE60" s="5" t="s">
        <v>12719</v>
      </c>
      <c r="BF60" s="5" t="s">
        <v>12720</v>
      </c>
      <c r="BG60" s="5" t="s">
        <v>121</v>
      </c>
      <c r="BH60" s="5" t="s">
        <v>12721</v>
      </c>
      <c r="BI60" s="5" t="s">
        <v>121</v>
      </c>
      <c r="BJ60" s="5" t="s">
        <v>721</v>
      </c>
      <c r="BK60" s="5" t="s">
        <v>121</v>
      </c>
      <c r="BL60" s="5" t="s">
        <v>332</v>
      </c>
      <c r="BM60" s="5" t="s">
        <v>332</v>
      </c>
      <c r="BN60" s="5" t="s">
        <v>121</v>
      </c>
      <c r="BO60" s="5" t="s">
        <v>121</v>
      </c>
      <c r="BP60" s="5" t="s">
        <v>121</v>
      </c>
      <c r="BQ60" s="5" t="s">
        <v>2854</v>
      </c>
      <c r="BR60" s="5" t="s">
        <v>121</v>
      </c>
      <c r="BS60" s="5" t="s">
        <v>121</v>
      </c>
      <c r="BT60" s="5" t="s">
        <v>121</v>
      </c>
      <c r="BU60" s="5" t="s">
        <v>121</v>
      </c>
      <c r="BV60" s="5" t="s">
        <v>3510</v>
      </c>
      <c r="BW60" s="5" t="s">
        <v>3510</v>
      </c>
      <c r="BX60" s="5" t="s">
        <v>3510</v>
      </c>
      <c r="BY60" s="5" t="s">
        <v>121</v>
      </c>
      <c r="BZ60" s="5" t="s">
        <v>121</v>
      </c>
      <c r="CA60" s="5" t="s">
        <v>121</v>
      </c>
      <c r="CB60" s="5" t="s">
        <v>121</v>
      </c>
      <c r="CC60" s="5" t="s">
        <v>665</v>
      </c>
      <c r="CD60" s="5" t="s">
        <v>121</v>
      </c>
      <c r="CE60" s="5" t="s">
        <v>121</v>
      </c>
      <c r="CF60" s="5" t="s">
        <v>11958</v>
      </c>
      <c r="CG60" s="5" t="s">
        <v>121</v>
      </c>
      <c r="CH60" s="5" t="s">
        <v>121</v>
      </c>
      <c r="CI60" s="5" t="s">
        <v>12034</v>
      </c>
      <c r="CJ60" s="5" t="s">
        <v>124</v>
      </c>
      <c r="CK60" s="5" t="s">
        <v>241</v>
      </c>
      <c r="CL60" s="5" t="s">
        <v>3510</v>
      </c>
      <c r="CM60" s="5" t="s">
        <v>124</v>
      </c>
      <c r="CN60" s="5" t="s">
        <v>121</v>
      </c>
      <c r="CO60" s="5" t="s">
        <v>121</v>
      </c>
      <c r="CP60" s="5" t="s">
        <v>3510</v>
      </c>
      <c r="CQ60" s="5" t="s">
        <v>724</v>
      </c>
      <c r="CR60" s="5" t="s">
        <v>11960</v>
      </c>
      <c r="CS60" s="5" t="s">
        <v>3510</v>
      </c>
      <c r="CT60" s="5" t="s">
        <v>3510</v>
      </c>
      <c r="CU60" s="5" t="s">
        <v>3510</v>
      </c>
      <c r="CV60" s="5" t="s">
        <v>11952</v>
      </c>
      <c r="CW60" s="5" t="s">
        <v>11952</v>
      </c>
      <c r="CX60" s="5" t="s">
        <v>12673</v>
      </c>
      <c r="CY60" s="5" t="s">
        <v>12722</v>
      </c>
      <c r="CZ60" s="5" t="s">
        <v>3510</v>
      </c>
      <c r="DA60" s="5" t="s">
        <v>11952</v>
      </c>
      <c r="DB60" s="5" t="s">
        <v>11963</v>
      </c>
      <c r="DC60" s="5" t="s">
        <v>11963</v>
      </c>
      <c r="DD60" s="5" t="s">
        <v>11963</v>
      </c>
      <c r="DE60" s="5" t="s">
        <v>11963</v>
      </c>
      <c r="DF60" s="5" t="s">
        <v>3510</v>
      </c>
      <c r="DG60" s="5" t="s">
        <v>11964</v>
      </c>
      <c r="DH60" s="5" t="s">
        <v>12723</v>
      </c>
      <c r="DI60" s="5" t="s">
        <v>11975</v>
      </c>
      <c r="DJ60" s="5" t="s">
        <v>11966</v>
      </c>
      <c r="DK60" s="5" t="s">
        <v>11967</v>
      </c>
      <c r="DL60" s="5">
        <v>5</v>
      </c>
      <c r="DM60" s="5">
        <v>3</v>
      </c>
      <c r="DN60" s="5">
        <v>3</v>
      </c>
      <c r="DO60" s="5">
        <v>1</v>
      </c>
      <c r="DP60" s="5">
        <v>3</v>
      </c>
      <c r="DQ60" s="5">
        <v>1</v>
      </c>
      <c r="DR60" s="5">
        <v>0</v>
      </c>
      <c r="DS60" s="5">
        <v>52</v>
      </c>
      <c r="DT60" s="5" t="s">
        <v>11968</v>
      </c>
      <c r="DU60" s="5" t="s">
        <v>11969</v>
      </c>
      <c r="DV60" s="5" t="s">
        <v>11970</v>
      </c>
      <c r="DW60" s="5"/>
      <c r="DX60" s="5">
        <v>26</v>
      </c>
      <c r="DY60" s="5"/>
      <c r="DZ60" s="5">
        <v>100</v>
      </c>
      <c r="EA60" s="5"/>
      <c r="EB60" s="5">
        <v>0.26</v>
      </c>
      <c r="EC60" s="5"/>
      <c r="ED60" s="5" t="s">
        <v>11971</v>
      </c>
      <c r="EE60" s="5"/>
      <c r="EF60" s="5" t="s">
        <v>11997</v>
      </c>
      <c r="EG60" s="5"/>
      <c r="EH60" s="5" t="s">
        <v>11997</v>
      </c>
      <c r="EI60" s="5"/>
      <c r="EJ60" s="5" t="s">
        <v>11997</v>
      </c>
      <c r="EK60" s="5"/>
      <c r="EL60" s="5" t="s">
        <v>11997</v>
      </c>
      <c r="EM60" s="5"/>
      <c r="EN60" s="5" t="s">
        <v>11997</v>
      </c>
      <c r="EO60" s="5"/>
      <c r="EP60" s="5" t="s">
        <v>11998</v>
      </c>
      <c r="EQ60" s="5"/>
      <c r="ER60" s="5" t="s">
        <v>11997</v>
      </c>
      <c r="ES60" s="5"/>
      <c r="ET60" s="5" t="s">
        <v>11972</v>
      </c>
      <c r="EU60" s="5"/>
      <c r="EV60" s="5"/>
      <c r="EW60" s="5"/>
      <c r="EX60" s="5"/>
      <c r="EY60" s="5" t="s">
        <v>4692</v>
      </c>
      <c r="EZ60" s="5"/>
      <c r="FA60" s="5" t="s">
        <v>725</v>
      </c>
      <c r="FB60" s="5"/>
    </row>
    <row r="61" spans="1:158" ht="127.5">
      <c r="A61" s="5" t="s">
        <v>727</v>
      </c>
      <c r="B61" s="5" t="s">
        <v>728</v>
      </c>
      <c r="C61" s="5" t="s">
        <v>11952</v>
      </c>
      <c r="D61" s="5" t="s">
        <v>556</v>
      </c>
      <c r="E61" s="5" t="s">
        <v>12011</v>
      </c>
      <c r="F61" s="5" t="s">
        <v>11994</v>
      </c>
      <c r="G61" s="5" t="s">
        <v>12724</v>
      </c>
      <c r="H61" s="5" t="s">
        <v>12530</v>
      </c>
      <c r="I61" s="5" t="s">
        <v>562</v>
      </c>
      <c r="J61" s="5" t="s">
        <v>3510</v>
      </c>
      <c r="K61" s="5" t="s">
        <v>12702</v>
      </c>
      <c r="L61" s="5" t="s">
        <v>735</v>
      </c>
      <c r="M61" s="5" t="s">
        <v>11952</v>
      </c>
      <c r="N61" s="5" t="s">
        <v>11952</v>
      </c>
      <c r="O61" s="5" t="s">
        <v>735</v>
      </c>
      <c r="P61" s="5" t="s">
        <v>11952</v>
      </c>
      <c r="Q61" s="5" t="s">
        <v>11952</v>
      </c>
      <c r="R61" s="5" t="s">
        <v>11952</v>
      </c>
      <c r="S61" s="5" t="s">
        <v>11952</v>
      </c>
      <c r="T61" s="5" t="s">
        <v>12725</v>
      </c>
      <c r="U61" s="5" t="s">
        <v>3510</v>
      </c>
      <c r="V61" s="5" t="s">
        <v>121</v>
      </c>
      <c r="W61" s="5" t="s">
        <v>121</v>
      </c>
      <c r="X61" s="5" t="s">
        <v>121</v>
      </c>
      <c r="Y61" s="5" t="s">
        <v>121</v>
      </c>
      <c r="Z61" s="5" t="s">
        <v>11952</v>
      </c>
      <c r="AA61" s="5" t="s">
        <v>11952</v>
      </c>
      <c r="AB61" s="5" t="s">
        <v>121</v>
      </c>
      <c r="AC61" s="5" t="s">
        <v>121</v>
      </c>
      <c r="AD61" s="5" t="s">
        <v>121</v>
      </c>
      <c r="AE61" s="5" t="s">
        <v>121</v>
      </c>
      <c r="AF61" s="5" t="s">
        <v>121</v>
      </c>
      <c r="AG61" s="5" t="s">
        <v>121</v>
      </c>
      <c r="AH61" s="5" t="s">
        <v>121</v>
      </c>
      <c r="AI61" s="5" t="s">
        <v>121</v>
      </c>
      <c r="AJ61" s="5" t="s">
        <v>121</v>
      </c>
      <c r="AK61" s="5" t="s">
        <v>121</v>
      </c>
      <c r="AL61" s="5" t="s">
        <v>121</v>
      </c>
      <c r="AM61" s="5" t="s">
        <v>121</v>
      </c>
      <c r="AN61" s="5" t="s">
        <v>12726</v>
      </c>
      <c r="AO61" s="5" t="s">
        <v>121</v>
      </c>
      <c r="AP61" s="5" t="s">
        <v>12677</v>
      </c>
      <c r="AQ61" s="5" t="s">
        <v>121</v>
      </c>
      <c r="AR61" s="5" t="s">
        <v>12727</v>
      </c>
      <c r="AS61" s="5" t="s">
        <v>733</v>
      </c>
      <c r="AT61" s="5" t="s">
        <v>121</v>
      </c>
      <c r="AU61" s="5" t="s">
        <v>730</v>
      </c>
      <c r="AV61" s="5" t="s">
        <v>121</v>
      </c>
      <c r="AW61" s="5" t="s">
        <v>730</v>
      </c>
      <c r="AX61" s="5" t="s">
        <v>121</v>
      </c>
      <c r="AY61" s="5" t="s">
        <v>121</v>
      </c>
      <c r="AZ61" s="5" t="s">
        <v>121</v>
      </c>
      <c r="BA61" s="5" t="s">
        <v>121</v>
      </c>
      <c r="BB61" s="5" t="s">
        <v>3510</v>
      </c>
      <c r="BC61" s="5" t="s">
        <v>121</v>
      </c>
      <c r="BD61" s="5" t="s">
        <v>121</v>
      </c>
      <c r="BE61" s="5" t="s">
        <v>121</v>
      </c>
      <c r="BF61" s="5" t="s">
        <v>12728</v>
      </c>
      <c r="BG61" s="5" t="s">
        <v>121</v>
      </c>
      <c r="BH61" s="5" t="s">
        <v>12729</v>
      </c>
      <c r="BI61" s="5" t="s">
        <v>12729</v>
      </c>
      <c r="BJ61" s="5" t="s">
        <v>731</v>
      </c>
      <c r="BK61" s="5" t="s">
        <v>121</v>
      </c>
      <c r="BL61" s="5" t="s">
        <v>332</v>
      </c>
      <c r="BM61" s="5" t="s">
        <v>332</v>
      </c>
      <c r="BN61" s="5" t="s">
        <v>732</v>
      </c>
      <c r="BO61" s="5" t="s">
        <v>1474</v>
      </c>
      <c r="BP61" s="5" t="s">
        <v>121</v>
      </c>
      <c r="BQ61" s="5" t="s">
        <v>2854</v>
      </c>
      <c r="BR61" s="5" t="s">
        <v>121</v>
      </c>
      <c r="BS61" s="5" t="s">
        <v>121</v>
      </c>
      <c r="BT61" s="5" t="s">
        <v>121</v>
      </c>
      <c r="BU61" s="5" t="s">
        <v>121</v>
      </c>
      <c r="BV61" s="5" t="s">
        <v>3510</v>
      </c>
      <c r="BW61" s="5" t="s">
        <v>3510</v>
      </c>
      <c r="BX61" s="5" t="s">
        <v>3510</v>
      </c>
      <c r="BY61" s="5" t="s">
        <v>12520</v>
      </c>
      <c r="BZ61" s="5" t="s">
        <v>121</v>
      </c>
      <c r="CA61" s="5" t="s">
        <v>121</v>
      </c>
      <c r="CB61" s="5" t="s">
        <v>121</v>
      </c>
      <c r="CC61" s="5" t="s">
        <v>729</v>
      </c>
      <c r="CD61" s="5" t="s">
        <v>121</v>
      </c>
      <c r="CE61" s="5" t="s">
        <v>121</v>
      </c>
      <c r="CF61" s="5" t="s">
        <v>11958</v>
      </c>
      <c r="CG61" s="5" t="s">
        <v>121</v>
      </c>
      <c r="CH61" s="5" t="s">
        <v>121</v>
      </c>
      <c r="CI61" s="5" t="s">
        <v>11959</v>
      </c>
      <c r="CJ61" s="5" t="s">
        <v>124</v>
      </c>
      <c r="CK61" s="5" t="s">
        <v>241</v>
      </c>
      <c r="CL61" s="5" t="s">
        <v>3510</v>
      </c>
      <c r="CM61" s="5" t="s">
        <v>124</v>
      </c>
      <c r="CN61" s="5" t="s">
        <v>121</v>
      </c>
      <c r="CO61" s="5" t="s">
        <v>121</v>
      </c>
      <c r="CP61" s="5" t="s">
        <v>3510</v>
      </c>
      <c r="CQ61" s="5" t="s">
        <v>734</v>
      </c>
      <c r="CR61" s="5" t="s">
        <v>11960</v>
      </c>
      <c r="CS61" s="5" t="s">
        <v>3510</v>
      </c>
      <c r="CT61" s="5" t="s">
        <v>3510</v>
      </c>
      <c r="CU61" s="5" t="s">
        <v>3510</v>
      </c>
      <c r="CV61" s="5" t="s">
        <v>11952</v>
      </c>
      <c r="CW61" s="5" t="s">
        <v>11952</v>
      </c>
      <c r="CX61" s="5" t="s">
        <v>12711</v>
      </c>
      <c r="CY61" s="5" t="s">
        <v>12730</v>
      </c>
      <c r="CZ61" s="5" t="s">
        <v>11989</v>
      </c>
      <c r="DA61" s="5" t="s">
        <v>11989</v>
      </c>
      <c r="DB61" s="5" t="s">
        <v>11963</v>
      </c>
      <c r="DC61" s="5" t="s">
        <v>12731</v>
      </c>
      <c r="DD61" s="5" t="s">
        <v>11963</v>
      </c>
      <c r="DE61" s="5" t="s">
        <v>12732</v>
      </c>
      <c r="DF61" s="5" t="s">
        <v>3510</v>
      </c>
      <c r="DG61" s="5" t="s">
        <v>12733</v>
      </c>
      <c r="DH61" s="5" t="s">
        <v>12734</v>
      </c>
      <c r="DI61" s="5" t="s">
        <v>11966</v>
      </c>
      <c r="DJ61" s="5" t="s">
        <v>12044</v>
      </c>
      <c r="DK61" s="5" t="s">
        <v>12735</v>
      </c>
      <c r="DL61" s="5">
        <v>5</v>
      </c>
      <c r="DM61" s="5">
        <v>2</v>
      </c>
      <c r="DN61" s="5">
        <v>3</v>
      </c>
      <c r="DO61" s="5">
        <v>0.5</v>
      </c>
      <c r="DP61" s="5">
        <v>2.5</v>
      </c>
      <c r="DQ61" s="5">
        <v>0.5</v>
      </c>
      <c r="DR61" s="5">
        <v>0</v>
      </c>
      <c r="DS61" s="5">
        <v>44.5</v>
      </c>
      <c r="DT61" s="5" t="s">
        <v>11968</v>
      </c>
      <c r="DU61" s="5" t="s">
        <v>12116</v>
      </c>
      <c r="DV61" s="5" t="s">
        <v>11970</v>
      </c>
      <c r="DW61" s="5"/>
      <c r="DX61" s="5">
        <v>26</v>
      </c>
      <c r="DY61" s="5"/>
      <c r="DZ61" s="5">
        <v>100</v>
      </c>
      <c r="EA61" s="5"/>
      <c r="EB61" s="5">
        <v>0.26</v>
      </c>
      <c r="EC61" s="5"/>
      <c r="ED61" s="5" t="s">
        <v>11971</v>
      </c>
      <c r="EE61" s="5"/>
      <c r="EF61" s="5" t="s">
        <v>11997</v>
      </c>
      <c r="EG61" s="5"/>
      <c r="EH61" s="5" t="s">
        <v>11997</v>
      </c>
      <c r="EI61" s="5"/>
      <c r="EJ61" s="5" t="s">
        <v>11997</v>
      </c>
      <c r="EK61" s="5"/>
      <c r="EL61" s="5" t="s">
        <v>11997</v>
      </c>
      <c r="EM61" s="5"/>
      <c r="EN61" s="5" t="s">
        <v>11997</v>
      </c>
      <c r="EO61" s="5"/>
      <c r="EP61" s="5" t="s">
        <v>11998</v>
      </c>
      <c r="EQ61" s="5"/>
      <c r="ER61" s="5" t="s">
        <v>11997</v>
      </c>
      <c r="ES61" s="5"/>
      <c r="ET61" s="5" t="s">
        <v>11972</v>
      </c>
      <c r="EU61" s="5"/>
      <c r="EV61" s="5"/>
      <c r="EW61" s="5"/>
      <c r="EX61" s="5"/>
      <c r="EY61" s="5" t="s">
        <v>4721</v>
      </c>
      <c r="EZ61" s="5"/>
      <c r="FA61" s="5" t="s">
        <v>735</v>
      </c>
      <c r="FB61" s="5"/>
    </row>
    <row r="62" spans="1:158" ht="331.5">
      <c r="A62" s="5" t="s">
        <v>737</v>
      </c>
      <c r="B62" s="5" t="s">
        <v>738</v>
      </c>
      <c r="C62" s="5" t="s">
        <v>12736</v>
      </c>
      <c r="D62" s="5" t="s">
        <v>739</v>
      </c>
      <c r="E62" s="5" t="s">
        <v>12011</v>
      </c>
      <c r="F62" s="5" t="s">
        <v>11994</v>
      </c>
      <c r="G62" s="5" t="s">
        <v>12737</v>
      </c>
      <c r="H62" s="5" t="s">
        <v>12530</v>
      </c>
      <c r="I62" s="5" t="s">
        <v>562</v>
      </c>
      <c r="J62" s="5" t="s">
        <v>3510</v>
      </c>
      <c r="K62" s="5" t="s">
        <v>12738</v>
      </c>
      <c r="L62" s="5" t="s">
        <v>747</v>
      </c>
      <c r="M62" s="5" t="s">
        <v>11952</v>
      </c>
      <c r="N62" s="5" t="s">
        <v>11952</v>
      </c>
      <c r="O62" s="5" t="s">
        <v>11483</v>
      </c>
      <c r="P62" s="5" t="s">
        <v>11952</v>
      </c>
      <c r="Q62" s="5" t="s">
        <v>11952</v>
      </c>
      <c r="R62" s="5" t="s">
        <v>11952</v>
      </c>
      <c r="S62" s="5" t="s">
        <v>11952</v>
      </c>
      <c r="T62" s="5" t="s">
        <v>12739</v>
      </c>
      <c r="U62" s="5" t="s">
        <v>3510</v>
      </c>
      <c r="V62" s="5" t="s">
        <v>121</v>
      </c>
      <c r="W62" s="5" t="s">
        <v>121</v>
      </c>
      <c r="X62" s="5" t="s">
        <v>121</v>
      </c>
      <c r="Y62" s="5" t="s">
        <v>121</v>
      </c>
      <c r="Z62" s="5" t="s">
        <v>11952</v>
      </c>
      <c r="AA62" s="5" t="s">
        <v>11952</v>
      </c>
      <c r="AB62" s="5" t="s">
        <v>155</v>
      </c>
      <c r="AC62" s="5" t="s">
        <v>744</v>
      </c>
      <c r="AD62" s="5" t="s">
        <v>121</v>
      </c>
      <c r="AE62" s="5" t="s">
        <v>121</v>
      </c>
      <c r="AF62" s="5" t="s">
        <v>744</v>
      </c>
      <c r="AG62" s="5" t="s">
        <v>121</v>
      </c>
      <c r="AH62" s="5" t="s">
        <v>121</v>
      </c>
      <c r="AI62" s="5" t="s">
        <v>121</v>
      </c>
      <c r="AJ62" s="5" t="s">
        <v>121</v>
      </c>
      <c r="AK62" s="5" t="s">
        <v>121</v>
      </c>
      <c r="AL62" s="5" t="s">
        <v>121</v>
      </c>
      <c r="AM62" s="5" t="s">
        <v>121</v>
      </c>
      <c r="AN62" s="5" t="s">
        <v>12740</v>
      </c>
      <c r="AO62" s="5" t="s">
        <v>121</v>
      </c>
      <c r="AP62" s="5" t="s">
        <v>12677</v>
      </c>
      <c r="AQ62" s="5" t="s">
        <v>121</v>
      </c>
      <c r="AR62" s="5" t="s">
        <v>12741</v>
      </c>
      <c r="AS62" s="5" t="s">
        <v>745</v>
      </c>
      <c r="AT62" s="5" t="s">
        <v>12742</v>
      </c>
      <c r="AU62" s="5" t="s">
        <v>741</v>
      </c>
      <c r="AV62" s="5" t="s">
        <v>121</v>
      </c>
      <c r="AW62" s="5" t="s">
        <v>741</v>
      </c>
      <c r="AX62" s="5" t="s">
        <v>12063</v>
      </c>
      <c r="AY62" s="5" t="s">
        <v>2854</v>
      </c>
      <c r="AZ62" s="5" t="s">
        <v>121</v>
      </c>
      <c r="BA62" s="5" t="s">
        <v>121</v>
      </c>
      <c r="BB62" s="5" t="s">
        <v>3510</v>
      </c>
      <c r="BC62" s="5" t="s">
        <v>121</v>
      </c>
      <c r="BD62" s="5" t="s">
        <v>121</v>
      </c>
      <c r="BE62" s="5" t="s">
        <v>12743</v>
      </c>
      <c r="BF62" s="5" t="s">
        <v>12744</v>
      </c>
      <c r="BG62" s="5" t="s">
        <v>121</v>
      </c>
      <c r="BH62" s="5" t="s">
        <v>12745</v>
      </c>
      <c r="BI62" s="5" t="s">
        <v>12745</v>
      </c>
      <c r="BJ62" s="5" t="s">
        <v>742</v>
      </c>
      <c r="BK62" s="5" t="s">
        <v>121</v>
      </c>
      <c r="BL62" s="5" t="s">
        <v>12746</v>
      </c>
      <c r="BM62" s="5" t="s">
        <v>12746</v>
      </c>
      <c r="BN62" s="5" t="s">
        <v>743</v>
      </c>
      <c r="BO62" s="5" t="s">
        <v>121</v>
      </c>
      <c r="BP62" s="5" t="s">
        <v>2854</v>
      </c>
      <c r="BQ62" s="5" t="s">
        <v>2854</v>
      </c>
      <c r="BR62" s="5" t="s">
        <v>121</v>
      </c>
      <c r="BS62" s="5" t="s">
        <v>121</v>
      </c>
      <c r="BT62" s="5" t="s">
        <v>121</v>
      </c>
      <c r="BU62" s="5" t="s">
        <v>121</v>
      </c>
      <c r="BV62" s="5" t="s">
        <v>3510</v>
      </c>
      <c r="BW62" s="5" t="s">
        <v>3510</v>
      </c>
      <c r="BX62" s="5" t="s">
        <v>3510</v>
      </c>
      <c r="BY62" s="5" t="s">
        <v>12747</v>
      </c>
      <c r="BZ62" s="5" t="s">
        <v>12748</v>
      </c>
      <c r="CA62" s="5" t="s">
        <v>121</v>
      </c>
      <c r="CB62" s="5" t="s">
        <v>121</v>
      </c>
      <c r="CC62" s="5" t="s">
        <v>740</v>
      </c>
      <c r="CD62" s="5" t="s">
        <v>121</v>
      </c>
      <c r="CE62" s="5" t="s">
        <v>121</v>
      </c>
      <c r="CF62" s="5" t="s">
        <v>11958</v>
      </c>
      <c r="CG62" s="5" t="s">
        <v>121</v>
      </c>
      <c r="CH62" s="5" t="s">
        <v>121</v>
      </c>
      <c r="CI62" s="5" t="s">
        <v>12749</v>
      </c>
      <c r="CJ62" s="5" t="s">
        <v>124</v>
      </c>
      <c r="CK62" s="5" t="s">
        <v>241</v>
      </c>
      <c r="CL62" s="5" t="s">
        <v>3510</v>
      </c>
      <c r="CM62" s="5" t="s">
        <v>124</v>
      </c>
      <c r="CN62" s="5" t="s">
        <v>121</v>
      </c>
      <c r="CO62" s="5" t="s">
        <v>121</v>
      </c>
      <c r="CP62" s="5" t="s">
        <v>3510</v>
      </c>
      <c r="CQ62" s="5" t="s">
        <v>746</v>
      </c>
      <c r="CR62" s="5" t="s">
        <v>11960</v>
      </c>
      <c r="CS62" s="5" t="s">
        <v>3510</v>
      </c>
      <c r="CT62" s="5" t="s">
        <v>2854</v>
      </c>
      <c r="CU62" s="5" t="s">
        <v>3510</v>
      </c>
      <c r="CV62" s="5" t="s">
        <v>11952</v>
      </c>
      <c r="CW62" s="5" t="s">
        <v>11952</v>
      </c>
      <c r="CX62" s="5" t="s">
        <v>12711</v>
      </c>
      <c r="CY62" s="5" t="s">
        <v>12750</v>
      </c>
      <c r="CZ62" s="5" t="s">
        <v>11989</v>
      </c>
      <c r="DA62" s="5" t="s">
        <v>11989</v>
      </c>
      <c r="DB62" s="5" t="s">
        <v>12751</v>
      </c>
      <c r="DC62" s="5" t="s">
        <v>12752</v>
      </c>
      <c r="DD62" s="5" t="s">
        <v>11963</v>
      </c>
      <c r="DE62" s="5" t="s">
        <v>12753</v>
      </c>
      <c r="DF62" s="5" t="s">
        <v>2854</v>
      </c>
      <c r="DG62" s="5" t="s">
        <v>12754</v>
      </c>
      <c r="DH62" s="5" t="s">
        <v>12755</v>
      </c>
      <c r="DI62" s="5" t="s">
        <v>11975</v>
      </c>
      <c r="DJ62" s="5" t="s">
        <v>11994</v>
      </c>
      <c r="DK62" s="5" t="s">
        <v>12756</v>
      </c>
      <c r="DL62" s="5">
        <v>5</v>
      </c>
      <c r="DM62" s="5">
        <v>3</v>
      </c>
      <c r="DN62" s="5">
        <v>3.8</v>
      </c>
      <c r="DO62" s="5">
        <v>4</v>
      </c>
      <c r="DP62" s="5">
        <v>3.5</v>
      </c>
      <c r="DQ62" s="5">
        <v>2.5</v>
      </c>
      <c r="DR62" s="5">
        <v>0</v>
      </c>
      <c r="DS62" s="5">
        <v>67.400000000000006</v>
      </c>
      <c r="DT62" s="5" t="s">
        <v>11968</v>
      </c>
      <c r="DU62" s="5" t="s">
        <v>12116</v>
      </c>
      <c r="DV62" s="5" t="s">
        <v>11970</v>
      </c>
      <c r="DW62" s="5"/>
      <c r="DX62" s="5">
        <v>29</v>
      </c>
      <c r="DY62" s="5"/>
      <c r="DZ62" s="5">
        <v>100</v>
      </c>
      <c r="EA62" s="5"/>
      <c r="EB62" s="5">
        <v>0.28999999999999998</v>
      </c>
      <c r="EC62" s="5"/>
      <c r="ED62" s="5" t="s">
        <v>11971</v>
      </c>
      <c r="EE62" s="5"/>
      <c r="EF62" s="5" t="s">
        <v>11997</v>
      </c>
      <c r="EG62" s="5"/>
      <c r="EH62" s="5" t="s">
        <v>11997</v>
      </c>
      <c r="EI62" s="5"/>
      <c r="EJ62" s="5" t="s">
        <v>11997</v>
      </c>
      <c r="EK62" s="5"/>
      <c r="EL62" s="5" t="s">
        <v>11997</v>
      </c>
      <c r="EM62" s="5"/>
      <c r="EN62" s="5" t="s">
        <v>11997</v>
      </c>
      <c r="EO62" s="5"/>
      <c r="EP62" s="5" t="s">
        <v>11998</v>
      </c>
      <c r="EQ62" s="5"/>
      <c r="ER62" s="5" t="s">
        <v>11997</v>
      </c>
      <c r="ES62" s="5"/>
      <c r="ET62" s="5" t="s">
        <v>11972</v>
      </c>
      <c r="EU62" s="5"/>
      <c r="EV62" s="5"/>
      <c r="EW62" s="5"/>
      <c r="EX62" s="5"/>
      <c r="EY62" s="5" t="s">
        <v>4753</v>
      </c>
      <c r="EZ62" s="5"/>
      <c r="FA62" s="5" t="s">
        <v>747</v>
      </c>
      <c r="FB62" s="5"/>
    </row>
    <row r="63" spans="1:158" ht="76.5">
      <c r="A63" s="5" t="s">
        <v>749</v>
      </c>
      <c r="B63" s="5" t="s">
        <v>750</v>
      </c>
      <c r="C63" s="5" t="s">
        <v>11952</v>
      </c>
      <c r="D63" s="5" t="s">
        <v>556</v>
      </c>
      <c r="E63" s="5" t="s">
        <v>11953</v>
      </c>
      <c r="F63" s="5" t="s">
        <v>11954</v>
      </c>
      <c r="G63" s="5" t="s">
        <v>11955</v>
      </c>
      <c r="H63" s="5" t="s">
        <v>11235</v>
      </c>
      <c r="I63" s="5" t="s">
        <v>562</v>
      </c>
      <c r="J63" s="5" t="s">
        <v>3510</v>
      </c>
      <c r="K63" s="5" t="s">
        <v>11956</v>
      </c>
      <c r="L63" s="5" t="s">
        <v>757</v>
      </c>
      <c r="M63" s="5" t="s">
        <v>11952</v>
      </c>
      <c r="N63" s="5" t="s">
        <v>11952</v>
      </c>
      <c r="O63" s="5" t="s">
        <v>757</v>
      </c>
      <c r="P63" s="5" t="s">
        <v>11952</v>
      </c>
      <c r="Q63" s="5" t="s">
        <v>11952</v>
      </c>
      <c r="R63" s="5" t="s">
        <v>11952</v>
      </c>
      <c r="S63" s="5" t="s">
        <v>11952</v>
      </c>
      <c r="T63" s="5" t="s">
        <v>12757</v>
      </c>
      <c r="U63" s="5" t="s">
        <v>3510</v>
      </c>
      <c r="V63" s="5" t="s">
        <v>121</v>
      </c>
      <c r="W63" s="5" t="s">
        <v>121</v>
      </c>
      <c r="X63" s="5" t="s">
        <v>121</v>
      </c>
      <c r="Y63" s="5" t="s">
        <v>121</v>
      </c>
      <c r="Z63" s="5" t="s">
        <v>11952</v>
      </c>
      <c r="AA63" s="5" t="s">
        <v>11952</v>
      </c>
      <c r="AB63" s="5" t="s">
        <v>155</v>
      </c>
      <c r="AC63" s="5" t="s">
        <v>754</v>
      </c>
      <c r="AD63" s="5" t="s">
        <v>12758</v>
      </c>
      <c r="AE63" s="5" t="s">
        <v>121</v>
      </c>
      <c r="AF63" s="5" t="s">
        <v>754</v>
      </c>
      <c r="AG63" s="5" t="s">
        <v>121</v>
      </c>
      <c r="AH63" s="5" t="s">
        <v>121</v>
      </c>
      <c r="AI63" s="5" t="s">
        <v>121</v>
      </c>
      <c r="AJ63" s="5" t="s">
        <v>121</v>
      </c>
      <c r="AK63" s="5" t="s">
        <v>121</v>
      </c>
      <c r="AL63" s="5" t="s">
        <v>121</v>
      </c>
      <c r="AM63" s="5" t="s">
        <v>121</v>
      </c>
      <c r="AN63" s="5" t="s">
        <v>121</v>
      </c>
      <c r="AO63" s="5" t="s">
        <v>121</v>
      </c>
      <c r="AP63" s="5" t="s">
        <v>12677</v>
      </c>
      <c r="AQ63" s="5" t="s">
        <v>121</v>
      </c>
      <c r="AR63" s="5" t="s">
        <v>12759</v>
      </c>
      <c r="AS63" s="5" t="s">
        <v>755</v>
      </c>
      <c r="AT63" s="5" t="s">
        <v>121</v>
      </c>
      <c r="AU63" s="5" t="s">
        <v>752</v>
      </c>
      <c r="AV63" s="5" t="s">
        <v>121</v>
      </c>
      <c r="AW63" s="5" t="s">
        <v>121</v>
      </c>
      <c r="AX63" s="5" t="s">
        <v>121</v>
      </c>
      <c r="AY63" s="5" t="s">
        <v>2854</v>
      </c>
      <c r="AZ63" s="5" t="s">
        <v>121</v>
      </c>
      <c r="BA63" s="5" t="s">
        <v>121</v>
      </c>
      <c r="BB63" s="5" t="s">
        <v>3510</v>
      </c>
      <c r="BC63" s="5" t="s">
        <v>121</v>
      </c>
      <c r="BD63" s="5" t="s">
        <v>121</v>
      </c>
      <c r="BE63" s="5" t="s">
        <v>12760</v>
      </c>
      <c r="BF63" s="5" t="s">
        <v>12678</v>
      </c>
      <c r="BG63" s="5" t="s">
        <v>121</v>
      </c>
      <c r="BH63" s="5" t="s">
        <v>12761</v>
      </c>
      <c r="BI63" s="5" t="s">
        <v>121</v>
      </c>
      <c r="BJ63" s="5" t="s">
        <v>753</v>
      </c>
      <c r="BK63" s="5" t="s">
        <v>121</v>
      </c>
      <c r="BL63" s="5" t="s">
        <v>12762</v>
      </c>
      <c r="BM63" s="5" t="s">
        <v>12762</v>
      </c>
      <c r="BN63" s="5" t="s">
        <v>121</v>
      </c>
      <c r="BO63" s="5" t="s">
        <v>121</v>
      </c>
      <c r="BP63" s="5" t="s">
        <v>2854</v>
      </c>
      <c r="BQ63" s="5" t="s">
        <v>2854</v>
      </c>
      <c r="BR63" s="5" t="s">
        <v>2854</v>
      </c>
      <c r="BS63" s="5" t="s">
        <v>121</v>
      </c>
      <c r="BT63" s="5" t="s">
        <v>121</v>
      </c>
      <c r="BU63" s="5" t="s">
        <v>121</v>
      </c>
      <c r="BV63" s="5" t="s">
        <v>3510</v>
      </c>
      <c r="BW63" s="5" t="s">
        <v>3510</v>
      </c>
      <c r="BX63" s="5" t="s">
        <v>3510</v>
      </c>
      <c r="BY63" s="5" t="s">
        <v>12763</v>
      </c>
      <c r="BZ63" s="5" t="s">
        <v>12764</v>
      </c>
      <c r="CA63" s="5" t="s">
        <v>121</v>
      </c>
      <c r="CB63" s="5" t="s">
        <v>121</v>
      </c>
      <c r="CC63" s="5" t="s">
        <v>751</v>
      </c>
      <c r="CD63" s="5" t="s">
        <v>121</v>
      </c>
      <c r="CE63" s="5" t="s">
        <v>121</v>
      </c>
      <c r="CF63" s="5" t="s">
        <v>11958</v>
      </c>
      <c r="CG63" s="5" t="s">
        <v>121</v>
      </c>
      <c r="CH63" s="5" t="s">
        <v>121</v>
      </c>
      <c r="CI63" s="5" t="s">
        <v>12034</v>
      </c>
      <c r="CJ63" s="5" t="s">
        <v>124</v>
      </c>
      <c r="CK63" s="5" t="s">
        <v>241</v>
      </c>
      <c r="CL63" s="5" t="s">
        <v>3510</v>
      </c>
      <c r="CM63" s="5" t="s">
        <v>124</v>
      </c>
      <c r="CN63" s="5" t="s">
        <v>121</v>
      </c>
      <c r="CO63" s="5" t="s">
        <v>121</v>
      </c>
      <c r="CP63" s="5" t="s">
        <v>3510</v>
      </c>
      <c r="CQ63" s="5" t="s">
        <v>756</v>
      </c>
      <c r="CR63" s="5" t="s">
        <v>11960</v>
      </c>
      <c r="CS63" s="5" t="s">
        <v>3510</v>
      </c>
      <c r="CT63" s="5" t="s">
        <v>3510</v>
      </c>
      <c r="CU63" s="5" t="s">
        <v>3510</v>
      </c>
      <c r="CV63" s="5" t="s">
        <v>11952</v>
      </c>
      <c r="CW63" s="5" t="s">
        <v>11952</v>
      </c>
      <c r="CX63" s="5" t="s">
        <v>12673</v>
      </c>
      <c r="CY63" s="5" t="s">
        <v>12765</v>
      </c>
      <c r="CZ63" s="5" t="s">
        <v>3510</v>
      </c>
      <c r="DA63" s="5" t="s">
        <v>11952</v>
      </c>
      <c r="DB63" s="5" t="s">
        <v>11963</v>
      </c>
      <c r="DC63" s="5" t="s">
        <v>11963</v>
      </c>
      <c r="DD63" s="5" t="s">
        <v>11963</v>
      </c>
      <c r="DE63" s="5" t="s">
        <v>11963</v>
      </c>
      <c r="DF63" s="5" t="s">
        <v>3510</v>
      </c>
      <c r="DG63" s="5" t="s">
        <v>11964</v>
      </c>
      <c r="DH63" s="5" t="s">
        <v>12766</v>
      </c>
      <c r="DI63" s="5" t="s">
        <v>11975</v>
      </c>
      <c r="DJ63" s="5" t="s">
        <v>11966</v>
      </c>
      <c r="DK63" s="5" t="s">
        <v>11967</v>
      </c>
      <c r="DL63" s="5">
        <v>5</v>
      </c>
      <c r="DM63" s="5">
        <v>2</v>
      </c>
      <c r="DN63" s="5">
        <v>2.5</v>
      </c>
      <c r="DO63" s="5">
        <v>3</v>
      </c>
      <c r="DP63" s="5">
        <v>3</v>
      </c>
      <c r="DQ63" s="5">
        <v>1</v>
      </c>
      <c r="DR63" s="5">
        <v>0</v>
      </c>
      <c r="DS63" s="5">
        <v>52.5</v>
      </c>
      <c r="DT63" s="5" t="s">
        <v>11968</v>
      </c>
      <c r="DU63" s="5" t="s">
        <v>11969</v>
      </c>
      <c r="DV63" s="5" t="s">
        <v>11970</v>
      </c>
      <c r="DW63" s="5"/>
      <c r="DX63" s="5">
        <v>24</v>
      </c>
      <c r="DY63" s="5"/>
      <c r="DZ63" s="5">
        <v>100</v>
      </c>
      <c r="EA63" s="5"/>
      <c r="EB63" s="5">
        <v>0.24</v>
      </c>
      <c r="EC63" s="5"/>
      <c r="ED63" s="5" t="s">
        <v>11971</v>
      </c>
      <c r="EE63" s="5"/>
      <c r="EF63" s="5" t="s">
        <v>11997</v>
      </c>
      <c r="EG63" s="5"/>
      <c r="EH63" s="5" t="s">
        <v>11997</v>
      </c>
      <c r="EI63" s="5"/>
      <c r="EJ63" s="5" t="s">
        <v>11997</v>
      </c>
      <c r="EK63" s="5"/>
      <c r="EL63" s="5" t="s">
        <v>11997</v>
      </c>
      <c r="EM63" s="5"/>
      <c r="EN63" s="5" t="s">
        <v>11997</v>
      </c>
      <c r="EO63" s="5"/>
      <c r="EP63" s="5" t="s">
        <v>11998</v>
      </c>
      <c r="EQ63" s="5"/>
      <c r="ER63" s="5" t="s">
        <v>11997</v>
      </c>
      <c r="ES63" s="5"/>
      <c r="ET63" s="5" t="s">
        <v>11972</v>
      </c>
      <c r="EU63" s="5"/>
      <c r="EV63" s="5"/>
      <c r="EW63" s="5"/>
      <c r="EX63" s="5"/>
      <c r="EY63" s="5" t="s">
        <v>4786</v>
      </c>
      <c r="EZ63" s="5"/>
      <c r="FA63" s="5" t="s">
        <v>757</v>
      </c>
      <c r="FB63" s="5"/>
    </row>
    <row r="64" spans="1:158" ht="76.5">
      <c r="A64" s="5" t="s">
        <v>759</v>
      </c>
      <c r="B64" s="5" t="s">
        <v>760</v>
      </c>
      <c r="C64" s="5" t="s">
        <v>11952</v>
      </c>
      <c r="D64" s="5" t="s">
        <v>556</v>
      </c>
      <c r="E64" s="5" t="s">
        <v>11953</v>
      </c>
      <c r="F64" s="5" t="s">
        <v>11954</v>
      </c>
      <c r="G64" s="5" t="s">
        <v>11955</v>
      </c>
      <c r="H64" s="5" t="s">
        <v>11235</v>
      </c>
      <c r="I64" s="5" t="s">
        <v>562</v>
      </c>
      <c r="J64" s="5" t="s">
        <v>3510</v>
      </c>
      <c r="K64" s="5" t="s">
        <v>11956</v>
      </c>
      <c r="L64" s="5" t="s">
        <v>768</v>
      </c>
      <c r="M64" s="5" t="s">
        <v>11952</v>
      </c>
      <c r="N64" s="5" t="s">
        <v>11952</v>
      </c>
      <c r="O64" s="5" t="s">
        <v>768</v>
      </c>
      <c r="P64" s="5" t="s">
        <v>11952</v>
      </c>
      <c r="Q64" s="5" t="s">
        <v>11952</v>
      </c>
      <c r="R64" s="5" t="s">
        <v>11952</v>
      </c>
      <c r="S64" s="5" t="s">
        <v>11952</v>
      </c>
      <c r="T64" s="5" t="s">
        <v>12767</v>
      </c>
      <c r="U64" s="5" t="s">
        <v>3510</v>
      </c>
      <c r="V64" s="5" t="s">
        <v>121</v>
      </c>
      <c r="W64" s="5" t="s">
        <v>121</v>
      </c>
      <c r="X64" s="5" t="s">
        <v>121</v>
      </c>
      <c r="Y64" s="5" t="s">
        <v>121</v>
      </c>
      <c r="Z64" s="5" t="s">
        <v>11952</v>
      </c>
      <c r="AA64" s="5" t="s">
        <v>11952</v>
      </c>
      <c r="AB64" s="5" t="s">
        <v>155</v>
      </c>
      <c r="AC64" s="5" t="s">
        <v>764</v>
      </c>
      <c r="AD64" s="5" t="s">
        <v>12768</v>
      </c>
      <c r="AE64" s="5" t="s">
        <v>12768</v>
      </c>
      <c r="AF64" s="5" t="s">
        <v>764</v>
      </c>
      <c r="AG64" s="5" t="s">
        <v>121</v>
      </c>
      <c r="AH64" s="5" t="s">
        <v>121</v>
      </c>
      <c r="AI64" s="5" t="s">
        <v>121</v>
      </c>
      <c r="AJ64" s="5" t="s">
        <v>121</v>
      </c>
      <c r="AK64" s="5" t="s">
        <v>121</v>
      </c>
      <c r="AL64" s="5" t="s">
        <v>121</v>
      </c>
      <c r="AM64" s="5" t="s">
        <v>121</v>
      </c>
      <c r="AN64" s="5" t="s">
        <v>121</v>
      </c>
      <c r="AO64" s="5" t="s">
        <v>121</v>
      </c>
      <c r="AP64" s="5" t="s">
        <v>1550</v>
      </c>
      <c r="AQ64" s="5" t="s">
        <v>121</v>
      </c>
      <c r="AR64" s="5" t="s">
        <v>121</v>
      </c>
      <c r="AS64" s="5" t="s">
        <v>765</v>
      </c>
      <c r="AT64" s="5" t="s">
        <v>121</v>
      </c>
      <c r="AU64" s="5" t="s">
        <v>761</v>
      </c>
      <c r="AV64" s="5" t="s">
        <v>12003</v>
      </c>
      <c r="AW64" s="5" t="s">
        <v>761</v>
      </c>
      <c r="AX64" s="5" t="s">
        <v>12159</v>
      </c>
      <c r="AY64" s="5" t="s">
        <v>121</v>
      </c>
      <c r="AZ64" s="5" t="s">
        <v>121</v>
      </c>
      <c r="BA64" s="5" t="s">
        <v>121</v>
      </c>
      <c r="BB64" s="5" t="s">
        <v>3510</v>
      </c>
      <c r="BC64" s="5" t="s">
        <v>121</v>
      </c>
      <c r="BD64" s="5" t="s">
        <v>121</v>
      </c>
      <c r="BE64" s="5" t="s">
        <v>121</v>
      </c>
      <c r="BF64" s="5" t="s">
        <v>12769</v>
      </c>
      <c r="BG64" s="5" t="s">
        <v>121</v>
      </c>
      <c r="BH64" s="5" t="s">
        <v>12770</v>
      </c>
      <c r="BI64" s="5" t="s">
        <v>121</v>
      </c>
      <c r="BJ64" s="5" t="s">
        <v>762</v>
      </c>
      <c r="BK64" s="5" t="s">
        <v>121</v>
      </c>
      <c r="BL64" s="5" t="s">
        <v>332</v>
      </c>
      <c r="BM64" s="5" t="s">
        <v>332</v>
      </c>
      <c r="BN64" s="5" t="s">
        <v>763</v>
      </c>
      <c r="BO64" s="5" t="s">
        <v>12771</v>
      </c>
      <c r="BP64" s="5" t="s">
        <v>121</v>
      </c>
      <c r="BQ64" s="5" t="s">
        <v>2854</v>
      </c>
      <c r="BR64" s="5" t="s">
        <v>121</v>
      </c>
      <c r="BS64" s="5" t="s">
        <v>121</v>
      </c>
      <c r="BT64" s="5" t="s">
        <v>121</v>
      </c>
      <c r="BU64" s="5" t="s">
        <v>121</v>
      </c>
      <c r="BV64" s="5" t="s">
        <v>3510</v>
      </c>
      <c r="BW64" s="5" t="s">
        <v>3510</v>
      </c>
      <c r="BX64" s="5" t="s">
        <v>3510</v>
      </c>
      <c r="BY64" s="5" t="s">
        <v>12772</v>
      </c>
      <c r="BZ64" s="5" t="s">
        <v>12773</v>
      </c>
      <c r="CA64" s="5" t="s">
        <v>121</v>
      </c>
      <c r="CB64" s="5" t="s">
        <v>121</v>
      </c>
      <c r="CC64" s="5" t="s">
        <v>665</v>
      </c>
      <c r="CD64" s="5" t="s">
        <v>121</v>
      </c>
      <c r="CE64" s="5" t="s">
        <v>121</v>
      </c>
      <c r="CF64" s="5" t="s">
        <v>11958</v>
      </c>
      <c r="CG64" s="5" t="s">
        <v>121</v>
      </c>
      <c r="CH64" s="5" t="s">
        <v>121</v>
      </c>
      <c r="CI64" s="5" t="s">
        <v>12034</v>
      </c>
      <c r="CJ64" s="5" t="s">
        <v>124</v>
      </c>
      <c r="CK64" s="5" t="s">
        <v>241</v>
      </c>
      <c r="CL64" s="5" t="s">
        <v>3510</v>
      </c>
      <c r="CM64" s="5" t="s">
        <v>124</v>
      </c>
      <c r="CN64" s="5" t="s">
        <v>121</v>
      </c>
      <c r="CO64" s="5" t="s">
        <v>121</v>
      </c>
      <c r="CP64" s="5" t="s">
        <v>3510</v>
      </c>
      <c r="CQ64" s="5" t="s">
        <v>766</v>
      </c>
      <c r="CR64" s="5" t="s">
        <v>11960</v>
      </c>
      <c r="CS64" s="5" t="s">
        <v>3510</v>
      </c>
      <c r="CT64" s="5" t="s">
        <v>2854</v>
      </c>
      <c r="CU64" s="5" t="s">
        <v>3510</v>
      </c>
      <c r="CV64" s="5" t="s">
        <v>11952</v>
      </c>
      <c r="CW64" s="5" t="s">
        <v>12774</v>
      </c>
      <c r="CX64" s="5" t="s">
        <v>12673</v>
      </c>
      <c r="CY64" s="5" t="s">
        <v>12775</v>
      </c>
      <c r="CZ64" s="5" t="s">
        <v>3510</v>
      </c>
      <c r="DA64" s="5" t="s">
        <v>11952</v>
      </c>
      <c r="DB64" s="5" t="s">
        <v>11963</v>
      </c>
      <c r="DC64" s="5" t="s">
        <v>11963</v>
      </c>
      <c r="DD64" s="5" t="s">
        <v>11963</v>
      </c>
      <c r="DE64" s="5" t="s">
        <v>11963</v>
      </c>
      <c r="DF64" s="5" t="s">
        <v>3510</v>
      </c>
      <c r="DG64" s="5" t="s">
        <v>11964</v>
      </c>
      <c r="DH64" s="5" t="s">
        <v>12776</v>
      </c>
      <c r="DI64" s="5" t="s">
        <v>11975</v>
      </c>
      <c r="DJ64" s="5" t="s">
        <v>11966</v>
      </c>
      <c r="DK64" s="5" t="s">
        <v>11967</v>
      </c>
      <c r="DL64" s="5">
        <v>5</v>
      </c>
      <c r="DM64" s="5">
        <v>4</v>
      </c>
      <c r="DN64" s="5">
        <v>4</v>
      </c>
      <c r="DO64" s="5">
        <v>2</v>
      </c>
      <c r="DP64" s="5">
        <v>2</v>
      </c>
      <c r="DQ64" s="5">
        <v>3</v>
      </c>
      <c r="DR64" s="5">
        <v>0</v>
      </c>
      <c r="DS64" s="5">
        <v>64</v>
      </c>
      <c r="DT64" s="5" t="s">
        <v>11968</v>
      </c>
      <c r="DU64" s="5" t="s">
        <v>11969</v>
      </c>
      <c r="DV64" s="5" t="s">
        <v>11970</v>
      </c>
      <c r="DW64" s="5"/>
      <c r="DX64" s="5">
        <v>21</v>
      </c>
      <c r="DY64" s="5"/>
      <c r="DZ64" s="5">
        <v>100</v>
      </c>
      <c r="EA64" s="5"/>
      <c r="EB64" s="5">
        <v>0.21</v>
      </c>
      <c r="EC64" s="5"/>
      <c r="ED64" s="5" t="s">
        <v>11971</v>
      </c>
      <c r="EE64" s="5"/>
      <c r="EF64" s="5" t="s">
        <v>11997</v>
      </c>
      <c r="EG64" s="5"/>
      <c r="EH64" s="5" t="s">
        <v>11997</v>
      </c>
      <c r="EI64" s="5"/>
      <c r="EJ64" s="5" t="s">
        <v>11997</v>
      </c>
      <c r="EK64" s="5"/>
      <c r="EL64" s="5" t="s">
        <v>11997</v>
      </c>
      <c r="EM64" s="5"/>
      <c r="EN64" s="5" t="s">
        <v>11997</v>
      </c>
      <c r="EO64" s="5"/>
      <c r="EP64" s="5" t="s">
        <v>11998</v>
      </c>
      <c r="EQ64" s="5"/>
      <c r="ER64" s="5" t="s">
        <v>11997</v>
      </c>
      <c r="ES64" s="5"/>
      <c r="ET64" s="5" t="s">
        <v>11972</v>
      </c>
      <c r="EU64" s="5"/>
      <c r="EV64" s="5"/>
      <c r="EW64" s="5"/>
      <c r="EX64" s="5"/>
      <c r="EY64" s="5" t="s">
        <v>4819</v>
      </c>
      <c r="EZ64" s="5"/>
      <c r="FA64" s="5" t="s">
        <v>768</v>
      </c>
      <c r="FB64" s="5"/>
    </row>
    <row r="65" spans="1:158" ht="76.5">
      <c r="A65" s="5" t="s">
        <v>770</v>
      </c>
      <c r="B65" s="5" t="s">
        <v>771</v>
      </c>
      <c r="C65" s="5" t="s">
        <v>11952</v>
      </c>
      <c r="D65" s="5" t="s">
        <v>556</v>
      </c>
      <c r="E65" s="5" t="s">
        <v>11953</v>
      </c>
      <c r="F65" s="5" t="s">
        <v>11954</v>
      </c>
      <c r="G65" s="5" t="s">
        <v>11955</v>
      </c>
      <c r="H65" s="5" t="s">
        <v>11235</v>
      </c>
      <c r="I65" s="5" t="s">
        <v>562</v>
      </c>
      <c r="J65" s="5" t="s">
        <v>3510</v>
      </c>
      <c r="K65" s="5" t="s">
        <v>11956</v>
      </c>
      <c r="L65" s="5" t="s">
        <v>775</v>
      </c>
      <c r="M65" s="5" t="s">
        <v>11952</v>
      </c>
      <c r="N65" s="5" t="s">
        <v>11952</v>
      </c>
      <c r="O65" s="5" t="s">
        <v>775</v>
      </c>
      <c r="P65" s="5" t="s">
        <v>11952</v>
      </c>
      <c r="Q65" s="5" t="s">
        <v>11952</v>
      </c>
      <c r="R65" s="5" t="s">
        <v>11952</v>
      </c>
      <c r="S65" s="5" t="s">
        <v>11952</v>
      </c>
      <c r="T65" s="5" t="s">
        <v>12777</v>
      </c>
      <c r="U65" s="5" t="s">
        <v>3510</v>
      </c>
      <c r="V65" s="5" t="s">
        <v>121</v>
      </c>
      <c r="W65" s="5" t="s">
        <v>121</v>
      </c>
      <c r="X65" s="5" t="s">
        <v>121</v>
      </c>
      <c r="Y65" s="5" t="s">
        <v>121</v>
      </c>
      <c r="Z65" s="5" t="s">
        <v>11952</v>
      </c>
      <c r="AA65" s="5" t="s">
        <v>11952</v>
      </c>
      <c r="AB65" s="5" t="s">
        <v>155</v>
      </c>
      <c r="AC65" s="5" t="s">
        <v>764</v>
      </c>
      <c r="AD65" s="5" t="s">
        <v>12768</v>
      </c>
      <c r="AE65" s="5" t="s">
        <v>12768</v>
      </c>
      <c r="AF65" s="5" t="s">
        <v>764</v>
      </c>
      <c r="AG65" s="5" t="s">
        <v>121</v>
      </c>
      <c r="AH65" s="5" t="s">
        <v>121</v>
      </c>
      <c r="AI65" s="5" t="s">
        <v>121</v>
      </c>
      <c r="AJ65" s="5" t="s">
        <v>121</v>
      </c>
      <c r="AK65" s="5" t="s">
        <v>121</v>
      </c>
      <c r="AL65" s="5" t="s">
        <v>121</v>
      </c>
      <c r="AM65" s="5" t="s">
        <v>121</v>
      </c>
      <c r="AN65" s="5" t="s">
        <v>121</v>
      </c>
      <c r="AO65" s="5" t="s">
        <v>121</v>
      </c>
      <c r="AP65" s="5" t="s">
        <v>1550</v>
      </c>
      <c r="AQ65" s="5" t="s">
        <v>121</v>
      </c>
      <c r="AR65" s="5" t="s">
        <v>121</v>
      </c>
      <c r="AS65" s="5" t="s">
        <v>765</v>
      </c>
      <c r="AT65" s="5" t="s">
        <v>121</v>
      </c>
      <c r="AU65" s="5" t="s">
        <v>761</v>
      </c>
      <c r="AV65" s="5" t="s">
        <v>12003</v>
      </c>
      <c r="AW65" s="5" t="s">
        <v>761</v>
      </c>
      <c r="AX65" s="5" t="s">
        <v>12159</v>
      </c>
      <c r="AY65" s="5" t="s">
        <v>121</v>
      </c>
      <c r="AZ65" s="5" t="s">
        <v>121</v>
      </c>
      <c r="BA65" s="5" t="s">
        <v>121</v>
      </c>
      <c r="BB65" s="5" t="s">
        <v>3510</v>
      </c>
      <c r="BC65" s="5" t="s">
        <v>121</v>
      </c>
      <c r="BD65" s="5" t="s">
        <v>121</v>
      </c>
      <c r="BE65" s="5" t="s">
        <v>121</v>
      </c>
      <c r="BF65" s="5" t="s">
        <v>12769</v>
      </c>
      <c r="BG65" s="5" t="s">
        <v>121</v>
      </c>
      <c r="BH65" s="5" t="s">
        <v>12778</v>
      </c>
      <c r="BI65" s="5" t="s">
        <v>121</v>
      </c>
      <c r="BJ65" s="5" t="s">
        <v>772</v>
      </c>
      <c r="BK65" s="5" t="s">
        <v>121</v>
      </c>
      <c r="BL65" s="5" t="s">
        <v>12779</v>
      </c>
      <c r="BM65" s="5" t="s">
        <v>12779</v>
      </c>
      <c r="BN65" s="5" t="s">
        <v>773</v>
      </c>
      <c r="BO65" s="5" t="s">
        <v>12771</v>
      </c>
      <c r="BP65" s="5" t="s">
        <v>121</v>
      </c>
      <c r="BQ65" s="5" t="s">
        <v>2854</v>
      </c>
      <c r="BR65" s="5" t="s">
        <v>121</v>
      </c>
      <c r="BS65" s="5" t="s">
        <v>121</v>
      </c>
      <c r="BT65" s="5" t="s">
        <v>121</v>
      </c>
      <c r="BU65" s="5" t="s">
        <v>121</v>
      </c>
      <c r="BV65" s="5" t="s">
        <v>3510</v>
      </c>
      <c r="BW65" s="5" t="s">
        <v>3510</v>
      </c>
      <c r="BX65" s="5" t="s">
        <v>3510</v>
      </c>
      <c r="BY65" s="5" t="s">
        <v>12772</v>
      </c>
      <c r="BZ65" s="5" t="s">
        <v>12780</v>
      </c>
      <c r="CA65" s="5" t="s">
        <v>121</v>
      </c>
      <c r="CB65" s="5" t="s">
        <v>121</v>
      </c>
      <c r="CC65" s="5" t="s">
        <v>665</v>
      </c>
      <c r="CD65" s="5" t="s">
        <v>121</v>
      </c>
      <c r="CE65" s="5" t="s">
        <v>121</v>
      </c>
      <c r="CF65" s="5" t="s">
        <v>11958</v>
      </c>
      <c r="CG65" s="5" t="s">
        <v>121</v>
      </c>
      <c r="CH65" s="5" t="s">
        <v>121</v>
      </c>
      <c r="CI65" s="5" t="s">
        <v>12034</v>
      </c>
      <c r="CJ65" s="5" t="s">
        <v>124</v>
      </c>
      <c r="CK65" s="5" t="s">
        <v>241</v>
      </c>
      <c r="CL65" s="5" t="s">
        <v>3510</v>
      </c>
      <c r="CM65" s="5" t="s">
        <v>124</v>
      </c>
      <c r="CN65" s="5" t="s">
        <v>121</v>
      </c>
      <c r="CO65" s="5" t="s">
        <v>121</v>
      </c>
      <c r="CP65" s="5" t="s">
        <v>3510</v>
      </c>
      <c r="CQ65" s="5" t="s">
        <v>774</v>
      </c>
      <c r="CR65" s="5" t="s">
        <v>12187</v>
      </c>
      <c r="CS65" s="5" t="s">
        <v>3510</v>
      </c>
      <c r="CT65" s="5" t="s">
        <v>2854</v>
      </c>
      <c r="CU65" s="5" t="s">
        <v>2854</v>
      </c>
      <c r="CV65" s="5" t="s">
        <v>12781</v>
      </c>
      <c r="CW65" s="5" t="s">
        <v>12782</v>
      </c>
      <c r="CX65" s="5" t="s">
        <v>12673</v>
      </c>
      <c r="CY65" s="5" t="s">
        <v>12783</v>
      </c>
      <c r="CZ65" s="5" t="s">
        <v>3510</v>
      </c>
      <c r="DA65" s="5" t="s">
        <v>11952</v>
      </c>
      <c r="DB65" s="5" t="s">
        <v>11963</v>
      </c>
      <c r="DC65" s="5" t="s">
        <v>11963</v>
      </c>
      <c r="DD65" s="5" t="s">
        <v>11963</v>
      </c>
      <c r="DE65" s="5" t="s">
        <v>11963</v>
      </c>
      <c r="DF65" s="5" t="s">
        <v>3510</v>
      </c>
      <c r="DG65" s="5" t="s">
        <v>11964</v>
      </c>
      <c r="DH65" s="5" t="s">
        <v>12784</v>
      </c>
      <c r="DI65" s="5" t="s">
        <v>11975</v>
      </c>
      <c r="DJ65" s="5" t="s">
        <v>11966</v>
      </c>
      <c r="DK65" s="5" t="s">
        <v>11967</v>
      </c>
      <c r="DL65" s="5">
        <v>5</v>
      </c>
      <c r="DM65" s="5">
        <v>4</v>
      </c>
      <c r="DN65" s="5">
        <v>4</v>
      </c>
      <c r="DO65" s="5">
        <v>2</v>
      </c>
      <c r="DP65" s="5">
        <v>2</v>
      </c>
      <c r="DQ65" s="5">
        <v>3</v>
      </c>
      <c r="DR65" s="5">
        <v>0</v>
      </c>
      <c r="DS65" s="5">
        <v>64</v>
      </c>
      <c r="DT65" s="5" t="s">
        <v>11968</v>
      </c>
      <c r="DU65" s="5" t="s">
        <v>11969</v>
      </c>
      <c r="DV65" s="5" t="s">
        <v>11970</v>
      </c>
      <c r="DW65" s="5"/>
      <c r="DX65" s="5">
        <v>21</v>
      </c>
      <c r="DY65" s="5"/>
      <c r="DZ65" s="5">
        <v>100</v>
      </c>
      <c r="EA65" s="5"/>
      <c r="EB65" s="5">
        <v>0.21</v>
      </c>
      <c r="EC65" s="5"/>
      <c r="ED65" s="5" t="s">
        <v>11971</v>
      </c>
      <c r="EE65" s="5"/>
      <c r="EF65" s="5" t="s">
        <v>11997</v>
      </c>
      <c r="EG65" s="5"/>
      <c r="EH65" s="5" t="s">
        <v>11997</v>
      </c>
      <c r="EI65" s="5"/>
      <c r="EJ65" s="5" t="s">
        <v>11997</v>
      </c>
      <c r="EK65" s="5"/>
      <c r="EL65" s="5" t="s">
        <v>11997</v>
      </c>
      <c r="EM65" s="5"/>
      <c r="EN65" s="5" t="s">
        <v>11997</v>
      </c>
      <c r="EO65" s="5"/>
      <c r="EP65" s="5" t="s">
        <v>11998</v>
      </c>
      <c r="EQ65" s="5"/>
      <c r="ER65" s="5" t="s">
        <v>11997</v>
      </c>
      <c r="ES65" s="5"/>
      <c r="ET65" s="5" t="s">
        <v>11972</v>
      </c>
      <c r="EU65" s="5"/>
      <c r="EV65" s="5"/>
      <c r="EW65" s="5"/>
      <c r="EX65" s="5"/>
      <c r="EY65" s="5" t="s">
        <v>4852</v>
      </c>
      <c r="EZ65" s="5"/>
      <c r="FA65" s="5" t="s">
        <v>775</v>
      </c>
      <c r="FB65" s="5"/>
    </row>
    <row r="66" spans="1:158" ht="409.5">
      <c r="A66" s="5" t="s">
        <v>777</v>
      </c>
      <c r="B66" s="5" t="s">
        <v>778</v>
      </c>
      <c r="C66" s="5" t="s">
        <v>12785</v>
      </c>
      <c r="D66" s="5" t="s">
        <v>779</v>
      </c>
      <c r="E66" s="5" t="s">
        <v>12011</v>
      </c>
      <c r="F66" s="5" t="s">
        <v>11994</v>
      </c>
      <c r="G66" s="5" t="s">
        <v>12786</v>
      </c>
      <c r="H66" s="5" t="s">
        <v>12787</v>
      </c>
      <c r="I66" s="5" t="s">
        <v>789</v>
      </c>
      <c r="J66" s="5" t="s">
        <v>2854</v>
      </c>
      <c r="K66" s="5" t="s">
        <v>12788</v>
      </c>
      <c r="L66" s="5" t="s">
        <v>790</v>
      </c>
      <c r="M66" s="5" t="s">
        <v>11952</v>
      </c>
      <c r="N66" s="5" t="s">
        <v>11952</v>
      </c>
      <c r="O66" s="5" t="s">
        <v>790</v>
      </c>
      <c r="P66" s="5" t="s">
        <v>11952</v>
      </c>
      <c r="Q66" s="5" t="s">
        <v>11952</v>
      </c>
      <c r="R66" s="5" t="s">
        <v>12789</v>
      </c>
      <c r="S66" s="5" t="s">
        <v>11952</v>
      </c>
      <c r="T66" s="5" t="s">
        <v>12790</v>
      </c>
      <c r="U66" s="5" t="s">
        <v>2854</v>
      </c>
      <c r="V66" s="5" t="s">
        <v>12791</v>
      </c>
      <c r="W66" s="5" t="s">
        <v>12792</v>
      </c>
      <c r="X66" s="5" t="s">
        <v>12791</v>
      </c>
      <c r="Y66" s="5" t="s">
        <v>121</v>
      </c>
      <c r="Z66" s="5" t="s">
        <v>121</v>
      </c>
      <c r="AA66" s="5" t="s">
        <v>11981</v>
      </c>
      <c r="AB66" s="5" t="s">
        <v>155</v>
      </c>
      <c r="AC66" s="5" t="s">
        <v>786</v>
      </c>
      <c r="AD66" s="5" t="s">
        <v>121</v>
      </c>
      <c r="AE66" s="5" t="s">
        <v>121</v>
      </c>
      <c r="AF66" s="5" t="s">
        <v>786</v>
      </c>
      <c r="AG66" s="5" t="s">
        <v>121</v>
      </c>
      <c r="AH66" s="5" t="s">
        <v>121</v>
      </c>
      <c r="AI66" s="5" t="s">
        <v>121</v>
      </c>
      <c r="AJ66" s="5" t="s">
        <v>121</v>
      </c>
      <c r="AK66" s="5" t="s">
        <v>121</v>
      </c>
      <c r="AL66" s="5" t="s">
        <v>121</v>
      </c>
      <c r="AM66" s="5" t="s">
        <v>121</v>
      </c>
      <c r="AN66" s="5" t="s">
        <v>12793</v>
      </c>
      <c r="AO66" s="5" t="s">
        <v>121</v>
      </c>
      <c r="AP66" s="5" t="s">
        <v>12794</v>
      </c>
      <c r="AQ66" s="5" t="s">
        <v>121</v>
      </c>
      <c r="AR66" s="5" t="s">
        <v>12795</v>
      </c>
      <c r="AS66" s="5" t="s">
        <v>787</v>
      </c>
      <c r="AT66" s="5" t="s">
        <v>121</v>
      </c>
      <c r="AU66" s="5" t="s">
        <v>781</v>
      </c>
      <c r="AV66" s="5" t="s">
        <v>121</v>
      </c>
      <c r="AW66" s="5" t="s">
        <v>121</v>
      </c>
      <c r="AX66" s="5" t="s">
        <v>121</v>
      </c>
      <c r="AY66" s="5" t="s">
        <v>2854</v>
      </c>
      <c r="AZ66" s="5" t="s">
        <v>2854</v>
      </c>
      <c r="BA66" s="5" t="s">
        <v>121</v>
      </c>
      <c r="BB66" s="5" t="s">
        <v>3510</v>
      </c>
      <c r="BC66" s="5" t="s">
        <v>3510</v>
      </c>
      <c r="BD66" s="5" t="s">
        <v>121</v>
      </c>
      <c r="BE66" s="5" t="s">
        <v>121</v>
      </c>
      <c r="BF66" s="5" t="s">
        <v>12796</v>
      </c>
      <c r="BG66" s="5" t="s">
        <v>121</v>
      </c>
      <c r="BH66" s="5" t="s">
        <v>12797</v>
      </c>
      <c r="BI66" s="5" t="s">
        <v>121</v>
      </c>
      <c r="BJ66" s="5" t="s">
        <v>782</v>
      </c>
      <c r="BK66" s="5" t="s">
        <v>121</v>
      </c>
      <c r="BL66" s="5" t="s">
        <v>12798</v>
      </c>
      <c r="BM66" s="5" t="s">
        <v>12798</v>
      </c>
      <c r="BN66" s="5" t="s">
        <v>783</v>
      </c>
      <c r="BO66" s="5" t="s">
        <v>121</v>
      </c>
      <c r="BP66" s="5" t="s">
        <v>2854</v>
      </c>
      <c r="BQ66" s="5" t="s">
        <v>121</v>
      </c>
      <c r="BR66" s="5" t="s">
        <v>121</v>
      </c>
      <c r="BS66" s="5" t="s">
        <v>121</v>
      </c>
      <c r="BT66" s="5" t="s">
        <v>121</v>
      </c>
      <c r="BU66" s="5" t="s">
        <v>121</v>
      </c>
      <c r="BV66" s="5" t="s">
        <v>3510</v>
      </c>
      <c r="BW66" s="5" t="s">
        <v>3510</v>
      </c>
      <c r="BX66" s="5" t="s">
        <v>3510</v>
      </c>
      <c r="BY66" s="5" t="s">
        <v>12799</v>
      </c>
      <c r="BZ66" s="5" t="s">
        <v>121</v>
      </c>
      <c r="CA66" s="5" t="s">
        <v>121</v>
      </c>
      <c r="CB66" s="5" t="s">
        <v>121</v>
      </c>
      <c r="CC66" s="5" t="s">
        <v>780</v>
      </c>
      <c r="CD66" s="5" t="s">
        <v>12800</v>
      </c>
      <c r="CE66" s="5" t="s">
        <v>12800</v>
      </c>
      <c r="CF66" s="5" t="s">
        <v>11958</v>
      </c>
      <c r="CG66" s="5" t="s">
        <v>12801</v>
      </c>
      <c r="CH66" s="5" t="s">
        <v>12802</v>
      </c>
      <c r="CI66" s="5" t="s">
        <v>11959</v>
      </c>
      <c r="CJ66" s="5" t="s">
        <v>785</v>
      </c>
      <c r="CK66" s="5" t="s">
        <v>784</v>
      </c>
      <c r="CL66" s="5" t="s">
        <v>2854</v>
      </c>
      <c r="CM66" s="5" t="s">
        <v>785</v>
      </c>
      <c r="CN66" s="5" t="s">
        <v>121</v>
      </c>
      <c r="CO66" s="5" t="s">
        <v>121</v>
      </c>
      <c r="CP66" s="5" t="s">
        <v>3510</v>
      </c>
      <c r="CQ66" s="5" t="s">
        <v>788</v>
      </c>
      <c r="CR66" s="5" t="s">
        <v>11960</v>
      </c>
      <c r="CS66" s="5" t="s">
        <v>2854</v>
      </c>
      <c r="CT66" s="5" t="s">
        <v>3510</v>
      </c>
      <c r="CU66" s="5" t="s">
        <v>3510</v>
      </c>
      <c r="CV66" s="5" t="s">
        <v>11952</v>
      </c>
      <c r="CW66" s="5" t="s">
        <v>11952</v>
      </c>
      <c r="CX66" s="5" t="s">
        <v>12803</v>
      </c>
      <c r="CY66" s="5" t="s">
        <v>12804</v>
      </c>
      <c r="CZ66" s="5" t="s">
        <v>11989</v>
      </c>
      <c r="DA66" s="5" t="s">
        <v>11989</v>
      </c>
      <c r="DB66" s="5" t="s">
        <v>12805</v>
      </c>
      <c r="DC66" s="5" t="s">
        <v>12806</v>
      </c>
      <c r="DD66" s="5" t="s">
        <v>11963</v>
      </c>
      <c r="DE66" s="5" t="s">
        <v>12807</v>
      </c>
      <c r="DF66" s="5" t="s">
        <v>3510</v>
      </c>
      <c r="DG66" s="5" t="s">
        <v>12808</v>
      </c>
      <c r="DH66" s="5" t="s">
        <v>12809</v>
      </c>
      <c r="DI66" s="5" t="s">
        <v>11966</v>
      </c>
      <c r="DJ66" s="5" t="s">
        <v>11966</v>
      </c>
      <c r="DK66" s="5" t="s">
        <v>12115</v>
      </c>
      <c r="DL66" s="5">
        <v>4</v>
      </c>
      <c r="DM66" s="5">
        <v>2.2000000000000002</v>
      </c>
      <c r="DN66" s="5">
        <v>3.5</v>
      </c>
      <c r="DO66" s="5">
        <v>4.8</v>
      </c>
      <c r="DP66" s="5">
        <v>2</v>
      </c>
      <c r="DQ66" s="5">
        <v>1</v>
      </c>
      <c r="DR66" s="5">
        <v>0</v>
      </c>
      <c r="DS66" s="5">
        <v>55.7</v>
      </c>
      <c r="DT66" s="5" t="s">
        <v>11968</v>
      </c>
      <c r="DU66" s="5" t="s">
        <v>12046</v>
      </c>
      <c r="DV66" s="5" t="s">
        <v>11970</v>
      </c>
      <c r="DW66" s="5"/>
      <c r="DX66" s="5">
        <v>21</v>
      </c>
      <c r="DY66" s="5"/>
      <c r="DZ66" s="5">
        <v>100</v>
      </c>
      <c r="EA66" s="5"/>
      <c r="EB66" s="5">
        <v>0.21</v>
      </c>
      <c r="EC66" s="5"/>
      <c r="ED66" s="5" t="s">
        <v>11971</v>
      </c>
      <c r="EE66" s="5"/>
      <c r="EF66" s="5" t="s">
        <v>11997</v>
      </c>
      <c r="EG66" s="5"/>
      <c r="EH66" s="5" t="s">
        <v>11997</v>
      </c>
      <c r="EI66" s="5"/>
      <c r="EJ66" s="5" t="s">
        <v>11997</v>
      </c>
      <c r="EK66" s="5"/>
      <c r="EL66" s="5" t="s">
        <v>11997</v>
      </c>
      <c r="EM66" s="5"/>
      <c r="EN66" s="5" t="s">
        <v>11997</v>
      </c>
      <c r="EO66" s="5"/>
      <c r="EP66" s="5" t="s">
        <v>11998</v>
      </c>
      <c r="EQ66" s="5"/>
      <c r="ER66" s="5" t="s">
        <v>11997</v>
      </c>
      <c r="ES66" s="5"/>
      <c r="ET66" s="5" t="s">
        <v>11972</v>
      </c>
      <c r="EU66" s="5"/>
      <c r="EV66" s="5"/>
      <c r="EW66" s="5"/>
      <c r="EX66" s="5"/>
      <c r="EY66" s="5" t="s">
        <v>4885</v>
      </c>
      <c r="EZ66" s="5"/>
      <c r="FA66" s="5" t="s">
        <v>790</v>
      </c>
      <c r="FB66" s="5"/>
    </row>
    <row r="67" spans="1:158" ht="114.75">
      <c r="A67" s="5" t="s">
        <v>792</v>
      </c>
      <c r="B67" s="5" t="s">
        <v>793</v>
      </c>
      <c r="C67" s="5" t="s">
        <v>11952</v>
      </c>
      <c r="D67" s="5" t="s">
        <v>556</v>
      </c>
      <c r="E67" s="5" t="s">
        <v>12810</v>
      </c>
      <c r="F67" s="5" t="s">
        <v>11994</v>
      </c>
      <c r="G67" s="5" t="s">
        <v>12811</v>
      </c>
      <c r="H67" s="5" t="s">
        <v>11235</v>
      </c>
      <c r="I67" s="5" t="s">
        <v>562</v>
      </c>
      <c r="J67" s="5" t="s">
        <v>3510</v>
      </c>
      <c r="K67" s="5" t="s">
        <v>12812</v>
      </c>
      <c r="L67" s="5" t="s">
        <v>801</v>
      </c>
      <c r="M67" s="5" t="s">
        <v>11952</v>
      </c>
      <c r="N67" s="5" t="s">
        <v>11952</v>
      </c>
      <c r="O67" s="5" t="s">
        <v>801</v>
      </c>
      <c r="P67" s="5" t="s">
        <v>11952</v>
      </c>
      <c r="Q67" s="5" t="s">
        <v>11952</v>
      </c>
      <c r="R67" s="5" t="s">
        <v>11952</v>
      </c>
      <c r="S67" s="5" t="s">
        <v>11952</v>
      </c>
      <c r="T67" s="5" t="s">
        <v>12813</v>
      </c>
      <c r="U67" s="5" t="s">
        <v>3510</v>
      </c>
      <c r="V67" s="5" t="s">
        <v>121</v>
      </c>
      <c r="W67" s="5" t="s">
        <v>121</v>
      </c>
      <c r="X67" s="5" t="s">
        <v>121</v>
      </c>
      <c r="Y67" s="5" t="s">
        <v>121</v>
      </c>
      <c r="Z67" s="5" t="s">
        <v>11952</v>
      </c>
      <c r="AA67" s="5" t="s">
        <v>11952</v>
      </c>
      <c r="AB67" s="5" t="s">
        <v>121</v>
      </c>
      <c r="AC67" s="5" t="s">
        <v>121</v>
      </c>
      <c r="AD67" s="5" t="s">
        <v>121</v>
      </c>
      <c r="AE67" s="5" t="s">
        <v>121</v>
      </c>
      <c r="AF67" s="5" t="s">
        <v>121</v>
      </c>
      <c r="AG67" s="5" t="s">
        <v>121</v>
      </c>
      <c r="AH67" s="5" t="s">
        <v>121</v>
      </c>
      <c r="AI67" s="5" t="s">
        <v>121</v>
      </c>
      <c r="AJ67" s="5" t="s">
        <v>121</v>
      </c>
      <c r="AK67" s="5" t="s">
        <v>121</v>
      </c>
      <c r="AL67" s="5" t="s">
        <v>121</v>
      </c>
      <c r="AM67" s="5" t="s">
        <v>121</v>
      </c>
      <c r="AN67" s="5" t="s">
        <v>121</v>
      </c>
      <c r="AO67" s="5" t="s">
        <v>121</v>
      </c>
      <c r="AP67" s="5" t="s">
        <v>12814</v>
      </c>
      <c r="AQ67" s="5" t="s">
        <v>121</v>
      </c>
      <c r="AR67" s="5" t="s">
        <v>121</v>
      </c>
      <c r="AS67" s="5" t="s">
        <v>798</v>
      </c>
      <c r="AT67" s="5" t="s">
        <v>121</v>
      </c>
      <c r="AU67" s="5" t="s">
        <v>795</v>
      </c>
      <c r="AV67" s="5" t="s">
        <v>121</v>
      </c>
      <c r="AW67" s="5" t="s">
        <v>121</v>
      </c>
      <c r="AX67" s="5" t="s">
        <v>121</v>
      </c>
      <c r="AY67" s="5" t="s">
        <v>121</v>
      </c>
      <c r="AZ67" s="5" t="s">
        <v>121</v>
      </c>
      <c r="BA67" s="5" t="s">
        <v>121</v>
      </c>
      <c r="BB67" s="5" t="s">
        <v>3510</v>
      </c>
      <c r="BC67" s="5" t="s">
        <v>121</v>
      </c>
      <c r="BD67" s="5" t="s">
        <v>121</v>
      </c>
      <c r="BE67" s="5" t="s">
        <v>121</v>
      </c>
      <c r="BF67" s="5" t="s">
        <v>121</v>
      </c>
      <c r="BG67" s="5" t="s">
        <v>121</v>
      </c>
      <c r="BH67" s="5" t="s">
        <v>12815</v>
      </c>
      <c r="BI67" s="5" t="s">
        <v>121</v>
      </c>
      <c r="BJ67" s="5" t="s">
        <v>796</v>
      </c>
      <c r="BK67" s="5" t="s">
        <v>121</v>
      </c>
      <c r="BL67" s="5" t="s">
        <v>1273</v>
      </c>
      <c r="BM67" s="5" t="s">
        <v>1273</v>
      </c>
      <c r="BN67" s="5" t="s">
        <v>797</v>
      </c>
      <c r="BO67" s="5" t="s">
        <v>11984</v>
      </c>
      <c r="BP67" s="5" t="s">
        <v>121</v>
      </c>
      <c r="BQ67" s="5" t="s">
        <v>121</v>
      </c>
      <c r="BR67" s="5" t="s">
        <v>2854</v>
      </c>
      <c r="BS67" s="5" t="s">
        <v>121</v>
      </c>
      <c r="BT67" s="5" t="s">
        <v>121</v>
      </c>
      <c r="BU67" s="5" t="s">
        <v>121</v>
      </c>
      <c r="BV67" s="5" t="s">
        <v>3510</v>
      </c>
      <c r="BW67" s="5" t="s">
        <v>3510</v>
      </c>
      <c r="BX67" s="5" t="s">
        <v>3510</v>
      </c>
      <c r="BY67" s="5" t="s">
        <v>12816</v>
      </c>
      <c r="BZ67" s="5" t="s">
        <v>12817</v>
      </c>
      <c r="CA67" s="5" t="s">
        <v>121</v>
      </c>
      <c r="CB67" s="5" t="s">
        <v>121</v>
      </c>
      <c r="CC67" s="5" t="s">
        <v>794</v>
      </c>
      <c r="CD67" s="5" t="s">
        <v>121</v>
      </c>
      <c r="CE67" s="5" t="s">
        <v>121</v>
      </c>
      <c r="CF67" s="5" t="s">
        <v>11958</v>
      </c>
      <c r="CG67" s="5" t="s">
        <v>121</v>
      </c>
      <c r="CH67" s="5" t="s">
        <v>121</v>
      </c>
      <c r="CI67" s="5" t="s">
        <v>11959</v>
      </c>
      <c r="CJ67" s="5" t="s">
        <v>124</v>
      </c>
      <c r="CK67" s="5" t="s">
        <v>241</v>
      </c>
      <c r="CL67" s="5" t="s">
        <v>3510</v>
      </c>
      <c r="CM67" s="5" t="s">
        <v>124</v>
      </c>
      <c r="CN67" s="5" t="s">
        <v>121</v>
      </c>
      <c r="CO67" s="5" t="s">
        <v>121</v>
      </c>
      <c r="CP67" s="5" t="s">
        <v>3510</v>
      </c>
      <c r="CQ67" s="5" t="s">
        <v>799</v>
      </c>
      <c r="CR67" s="5" t="s">
        <v>12187</v>
      </c>
      <c r="CS67" s="5" t="s">
        <v>3510</v>
      </c>
      <c r="CT67" s="5" t="s">
        <v>3510</v>
      </c>
      <c r="CU67" s="5" t="s">
        <v>2854</v>
      </c>
      <c r="CV67" s="5" t="s">
        <v>26</v>
      </c>
      <c r="CW67" s="5" t="s">
        <v>26</v>
      </c>
      <c r="CX67" s="5" t="s">
        <v>12673</v>
      </c>
      <c r="CY67" s="5" t="s">
        <v>12818</v>
      </c>
      <c r="CZ67" s="5" t="s">
        <v>3510</v>
      </c>
      <c r="DA67" s="5" t="s">
        <v>11952</v>
      </c>
      <c r="DB67" s="5" t="s">
        <v>11963</v>
      </c>
      <c r="DC67" s="5" t="s">
        <v>11963</v>
      </c>
      <c r="DD67" s="5" t="s">
        <v>11963</v>
      </c>
      <c r="DE67" s="5" t="s">
        <v>11963</v>
      </c>
      <c r="DF67" s="5" t="s">
        <v>3510</v>
      </c>
      <c r="DG67" s="5" t="s">
        <v>11964</v>
      </c>
      <c r="DH67" s="5" t="s">
        <v>12819</v>
      </c>
      <c r="DI67" s="5" t="s">
        <v>11975</v>
      </c>
      <c r="DJ67" s="5" t="s">
        <v>11966</v>
      </c>
      <c r="DK67" s="5" t="s">
        <v>12820</v>
      </c>
      <c r="DL67" s="5">
        <v>3</v>
      </c>
      <c r="DM67" s="5">
        <v>3</v>
      </c>
      <c r="DN67" s="5">
        <v>3</v>
      </c>
      <c r="DO67" s="5">
        <v>0</v>
      </c>
      <c r="DP67" s="5">
        <v>1</v>
      </c>
      <c r="DQ67" s="5">
        <v>0</v>
      </c>
      <c r="DR67" s="5">
        <v>0</v>
      </c>
      <c r="DS67" s="5">
        <v>35</v>
      </c>
      <c r="DT67" s="5" t="s">
        <v>11968</v>
      </c>
      <c r="DU67" s="5" t="s">
        <v>11969</v>
      </c>
      <c r="DV67" s="5" t="s">
        <v>11970</v>
      </c>
      <c r="DW67" s="5"/>
      <c r="DX67" s="5">
        <v>18</v>
      </c>
      <c r="DY67" s="5"/>
      <c r="DZ67" s="5">
        <v>100</v>
      </c>
      <c r="EA67" s="5"/>
      <c r="EB67" s="5">
        <v>0.18</v>
      </c>
      <c r="EC67" s="5"/>
      <c r="ED67" s="5" t="s">
        <v>11971</v>
      </c>
      <c r="EE67" s="5"/>
      <c r="EF67" s="5" t="s">
        <v>11997</v>
      </c>
      <c r="EG67" s="5"/>
      <c r="EH67" s="5" t="s">
        <v>11997</v>
      </c>
      <c r="EI67" s="5"/>
      <c r="EJ67" s="5" t="s">
        <v>11997</v>
      </c>
      <c r="EK67" s="5"/>
      <c r="EL67" s="5" t="s">
        <v>11997</v>
      </c>
      <c r="EM67" s="5"/>
      <c r="EN67" s="5" t="s">
        <v>11997</v>
      </c>
      <c r="EO67" s="5"/>
      <c r="EP67" s="5" t="s">
        <v>11998</v>
      </c>
      <c r="EQ67" s="5"/>
      <c r="ER67" s="5" t="s">
        <v>11997</v>
      </c>
      <c r="ES67" s="5"/>
      <c r="ET67" s="5" t="s">
        <v>11972</v>
      </c>
      <c r="EU67" s="5"/>
      <c r="EV67" s="5"/>
      <c r="EW67" s="5"/>
      <c r="EX67" s="5"/>
      <c r="EY67" s="5" t="s">
        <v>4919</v>
      </c>
      <c r="EZ67" s="5"/>
      <c r="FA67" s="5" t="s">
        <v>801</v>
      </c>
      <c r="FB67" s="5"/>
    </row>
    <row r="68" spans="1:158" ht="102">
      <c r="A68" s="5" t="s">
        <v>803</v>
      </c>
      <c r="B68" s="5" t="s">
        <v>804</v>
      </c>
      <c r="C68" s="5" t="s">
        <v>11952</v>
      </c>
      <c r="D68" s="5" t="s">
        <v>556</v>
      </c>
      <c r="E68" s="5" t="s">
        <v>11953</v>
      </c>
      <c r="F68" s="5" t="s">
        <v>11954</v>
      </c>
      <c r="G68" s="5" t="s">
        <v>11955</v>
      </c>
      <c r="H68" s="5" t="s">
        <v>11235</v>
      </c>
      <c r="I68" s="5" t="s">
        <v>562</v>
      </c>
      <c r="J68" s="5" t="s">
        <v>3510</v>
      </c>
      <c r="K68" s="5" t="s">
        <v>11956</v>
      </c>
      <c r="L68" s="5" t="s">
        <v>810</v>
      </c>
      <c r="M68" s="5" t="s">
        <v>11952</v>
      </c>
      <c r="N68" s="5" t="s">
        <v>11952</v>
      </c>
      <c r="O68" s="5" t="s">
        <v>810</v>
      </c>
      <c r="P68" s="5" t="s">
        <v>11952</v>
      </c>
      <c r="Q68" s="5" t="s">
        <v>11952</v>
      </c>
      <c r="R68" s="5" t="s">
        <v>11952</v>
      </c>
      <c r="S68" s="5" t="s">
        <v>11952</v>
      </c>
      <c r="T68" s="5" t="s">
        <v>12821</v>
      </c>
      <c r="U68" s="5" t="s">
        <v>3510</v>
      </c>
      <c r="V68" s="5" t="s">
        <v>121</v>
      </c>
      <c r="W68" s="5" t="s">
        <v>121</v>
      </c>
      <c r="X68" s="5" t="s">
        <v>121</v>
      </c>
      <c r="Y68" s="5" t="s">
        <v>121</v>
      </c>
      <c r="Z68" s="5" t="s">
        <v>11952</v>
      </c>
      <c r="AA68" s="5" t="s">
        <v>11952</v>
      </c>
      <c r="AB68" s="5" t="s">
        <v>155</v>
      </c>
      <c r="AC68" s="5" t="s">
        <v>807</v>
      </c>
      <c r="AD68" s="5" t="s">
        <v>121</v>
      </c>
      <c r="AE68" s="5" t="s">
        <v>121</v>
      </c>
      <c r="AF68" s="5" t="s">
        <v>807</v>
      </c>
      <c r="AG68" s="5" t="s">
        <v>121</v>
      </c>
      <c r="AH68" s="5" t="s">
        <v>121</v>
      </c>
      <c r="AI68" s="5" t="s">
        <v>121</v>
      </c>
      <c r="AJ68" s="5" t="s">
        <v>121</v>
      </c>
      <c r="AK68" s="5" t="s">
        <v>121</v>
      </c>
      <c r="AL68" s="5" t="s">
        <v>121</v>
      </c>
      <c r="AM68" s="5" t="s">
        <v>121</v>
      </c>
      <c r="AN68" s="5" t="s">
        <v>12822</v>
      </c>
      <c r="AO68" s="5" t="s">
        <v>121</v>
      </c>
      <c r="AP68" s="5" t="s">
        <v>1350</v>
      </c>
      <c r="AQ68" s="5" t="s">
        <v>121</v>
      </c>
      <c r="AR68" s="5" t="s">
        <v>12823</v>
      </c>
      <c r="AS68" s="5" t="s">
        <v>808</v>
      </c>
      <c r="AT68" s="5" t="s">
        <v>121</v>
      </c>
      <c r="AU68" s="5" t="s">
        <v>805</v>
      </c>
      <c r="AV68" s="5" t="s">
        <v>121</v>
      </c>
      <c r="AW68" s="5" t="s">
        <v>805</v>
      </c>
      <c r="AX68" s="5" t="s">
        <v>12159</v>
      </c>
      <c r="AY68" s="5" t="s">
        <v>121</v>
      </c>
      <c r="AZ68" s="5" t="s">
        <v>2854</v>
      </c>
      <c r="BA68" s="5" t="s">
        <v>121</v>
      </c>
      <c r="BB68" s="5" t="s">
        <v>3510</v>
      </c>
      <c r="BC68" s="5" t="s">
        <v>121</v>
      </c>
      <c r="BD68" s="5" t="s">
        <v>121</v>
      </c>
      <c r="BE68" s="5" t="s">
        <v>121</v>
      </c>
      <c r="BF68" s="5" t="s">
        <v>121</v>
      </c>
      <c r="BG68" s="5" t="s">
        <v>121</v>
      </c>
      <c r="BH68" s="5" t="s">
        <v>12824</v>
      </c>
      <c r="BI68" s="5" t="s">
        <v>121</v>
      </c>
      <c r="BJ68" s="5" t="s">
        <v>806</v>
      </c>
      <c r="BK68" s="5" t="s">
        <v>121</v>
      </c>
      <c r="BL68" s="5" t="s">
        <v>1273</v>
      </c>
      <c r="BM68" s="5" t="s">
        <v>1273</v>
      </c>
      <c r="BN68" s="5" t="s">
        <v>121</v>
      </c>
      <c r="BO68" s="5" t="s">
        <v>121</v>
      </c>
      <c r="BP68" s="5" t="s">
        <v>121</v>
      </c>
      <c r="BQ68" s="5" t="s">
        <v>121</v>
      </c>
      <c r="BR68" s="5" t="s">
        <v>2854</v>
      </c>
      <c r="BS68" s="5" t="s">
        <v>121</v>
      </c>
      <c r="BT68" s="5" t="s">
        <v>121</v>
      </c>
      <c r="BU68" s="5" t="s">
        <v>121</v>
      </c>
      <c r="BV68" s="5" t="s">
        <v>3510</v>
      </c>
      <c r="BW68" s="5" t="s">
        <v>3510</v>
      </c>
      <c r="BX68" s="5" t="s">
        <v>3510</v>
      </c>
      <c r="BY68" s="5" t="s">
        <v>12825</v>
      </c>
      <c r="BZ68" s="5" t="s">
        <v>121</v>
      </c>
      <c r="CA68" s="5" t="s">
        <v>121</v>
      </c>
      <c r="CB68" s="5" t="s">
        <v>121</v>
      </c>
      <c r="CC68" s="5" t="s">
        <v>794</v>
      </c>
      <c r="CD68" s="5" t="s">
        <v>121</v>
      </c>
      <c r="CE68" s="5" t="s">
        <v>121</v>
      </c>
      <c r="CF68" s="5" t="s">
        <v>11958</v>
      </c>
      <c r="CG68" s="5" t="s">
        <v>121</v>
      </c>
      <c r="CH68" s="5" t="s">
        <v>121</v>
      </c>
      <c r="CI68" s="5" t="s">
        <v>12034</v>
      </c>
      <c r="CJ68" s="5" t="s">
        <v>124</v>
      </c>
      <c r="CK68" s="5" t="s">
        <v>241</v>
      </c>
      <c r="CL68" s="5" t="s">
        <v>3510</v>
      </c>
      <c r="CM68" s="5" t="s">
        <v>124</v>
      </c>
      <c r="CN68" s="5" t="s">
        <v>121</v>
      </c>
      <c r="CO68" s="5" t="s">
        <v>121</v>
      </c>
      <c r="CP68" s="5" t="s">
        <v>3510</v>
      </c>
      <c r="CQ68" s="5" t="s">
        <v>809</v>
      </c>
      <c r="CR68" s="5" t="s">
        <v>11960</v>
      </c>
      <c r="CS68" s="5" t="s">
        <v>3510</v>
      </c>
      <c r="CT68" s="5" t="s">
        <v>3510</v>
      </c>
      <c r="CU68" s="5" t="s">
        <v>3510</v>
      </c>
      <c r="CV68" s="5" t="s">
        <v>11952</v>
      </c>
      <c r="CW68" s="5" t="s">
        <v>11952</v>
      </c>
      <c r="CX68" s="5" t="s">
        <v>12673</v>
      </c>
      <c r="CY68" s="5" t="s">
        <v>12826</v>
      </c>
      <c r="CZ68" s="5" t="s">
        <v>3510</v>
      </c>
      <c r="DA68" s="5" t="s">
        <v>11952</v>
      </c>
      <c r="DB68" s="5" t="s">
        <v>11963</v>
      </c>
      <c r="DC68" s="5" t="s">
        <v>11963</v>
      </c>
      <c r="DD68" s="5" t="s">
        <v>11963</v>
      </c>
      <c r="DE68" s="5" t="s">
        <v>11963</v>
      </c>
      <c r="DF68" s="5" t="s">
        <v>3510</v>
      </c>
      <c r="DG68" s="5" t="s">
        <v>11964</v>
      </c>
      <c r="DH68" s="5" t="s">
        <v>12827</v>
      </c>
      <c r="DI68" s="5" t="s">
        <v>11975</v>
      </c>
      <c r="DJ68" s="5" t="s">
        <v>11966</v>
      </c>
      <c r="DK68" s="5" t="s">
        <v>11967</v>
      </c>
      <c r="DL68" s="5">
        <v>5</v>
      </c>
      <c r="DM68" s="5">
        <v>4</v>
      </c>
      <c r="DN68" s="5">
        <v>3</v>
      </c>
      <c r="DO68" s="5">
        <v>3</v>
      </c>
      <c r="DP68" s="5">
        <v>2</v>
      </c>
      <c r="DQ68" s="5">
        <v>2</v>
      </c>
      <c r="DR68" s="5">
        <v>0</v>
      </c>
      <c r="DS68" s="5">
        <v>62</v>
      </c>
      <c r="DT68" s="5" t="s">
        <v>11968</v>
      </c>
      <c r="DU68" s="5" t="s">
        <v>11969</v>
      </c>
      <c r="DV68" s="5" t="s">
        <v>11970</v>
      </c>
      <c r="DW68" s="5"/>
      <c r="DX68" s="5">
        <v>29</v>
      </c>
      <c r="DY68" s="5"/>
      <c r="DZ68" s="5">
        <v>100</v>
      </c>
      <c r="EA68" s="5"/>
      <c r="EB68" s="5">
        <v>0.28999999999999998</v>
      </c>
      <c r="EC68" s="5"/>
      <c r="ED68" s="5" t="s">
        <v>11971</v>
      </c>
      <c r="EE68" s="5"/>
      <c r="EF68" s="5" t="s">
        <v>11997</v>
      </c>
      <c r="EG68" s="5"/>
      <c r="EH68" s="5" t="s">
        <v>11997</v>
      </c>
      <c r="EI68" s="5"/>
      <c r="EJ68" s="5" t="s">
        <v>11997</v>
      </c>
      <c r="EK68" s="5"/>
      <c r="EL68" s="5" t="s">
        <v>11997</v>
      </c>
      <c r="EM68" s="5"/>
      <c r="EN68" s="5" t="s">
        <v>11997</v>
      </c>
      <c r="EO68" s="5"/>
      <c r="EP68" s="5" t="s">
        <v>11998</v>
      </c>
      <c r="EQ68" s="5"/>
      <c r="ER68" s="5" t="s">
        <v>11997</v>
      </c>
      <c r="ES68" s="5"/>
      <c r="ET68" s="5" t="s">
        <v>11972</v>
      </c>
      <c r="EU68" s="5"/>
      <c r="EV68" s="5"/>
      <c r="EW68" s="5"/>
      <c r="EX68" s="5"/>
      <c r="EY68" s="5" t="s">
        <v>4948</v>
      </c>
      <c r="EZ68" s="5"/>
      <c r="FA68" s="5" t="s">
        <v>810</v>
      </c>
      <c r="FB68" s="5"/>
    </row>
    <row r="69" spans="1:158" ht="409.5">
      <c r="A69" s="5" t="s">
        <v>812</v>
      </c>
      <c r="B69" s="5" t="s">
        <v>813</v>
      </c>
      <c r="C69" s="5" t="s">
        <v>12828</v>
      </c>
      <c r="D69" s="5" t="s">
        <v>814</v>
      </c>
      <c r="E69" s="5" t="s">
        <v>12011</v>
      </c>
      <c r="F69" s="5" t="s">
        <v>11994</v>
      </c>
      <c r="G69" s="5" t="s">
        <v>12829</v>
      </c>
      <c r="H69" s="5" t="s">
        <v>11235</v>
      </c>
      <c r="I69" s="5" t="s">
        <v>789</v>
      </c>
      <c r="J69" s="5" t="s">
        <v>2854</v>
      </c>
      <c r="K69" s="5" t="s">
        <v>12830</v>
      </c>
      <c r="L69" s="5" t="s">
        <v>822</v>
      </c>
      <c r="M69" s="5" t="s">
        <v>11952</v>
      </c>
      <c r="N69" s="5" t="s">
        <v>11952</v>
      </c>
      <c r="O69" s="5" t="s">
        <v>822</v>
      </c>
      <c r="P69" s="5" t="s">
        <v>11952</v>
      </c>
      <c r="Q69" s="5" t="s">
        <v>11952</v>
      </c>
      <c r="R69" s="5" t="s">
        <v>12831</v>
      </c>
      <c r="S69" s="5" t="s">
        <v>11952</v>
      </c>
      <c r="T69" s="5" t="s">
        <v>12832</v>
      </c>
      <c r="U69" s="5" t="s">
        <v>2854</v>
      </c>
      <c r="V69" s="5" t="s">
        <v>12833</v>
      </c>
      <c r="W69" s="5" t="s">
        <v>121</v>
      </c>
      <c r="X69" s="5" t="s">
        <v>12834</v>
      </c>
      <c r="Y69" s="5" t="s">
        <v>121</v>
      </c>
      <c r="Z69" s="5" t="s">
        <v>121</v>
      </c>
      <c r="AA69" s="5" t="s">
        <v>11981</v>
      </c>
      <c r="AB69" s="5" t="s">
        <v>121</v>
      </c>
      <c r="AC69" s="5" t="s">
        <v>121</v>
      </c>
      <c r="AD69" s="5" t="s">
        <v>121</v>
      </c>
      <c r="AE69" s="5" t="s">
        <v>121</v>
      </c>
      <c r="AF69" s="5" t="s">
        <v>121</v>
      </c>
      <c r="AG69" s="5" t="s">
        <v>12835</v>
      </c>
      <c r="AH69" s="5" t="s">
        <v>121</v>
      </c>
      <c r="AI69" s="5" t="s">
        <v>121</v>
      </c>
      <c r="AJ69" s="5" t="s">
        <v>121</v>
      </c>
      <c r="AK69" s="5" t="s">
        <v>121</v>
      </c>
      <c r="AL69" s="5" t="s">
        <v>121</v>
      </c>
      <c r="AM69" s="5" t="s">
        <v>121</v>
      </c>
      <c r="AN69" s="5" t="s">
        <v>12836</v>
      </c>
      <c r="AO69" s="5" t="s">
        <v>121</v>
      </c>
      <c r="AP69" s="5" t="s">
        <v>2379</v>
      </c>
      <c r="AQ69" s="5" t="s">
        <v>121</v>
      </c>
      <c r="AR69" s="5" t="s">
        <v>12837</v>
      </c>
      <c r="AS69" s="5" t="s">
        <v>820</v>
      </c>
      <c r="AT69" s="5" t="s">
        <v>12838</v>
      </c>
      <c r="AU69" s="5" t="s">
        <v>816</v>
      </c>
      <c r="AV69" s="5" t="s">
        <v>121</v>
      </c>
      <c r="AW69" s="5" t="s">
        <v>816</v>
      </c>
      <c r="AX69" s="5" t="s">
        <v>121</v>
      </c>
      <c r="AY69" s="5" t="s">
        <v>121</v>
      </c>
      <c r="AZ69" s="5" t="s">
        <v>2854</v>
      </c>
      <c r="BA69" s="5" t="s">
        <v>121</v>
      </c>
      <c r="BB69" s="5" t="s">
        <v>3510</v>
      </c>
      <c r="BC69" s="5" t="s">
        <v>121</v>
      </c>
      <c r="BD69" s="5" t="s">
        <v>121</v>
      </c>
      <c r="BE69" s="5" t="s">
        <v>121</v>
      </c>
      <c r="BF69" s="5" t="s">
        <v>121</v>
      </c>
      <c r="BG69" s="5" t="s">
        <v>121</v>
      </c>
      <c r="BH69" s="5" t="s">
        <v>12815</v>
      </c>
      <c r="BI69" s="5" t="s">
        <v>121</v>
      </c>
      <c r="BJ69" s="5" t="s">
        <v>817</v>
      </c>
      <c r="BK69" s="5" t="s">
        <v>121</v>
      </c>
      <c r="BL69" s="5" t="s">
        <v>1273</v>
      </c>
      <c r="BM69" s="5" t="s">
        <v>1273</v>
      </c>
      <c r="BN69" s="5" t="s">
        <v>121</v>
      </c>
      <c r="BO69" s="5" t="s">
        <v>121</v>
      </c>
      <c r="BP69" s="5" t="s">
        <v>121</v>
      </c>
      <c r="BQ69" s="5" t="s">
        <v>121</v>
      </c>
      <c r="BR69" s="5" t="s">
        <v>2854</v>
      </c>
      <c r="BS69" s="5" t="s">
        <v>121</v>
      </c>
      <c r="BT69" s="5" t="s">
        <v>121</v>
      </c>
      <c r="BU69" s="5" t="s">
        <v>121</v>
      </c>
      <c r="BV69" s="5" t="s">
        <v>3510</v>
      </c>
      <c r="BW69" s="5" t="s">
        <v>3510</v>
      </c>
      <c r="BX69" s="5" t="s">
        <v>3510</v>
      </c>
      <c r="BY69" s="5" t="s">
        <v>12839</v>
      </c>
      <c r="BZ69" s="5" t="s">
        <v>12840</v>
      </c>
      <c r="CA69" s="5" t="s">
        <v>121</v>
      </c>
      <c r="CB69" s="5" t="s">
        <v>121</v>
      </c>
      <c r="CC69" s="5" t="s">
        <v>815</v>
      </c>
      <c r="CD69" s="5" t="s">
        <v>121</v>
      </c>
      <c r="CE69" s="5" t="s">
        <v>121</v>
      </c>
      <c r="CF69" s="5" t="s">
        <v>11958</v>
      </c>
      <c r="CG69" s="5" t="s">
        <v>121</v>
      </c>
      <c r="CH69" s="5" t="s">
        <v>121</v>
      </c>
      <c r="CI69" s="5" t="s">
        <v>12841</v>
      </c>
      <c r="CJ69" s="5" t="s">
        <v>819</v>
      </c>
      <c r="CK69" s="5" t="s">
        <v>818</v>
      </c>
      <c r="CL69" s="5" t="s">
        <v>3510</v>
      </c>
      <c r="CM69" s="5" t="s">
        <v>819</v>
      </c>
      <c r="CN69" s="5" t="s">
        <v>121</v>
      </c>
      <c r="CO69" s="5" t="s">
        <v>121</v>
      </c>
      <c r="CP69" s="5" t="s">
        <v>2854</v>
      </c>
      <c r="CQ69" s="5" t="s">
        <v>821</v>
      </c>
      <c r="CR69" s="5" t="s">
        <v>11960</v>
      </c>
      <c r="CS69" s="5" t="s">
        <v>2854</v>
      </c>
      <c r="CT69" s="5" t="s">
        <v>3510</v>
      </c>
      <c r="CU69" s="5" t="s">
        <v>3510</v>
      </c>
      <c r="CV69" s="5" t="s">
        <v>11952</v>
      </c>
      <c r="CW69" s="5" t="s">
        <v>11952</v>
      </c>
      <c r="CX69" s="5" t="s">
        <v>12842</v>
      </c>
      <c r="CY69" s="5" t="s">
        <v>12843</v>
      </c>
      <c r="CZ69" s="5" t="s">
        <v>3510</v>
      </c>
      <c r="DA69" s="5" t="s">
        <v>11952</v>
      </c>
      <c r="DB69" s="5" t="s">
        <v>12844</v>
      </c>
      <c r="DC69" s="5" t="s">
        <v>12845</v>
      </c>
      <c r="DD69" s="5" t="s">
        <v>11963</v>
      </c>
      <c r="DE69" s="5" t="s">
        <v>12846</v>
      </c>
      <c r="DF69" s="5" t="s">
        <v>2854</v>
      </c>
      <c r="DG69" s="5" t="s">
        <v>12847</v>
      </c>
      <c r="DH69" s="5" t="s">
        <v>12848</v>
      </c>
      <c r="DI69" s="5" t="s">
        <v>11966</v>
      </c>
      <c r="DJ69" s="5" t="s">
        <v>11994</v>
      </c>
      <c r="DK69" s="5" t="s">
        <v>12849</v>
      </c>
      <c r="DL69" s="5">
        <v>1</v>
      </c>
      <c r="DM69" s="5">
        <v>2</v>
      </c>
      <c r="DN69" s="5">
        <v>4.5</v>
      </c>
      <c r="DO69" s="5">
        <v>1</v>
      </c>
      <c r="DP69" s="5">
        <v>2</v>
      </c>
      <c r="DQ69" s="5">
        <v>3</v>
      </c>
      <c r="DR69" s="5">
        <v>0</v>
      </c>
      <c r="DS69" s="5">
        <v>38.5</v>
      </c>
      <c r="DT69" s="5" t="s">
        <v>11968</v>
      </c>
      <c r="DU69" s="5" t="s">
        <v>12850</v>
      </c>
      <c r="DV69" s="5" t="s">
        <v>11970</v>
      </c>
      <c r="DW69" s="5"/>
      <c r="DX69" s="5">
        <v>24</v>
      </c>
      <c r="DY69" s="5"/>
      <c r="DZ69" s="5">
        <v>100</v>
      </c>
      <c r="EA69" s="5"/>
      <c r="EB69" s="5">
        <v>0.24</v>
      </c>
      <c r="EC69" s="5"/>
      <c r="ED69" s="5" t="s">
        <v>11971</v>
      </c>
      <c r="EE69" s="5"/>
      <c r="EF69" s="5" t="s">
        <v>11997</v>
      </c>
      <c r="EG69" s="5"/>
      <c r="EH69" s="5" t="s">
        <v>11997</v>
      </c>
      <c r="EI69" s="5"/>
      <c r="EJ69" s="5" t="s">
        <v>11997</v>
      </c>
      <c r="EK69" s="5"/>
      <c r="EL69" s="5" t="s">
        <v>11997</v>
      </c>
      <c r="EM69" s="5"/>
      <c r="EN69" s="5" t="s">
        <v>11997</v>
      </c>
      <c r="EO69" s="5"/>
      <c r="EP69" s="5" t="s">
        <v>11998</v>
      </c>
      <c r="EQ69" s="5"/>
      <c r="ER69" s="5" t="s">
        <v>11997</v>
      </c>
      <c r="ES69" s="5"/>
      <c r="ET69" s="5" t="s">
        <v>11972</v>
      </c>
      <c r="EU69" s="5"/>
      <c r="EV69" s="5"/>
      <c r="EW69" s="5"/>
      <c r="EX69" s="5"/>
      <c r="EY69" s="5" t="s">
        <v>4981</v>
      </c>
      <c r="EZ69" s="5"/>
      <c r="FA69" s="5" t="s">
        <v>822</v>
      </c>
      <c r="FB69" s="5"/>
    </row>
    <row r="70" spans="1:158" ht="89.25">
      <c r="A70" s="5" t="s">
        <v>824</v>
      </c>
      <c r="B70" s="5" t="s">
        <v>825</v>
      </c>
      <c r="C70" s="5" t="s">
        <v>11952</v>
      </c>
      <c r="D70" s="5" t="s">
        <v>664</v>
      </c>
      <c r="E70" s="5" t="s">
        <v>11953</v>
      </c>
      <c r="F70" s="5" t="s">
        <v>11954</v>
      </c>
      <c r="G70" s="5" t="s">
        <v>11955</v>
      </c>
      <c r="H70" s="5" t="s">
        <v>11235</v>
      </c>
      <c r="I70" s="5" t="s">
        <v>562</v>
      </c>
      <c r="J70" s="5" t="s">
        <v>3510</v>
      </c>
      <c r="K70" s="5" t="s">
        <v>11956</v>
      </c>
      <c r="L70" s="5" t="s">
        <v>835</v>
      </c>
      <c r="M70" s="5" t="s">
        <v>11952</v>
      </c>
      <c r="N70" s="5" t="s">
        <v>11952</v>
      </c>
      <c r="O70" s="5" t="s">
        <v>835</v>
      </c>
      <c r="P70" s="5" t="s">
        <v>11952</v>
      </c>
      <c r="Q70" s="5" t="s">
        <v>11952</v>
      </c>
      <c r="R70" s="5" t="s">
        <v>11952</v>
      </c>
      <c r="S70" s="5" t="s">
        <v>11952</v>
      </c>
      <c r="T70" s="5" t="s">
        <v>12851</v>
      </c>
      <c r="U70" s="5" t="s">
        <v>3510</v>
      </c>
      <c r="V70" s="5" t="s">
        <v>121</v>
      </c>
      <c r="W70" s="5" t="s">
        <v>121</v>
      </c>
      <c r="X70" s="5" t="s">
        <v>121</v>
      </c>
      <c r="Y70" s="5" t="s">
        <v>121</v>
      </c>
      <c r="Z70" s="5" t="s">
        <v>11952</v>
      </c>
      <c r="AA70" s="5" t="s">
        <v>11952</v>
      </c>
      <c r="AB70" s="5" t="s">
        <v>155</v>
      </c>
      <c r="AC70" s="5" t="s">
        <v>12852</v>
      </c>
      <c r="AD70" s="5" t="s">
        <v>12853</v>
      </c>
      <c r="AE70" s="5" t="s">
        <v>121</v>
      </c>
      <c r="AF70" s="5" t="s">
        <v>12852</v>
      </c>
      <c r="AG70" s="5" t="s">
        <v>121</v>
      </c>
      <c r="AH70" s="5" t="s">
        <v>121</v>
      </c>
      <c r="AI70" s="5" t="s">
        <v>121</v>
      </c>
      <c r="AJ70" s="5" t="s">
        <v>121</v>
      </c>
      <c r="AK70" s="5" t="s">
        <v>121</v>
      </c>
      <c r="AL70" s="5" t="s">
        <v>121</v>
      </c>
      <c r="AM70" s="5" t="s">
        <v>121</v>
      </c>
      <c r="AN70" s="5" t="s">
        <v>12854</v>
      </c>
      <c r="AO70" s="5" t="s">
        <v>121</v>
      </c>
      <c r="AP70" s="5" t="s">
        <v>1827</v>
      </c>
      <c r="AQ70" s="5" t="s">
        <v>121</v>
      </c>
      <c r="AR70" s="5" t="s">
        <v>12855</v>
      </c>
      <c r="AS70" s="5" t="s">
        <v>12856</v>
      </c>
      <c r="AT70" s="5" t="s">
        <v>121</v>
      </c>
      <c r="AU70" s="5" t="s">
        <v>12857</v>
      </c>
      <c r="AV70" s="5" t="s">
        <v>121</v>
      </c>
      <c r="AW70" s="5" t="s">
        <v>12857</v>
      </c>
      <c r="AX70" s="5" t="s">
        <v>121</v>
      </c>
      <c r="AY70" s="5" t="s">
        <v>2854</v>
      </c>
      <c r="AZ70" s="5" t="s">
        <v>121</v>
      </c>
      <c r="BA70" s="5" t="s">
        <v>121</v>
      </c>
      <c r="BB70" s="5" t="s">
        <v>3510</v>
      </c>
      <c r="BC70" s="5" t="s">
        <v>121</v>
      </c>
      <c r="BD70" s="5" t="s">
        <v>121</v>
      </c>
      <c r="BE70" s="5" t="s">
        <v>12858</v>
      </c>
      <c r="BF70" s="5" t="s">
        <v>12859</v>
      </c>
      <c r="BG70" s="5" t="s">
        <v>121</v>
      </c>
      <c r="BH70" s="5" t="s">
        <v>12721</v>
      </c>
      <c r="BI70" s="5" t="s">
        <v>121</v>
      </c>
      <c r="BJ70" s="5" t="s">
        <v>12860</v>
      </c>
      <c r="BK70" s="5" t="s">
        <v>121</v>
      </c>
      <c r="BL70" s="5" t="s">
        <v>1693</v>
      </c>
      <c r="BM70" s="5" t="s">
        <v>1693</v>
      </c>
      <c r="BN70" s="5" t="s">
        <v>121</v>
      </c>
      <c r="BO70" s="5" t="s">
        <v>121</v>
      </c>
      <c r="BP70" s="5" t="s">
        <v>2854</v>
      </c>
      <c r="BQ70" s="5" t="s">
        <v>121</v>
      </c>
      <c r="BR70" s="5" t="s">
        <v>121</v>
      </c>
      <c r="BS70" s="5" t="s">
        <v>121</v>
      </c>
      <c r="BT70" s="5" t="s">
        <v>121</v>
      </c>
      <c r="BU70" s="5" t="s">
        <v>121</v>
      </c>
      <c r="BV70" s="5" t="s">
        <v>3510</v>
      </c>
      <c r="BW70" s="5" t="s">
        <v>3510</v>
      </c>
      <c r="BX70" s="5" t="s">
        <v>3510</v>
      </c>
      <c r="BY70" s="5" t="s">
        <v>121</v>
      </c>
      <c r="BZ70" s="5" t="s">
        <v>121</v>
      </c>
      <c r="CA70" s="5" t="s">
        <v>121</v>
      </c>
      <c r="CB70" s="5" t="s">
        <v>121</v>
      </c>
      <c r="CC70" s="5" t="s">
        <v>674</v>
      </c>
      <c r="CD70" s="5" t="s">
        <v>121</v>
      </c>
      <c r="CE70" s="5" t="s">
        <v>121</v>
      </c>
      <c r="CF70" s="5" t="s">
        <v>11958</v>
      </c>
      <c r="CG70" s="5" t="s">
        <v>121</v>
      </c>
      <c r="CH70" s="5" t="s">
        <v>121</v>
      </c>
      <c r="CI70" s="5" t="s">
        <v>12034</v>
      </c>
      <c r="CJ70" s="5" t="s">
        <v>124</v>
      </c>
      <c r="CK70" s="5" t="s">
        <v>241</v>
      </c>
      <c r="CL70" s="5" t="s">
        <v>3510</v>
      </c>
      <c r="CM70" s="5" t="s">
        <v>124</v>
      </c>
      <c r="CN70" s="5" t="s">
        <v>121</v>
      </c>
      <c r="CO70" s="5" t="s">
        <v>121</v>
      </c>
      <c r="CP70" s="5" t="s">
        <v>3510</v>
      </c>
      <c r="CQ70" s="5" t="s">
        <v>12861</v>
      </c>
      <c r="CR70" s="5" t="s">
        <v>11960</v>
      </c>
      <c r="CS70" s="5" t="s">
        <v>3510</v>
      </c>
      <c r="CT70" s="5" t="s">
        <v>3510</v>
      </c>
      <c r="CU70" s="5" t="s">
        <v>3510</v>
      </c>
      <c r="CV70" s="5" t="s">
        <v>11952</v>
      </c>
      <c r="CW70" s="5" t="s">
        <v>11952</v>
      </c>
      <c r="CX70" s="5" t="s">
        <v>12673</v>
      </c>
      <c r="CY70" s="5" t="s">
        <v>12862</v>
      </c>
      <c r="CZ70" s="5" t="s">
        <v>3510</v>
      </c>
      <c r="DA70" s="5" t="s">
        <v>11952</v>
      </c>
      <c r="DB70" s="5" t="s">
        <v>11963</v>
      </c>
      <c r="DC70" s="5" t="s">
        <v>11963</v>
      </c>
      <c r="DD70" s="5" t="s">
        <v>11963</v>
      </c>
      <c r="DE70" s="5" t="s">
        <v>11963</v>
      </c>
      <c r="DF70" s="5" t="s">
        <v>3510</v>
      </c>
      <c r="DG70" s="5" t="s">
        <v>11964</v>
      </c>
      <c r="DH70" s="5" t="s">
        <v>12863</v>
      </c>
      <c r="DI70" s="5" t="s">
        <v>11975</v>
      </c>
      <c r="DJ70" s="5" t="s">
        <v>11966</v>
      </c>
      <c r="DK70" s="5" t="s">
        <v>11967</v>
      </c>
      <c r="DL70" s="5">
        <v>5</v>
      </c>
      <c r="DM70" s="5">
        <v>2</v>
      </c>
      <c r="DN70" s="5">
        <v>2.5</v>
      </c>
      <c r="DO70" s="5">
        <v>4</v>
      </c>
      <c r="DP70" s="5">
        <v>4</v>
      </c>
      <c r="DQ70" s="5">
        <v>1</v>
      </c>
      <c r="DR70" s="5">
        <v>0</v>
      </c>
      <c r="DS70" s="5">
        <v>57.5</v>
      </c>
      <c r="DT70" s="5" t="s">
        <v>11968</v>
      </c>
      <c r="DU70" s="5" t="s">
        <v>11969</v>
      </c>
      <c r="DV70" s="5" t="s">
        <v>11970</v>
      </c>
      <c r="DW70" s="5"/>
      <c r="DX70" s="5">
        <v>22</v>
      </c>
      <c r="DY70" s="5"/>
      <c r="DZ70" s="5">
        <v>100</v>
      </c>
      <c r="EA70" s="5"/>
      <c r="EB70" s="5">
        <v>0.22</v>
      </c>
      <c r="EC70" s="5"/>
      <c r="ED70" s="5" t="s">
        <v>11971</v>
      </c>
      <c r="EE70" s="5"/>
      <c r="EF70" s="5" t="s">
        <v>11997</v>
      </c>
      <c r="EG70" s="5"/>
      <c r="EH70" s="5" t="s">
        <v>11997</v>
      </c>
      <c r="EI70" s="5"/>
      <c r="EJ70" s="5" t="s">
        <v>11997</v>
      </c>
      <c r="EK70" s="5"/>
      <c r="EL70" s="5" t="s">
        <v>11997</v>
      </c>
      <c r="EM70" s="5"/>
      <c r="EN70" s="5" t="s">
        <v>11997</v>
      </c>
      <c r="EO70" s="5"/>
      <c r="EP70" s="5" t="s">
        <v>11998</v>
      </c>
      <c r="EQ70" s="5"/>
      <c r="ER70" s="5" t="s">
        <v>11997</v>
      </c>
      <c r="ES70" s="5"/>
      <c r="ET70" s="5" t="s">
        <v>11972</v>
      </c>
      <c r="EU70" s="5"/>
      <c r="EV70" s="5"/>
      <c r="EW70" s="5"/>
      <c r="EX70" s="5"/>
      <c r="EY70" s="5" t="s">
        <v>12864</v>
      </c>
      <c r="EZ70" s="5"/>
      <c r="FA70" s="5" t="s">
        <v>835</v>
      </c>
      <c r="FB70" s="5"/>
    </row>
    <row r="71" spans="1:158" ht="89.25">
      <c r="A71" s="5" t="s">
        <v>837</v>
      </c>
      <c r="B71" s="5" t="s">
        <v>838</v>
      </c>
      <c r="C71" s="5" t="s">
        <v>11952</v>
      </c>
      <c r="D71" s="5" t="s">
        <v>556</v>
      </c>
      <c r="E71" s="5" t="s">
        <v>11953</v>
      </c>
      <c r="F71" s="5" t="s">
        <v>11954</v>
      </c>
      <c r="G71" s="5" t="s">
        <v>11955</v>
      </c>
      <c r="H71" s="5" t="s">
        <v>11235</v>
      </c>
      <c r="I71" s="5" t="s">
        <v>562</v>
      </c>
      <c r="J71" s="5" t="s">
        <v>3510</v>
      </c>
      <c r="K71" s="5" t="s">
        <v>11956</v>
      </c>
      <c r="L71" s="5" t="s">
        <v>845</v>
      </c>
      <c r="M71" s="5" t="s">
        <v>11952</v>
      </c>
      <c r="N71" s="5" t="s">
        <v>11952</v>
      </c>
      <c r="O71" s="5" t="s">
        <v>845</v>
      </c>
      <c r="P71" s="5" t="s">
        <v>11952</v>
      </c>
      <c r="Q71" s="5" t="s">
        <v>11952</v>
      </c>
      <c r="R71" s="5" t="s">
        <v>11952</v>
      </c>
      <c r="S71" s="5" t="s">
        <v>11952</v>
      </c>
      <c r="T71" s="5" t="s">
        <v>12865</v>
      </c>
      <c r="U71" s="5" t="s">
        <v>2854</v>
      </c>
      <c r="V71" s="5" t="s">
        <v>12866</v>
      </c>
      <c r="W71" s="5" t="s">
        <v>12866</v>
      </c>
      <c r="X71" s="5" t="s">
        <v>121</v>
      </c>
      <c r="Y71" s="5" t="s">
        <v>121</v>
      </c>
      <c r="Z71" s="5" t="s">
        <v>2854</v>
      </c>
      <c r="AA71" s="5" t="s">
        <v>11981</v>
      </c>
      <c r="AB71" s="5" t="s">
        <v>155</v>
      </c>
      <c r="AC71" s="5" t="s">
        <v>842</v>
      </c>
      <c r="AD71" s="5" t="s">
        <v>121</v>
      </c>
      <c r="AE71" s="5" t="s">
        <v>121</v>
      </c>
      <c r="AF71" s="5" t="s">
        <v>842</v>
      </c>
      <c r="AG71" s="5" t="s">
        <v>12867</v>
      </c>
      <c r="AH71" s="5" t="s">
        <v>121</v>
      </c>
      <c r="AI71" s="5" t="s">
        <v>121</v>
      </c>
      <c r="AJ71" s="5" t="s">
        <v>695</v>
      </c>
      <c r="AK71" s="5" t="s">
        <v>277</v>
      </c>
      <c r="AL71" s="5" t="s">
        <v>121</v>
      </c>
      <c r="AM71" s="5" t="s">
        <v>121</v>
      </c>
      <c r="AN71" s="5" t="s">
        <v>12868</v>
      </c>
      <c r="AO71" s="5" t="s">
        <v>121</v>
      </c>
      <c r="AP71" s="5" t="s">
        <v>1814</v>
      </c>
      <c r="AQ71" s="5" t="s">
        <v>121</v>
      </c>
      <c r="AR71" s="5" t="s">
        <v>12869</v>
      </c>
      <c r="AS71" s="5" t="s">
        <v>843</v>
      </c>
      <c r="AT71" s="5" t="s">
        <v>121</v>
      </c>
      <c r="AU71" s="5" t="s">
        <v>839</v>
      </c>
      <c r="AV71" s="5" t="s">
        <v>12003</v>
      </c>
      <c r="AW71" s="5" t="s">
        <v>839</v>
      </c>
      <c r="AX71" s="5" t="s">
        <v>12159</v>
      </c>
      <c r="AY71" s="5" t="s">
        <v>121</v>
      </c>
      <c r="AZ71" s="5" t="s">
        <v>121</v>
      </c>
      <c r="BA71" s="5" t="s">
        <v>121</v>
      </c>
      <c r="BB71" s="5" t="s">
        <v>3510</v>
      </c>
      <c r="BC71" s="5" t="s">
        <v>121</v>
      </c>
      <c r="BD71" s="5" t="s">
        <v>121</v>
      </c>
      <c r="BE71" s="5" t="s">
        <v>12870</v>
      </c>
      <c r="BF71" s="5" t="s">
        <v>12871</v>
      </c>
      <c r="BG71" s="5" t="s">
        <v>121</v>
      </c>
      <c r="BH71" s="5" t="s">
        <v>12872</v>
      </c>
      <c r="BI71" s="5" t="s">
        <v>121</v>
      </c>
      <c r="BJ71" s="5" t="s">
        <v>840</v>
      </c>
      <c r="BK71" s="5" t="s">
        <v>121</v>
      </c>
      <c r="BL71" s="5" t="s">
        <v>1273</v>
      </c>
      <c r="BM71" s="5" t="s">
        <v>1273</v>
      </c>
      <c r="BN71" s="5" t="s">
        <v>841</v>
      </c>
      <c r="BO71" s="5" t="s">
        <v>11984</v>
      </c>
      <c r="BP71" s="5" t="s">
        <v>121</v>
      </c>
      <c r="BQ71" s="5" t="s">
        <v>121</v>
      </c>
      <c r="BR71" s="5" t="s">
        <v>2854</v>
      </c>
      <c r="BS71" s="5" t="s">
        <v>121</v>
      </c>
      <c r="BT71" s="5" t="s">
        <v>121</v>
      </c>
      <c r="BU71" s="5" t="s">
        <v>121</v>
      </c>
      <c r="BV71" s="5" t="s">
        <v>3510</v>
      </c>
      <c r="BW71" s="5" t="s">
        <v>3510</v>
      </c>
      <c r="BX71" s="5" t="s">
        <v>3510</v>
      </c>
      <c r="BY71" s="5" t="s">
        <v>12873</v>
      </c>
      <c r="BZ71" s="5" t="s">
        <v>121</v>
      </c>
      <c r="CA71" s="5" t="s">
        <v>121</v>
      </c>
      <c r="CB71" s="5" t="s">
        <v>121</v>
      </c>
      <c r="CC71" s="5" t="s">
        <v>794</v>
      </c>
      <c r="CD71" s="5" t="s">
        <v>121</v>
      </c>
      <c r="CE71" s="5" t="s">
        <v>121</v>
      </c>
      <c r="CF71" s="5" t="s">
        <v>11958</v>
      </c>
      <c r="CG71" s="5" t="s">
        <v>121</v>
      </c>
      <c r="CH71" s="5" t="s">
        <v>121</v>
      </c>
      <c r="CI71" s="5" t="s">
        <v>12034</v>
      </c>
      <c r="CJ71" s="5" t="s">
        <v>124</v>
      </c>
      <c r="CK71" s="5" t="s">
        <v>241</v>
      </c>
      <c r="CL71" s="5" t="s">
        <v>3510</v>
      </c>
      <c r="CM71" s="5" t="s">
        <v>124</v>
      </c>
      <c r="CN71" s="5" t="s">
        <v>121</v>
      </c>
      <c r="CO71" s="5" t="s">
        <v>121</v>
      </c>
      <c r="CP71" s="5" t="s">
        <v>3510</v>
      </c>
      <c r="CQ71" s="5" t="s">
        <v>844</v>
      </c>
      <c r="CR71" s="5" t="s">
        <v>11960</v>
      </c>
      <c r="CS71" s="5" t="s">
        <v>3510</v>
      </c>
      <c r="CT71" s="5" t="s">
        <v>3510</v>
      </c>
      <c r="CU71" s="5" t="s">
        <v>3510</v>
      </c>
      <c r="CV71" s="5" t="s">
        <v>11952</v>
      </c>
      <c r="CW71" s="5" t="s">
        <v>11952</v>
      </c>
      <c r="CX71" s="5" t="s">
        <v>12673</v>
      </c>
      <c r="CY71" s="5" t="s">
        <v>12874</v>
      </c>
      <c r="CZ71" s="5" t="s">
        <v>3510</v>
      </c>
      <c r="DA71" s="5" t="s">
        <v>11952</v>
      </c>
      <c r="DB71" s="5" t="s">
        <v>11963</v>
      </c>
      <c r="DC71" s="5" t="s">
        <v>11963</v>
      </c>
      <c r="DD71" s="5" t="s">
        <v>11963</v>
      </c>
      <c r="DE71" s="5" t="s">
        <v>11963</v>
      </c>
      <c r="DF71" s="5" t="s">
        <v>3510</v>
      </c>
      <c r="DG71" s="5" t="s">
        <v>11964</v>
      </c>
      <c r="DH71" s="5" t="s">
        <v>12875</v>
      </c>
      <c r="DI71" s="5" t="s">
        <v>11975</v>
      </c>
      <c r="DJ71" s="5" t="s">
        <v>11966</v>
      </c>
      <c r="DK71" s="5" t="s">
        <v>11967</v>
      </c>
      <c r="DL71" s="5">
        <v>5</v>
      </c>
      <c r="DM71" s="5">
        <v>4</v>
      </c>
      <c r="DN71" s="5">
        <v>3.5</v>
      </c>
      <c r="DO71" s="5">
        <v>1</v>
      </c>
      <c r="DP71" s="5">
        <v>4</v>
      </c>
      <c r="DQ71" s="5">
        <v>2</v>
      </c>
      <c r="DR71" s="5">
        <v>0</v>
      </c>
      <c r="DS71" s="5">
        <v>61.5</v>
      </c>
      <c r="DT71" s="5" t="s">
        <v>11968</v>
      </c>
      <c r="DU71" s="5" t="s">
        <v>11969</v>
      </c>
      <c r="DV71" s="5" t="s">
        <v>11970</v>
      </c>
      <c r="DW71" s="5"/>
      <c r="DX71" s="5">
        <v>30</v>
      </c>
      <c r="DY71" s="5"/>
      <c r="DZ71" s="5">
        <v>100</v>
      </c>
      <c r="EA71" s="5"/>
      <c r="EB71" s="5">
        <v>0.3</v>
      </c>
      <c r="EC71" s="5"/>
      <c r="ED71" s="5" t="s">
        <v>11971</v>
      </c>
      <c r="EE71" s="5"/>
      <c r="EF71" s="5" t="s">
        <v>11997</v>
      </c>
      <c r="EG71" s="5"/>
      <c r="EH71" s="5" t="s">
        <v>11997</v>
      </c>
      <c r="EI71" s="5"/>
      <c r="EJ71" s="5" t="s">
        <v>11997</v>
      </c>
      <c r="EK71" s="5"/>
      <c r="EL71" s="5" t="s">
        <v>11997</v>
      </c>
      <c r="EM71" s="5"/>
      <c r="EN71" s="5" t="s">
        <v>11997</v>
      </c>
      <c r="EO71" s="5"/>
      <c r="EP71" s="5" t="s">
        <v>11998</v>
      </c>
      <c r="EQ71" s="5"/>
      <c r="ER71" s="5" t="s">
        <v>11997</v>
      </c>
      <c r="ES71" s="5"/>
      <c r="ET71" s="5" t="s">
        <v>11972</v>
      </c>
      <c r="EU71" s="5"/>
      <c r="EV71" s="5"/>
      <c r="EW71" s="5"/>
      <c r="EX71" s="5"/>
      <c r="EY71" s="5" t="s">
        <v>5062</v>
      </c>
      <c r="EZ71" s="5"/>
      <c r="FA71" s="5" t="s">
        <v>845</v>
      </c>
      <c r="FB71" s="5"/>
    </row>
    <row r="72" spans="1:158" ht="293.25">
      <c r="A72" s="5" t="s">
        <v>847</v>
      </c>
      <c r="B72" s="5" t="s">
        <v>848</v>
      </c>
      <c r="C72" s="5" t="s">
        <v>12876</v>
      </c>
      <c r="D72" s="5" t="s">
        <v>556</v>
      </c>
      <c r="E72" s="5" t="s">
        <v>12011</v>
      </c>
      <c r="F72" s="5" t="s">
        <v>11994</v>
      </c>
      <c r="G72" s="5" t="s">
        <v>12877</v>
      </c>
      <c r="H72" s="5" t="s">
        <v>11977</v>
      </c>
      <c r="I72" s="5" t="s">
        <v>562</v>
      </c>
      <c r="J72" s="5" t="s">
        <v>3510</v>
      </c>
      <c r="K72" s="5" t="s">
        <v>12878</v>
      </c>
      <c r="L72" s="5" t="s">
        <v>856</v>
      </c>
      <c r="M72" s="5" t="s">
        <v>11952</v>
      </c>
      <c r="N72" s="5" t="s">
        <v>11952</v>
      </c>
      <c r="O72" s="5" t="s">
        <v>856</v>
      </c>
      <c r="P72" s="5" t="s">
        <v>11952</v>
      </c>
      <c r="Q72" s="5" t="s">
        <v>11952</v>
      </c>
      <c r="R72" s="5" t="s">
        <v>11952</v>
      </c>
      <c r="S72" s="5" t="s">
        <v>11952</v>
      </c>
      <c r="T72" s="5" t="s">
        <v>12879</v>
      </c>
      <c r="U72" s="5" t="s">
        <v>2854</v>
      </c>
      <c r="V72" s="5" t="s">
        <v>12880</v>
      </c>
      <c r="W72" s="5" t="s">
        <v>12881</v>
      </c>
      <c r="X72" s="5" t="s">
        <v>856</v>
      </c>
      <c r="Y72" s="5" t="s">
        <v>12882</v>
      </c>
      <c r="Z72" s="5" t="s">
        <v>2854</v>
      </c>
      <c r="AA72" s="5" t="s">
        <v>12883</v>
      </c>
      <c r="AB72" s="5" t="s">
        <v>155</v>
      </c>
      <c r="AC72" s="5" t="s">
        <v>853</v>
      </c>
      <c r="AD72" s="5" t="s">
        <v>121</v>
      </c>
      <c r="AE72" s="5" t="s">
        <v>121</v>
      </c>
      <c r="AF72" s="5" t="s">
        <v>853</v>
      </c>
      <c r="AG72" s="5" t="s">
        <v>121</v>
      </c>
      <c r="AH72" s="5" t="s">
        <v>12884</v>
      </c>
      <c r="AI72" s="5" t="s">
        <v>949</v>
      </c>
      <c r="AJ72" s="5" t="s">
        <v>121</v>
      </c>
      <c r="AK72" s="5" t="s">
        <v>121</v>
      </c>
      <c r="AL72" s="5" t="s">
        <v>121</v>
      </c>
      <c r="AM72" s="5" t="s">
        <v>121</v>
      </c>
      <c r="AN72" s="5" t="s">
        <v>12885</v>
      </c>
      <c r="AO72" s="5" t="s">
        <v>121</v>
      </c>
      <c r="AP72" s="5" t="s">
        <v>2302</v>
      </c>
      <c r="AQ72" s="5" t="s">
        <v>121</v>
      </c>
      <c r="AR72" s="5" t="s">
        <v>12886</v>
      </c>
      <c r="AS72" s="5" t="s">
        <v>854</v>
      </c>
      <c r="AT72" s="5" t="s">
        <v>121</v>
      </c>
      <c r="AU72" s="5" t="s">
        <v>850</v>
      </c>
      <c r="AV72" s="5" t="s">
        <v>121</v>
      </c>
      <c r="AW72" s="5" t="s">
        <v>121</v>
      </c>
      <c r="AX72" s="5" t="s">
        <v>121</v>
      </c>
      <c r="AY72" s="5" t="s">
        <v>121</v>
      </c>
      <c r="AZ72" s="5" t="s">
        <v>2854</v>
      </c>
      <c r="BA72" s="5" t="s">
        <v>121</v>
      </c>
      <c r="BB72" s="5" t="s">
        <v>3510</v>
      </c>
      <c r="BC72" s="5" t="s">
        <v>121</v>
      </c>
      <c r="BD72" s="5" t="s">
        <v>121</v>
      </c>
      <c r="BE72" s="5" t="s">
        <v>121</v>
      </c>
      <c r="BF72" s="5" t="s">
        <v>121</v>
      </c>
      <c r="BG72" s="5" t="s">
        <v>121</v>
      </c>
      <c r="BH72" s="5" t="s">
        <v>12887</v>
      </c>
      <c r="BI72" s="5" t="s">
        <v>121</v>
      </c>
      <c r="BJ72" s="5" t="s">
        <v>851</v>
      </c>
      <c r="BK72" s="5" t="s">
        <v>949</v>
      </c>
      <c r="BL72" s="5" t="s">
        <v>332</v>
      </c>
      <c r="BM72" s="5" t="s">
        <v>332</v>
      </c>
      <c r="BN72" s="5" t="s">
        <v>852</v>
      </c>
      <c r="BO72" s="5" t="s">
        <v>12219</v>
      </c>
      <c r="BP72" s="5" t="s">
        <v>2854</v>
      </c>
      <c r="BQ72" s="5" t="s">
        <v>2854</v>
      </c>
      <c r="BR72" s="5" t="s">
        <v>121</v>
      </c>
      <c r="BS72" s="5" t="s">
        <v>121</v>
      </c>
      <c r="BT72" s="5" t="s">
        <v>121</v>
      </c>
      <c r="BU72" s="5" t="s">
        <v>121</v>
      </c>
      <c r="BV72" s="5" t="s">
        <v>3510</v>
      </c>
      <c r="BW72" s="5" t="s">
        <v>3510</v>
      </c>
      <c r="BX72" s="5" t="s">
        <v>3510</v>
      </c>
      <c r="BY72" s="5" t="s">
        <v>12888</v>
      </c>
      <c r="BZ72" s="5" t="s">
        <v>12889</v>
      </c>
      <c r="CA72" s="5" t="s">
        <v>121</v>
      </c>
      <c r="CB72" s="5" t="s">
        <v>121</v>
      </c>
      <c r="CC72" s="5" t="s">
        <v>849</v>
      </c>
      <c r="CD72" s="5" t="s">
        <v>12890</v>
      </c>
      <c r="CE72" s="5" t="s">
        <v>12890</v>
      </c>
      <c r="CF72" s="5" t="s">
        <v>11958</v>
      </c>
      <c r="CG72" s="5" t="s">
        <v>121</v>
      </c>
      <c r="CH72" s="5" t="s">
        <v>121</v>
      </c>
      <c r="CI72" s="5" t="s">
        <v>12034</v>
      </c>
      <c r="CJ72" s="5" t="s">
        <v>124</v>
      </c>
      <c r="CK72" s="5" t="s">
        <v>241</v>
      </c>
      <c r="CL72" s="5" t="s">
        <v>3510</v>
      </c>
      <c r="CM72" s="5" t="s">
        <v>124</v>
      </c>
      <c r="CN72" s="5" t="s">
        <v>121</v>
      </c>
      <c r="CO72" s="5" t="s">
        <v>121</v>
      </c>
      <c r="CP72" s="5" t="s">
        <v>3510</v>
      </c>
      <c r="CQ72" s="5" t="s">
        <v>855</v>
      </c>
      <c r="CR72" s="5" t="s">
        <v>11960</v>
      </c>
      <c r="CS72" s="5" t="s">
        <v>3510</v>
      </c>
      <c r="CT72" s="5" t="s">
        <v>3510</v>
      </c>
      <c r="CU72" s="5" t="s">
        <v>3510</v>
      </c>
      <c r="CV72" s="5" t="s">
        <v>11952</v>
      </c>
      <c r="CW72" s="5" t="s">
        <v>11952</v>
      </c>
      <c r="CX72" s="5" t="s">
        <v>12891</v>
      </c>
      <c r="CY72" s="5" t="s">
        <v>12892</v>
      </c>
      <c r="CZ72" s="5" t="s">
        <v>11989</v>
      </c>
      <c r="DA72" s="5" t="s">
        <v>11989</v>
      </c>
      <c r="DB72" s="5" t="s">
        <v>12893</v>
      </c>
      <c r="DC72" s="5" t="s">
        <v>12894</v>
      </c>
      <c r="DD72" s="5" t="s">
        <v>11963</v>
      </c>
      <c r="DE72" s="5" t="s">
        <v>12895</v>
      </c>
      <c r="DF72" s="5" t="s">
        <v>3510</v>
      </c>
      <c r="DG72" s="5" t="s">
        <v>12896</v>
      </c>
      <c r="DH72" s="5" t="s">
        <v>12897</v>
      </c>
      <c r="DI72" s="5" t="s">
        <v>11975</v>
      </c>
      <c r="DJ72" s="5" t="s">
        <v>11966</v>
      </c>
      <c r="DK72" s="5" t="s">
        <v>12176</v>
      </c>
      <c r="DL72" s="5">
        <v>5</v>
      </c>
      <c r="DM72" s="5">
        <v>4.3</v>
      </c>
      <c r="DN72" s="5">
        <v>4.5</v>
      </c>
      <c r="DO72" s="5">
        <v>4.3</v>
      </c>
      <c r="DP72" s="5">
        <v>2.2999999999999998</v>
      </c>
      <c r="DQ72" s="5">
        <v>2</v>
      </c>
      <c r="DR72" s="5">
        <v>0</v>
      </c>
      <c r="DS72" s="5">
        <v>72.2</v>
      </c>
      <c r="DT72" s="5" t="s">
        <v>11968</v>
      </c>
      <c r="DU72" s="5" t="s">
        <v>11996</v>
      </c>
      <c r="DV72" s="5" t="s">
        <v>11970</v>
      </c>
      <c r="DW72" s="5"/>
      <c r="DX72" s="5">
        <v>30</v>
      </c>
      <c r="DY72" s="5"/>
      <c r="DZ72" s="5">
        <v>100</v>
      </c>
      <c r="EA72" s="5"/>
      <c r="EB72" s="5">
        <v>0.3</v>
      </c>
      <c r="EC72" s="5"/>
      <c r="ED72" s="5" t="s">
        <v>11971</v>
      </c>
      <c r="EE72" s="5"/>
      <c r="EF72" s="5" t="s">
        <v>11997</v>
      </c>
      <c r="EG72" s="5"/>
      <c r="EH72" s="5" t="s">
        <v>11997</v>
      </c>
      <c r="EI72" s="5"/>
      <c r="EJ72" s="5" t="s">
        <v>11997</v>
      </c>
      <c r="EK72" s="5"/>
      <c r="EL72" s="5" t="s">
        <v>11997</v>
      </c>
      <c r="EM72" s="5"/>
      <c r="EN72" s="5" t="s">
        <v>11997</v>
      </c>
      <c r="EO72" s="5"/>
      <c r="EP72" s="5" t="s">
        <v>11998</v>
      </c>
      <c r="EQ72" s="5"/>
      <c r="ER72" s="5" t="s">
        <v>11997</v>
      </c>
      <c r="ES72" s="5"/>
      <c r="ET72" s="5" t="s">
        <v>11972</v>
      </c>
      <c r="EU72" s="5"/>
      <c r="EV72" s="5"/>
      <c r="EW72" s="5"/>
      <c r="EX72" s="5"/>
      <c r="EY72" s="5" t="s">
        <v>5095</v>
      </c>
      <c r="EZ72" s="5"/>
      <c r="FA72" s="5" t="s">
        <v>856</v>
      </c>
      <c r="FB72" s="5"/>
    </row>
    <row r="73" spans="1:158" ht="89.25">
      <c r="A73" s="5" t="s">
        <v>858</v>
      </c>
      <c r="B73" s="5" t="s">
        <v>859</v>
      </c>
      <c r="C73" s="5" t="s">
        <v>11952</v>
      </c>
      <c r="D73" s="5" t="s">
        <v>556</v>
      </c>
      <c r="E73" s="5" t="s">
        <v>11953</v>
      </c>
      <c r="F73" s="5" t="s">
        <v>11954</v>
      </c>
      <c r="G73" s="5" t="s">
        <v>11955</v>
      </c>
      <c r="H73" s="5" t="s">
        <v>11235</v>
      </c>
      <c r="I73" s="5" t="s">
        <v>562</v>
      </c>
      <c r="J73" s="5" t="s">
        <v>3510</v>
      </c>
      <c r="K73" s="5" t="s">
        <v>11956</v>
      </c>
      <c r="L73" s="5" t="s">
        <v>863</v>
      </c>
      <c r="M73" s="5" t="s">
        <v>11952</v>
      </c>
      <c r="N73" s="5" t="s">
        <v>11952</v>
      </c>
      <c r="O73" s="5" t="s">
        <v>863</v>
      </c>
      <c r="P73" s="5" t="s">
        <v>11952</v>
      </c>
      <c r="Q73" s="5" t="s">
        <v>11952</v>
      </c>
      <c r="R73" s="5" t="s">
        <v>11952</v>
      </c>
      <c r="S73" s="5" t="s">
        <v>11952</v>
      </c>
      <c r="T73" s="5" t="s">
        <v>12898</v>
      </c>
      <c r="U73" s="5" t="s">
        <v>3510</v>
      </c>
      <c r="V73" s="5" t="s">
        <v>121</v>
      </c>
      <c r="W73" s="5" t="s">
        <v>121</v>
      </c>
      <c r="X73" s="5" t="s">
        <v>121</v>
      </c>
      <c r="Y73" s="5" t="s">
        <v>121</v>
      </c>
      <c r="Z73" s="5" t="s">
        <v>11952</v>
      </c>
      <c r="AA73" s="5" t="s">
        <v>11952</v>
      </c>
      <c r="AB73" s="5" t="s">
        <v>121</v>
      </c>
      <c r="AC73" s="5" t="s">
        <v>121</v>
      </c>
      <c r="AD73" s="5" t="s">
        <v>121</v>
      </c>
      <c r="AE73" s="5" t="s">
        <v>121</v>
      </c>
      <c r="AF73" s="5" t="s">
        <v>121</v>
      </c>
      <c r="AG73" s="5" t="s">
        <v>121</v>
      </c>
      <c r="AH73" s="5" t="s">
        <v>121</v>
      </c>
      <c r="AI73" s="5" t="s">
        <v>121</v>
      </c>
      <c r="AJ73" s="5" t="s">
        <v>121</v>
      </c>
      <c r="AK73" s="5" t="s">
        <v>121</v>
      </c>
      <c r="AL73" s="5" t="s">
        <v>121</v>
      </c>
      <c r="AM73" s="5" t="s">
        <v>121</v>
      </c>
      <c r="AN73" s="5" t="s">
        <v>121</v>
      </c>
      <c r="AO73" s="5" t="s">
        <v>121</v>
      </c>
      <c r="AP73" s="5" t="s">
        <v>12460</v>
      </c>
      <c r="AQ73" s="5" t="s">
        <v>121</v>
      </c>
      <c r="AR73" s="5" t="s">
        <v>12899</v>
      </c>
      <c r="AS73" s="5" t="s">
        <v>861</v>
      </c>
      <c r="AT73" s="5" t="s">
        <v>121</v>
      </c>
      <c r="AU73" s="5" t="s">
        <v>259</v>
      </c>
      <c r="AV73" s="5" t="s">
        <v>121</v>
      </c>
      <c r="AW73" s="5" t="s">
        <v>121</v>
      </c>
      <c r="AX73" s="5" t="s">
        <v>121</v>
      </c>
      <c r="AY73" s="5" t="s">
        <v>2854</v>
      </c>
      <c r="AZ73" s="5" t="s">
        <v>121</v>
      </c>
      <c r="BA73" s="5" t="s">
        <v>121</v>
      </c>
      <c r="BB73" s="5" t="s">
        <v>3510</v>
      </c>
      <c r="BC73" s="5" t="s">
        <v>121</v>
      </c>
      <c r="BD73" s="5" t="s">
        <v>121</v>
      </c>
      <c r="BE73" s="5" t="s">
        <v>12900</v>
      </c>
      <c r="BF73" s="5" t="s">
        <v>121</v>
      </c>
      <c r="BG73" s="5" t="s">
        <v>121</v>
      </c>
      <c r="BH73" s="5" t="s">
        <v>12901</v>
      </c>
      <c r="BI73" s="5" t="s">
        <v>121</v>
      </c>
      <c r="BJ73" s="5" t="s">
        <v>860</v>
      </c>
      <c r="BK73" s="5" t="s">
        <v>121</v>
      </c>
      <c r="BL73" s="5" t="s">
        <v>1693</v>
      </c>
      <c r="BM73" s="5" t="s">
        <v>1693</v>
      </c>
      <c r="BN73" s="5" t="s">
        <v>121</v>
      </c>
      <c r="BO73" s="5" t="s">
        <v>121</v>
      </c>
      <c r="BP73" s="5" t="s">
        <v>2854</v>
      </c>
      <c r="BQ73" s="5" t="s">
        <v>121</v>
      </c>
      <c r="BR73" s="5" t="s">
        <v>121</v>
      </c>
      <c r="BS73" s="5" t="s">
        <v>121</v>
      </c>
      <c r="BT73" s="5" t="s">
        <v>121</v>
      </c>
      <c r="BU73" s="5" t="s">
        <v>121</v>
      </c>
      <c r="BV73" s="5" t="s">
        <v>3510</v>
      </c>
      <c r="BW73" s="5" t="s">
        <v>3510</v>
      </c>
      <c r="BX73" s="5" t="s">
        <v>3510</v>
      </c>
      <c r="BY73" s="5" t="s">
        <v>121</v>
      </c>
      <c r="BZ73" s="5" t="s">
        <v>121</v>
      </c>
      <c r="CA73" s="5" t="s">
        <v>121</v>
      </c>
      <c r="CB73" s="5" t="s">
        <v>121</v>
      </c>
      <c r="CC73" s="5" t="s">
        <v>120</v>
      </c>
      <c r="CD73" s="5" t="s">
        <v>121</v>
      </c>
      <c r="CE73" s="5" t="s">
        <v>121</v>
      </c>
      <c r="CF73" s="5" t="s">
        <v>11958</v>
      </c>
      <c r="CG73" s="5" t="s">
        <v>121</v>
      </c>
      <c r="CH73" s="5" t="s">
        <v>121</v>
      </c>
      <c r="CI73" s="5" t="s">
        <v>11959</v>
      </c>
      <c r="CJ73" s="5" t="s">
        <v>124</v>
      </c>
      <c r="CK73" s="5" t="s">
        <v>241</v>
      </c>
      <c r="CL73" s="5" t="s">
        <v>3510</v>
      </c>
      <c r="CM73" s="5" t="s">
        <v>124</v>
      </c>
      <c r="CN73" s="5" t="s">
        <v>121</v>
      </c>
      <c r="CO73" s="5" t="s">
        <v>121</v>
      </c>
      <c r="CP73" s="5" t="s">
        <v>3510</v>
      </c>
      <c r="CQ73" s="5" t="s">
        <v>862</v>
      </c>
      <c r="CR73" s="5" t="s">
        <v>11960</v>
      </c>
      <c r="CS73" s="5" t="s">
        <v>3510</v>
      </c>
      <c r="CT73" s="5" t="s">
        <v>3510</v>
      </c>
      <c r="CU73" s="5" t="s">
        <v>3510</v>
      </c>
      <c r="CV73" s="5" t="s">
        <v>11952</v>
      </c>
      <c r="CW73" s="5" t="s">
        <v>11952</v>
      </c>
      <c r="CX73" s="5" t="s">
        <v>12673</v>
      </c>
      <c r="CY73" s="5" t="s">
        <v>12902</v>
      </c>
      <c r="CZ73" s="5" t="s">
        <v>3510</v>
      </c>
      <c r="DA73" s="5" t="s">
        <v>11952</v>
      </c>
      <c r="DB73" s="5" t="s">
        <v>11963</v>
      </c>
      <c r="DC73" s="5" t="s">
        <v>11963</v>
      </c>
      <c r="DD73" s="5" t="s">
        <v>11963</v>
      </c>
      <c r="DE73" s="5" t="s">
        <v>11963</v>
      </c>
      <c r="DF73" s="5" t="s">
        <v>3510</v>
      </c>
      <c r="DG73" s="5" t="s">
        <v>11964</v>
      </c>
      <c r="DH73" s="5" t="s">
        <v>12903</v>
      </c>
      <c r="DI73" s="5" t="s">
        <v>11966</v>
      </c>
      <c r="DJ73" s="5" t="s">
        <v>11966</v>
      </c>
      <c r="DK73" s="5" t="s">
        <v>11967</v>
      </c>
      <c r="DL73" s="5">
        <v>5</v>
      </c>
      <c r="DM73" s="5">
        <v>2</v>
      </c>
      <c r="DN73" s="5">
        <v>1.5</v>
      </c>
      <c r="DO73" s="5">
        <v>0</v>
      </c>
      <c r="DP73" s="5">
        <v>3</v>
      </c>
      <c r="DQ73" s="5">
        <v>0</v>
      </c>
      <c r="DR73" s="5">
        <v>0</v>
      </c>
      <c r="DS73" s="5">
        <v>38.5</v>
      </c>
      <c r="DT73" s="5" t="s">
        <v>11968</v>
      </c>
      <c r="DU73" s="5" t="s">
        <v>11969</v>
      </c>
      <c r="DV73" s="5" t="s">
        <v>11970</v>
      </c>
      <c r="DW73" s="5"/>
      <c r="DX73" s="5">
        <v>24</v>
      </c>
      <c r="DY73" s="5"/>
      <c r="DZ73" s="5">
        <v>100</v>
      </c>
      <c r="EA73" s="5"/>
      <c r="EB73" s="5">
        <v>0.24</v>
      </c>
      <c r="EC73" s="5"/>
      <c r="ED73" s="5" t="s">
        <v>11971</v>
      </c>
      <c r="EE73" s="5"/>
      <c r="EF73" s="5" t="s">
        <v>11997</v>
      </c>
      <c r="EG73" s="5"/>
      <c r="EH73" s="5" t="s">
        <v>11997</v>
      </c>
      <c r="EI73" s="5"/>
      <c r="EJ73" s="5" t="s">
        <v>11997</v>
      </c>
      <c r="EK73" s="5"/>
      <c r="EL73" s="5" t="s">
        <v>11997</v>
      </c>
      <c r="EM73" s="5"/>
      <c r="EN73" s="5" t="s">
        <v>11997</v>
      </c>
      <c r="EO73" s="5"/>
      <c r="EP73" s="5" t="s">
        <v>11998</v>
      </c>
      <c r="EQ73" s="5"/>
      <c r="ER73" s="5" t="s">
        <v>11997</v>
      </c>
      <c r="ES73" s="5"/>
      <c r="ET73" s="5" t="s">
        <v>11972</v>
      </c>
      <c r="EU73" s="5"/>
      <c r="EV73" s="5"/>
      <c r="EW73" s="5"/>
      <c r="EX73" s="5"/>
      <c r="EY73" s="5" t="s">
        <v>5129</v>
      </c>
      <c r="EZ73" s="5"/>
      <c r="FA73" s="5" t="s">
        <v>863</v>
      </c>
      <c r="FB73" s="5"/>
    </row>
    <row r="74" spans="1:158" ht="293.25">
      <c r="A74" s="5" t="s">
        <v>865</v>
      </c>
      <c r="B74" s="5" t="s">
        <v>866</v>
      </c>
      <c r="C74" s="5" t="s">
        <v>12904</v>
      </c>
      <c r="D74" s="5" t="s">
        <v>867</v>
      </c>
      <c r="E74" s="5" t="s">
        <v>11974</v>
      </c>
      <c r="F74" s="5" t="s">
        <v>11975</v>
      </c>
      <c r="G74" s="5" t="s">
        <v>12905</v>
      </c>
      <c r="H74" s="5" t="s">
        <v>11235</v>
      </c>
      <c r="I74" s="5" t="s">
        <v>789</v>
      </c>
      <c r="J74" s="5" t="s">
        <v>2854</v>
      </c>
      <c r="K74" s="5" t="s">
        <v>12906</v>
      </c>
      <c r="L74" s="5" t="s">
        <v>874</v>
      </c>
      <c r="M74" s="5" t="s">
        <v>11952</v>
      </c>
      <c r="N74" s="5" t="s">
        <v>11952</v>
      </c>
      <c r="O74" s="5" t="s">
        <v>12907</v>
      </c>
      <c r="P74" s="5" t="s">
        <v>11952</v>
      </c>
      <c r="Q74" s="5" t="s">
        <v>11952</v>
      </c>
      <c r="R74" s="5" t="s">
        <v>12908</v>
      </c>
      <c r="S74" s="5" t="s">
        <v>11952</v>
      </c>
      <c r="T74" s="5" t="s">
        <v>12909</v>
      </c>
      <c r="U74" s="5" t="s">
        <v>3510</v>
      </c>
      <c r="V74" s="5" t="s">
        <v>121</v>
      </c>
      <c r="W74" s="5" t="s">
        <v>121</v>
      </c>
      <c r="X74" s="5" t="s">
        <v>121</v>
      </c>
      <c r="Y74" s="5" t="s">
        <v>121</v>
      </c>
      <c r="Z74" s="5" t="s">
        <v>11952</v>
      </c>
      <c r="AA74" s="5" t="s">
        <v>11952</v>
      </c>
      <c r="AB74" s="5" t="s">
        <v>121</v>
      </c>
      <c r="AC74" s="5" t="s">
        <v>121</v>
      </c>
      <c r="AD74" s="5" t="s">
        <v>121</v>
      </c>
      <c r="AE74" s="5" t="s">
        <v>121</v>
      </c>
      <c r="AF74" s="5" t="s">
        <v>121</v>
      </c>
      <c r="AG74" s="5" t="s">
        <v>121</v>
      </c>
      <c r="AH74" s="5" t="s">
        <v>121</v>
      </c>
      <c r="AI74" s="5" t="s">
        <v>121</v>
      </c>
      <c r="AJ74" s="5" t="s">
        <v>121</v>
      </c>
      <c r="AK74" s="5" t="s">
        <v>121</v>
      </c>
      <c r="AL74" s="5" t="s">
        <v>121</v>
      </c>
      <c r="AM74" s="5" t="s">
        <v>121</v>
      </c>
      <c r="AN74" s="5" t="s">
        <v>121</v>
      </c>
      <c r="AO74" s="5" t="s">
        <v>121</v>
      </c>
      <c r="AP74" s="5" t="s">
        <v>872</v>
      </c>
      <c r="AQ74" s="5" t="s">
        <v>121</v>
      </c>
      <c r="AR74" s="5" t="s">
        <v>121</v>
      </c>
      <c r="AS74" s="5" t="s">
        <v>872</v>
      </c>
      <c r="AT74" s="5" t="s">
        <v>121</v>
      </c>
      <c r="AU74" s="5" t="s">
        <v>121</v>
      </c>
      <c r="AV74" s="5" t="s">
        <v>121</v>
      </c>
      <c r="AW74" s="5" t="s">
        <v>121</v>
      </c>
      <c r="AX74" s="5" t="s">
        <v>121</v>
      </c>
      <c r="AY74" s="5" t="s">
        <v>121</v>
      </c>
      <c r="AZ74" s="5" t="s">
        <v>121</v>
      </c>
      <c r="BA74" s="5" t="s">
        <v>121</v>
      </c>
      <c r="BB74" s="5" t="s">
        <v>3510</v>
      </c>
      <c r="BC74" s="5" t="s">
        <v>121</v>
      </c>
      <c r="BD74" s="5" t="s">
        <v>121</v>
      </c>
      <c r="BE74" s="5" t="s">
        <v>12910</v>
      </c>
      <c r="BF74" s="5" t="s">
        <v>12911</v>
      </c>
      <c r="BG74" s="5" t="s">
        <v>121</v>
      </c>
      <c r="BH74" s="5" t="s">
        <v>12721</v>
      </c>
      <c r="BI74" s="5" t="s">
        <v>121</v>
      </c>
      <c r="BJ74" s="5" t="s">
        <v>869</v>
      </c>
      <c r="BK74" s="5" t="s">
        <v>121</v>
      </c>
      <c r="BL74" s="5" t="s">
        <v>332</v>
      </c>
      <c r="BM74" s="5" t="s">
        <v>332</v>
      </c>
      <c r="BN74" s="5" t="s">
        <v>121</v>
      </c>
      <c r="BO74" s="5" t="s">
        <v>121</v>
      </c>
      <c r="BP74" s="5" t="s">
        <v>121</v>
      </c>
      <c r="BQ74" s="5" t="s">
        <v>2854</v>
      </c>
      <c r="BR74" s="5" t="s">
        <v>121</v>
      </c>
      <c r="BS74" s="5" t="s">
        <v>121</v>
      </c>
      <c r="BT74" s="5" t="s">
        <v>121</v>
      </c>
      <c r="BU74" s="5" t="s">
        <v>121</v>
      </c>
      <c r="BV74" s="5" t="s">
        <v>3510</v>
      </c>
      <c r="BW74" s="5" t="s">
        <v>3510</v>
      </c>
      <c r="BX74" s="5" t="s">
        <v>3510</v>
      </c>
      <c r="BY74" s="5" t="s">
        <v>12912</v>
      </c>
      <c r="BZ74" s="5" t="s">
        <v>121</v>
      </c>
      <c r="CA74" s="5" t="s">
        <v>121</v>
      </c>
      <c r="CB74" s="5" t="s">
        <v>121</v>
      </c>
      <c r="CC74" s="5" t="s">
        <v>868</v>
      </c>
      <c r="CD74" s="5" t="s">
        <v>121</v>
      </c>
      <c r="CE74" s="5" t="s">
        <v>121</v>
      </c>
      <c r="CF74" s="5" t="s">
        <v>11958</v>
      </c>
      <c r="CG74" s="5" t="s">
        <v>121</v>
      </c>
      <c r="CH74" s="5" t="s">
        <v>121</v>
      </c>
      <c r="CI74" s="5" t="s">
        <v>12841</v>
      </c>
      <c r="CJ74" s="5" t="s">
        <v>871</v>
      </c>
      <c r="CK74" s="5" t="s">
        <v>870</v>
      </c>
      <c r="CL74" s="5" t="s">
        <v>2854</v>
      </c>
      <c r="CM74" s="5" t="s">
        <v>871</v>
      </c>
      <c r="CN74" s="5" t="s">
        <v>121</v>
      </c>
      <c r="CO74" s="5" t="s">
        <v>121</v>
      </c>
      <c r="CP74" s="5" t="s">
        <v>3510</v>
      </c>
      <c r="CQ74" s="5" t="s">
        <v>873</v>
      </c>
      <c r="CR74" s="5" t="s">
        <v>11960</v>
      </c>
      <c r="CS74" s="5" t="s">
        <v>2854</v>
      </c>
      <c r="CT74" s="5" t="s">
        <v>3510</v>
      </c>
      <c r="CU74" s="5" t="s">
        <v>3510</v>
      </c>
      <c r="CV74" s="5" t="s">
        <v>11952</v>
      </c>
      <c r="CW74" s="5" t="s">
        <v>11952</v>
      </c>
      <c r="CX74" s="5" t="s">
        <v>12842</v>
      </c>
      <c r="CY74" s="5" t="s">
        <v>12913</v>
      </c>
      <c r="CZ74" s="5" t="s">
        <v>3510</v>
      </c>
      <c r="DA74" s="5" t="s">
        <v>11952</v>
      </c>
      <c r="DB74" s="5" t="s">
        <v>11963</v>
      </c>
      <c r="DC74" s="5" t="s">
        <v>12914</v>
      </c>
      <c r="DD74" s="5" t="s">
        <v>11963</v>
      </c>
      <c r="DE74" s="5" t="s">
        <v>12915</v>
      </c>
      <c r="DF74" s="5" t="s">
        <v>2854</v>
      </c>
      <c r="DG74" s="5" t="s">
        <v>12916</v>
      </c>
      <c r="DH74" s="5" t="s">
        <v>12917</v>
      </c>
      <c r="DI74" s="5" t="s">
        <v>11966</v>
      </c>
      <c r="DJ74" s="5" t="s">
        <v>11994</v>
      </c>
      <c r="DK74" s="5" t="s">
        <v>12918</v>
      </c>
      <c r="DL74" s="5">
        <v>5</v>
      </c>
      <c r="DM74" s="5">
        <v>3</v>
      </c>
      <c r="DN74" s="5">
        <v>1.8</v>
      </c>
      <c r="DO74" s="5">
        <v>1.5</v>
      </c>
      <c r="DP74" s="5">
        <v>3.5</v>
      </c>
      <c r="DQ74" s="5">
        <v>0.5</v>
      </c>
      <c r="DR74" s="5">
        <v>0</v>
      </c>
      <c r="DS74" s="5">
        <v>49.9</v>
      </c>
      <c r="DT74" s="5" t="s">
        <v>11968</v>
      </c>
      <c r="DU74" s="5" t="s">
        <v>12919</v>
      </c>
      <c r="DV74" s="5" t="s">
        <v>11970</v>
      </c>
      <c r="DW74" s="5"/>
      <c r="DX74" s="5">
        <v>12</v>
      </c>
      <c r="DY74" s="5"/>
      <c r="DZ74" s="5">
        <v>100</v>
      </c>
      <c r="EA74" s="5"/>
      <c r="EB74" s="5">
        <v>0.12</v>
      </c>
      <c r="EC74" s="5"/>
      <c r="ED74" s="5" t="s">
        <v>11971</v>
      </c>
      <c r="EE74" s="5"/>
      <c r="EF74" s="5" t="s">
        <v>11997</v>
      </c>
      <c r="EG74" s="5"/>
      <c r="EH74" s="5" t="s">
        <v>11997</v>
      </c>
      <c r="EI74" s="5"/>
      <c r="EJ74" s="5" t="s">
        <v>11997</v>
      </c>
      <c r="EK74" s="5"/>
      <c r="EL74" s="5" t="s">
        <v>11997</v>
      </c>
      <c r="EM74" s="5"/>
      <c r="EN74" s="5" t="s">
        <v>11997</v>
      </c>
      <c r="EO74" s="5"/>
      <c r="EP74" s="5" t="s">
        <v>11998</v>
      </c>
      <c r="EQ74" s="5"/>
      <c r="ER74" s="5" t="s">
        <v>11997</v>
      </c>
      <c r="ES74" s="5"/>
      <c r="ET74" s="5" t="s">
        <v>11972</v>
      </c>
      <c r="EU74" s="5"/>
      <c r="EV74" s="5"/>
      <c r="EW74" s="5"/>
      <c r="EX74" s="5"/>
      <c r="EY74" s="5" t="s">
        <v>5158</v>
      </c>
      <c r="EZ74" s="5"/>
      <c r="FA74" s="5" t="s">
        <v>874</v>
      </c>
      <c r="FB74" s="5"/>
    </row>
    <row r="75" spans="1:158" ht="89.25">
      <c r="A75" s="5" t="s">
        <v>876</v>
      </c>
      <c r="B75" s="5" t="s">
        <v>877</v>
      </c>
      <c r="C75" s="5" t="s">
        <v>11952</v>
      </c>
      <c r="D75" s="5" t="s">
        <v>664</v>
      </c>
      <c r="E75" s="5" t="s">
        <v>11953</v>
      </c>
      <c r="F75" s="5" t="s">
        <v>11954</v>
      </c>
      <c r="G75" s="5" t="s">
        <v>11955</v>
      </c>
      <c r="H75" s="5" t="s">
        <v>11235</v>
      </c>
      <c r="I75" s="5" t="s">
        <v>562</v>
      </c>
      <c r="J75" s="5" t="s">
        <v>3510</v>
      </c>
      <c r="K75" s="5" t="s">
        <v>11956</v>
      </c>
      <c r="L75" s="5" t="s">
        <v>881</v>
      </c>
      <c r="M75" s="5" t="s">
        <v>11952</v>
      </c>
      <c r="N75" s="5" t="s">
        <v>11952</v>
      </c>
      <c r="O75" s="5" t="s">
        <v>881</v>
      </c>
      <c r="P75" s="5" t="s">
        <v>11952</v>
      </c>
      <c r="Q75" s="5" t="s">
        <v>11952</v>
      </c>
      <c r="R75" s="5" t="s">
        <v>11952</v>
      </c>
      <c r="S75" s="5" t="s">
        <v>11952</v>
      </c>
      <c r="T75" s="5" t="s">
        <v>12920</v>
      </c>
      <c r="U75" s="5" t="s">
        <v>3510</v>
      </c>
      <c r="V75" s="5" t="s">
        <v>121</v>
      </c>
      <c r="W75" s="5" t="s">
        <v>121</v>
      </c>
      <c r="X75" s="5" t="s">
        <v>121</v>
      </c>
      <c r="Y75" s="5" t="s">
        <v>121</v>
      </c>
      <c r="Z75" s="5" t="s">
        <v>11952</v>
      </c>
      <c r="AA75" s="5" t="s">
        <v>11952</v>
      </c>
      <c r="AB75" s="5" t="s">
        <v>155</v>
      </c>
      <c r="AC75" s="5" t="s">
        <v>879</v>
      </c>
      <c r="AD75" s="5" t="s">
        <v>121</v>
      </c>
      <c r="AE75" s="5" t="s">
        <v>121</v>
      </c>
      <c r="AF75" s="5" t="s">
        <v>879</v>
      </c>
      <c r="AG75" s="5" t="s">
        <v>121</v>
      </c>
      <c r="AH75" s="5" t="s">
        <v>121</v>
      </c>
      <c r="AI75" s="5" t="s">
        <v>121</v>
      </c>
      <c r="AJ75" s="5" t="s">
        <v>121</v>
      </c>
      <c r="AK75" s="5" t="s">
        <v>121</v>
      </c>
      <c r="AL75" s="5" t="s">
        <v>121</v>
      </c>
      <c r="AM75" s="5" t="s">
        <v>121</v>
      </c>
      <c r="AN75" s="5" t="s">
        <v>12671</v>
      </c>
      <c r="AO75" s="5" t="s">
        <v>121</v>
      </c>
      <c r="AP75" s="5" t="s">
        <v>121</v>
      </c>
      <c r="AQ75" s="5" t="s">
        <v>121</v>
      </c>
      <c r="AR75" s="5" t="s">
        <v>121</v>
      </c>
      <c r="AS75" s="5" t="s">
        <v>121</v>
      </c>
      <c r="AT75" s="5" t="s">
        <v>121</v>
      </c>
      <c r="AU75" s="5" t="s">
        <v>121</v>
      </c>
      <c r="AV75" s="5" t="s">
        <v>121</v>
      </c>
      <c r="AW75" s="5" t="s">
        <v>121</v>
      </c>
      <c r="AX75" s="5" t="s">
        <v>121</v>
      </c>
      <c r="AY75" s="5" t="s">
        <v>121</v>
      </c>
      <c r="AZ75" s="5" t="s">
        <v>121</v>
      </c>
      <c r="BA75" s="5" t="s">
        <v>121</v>
      </c>
      <c r="BB75" s="5" t="s">
        <v>3510</v>
      </c>
      <c r="BC75" s="5" t="s">
        <v>121</v>
      </c>
      <c r="BD75" s="5" t="s">
        <v>121</v>
      </c>
      <c r="BE75" s="5" t="s">
        <v>121</v>
      </c>
      <c r="BF75" s="5" t="s">
        <v>121</v>
      </c>
      <c r="BG75" s="5" t="s">
        <v>121</v>
      </c>
      <c r="BH75" s="5" t="s">
        <v>12921</v>
      </c>
      <c r="BI75" s="5" t="s">
        <v>121</v>
      </c>
      <c r="BJ75" s="5" t="s">
        <v>878</v>
      </c>
      <c r="BK75" s="5" t="s">
        <v>121</v>
      </c>
      <c r="BL75" s="5" t="s">
        <v>1693</v>
      </c>
      <c r="BM75" s="5" t="s">
        <v>1693</v>
      </c>
      <c r="BN75" s="5" t="s">
        <v>676</v>
      </c>
      <c r="BO75" s="5" t="s">
        <v>121</v>
      </c>
      <c r="BP75" s="5" t="s">
        <v>2854</v>
      </c>
      <c r="BQ75" s="5" t="s">
        <v>121</v>
      </c>
      <c r="BR75" s="5" t="s">
        <v>121</v>
      </c>
      <c r="BS75" s="5" t="s">
        <v>121</v>
      </c>
      <c r="BT75" s="5" t="s">
        <v>121</v>
      </c>
      <c r="BU75" s="5" t="s">
        <v>121</v>
      </c>
      <c r="BV75" s="5" t="s">
        <v>3510</v>
      </c>
      <c r="BW75" s="5" t="s">
        <v>3510</v>
      </c>
      <c r="BX75" s="5" t="s">
        <v>3510</v>
      </c>
      <c r="BY75" s="5" t="s">
        <v>121</v>
      </c>
      <c r="BZ75" s="5" t="s">
        <v>121</v>
      </c>
      <c r="CA75" s="5" t="s">
        <v>121</v>
      </c>
      <c r="CB75" s="5" t="s">
        <v>121</v>
      </c>
      <c r="CC75" s="5" t="s">
        <v>120</v>
      </c>
      <c r="CD75" s="5" t="s">
        <v>121</v>
      </c>
      <c r="CE75" s="5" t="s">
        <v>121</v>
      </c>
      <c r="CF75" s="5" t="s">
        <v>11958</v>
      </c>
      <c r="CG75" s="5" t="s">
        <v>121</v>
      </c>
      <c r="CH75" s="5" t="s">
        <v>121</v>
      </c>
      <c r="CI75" s="5" t="s">
        <v>12034</v>
      </c>
      <c r="CJ75" s="5" t="s">
        <v>124</v>
      </c>
      <c r="CK75" s="5" t="s">
        <v>241</v>
      </c>
      <c r="CL75" s="5" t="s">
        <v>3510</v>
      </c>
      <c r="CM75" s="5" t="s">
        <v>124</v>
      </c>
      <c r="CN75" s="5" t="s">
        <v>121</v>
      </c>
      <c r="CO75" s="5" t="s">
        <v>121</v>
      </c>
      <c r="CP75" s="5" t="s">
        <v>3510</v>
      </c>
      <c r="CQ75" s="5" t="s">
        <v>880</v>
      </c>
      <c r="CR75" s="5" t="s">
        <v>11960</v>
      </c>
      <c r="CS75" s="5" t="s">
        <v>3510</v>
      </c>
      <c r="CT75" s="5" t="s">
        <v>3510</v>
      </c>
      <c r="CU75" s="5" t="s">
        <v>3510</v>
      </c>
      <c r="CV75" s="5" t="s">
        <v>11952</v>
      </c>
      <c r="CW75" s="5" t="s">
        <v>11952</v>
      </c>
      <c r="CX75" s="5" t="s">
        <v>12673</v>
      </c>
      <c r="CY75" s="5" t="s">
        <v>12922</v>
      </c>
      <c r="CZ75" s="5" t="s">
        <v>3510</v>
      </c>
      <c r="DA75" s="5" t="s">
        <v>11952</v>
      </c>
      <c r="DB75" s="5" t="s">
        <v>11963</v>
      </c>
      <c r="DC75" s="5" t="s">
        <v>11963</v>
      </c>
      <c r="DD75" s="5" t="s">
        <v>11963</v>
      </c>
      <c r="DE75" s="5" t="s">
        <v>11963</v>
      </c>
      <c r="DF75" s="5" t="s">
        <v>3510</v>
      </c>
      <c r="DG75" s="5" t="s">
        <v>11964</v>
      </c>
      <c r="DH75" s="5" t="s">
        <v>12923</v>
      </c>
      <c r="DI75" s="5" t="s">
        <v>11966</v>
      </c>
      <c r="DJ75" s="5" t="s">
        <v>11966</v>
      </c>
      <c r="DK75" s="5" t="s">
        <v>11967</v>
      </c>
      <c r="DL75" s="5">
        <v>5</v>
      </c>
      <c r="DM75" s="5">
        <v>2</v>
      </c>
      <c r="DN75" s="5">
        <v>3</v>
      </c>
      <c r="DO75" s="5">
        <v>3</v>
      </c>
      <c r="DP75" s="5">
        <v>1</v>
      </c>
      <c r="DQ75" s="5">
        <v>0</v>
      </c>
      <c r="DR75" s="5">
        <v>0</v>
      </c>
      <c r="DS75" s="5">
        <v>48</v>
      </c>
      <c r="DT75" s="5" t="s">
        <v>11968</v>
      </c>
      <c r="DU75" s="5" t="s">
        <v>11969</v>
      </c>
      <c r="DV75" s="5" t="s">
        <v>11970</v>
      </c>
      <c r="DW75" s="5"/>
      <c r="DX75" s="5">
        <v>16</v>
      </c>
      <c r="DY75" s="5"/>
      <c r="DZ75" s="5">
        <v>100</v>
      </c>
      <c r="EA75" s="5"/>
      <c r="EB75" s="5">
        <v>0.16</v>
      </c>
      <c r="EC75" s="5"/>
      <c r="ED75" s="5" t="s">
        <v>11971</v>
      </c>
      <c r="EE75" s="5"/>
      <c r="EF75" s="5" t="s">
        <v>11997</v>
      </c>
      <c r="EG75" s="5"/>
      <c r="EH75" s="5" t="s">
        <v>11997</v>
      </c>
      <c r="EI75" s="5"/>
      <c r="EJ75" s="5" t="s">
        <v>11997</v>
      </c>
      <c r="EK75" s="5"/>
      <c r="EL75" s="5" t="s">
        <v>11997</v>
      </c>
      <c r="EM75" s="5"/>
      <c r="EN75" s="5" t="s">
        <v>11997</v>
      </c>
      <c r="EO75" s="5"/>
      <c r="EP75" s="5" t="s">
        <v>11998</v>
      </c>
      <c r="EQ75" s="5"/>
      <c r="ER75" s="5" t="s">
        <v>11997</v>
      </c>
      <c r="ES75" s="5"/>
      <c r="ET75" s="5" t="s">
        <v>11972</v>
      </c>
      <c r="EU75" s="5"/>
      <c r="EV75" s="5"/>
      <c r="EW75" s="5"/>
      <c r="EX75" s="5"/>
      <c r="EY75" s="5" t="s">
        <v>5187</v>
      </c>
      <c r="EZ75" s="5"/>
      <c r="FA75" s="5" t="s">
        <v>881</v>
      </c>
      <c r="FB75" s="5"/>
    </row>
    <row r="76" spans="1:158" ht="395.25">
      <c r="A76" s="5" t="s">
        <v>883</v>
      </c>
      <c r="B76" s="5" t="s">
        <v>884</v>
      </c>
      <c r="C76" s="5" t="s">
        <v>12924</v>
      </c>
      <c r="D76" s="5" t="s">
        <v>885</v>
      </c>
      <c r="E76" s="5" t="s">
        <v>11974</v>
      </c>
      <c r="F76" s="5" t="s">
        <v>11975</v>
      </c>
      <c r="G76" s="5" t="s">
        <v>12925</v>
      </c>
      <c r="H76" s="5" t="s">
        <v>11235</v>
      </c>
      <c r="I76" s="5" t="s">
        <v>789</v>
      </c>
      <c r="J76" s="5" t="s">
        <v>2854</v>
      </c>
      <c r="K76" s="5" t="s">
        <v>12926</v>
      </c>
      <c r="L76" s="5" t="s">
        <v>892</v>
      </c>
      <c r="M76" s="5" t="s">
        <v>11952</v>
      </c>
      <c r="N76" s="5" t="s">
        <v>11952</v>
      </c>
      <c r="O76" s="5" t="s">
        <v>892</v>
      </c>
      <c r="P76" s="5" t="s">
        <v>11952</v>
      </c>
      <c r="Q76" s="5" t="s">
        <v>11952</v>
      </c>
      <c r="R76" s="5" t="s">
        <v>12927</v>
      </c>
      <c r="S76" s="5" t="s">
        <v>11952</v>
      </c>
      <c r="T76" s="5" t="s">
        <v>12928</v>
      </c>
      <c r="U76" s="5" t="s">
        <v>3510</v>
      </c>
      <c r="V76" s="5" t="s">
        <v>121</v>
      </c>
      <c r="W76" s="5" t="s">
        <v>121</v>
      </c>
      <c r="X76" s="5" t="s">
        <v>121</v>
      </c>
      <c r="Y76" s="5" t="s">
        <v>121</v>
      </c>
      <c r="Z76" s="5" t="s">
        <v>11952</v>
      </c>
      <c r="AA76" s="5" t="s">
        <v>11952</v>
      </c>
      <c r="AB76" s="5" t="s">
        <v>121</v>
      </c>
      <c r="AC76" s="5" t="s">
        <v>121</v>
      </c>
      <c r="AD76" s="5" t="s">
        <v>121</v>
      </c>
      <c r="AE76" s="5" t="s">
        <v>121</v>
      </c>
      <c r="AF76" s="5" t="s">
        <v>121</v>
      </c>
      <c r="AG76" s="5" t="s">
        <v>121</v>
      </c>
      <c r="AH76" s="5" t="s">
        <v>121</v>
      </c>
      <c r="AI76" s="5" t="s">
        <v>121</v>
      </c>
      <c r="AJ76" s="5" t="s">
        <v>121</v>
      </c>
      <c r="AK76" s="5" t="s">
        <v>121</v>
      </c>
      <c r="AL76" s="5" t="s">
        <v>121</v>
      </c>
      <c r="AM76" s="5" t="s">
        <v>121</v>
      </c>
      <c r="AN76" s="5" t="s">
        <v>121</v>
      </c>
      <c r="AO76" s="5" t="s">
        <v>121</v>
      </c>
      <c r="AP76" s="5" t="s">
        <v>121</v>
      </c>
      <c r="AQ76" s="5" t="s">
        <v>121</v>
      </c>
      <c r="AR76" s="5" t="s">
        <v>121</v>
      </c>
      <c r="AS76" s="5" t="s">
        <v>890</v>
      </c>
      <c r="AT76" s="5" t="s">
        <v>121</v>
      </c>
      <c r="AU76" s="5" t="s">
        <v>887</v>
      </c>
      <c r="AV76" s="5" t="s">
        <v>121</v>
      </c>
      <c r="AW76" s="5" t="s">
        <v>887</v>
      </c>
      <c r="AX76" s="5" t="s">
        <v>121</v>
      </c>
      <c r="AY76" s="5" t="s">
        <v>121</v>
      </c>
      <c r="AZ76" s="5" t="s">
        <v>121</v>
      </c>
      <c r="BA76" s="5" t="s">
        <v>121</v>
      </c>
      <c r="BB76" s="5" t="s">
        <v>2854</v>
      </c>
      <c r="BC76" s="5" t="s">
        <v>121</v>
      </c>
      <c r="BD76" s="5" t="s">
        <v>12929</v>
      </c>
      <c r="BE76" s="5" t="s">
        <v>121</v>
      </c>
      <c r="BF76" s="5" t="s">
        <v>12930</v>
      </c>
      <c r="BG76" s="5" t="s">
        <v>121</v>
      </c>
      <c r="BH76" s="5" t="s">
        <v>12815</v>
      </c>
      <c r="BI76" s="5" t="s">
        <v>121</v>
      </c>
      <c r="BJ76" s="5" t="s">
        <v>888</v>
      </c>
      <c r="BK76" s="5" t="s">
        <v>121</v>
      </c>
      <c r="BL76" s="5" t="s">
        <v>1273</v>
      </c>
      <c r="BM76" s="5" t="s">
        <v>1273</v>
      </c>
      <c r="BN76" s="5" t="s">
        <v>121</v>
      </c>
      <c r="BO76" s="5" t="s">
        <v>121</v>
      </c>
      <c r="BP76" s="5" t="s">
        <v>121</v>
      </c>
      <c r="BQ76" s="5" t="s">
        <v>121</v>
      </c>
      <c r="BR76" s="5" t="s">
        <v>2854</v>
      </c>
      <c r="BS76" s="5" t="s">
        <v>121</v>
      </c>
      <c r="BT76" s="5" t="s">
        <v>121</v>
      </c>
      <c r="BU76" s="5" t="s">
        <v>121</v>
      </c>
      <c r="BV76" s="5" t="s">
        <v>3510</v>
      </c>
      <c r="BW76" s="5" t="s">
        <v>3510</v>
      </c>
      <c r="BX76" s="5" t="s">
        <v>3510</v>
      </c>
      <c r="BY76" s="5" t="s">
        <v>121</v>
      </c>
      <c r="BZ76" s="5" t="s">
        <v>121</v>
      </c>
      <c r="CA76" s="5" t="s">
        <v>121</v>
      </c>
      <c r="CB76" s="5" t="s">
        <v>121</v>
      </c>
      <c r="CC76" s="5" t="s">
        <v>886</v>
      </c>
      <c r="CD76" s="5" t="s">
        <v>121</v>
      </c>
      <c r="CE76" s="5" t="s">
        <v>121</v>
      </c>
      <c r="CF76" s="5" t="s">
        <v>11958</v>
      </c>
      <c r="CG76" s="5" t="s">
        <v>121</v>
      </c>
      <c r="CH76" s="5" t="s">
        <v>121</v>
      </c>
      <c r="CI76" s="5" t="s">
        <v>12841</v>
      </c>
      <c r="CJ76" s="5" t="s">
        <v>871</v>
      </c>
      <c r="CK76" s="5" t="s">
        <v>889</v>
      </c>
      <c r="CL76" s="5" t="s">
        <v>2854</v>
      </c>
      <c r="CM76" s="5" t="s">
        <v>871</v>
      </c>
      <c r="CN76" s="5" t="s">
        <v>121</v>
      </c>
      <c r="CO76" s="5" t="s">
        <v>121</v>
      </c>
      <c r="CP76" s="5" t="s">
        <v>3510</v>
      </c>
      <c r="CQ76" s="5" t="s">
        <v>891</v>
      </c>
      <c r="CR76" s="5" t="s">
        <v>11960</v>
      </c>
      <c r="CS76" s="5" t="s">
        <v>2854</v>
      </c>
      <c r="CT76" s="5" t="s">
        <v>3510</v>
      </c>
      <c r="CU76" s="5" t="s">
        <v>3510</v>
      </c>
      <c r="CV76" s="5" t="s">
        <v>11952</v>
      </c>
      <c r="CW76" s="5" t="s">
        <v>11952</v>
      </c>
      <c r="CX76" s="5" t="s">
        <v>12842</v>
      </c>
      <c r="CY76" s="5" t="s">
        <v>12931</v>
      </c>
      <c r="CZ76" s="5" t="s">
        <v>3510</v>
      </c>
      <c r="DA76" s="5" t="s">
        <v>11952</v>
      </c>
      <c r="DB76" s="5" t="s">
        <v>11963</v>
      </c>
      <c r="DC76" s="5" t="s">
        <v>12932</v>
      </c>
      <c r="DD76" s="5" t="s">
        <v>11963</v>
      </c>
      <c r="DE76" s="5" t="s">
        <v>12933</v>
      </c>
      <c r="DF76" s="5" t="s">
        <v>2854</v>
      </c>
      <c r="DG76" s="5" t="s">
        <v>12934</v>
      </c>
      <c r="DH76" s="5" t="s">
        <v>12935</v>
      </c>
      <c r="DI76" s="5" t="s">
        <v>11966</v>
      </c>
      <c r="DJ76" s="5" t="s">
        <v>11994</v>
      </c>
      <c r="DK76" s="5" t="s">
        <v>12936</v>
      </c>
      <c r="DL76" s="5">
        <v>4.5</v>
      </c>
      <c r="DM76" s="5">
        <v>1.5</v>
      </c>
      <c r="DN76" s="5">
        <v>1.8</v>
      </c>
      <c r="DO76" s="5">
        <v>2</v>
      </c>
      <c r="DP76" s="5">
        <v>3</v>
      </c>
      <c r="DQ76" s="5">
        <v>4</v>
      </c>
      <c r="DR76" s="5">
        <v>0</v>
      </c>
      <c r="DS76" s="5">
        <v>49.4</v>
      </c>
      <c r="DT76" s="5" t="s">
        <v>11968</v>
      </c>
      <c r="DU76" s="5" t="s">
        <v>12116</v>
      </c>
      <c r="DV76" s="5" t="s">
        <v>11970</v>
      </c>
      <c r="DW76" s="5"/>
      <c r="DX76" s="5">
        <v>18</v>
      </c>
      <c r="DY76" s="5"/>
      <c r="DZ76" s="5">
        <v>100</v>
      </c>
      <c r="EA76" s="5"/>
      <c r="EB76" s="5">
        <v>0.18</v>
      </c>
      <c r="EC76" s="5"/>
      <c r="ED76" s="5" t="s">
        <v>11971</v>
      </c>
      <c r="EE76" s="5"/>
      <c r="EF76" s="5" t="s">
        <v>11997</v>
      </c>
      <c r="EG76" s="5"/>
      <c r="EH76" s="5" t="s">
        <v>11997</v>
      </c>
      <c r="EI76" s="5"/>
      <c r="EJ76" s="5" t="s">
        <v>11997</v>
      </c>
      <c r="EK76" s="5"/>
      <c r="EL76" s="5" t="s">
        <v>11997</v>
      </c>
      <c r="EM76" s="5"/>
      <c r="EN76" s="5" t="s">
        <v>11997</v>
      </c>
      <c r="EO76" s="5"/>
      <c r="EP76" s="5" t="s">
        <v>11998</v>
      </c>
      <c r="EQ76" s="5"/>
      <c r="ER76" s="5" t="s">
        <v>11997</v>
      </c>
      <c r="ES76" s="5"/>
      <c r="ET76" s="5" t="s">
        <v>11972</v>
      </c>
      <c r="EU76" s="5"/>
      <c r="EV76" s="5"/>
      <c r="EW76" s="5"/>
      <c r="EX76" s="5"/>
      <c r="EY76" s="5" t="s">
        <v>5217</v>
      </c>
      <c r="EZ76" s="5"/>
      <c r="FA76" s="5" t="s">
        <v>892</v>
      </c>
      <c r="FB76" s="5"/>
    </row>
    <row r="77" spans="1:158" ht="306">
      <c r="A77" s="5" t="s">
        <v>894</v>
      </c>
      <c r="B77" s="5" t="s">
        <v>11490</v>
      </c>
      <c r="C77" s="5" t="s">
        <v>11952</v>
      </c>
      <c r="D77" s="5" t="s">
        <v>12937</v>
      </c>
      <c r="E77" s="5" t="s">
        <v>12011</v>
      </c>
      <c r="F77" s="5" t="s">
        <v>11994</v>
      </c>
      <c r="G77" s="5" t="s">
        <v>12938</v>
      </c>
      <c r="H77" s="5" t="s">
        <v>12530</v>
      </c>
      <c r="I77" s="5" t="s">
        <v>562</v>
      </c>
      <c r="J77" s="5" t="s">
        <v>3510</v>
      </c>
      <c r="K77" s="5" t="s">
        <v>12878</v>
      </c>
      <c r="L77" s="5" t="s">
        <v>12939</v>
      </c>
      <c r="M77" s="5" t="s">
        <v>11952</v>
      </c>
      <c r="N77" s="5" t="s">
        <v>11952</v>
      </c>
      <c r="O77" s="5" t="s">
        <v>11491</v>
      </c>
      <c r="P77" s="5" t="s">
        <v>11952</v>
      </c>
      <c r="Q77" s="5" t="s">
        <v>11952</v>
      </c>
      <c r="R77" s="5" t="s">
        <v>11952</v>
      </c>
      <c r="S77" s="5" t="s">
        <v>11952</v>
      </c>
      <c r="T77" s="5" t="s">
        <v>12940</v>
      </c>
      <c r="U77" s="5" t="s">
        <v>2854</v>
      </c>
      <c r="V77" s="5" t="s">
        <v>12941</v>
      </c>
      <c r="W77" s="5" t="s">
        <v>12941</v>
      </c>
      <c r="X77" s="5" t="s">
        <v>121</v>
      </c>
      <c r="Y77" s="5" t="s">
        <v>121</v>
      </c>
      <c r="Z77" s="5" t="s">
        <v>121</v>
      </c>
      <c r="AA77" s="5" t="s">
        <v>11981</v>
      </c>
      <c r="AB77" s="5" t="s">
        <v>121</v>
      </c>
      <c r="AC77" s="5" t="s">
        <v>121</v>
      </c>
      <c r="AD77" s="5" t="s">
        <v>121</v>
      </c>
      <c r="AE77" s="5" t="s">
        <v>121</v>
      </c>
      <c r="AF77" s="5" t="s">
        <v>121</v>
      </c>
      <c r="AG77" s="5" t="s">
        <v>121</v>
      </c>
      <c r="AH77" s="5" t="s">
        <v>121</v>
      </c>
      <c r="AI77" s="5" t="s">
        <v>121</v>
      </c>
      <c r="AJ77" s="5" t="s">
        <v>121</v>
      </c>
      <c r="AK77" s="5" t="s">
        <v>121</v>
      </c>
      <c r="AL77" s="5" t="s">
        <v>121</v>
      </c>
      <c r="AM77" s="5" t="s">
        <v>121</v>
      </c>
      <c r="AN77" s="5" t="s">
        <v>121</v>
      </c>
      <c r="AO77" s="5" t="s">
        <v>121</v>
      </c>
      <c r="AP77" s="5" t="s">
        <v>12942</v>
      </c>
      <c r="AQ77" s="5" t="s">
        <v>121</v>
      </c>
      <c r="AR77" s="5" t="s">
        <v>121</v>
      </c>
      <c r="AS77" s="5" t="s">
        <v>12943</v>
      </c>
      <c r="AT77" s="5" t="s">
        <v>121</v>
      </c>
      <c r="AU77" s="5" t="s">
        <v>12944</v>
      </c>
      <c r="AV77" s="5" t="s">
        <v>12003</v>
      </c>
      <c r="AW77" s="5" t="s">
        <v>121</v>
      </c>
      <c r="AX77" s="5" t="s">
        <v>12159</v>
      </c>
      <c r="AY77" s="5" t="s">
        <v>2854</v>
      </c>
      <c r="AZ77" s="5" t="s">
        <v>121</v>
      </c>
      <c r="BA77" s="5" t="s">
        <v>121</v>
      </c>
      <c r="BB77" s="5" t="s">
        <v>3510</v>
      </c>
      <c r="BC77" s="5" t="s">
        <v>121</v>
      </c>
      <c r="BD77" s="5" t="s">
        <v>121</v>
      </c>
      <c r="BE77" s="5" t="s">
        <v>121</v>
      </c>
      <c r="BF77" s="5" t="s">
        <v>121</v>
      </c>
      <c r="BG77" s="5" t="s">
        <v>121</v>
      </c>
      <c r="BH77" s="5" t="s">
        <v>12945</v>
      </c>
      <c r="BI77" s="5" t="s">
        <v>121</v>
      </c>
      <c r="BJ77" s="5" t="s">
        <v>12946</v>
      </c>
      <c r="BK77" s="5" t="s">
        <v>121</v>
      </c>
      <c r="BL77" s="5" t="s">
        <v>12947</v>
      </c>
      <c r="BM77" s="5" t="s">
        <v>12947</v>
      </c>
      <c r="BN77" s="5" t="s">
        <v>121</v>
      </c>
      <c r="BO77" s="5" t="s">
        <v>121</v>
      </c>
      <c r="BP77" s="5" t="s">
        <v>2854</v>
      </c>
      <c r="BQ77" s="5" t="s">
        <v>2854</v>
      </c>
      <c r="BR77" s="5" t="s">
        <v>121</v>
      </c>
      <c r="BS77" s="5" t="s">
        <v>121</v>
      </c>
      <c r="BT77" s="5" t="s">
        <v>121</v>
      </c>
      <c r="BU77" s="5" t="s">
        <v>121</v>
      </c>
      <c r="BV77" s="5" t="s">
        <v>3510</v>
      </c>
      <c r="BW77" s="5" t="s">
        <v>3510</v>
      </c>
      <c r="BX77" s="5" t="s">
        <v>3510</v>
      </c>
      <c r="BY77" s="5" t="s">
        <v>12948</v>
      </c>
      <c r="BZ77" s="5" t="s">
        <v>121</v>
      </c>
      <c r="CA77" s="5" t="s">
        <v>121</v>
      </c>
      <c r="CB77" s="5" t="s">
        <v>121</v>
      </c>
      <c r="CC77" s="5" t="s">
        <v>710</v>
      </c>
      <c r="CD77" s="5" t="s">
        <v>121</v>
      </c>
      <c r="CE77" s="5" t="s">
        <v>121</v>
      </c>
      <c r="CF77" s="5" t="s">
        <v>11958</v>
      </c>
      <c r="CG77" s="5" t="s">
        <v>121</v>
      </c>
      <c r="CH77" s="5" t="s">
        <v>121</v>
      </c>
      <c r="CI77" s="5" t="s">
        <v>12749</v>
      </c>
      <c r="CJ77" s="5" t="s">
        <v>124</v>
      </c>
      <c r="CK77" s="5" t="s">
        <v>241</v>
      </c>
      <c r="CL77" s="5" t="s">
        <v>3510</v>
      </c>
      <c r="CM77" s="5" t="s">
        <v>124</v>
      </c>
      <c r="CN77" s="5" t="s">
        <v>121</v>
      </c>
      <c r="CO77" s="5" t="s">
        <v>121</v>
      </c>
      <c r="CP77" s="5" t="s">
        <v>3510</v>
      </c>
      <c r="CQ77" s="5" t="s">
        <v>12949</v>
      </c>
      <c r="CR77" s="5" t="s">
        <v>12187</v>
      </c>
      <c r="CS77" s="5" t="s">
        <v>3510</v>
      </c>
      <c r="CT77" s="5" t="s">
        <v>3510</v>
      </c>
      <c r="CU77" s="5" t="s">
        <v>2854</v>
      </c>
      <c r="CV77" s="5" t="s">
        <v>33</v>
      </c>
      <c r="CW77" s="5" t="s">
        <v>12950</v>
      </c>
      <c r="CX77" s="5" t="s">
        <v>12951</v>
      </c>
      <c r="CY77" s="5" t="s">
        <v>12952</v>
      </c>
      <c r="CZ77" s="5" t="s">
        <v>11989</v>
      </c>
      <c r="DA77" s="5" t="s">
        <v>11989</v>
      </c>
      <c r="DB77" s="5" t="s">
        <v>11963</v>
      </c>
      <c r="DC77" s="5" t="s">
        <v>12953</v>
      </c>
      <c r="DD77" s="5" t="s">
        <v>11963</v>
      </c>
      <c r="DE77" s="5" t="s">
        <v>12954</v>
      </c>
      <c r="DF77" s="5" t="s">
        <v>2854</v>
      </c>
      <c r="DG77" s="5" t="s">
        <v>12955</v>
      </c>
      <c r="DH77" s="5" t="s">
        <v>12956</v>
      </c>
      <c r="DI77" s="5" t="s">
        <v>11966</v>
      </c>
      <c r="DJ77" s="5" t="s">
        <v>12044</v>
      </c>
      <c r="DK77" s="5" t="s">
        <v>12957</v>
      </c>
      <c r="DL77" s="5">
        <v>5</v>
      </c>
      <c r="DM77" s="5">
        <v>2.2999999999999998</v>
      </c>
      <c r="DN77" s="5">
        <v>2</v>
      </c>
      <c r="DO77" s="5">
        <v>0.3</v>
      </c>
      <c r="DP77" s="5">
        <v>3.7</v>
      </c>
      <c r="DQ77" s="5">
        <v>1</v>
      </c>
      <c r="DR77" s="5">
        <v>0</v>
      </c>
      <c r="DS77" s="5">
        <v>45.5</v>
      </c>
      <c r="DT77" s="5" t="s">
        <v>11968</v>
      </c>
      <c r="DU77" s="5" t="s">
        <v>11996</v>
      </c>
      <c r="DV77" s="5" t="s">
        <v>11970</v>
      </c>
      <c r="DW77" s="5"/>
      <c r="DX77" s="5">
        <v>14</v>
      </c>
      <c r="DY77" s="5"/>
      <c r="DZ77" s="5">
        <v>100</v>
      </c>
      <c r="EA77" s="5"/>
      <c r="EB77" s="5">
        <v>0.14000000000000001</v>
      </c>
      <c r="EC77" s="5"/>
      <c r="ED77" s="5" t="s">
        <v>11971</v>
      </c>
      <c r="EE77" s="5"/>
      <c r="EF77" s="5" t="s">
        <v>11997</v>
      </c>
      <c r="EG77" s="5"/>
      <c r="EH77" s="5" t="s">
        <v>11997</v>
      </c>
      <c r="EI77" s="5"/>
      <c r="EJ77" s="5" t="s">
        <v>11997</v>
      </c>
      <c r="EK77" s="5"/>
      <c r="EL77" s="5" t="s">
        <v>11997</v>
      </c>
      <c r="EM77" s="5"/>
      <c r="EN77" s="5" t="s">
        <v>11997</v>
      </c>
      <c r="EO77" s="5"/>
      <c r="EP77" s="5" t="s">
        <v>11998</v>
      </c>
      <c r="EQ77" s="5"/>
      <c r="ER77" s="5" t="s">
        <v>11997</v>
      </c>
      <c r="ES77" s="5"/>
      <c r="ET77" s="5" t="s">
        <v>11972</v>
      </c>
      <c r="EU77" s="5"/>
      <c r="EV77" s="5"/>
      <c r="EW77" s="5"/>
      <c r="EX77" s="5"/>
      <c r="EY77" s="5" t="s">
        <v>12958</v>
      </c>
      <c r="EZ77" s="5"/>
      <c r="FA77" s="5" t="s">
        <v>12939</v>
      </c>
      <c r="FB77" s="5"/>
    </row>
    <row r="78" spans="1:158" ht="76.5">
      <c r="A78" s="5" t="s">
        <v>909</v>
      </c>
      <c r="B78" s="5" t="s">
        <v>910</v>
      </c>
      <c r="C78" s="5" t="s">
        <v>11952</v>
      </c>
      <c r="D78" s="5" t="s">
        <v>664</v>
      </c>
      <c r="E78" s="5" t="s">
        <v>11953</v>
      </c>
      <c r="F78" s="5" t="s">
        <v>11954</v>
      </c>
      <c r="G78" s="5" t="s">
        <v>11955</v>
      </c>
      <c r="H78" s="5" t="s">
        <v>11237</v>
      </c>
      <c r="I78" s="5" t="s">
        <v>562</v>
      </c>
      <c r="J78" s="5" t="s">
        <v>3510</v>
      </c>
      <c r="K78" s="5" t="s">
        <v>11956</v>
      </c>
      <c r="L78" s="5" t="s">
        <v>918</v>
      </c>
      <c r="M78" s="5" t="s">
        <v>11952</v>
      </c>
      <c r="N78" s="5" t="s">
        <v>11952</v>
      </c>
      <c r="O78" s="5" t="s">
        <v>918</v>
      </c>
      <c r="P78" s="5" t="s">
        <v>11952</v>
      </c>
      <c r="Q78" s="5" t="s">
        <v>11952</v>
      </c>
      <c r="R78" s="5" t="s">
        <v>11952</v>
      </c>
      <c r="S78" s="5" t="s">
        <v>11952</v>
      </c>
      <c r="T78" s="5" t="s">
        <v>12959</v>
      </c>
      <c r="U78" s="5" t="s">
        <v>3510</v>
      </c>
      <c r="V78" s="5" t="s">
        <v>121</v>
      </c>
      <c r="W78" s="5" t="s">
        <v>121</v>
      </c>
      <c r="X78" s="5" t="s">
        <v>121</v>
      </c>
      <c r="Y78" s="5" t="s">
        <v>121</v>
      </c>
      <c r="Z78" s="5" t="s">
        <v>11952</v>
      </c>
      <c r="AA78" s="5" t="s">
        <v>11952</v>
      </c>
      <c r="AB78" s="5" t="s">
        <v>155</v>
      </c>
      <c r="AC78" s="5" t="s">
        <v>915</v>
      </c>
      <c r="AD78" s="5" t="s">
        <v>121</v>
      </c>
      <c r="AE78" s="5" t="s">
        <v>121</v>
      </c>
      <c r="AF78" s="5" t="s">
        <v>915</v>
      </c>
      <c r="AG78" s="5" t="s">
        <v>121</v>
      </c>
      <c r="AH78" s="5" t="s">
        <v>121</v>
      </c>
      <c r="AI78" s="5" t="s">
        <v>121</v>
      </c>
      <c r="AJ78" s="5" t="s">
        <v>121</v>
      </c>
      <c r="AK78" s="5" t="s">
        <v>121</v>
      </c>
      <c r="AL78" s="5" t="s">
        <v>121</v>
      </c>
      <c r="AM78" s="5" t="s">
        <v>121</v>
      </c>
      <c r="AN78" s="5" t="s">
        <v>12960</v>
      </c>
      <c r="AO78" s="5" t="s">
        <v>121</v>
      </c>
      <c r="AP78" s="5" t="s">
        <v>12961</v>
      </c>
      <c r="AQ78" s="5" t="s">
        <v>121</v>
      </c>
      <c r="AR78" s="5" t="s">
        <v>121</v>
      </c>
      <c r="AS78" s="5" t="s">
        <v>916</v>
      </c>
      <c r="AT78" s="5" t="s">
        <v>121</v>
      </c>
      <c r="AU78" s="5" t="s">
        <v>912</v>
      </c>
      <c r="AV78" s="5" t="s">
        <v>12003</v>
      </c>
      <c r="AW78" s="5" t="s">
        <v>912</v>
      </c>
      <c r="AX78" s="5" t="s">
        <v>12159</v>
      </c>
      <c r="AY78" s="5" t="s">
        <v>121</v>
      </c>
      <c r="AZ78" s="5" t="s">
        <v>121</v>
      </c>
      <c r="BA78" s="5" t="s">
        <v>121</v>
      </c>
      <c r="BB78" s="5" t="s">
        <v>3510</v>
      </c>
      <c r="BC78" s="5" t="s">
        <v>121</v>
      </c>
      <c r="BD78" s="5" t="s">
        <v>121</v>
      </c>
      <c r="BE78" s="5" t="s">
        <v>121</v>
      </c>
      <c r="BF78" s="5" t="s">
        <v>12962</v>
      </c>
      <c r="BG78" s="5" t="s">
        <v>121</v>
      </c>
      <c r="BH78" s="5" t="s">
        <v>12963</v>
      </c>
      <c r="BI78" s="5" t="s">
        <v>121</v>
      </c>
      <c r="BJ78" s="5" t="s">
        <v>913</v>
      </c>
      <c r="BK78" s="5" t="s">
        <v>121</v>
      </c>
      <c r="BL78" s="5" t="s">
        <v>911</v>
      </c>
      <c r="BM78" s="5" t="s">
        <v>911</v>
      </c>
      <c r="BN78" s="5" t="s">
        <v>914</v>
      </c>
      <c r="BO78" s="5" t="s">
        <v>121</v>
      </c>
      <c r="BP78" s="5" t="s">
        <v>2854</v>
      </c>
      <c r="BQ78" s="5" t="s">
        <v>121</v>
      </c>
      <c r="BR78" s="5" t="s">
        <v>2854</v>
      </c>
      <c r="BS78" s="5" t="s">
        <v>121</v>
      </c>
      <c r="BT78" s="5" t="s">
        <v>121</v>
      </c>
      <c r="BU78" s="5" t="s">
        <v>121</v>
      </c>
      <c r="BV78" s="5" t="s">
        <v>3510</v>
      </c>
      <c r="BW78" s="5" t="s">
        <v>3510</v>
      </c>
      <c r="BX78" s="5" t="s">
        <v>3510</v>
      </c>
      <c r="BY78" s="5" t="s">
        <v>12964</v>
      </c>
      <c r="BZ78" s="5" t="s">
        <v>12965</v>
      </c>
      <c r="CA78" s="5" t="s">
        <v>121</v>
      </c>
      <c r="CB78" s="5" t="s">
        <v>121</v>
      </c>
      <c r="CC78" s="5" t="s">
        <v>911</v>
      </c>
      <c r="CD78" s="5" t="s">
        <v>12966</v>
      </c>
      <c r="CE78" s="5" t="s">
        <v>12966</v>
      </c>
      <c r="CF78" s="5" t="s">
        <v>11958</v>
      </c>
      <c r="CG78" s="5" t="s">
        <v>12967</v>
      </c>
      <c r="CH78" s="5" t="s">
        <v>12968</v>
      </c>
      <c r="CI78" s="5" t="s">
        <v>12034</v>
      </c>
      <c r="CJ78" s="5" t="s">
        <v>124</v>
      </c>
      <c r="CK78" s="5" t="s">
        <v>121</v>
      </c>
      <c r="CL78" s="5" t="s">
        <v>3510</v>
      </c>
      <c r="CM78" s="5" t="s">
        <v>124</v>
      </c>
      <c r="CN78" s="5" t="s">
        <v>121</v>
      </c>
      <c r="CO78" s="5" t="s">
        <v>121</v>
      </c>
      <c r="CP78" s="5" t="s">
        <v>3510</v>
      </c>
      <c r="CQ78" s="5" t="s">
        <v>917</v>
      </c>
      <c r="CR78" s="5" t="s">
        <v>11960</v>
      </c>
      <c r="CS78" s="5" t="s">
        <v>3510</v>
      </c>
      <c r="CT78" s="5" t="s">
        <v>3510</v>
      </c>
      <c r="CU78" s="5" t="s">
        <v>3510</v>
      </c>
      <c r="CV78" s="5" t="s">
        <v>11952</v>
      </c>
      <c r="CW78" s="5" t="s">
        <v>11952</v>
      </c>
      <c r="CX78" s="5" t="s">
        <v>12687</v>
      </c>
      <c r="CY78" s="5" t="s">
        <v>12969</v>
      </c>
      <c r="CZ78" s="5" t="s">
        <v>11952</v>
      </c>
      <c r="DA78" s="5" t="s">
        <v>3510</v>
      </c>
      <c r="DB78" s="5" t="s">
        <v>11963</v>
      </c>
      <c r="DC78" s="5" t="s">
        <v>11963</v>
      </c>
      <c r="DD78" s="5" t="s">
        <v>11963</v>
      </c>
      <c r="DE78" s="5" t="s">
        <v>11963</v>
      </c>
      <c r="DF78" s="5" t="s">
        <v>3510</v>
      </c>
      <c r="DG78" s="5" t="s">
        <v>11964</v>
      </c>
      <c r="DH78" s="5" t="s">
        <v>12970</v>
      </c>
      <c r="DI78" s="5" t="s">
        <v>11975</v>
      </c>
      <c r="DJ78" s="5" t="s">
        <v>11966</v>
      </c>
      <c r="DK78" s="5" t="s">
        <v>11967</v>
      </c>
      <c r="DL78" s="5">
        <v>5</v>
      </c>
      <c r="DM78" s="5">
        <v>3</v>
      </c>
      <c r="DN78" s="5">
        <v>4</v>
      </c>
      <c r="DO78" s="5">
        <v>2</v>
      </c>
      <c r="DP78" s="5">
        <v>3</v>
      </c>
      <c r="DQ78" s="5">
        <v>2</v>
      </c>
      <c r="DR78" s="5">
        <v>0</v>
      </c>
      <c r="DS78" s="5">
        <v>60</v>
      </c>
      <c r="DT78" s="5" t="s">
        <v>11968</v>
      </c>
      <c r="DU78" s="5" t="s">
        <v>11969</v>
      </c>
      <c r="DV78" s="5" t="s">
        <v>11970</v>
      </c>
      <c r="DW78" s="5"/>
      <c r="DX78" s="5">
        <v>18</v>
      </c>
      <c r="DY78" s="5"/>
      <c r="DZ78" s="5">
        <v>100</v>
      </c>
      <c r="EA78" s="5"/>
      <c r="EB78" s="5">
        <v>0.18</v>
      </c>
      <c r="EC78" s="5"/>
      <c r="ED78" s="5" t="s">
        <v>11971</v>
      </c>
      <c r="EE78" s="5"/>
      <c r="EF78" s="5" t="s">
        <v>11997</v>
      </c>
      <c r="EG78" s="5"/>
      <c r="EH78" s="5" t="s">
        <v>11997</v>
      </c>
      <c r="EI78" s="5"/>
      <c r="EJ78" s="5" t="s">
        <v>11997</v>
      </c>
      <c r="EK78" s="5"/>
      <c r="EL78" s="5" t="s">
        <v>11997</v>
      </c>
      <c r="EM78" s="5"/>
      <c r="EN78" s="5" t="s">
        <v>11997</v>
      </c>
      <c r="EO78" s="5"/>
      <c r="EP78" s="5" t="s">
        <v>11998</v>
      </c>
      <c r="EQ78" s="5"/>
      <c r="ER78" s="5" t="s">
        <v>11997</v>
      </c>
      <c r="ES78" s="5"/>
      <c r="ET78" s="5" t="s">
        <v>11972</v>
      </c>
      <c r="EU78" s="5"/>
      <c r="EV78" s="5"/>
      <c r="EW78" s="5"/>
      <c r="EX78" s="5"/>
      <c r="EY78" s="5" t="s">
        <v>5294</v>
      </c>
      <c r="EZ78" s="5"/>
      <c r="FA78" s="5" t="s">
        <v>918</v>
      </c>
      <c r="FB78" s="5"/>
    </row>
    <row r="79" spans="1:158" ht="165.75">
      <c r="A79" s="5" t="s">
        <v>920</v>
      </c>
      <c r="B79" s="5" t="s">
        <v>921</v>
      </c>
      <c r="C79" s="5" t="s">
        <v>12971</v>
      </c>
      <c r="D79" s="5" t="s">
        <v>556</v>
      </c>
      <c r="E79" s="5" t="s">
        <v>12011</v>
      </c>
      <c r="F79" s="5" t="s">
        <v>11994</v>
      </c>
      <c r="G79" s="5" t="s">
        <v>12972</v>
      </c>
      <c r="H79" s="5" t="s">
        <v>12973</v>
      </c>
      <c r="I79" s="5" t="s">
        <v>562</v>
      </c>
      <c r="J79" s="5" t="s">
        <v>3510</v>
      </c>
      <c r="K79" s="5" t="s">
        <v>12702</v>
      </c>
      <c r="L79" s="5" t="s">
        <v>928</v>
      </c>
      <c r="M79" s="5" t="s">
        <v>11952</v>
      </c>
      <c r="N79" s="5" t="s">
        <v>11952</v>
      </c>
      <c r="O79" s="5" t="s">
        <v>928</v>
      </c>
      <c r="P79" s="5" t="s">
        <v>11952</v>
      </c>
      <c r="Q79" s="5" t="s">
        <v>11952</v>
      </c>
      <c r="R79" s="5" t="s">
        <v>11952</v>
      </c>
      <c r="S79" s="5" t="s">
        <v>11952</v>
      </c>
      <c r="T79" s="5" t="s">
        <v>12974</v>
      </c>
      <c r="U79" s="5" t="s">
        <v>3510</v>
      </c>
      <c r="V79" s="5" t="s">
        <v>121</v>
      </c>
      <c r="W79" s="5" t="s">
        <v>121</v>
      </c>
      <c r="X79" s="5" t="s">
        <v>121</v>
      </c>
      <c r="Y79" s="5" t="s">
        <v>121</v>
      </c>
      <c r="Z79" s="5" t="s">
        <v>11952</v>
      </c>
      <c r="AA79" s="5" t="s">
        <v>11952</v>
      </c>
      <c r="AB79" s="5" t="s">
        <v>155</v>
      </c>
      <c r="AC79" s="5" t="s">
        <v>925</v>
      </c>
      <c r="AD79" s="5" t="s">
        <v>121</v>
      </c>
      <c r="AE79" s="5" t="s">
        <v>121</v>
      </c>
      <c r="AF79" s="5" t="s">
        <v>925</v>
      </c>
      <c r="AG79" s="5" t="s">
        <v>121</v>
      </c>
      <c r="AH79" s="5" t="s">
        <v>121</v>
      </c>
      <c r="AI79" s="5" t="s">
        <v>121</v>
      </c>
      <c r="AJ79" s="5" t="s">
        <v>121</v>
      </c>
      <c r="AK79" s="5" t="s">
        <v>121</v>
      </c>
      <c r="AL79" s="5" t="s">
        <v>121</v>
      </c>
      <c r="AM79" s="5" t="s">
        <v>121</v>
      </c>
      <c r="AN79" s="5" t="s">
        <v>12975</v>
      </c>
      <c r="AO79" s="5" t="s">
        <v>121</v>
      </c>
      <c r="AP79" s="5" t="s">
        <v>2302</v>
      </c>
      <c r="AQ79" s="5" t="s">
        <v>121</v>
      </c>
      <c r="AR79" s="5" t="s">
        <v>12976</v>
      </c>
      <c r="AS79" s="5" t="s">
        <v>926</v>
      </c>
      <c r="AT79" s="5" t="s">
        <v>121</v>
      </c>
      <c r="AU79" s="5" t="s">
        <v>922</v>
      </c>
      <c r="AV79" s="5" t="s">
        <v>121</v>
      </c>
      <c r="AW79" s="5" t="s">
        <v>121</v>
      </c>
      <c r="AX79" s="5" t="s">
        <v>121</v>
      </c>
      <c r="AY79" s="5" t="s">
        <v>121</v>
      </c>
      <c r="AZ79" s="5" t="s">
        <v>2854</v>
      </c>
      <c r="BA79" s="5" t="s">
        <v>121</v>
      </c>
      <c r="BB79" s="5" t="s">
        <v>3510</v>
      </c>
      <c r="BC79" s="5" t="s">
        <v>3510</v>
      </c>
      <c r="BD79" s="5" t="s">
        <v>121</v>
      </c>
      <c r="BE79" s="5" t="s">
        <v>121</v>
      </c>
      <c r="BF79" s="5" t="s">
        <v>121</v>
      </c>
      <c r="BG79" s="5" t="s">
        <v>121</v>
      </c>
      <c r="BH79" s="5" t="s">
        <v>12815</v>
      </c>
      <c r="BI79" s="5" t="s">
        <v>121</v>
      </c>
      <c r="BJ79" s="5" t="s">
        <v>923</v>
      </c>
      <c r="BK79" s="5" t="s">
        <v>121</v>
      </c>
      <c r="BL79" s="5" t="s">
        <v>12977</v>
      </c>
      <c r="BM79" s="5" t="s">
        <v>12977</v>
      </c>
      <c r="BN79" s="5" t="s">
        <v>924</v>
      </c>
      <c r="BO79" s="5" t="s">
        <v>12978</v>
      </c>
      <c r="BP79" s="5" t="s">
        <v>121</v>
      </c>
      <c r="BQ79" s="5" t="s">
        <v>121</v>
      </c>
      <c r="BR79" s="5" t="s">
        <v>2854</v>
      </c>
      <c r="BS79" s="5" t="s">
        <v>121</v>
      </c>
      <c r="BT79" s="5" t="s">
        <v>121</v>
      </c>
      <c r="BU79" s="5" t="s">
        <v>121</v>
      </c>
      <c r="BV79" s="5" t="s">
        <v>3510</v>
      </c>
      <c r="BW79" s="5" t="s">
        <v>3510</v>
      </c>
      <c r="BX79" s="5" t="s">
        <v>3510</v>
      </c>
      <c r="BY79" s="5" t="s">
        <v>12979</v>
      </c>
      <c r="BZ79" s="5" t="s">
        <v>12980</v>
      </c>
      <c r="CA79" s="5" t="s">
        <v>121</v>
      </c>
      <c r="CB79" s="5" t="s">
        <v>121</v>
      </c>
      <c r="CC79" s="5" t="s">
        <v>794</v>
      </c>
      <c r="CD79" s="5" t="s">
        <v>121</v>
      </c>
      <c r="CE79" s="5" t="s">
        <v>121</v>
      </c>
      <c r="CF79" s="5" t="s">
        <v>11958</v>
      </c>
      <c r="CG79" s="5" t="s">
        <v>121</v>
      </c>
      <c r="CH79" s="5" t="s">
        <v>121</v>
      </c>
      <c r="CI79" s="5" t="s">
        <v>12034</v>
      </c>
      <c r="CJ79" s="5" t="s">
        <v>124</v>
      </c>
      <c r="CK79" s="5" t="s">
        <v>241</v>
      </c>
      <c r="CL79" s="5" t="s">
        <v>3510</v>
      </c>
      <c r="CM79" s="5" t="s">
        <v>124</v>
      </c>
      <c r="CN79" s="5" t="s">
        <v>121</v>
      </c>
      <c r="CO79" s="5" t="s">
        <v>121</v>
      </c>
      <c r="CP79" s="5" t="s">
        <v>3510</v>
      </c>
      <c r="CQ79" s="5" t="s">
        <v>927</v>
      </c>
      <c r="CR79" s="5" t="s">
        <v>11960</v>
      </c>
      <c r="CS79" s="5" t="s">
        <v>3510</v>
      </c>
      <c r="CT79" s="5" t="s">
        <v>3510</v>
      </c>
      <c r="CU79" s="5" t="s">
        <v>3510</v>
      </c>
      <c r="CV79" s="5" t="s">
        <v>11952</v>
      </c>
      <c r="CW79" s="5" t="s">
        <v>11952</v>
      </c>
      <c r="CX79" s="5" t="s">
        <v>12981</v>
      </c>
      <c r="CY79" s="5" t="s">
        <v>12982</v>
      </c>
      <c r="CZ79" s="5" t="s">
        <v>11989</v>
      </c>
      <c r="DA79" s="5" t="s">
        <v>11952</v>
      </c>
      <c r="DB79" s="5" t="s">
        <v>12983</v>
      </c>
      <c r="DC79" s="5" t="s">
        <v>12984</v>
      </c>
      <c r="DD79" s="5" t="s">
        <v>11963</v>
      </c>
      <c r="DE79" s="5" t="s">
        <v>12985</v>
      </c>
      <c r="DF79" s="5" t="s">
        <v>3510</v>
      </c>
      <c r="DG79" s="5" t="s">
        <v>12986</v>
      </c>
      <c r="DH79" s="5" t="s">
        <v>12987</v>
      </c>
      <c r="DI79" s="5" t="s">
        <v>11975</v>
      </c>
      <c r="DJ79" s="5" t="s">
        <v>11966</v>
      </c>
      <c r="DK79" s="5" t="s">
        <v>12176</v>
      </c>
      <c r="DL79" s="5">
        <v>5</v>
      </c>
      <c r="DM79" s="5">
        <v>4.5</v>
      </c>
      <c r="DN79" s="5">
        <v>4.5</v>
      </c>
      <c r="DO79" s="5">
        <v>2.5</v>
      </c>
      <c r="DP79" s="5">
        <v>2</v>
      </c>
      <c r="DQ79" s="5">
        <v>2</v>
      </c>
      <c r="DR79" s="5">
        <v>0</v>
      </c>
      <c r="DS79" s="5">
        <v>67</v>
      </c>
      <c r="DT79" s="5" t="s">
        <v>11968</v>
      </c>
      <c r="DU79" s="5" t="s">
        <v>12116</v>
      </c>
      <c r="DV79" s="5" t="s">
        <v>11970</v>
      </c>
      <c r="DW79" s="5"/>
      <c r="DX79" s="5">
        <v>28</v>
      </c>
      <c r="DY79" s="5"/>
      <c r="DZ79" s="5">
        <v>100</v>
      </c>
      <c r="EA79" s="5"/>
      <c r="EB79" s="5">
        <v>0.28000000000000003</v>
      </c>
      <c r="EC79" s="5"/>
      <c r="ED79" s="5" t="s">
        <v>11971</v>
      </c>
      <c r="EE79" s="5"/>
      <c r="EF79" s="5" t="s">
        <v>11997</v>
      </c>
      <c r="EG79" s="5"/>
      <c r="EH79" s="5" t="s">
        <v>11997</v>
      </c>
      <c r="EI79" s="5"/>
      <c r="EJ79" s="5" t="s">
        <v>11997</v>
      </c>
      <c r="EK79" s="5"/>
      <c r="EL79" s="5" t="s">
        <v>11997</v>
      </c>
      <c r="EM79" s="5"/>
      <c r="EN79" s="5" t="s">
        <v>11997</v>
      </c>
      <c r="EO79" s="5"/>
      <c r="EP79" s="5" t="s">
        <v>11998</v>
      </c>
      <c r="EQ79" s="5"/>
      <c r="ER79" s="5" t="s">
        <v>11997</v>
      </c>
      <c r="ES79" s="5"/>
      <c r="ET79" s="5" t="s">
        <v>11972</v>
      </c>
      <c r="EU79" s="5"/>
      <c r="EV79" s="5"/>
      <c r="EW79" s="5"/>
      <c r="EX79" s="5"/>
      <c r="EY79" s="5" t="s">
        <v>5327</v>
      </c>
      <c r="EZ79" s="5"/>
      <c r="FA79" s="5" t="s">
        <v>928</v>
      </c>
      <c r="FB79" s="5"/>
    </row>
    <row r="80" spans="1:158" ht="306">
      <c r="A80" s="5" t="s">
        <v>930</v>
      </c>
      <c r="B80" s="5" t="s">
        <v>931</v>
      </c>
      <c r="C80" s="5" t="s">
        <v>12988</v>
      </c>
      <c r="D80" s="5" t="s">
        <v>556</v>
      </c>
      <c r="E80" s="5" t="s">
        <v>12011</v>
      </c>
      <c r="F80" s="5" t="s">
        <v>11994</v>
      </c>
      <c r="G80" s="5" t="s">
        <v>12989</v>
      </c>
      <c r="H80" s="5" t="s">
        <v>12530</v>
      </c>
      <c r="I80" s="5" t="s">
        <v>562</v>
      </c>
      <c r="J80" s="5" t="s">
        <v>3510</v>
      </c>
      <c r="K80" s="5" t="s">
        <v>12990</v>
      </c>
      <c r="L80" s="5" t="s">
        <v>938</v>
      </c>
      <c r="M80" s="5" t="s">
        <v>11952</v>
      </c>
      <c r="N80" s="5" t="s">
        <v>11952</v>
      </c>
      <c r="O80" s="5" t="s">
        <v>938</v>
      </c>
      <c r="P80" s="5" t="s">
        <v>11952</v>
      </c>
      <c r="Q80" s="5" t="s">
        <v>11952</v>
      </c>
      <c r="R80" s="5" t="s">
        <v>11952</v>
      </c>
      <c r="S80" s="5" t="s">
        <v>11952</v>
      </c>
      <c r="T80" s="5" t="s">
        <v>12991</v>
      </c>
      <c r="U80" s="5" t="s">
        <v>2854</v>
      </c>
      <c r="V80" s="5" t="s">
        <v>12992</v>
      </c>
      <c r="W80" s="5" t="s">
        <v>12992</v>
      </c>
      <c r="X80" s="5" t="s">
        <v>121</v>
      </c>
      <c r="Y80" s="5" t="s">
        <v>121</v>
      </c>
      <c r="Z80" s="5" t="s">
        <v>2854</v>
      </c>
      <c r="AA80" s="5" t="s">
        <v>11981</v>
      </c>
      <c r="AB80" s="5" t="s">
        <v>121</v>
      </c>
      <c r="AC80" s="5" t="s">
        <v>121</v>
      </c>
      <c r="AD80" s="5" t="s">
        <v>121</v>
      </c>
      <c r="AE80" s="5" t="s">
        <v>121</v>
      </c>
      <c r="AF80" s="5" t="s">
        <v>121</v>
      </c>
      <c r="AG80" s="5" t="s">
        <v>121</v>
      </c>
      <c r="AH80" s="5" t="s">
        <v>121</v>
      </c>
      <c r="AI80" s="5" t="s">
        <v>121</v>
      </c>
      <c r="AJ80" s="5" t="s">
        <v>121</v>
      </c>
      <c r="AK80" s="5" t="s">
        <v>121</v>
      </c>
      <c r="AL80" s="5" t="s">
        <v>121</v>
      </c>
      <c r="AM80" s="5" t="s">
        <v>121</v>
      </c>
      <c r="AN80" s="5" t="s">
        <v>12993</v>
      </c>
      <c r="AO80" s="5" t="s">
        <v>121</v>
      </c>
      <c r="AP80" s="5" t="s">
        <v>2302</v>
      </c>
      <c r="AQ80" s="5" t="s">
        <v>121</v>
      </c>
      <c r="AR80" s="5" t="s">
        <v>12994</v>
      </c>
      <c r="AS80" s="5" t="s">
        <v>936</v>
      </c>
      <c r="AT80" s="5" t="s">
        <v>121</v>
      </c>
      <c r="AU80" s="5" t="s">
        <v>933</v>
      </c>
      <c r="AV80" s="5" t="s">
        <v>12003</v>
      </c>
      <c r="AW80" s="5" t="s">
        <v>933</v>
      </c>
      <c r="AX80" s="5" t="s">
        <v>121</v>
      </c>
      <c r="AY80" s="5" t="s">
        <v>121</v>
      </c>
      <c r="AZ80" s="5" t="s">
        <v>121</v>
      </c>
      <c r="BA80" s="5" t="s">
        <v>121</v>
      </c>
      <c r="BB80" s="5" t="s">
        <v>3510</v>
      </c>
      <c r="BC80" s="5" t="s">
        <v>2854</v>
      </c>
      <c r="BD80" s="5" t="s">
        <v>12995</v>
      </c>
      <c r="BE80" s="5" t="s">
        <v>12996</v>
      </c>
      <c r="BF80" s="5" t="s">
        <v>12997</v>
      </c>
      <c r="BG80" s="5" t="s">
        <v>121</v>
      </c>
      <c r="BH80" s="5" t="s">
        <v>12998</v>
      </c>
      <c r="BI80" s="5" t="s">
        <v>121</v>
      </c>
      <c r="BJ80" s="5" t="s">
        <v>934</v>
      </c>
      <c r="BK80" s="5" t="s">
        <v>121</v>
      </c>
      <c r="BL80" s="5" t="s">
        <v>12999</v>
      </c>
      <c r="BM80" s="5" t="s">
        <v>12999</v>
      </c>
      <c r="BN80" s="5" t="s">
        <v>935</v>
      </c>
      <c r="BO80" s="5" t="s">
        <v>121</v>
      </c>
      <c r="BP80" s="5" t="s">
        <v>2854</v>
      </c>
      <c r="BQ80" s="5" t="s">
        <v>2854</v>
      </c>
      <c r="BR80" s="5" t="s">
        <v>2854</v>
      </c>
      <c r="BS80" s="5" t="s">
        <v>121</v>
      </c>
      <c r="BT80" s="5" t="s">
        <v>121</v>
      </c>
      <c r="BU80" s="5" t="s">
        <v>121</v>
      </c>
      <c r="BV80" s="5" t="s">
        <v>3510</v>
      </c>
      <c r="BW80" s="5" t="s">
        <v>3510</v>
      </c>
      <c r="BX80" s="5" t="s">
        <v>3510</v>
      </c>
      <c r="BY80" s="5" t="s">
        <v>13000</v>
      </c>
      <c r="BZ80" s="5" t="s">
        <v>13001</v>
      </c>
      <c r="CA80" s="5" t="s">
        <v>121</v>
      </c>
      <c r="CB80" s="5" t="s">
        <v>121</v>
      </c>
      <c r="CC80" s="5" t="s">
        <v>932</v>
      </c>
      <c r="CD80" s="5" t="s">
        <v>121</v>
      </c>
      <c r="CE80" s="5" t="s">
        <v>121</v>
      </c>
      <c r="CF80" s="5" t="s">
        <v>11958</v>
      </c>
      <c r="CG80" s="5" t="s">
        <v>121</v>
      </c>
      <c r="CH80" s="5" t="s">
        <v>121</v>
      </c>
      <c r="CI80" s="5" t="s">
        <v>12034</v>
      </c>
      <c r="CJ80" s="5" t="s">
        <v>124</v>
      </c>
      <c r="CK80" s="5" t="s">
        <v>241</v>
      </c>
      <c r="CL80" s="5" t="s">
        <v>3510</v>
      </c>
      <c r="CM80" s="5" t="s">
        <v>124</v>
      </c>
      <c r="CN80" s="5" t="s">
        <v>121</v>
      </c>
      <c r="CO80" s="5" t="s">
        <v>121</v>
      </c>
      <c r="CP80" s="5" t="s">
        <v>3510</v>
      </c>
      <c r="CQ80" s="5" t="s">
        <v>937</v>
      </c>
      <c r="CR80" s="5" t="s">
        <v>11960</v>
      </c>
      <c r="CS80" s="5" t="s">
        <v>3510</v>
      </c>
      <c r="CT80" s="5" t="s">
        <v>3510</v>
      </c>
      <c r="CU80" s="5" t="s">
        <v>3510</v>
      </c>
      <c r="CV80" s="5" t="s">
        <v>11952</v>
      </c>
      <c r="CW80" s="5" t="s">
        <v>11952</v>
      </c>
      <c r="CX80" s="5" t="s">
        <v>13002</v>
      </c>
      <c r="CY80" s="5" t="s">
        <v>13003</v>
      </c>
      <c r="CZ80" s="5" t="s">
        <v>11989</v>
      </c>
      <c r="DA80" s="5" t="s">
        <v>11989</v>
      </c>
      <c r="DB80" s="5" t="s">
        <v>13004</v>
      </c>
      <c r="DC80" s="5" t="s">
        <v>13005</v>
      </c>
      <c r="DD80" s="5" t="s">
        <v>11963</v>
      </c>
      <c r="DE80" s="5" t="s">
        <v>13006</v>
      </c>
      <c r="DF80" s="5" t="s">
        <v>3510</v>
      </c>
      <c r="DG80" s="5" t="s">
        <v>13007</v>
      </c>
      <c r="DH80" s="5" t="s">
        <v>13008</v>
      </c>
      <c r="DI80" s="5" t="s">
        <v>11975</v>
      </c>
      <c r="DJ80" s="5" t="s">
        <v>12044</v>
      </c>
      <c r="DK80" s="5" t="s">
        <v>13009</v>
      </c>
      <c r="DL80" s="5">
        <v>5</v>
      </c>
      <c r="DM80" s="5">
        <v>3</v>
      </c>
      <c r="DN80" s="5">
        <v>4.2</v>
      </c>
      <c r="DO80" s="5">
        <v>0</v>
      </c>
      <c r="DP80" s="5">
        <v>3</v>
      </c>
      <c r="DQ80" s="5">
        <v>2.5</v>
      </c>
      <c r="DR80" s="5">
        <v>1.5</v>
      </c>
      <c r="DS80" s="5">
        <v>58.6</v>
      </c>
      <c r="DT80" s="5" t="s">
        <v>11968</v>
      </c>
      <c r="DU80" s="5" t="s">
        <v>12116</v>
      </c>
      <c r="DV80" s="5" t="s">
        <v>11970</v>
      </c>
      <c r="DW80" s="5"/>
      <c r="DX80" s="5">
        <v>26</v>
      </c>
      <c r="DY80" s="5"/>
      <c r="DZ80" s="5">
        <v>100</v>
      </c>
      <c r="EA80" s="5"/>
      <c r="EB80" s="5">
        <v>0.26</v>
      </c>
      <c r="EC80" s="5"/>
      <c r="ED80" s="5" t="s">
        <v>11971</v>
      </c>
      <c r="EE80" s="5"/>
      <c r="EF80" s="5" t="s">
        <v>11997</v>
      </c>
      <c r="EG80" s="5"/>
      <c r="EH80" s="5" t="s">
        <v>11997</v>
      </c>
      <c r="EI80" s="5"/>
      <c r="EJ80" s="5" t="s">
        <v>11997</v>
      </c>
      <c r="EK80" s="5"/>
      <c r="EL80" s="5" t="s">
        <v>11997</v>
      </c>
      <c r="EM80" s="5"/>
      <c r="EN80" s="5" t="s">
        <v>11997</v>
      </c>
      <c r="EO80" s="5"/>
      <c r="EP80" s="5" t="s">
        <v>11998</v>
      </c>
      <c r="EQ80" s="5"/>
      <c r="ER80" s="5" t="s">
        <v>11997</v>
      </c>
      <c r="ES80" s="5"/>
      <c r="ET80" s="5" t="s">
        <v>11972</v>
      </c>
      <c r="EU80" s="5"/>
      <c r="EV80" s="5"/>
      <c r="EW80" s="5"/>
      <c r="EX80" s="5"/>
      <c r="EY80" s="5" t="s">
        <v>5360</v>
      </c>
      <c r="EZ80" s="5"/>
      <c r="FA80" s="5" t="s">
        <v>938</v>
      </c>
      <c r="FB80" s="5"/>
    </row>
    <row r="81" spans="1:158" ht="102">
      <c r="A81" s="5" t="s">
        <v>940</v>
      </c>
      <c r="B81" s="5" t="s">
        <v>941</v>
      </c>
      <c r="C81" s="5" t="s">
        <v>11952</v>
      </c>
      <c r="D81" s="5" t="s">
        <v>556</v>
      </c>
      <c r="E81" s="5" t="s">
        <v>11953</v>
      </c>
      <c r="F81" s="5" t="s">
        <v>11954</v>
      </c>
      <c r="G81" s="5" t="s">
        <v>11955</v>
      </c>
      <c r="H81" s="5" t="s">
        <v>11235</v>
      </c>
      <c r="I81" s="5" t="s">
        <v>562</v>
      </c>
      <c r="J81" s="5" t="s">
        <v>3510</v>
      </c>
      <c r="K81" s="5" t="s">
        <v>11956</v>
      </c>
      <c r="L81" s="5" t="s">
        <v>945</v>
      </c>
      <c r="M81" s="5" t="s">
        <v>11952</v>
      </c>
      <c r="N81" s="5" t="s">
        <v>11952</v>
      </c>
      <c r="O81" s="5" t="s">
        <v>945</v>
      </c>
      <c r="P81" s="5" t="s">
        <v>11952</v>
      </c>
      <c r="Q81" s="5" t="s">
        <v>11952</v>
      </c>
      <c r="R81" s="5" t="s">
        <v>11952</v>
      </c>
      <c r="S81" s="5" t="s">
        <v>11952</v>
      </c>
      <c r="T81" s="5" t="s">
        <v>13010</v>
      </c>
      <c r="U81" s="5" t="s">
        <v>3510</v>
      </c>
      <c r="V81" s="5" t="s">
        <v>121</v>
      </c>
      <c r="W81" s="5" t="s">
        <v>121</v>
      </c>
      <c r="X81" s="5" t="s">
        <v>121</v>
      </c>
      <c r="Y81" s="5" t="s">
        <v>121</v>
      </c>
      <c r="Z81" s="5" t="s">
        <v>11952</v>
      </c>
      <c r="AA81" s="5" t="s">
        <v>11952</v>
      </c>
      <c r="AB81" s="5" t="s">
        <v>155</v>
      </c>
      <c r="AC81" s="5" t="s">
        <v>942</v>
      </c>
      <c r="AD81" s="5" t="s">
        <v>121</v>
      </c>
      <c r="AE81" s="5" t="s">
        <v>121</v>
      </c>
      <c r="AF81" s="5" t="s">
        <v>942</v>
      </c>
      <c r="AG81" s="5" t="s">
        <v>121</v>
      </c>
      <c r="AH81" s="5" t="s">
        <v>121</v>
      </c>
      <c r="AI81" s="5" t="s">
        <v>121</v>
      </c>
      <c r="AJ81" s="5" t="s">
        <v>121</v>
      </c>
      <c r="AK81" s="5" t="s">
        <v>121</v>
      </c>
      <c r="AL81" s="5" t="s">
        <v>121</v>
      </c>
      <c r="AM81" s="5" t="s">
        <v>121</v>
      </c>
      <c r="AN81" s="5" t="s">
        <v>121</v>
      </c>
      <c r="AO81" s="5" t="s">
        <v>121</v>
      </c>
      <c r="AP81" s="5" t="s">
        <v>943</v>
      </c>
      <c r="AQ81" s="5" t="s">
        <v>121</v>
      </c>
      <c r="AR81" s="5" t="s">
        <v>121</v>
      </c>
      <c r="AS81" s="5" t="s">
        <v>943</v>
      </c>
      <c r="AT81" s="5" t="s">
        <v>121</v>
      </c>
      <c r="AU81" s="5" t="s">
        <v>121</v>
      </c>
      <c r="AV81" s="5" t="s">
        <v>121</v>
      </c>
      <c r="AW81" s="5" t="s">
        <v>121</v>
      </c>
      <c r="AX81" s="5" t="s">
        <v>121</v>
      </c>
      <c r="AY81" s="5" t="s">
        <v>121</v>
      </c>
      <c r="AZ81" s="5" t="s">
        <v>121</v>
      </c>
      <c r="BA81" s="5" t="s">
        <v>121</v>
      </c>
      <c r="BB81" s="5" t="s">
        <v>3510</v>
      </c>
      <c r="BC81" s="5" t="s">
        <v>121</v>
      </c>
      <c r="BD81" s="5" t="s">
        <v>121</v>
      </c>
      <c r="BE81" s="5" t="s">
        <v>121</v>
      </c>
      <c r="BF81" s="5" t="s">
        <v>121</v>
      </c>
      <c r="BG81" s="5" t="s">
        <v>121</v>
      </c>
      <c r="BH81" s="5" t="s">
        <v>121</v>
      </c>
      <c r="BI81" s="5" t="s">
        <v>121</v>
      </c>
      <c r="BJ81" s="5" t="s">
        <v>121</v>
      </c>
      <c r="BK81" s="5" t="s">
        <v>121</v>
      </c>
      <c r="BL81" s="5" t="s">
        <v>121</v>
      </c>
      <c r="BM81" s="5" t="s">
        <v>121</v>
      </c>
      <c r="BN81" s="5" t="s">
        <v>121</v>
      </c>
      <c r="BO81" s="5" t="s">
        <v>121</v>
      </c>
      <c r="BP81" s="5" t="s">
        <v>121</v>
      </c>
      <c r="BQ81" s="5" t="s">
        <v>121</v>
      </c>
      <c r="BR81" s="5" t="s">
        <v>121</v>
      </c>
      <c r="BS81" s="5" t="s">
        <v>121</v>
      </c>
      <c r="BT81" s="5" t="s">
        <v>121</v>
      </c>
      <c r="BU81" s="5" t="s">
        <v>121</v>
      </c>
      <c r="BV81" s="5" t="s">
        <v>3510</v>
      </c>
      <c r="BW81" s="5" t="s">
        <v>3510</v>
      </c>
      <c r="BX81" s="5" t="s">
        <v>3510</v>
      </c>
      <c r="BY81" s="5" t="s">
        <v>121</v>
      </c>
      <c r="BZ81" s="5" t="s">
        <v>121</v>
      </c>
      <c r="CA81" s="5" t="s">
        <v>121</v>
      </c>
      <c r="CB81" s="5" t="s">
        <v>121</v>
      </c>
      <c r="CC81" s="5" t="s">
        <v>121</v>
      </c>
      <c r="CD81" s="5" t="s">
        <v>121</v>
      </c>
      <c r="CE81" s="5" t="s">
        <v>121</v>
      </c>
      <c r="CF81" s="5" t="s">
        <v>121</v>
      </c>
      <c r="CG81" s="5" t="s">
        <v>121</v>
      </c>
      <c r="CH81" s="5" t="s">
        <v>121</v>
      </c>
      <c r="CI81" s="5" t="s">
        <v>11959</v>
      </c>
      <c r="CJ81" s="5" t="s">
        <v>124</v>
      </c>
      <c r="CK81" s="5" t="s">
        <v>241</v>
      </c>
      <c r="CL81" s="5" t="s">
        <v>3510</v>
      </c>
      <c r="CM81" s="5" t="s">
        <v>124</v>
      </c>
      <c r="CN81" s="5" t="s">
        <v>121</v>
      </c>
      <c r="CO81" s="5" t="s">
        <v>121</v>
      </c>
      <c r="CP81" s="5" t="s">
        <v>3510</v>
      </c>
      <c r="CQ81" s="5" t="s">
        <v>944</v>
      </c>
      <c r="CR81" s="5" t="s">
        <v>11960</v>
      </c>
      <c r="CS81" s="5" t="s">
        <v>3510</v>
      </c>
      <c r="CT81" s="5" t="s">
        <v>3510</v>
      </c>
      <c r="CU81" s="5" t="s">
        <v>3510</v>
      </c>
      <c r="CV81" s="5" t="s">
        <v>11952</v>
      </c>
      <c r="CW81" s="5" t="s">
        <v>11952</v>
      </c>
      <c r="CX81" s="5" t="s">
        <v>12673</v>
      </c>
      <c r="CY81" s="5" t="s">
        <v>13011</v>
      </c>
      <c r="CZ81" s="5" t="s">
        <v>3510</v>
      </c>
      <c r="DA81" s="5" t="s">
        <v>11952</v>
      </c>
      <c r="DB81" s="5" t="s">
        <v>11963</v>
      </c>
      <c r="DC81" s="5" t="s">
        <v>11963</v>
      </c>
      <c r="DD81" s="5" t="s">
        <v>11963</v>
      </c>
      <c r="DE81" s="5" t="s">
        <v>11963</v>
      </c>
      <c r="DF81" s="5" t="s">
        <v>3510</v>
      </c>
      <c r="DG81" s="5" t="s">
        <v>11964</v>
      </c>
      <c r="DH81" s="5" t="s">
        <v>13012</v>
      </c>
      <c r="DI81" s="5" t="s">
        <v>11966</v>
      </c>
      <c r="DJ81" s="5" t="s">
        <v>11966</v>
      </c>
      <c r="DK81" s="5" t="s">
        <v>11967</v>
      </c>
      <c r="DL81" s="5">
        <v>5</v>
      </c>
      <c r="DM81" s="5">
        <v>0</v>
      </c>
      <c r="DN81" s="5">
        <v>1</v>
      </c>
      <c r="DO81" s="5">
        <v>4</v>
      </c>
      <c r="DP81" s="5">
        <v>2</v>
      </c>
      <c r="DQ81" s="5">
        <v>0</v>
      </c>
      <c r="DR81" s="5">
        <v>0</v>
      </c>
      <c r="DS81" s="5">
        <v>39</v>
      </c>
      <c r="DT81" s="5" t="s">
        <v>11968</v>
      </c>
      <c r="DU81" s="5" t="s">
        <v>11969</v>
      </c>
      <c r="DV81" s="5" t="s">
        <v>11970</v>
      </c>
      <c r="DW81" s="5"/>
      <c r="DX81" s="5">
        <v>10</v>
      </c>
      <c r="DY81" s="5"/>
      <c r="DZ81" s="5">
        <v>100</v>
      </c>
      <c r="EA81" s="5"/>
      <c r="EB81" s="5">
        <v>0.1</v>
      </c>
      <c r="EC81" s="5"/>
      <c r="ED81" s="5" t="s">
        <v>11971</v>
      </c>
      <c r="EE81" s="5"/>
      <c r="EF81" s="5" t="s">
        <v>11997</v>
      </c>
      <c r="EG81" s="5"/>
      <c r="EH81" s="5" t="s">
        <v>11997</v>
      </c>
      <c r="EI81" s="5"/>
      <c r="EJ81" s="5" t="s">
        <v>11997</v>
      </c>
      <c r="EK81" s="5"/>
      <c r="EL81" s="5" t="s">
        <v>11997</v>
      </c>
      <c r="EM81" s="5"/>
      <c r="EN81" s="5" t="s">
        <v>11997</v>
      </c>
      <c r="EO81" s="5"/>
      <c r="EP81" s="5" t="s">
        <v>11998</v>
      </c>
      <c r="EQ81" s="5"/>
      <c r="ER81" s="5" t="s">
        <v>11997</v>
      </c>
      <c r="ES81" s="5"/>
      <c r="ET81" s="5" t="s">
        <v>11972</v>
      </c>
      <c r="EU81" s="5"/>
      <c r="EV81" s="5"/>
      <c r="EW81" s="5"/>
      <c r="EX81" s="5"/>
      <c r="EY81" s="5" t="s">
        <v>5393</v>
      </c>
      <c r="EZ81" s="5"/>
      <c r="FA81" s="5" t="s">
        <v>945</v>
      </c>
      <c r="FB81" s="5"/>
    </row>
    <row r="82" spans="1:158" ht="89.25">
      <c r="A82" s="5" t="s">
        <v>947</v>
      </c>
      <c r="B82" s="5" t="s">
        <v>948</v>
      </c>
      <c r="C82" s="5" t="s">
        <v>11952</v>
      </c>
      <c r="D82" s="5" t="s">
        <v>949</v>
      </c>
      <c r="E82" s="5" t="s">
        <v>11953</v>
      </c>
      <c r="F82" s="5" t="s">
        <v>11954</v>
      </c>
      <c r="G82" s="5" t="s">
        <v>11955</v>
      </c>
      <c r="H82" s="5" t="s">
        <v>11235</v>
      </c>
      <c r="I82" s="5" t="s">
        <v>562</v>
      </c>
      <c r="J82" s="5" t="s">
        <v>3510</v>
      </c>
      <c r="K82" s="5" t="s">
        <v>11956</v>
      </c>
      <c r="L82" s="5" t="s">
        <v>956</v>
      </c>
      <c r="M82" s="5" t="s">
        <v>11952</v>
      </c>
      <c r="N82" s="5" t="s">
        <v>11952</v>
      </c>
      <c r="O82" s="5" t="s">
        <v>956</v>
      </c>
      <c r="P82" s="5" t="s">
        <v>11952</v>
      </c>
      <c r="Q82" s="5" t="s">
        <v>11952</v>
      </c>
      <c r="R82" s="5" t="s">
        <v>11952</v>
      </c>
      <c r="S82" s="5" t="s">
        <v>11952</v>
      </c>
      <c r="T82" s="5" t="s">
        <v>13013</v>
      </c>
      <c r="U82" s="5" t="s">
        <v>3510</v>
      </c>
      <c r="V82" s="5" t="s">
        <v>121</v>
      </c>
      <c r="W82" s="5" t="s">
        <v>121</v>
      </c>
      <c r="X82" s="5" t="s">
        <v>121</v>
      </c>
      <c r="Y82" s="5" t="s">
        <v>121</v>
      </c>
      <c r="Z82" s="5" t="s">
        <v>11952</v>
      </c>
      <c r="AA82" s="5" t="s">
        <v>11952</v>
      </c>
      <c r="AB82" s="5" t="s">
        <v>121</v>
      </c>
      <c r="AC82" s="5" t="s">
        <v>121</v>
      </c>
      <c r="AD82" s="5" t="s">
        <v>121</v>
      </c>
      <c r="AE82" s="5" t="s">
        <v>121</v>
      </c>
      <c r="AF82" s="5" t="s">
        <v>121</v>
      </c>
      <c r="AG82" s="5" t="s">
        <v>121</v>
      </c>
      <c r="AH82" s="5" t="s">
        <v>121</v>
      </c>
      <c r="AI82" s="5" t="s">
        <v>121</v>
      </c>
      <c r="AJ82" s="5" t="s">
        <v>121</v>
      </c>
      <c r="AK82" s="5" t="s">
        <v>121</v>
      </c>
      <c r="AL82" s="5" t="s">
        <v>121</v>
      </c>
      <c r="AM82" s="5" t="s">
        <v>121</v>
      </c>
      <c r="AN82" s="5" t="s">
        <v>13014</v>
      </c>
      <c r="AO82" s="5" t="s">
        <v>121</v>
      </c>
      <c r="AP82" s="5" t="s">
        <v>13015</v>
      </c>
      <c r="AQ82" s="5" t="s">
        <v>121</v>
      </c>
      <c r="AR82" s="5" t="s">
        <v>13016</v>
      </c>
      <c r="AS82" s="5" t="s">
        <v>954</v>
      </c>
      <c r="AT82" s="5" t="s">
        <v>13017</v>
      </c>
      <c r="AU82" s="5" t="s">
        <v>951</v>
      </c>
      <c r="AV82" s="5" t="s">
        <v>121</v>
      </c>
      <c r="AW82" s="5" t="s">
        <v>951</v>
      </c>
      <c r="AX82" s="5" t="s">
        <v>121</v>
      </c>
      <c r="AY82" s="5" t="s">
        <v>121</v>
      </c>
      <c r="AZ82" s="5" t="s">
        <v>121</v>
      </c>
      <c r="BA82" s="5" t="s">
        <v>121</v>
      </c>
      <c r="BB82" s="5" t="s">
        <v>426</v>
      </c>
      <c r="BC82" s="5" t="s">
        <v>121</v>
      </c>
      <c r="BD82" s="5" t="s">
        <v>12569</v>
      </c>
      <c r="BE82" s="5" t="s">
        <v>121</v>
      </c>
      <c r="BF82" s="5" t="s">
        <v>121</v>
      </c>
      <c r="BG82" s="5" t="s">
        <v>121</v>
      </c>
      <c r="BH82" s="5" t="s">
        <v>13018</v>
      </c>
      <c r="BI82" s="5" t="s">
        <v>121</v>
      </c>
      <c r="BJ82" s="5" t="s">
        <v>952</v>
      </c>
      <c r="BK82" s="5" t="s">
        <v>121</v>
      </c>
      <c r="BL82" s="5" t="s">
        <v>13019</v>
      </c>
      <c r="BM82" s="5" t="s">
        <v>13019</v>
      </c>
      <c r="BN82" s="5" t="s">
        <v>953</v>
      </c>
      <c r="BO82" s="5" t="s">
        <v>12978</v>
      </c>
      <c r="BP82" s="5" t="s">
        <v>2854</v>
      </c>
      <c r="BQ82" s="5" t="s">
        <v>121</v>
      </c>
      <c r="BR82" s="5" t="s">
        <v>2854</v>
      </c>
      <c r="BS82" s="5" t="s">
        <v>121</v>
      </c>
      <c r="BT82" s="5" t="s">
        <v>121</v>
      </c>
      <c r="BU82" s="5" t="s">
        <v>121</v>
      </c>
      <c r="BV82" s="5" t="s">
        <v>3510</v>
      </c>
      <c r="BW82" s="5" t="s">
        <v>3510</v>
      </c>
      <c r="BX82" s="5" t="s">
        <v>3510</v>
      </c>
      <c r="BY82" s="5" t="s">
        <v>13020</v>
      </c>
      <c r="BZ82" s="5" t="s">
        <v>121</v>
      </c>
      <c r="CA82" s="5" t="s">
        <v>121</v>
      </c>
      <c r="CB82" s="5" t="s">
        <v>121</v>
      </c>
      <c r="CC82" s="5" t="s">
        <v>950</v>
      </c>
      <c r="CD82" s="5" t="s">
        <v>121</v>
      </c>
      <c r="CE82" s="5" t="s">
        <v>121</v>
      </c>
      <c r="CF82" s="5" t="s">
        <v>11958</v>
      </c>
      <c r="CG82" s="5" t="s">
        <v>121</v>
      </c>
      <c r="CH82" s="5" t="s">
        <v>121</v>
      </c>
      <c r="CI82" s="5" t="s">
        <v>11959</v>
      </c>
      <c r="CJ82" s="5" t="s">
        <v>124</v>
      </c>
      <c r="CK82" s="5" t="s">
        <v>241</v>
      </c>
      <c r="CL82" s="5" t="s">
        <v>3510</v>
      </c>
      <c r="CM82" s="5" t="s">
        <v>124</v>
      </c>
      <c r="CN82" s="5" t="s">
        <v>121</v>
      </c>
      <c r="CO82" s="5" t="s">
        <v>121</v>
      </c>
      <c r="CP82" s="5" t="s">
        <v>3510</v>
      </c>
      <c r="CQ82" s="5" t="s">
        <v>955</v>
      </c>
      <c r="CR82" s="5" t="s">
        <v>11960</v>
      </c>
      <c r="CS82" s="5" t="s">
        <v>3510</v>
      </c>
      <c r="CT82" s="5" t="s">
        <v>3510</v>
      </c>
      <c r="CU82" s="5" t="s">
        <v>3510</v>
      </c>
      <c r="CV82" s="5" t="s">
        <v>11952</v>
      </c>
      <c r="CW82" s="5" t="s">
        <v>11952</v>
      </c>
      <c r="CX82" s="5" t="s">
        <v>12673</v>
      </c>
      <c r="CY82" s="5" t="s">
        <v>13021</v>
      </c>
      <c r="CZ82" s="5" t="s">
        <v>3510</v>
      </c>
      <c r="DA82" s="5" t="s">
        <v>11952</v>
      </c>
      <c r="DB82" s="5" t="s">
        <v>11963</v>
      </c>
      <c r="DC82" s="5" t="s">
        <v>11963</v>
      </c>
      <c r="DD82" s="5" t="s">
        <v>11963</v>
      </c>
      <c r="DE82" s="5" t="s">
        <v>11963</v>
      </c>
      <c r="DF82" s="5" t="s">
        <v>3510</v>
      </c>
      <c r="DG82" s="5" t="s">
        <v>11964</v>
      </c>
      <c r="DH82" s="5" t="s">
        <v>13022</v>
      </c>
      <c r="DI82" s="5" t="s">
        <v>11975</v>
      </c>
      <c r="DJ82" s="5" t="s">
        <v>11966</v>
      </c>
      <c r="DK82" s="5" t="s">
        <v>11967</v>
      </c>
      <c r="DL82" s="5">
        <v>5</v>
      </c>
      <c r="DM82" s="5">
        <v>4</v>
      </c>
      <c r="DN82" s="5">
        <v>2.5</v>
      </c>
      <c r="DO82" s="5">
        <v>0</v>
      </c>
      <c r="DP82" s="5">
        <v>2</v>
      </c>
      <c r="DQ82" s="5">
        <v>3</v>
      </c>
      <c r="DR82" s="5">
        <v>0</v>
      </c>
      <c r="DS82" s="5">
        <v>53.5</v>
      </c>
      <c r="DT82" s="5" t="s">
        <v>11968</v>
      </c>
      <c r="DU82" s="5" t="s">
        <v>11969</v>
      </c>
      <c r="DV82" s="5" t="s">
        <v>11970</v>
      </c>
      <c r="DW82" s="5"/>
      <c r="DX82" s="5">
        <v>24</v>
      </c>
      <c r="DY82" s="5"/>
      <c r="DZ82" s="5">
        <v>100</v>
      </c>
      <c r="EA82" s="5"/>
      <c r="EB82" s="5">
        <v>0.24</v>
      </c>
      <c r="EC82" s="5"/>
      <c r="ED82" s="5" t="s">
        <v>11971</v>
      </c>
      <c r="EE82" s="5"/>
      <c r="EF82" s="5" t="s">
        <v>11997</v>
      </c>
      <c r="EG82" s="5"/>
      <c r="EH82" s="5" t="s">
        <v>11997</v>
      </c>
      <c r="EI82" s="5"/>
      <c r="EJ82" s="5" t="s">
        <v>11997</v>
      </c>
      <c r="EK82" s="5"/>
      <c r="EL82" s="5" t="s">
        <v>11997</v>
      </c>
      <c r="EM82" s="5"/>
      <c r="EN82" s="5" t="s">
        <v>11997</v>
      </c>
      <c r="EO82" s="5"/>
      <c r="EP82" s="5" t="s">
        <v>11998</v>
      </c>
      <c r="EQ82" s="5"/>
      <c r="ER82" s="5" t="s">
        <v>11997</v>
      </c>
      <c r="ES82" s="5"/>
      <c r="ET82" s="5" t="s">
        <v>11972</v>
      </c>
      <c r="EU82" s="5"/>
      <c r="EV82" s="5"/>
      <c r="EW82" s="5"/>
      <c r="EX82" s="5"/>
      <c r="EY82" s="5" t="s">
        <v>5418</v>
      </c>
      <c r="EZ82" s="5"/>
      <c r="FA82" s="5" t="s">
        <v>956</v>
      </c>
      <c r="FB82" s="5"/>
    </row>
    <row r="83" spans="1:158" ht="114.75">
      <c r="A83" s="5" t="s">
        <v>958</v>
      </c>
      <c r="B83" s="5" t="s">
        <v>959</v>
      </c>
      <c r="C83" s="5" t="s">
        <v>11952</v>
      </c>
      <c r="D83" s="5" t="s">
        <v>556</v>
      </c>
      <c r="E83" s="5" t="s">
        <v>11953</v>
      </c>
      <c r="F83" s="5" t="s">
        <v>11954</v>
      </c>
      <c r="G83" s="5" t="s">
        <v>11955</v>
      </c>
      <c r="H83" s="5" t="s">
        <v>11235</v>
      </c>
      <c r="I83" s="5" t="s">
        <v>562</v>
      </c>
      <c r="J83" s="5" t="s">
        <v>3510</v>
      </c>
      <c r="K83" s="5" t="s">
        <v>11956</v>
      </c>
      <c r="L83" s="5" t="s">
        <v>967</v>
      </c>
      <c r="M83" s="5" t="s">
        <v>11952</v>
      </c>
      <c r="N83" s="5" t="s">
        <v>11952</v>
      </c>
      <c r="O83" s="5" t="s">
        <v>967</v>
      </c>
      <c r="P83" s="5" t="s">
        <v>11952</v>
      </c>
      <c r="Q83" s="5" t="s">
        <v>11952</v>
      </c>
      <c r="R83" s="5" t="s">
        <v>11952</v>
      </c>
      <c r="S83" s="5" t="s">
        <v>11952</v>
      </c>
      <c r="T83" s="5" t="s">
        <v>13023</v>
      </c>
      <c r="U83" s="5" t="s">
        <v>3510</v>
      </c>
      <c r="V83" s="5" t="s">
        <v>121</v>
      </c>
      <c r="W83" s="5" t="s">
        <v>121</v>
      </c>
      <c r="X83" s="5" t="s">
        <v>121</v>
      </c>
      <c r="Y83" s="5" t="s">
        <v>121</v>
      </c>
      <c r="Z83" s="5" t="s">
        <v>11952</v>
      </c>
      <c r="AA83" s="5" t="s">
        <v>11952</v>
      </c>
      <c r="AB83" s="5" t="s">
        <v>155</v>
      </c>
      <c r="AC83" s="5" t="s">
        <v>964</v>
      </c>
      <c r="AD83" s="5" t="s">
        <v>121</v>
      </c>
      <c r="AE83" s="5" t="s">
        <v>121</v>
      </c>
      <c r="AF83" s="5" t="s">
        <v>964</v>
      </c>
      <c r="AG83" s="5" t="s">
        <v>121</v>
      </c>
      <c r="AH83" s="5" t="s">
        <v>121</v>
      </c>
      <c r="AI83" s="5" t="s">
        <v>121</v>
      </c>
      <c r="AJ83" s="5" t="s">
        <v>121</v>
      </c>
      <c r="AK83" s="5" t="s">
        <v>121</v>
      </c>
      <c r="AL83" s="5" t="s">
        <v>121</v>
      </c>
      <c r="AM83" s="5" t="s">
        <v>121</v>
      </c>
      <c r="AN83" s="5" t="s">
        <v>13024</v>
      </c>
      <c r="AO83" s="5" t="s">
        <v>121</v>
      </c>
      <c r="AP83" s="5" t="s">
        <v>12460</v>
      </c>
      <c r="AQ83" s="5" t="s">
        <v>121</v>
      </c>
      <c r="AR83" s="5" t="s">
        <v>13025</v>
      </c>
      <c r="AS83" s="5" t="s">
        <v>965</v>
      </c>
      <c r="AT83" s="5" t="s">
        <v>121</v>
      </c>
      <c r="AU83" s="5" t="s">
        <v>960</v>
      </c>
      <c r="AV83" s="5" t="s">
        <v>12003</v>
      </c>
      <c r="AW83" s="5" t="s">
        <v>960</v>
      </c>
      <c r="AX83" s="5" t="s">
        <v>12159</v>
      </c>
      <c r="AY83" s="5" t="s">
        <v>2854</v>
      </c>
      <c r="AZ83" s="5" t="s">
        <v>121</v>
      </c>
      <c r="BA83" s="5" t="s">
        <v>121</v>
      </c>
      <c r="BB83" s="5" t="s">
        <v>426</v>
      </c>
      <c r="BC83" s="5" t="s">
        <v>121</v>
      </c>
      <c r="BD83" s="5" t="s">
        <v>121</v>
      </c>
      <c r="BE83" s="5" t="s">
        <v>12870</v>
      </c>
      <c r="BF83" s="5" t="s">
        <v>13026</v>
      </c>
      <c r="BG83" s="5" t="s">
        <v>121</v>
      </c>
      <c r="BH83" s="5" t="s">
        <v>13027</v>
      </c>
      <c r="BI83" s="5" t="s">
        <v>121</v>
      </c>
      <c r="BJ83" s="5" t="s">
        <v>961</v>
      </c>
      <c r="BK83" s="5" t="s">
        <v>121</v>
      </c>
      <c r="BL83" s="5" t="s">
        <v>13028</v>
      </c>
      <c r="BM83" s="5" t="s">
        <v>13028</v>
      </c>
      <c r="BN83" s="5" t="s">
        <v>962</v>
      </c>
      <c r="BO83" s="5" t="s">
        <v>1474</v>
      </c>
      <c r="BP83" s="5" t="s">
        <v>121</v>
      </c>
      <c r="BQ83" s="5" t="s">
        <v>121</v>
      </c>
      <c r="BR83" s="5" t="s">
        <v>2854</v>
      </c>
      <c r="BS83" s="5" t="s">
        <v>2854</v>
      </c>
      <c r="BT83" s="5" t="s">
        <v>121</v>
      </c>
      <c r="BU83" s="5" t="s">
        <v>121</v>
      </c>
      <c r="BV83" s="5" t="s">
        <v>3510</v>
      </c>
      <c r="BW83" s="5" t="s">
        <v>3510</v>
      </c>
      <c r="BX83" s="5" t="s">
        <v>3510</v>
      </c>
      <c r="BY83" s="5" t="s">
        <v>13029</v>
      </c>
      <c r="BZ83" s="5" t="s">
        <v>13030</v>
      </c>
      <c r="CA83" s="5" t="s">
        <v>121</v>
      </c>
      <c r="CB83" s="5" t="s">
        <v>121</v>
      </c>
      <c r="CC83" s="5" t="s">
        <v>794</v>
      </c>
      <c r="CD83" s="5" t="s">
        <v>121</v>
      </c>
      <c r="CE83" s="5" t="s">
        <v>121</v>
      </c>
      <c r="CF83" s="5" t="s">
        <v>11958</v>
      </c>
      <c r="CG83" s="5" t="s">
        <v>121</v>
      </c>
      <c r="CH83" s="5" t="s">
        <v>121</v>
      </c>
      <c r="CI83" s="5" t="s">
        <v>12034</v>
      </c>
      <c r="CJ83" s="5" t="s">
        <v>124</v>
      </c>
      <c r="CK83" s="5" t="s">
        <v>963</v>
      </c>
      <c r="CL83" s="5" t="s">
        <v>3510</v>
      </c>
      <c r="CM83" s="5" t="s">
        <v>124</v>
      </c>
      <c r="CN83" s="5" t="s">
        <v>121</v>
      </c>
      <c r="CO83" s="5" t="s">
        <v>121</v>
      </c>
      <c r="CP83" s="5" t="s">
        <v>3510</v>
      </c>
      <c r="CQ83" s="5" t="s">
        <v>966</v>
      </c>
      <c r="CR83" s="5" t="s">
        <v>11960</v>
      </c>
      <c r="CS83" s="5" t="s">
        <v>3510</v>
      </c>
      <c r="CT83" s="5" t="s">
        <v>3510</v>
      </c>
      <c r="CU83" s="5" t="s">
        <v>3510</v>
      </c>
      <c r="CV83" s="5" t="s">
        <v>11952</v>
      </c>
      <c r="CW83" s="5" t="s">
        <v>11952</v>
      </c>
      <c r="CX83" s="5" t="s">
        <v>12673</v>
      </c>
      <c r="CY83" s="5" t="s">
        <v>13031</v>
      </c>
      <c r="CZ83" s="5" t="s">
        <v>3510</v>
      </c>
      <c r="DA83" s="5" t="s">
        <v>11952</v>
      </c>
      <c r="DB83" s="5" t="s">
        <v>11963</v>
      </c>
      <c r="DC83" s="5" t="s">
        <v>11963</v>
      </c>
      <c r="DD83" s="5" t="s">
        <v>11963</v>
      </c>
      <c r="DE83" s="5" t="s">
        <v>11963</v>
      </c>
      <c r="DF83" s="5" t="s">
        <v>3510</v>
      </c>
      <c r="DG83" s="5" t="s">
        <v>11964</v>
      </c>
      <c r="DH83" s="5" t="s">
        <v>13032</v>
      </c>
      <c r="DI83" s="5" t="s">
        <v>11975</v>
      </c>
      <c r="DJ83" s="5" t="s">
        <v>11966</v>
      </c>
      <c r="DK83" s="5" t="s">
        <v>11967</v>
      </c>
      <c r="DL83" s="5">
        <v>4</v>
      </c>
      <c r="DM83" s="5">
        <v>4</v>
      </c>
      <c r="DN83" s="5">
        <v>4</v>
      </c>
      <c r="DO83" s="5">
        <v>4</v>
      </c>
      <c r="DP83" s="5">
        <v>4</v>
      </c>
      <c r="DQ83" s="5">
        <v>3</v>
      </c>
      <c r="DR83" s="5">
        <v>0</v>
      </c>
      <c r="DS83" s="5">
        <v>70</v>
      </c>
      <c r="DT83" s="5" t="s">
        <v>11968</v>
      </c>
      <c r="DU83" s="5" t="s">
        <v>11969</v>
      </c>
      <c r="DV83" s="5" t="s">
        <v>11970</v>
      </c>
      <c r="DW83" s="5"/>
      <c r="DX83" s="5">
        <v>28</v>
      </c>
      <c r="DY83" s="5"/>
      <c r="DZ83" s="5">
        <v>100</v>
      </c>
      <c r="EA83" s="5"/>
      <c r="EB83" s="5">
        <v>0.28000000000000003</v>
      </c>
      <c r="EC83" s="5"/>
      <c r="ED83" s="5" t="s">
        <v>11971</v>
      </c>
      <c r="EE83" s="5"/>
      <c r="EF83" s="5" t="s">
        <v>11997</v>
      </c>
      <c r="EG83" s="5"/>
      <c r="EH83" s="5" t="s">
        <v>11997</v>
      </c>
      <c r="EI83" s="5"/>
      <c r="EJ83" s="5" t="s">
        <v>11997</v>
      </c>
      <c r="EK83" s="5"/>
      <c r="EL83" s="5" t="s">
        <v>11997</v>
      </c>
      <c r="EM83" s="5"/>
      <c r="EN83" s="5" t="s">
        <v>11997</v>
      </c>
      <c r="EO83" s="5"/>
      <c r="EP83" s="5" t="s">
        <v>11998</v>
      </c>
      <c r="EQ83" s="5"/>
      <c r="ER83" s="5" t="s">
        <v>11997</v>
      </c>
      <c r="ES83" s="5"/>
      <c r="ET83" s="5" t="s">
        <v>11972</v>
      </c>
      <c r="EU83" s="5"/>
      <c r="EV83" s="5"/>
      <c r="EW83" s="5"/>
      <c r="EX83" s="5"/>
      <c r="EY83" s="5" t="s">
        <v>5450</v>
      </c>
      <c r="EZ83" s="5"/>
      <c r="FA83" s="5" t="s">
        <v>967</v>
      </c>
      <c r="FB83" s="5"/>
    </row>
    <row r="84" spans="1:158" ht="267.75">
      <c r="A84" s="5" t="s">
        <v>969</v>
      </c>
      <c r="B84" s="5" t="s">
        <v>970</v>
      </c>
      <c r="C84" s="5" t="s">
        <v>11952</v>
      </c>
      <c r="D84" s="5" t="s">
        <v>664</v>
      </c>
      <c r="E84" s="5" t="s">
        <v>12011</v>
      </c>
      <c r="F84" s="5" t="s">
        <v>11994</v>
      </c>
      <c r="G84" s="5" t="s">
        <v>13033</v>
      </c>
      <c r="H84" s="5" t="s">
        <v>12530</v>
      </c>
      <c r="I84" s="5" t="s">
        <v>562</v>
      </c>
      <c r="J84" s="5" t="s">
        <v>3510</v>
      </c>
      <c r="K84" s="5" t="s">
        <v>12702</v>
      </c>
      <c r="L84" s="5" t="s">
        <v>980</v>
      </c>
      <c r="M84" s="5" t="s">
        <v>11952</v>
      </c>
      <c r="N84" s="5" t="s">
        <v>11952</v>
      </c>
      <c r="O84" s="5" t="s">
        <v>11493</v>
      </c>
      <c r="P84" s="5" t="s">
        <v>11952</v>
      </c>
      <c r="Q84" s="5" t="s">
        <v>11952</v>
      </c>
      <c r="R84" s="5" t="s">
        <v>11952</v>
      </c>
      <c r="S84" s="5" t="s">
        <v>11952</v>
      </c>
      <c r="T84" s="5" t="s">
        <v>13034</v>
      </c>
      <c r="U84" s="5" t="s">
        <v>3510</v>
      </c>
      <c r="V84" s="5" t="s">
        <v>121</v>
      </c>
      <c r="W84" s="5" t="s">
        <v>121</v>
      </c>
      <c r="X84" s="5" t="s">
        <v>121</v>
      </c>
      <c r="Y84" s="5" t="s">
        <v>121</v>
      </c>
      <c r="Z84" s="5" t="s">
        <v>11952</v>
      </c>
      <c r="AA84" s="5" t="s">
        <v>11952</v>
      </c>
      <c r="AB84" s="5" t="s">
        <v>155</v>
      </c>
      <c r="AC84" s="5" t="s">
        <v>13035</v>
      </c>
      <c r="AD84" s="5" t="s">
        <v>121</v>
      </c>
      <c r="AE84" s="5" t="s">
        <v>121</v>
      </c>
      <c r="AF84" s="5" t="s">
        <v>13035</v>
      </c>
      <c r="AG84" s="5" t="s">
        <v>121</v>
      </c>
      <c r="AH84" s="5" t="s">
        <v>121</v>
      </c>
      <c r="AI84" s="5" t="s">
        <v>121</v>
      </c>
      <c r="AJ84" s="5" t="s">
        <v>121</v>
      </c>
      <c r="AK84" s="5" t="s">
        <v>121</v>
      </c>
      <c r="AL84" s="5" t="s">
        <v>121</v>
      </c>
      <c r="AM84" s="5" t="s">
        <v>121</v>
      </c>
      <c r="AN84" s="5" t="s">
        <v>13036</v>
      </c>
      <c r="AO84" s="5" t="s">
        <v>121</v>
      </c>
      <c r="AP84" s="5" t="s">
        <v>13037</v>
      </c>
      <c r="AQ84" s="5" t="s">
        <v>121</v>
      </c>
      <c r="AR84" s="5" t="s">
        <v>121</v>
      </c>
      <c r="AS84" s="5" t="s">
        <v>13038</v>
      </c>
      <c r="AT84" s="5" t="s">
        <v>121</v>
      </c>
      <c r="AU84" s="5" t="s">
        <v>13039</v>
      </c>
      <c r="AV84" s="5" t="s">
        <v>121</v>
      </c>
      <c r="AW84" s="5" t="s">
        <v>13039</v>
      </c>
      <c r="AX84" s="5" t="s">
        <v>121</v>
      </c>
      <c r="AY84" s="5" t="s">
        <v>121</v>
      </c>
      <c r="AZ84" s="5" t="s">
        <v>121</v>
      </c>
      <c r="BA84" s="5" t="s">
        <v>121</v>
      </c>
      <c r="BB84" s="5" t="s">
        <v>2854</v>
      </c>
      <c r="BC84" s="5" t="s">
        <v>121</v>
      </c>
      <c r="BD84" s="5" t="s">
        <v>13040</v>
      </c>
      <c r="BE84" s="5" t="s">
        <v>121</v>
      </c>
      <c r="BF84" s="5" t="s">
        <v>121</v>
      </c>
      <c r="BG84" s="5" t="s">
        <v>121</v>
      </c>
      <c r="BH84" s="5" t="s">
        <v>12761</v>
      </c>
      <c r="BI84" s="5" t="s">
        <v>121</v>
      </c>
      <c r="BJ84" s="5" t="s">
        <v>13041</v>
      </c>
      <c r="BK84" s="5" t="s">
        <v>121</v>
      </c>
      <c r="BL84" s="5" t="s">
        <v>1273</v>
      </c>
      <c r="BM84" s="5" t="s">
        <v>1273</v>
      </c>
      <c r="BN84" s="5" t="s">
        <v>13042</v>
      </c>
      <c r="BO84" s="5" t="s">
        <v>11984</v>
      </c>
      <c r="BP84" s="5" t="s">
        <v>121</v>
      </c>
      <c r="BQ84" s="5" t="s">
        <v>121</v>
      </c>
      <c r="BR84" s="5" t="s">
        <v>2854</v>
      </c>
      <c r="BS84" s="5" t="s">
        <v>121</v>
      </c>
      <c r="BT84" s="5" t="s">
        <v>121</v>
      </c>
      <c r="BU84" s="5" t="s">
        <v>121</v>
      </c>
      <c r="BV84" s="5" t="s">
        <v>3510</v>
      </c>
      <c r="BW84" s="5" t="s">
        <v>3510</v>
      </c>
      <c r="BX84" s="5" t="s">
        <v>3510</v>
      </c>
      <c r="BY84" s="5" t="s">
        <v>13043</v>
      </c>
      <c r="BZ84" s="5" t="s">
        <v>13044</v>
      </c>
      <c r="CA84" s="5" t="s">
        <v>121</v>
      </c>
      <c r="CB84" s="5" t="s">
        <v>121</v>
      </c>
      <c r="CC84" s="5" t="s">
        <v>13045</v>
      </c>
      <c r="CD84" s="5" t="s">
        <v>121</v>
      </c>
      <c r="CE84" s="5" t="s">
        <v>121</v>
      </c>
      <c r="CF84" s="5" t="s">
        <v>11958</v>
      </c>
      <c r="CG84" s="5" t="s">
        <v>121</v>
      </c>
      <c r="CH84" s="5" t="s">
        <v>121</v>
      </c>
      <c r="CI84" s="5" t="s">
        <v>12749</v>
      </c>
      <c r="CJ84" s="5" t="s">
        <v>124</v>
      </c>
      <c r="CK84" s="5" t="s">
        <v>963</v>
      </c>
      <c r="CL84" s="5" t="s">
        <v>3510</v>
      </c>
      <c r="CM84" s="5" t="s">
        <v>124</v>
      </c>
      <c r="CN84" s="5" t="s">
        <v>121</v>
      </c>
      <c r="CO84" s="5" t="s">
        <v>121</v>
      </c>
      <c r="CP84" s="5" t="s">
        <v>3510</v>
      </c>
      <c r="CQ84" s="5" t="s">
        <v>13046</v>
      </c>
      <c r="CR84" s="5" t="s">
        <v>12118</v>
      </c>
      <c r="CS84" s="5" t="s">
        <v>3510</v>
      </c>
      <c r="CT84" s="5" t="s">
        <v>3510</v>
      </c>
      <c r="CU84" s="5" t="s">
        <v>2854</v>
      </c>
      <c r="CV84" s="5" t="s">
        <v>13047</v>
      </c>
      <c r="CW84" s="5" t="s">
        <v>13048</v>
      </c>
      <c r="CX84" s="5" t="s">
        <v>12711</v>
      </c>
      <c r="CY84" s="5" t="s">
        <v>13049</v>
      </c>
      <c r="CZ84" s="5" t="s">
        <v>11989</v>
      </c>
      <c r="DA84" s="5" t="s">
        <v>11989</v>
      </c>
      <c r="DB84" s="5" t="s">
        <v>11963</v>
      </c>
      <c r="DC84" s="5" t="s">
        <v>13050</v>
      </c>
      <c r="DD84" s="5" t="s">
        <v>11963</v>
      </c>
      <c r="DE84" s="5" t="s">
        <v>13051</v>
      </c>
      <c r="DF84" s="5" t="s">
        <v>2854</v>
      </c>
      <c r="DG84" s="5" t="s">
        <v>13052</v>
      </c>
      <c r="DH84" s="5" t="s">
        <v>13053</v>
      </c>
      <c r="DI84" s="5" t="s">
        <v>11966</v>
      </c>
      <c r="DJ84" s="5" t="s">
        <v>12044</v>
      </c>
      <c r="DK84" s="5" t="s">
        <v>13054</v>
      </c>
      <c r="DL84" s="5">
        <v>4</v>
      </c>
      <c r="DM84" s="5">
        <v>3</v>
      </c>
      <c r="DN84" s="5">
        <v>2.8</v>
      </c>
      <c r="DO84" s="5">
        <v>2</v>
      </c>
      <c r="DP84" s="5">
        <v>3</v>
      </c>
      <c r="DQ84" s="5">
        <v>2</v>
      </c>
      <c r="DR84" s="5">
        <v>0</v>
      </c>
      <c r="DS84" s="5">
        <v>52.4</v>
      </c>
      <c r="DT84" s="5" t="s">
        <v>11968</v>
      </c>
      <c r="DU84" s="5" t="s">
        <v>12116</v>
      </c>
      <c r="DV84" s="5" t="s">
        <v>11970</v>
      </c>
      <c r="DW84" s="5"/>
      <c r="DX84" s="5">
        <v>18</v>
      </c>
      <c r="DY84" s="5"/>
      <c r="DZ84" s="5">
        <v>100</v>
      </c>
      <c r="EA84" s="5"/>
      <c r="EB84" s="5">
        <v>0.18</v>
      </c>
      <c r="EC84" s="5"/>
      <c r="ED84" s="5" t="s">
        <v>11971</v>
      </c>
      <c r="EE84" s="5"/>
      <c r="EF84" s="5" t="s">
        <v>11997</v>
      </c>
      <c r="EG84" s="5"/>
      <c r="EH84" s="5" t="s">
        <v>11997</v>
      </c>
      <c r="EI84" s="5"/>
      <c r="EJ84" s="5" t="s">
        <v>11997</v>
      </c>
      <c r="EK84" s="5"/>
      <c r="EL84" s="5" t="s">
        <v>11997</v>
      </c>
      <c r="EM84" s="5"/>
      <c r="EN84" s="5" t="s">
        <v>11997</v>
      </c>
      <c r="EO84" s="5"/>
      <c r="EP84" s="5" t="s">
        <v>11998</v>
      </c>
      <c r="EQ84" s="5"/>
      <c r="ER84" s="5" t="s">
        <v>11997</v>
      </c>
      <c r="ES84" s="5"/>
      <c r="ET84" s="5" t="s">
        <v>11972</v>
      </c>
      <c r="EU84" s="5"/>
      <c r="EV84" s="5"/>
      <c r="EW84" s="5"/>
      <c r="EX84" s="5"/>
      <c r="EY84" s="5" t="s">
        <v>13055</v>
      </c>
      <c r="EZ84" s="5"/>
      <c r="FA84" s="5" t="s">
        <v>980</v>
      </c>
      <c r="FB84" s="5"/>
    </row>
    <row r="85" spans="1:158" ht="76.5">
      <c r="A85" s="5" t="s">
        <v>982</v>
      </c>
      <c r="B85" s="5" t="s">
        <v>983</v>
      </c>
      <c r="C85" s="5" t="s">
        <v>11952</v>
      </c>
      <c r="D85" s="5" t="s">
        <v>949</v>
      </c>
      <c r="E85" s="5" t="s">
        <v>11953</v>
      </c>
      <c r="F85" s="5" t="s">
        <v>11954</v>
      </c>
      <c r="G85" s="5" t="s">
        <v>11955</v>
      </c>
      <c r="H85" s="5" t="s">
        <v>11237</v>
      </c>
      <c r="I85" s="5" t="s">
        <v>562</v>
      </c>
      <c r="J85" s="5" t="s">
        <v>3510</v>
      </c>
      <c r="K85" s="5" t="s">
        <v>11956</v>
      </c>
      <c r="L85" s="5" t="s">
        <v>993</v>
      </c>
      <c r="M85" s="5" t="s">
        <v>11952</v>
      </c>
      <c r="N85" s="5" t="s">
        <v>11952</v>
      </c>
      <c r="O85" s="5" t="s">
        <v>993</v>
      </c>
      <c r="P85" s="5" t="s">
        <v>11952</v>
      </c>
      <c r="Q85" s="5" t="s">
        <v>11952</v>
      </c>
      <c r="R85" s="5" t="s">
        <v>11952</v>
      </c>
      <c r="S85" s="5" t="s">
        <v>11952</v>
      </c>
      <c r="T85" s="5" t="s">
        <v>13056</v>
      </c>
      <c r="U85" s="5" t="s">
        <v>2854</v>
      </c>
      <c r="V85" s="5" t="s">
        <v>13057</v>
      </c>
      <c r="W85" s="5" t="s">
        <v>121</v>
      </c>
      <c r="X85" s="5" t="s">
        <v>13057</v>
      </c>
      <c r="Y85" s="5" t="s">
        <v>121</v>
      </c>
      <c r="Z85" s="5" t="s">
        <v>121</v>
      </c>
      <c r="AA85" s="5" t="s">
        <v>11981</v>
      </c>
      <c r="AB85" s="5" t="s">
        <v>121</v>
      </c>
      <c r="AC85" s="5" t="s">
        <v>121</v>
      </c>
      <c r="AD85" s="5" t="s">
        <v>121</v>
      </c>
      <c r="AE85" s="5" t="s">
        <v>121</v>
      </c>
      <c r="AF85" s="5" t="s">
        <v>121</v>
      </c>
      <c r="AG85" s="5" t="s">
        <v>121</v>
      </c>
      <c r="AH85" s="5" t="s">
        <v>121</v>
      </c>
      <c r="AI85" s="5" t="s">
        <v>121</v>
      </c>
      <c r="AJ85" s="5" t="s">
        <v>121</v>
      </c>
      <c r="AK85" s="5" t="s">
        <v>121</v>
      </c>
      <c r="AL85" s="5" t="s">
        <v>121</v>
      </c>
      <c r="AM85" s="5" t="s">
        <v>121</v>
      </c>
      <c r="AN85" s="5" t="s">
        <v>13058</v>
      </c>
      <c r="AO85" s="5" t="s">
        <v>121</v>
      </c>
      <c r="AP85" s="5" t="s">
        <v>12460</v>
      </c>
      <c r="AQ85" s="5" t="s">
        <v>121</v>
      </c>
      <c r="AR85" s="5" t="s">
        <v>13059</v>
      </c>
      <c r="AS85" s="5" t="s">
        <v>13060</v>
      </c>
      <c r="AT85" s="5" t="s">
        <v>121</v>
      </c>
      <c r="AU85" s="5" t="s">
        <v>13061</v>
      </c>
      <c r="AV85" s="5" t="s">
        <v>121</v>
      </c>
      <c r="AW85" s="5" t="s">
        <v>121</v>
      </c>
      <c r="AX85" s="5" t="s">
        <v>12344</v>
      </c>
      <c r="AY85" s="5" t="s">
        <v>2854</v>
      </c>
      <c r="AZ85" s="5" t="s">
        <v>121</v>
      </c>
      <c r="BA85" s="5" t="s">
        <v>121</v>
      </c>
      <c r="BB85" s="5" t="s">
        <v>3510</v>
      </c>
      <c r="BC85" s="5" t="s">
        <v>3510</v>
      </c>
      <c r="BD85" s="5" t="s">
        <v>121</v>
      </c>
      <c r="BE85" s="5" t="s">
        <v>121</v>
      </c>
      <c r="BF85" s="5" t="s">
        <v>121</v>
      </c>
      <c r="BG85" s="5" t="s">
        <v>121</v>
      </c>
      <c r="BH85" s="5" t="s">
        <v>12721</v>
      </c>
      <c r="BI85" s="5" t="s">
        <v>121</v>
      </c>
      <c r="BJ85" s="5" t="s">
        <v>13062</v>
      </c>
      <c r="BK85" s="5" t="s">
        <v>121</v>
      </c>
      <c r="BL85" s="5" t="s">
        <v>1273</v>
      </c>
      <c r="BM85" s="5" t="s">
        <v>1273</v>
      </c>
      <c r="BN85" s="5" t="s">
        <v>13063</v>
      </c>
      <c r="BO85" s="5" t="s">
        <v>11984</v>
      </c>
      <c r="BP85" s="5" t="s">
        <v>121</v>
      </c>
      <c r="BQ85" s="5" t="s">
        <v>121</v>
      </c>
      <c r="BR85" s="5" t="s">
        <v>2854</v>
      </c>
      <c r="BS85" s="5" t="s">
        <v>121</v>
      </c>
      <c r="BT85" s="5" t="s">
        <v>121</v>
      </c>
      <c r="BU85" s="5" t="s">
        <v>121</v>
      </c>
      <c r="BV85" s="5" t="s">
        <v>3510</v>
      </c>
      <c r="BW85" s="5" t="s">
        <v>3510</v>
      </c>
      <c r="BX85" s="5" t="s">
        <v>3510</v>
      </c>
      <c r="BY85" s="5" t="s">
        <v>13064</v>
      </c>
      <c r="BZ85" s="5" t="s">
        <v>13065</v>
      </c>
      <c r="CA85" s="5" t="s">
        <v>121</v>
      </c>
      <c r="CB85" s="5" t="s">
        <v>121</v>
      </c>
      <c r="CC85" s="5" t="s">
        <v>1273</v>
      </c>
      <c r="CD85" s="5" t="s">
        <v>121</v>
      </c>
      <c r="CE85" s="5" t="s">
        <v>121</v>
      </c>
      <c r="CF85" s="5" t="s">
        <v>11958</v>
      </c>
      <c r="CG85" s="5" t="s">
        <v>121</v>
      </c>
      <c r="CH85" s="5" t="s">
        <v>121</v>
      </c>
      <c r="CI85" s="5" t="s">
        <v>12034</v>
      </c>
      <c r="CJ85" s="5" t="s">
        <v>124</v>
      </c>
      <c r="CK85" s="5" t="s">
        <v>241</v>
      </c>
      <c r="CL85" s="5" t="s">
        <v>3510</v>
      </c>
      <c r="CM85" s="5" t="s">
        <v>124</v>
      </c>
      <c r="CN85" s="5" t="s">
        <v>121</v>
      </c>
      <c r="CO85" s="5" t="s">
        <v>121</v>
      </c>
      <c r="CP85" s="5" t="s">
        <v>3510</v>
      </c>
      <c r="CQ85" s="5" t="s">
        <v>13066</v>
      </c>
      <c r="CR85" s="5" t="s">
        <v>11960</v>
      </c>
      <c r="CS85" s="5" t="s">
        <v>3510</v>
      </c>
      <c r="CT85" s="5" t="s">
        <v>3510</v>
      </c>
      <c r="CU85" s="5" t="s">
        <v>3510</v>
      </c>
      <c r="CV85" s="5" t="s">
        <v>11952</v>
      </c>
      <c r="CW85" s="5" t="s">
        <v>11952</v>
      </c>
      <c r="CX85" s="5" t="s">
        <v>12687</v>
      </c>
      <c r="CY85" s="5" t="s">
        <v>13067</v>
      </c>
      <c r="CZ85" s="5" t="s">
        <v>11952</v>
      </c>
      <c r="DA85" s="5" t="s">
        <v>3510</v>
      </c>
      <c r="DB85" s="5" t="s">
        <v>11963</v>
      </c>
      <c r="DC85" s="5" t="s">
        <v>11963</v>
      </c>
      <c r="DD85" s="5" t="s">
        <v>11963</v>
      </c>
      <c r="DE85" s="5" t="s">
        <v>11963</v>
      </c>
      <c r="DF85" s="5" t="s">
        <v>3510</v>
      </c>
      <c r="DG85" s="5" t="s">
        <v>11964</v>
      </c>
      <c r="DH85" s="5" t="s">
        <v>13068</v>
      </c>
      <c r="DI85" s="5" t="s">
        <v>11994</v>
      </c>
      <c r="DJ85" s="5" t="s">
        <v>11966</v>
      </c>
      <c r="DK85" s="5" t="s">
        <v>11967</v>
      </c>
      <c r="DL85" s="5">
        <v>5</v>
      </c>
      <c r="DM85" s="5">
        <v>4</v>
      </c>
      <c r="DN85" s="5">
        <v>5</v>
      </c>
      <c r="DO85" s="5">
        <v>3</v>
      </c>
      <c r="DP85" s="5">
        <v>2</v>
      </c>
      <c r="DQ85" s="5">
        <v>1</v>
      </c>
      <c r="DR85" s="5">
        <v>0</v>
      </c>
      <c r="DS85" s="5">
        <v>66</v>
      </c>
      <c r="DT85" s="5" t="s">
        <v>11968</v>
      </c>
      <c r="DU85" s="5" t="s">
        <v>11969</v>
      </c>
      <c r="DV85" s="5" t="s">
        <v>11970</v>
      </c>
      <c r="DW85" s="5"/>
      <c r="DX85" s="5">
        <v>23</v>
      </c>
      <c r="DY85" s="5"/>
      <c r="DZ85" s="5">
        <v>100</v>
      </c>
      <c r="EA85" s="5"/>
      <c r="EB85" s="5">
        <v>0.23</v>
      </c>
      <c r="EC85" s="5"/>
      <c r="ED85" s="5" t="s">
        <v>11971</v>
      </c>
      <c r="EE85" s="5"/>
      <c r="EF85" s="5" t="s">
        <v>11997</v>
      </c>
      <c r="EG85" s="5"/>
      <c r="EH85" s="5" t="s">
        <v>11997</v>
      </c>
      <c r="EI85" s="5"/>
      <c r="EJ85" s="5" t="s">
        <v>11997</v>
      </c>
      <c r="EK85" s="5"/>
      <c r="EL85" s="5" t="s">
        <v>11997</v>
      </c>
      <c r="EM85" s="5"/>
      <c r="EN85" s="5" t="s">
        <v>11997</v>
      </c>
      <c r="EO85" s="5"/>
      <c r="EP85" s="5" t="s">
        <v>11998</v>
      </c>
      <c r="EQ85" s="5"/>
      <c r="ER85" s="5" t="s">
        <v>11997</v>
      </c>
      <c r="ES85" s="5"/>
      <c r="ET85" s="5" t="s">
        <v>11972</v>
      </c>
      <c r="EU85" s="5"/>
      <c r="EV85" s="5"/>
      <c r="EW85" s="5"/>
      <c r="EX85" s="5"/>
      <c r="EY85" s="5" t="s">
        <v>13069</v>
      </c>
      <c r="EZ85" s="5"/>
      <c r="FA85" s="5" t="s">
        <v>993</v>
      </c>
      <c r="FB85" s="5"/>
    </row>
    <row r="86" spans="1:158" ht="76.5">
      <c r="A86" s="5" t="s">
        <v>995</v>
      </c>
      <c r="B86" s="5" t="s">
        <v>996</v>
      </c>
      <c r="C86" s="5" t="s">
        <v>11952</v>
      </c>
      <c r="D86" s="5" t="s">
        <v>664</v>
      </c>
      <c r="E86" s="5" t="s">
        <v>11953</v>
      </c>
      <c r="F86" s="5" t="s">
        <v>11954</v>
      </c>
      <c r="G86" s="5" t="s">
        <v>11955</v>
      </c>
      <c r="H86" s="5" t="s">
        <v>11235</v>
      </c>
      <c r="I86" s="5" t="s">
        <v>562</v>
      </c>
      <c r="J86" s="5" t="s">
        <v>3510</v>
      </c>
      <c r="K86" s="5" t="s">
        <v>11956</v>
      </c>
      <c r="L86" s="5" t="s">
        <v>998</v>
      </c>
      <c r="M86" s="5" t="s">
        <v>11952</v>
      </c>
      <c r="N86" s="5" t="s">
        <v>11952</v>
      </c>
      <c r="O86" s="5" t="s">
        <v>998</v>
      </c>
      <c r="P86" s="5" t="s">
        <v>11952</v>
      </c>
      <c r="Q86" s="5" t="s">
        <v>11952</v>
      </c>
      <c r="R86" s="5" t="s">
        <v>11952</v>
      </c>
      <c r="S86" s="5" t="s">
        <v>11952</v>
      </c>
      <c r="T86" s="5" t="s">
        <v>13070</v>
      </c>
      <c r="U86" s="5" t="s">
        <v>3510</v>
      </c>
      <c r="V86" s="5" t="s">
        <v>121</v>
      </c>
      <c r="W86" s="5" t="s">
        <v>121</v>
      </c>
      <c r="X86" s="5" t="s">
        <v>121</v>
      </c>
      <c r="Y86" s="5" t="s">
        <v>121</v>
      </c>
      <c r="Z86" s="5" t="s">
        <v>11952</v>
      </c>
      <c r="AA86" s="5" t="s">
        <v>11952</v>
      </c>
      <c r="AB86" s="5" t="s">
        <v>121</v>
      </c>
      <c r="AC86" s="5" t="s">
        <v>121</v>
      </c>
      <c r="AD86" s="5" t="s">
        <v>121</v>
      </c>
      <c r="AE86" s="5" t="s">
        <v>121</v>
      </c>
      <c r="AF86" s="5" t="s">
        <v>121</v>
      </c>
      <c r="AG86" s="5" t="s">
        <v>121</v>
      </c>
      <c r="AH86" s="5" t="s">
        <v>121</v>
      </c>
      <c r="AI86" s="5" t="s">
        <v>121</v>
      </c>
      <c r="AJ86" s="5" t="s">
        <v>121</v>
      </c>
      <c r="AK86" s="5" t="s">
        <v>121</v>
      </c>
      <c r="AL86" s="5" t="s">
        <v>121</v>
      </c>
      <c r="AM86" s="5" t="s">
        <v>121</v>
      </c>
      <c r="AN86" s="5" t="s">
        <v>121</v>
      </c>
      <c r="AO86" s="5" t="s">
        <v>121</v>
      </c>
      <c r="AP86" s="5" t="s">
        <v>121</v>
      </c>
      <c r="AQ86" s="5" t="s">
        <v>121</v>
      </c>
      <c r="AR86" s="5" t="s">
        <v>121</v>
      </c>
      <c r="AS86" s="5" t="s">
        <v>121</v>
      </c>
      <c r="AT86" s="5" t="s">
        <v>121</v>
      </c>
      <c r="AU86" s="5" t="s">
        <v>121</v>
      </c>
      <c r="AV86" s="5" t="s">
        <v>121</v>
      </c>
      <c r="AW86" s="5" t="s">
        <v>121</v>
      </c>
      <c r="AX86" s="5" t="s">
        <v>121</v>
      </c>
      <c r="AY86" s="5" t="s">
        <v>121</v>
      </c>
      <c r="AZ86" s="5" t="s">
        <v>121</v>
      </c>
      <c r="BA86" s="5" t="s">
        <v>121</v>
      </c>
      <c r="BB86" s="5" t="s">
        <v>3510</v>
      </c>
      <c r="BC86" s="5" t="s">
        <v>121</v>
      </c>
      <c r="BD86" s="5" t="s">
        <v>121</v>
      </c>
      <c r="BE86" s="5" t="s">
        <v>121</v>
      </c>
      <c r="BF86" s="5" t="s">
        <v>121</v>
      </c>
      <c r="BG86" s="5" t="s">
        <v>121</v>
      </c>
      <c r="BH86" s="5" t="s">
        <v>12815</v>
      </c>
      <c r="BI86" s="5" t="s">
        <v>121</v>
      </c>
      <c r="BJ86" s="5" t="s">
        <v>121</v>
      </c>
      <c r="BK86" s="5" t="s">
        <v>121</v>
      </c>
      <c r="BL86" s="5" t="s">
        <v>121</v>
      </c>
      <c r="BM86" s="5" t="s">
        <v>121</v>
      </c>
      <c r="BN86" s="5" t="s">
        <v>121</v>
      </c>
      <c r="BO86" s="5" t="s">
        <v>121</v>
      </c>
      <c r="BP86" s="5" t="s">
        <v>121</v>
      </c>
      <c r="BQ86" s="5" t="s">
        <v>121</v>
      </c>
      <c r="BR86" s="5" t="s">
        <v>121</v>
      </c>
      <c r="BS86" s="5" t="s">
        <v>121</v>
      </c>
      <c r="BT86" s="5" t="s">
        <v>121</v>
      </c>
      <c r="BU86" s="5" t="s">
        <v>121</v>
      </c>
      <c r="BV86" s="5" t="s">
        <v>3510</v>
      </c>
      <c r="BW86" s="5" t="s">
        <v>3510</v>
      </c>
      <c r="BX86" s="5" t="s">
        <v>3510</v>
      </c>
      <c r="BY86" s="5" t="s">
        <v>121</v>
      </c>
      <c r="BZ86" s="5" t="s">
        <v>121</v>
      </c>
      <c r="CA86" s="5" t="s">
        <v>121</v>
      </c>
      <c r="CB86" s="5" t="s">
        <v>121</v>
      </c>
      <c r="CC86" s="5" t="s">
        <v>665</v>
      </c>
      <c r="CD86" s="5" t="s">
        <v>121</v>
      </c>
      <c r="CE86" s="5" t="s">
        <v>121</v>
      </c>
      <c r="CF86" s="5" t="s">
        <v>11958</v>
      </c>
      <c r="CG86" s="5" t="s">
        <v>121</v>
      </c>
      <c r="CH86" s="5" t="s">
        <v>121</v>
      </c>
      <c r="CI86" s="5" t="s">
        <v>11972</v>
      </c>
      <c r="CJ86" s="5" t="s">
        <v>124</v>
      </c>
      <c r="CK86" s="5" t="s">
        <v>241</v>
      </c>
      <c r="CL86" s="5" t="s">
        <v>3510</v>
      </c>
      <c r="CM86" s="5" t="s">
        <v>124</v>
      </c>
      <c r="CN86" s="5" t="s">
        <v>121</v>
      </c>
      <c r="CO86" s="5" t="s">
        <v>121</v>
      </c>
      <c r="CP86" s="5" t="s">
        <v>3510</v>
      </c>
      <c r="CQ86" s="5" t="s">
        <v>997</v>
      </c>
      <c r="CR86" s="5" t="s">
        <v>11960</v>
      </c>
      <c r="CS86" s="5" t="s">
        <v>3510</v>
      </c>
      <c r="CT86" s="5" t="s">
        <v>3510</v>
      </c>
      <c r="CU86" s="5" t="s">
        <v>3510</v>
      </c>
      <c r="CV86" s="5" t="s">
        <v>11952</v>
      </c>
      <c r="CW86" s="5" t="s">
        <v>11952</v>
      </c>
      <c r="CX86" s="5" t="s">
        <v>12673</v>
      </c>
      <c r="CY86" s="5" t="s">
        <v>13071</v>
      </c>
      <c r="CZ86" s="5" t="s">
        <v>3510</v>
      </c>
      <c r="DA86" s="5" t="s">
        <v>11952</v>
      </c>
      <c r="DB86" s="5" t="s">
        <v>11963</v>
      </c>
      <c r="DC86" s="5" t="s">
        <v>11963</v>
      </c>
      <c r="DD86" s="5" t="s">
        <v>11963</v>
      </c>
      <c r="DE86" s="5" t="s">
        <v>11963</v>
      </c>
      <c r="DF86" s="5" t="s">
        <v>3510</v>
      </c>
      <c r="DG86" s="5" t="s">
        <v>11964</v>
      </c>
      <c r="DH86" s="5" t="s">
        <v>13072</v>
      </c>
      <c r="DI86" s="5" t="s">
        <v>11966</v>
      </c>
      <c r="DJ86" s="5" t="s">
        <v>11994</v>
      </c>
      <c r="DK86" s="5" t="s">
        <v>12201</v>
      </c>
      <c r="DL86" s="5">
        <v>5</v>
      </c>
      <c r="DM86" s="5">
        <v>1</v>
      </c>
      <c r="DN86" s="5">
        <v>1.2</v>
      </c>
      <c r="DO86" s="5">
        <v>1</v>
      </c>
      <c r="DP86" s="5">
        <v>1.5</v>
      </c>
      <c r="DQ86" s="5">
        <v>1.5</v>
      </c>
      <c r="DR86" s="5">
        <v>0</v>
      </c>
      <c r="DS86" s="5">
        <v>36.6</v>
      </c>
      <c r="DT86" s="5" t="s">
        <v>12202</v>
      </c>
      <c r="DU86" s="5" t="s">
        <v>12203</v>
      </c>
      <c r="DV86" s="5" t="s">
        <v>11970</v>
      </c>
      <c r="DW86" s="5"/>
      <c r="DX86" s="5">
        <v>6</v>
      </c>
      <c r="DY86" s="5"/>
      <c r="DZ86" s="5">
        <v>100</v>
      </c>
      <c r="EA86" s="5"/>
      <c r="EB86" s="5">
        <v>0.06</v>
      </c>
      <c r="EC86" s="5"/>
      <c r="ED86" s="5" t="s">
        <v>11971</v>
      </c>
      <c r="EE86" s="5"/>
      <c r="EF86" s="5" t="s">
        <v>11997</v>
      </c>
      <c r="EG86" s="5"/>
      <c r="EH86" s="5" t="s">
        <v>11997</v>
      </c>
      <c r="EI86" s="5"/>
      <c r="EJ86" s="5" t="s">
        <v>11997</v>
      </c>
      <c r="EK86" s="5"/>
      <c r="EL86" s="5" t="s">
        <v>11997</v>
      </c>
      <c r="EM86" s="5"/>
      <c r="EN86" s="5" t="s">
        <v>11997</v>
      </c>
      <c r="EO86" s="5"/>
      <c r="EP86" s="5" t="s">
        <v>11998</v>
      </c>
      <c r="EQ86" s="5"/>
      <c r="ER86" s="5" t="s">
        <v>11997</v>
      </c>
      <c r="ES86" s="5"/>
      <c r="ET86" s="5" t="s">
        <v>11972</v>
      </c>
      <c r="EU86" s="5"/>
      <c r="EV86" s="5"/>
      <c r="EW86" s="5"/>
      <c r="EX86" s="5"/>
      <c r="EY86" s="5" t="s">
        <v>5577</v>
      </c>
      <c r="EZ86" s="5"/>
      <c r="FA86" s="5" t="s">
        <v>998</v>
      </c>
      <c r="FB86" s="5"/>
    </row>
    <row r="87" spans="1:158" ht="102">
      <c r="A87" s="5" t="s">
        <v>1000</v>
      </c>
      <c r="B87" s="5" t="s">
        <v>1001</v>
      </c>
      <c r="C87" s="5" t="s">
        <v>11952</v>
      </c>
      <c r="D87" s="5" t="s">
        <v>949</v>
      </c>
      <c r="E87" s="5" t="s">
        <v>11953</v>
      </c>
      <c r="F87" s="5" t="s">
        <v>11954</v>
      </c>
      <c r="G87" s="5" t="s">
        <v>11955</v>
      </c>
      <c r="H87" s="5" t="s">
        <v>11235</v>
      </c>
      <c r="I87" s="5" t="s">
        <v>562</v>
      </c>
      <c r="J87" s="5" t="s">
        <v>3510</v>
      </c>
      <c r="K87" s="5" t="s">
        <v>11956</v>
      </c>
      <c r="L87" s="5" t="s">
        <v>1007</v>
      </c>
      <c r="M87" s="5" t="s">
        <v>11952</v>
      </c>
      <c r="N87" s="5" t="s">
        <v>11952</v>
      </c>
      <c r="O87" s="5" t="s">
        <v>1007</v>
      </c>
      <c r="P87" s="5" t="s">
        <v>11952</v>
      </c>
      <c r="Q87" s="5" t="s">
        <v>11952</v>
      </c>
      <c r="R87" s="5" t="s">
        <v>11952</v>
      </c>
      <c r="S87" s="5" t="s">
        <v>11952</v>
      </c>
      <c r="T87" s="5" t="s">
        <v>13073</v>
      </c>
      <c r="U87" s="5" t="s">
        <v>3510</v>
      </c>
      <c r="V87" s="5" t="s">
        <v>121</v>
      </c>
      <c r="W87" s="5" t="s">
        <v>121</v>
      </c>
      <c r="X87" s="5" t="s">
        <v>121</v>
      </c>
      <c r="Y87" s="5" t="s">
        <v>121</v>
      </c>
      <c r="Z87" s="5" t="s">
        <v>11952</v>
      </c>
      <c r="AA87" s="5" t="s">
        <v>11952</v>
      </c>
      <c r="AB87" s="5" t="s">
        <v>121</v>
      </c>
      <c r="AC87" s="5" t="s">
        <v>121</v>
      </c>
      <c r="AD87" s="5" t="s">
        <v>121</v>
      </c>
      <c r="AE87" s="5" t="s">
        <v>121</v>
      </c>
      <c r="AF87" s="5" t="s">
        <v>121</v>
      </c>
      <c r="AG87" s="5" t="s">
        <v>121</v>
      </c>
      <c r="AH87" s="5" t="s">
        <v>121</v>
      </c>
      <c r="AI87" s="5" t="s">
        <v>121</v>
      </c>
      <c r="AJ87" s="5" t="s">
        <v>121</v>
      </c>
      <c r="AK87" s="5" t="s">
        <v>121</v>
      </c>
      <c r="AL87" s="5" t="s">
        <v>121</v>
      </c>
      <c r="AM87" s="5" t="s">
        <v>121</v>
      </c>
      <c r="AN87" s="5" t="s">
        <v>121</v>
      </c>
      <c r="AO87" s="5" t="s">
        <v>121</v>
      </c>
      <c r="AP87" s="5" t="s">
        <v>13074</v>
      </c>
      <c r="AQ87" s="5" t="s">
        <v>121</v>
      </c>
      <c r="AR87" s="5" t="s">
        <v>13075</v>
      </c>
      <c r="AS87" s="5" t="s">
        <v>1005</v>
      </c>
      <c r="AT87" s="5" t="s">
        <v>121</v>
      </c>
      <c r="AU87" s="5" t="s">
        <v>1002</v>
      </c>
      <c r="AV87" s="5" t="s">
        <v>121</v>
      </c>
      <c r="AW87" s="5" t="s">
        <v>121</v>
      </c>
      <c r="AX87" s="5" t="s">
        <v>121</v>
      </c>
      <c r="AY87" s="5" t="s">
        <v>121</v>
      </c>
      <c r="AZ87" s="5" t="s">
        <v>2854</v>
      </c>
      <c r="BA87" s="5" t="s">
        <v>121</v>
      </c>
      <c r="BB87" s="5" t="s">
        <v>3510</v>
      </c>
      <c r="BC87" s="5" t="s">
        <v>121</v>
      </c>
      <c r="BD87" s="5" t="s">
        <v>121</v>
      </c>
      <c r="BE87" s="5" t="s">
        <v>121</v>
      </c>
      <c r="BF87" s="5" t="s">
        <v>121</v>
      </c>
      <c r="BG87" s="5" t="s">
        <v>121</v>
      </c>
      <c r="BH87" s="5" t="s">
        <v>13076</v>
      </c>
      <c r="BI87" s="5" t="s">
        <v>121</v>
      </c>
      <c r="BJ87" s="5" t="s">
        <v>1003</v>
      </c>
      <c r="BK87" s="5" t="s">
        <v>121</v>
      </c>
      <c r="BL87" s="5" t="s">
        <v>332</v>
      </c>
      <c r="BM87" s="5" t="s">
        <v>332</v>
      </c>
      <c r="BN87" s="5" t="s">
        <v>1004</v>
      </c>
      <c r="BO87" s="5" t="s">
        <v>121</v>
      </c>
      <c r="BP87" s="5" t="s">
        <v>121</v>
      </c>
      <c r="BQ87" s="5" t="s">
        <v>2854</v>
      </c>
      <c r="BR87" s="5" t="s">
        <v>121</v>
      </c>
      <c r="BS87" s="5" t="s">
        <v>121</v>
      </c>
      <c r="BT87" s="5" t="s">
        <v>121</v>
      </c>
      <c r="BU87" s="5" t="s">
        <v>121</v>
      </c>
      <c r="BV87" s="5" t="s">
        <v>3510</v>
      </c>
      <c r="BW87" s="5" t="s">
        <v>3510</v>
      </c>
      <c r="BX87" s="5" t="s">
        <v>3510</v>
      </c>
      <c r="BY87" s="5" t="s">
        <v>12520</v>
      </c>
      <c r="BZ87" s="5" t="s">
        <v>13077</v>
      </c>
      <c r="CA87" s="5" t="s">
        <v>121</v>
      </c>
      <c r="CB87" s="5" t="s">
        <v>121</v>
      </c>
      <c r="CC87" s="5" t="s">
        <v>665</v>
      </c>
      <c r="CD87" s="5" t="s">
        <v>121</v>
      </c>
      <c r="CE87" s="5" t="s">
        <v>121</v>
      </c>
      <c r="CF87" s="5" t="s">
        <v>11958</v>
      </c>
      <c r="CG87" s="5" t="s">
        <v>121</v>
      </c>
      <c r="CH87" s="5" t="s">
        <v>121</v>
      </c>
      <c r="CI87" s="5" t="s">
        <v>12034</v>
      </c>
      <c r="CJ87" s="5" t="s">
        <v>124</v>
      </c>
      <c r="CK87" s="5" t="s">
        <v>241</v>
      </c>
      <c r="CL87" s="5" t="s">
        <v>3510</v>
      </c>
      <c r="CM87" s="5" t="s">
        <v>124</v>
      </c>
      <c r="CN87" s="5" t="s">
        <v>121</v>
      </c>
      <c r="CO87" s="5" t="s">
        <v>121</v>
      </c>
      <c r="CP87" s="5" t="s">
        <v>3510</v>
      </c>
      <c r="CQ87" s="5" t="s">
        <v>1006</v>
      </c>
      <c r="CR87" s="5" t="s">
        <v>11960</v>
      </c>
      <c r="CS87" s="5" t="s">
        <v>3510</v>
      </c>
      <c r="CT87" s="5" t="s">
        <v>3510</v>
      </c>
      <c r="CU87" s="5" t="s">
        <v>3510</v>
      </c>
      <c r="CV87" s="5" t="s">
        <v>11952</v>
      </c>
      <c r="CW87" s="5" t="s">
        <v>11952</v>
      </c>
      <c r="CX87" s="5" t="s">
        <v>12673</v>
      </c>
      <c r="CY87" s="5" t="s">
        <v>13078</v>
      </c>
      <c r="CZ87" s="5" t="s">
        <v>3510</v>
      </c>
      <c r="DA87" s="5" t="s">
        <v>11952</v>
      </c>
      <c r="DB87" s="5" t="s">
        <v>11963</v>
      </c>
      <c r="DC87" s="5" t="s">
        <v>11963</v>
      </c>
      <c r="DD87" s="5" t="s">
        <v>11963</v>
      </c>
      <c r="DE87" s="5" t="s">
        <v>11963</v>
      </c>
      <c r="DF87" s="5" t="s">
        <v>3510</v>
      </c>
      <c r="DG87" s="5" t="s">
        <v>11964</v>
      </c>
      <c r="DH87" s="5" t="s">
        <v>13079</v>
      </c>
      <c r="DI87" s="5" t="s">
        <v>11966</v>
      </c>
      <c r="DJ87" s="5" t="s">
        <v>11966</v>
      </c>
      <c r="DK87" s="5" t="s">
        <v>11967</v>
      </c>
      <c r="DL87" s="5">
        <v>5</v>
      </c>
      <c r="DM87" s="5">
        <v>3</v>
      </c>
      <c r="DN87" s="5">
        <v>2.5</v>
      </c>
      <c r="DO87" s="5">
        <v>2</v>
      </c>
      <c r="DP87" s="5">
        <v>4</v>
      </c>
      <c r="DQ87" s="5">
        <v>1</v>
      </c>
      <c r="DR87" s="5">
        <v>0</v>
      </c>
      <c r="DS87" s="5">
        <v>55.5</v>
      </c>
      <c r="DT87" s="5" t="s">
        <v>11968</v>
      </c>
      <c r="DU87" s="5" t="s">
        <v>11969</v>
      </c>
      <c r="DV87" s="5" t="s">
        <v>11970</v>
      </c>
      <c r="DW87" s="5"/>
      <c r="DX87" s="5">
        <v>27</v>
      </c>
      <c r="DY87" s="5"/>
      <c r="DZ87" s="5">
        <v>100</v>
      </c>
      <c r="EA87" s="5"/>
      <c r="EB87" s="5">
        <v>0.27</v>
      </c>
      <c r="EC87" s="5"/>
      <c r="ED87" s="5" t="s">
        <v>11971</v>
      </c>
      <c r="EE87" s="5"/>
      <c r="EF87" s="5" t="s">
        <v>11997</v>
      </c>
      <c r="EG87" s="5"/>
      <c r="EH87" s="5" t="s">
        <v>11997</v>
      </c>
      <c r="EI87" s="5"/>
      <c r="EJ87" s="5" t="s">
        <v>11997</v>
      </c>
      <c r="EK87" s="5"/>
      <c r="EL87" s="5" t="s">
        <v>11997</v>
      </c>
      <c r="EM87" s="5"/>
      <c r="EN87" s="5" t="s">
        <v>11997</v>
      </c>
      <c r="EO87" s="5"/>
      <c r="EP87" s="5" t="s">
        <v>11998</v>
      </c>
      <c r="EQ87" s="5"/>
      <c r="ER87" s="5" t="s">
        <v>11997</v>
      </c>
      <c r="ES87" s="5"/>
      <c r="ET87" s="5" t="s">
        <v>11972</v>
      </c>
      <c r="EU87" s="5"/>
      <c r="EV87" s="5"/>
      <c r="EW87" s="5"/>
      <c r="EX87" s="5"/>
      <c r="EY87" s="5" t="s">
        <v>5602</v>
      </c>
      <c r="EZ87" s="5"/>
      <c r="FA87" s="5" t="s">
        <v>1007</v>
      </c>
      <c r="FB87" s="5"/>
    </row>
    <row r="88" spans="1:158" ht="165.75">
      <c r="A88" s="5" t="s">
        <v>1009</v>
      </c>
      <c r="B88" s="5" t="s">
        <v>1010</v>
      </c>
      <c r="C88" s="5" t="s">
        <v>13080</v>
      </c>
      <c r="D88" s="5" t="s">
        <v>556</v>
      </c>
      <c r="E88" s="5" t="s">
        <v>12011</v>
      </c>
      <c r="F88" s="5" t="s">
        <v>11994</v>
      </c>
      <c r="G88" s="5" t="s">
        <v>13081</v>
      </c>
      <c r="H88" s="5" t="s">
        <v>12530</v>
      </c>
      <c r="I88" s="5" t="s">
        <v>562</v>
      </c>
      <c r="J88" s="5" t="s">
        <v>3510</v>
      </c>
      <c r="K88" s="5" t="s">
        <v>12702</v>
      </c>
      <c r="L88" s="5" t="s">
        <v>1018</v>
      </c>
      <c r="M88" s="5" t="s">
        <v>11952</v>
      </c>
      <c r="N88" s="5" t="s">
        <v>11952</v>
      </c>
      <c r="O88" s="5" t="s">
        <v>1018</v>
      </c>
      <c r="P88" s="5" t="s">
        <v>11952</v>
      </c>
      <c r="Q88" s="5" t="s">
        <v>11952</v>
      </c>
      <c r="R88" s="5" t="s">
        <v>11952</v>
      </c>
      <c r="S88" s="5" t="s">
        <v>11952</v>
      </c>
      <c r="T88" s="5" t="s">
        <v>13082</v>
      </c>
      <c r="U88" s="5" t="s">
        <v>3510</v>
      </c>
      <c r="V88" s="5" t="s">
        <v>121</v>
      </c>
      <c r="W88" s="5" t="s">
        <v>121</v>
      </c>
      <c r="X88" s="5" t="s">
        <v>121</v>
      </c>
      <c r="Y88" s="5" t="s">
        <v>121</v>
      </c>
      <c r="Z88" s="5" t="s">
        <v>11952</v>
      </c>
      <c r="AA88" s="5" t="s">
        <v>11952</v>
      </c>
      <c r="AB88" s="5" t="s">
        <v>155</v>
      </c>
      <c r="AC88" s="5" t="s">
        <v>1015</v>
      </c>
      <c r="AD88" s="5" t="s">
        <v>121</v>
      </c>
      <c r="AE88" s="5" t="s">
        <v>121</v>
      </c>
      <c r="AF88" s="5" t="s">
        <v>1015</v>
      </c>
      <c r="AG88" s="5" t="s">
        <v>121</v>
      </c>
      <c r="AH88" s="5" t="s">
        <v>121</v>
      </c>
      <c r="AI88" s="5" t="s">
        <v>121</v>
      </c>
      <c r="AJ88" s="5" t="s">
        <v>121</v>
      </c>
      <c r="AK88" s="5" t="s">
        <v>121</v>
      </c>
      <c r="AL88" s="5" t="s">
        <v>121</v>
      </c>
      <c r="AM88" s="5" t="s">
        <v>121</v>
      </c>
      <c r="AN88" s="5" t="s">
        <v>13083</v>
      </c>
      <c r="AO88" s="5" t="s">
        <v>121</v>
      </c>
      <c r="AP88" s="5" t="s">
        <v>12677</v>
      </c>
      <c r="AQ88" s="5" t="s">
        <v>121</v>
      </c>
      <c r="AR88" s="5" t="s">
        <v>13084</v>
      </c>
      <c r="AS88" s="5" t="s">
        <v>1016</v>
      </c>
      <c r="AT88" s="5" t="s">
        <v>121</v>
      </c>
      <c r="AU88" s="5" t="s">
        <v>1012</v>
      </c>
      <c r="AV88" s="5" t="s">
        <v>121</v>
      </c>
      <c r="AW88" s="5" t="s">
        <v>1012</v>
      </c>
      <c r="AX88" s="5" t="s">
        <v>121</v>
      </c>
      <c r="AY88" s="5" t="s">
        <v>121</v>
      </c>
      <c r="AZ88" s="5" t="s">
        <v>121</v>
      </c>
      <c r="BA88" s="5" t="s">
        <v>121</v>
      </c>
      <c r="BB88" s="5" t="s">
        <v>3510</v>
      </c>
      <c r="BC88" s="5" t="s">
        <v>121</v>
      </c>
      <c r="BD88" s="5" t="s">
        <v>121</v>
      </c>
      <c r="BE88" s="5" t="s">
        <v>121</v>
      </c>
      <c r="BF88" s="5" t="s">
        <v>13085</v>
      </c>
      <c r="BG88" s="5" t="s">
        <v>121</v>
      </c>
      <c r="BH88" s="5" t="s">
        <v>13086</v>
      </c>
      <c r="BI88" s="5" t="s">
        <v>121</v>
      </c>
      <c r="BJ88" s="5" t="s">
        <v>1013</v>
      </c>
      <c r="BK88" s="5" t="s">
        <v>121</v>
      </c>
      <c r="BL88" s="5" t="s">
        <v>1693</v>
      </c>
      <c r="BM88" s="5" t="s">
        <v>1693</v>
      </c>
      <c r="BN88" s="5" t="s">
        <v>1014</v>
      </c>
      <c r="BO88" s="5" t="s">
        <v>121</v>
      </c>
      <c r="BP88" s="5" t="s">
        <v>2854</v>
      </c>
      <c r="BQ88" s="5" t="s">
        <v>121</v>
      </c>
      <c r="BR88" s="5" t="s">
        <v>121</v>
      </c>
      <c r="BS88" s="5" t="s">
        <v>121</v>
      </c>
      <c r="BT88" s="5" t="s">
        <v>121</v>
      </c>
      <c r="BU88" s="5" t="s">
        <v>2854</v>
      </c>
      <c r="BV88" s="5" t="s">
        <v>3510</v>
      </c>
      <c r="BW88" s="5" t="s">
        <v>3510</v>
      </c>
      <c r="BX88" s="5" t="s">
        <v>3510</v>
      </c>
      <c r="BY88" s="5" t="s">
        <v>121</v>
      </c>
      <c r="BZ88" s="5" t="s">
        <v>121</v>
      </c>
      <c r="CA88" s="5" t="s">
        <v>121</v>
      </c>
      <c r="CB88" s="5" t="s">
        <v>121</v>
      </c>
      <c r="CC88" s="5" t="s">
        <v>1011</v>
      </c>
      <c r="CD88" s="5" t="s">
        <v>121</v>
      </c>
      <c r="CE88" s="5" t="s">
        <v>121</v>
      </c>
      <c r="CF88" s="5" t="s">
        <v>11958</v>
      </c>
      <c r="CG88" s="5" t="s">
        <v>121</v>
      </c>
      <c r="CH88" s="5" t="s">
        <v>121</v>
      </c>
      <c r="CI88" s="5" t="s">
        <v>12034</v>
      </c>
      <c r="CJ88" s="5" t="s">
        <v>124</v>
      </c>
      <c r="CK88" s="5" t="s">
        <v>241</v>
      </c>
      <c r="CL88" s="5" t="s">
        <v>3510</v>
      </c>
      <c r="CM88" s="5" t="s">
        <v>124</v>
      </c>
      <c r="CN88" s="5" t="s">
        <v>121</v>
      </c>
      <c r="CO88" s="5" t="s">
        <v>121</v>
      </c>
      <c r="CP88" s="5" t="s">
        <v>3510</v>
      </c>
      <c r="CQ88" s="5" t="s">
        <v>1017</v>
      </c>
      <c r="CR88" s="5" t="s">
        <v>11960</v>
      </c>
      <c r="CS88" s="5" t="s">
        <v>3510</v>
      </c>
      <c r="CT88" s="5" t="s">
        <v>3510</v>
      </c>
      <c r="CU88" s="5" t="s">
        <v>3510</v>
      </c>
      <c r="CV88" s="5" t="s">
        <v>11952</v>
      </c>
      <c r="CW88" s="5" t="s">
        <v>11952</v>
      </c>
      <c r="CX88" s="5" t="s">
        <v>12711</v>
      </c>
      <c r="CY88" s="5" t="s">
        <v>13087</v>
      </c>
      <c r="CZ88" s="5" t="s">
        <v>11989</v>
      </c>
      <c r="DA88" s="5" t="s">
        <v>11989</v>
      </c>
      <c r="DB88" s="5" t="s">
        <v>13088</v>
      </c>
      <c r="DC88" s="5" t="s">
        <v>13089</v>
      </c>
      <c r="DD88" s="5" t="s">
        <v>11963</v>
      </c>
      <c r="DE88" s="5" t="s">
        <v>13090</v>
      </c>
      <c r="DF88" s="5" t="s">
        <v>3510</v>
      </c>
      <c r="DG88" s="5" t="s">
        <v>13091</v>
      </c>
      <c r="DH88" s="5" t="s">
        <v>13092</v>
      </c>
      <c r="DI88" s="5" t="s">
        <v>11975</v>
      </c>
      <c r="DJ88" s="5" t="s">
        <v>11966</v>
      </c>
      <c r="DK88" s="5" t="s">
        <v>12176</v>
      </c>
      <c r="DL88" s="5">
        <v>5</v>
      </c>
      <c r="DM88" s="5">
        <v>2</v>
      </c>
      <c r="DN88" s="5">
        <v>2.5</v>
      </c>
      <c r="DO88" s="5">
        <v>3</v>
      </c>
      <c r="DP88" s="5">
        <v>3.5</v>
      </c>
      <c r="DQ88" s="5">
        <v>1</v>
      </c>
      <c r="DR88" s="5">
        <v>1.5</v>
      </c>
      <c r="DS88" s="5">
        <v>56.5</v>
      </c>
      <c r="DT88" s="5" t="s">
        <v>11968</v>
      </c>
      <c r="DU88" s="5" t="s">
        <v>12116</v>
      </c>
      <c r="DV88" s="5" t="s">
        <v>11970</v>
      </c>
      <c r="DW88" s="5"/>
      <c r="DX88" s="5">
        <v>24</v>
      </c>
      <c r="DY88" s="5"/>
      <c r="DZ88" s="5">
        <v>100</v>
      </c>
      <c r="EA88" s="5"/>
      <c r="EB88" s="5">
        <v>0.24</v>
      </c>
      <c r="EC88" s="5"/>
      <c r="ED88" s="5" t="s">
        <v>11971</v>
      </c>
      <c r="EE88" s="5"/>
      <c r="EF88" s="5" t="s">
        <v>11997</v>
      </c>
      <c r="EG88" s="5"/>
      <c r="EH88" s="5" t="s">
        <v>11997</v>
      </c>
      <c r="EI88" s="5"/>
      <c r="EJ88" s="5" t="s">
        <v>11997</v>
      </c>
      <c r="EK88" s="5"/>
      <c r="EL88" s="5" t="s">
        <v>11997</v>
      </c>
      <c r="EM88" s="5"/>
      <c r="EN88" s="5" t="s">
        <v>11997</v>
      </c>
      <c r="EO88" s="5"/>
      <c r="EP88" s="5" t="s">
        <v>11998</v>
      </c>
      <c r="EQ88" s="5"/>
      <c r="ER88" s="5" t="s">
        <v>11997</v>
      </c>
      <c r="ES88" s="5"/>
      <c r="ET88" s="5" t="s">
        <v>11972</v>
      </c>
      <c r="EU88" s="5"/>
      <c r="EV88" s="5"/>
      <c r="EW88" s="5"/>
      <c r="EX88" s="5"/>
      <c r="EY88" s="5" t="s">
        <v>5634</v>
      </c>
      <c r="EZ88" s="5"/>
      <c r="FA88" s="5" t="s">
        <v>1018</v>
      </c>
      <c r="FB88" s="5"/>
    </row>
    <row r="89" spans="1:158" ht="409.5">
      <c r="A89" s="5" t="s">
        <v>18</v>
      </c>
      <c r="B89" s="5" t="s">
        <v>1020</v>
      </c>
      <c r="C89" s="5" t="s">
        <v>13093</v>
      </c>
      <c r="D89" s="5" t="s">
        <v>13094</v>
      </c>
      <c r="E89" s="5" t="s">
        <v>12011</v>
      </c>
      <c r="F89" s="5" t="s">
        <v>11994</v>
      </c>
      <c r="G89" s="5" t="s">
        <v>13095</v>
      </c>
      <c r="H89" s="5" t="s">
        <v>11977</v>
      </c>
      <c r="I89" s="5" t="s">
        <v>789</v>
      </c>
      <c r="J89" s="5" t="s">
        <v>2854</v>
      </c>
      <c r="K89" s="5" t="s">
        <v>13096</v>
      </c>
      <c r="L89" s="5" t="s">
        <v>13097</v>
      </c>
      <c r="M89" s="5" t="s">
        <v>11952</v>
      </c>
      <c r="N89" s="5" t="s">
        <v>11952</v>
      </c>
      <c r="O89" s="5" t="s">
        <v>13097</v>
      </c>
      <c r="P89" s="5" t="s">
        <v>11952</v>
      </c>
      <c r="Q89" s="5" t="s">
        <v>11952</v>
      </c>
      <c r="R89" s="5" t="s">
        <v>13098</v>
      </c>
      <c r="S89" s="5" t="s">
        <v>11952</v>
      </c>
      <c r="T89" s="5" t="s">
        <v>13099</v>
      </c>
      <c r="U89" s="5" t="s">
        <v>2854</v>
      </c>
      <c r="V89" s="5" t="s">
        <v>13100</v>
      </c>
      <c r="W89" s="5" t="s">
        <v>13101</v>
      </c>
      <c r="X89" s="5" t="s">
        <v>13102</v>
      </c>
      <c r="Y89" s="5" t="s">
        <v>121</v>
      </c>
      <c r="Z89" s="5" t="s">
        <v>2854</v>
      </c>
      <c r="AA89" s="5" t="s">
        <v>11981</v>
      </c>
      <c r="AB89" s="5" t="s">
        <v>155</v>
      </c>
      <c r="AC89" s="5" t="s">
        <v>1027</v>
      </c>
      <c r="AD89" s="5" t="s">
        <v>121</v>
      </c>
      <c r="AE89" s="5" t="s">
        <v>121</v>
      </c>
      <c r="AF89" s="5" t="s">
        <v>1027</v>
      </c>
      <c r="AG89" s="5" t="s">
        <v>13103</v>
      </c>
      <c r="AH89" s="5" t="s">
        <v>121</v>
      </c>
      <c r="AI89" s="5" t="s">
        <v>121</v>
      </c>
      <c r="AJ89" s="5" t="s">
        <v>121</v>
      </c>
      <c r="AK89" s="5" t="s">
        <v>121</v>
      </c>
      <c r="AL89" s="5" t="s">
        <v>121</v>
      </c>
      <c r="AM89" s="5" t="s">
        <v>121</v>
      </c>
      <c r="AN89" s="5" t="s">
        <v>13104</v>
      </c>
      <c r="AO89" s="5" t="s">
        <v>121</v>
      </c>
      <c r="AP89" s="5" t="s">
        <v>1350</v>
      </c>
      <c r="AQ89" s="5" t="s">
        <v>121</v>
      </c>
      <c r="AR89" s="5" t="s">
        <v>13105</v>
      </c>
      <c r="AS89" s="5" t="s">
        <v>1028</v>
      </c>
      <c r="AT89" s="5" t="s">
        <v>121</v>
      </c>
      <c r="AU89" s="5" t="s">
        <v>1022</v>
      </c>
      <c r="AV89" s="5" t="s">
        <v>121</v>
      </c>
      <c r="AW89" s="5" t="s">
        <v>1022</v>
      </c>
      <c r="AX89" s="5" t="s">
        <v>12063</v>
      </c>
      <c r="AY89" s="5" t="s">
        <v>121</v>
      </c>
      <c r="AZ89" s="5" t="s">
        <v>121</v>
      </c>
      <c r="BA89" s="5" t="s">
        <v>121</v>
      </c>
      <c r="BB89" s="5" t="s">
        <v>3510</v>
      </c>
      <c r="BC89" s="5" t="s">
        <v>3510</v>
      </c>
      <c r="BD89" s="5" t="s">
        <v>121</v>
      </c>
      <c r="BE89" s="5" t="s">
        <v>121</v>
      </c>
      <c r="BF89" s="5" t="s">
        <v>13106</v>
      </c>
      <c r="BG89" s="5" t="s">
        <v>121</v>
      </c>
      <c r="BH89" s="5" t="s">
        <v>13107</v>
      </c>
      <c r="BI89" s="5" t="s">
        <v>121</v>
      </c>
      <c r="BJ89" s="5" t="s">
        <v>1023</v>
      </c>
      <c r="BK89" s="5" t="s">
        <v>121</v>
      </c>
      <c r="BL89" s="5" t="s">
        <v>1693</v>
      </c>
      <c r="BM89" s="5" t="s">
        <v>1693</v>
      </c>
      <c r="BN89" s="5" t="s">
        <v>1024</v>
      </c>
      <c r="BO89" s="5" t="s">
        <v>121</v>
      </c>
      <c r="BP89" s="5" t="s">
        <v>2854</v>
      </c>
      <c r="BQ89" s="5" t="s">
        <v>121</v>
      </c>
      <c r="BR89" s="5" t="s">
        <v>121</v>
      </c>
      <c r="BS89" s="5" t="s">
        <v>121</v>
      </c>
      <c r="BT89" s="5" t="s">
        <v>121</v>
      </c>
      <c r="BU89" s="5" t="s">
        <v>121</v>
      </c>
      <c r="BV89" s="5" t="s">
        <v>3510</v>
      </c>
      <c r="BW89" s="5" t="s">
        <v>3510</v>
      </c>
      <c r="BX89" s="5" t="s">
        <v>3510</v>
      </c>
      <c r="BY89" s="5" t="s">
        <v>13108</v>
      </c>
      <c r="BZ89" s="5" t="s">
        <v>13109</v>
      </c>
      <c r="CA89" s="5" t="s">
        <v>121</v>
      </c>
      <c r="CB89" s="5" t="s">
        <v>121</v>
      </c>
      <c r="CC89" s="5" t="s">
        <v>1021</v>
      </c>
      <c r="CD89" s="5" t="s">
        <v>13110</v>
      </c>
      <c r="CE89" s="5" t="s">
        <v>13110</v>
      </c>
      <c r="CF89" s="5" t="s">
        <v>11958</v>
      </c>
      <c r="CG89" s="5" t="s">
        <v>12801</v>
      </c>
      <c r="CH89" s="5" t="s">
        <v>13111</v>
      </c>
      <c r="CI89" s="5" t="s">
        <v>13112</v>
      </c>
      <c r="CJ89" s="5" t="s">
        <v>1026</v>
      </c>
      <c r="CK89" s="5" t="s">
        <v>1025</v>
      </c>
      <c r="CL89" s="5" t="s">
        <v>2854</v>
      </c>
      <c r="CM89" s="5" t="s">
        <v>1026</v>
      </c>
      <c r="CN89" s="5" t="s">
        <v>121</v>
      </c>
      <c r="CO89" s="5" t="s">
        <v>121</v>
      </c>
      <c r="CP89" s="5" t="s">
        <v>3510</v>
      </c>
      <c r="CQ89" s="5" t="s">
        <v>1029</v>
      </c>
      <c r="CR89" s="5" t="s">
        <v>11960</v>
      </c>
      <c r="CS89" s="5" t="s">
        <v>2854</v>
      </c>
      <c r="CT89" s="5" t="s">
        <v>3510</v>
      </c>
      <c r="CU89" s="5" t="s">
        <v>3510</v>
      </c>
      <c r="CV89" s="5" t="s">
        <v>11952</v>
      </c>
      <c r="CW89" s="5" t="s">
        <v>11952</v>
      </c>
      <c r="CX89" s="5" t="s">
        <v>13113</v>
      </c>
      <c r="CY89" s="5" t="s">
        <v>13114</v>
      </c>
      <c r="CZ89" s="5" t="s">
        <v>11989</v>
      </c>
      <c r="DA89" s="5" t="s">
        <v>11989</v>
      </c>
      <c r="DB89" s="5" t="s">
        <v>13115</v>
      </c>
      <c r="DC89" s="5" t="s">
        <v>13116</v>
      </c>
      <c r="DD89" s="5" t="s">
        <v>11963</v>
      </c>
      <c r="DE89" s="5" t="s">
        <v>13117</v>
      </c>
      <c r="DF89" s="5" t="s">
        <v>2854</v>
      </c>
      <c r="DG89" s="5" t="s">
        <v>13118</v>
      </c>
      <c r="DH89" s="5" t="s">
        <v>13119</v>
      </c>
      <c r="DI89" s="5" t="s">
        <v>11994</v>
      </c>
      <c r="DJ89" s="5" t="s">
        <v>12044</v>
      </c>
      <c r="DK89" s="5" t="s">
        <v>13120</v>
      </c>
      <c r="DL89" s="5">
        <v>4.7</v>
      </c>
      <c r="DM89" s="5">
        <v>3.3</v>
      </c>
      <c r="DN89" s="5">
        <v>4.8</v>
      </c>
      <c r="DO89" s="5">
        <v>5</v>
      </c>
      <c r="DP89" s="5">
        <v>2.7</v>
      </c>
      <c r="DQ89" s="5">
        <v>1</v>
      </c>
      <c r="DR89" s="5">
        <v>0</v>
      </c>
      <c r="DS89" s="5">
        <v>68.8</v>
      </c>
      <c r="DT89" s="5" t="s">
        <v>11968</v>
      </c>
      <c r="DU89" s="5" t="s">
        <v>11996</v>
      </c>
      <c r="DV89" s="5" t="s">
        <v>11970</v>
      </c>
      <c r="DW89" s="5"/>
      <c r="DX89" s="5">
        <v>31</v>
      </c>
      <c r="DY89" s="5"/>
      <c r="DZ89" s="5">
        <v>100</v>
      </c>
      <c r="EA89" s="5"/>
      <c r="EB89" s="5">
        <v>0.31</v>
      </c>
      <c r="EC89" s="5"/>
      <c r="ED89" s="5" t="s">
        <v>11971</v>
      </c>
      <c r="EE89" s="5"/>
      <c r="EF89" s="5" t="s">
        <v>11997</v>
      </c>
      <c r="EG89" s="5"/>
      <c r="EH89" s="5" t="s">
        <v>11997</v>
      </c>
      <c r="EI89" s="5"/>
      <c r="EJ89" s="5" t="s">
        <v>11997</v>
      </c>
      <c r="EK89" s="5"/>
      <c r="EL89" s="5" t="s">
        <v>11997</v>
      </c>
      <c r="EM89" s="5"/>
      <c r="EN89" s="5" t="s">
        <v>11997</v>
      </c>
      <c r="EO89" s="5"/>
      <c r="EP89" s="5" t="s">
        <v>11998</v>
      </c>
      <c r="EQ89" s="5"/>
      <c r="ER89" s="5" t="s">
        <v>11997</v>
      </c>
      <c r="ES89" s="5"/>
      <c r="ET89" s="5" t="s">
        <v>11972</v>
      </c>
      <c r="EU89" s="5"/>
      <c r="EV89" s="5"/>
      <c r="EW89" s="5"/>
      <c r="EX89" s="5"/>
      <c r="EY89" s="5" t="s">
        <v>13121</v>
      </c>
      <c r="EZ89" s="5"/>
      <c r="FA89" s="5" t="s">
        <v>1030</v>
      </c>
      <c r="FB89" s="5"/>
    </row>
    <row r="90" spans="1:158" ht="76.5">
      <c r="A90" s="5" t="s">
        <v>1033</v>
      </c>
      <c r="B90" s="5" t="s">
        <v>1034</v>
      </c>
      <c r="C90" s="5" t="s">
        <v>11952</v>
      </c>
      <c r="D90" s="5" t="s">
        <v>556</v>
      </c>
      <c r="E90" s="5" t="s">
        <v>11953</v>
      </c>
      <c r="F90" s="5" t="s">
        <v>11954</v>
      </c>
      <c r="G90" s="5" t="s">
        <v>11955</v>
      </c>
      <c r="H90" s="5" t="s">
        <v>11235</v>
      </c>
      <c r="I90" s="5" t="s">
        <v>562</v>
      </c>
      <c r="J90" s="5" t="s">
        <v>3510</v>
      </c>
      <c r="K90" s="5" t="s">
        <v>11956</v>
      </c>
      <c r="L90" s="5" t="s">
        <v>1041</v>
      </c>
      <c r="M90" s="5" t="s">
        <v>11952</v>
      </c>
      <c r="N90" s="5" t="s">
        <v>11952</v>
      </c>
      <c r="O90" s="5" t="s">
        <v>1041</v>
      </c>
      <c r="P90" s="5" t="s">
        <v>11952</v>
      </c>
      <c r="Q90" s="5" t="s">
        <v>11952</v>
      </c>
      <c r="R90" s="5" t="s">
        <v>11952</v>
      </c>
      <c r="S90" s="5" t="s">
        <v>11952</v>
      </c>
      <c r="T90" s="5" t="s">
        <v>13122</v>
      </c>
      <c r="U90" s="5" t="s">
        <v>3510</v>
      </c>
      <c r="V90" s="5" t="s">
        <v>121</v>
      </c>
      <c r="W90" s="5" t="s">
        <v>121</v>
      </c>
      <c r="X90" s="5" t="s">
        <v>121</v>
      </c>
      <c r="Y90" s="5" t="s">
        <v>121</v>
      </c>
      <c r="Z90" s="5" t="s">
        <v>11952</v>
      </c>
      <c r="AA90" s="5" t="s">
        <v>11952</v>
      </c>
      <c r="AB90" s="5" t="s">
        <v>155</v>
      </c>
      <c r="AC90" s="5" t="s">
        <v>1038</v>
      </c>
      <c r="AD90" s="5" t="s">
        <v>121</v>
      </c>
      <c r="AE90" s="5" t="s">
        <v>121</v>
      </c>
      <c r="AF90" s="5" t="s">
        <v>1038</v>
      </c>
      <c r="AG90" s="5" t="s">
        <v>13123</v>
      </c>
      <c r="AH90" s="5" t="s">
        <v>121</v>
      </c>
      <c r="AI90" s="5" t="s">
        <v>121</v>
      </c>
      <c r="AJ90" s="5" t="s">
        <v>121</v>
      </c>
      <c r="AK90" s="5" t="s">
        <v>121</v>
      </c>
      <c r="AL90" s="5" t="s">
        <v>121</v>
      </c>
      <c r="AM90" s="5" t="s">
        <v>121</v>
      </c>
      <c r="AN90" s="5" t="s">
        <v>13124</v>
      </c>
      <c r="AO90" s="5" t="s">
        <v>121</v>
      </c>
      <c r="AP90" s="5" t="s">
        <v>13125</v>
      </c>
      <c r="AQ90" s="5" t="s">
        <v>121</v>
      </c>
      <c r="AR90" s="5" t="s">
        <v>13126</v>
      </c>
      <c r="AS90" s="5" t="s">
        <v>1039</v>
      </c>
      <c r="AT90" s="5" t="s">
        <v>121</v>
      </c>
      <c r="AU90" s="5" t="s">
        <v>1036</v>
      </c>
      <c r="AV90" s="5" t="s">
        <v>121</v>
      </c>
      <c r="AW90" s="5" t="s">
        <v>1036</v>
      </c>
      <c r="AX90" s="5" t="s">
        <v>121</v>
      </c>
      <c r="AY90" s="5" t="s">
        <v>121</v>
      </c>
      <c r="AZ90" s="5" t="s">
        <v>121</v>
      </c>
      <c r="BA90" s="5" t="s">
        <v>121</v>
      </c>
      <c r="BB90" s="5" t="s">
        <v>3510</v>
      </c>
      <c r="BC90" s="5" t="s">
        <v>121</v>
      </c>
      <c r="BD90" s="5" t="s">
        <v>121</v>
      </c>
      <c r="BE90" s="5" t="s">
        <v>121</v>
      </c>
      <c r="BF90" s="5" t="s">
        <v>13127</v>
      </c>
      <c r="BG90" s="5" t="s">
        <v>121</v>
      </c>
      <c r="BH90" s="5" t="s">
        <v>13128</v>
      </c>
      <c r="BI90" s="5" t="s">
        <v>121</v>
      </c>
      <c r="BJ90" s="5" t="s">
        <v>1037</v>
      </c>
      <c r="BK90" s="5" t="s">
        <v>121</v>
      </c>
      <c r="BL90" s="5" t="s">
        <v>121</v>
      </c>
      <c r="BM90" s="5" t="s">
        <v>121</v>
      </c>
      <c r="BN90" s="5" t="s">
        <v>121</v>
      </c>
      <c r="BO90" s="5" t="s">
        <v>121</v>
      </c>
      <c r="BP90" s="5" t="s">
        <v>2854</v>
      </c>
      <c r="BQ90" s="5" t="s">
        <v>121</v>
      </c>
      <c r="BR90" s="5" t="s">
        <v>121</v>
      </c>
      <c r="BS90" s="5" t="s">
        <v>121</v>
      </c>
      <c r="BT90" s="5" t="s">
        <v>121</v>
      </c>
      <c r="BU90" s="5" t="s">
        <v>121</v>
      </c>
      <c r="BV90" s="5" t="s">
        <v>3510</v>
      </c>
      <c r="BW90" s="5" t="s">
        <v>3510</v>
      </c>
      <c r="BX90" s="5" t="s">
        <v>3510</v>
      </c>
      <c r="BY90" s="5" t="s">
        <v>121</v>
      </c>
      <c r="BZ90" s="5" t="s">
        <v>121</v>
      </c>
      <c r="CA90" s="5" t="s">
        <v>121</v>
      </c>
      <c r="CB90" s="5" t="s">
        <v>121</v>
      </c>
      <c r="CC90" s="5" t="s">
        <v>1035</v>
      </c>
      <c r="CD90" s="5" t="s">
        <v>121</v>
      </c>
      <c r="CE90" s="5" t="s">
        <v>121</v>
      </c>
      <c r="CF90" s="5" t="s">
        <v>11958</v>
      </c>
      <c r="CG90" s="5" t="s">
        <v>121</v>
      </c>
      <c r="CH90" s="5" t="s">
        <v>121</v>
      </c>
      <c r="CI90" s="5" t="s">
        <v>11959</v>
      </c>
      <c r="CJ90" s="5" t="s">
        <v>124</v>
      </c>
      <c r="CK90" s="5" t="s">
        <v>241</v>
      </c>
      <c r="CL90" s="5" t="s">
        <v>3510</v>
      </c>
      <c r="CM90" s="5" t="s">
        <v>124</v>
      </c>
      <c r="CN90" s="5" t="s">
        <v>121</v>
      </c>
      <c r="CO90" s="5" t="s">
        <v>121</v>
      </c>
      <c r="CP90" s="5" t="s">
        <v>3510</v>
      </c>
      <c r="CQ90" s="5" t="s">
        <v>1040</v>
      </c>
      <c r="CR90" s="5" t="s">
        <v>11960</v>
      </c>
      <c r="CS90" s="5" t="s">
        <v>3510</v>
      </c>
      <c r="CT90" s="5" t="s">
        <v>3510</v>
      </c>
      <c r="CU90" s="5" t="s">
        <v>3510</v>
      </c>
      <c r="CV90" s="5" t="s">
        <v>11952</v>
      </c>
      <c r="CW90" s="5" t="s">
        <v>11952</v>
      </c>
      <c r="CX90" s="5" t="s">
        <v>12673</v>
      </c>
      <c r="CY90" s="5" t="s">
        <v>13129</v>
      </c>
      <c r="CZ90" s="5" t="s">
        <v>3510</v>
      </c>
      <c r="DA90" s="5" t="s">
        <v>11952</v>
      </c>
      <c r="DB90" s="5" t="s">
        <v>11963</v>
      </c>
      <c r="DC90" s="5" t="s">
        <v>11963</v>
      </c>
      <c r="DD90" s="5" t="s">
        <v>11963</v>
      </c>
      <c r="DE90" s="5" t="s">
        <v>11963</v>
      </c>
      <c r="DF90" s="5" t="s">
        <v>3510</v>
      </c>
      <c r="DG90" s="5" t="s">
        <v>11964</v>
      </c>
      <c r="DH90" s="5" t="s">
        <v>13130</v>
      </c>
      <c r="DI90" s="5" t="s">
        <v>11966</v>
      </c>
      <c r="DJ90" s="5" t="s">
        <v>11966</v>
      </c>
      <c r="DK90" s="5" t="s">
        <v>11967</v>
      </c>
      <c r="DL90" s="5">
        <v>5</v>
      </c>
      <c r="DM90" s="5">
        <v>0</v>
      </c>
      <c r="DN90" s="5">
        <v>2.5</v>
      </c>
      <c r="DO90" s="5">
        <v>1</v>
      </c>
      <c r="DP90" s="5">
        <v>2</v>
      </c>
      <c r="DQ90" s="5">
        <v>1</v>
      </c>
      <c r="DR90" s="5">
        <v>0</v>
      </c>
      <c r="DS90" s="5">
        <v>36.5</v>
      </c>
      <c r="DT90" s="5" t="s">
        <v>11968</v>
      </c>
      <c r="DU90" s="5" t="s">
        <v>11969</v>
      </c>
      <c r="DV90" s="5" t="s">
        <v>11970</v>
      </c>
      <c r="DW90" s="5"/>
      <c r="DX90" s="5">
        <v>24</v>
      </c>
      <c r="DY90" s="5"/>
      <c r="DZ90" s="5">
        <v>100</v>
      </c>
      <c r="EA90" s="5"/>
      <c r="EB90" s="5">
        <v>0.24</v>
      </c>
      <c r="EC90" s="5"/>
      <c r="ED90" s="5" t="s">
        <v>11971</v>
      </c>
      <c r="EE90" s="5"/>
      <c r="EF90" s="5" t="s">
        <v>11997</v>
      </c>
      <c r="EG90" s="5"/>
      <c r="EH90" s="5" t="s">
        <v>11997</v>
      </c>
      <c r="EI90" s="5"/>
      <c r="EJ90" s="5" t="s">
        <v>11997</v>
      </c>
      <c r="EK90" s="5"/>
      <c r="EL90" s="5" t="s">
        <v>11997</v>
      </c>
      <c r="EM90" s="5"/>
      <c r="EN90" s="5" t="s">
        <v>11997</v>
      </c>
      <c r="EO90" s="5"/>
      <c r="EP90" s="5" t="s">
        <v>11998</v>
      </c>
      <c r="EQ90" s="5"/>
      <c r="ER90" s="5" t="s">
        <v>11997</v>
      </c>
      <c r="ES90" s="5"/>
      <c r="ET90" s="5" t="s">
        <v>11972</v>
      </c>
      <c r="EU90" s="5"/>
      <c r="EV90" s="5"/>
      <c r="EW90" s="5"/>
      <c r="EX90" s="5"/>
      <c r="EY90" s="5" t="s">
        <v>5706</v>
      </c>
      <c r="EZ90" s="5"/>
      <c r="FA90" s="5" t="s">
        <v>1041</v>
      </c>
      <c r="FB90" s="5"/>
    </row>
    <row r="91" spans="1:158" ht="216.75">
      <c r="A91" s="5" t="s">
        <v>1043</v>
      </c>
      <c r="B91" s="5" t="s">
        <v>1044</v>
      </c>
      <c r="C91" s="5" t="s">
        <v>13131</v>
      </c>
      <c r="D91" s="5" t="s">
        <v>556</v>
      </c>
      <c r="E91" s="5" t="s">
        <v>12011</v>
      </c>
      <c r="F91" s="5" t="s">
        <v>11994</v>
      </c>
      <c r="G91" s="5" t="s">
        <v>13132</v>
      </c>
      <c r="H91" s="5" t="s">
        <v>12973</v>
      </c>
      <c r="I91" s="5" t="s">
        <v>562</v>
      </c>
      <c r="J91" s="5" t="s">
        <v>3510</v>
      </c>
      <c r="K91" s="5" t="s">
        <v>12702</v>
      </c>
      <c r="L91" s="5" t="s">
        <v>1051</v>
      </c>
      <c r="M91" s="5" t="s">
        <v>11952</v>
      </c>
      <c r="N91" s="5" t="s">
        <v>11952</v>
      </c>
      <c r="O91" s="5" t="s">
        <v>1051</v>
      </c>
      <c r="P91" s="5" t="s">
        <v>11952</v>
      </c>
      <c r="Q91" s="5" t="s">
        <v>11952</v>
      </c>
      <c r="R91" s="5" t="s">
        <v>11952</v>
      </c>
      <c r="S91" s="5" t="s">
        <v>11952</v>
      </c>
      <c r="T91" s="5" t="s">
        <v>13133</v>
      </c>
      <c r="U91" s="5" t="s">
        <v>3510</v>
      </c>
      <c r="V91" s="5" t="s">
        <v>121</v>
      </c>
      <c r="W91" s="5" t="s">
        <v>121</v>
      </c>
      <c r="X91" s="5" t="s">
        <v>121</v>
      </c>
      <c r="Y91" s="5" t="s">
        <v>121</v>
      </c>
      <c r="Z91" s="5" t="s">
        <v>11952</v>
      </c>
      <c r="AA91" s="5" t="s">
        <v>11952</v>
      </c>
      <c r="AB91" s="5" t="s">
        <v>155</v>
      </c>
      <c r="AC91" s="5" t="s">
        <v>1048</v>
      </c>
      <c r="AD91" s="5" t="s">
        <v>121</v>
      </c>
      <c r="AE91" s="5" t="s">
        <v>121</v>
      </c>
      <c r="AF91" s="5" t="s">
        <v>1048</v>
      </c>
      <c r="AG91" s="5" t="s">
        <v>121</v>
      </c>
      <c r="AH91" s="5" t="s">
        <v>121</v>
      </c>
      <c r="AI91" s="5" t="s">
        <v>121</v>
      </c>
      <c r="AJ91" s="5" t="s">
        <v>13134</v>
      </c>
      <c r="AK91" s="5" t="s">
        <v>13135</v>
      </c>
      <c r="AL91" s="5" t="s">
        <v>13136</v>
      </c>
      <c r="AM91" s="5" t="s">
        <v>121</v>
      </c>
      <c r="AN91" s="5" t="s">
        <v>13137</v>
      </c>
      <c r="AO91" s="5" t="s">
        <v>121</v>
      </c>
      <c r="AP91" s="5" t="s">
        <v>121</v>
      </c>
      <c r="AQ91" s="5" t="s">
        <v>121</v>
      </c>
      <c r="AR91" s="5" t="s">
        <v>121</v>
      </c>
      <c r="AS91" s="5" t="s">
        <v>1049</v>
      </c>
      <c r="AT91" s="5" t="s">
        <v>121</v>
      </c>
      <c r="AU91" s="5" t="s">
        <v>1045</v>
      </c>
      <c r="AV91" s="5" t="s">
        <v>121</v>
      </c>
      <c r="AW91" s="5" t="s">
        <v>1045</v>
      </c>
      <c r="AX91" s="5" t="s">
        <v>121</v>
      </c>
      <c r="AY91" s="5" t="s">
        <v>121</v>
      </c>
      <c r="AZ91" s="5" t="s">
        <v>2854</v>
      </c>
      <c r="BA91" s="5" t="s">
        <v>121</v>
      </c>
      <c r="BB91" s="5" t="s">
        <v>3510</v>
      </c>
      <c r="BC91" s="5" t="s">
        <v>3510</v>
      </c>
      <c r="BD91" s="5" t="s">
        <v>121</v>
      </c>
      <c r="BE91" s="5" t="s">
        <v>13138</v>
      </c>
      <c r="BF91" s="5" t="s">
        <v>13139</v>
      </c>
      <c r="BG91" s="5" t="s">
        <v>121</v>
      </c>
      <c r="BH91" s="5" t="s">
        <v>13140</v>
      </c>
      <c r="BI91" s="5" t="s">
        <v>121</v>
      </c>
      <c r="BJ91" s="5" t="s">
        <v>1046</v>
      </c>
      <c r="BK91" s="5" t="s">
        <v>121</v>
      </c>
      <c r="BL91" s="5" t="s">
        <v>13141</v>
      </c>
      <c r="BM91" s="5" t="s">
        <v>13141</v>
      </c>
      <c r="BN91" s="5" t="s">
        <v>1047</v>
      </c>
      <c r="BO91" s="5" t="s">
        <v>12219</v>
      </c>
      <c r="BP91" s="5" t="s">
        <v>121</v>
      </c>
      <c r="BQ91" s="5" t="s">
        <v>2854</v>
      </c>
      <c r="BR91" s="5" t="s">
        <v>121</v>
      </c>
      <c r="BS91" s="5" t="s">
        <v>121</v>
      </c>
      <c r="BT91" s="5" t="s">
        <v>121</v>
      </c>
      <c r="BU91" s="5" t="s">
        <v>121</v>
      </c>
      <c r="BV91" s="5" t="s">
        <v>3510</v>
      </c>
      <c r="BW91" s="5" t="s">
        <v>3510</v>
      </c>
      <c r="BX91" s="5" t="s">
        <v>3510</v>
      </c>
      <c r="BY91" s="5" t="s">
        <v>12139</v>
      </c>
      <c r="BZ91" s="5" t="s">
        <v>121</v>
      </c>
      <c r="CA91" s="5" t="s">
        <v>121</v>
      </c>
      <c r="CB91" s="5" t="s">
        <v>121</v>
      </c>
      <c r="CC91" s="5" t="s">
        <v>665</v>
      </c>
      <c r="CD91" s="5" t="s">
        <v>121</v>
      </c>
      <c r="CE91" s="5" t="s">
        <v>121</v>
      </c>
      <c r="CF91" s="5" t="s">
        <v>11958</v>
      </c>
      <c r="CG91" s="5" t="s">
        <v>121</v>
      </c>
      <c r="CH91" s="5" t="s">
        <v>121</v>
      </c>
      <c r="CI91" s="5" t="s">
        <v>12034</v>
      </c>
      <c r="CJ91" s="5" t="s">
        <v>124</v>
      </c>
      <c r="CK91" s="5" t="s">
        <v>241</v>
      </c>
      <c r="CL91" s="5" t="s">
        <v>3510</v>
      </c>
      <c r="CM91" s="5" t="s">
        <v>124</v>
      </c>
      <c r="CN91" s="5" t="s">
        <v>121</v>
      </c>
      <c r="CO91" s="5" t="s">
        <v>121</v>
      </c>
      <c r="CP91" s="5" t="s">
        <v>3510</v>
      </c>
      <c r="CQ91" s="5" t="s">
        <v>1050</v>
      </c>
      <c r="CR91" s="5" t="s">
        <v>11960</v>
      </c>
      <c r="CS91" s="5" t="s">
        <v>3510</v>
      </c>
      <c r="CT91" s="5" t="s">
        <v>3510</v>
      </c>
      <c r="CU91" s="5" t="s">
        <v>3510</v>
      </c>
      <c r="CV91" s="5" t="s">
        <v>11952</v>
      </c>
      <c r="CW91" s="5" t="s">
        <v>11952</v>
      </c>
      <c r="CX91" s="5" t="s">
        <v>12981</v>
      </c>
      <c r="CY91" s="5" t="s">
        <v>13142</v>
      </c>
      <c r="CZ91" s="5" t="s">
        <v>11989</v>
      </c>
      <c r="DA91" s="5" t="s">
        <v>11952</v>
      </c>
      <c r="DB91" s="5" t="s">
        <v>13143</v>
      </c>
      <c r="DC91" s="5" t="s">
        <v>13144</v>
      </c>
      <c r="DD91" s="5" t="s">
        <v>11963</v>
      </c>
      <c r="DE91" s="5" t="s">
        <v>13145</v>
      </c>
      <c r="DF91" s="5" t="s">
        <v>3510</v>
      </c>
      <c r="DG91" s="5" t="s">
        <v>12986</v>
      </c>
      <c r="DH91" s="5" t="s">
        <v>13146</v>
      </c>
      <c r="DI91" s="5" t="s">
        <v>11966</v>
      </c>
      <c r="DJ91" s="5" t="s">
        <v>11966</v>
      </c>
      <c r="DK91" s="5" t="s">
        <v>12176</v>
      </c>
      <c r="DL91" s="5">
        <v>5</v>
      </c>
      <c r="DM91" s="5">
        <v>3.5</v>
      </c>
      <c r="DN91" s="5">
        <v>3.5</v>
      </c>
      <c r="DO91" s="5">
        <v>4</v>
      </c>
      <c r="DP91" s="5">
        <v>3</v>
      </c>
      <c r="DQ91" s="5">
        <v>1</v>
      </c>
      <c r="DR91" s="5">
        <v>0</v>
      </c>
      <c r="DS91" s="5">
        <v>64.5</v>
      </c>
      <c r="DT91" s="5" t="s">
        <v>11968</v>
      </c>
      <c r="DU91" s="5" t="s">
        <v>12116</v>
      </c>
      <c r="DV91" s="5" t="s">
        <v>11970</v>
      </c>
      <c r="DW91" s="5"/>
      <c r="DX91" s="5">
        <v>16</v>
      </c>
      <c r="DY91" s="5"/>
      <c r="DZ91" s="5">
        <v>100</v>
      </c>
      <c r="EA91" s="5"/>
      <c r="EB91" s="5">
        <v>0.16</v>
      </c>
      <c r="EC91" s="5"/>
      <c r="ED91" s="5" t="s">
        <v>11971</v>
      </c>
      <c r="EE91" s="5"/>
      <c r="EF91" s="5" t="s">
        <v>11997</v>
      </c>
      <c r="EG91" s="5"/>
      <c r="EH91" s="5" t="s">
        <v>11997</v>
      </c>
      <c r="EI91" s="5"/>
      <c r="EJ91" s="5" t="s">
        <v>11997</v>
      </c>
      <c r="EK91" s="5"/>
      <c r="EL91" s="5" t="s">
        <v>11997</v>
      </c>
      <c r="EM91" s="5"/>
      <c r="EN91" s="5" t="s">
        <v>11997</v>
      </c>
      <c r="EO91" s="5"/>
      <c r="EP91" s="5" t="s">
        <v>11998</v>
      </c>
      <c r="EQ91" s="5"/>
      <c r="ER91" s="5" t="s">
        <v>11997</v>
      </c>
      <c r="ES91" s="5"/>
      <c r="ET91" s="5" t="s">
        <v>11972</v>
      </c>
      <c r="EU91" s="5"/>
      <c r="EV91" s="5"/>
      <c r="EW91" s="5"/>
      <c r="EX91" s="5"/>
      <c r="EY91" s="5" t="s">
        <v>5737</v>
      </c>
      <c r="EZ91" s="5"/>
      <c r="FA91" s="5" t="s">
        <v>1051</v>
      </c>
      <c r="FB91" s="5"/>
    </row>
    <row r="92" spans="1:158" ht="102">
      <c r="A92" s="5" t="s">
        <v>1053</v>
      </c>
      <c r="B92" s="5" t="s">
        <v>1054</v>
      </c>
      <c r="C92" s="5" t="s">
        <v>11952</v>
      </c>
      <c r="D92" s="5" t="s">
        <v>1055</v>
      </c>
      <c r="E92" s="5" t="s">
        <v>11953</v>
      </c>
      <c r="F92" s="5" t="s">
        <v>11954</v>
      </c>
      <c r="G92" s="5" t="s">
        <v>11955</v>
      </c>
      <c r="H92" s="5" t="s">
        <v>11237</v>
      </c>
      <c r="I92" s="5" t="s">
        <v>1065</v>
      </c>
      <c r="J92" s="5" t="s">
        <v>3510</v>
      </c>
      <c r="K92" s="5" t="s">
        <v>11956</v>
      </c>
      <c r="L92" s="5" t="s">
        <v>1066</v>
      </c>
      <c r="M92" s="5" t="s">
        <v>11952</v>
      </c>
      <c r="N92" s="5" t="s">
        <v>11952</v>
      </c>
      <c r="O92" s="5" t="s">
        <v>11952</v>
      </c>
      <c r="P92" s="5" t="s">
        <v>1066</v>
      </c>
      <c r="Q92" s="5" t="s">
        <v>11952</v>
      </c>
      <c r="R92" s="5" t="s">
        <v>11952</v>
      </c>
      <c r="S92" s="5" t="s">
        <v>11952</v>
      </c>
      <c r="T92" s="5" t="s">
        <v>121</v>
      </c>
      <c r="U92" s="5" t="s">
        <v>2854</v>
      </c>
      <c r="V92" s="5" t="s">
        <v>1066</v>
      </c>
      <c r="W92" s="5" t="s">
        <v>121</v>
      </c>
      <c r="X92" s="5" t="s">
        <v>1066</v>
      </c>
      <c r="Y92" s="5" t="s">
        <v>121</v>
      </c>
      <c r="Z92" s="5" t="s">
        <v>121</v>
      </c>
      <c r="AA92" s="5" t="s">
        <v>11981</v>
      </c>
      <c r="AB92" s="5" t="s">
        <v>155</v>
      </c>
      <c r="AC92" s="5" t="s">
        <v>1062</v>
      </c>
      <c r="AD92" s="5" t="s">
        <v>121</v>
      </c>
      <c r="AE92" s="5" t="s">
        <v>121</v>
      </c>
      <c r="AF92" s="5" t="s">
        <v>1062</v>
      </c>
      <c r="AG92" s="5" t="s">
        <v>121</v>
      </c>
      <c r="AH92" s="5" t="s">
        <v>121</v>
      </c>
      <c r="AI92" s="5" t="s">
        <v>121</v>
      </c>
      <c r="AJ92" s="5" t="s">
        <v>121</v>
      </c>
      <c r="AK92" s="5" t="s">
        <v>121</v>
      </c>
      <c r="AL92" s="5" t="s">
        <v>121</v>
      </c>
      <c r="AM92" s="5" t="s">
        <v>121</v>
      </c>
      <c r="AN92" s="5" t="s">
        <v>13147</v>
      </c>
      <c r="AO92" s="5" t="s">
        <v>121</v>
      </c>
      <c r="AP92" s="5" t="s">
        <v>2302</v>
      </c>
      <c r="AQ92" s="5" t="s">
        <v>121</v>
      </c>
      <c r="AR92" s="5" t="s">
        <v>13148</v>
      </c>
      <c r="AS92" s="5" t="s">
        <v>1063</v>
      </c>
      <c r="AT92" s="5" t="s">
        <v>121</v>
      </c>
      <c r="AU92" s="5" t="s">
        <v>1057</v>
      </c>
      <c r="AV92" s="5" t="s">
        <v>12003</v>
      </c>
      <c r="AW92" s="5" t="s">
        <v>1057</v>
      </c>
      <c r="AX92" s="5" t="s">
        <v>121</v>
      </c>
      <c r="AY92" s="5" t="s">
        <v>121</v>
      </c>
      <c r="AZ92" s="5" t="s">
        <v>121</v>
      </c>
      <c r="BA92" s="5" t="s">
        <v>121</v>
      </c>
      <c r="BB92" s="5" t="s">
        <v>121</v>
      </c>
      <c r="BC92" s="5" t="s">
        <v>121</v>
      </c>
      <c r="BD92" s="5" t="s">
        <v>121</v>
      </c>
      <c r="BE92" s="5" t="s">
        <v>121</v>
      </c>
      <c r="BF92" s="5" t="s">
        <v>13149</v>
      </c>
      <c r="BG92" s="5" t="s">
        <v>121</v>
      </c>
      <c r="BH92" s="5" t="s">
        <v>12815</v>
      </c>
      <c r="BI92" s="5" t="s">
        <v>121</v>
      </c>
      <c r="BJ92" s="5" t="s">
        <v>1058</v>
      </c>
      <c r="BK92" s="5" t="s">
        <v>121</v>
      </c>
      <c r="BL92" s="5" t="s">
        <v>1056</v>
      </c>
      <c r="BM92" s="5" t="s">
        <v>1056</v>
      </c>
      <c r="BN92" s="5" t="s">
        <v>1059</v>
      </c>
      <c r="BO92" s="5" t="s">
        <v>11984</v>
      </c>
      <c r="BP92" s="5" t="s">
        <v>121</v>
      </c>
      <c r="BQ92" s="5" t="s">
        <v>121</v>
      </c>
      <c r="BR92" s="5" t="s">
        <v>2854</v>
      </c>
      <c r="BS92" s="5" t="s">
        <v>121</v>
      </c>
      <c r="BT92" s="5" t="s">
        <v>121</v>
      </c>
      <c r="BU92" s="5" t="s">
        <v>121</v>
      </c>
      <c r="BV92" s="5" t="s">
        <v>121</v>
      </c>
      <c r="BW92" s="5" t="s">
        <v>121</v>
      </c>
      <c r="BX92" s="5" t="s">
        <v>121</v>
      </c>
      <c r="BY92" s="5" t="s">
        <v>13150</v>
      </c>
      <c r="BZ92" s="5" t="s">
        <v>13151</v>
      </c>
      <c r="CA92" s="5" t="s">
        <v>121</v>
      </c>
      <c r="CB92" s="5" t="s">
        <v>121</v>
      </c>
      <c r="CC92" s="5" t="s">
        <v>1056</v>
      </c>
      <c r="CD92" s="5" t="s">
        <v>121</v>
      </c>
      <c r="CE92" s="5" t="s">
        <v>121</v>
      </c>
      <c r="CF92" s="5" t="s">
        <v>11958</v>
      </c>
      <c r="CG92" s="5" t="s">
        <v>121</v>
      </c>
      <c r="CH92" s="5" t="s">
        <v>121</v>
      </c>
      <c r="CI92" s="5" t="s">
        <v>11959</v>
      </c>
      <c r="CJ92" s="5" t="s">
        <v>1061</v>
      </c>
      <c r="CK92" s="5" t="s">
        <v>1060</v>
      </c>
      <c r="CL92" s="5" t="s">
        <v>121</v>
      </c>
      <c r="CM92" s="5" t="s">
        <v>1061</v>
      </c>
      <c r="CN92" s="5" t="s">
        <v>121</v>
      </c>
      <c r="CO92" s="5" t="s">
        <v>121</v>
      </c>
      <c r="CP92" s="5" t="s">
        <v>3510</v>
      </c>
      <c r="CQ92" s="5" t="s">
        <v>1064</v>
      </c>
      <c r="CR92" s="5" t="s">
        <v>11960</v>
      </c>
      <c r="CS92" s="5" t="s">
        <v>3510</v>
      </c>
      <c r="CT92" s="5" t="s">
        <v>3510</v>
      </c>
      <c r="CU92" s="5" t="s">
        <v>3510</v>
      </c>
      <c r="CV92" s="5" t="s">
        <v>11952</v>
      </c>
      <c r="CW92" s="5" t="s">
        <v>11952</v>
      </c>
      <c r="CX92" s="5" t="s">
        <v>13152</v>
      </c>
      <c r="CY92" s="5" t="s">
        <v>13153</v>
      </c>
      <c r="CZ92" s="5" t="s">
        <v>11952</v>
      </c>
      <c r="DA92" s="5" t="s">
        <v>3510</v>
      </c>
      <c r="DB92" s="5" t="s">
        <v>11963</v>
      </c>
      <c r="DC92" s="5" t="s">
        <v>11963</v>
      </c>
      <c r="DD92" s="5" t="s">
        <v>11963</v>
      </c>
      <c r="DE92" s="5" t="s">
        <v>11963</v>
      </c>
      <c r="DF92" s="5" t="s">
        <v>3510</v>
      </c>
      <c r="DG92" s="5" t="s">
        <v>11964</v>
      </c>
      <c r="DH92" s="5" t="s">
        <v>13154</v>
      </c>
      <c r="DI92" s="5" t="s">
        <v>11994</v>
      </c>
      <c r="DJ92" s="5" t="s">
        <v>11966</v>
      </c>
      <c r="DK92" s="5" t="s">
        <v>11967</v>
      </c>
      <c r="DL92" s="5">
        <v>1</v>
      </c>
      <c r="DM92" s="5">
        <v>4</v>
      </c>
      <c r="DN92" s="5">
        <v>3</v>
      </c>
      <c r="DO92" s="5">
        <v>2</v>
      </c>
      <c r="DP92" s="5">
        <v>2</v>
      </c>
      <c r="DQ92" s="5">
        <v>2</v>
      </c>
      <c r="DR92" s="5">
        <v>1</v>
      </c>
      <c r="DS92" s="5">
        <v>45</v>
      </c>
      <c r="DT92" s="5" t="s">
        <v>11968</v>
      </c>
      <c r="DU92" s="5" t="s">
        <v>11969</v>
      </c>
      <c r="DV92" s="5" t="s">
        <v>11970</v>
      </c>
      <c r="DW92" s="5"/>
      <c r="DX92" s="5">
        <v>22</v>
      </c>
      <c r="DY92" s="5"/>
      <c r="DZ92" s="5">
        <v>98</v>
      </c>
      <c r="EA92" s="5"/>
      <c r="EB92" s="5">
        <v>0.24</v>
      </c>
      <c r="EC92" s="5"/>
      <c r="ED92" s="5" t="s">
        <v>11971</v>
      </c>
      <c r="EE92" s="5"/>
      <c r="EF92" s="5" t="s">
        <v>11997</v>
      </c>
      <c r="EG92" s="5"/>
      <c r="EH92" s="5" t="s">
        <v>11997</v>
      </c>
      <c r="EI92" s="5"/>
      <c r="EJ92" s="5" t="s">
        <v>11997</v>
      </c>
      <c r="EK92" s="5"/>
      <c r="EL92" s="5" t="s">
        <v>11997</v>
      </c>
      <c r="EM92" s="5"/>
      <c r="EN92" s="5" t="s">
        <v>11997</v>
      </c>
      <c r="EO92" s="5"/>
      <c r="EP92" s="5" t="s">
        <v>11998</v>
      </c>
      <c r="EQ92" s="5"/>
      <c r="ER92" s="5" t="s">
        <v>11997</v>
      </c>
      <c r="ES92" s="5"/>
      <c r="ET92" s="5" t="s">
        <v>11972</v>
      </c>
      <c r="EU92" s="5"/>
      <c r="EV92" s="5"/>
      <c r="EW92" s="5"/>
      <c r="EX92" s="5"/>
      <c r="EY92" s="5" t="s">
        <v>5770</v>
      </c>
      <c r="EZ92" s="5"/>
      <c r="FA92" s="5" t="s">
        <v>1066</v>
      </c>
      <c r="FB92" s="5"/>
    </row>
    <row r="93" spans="1:158" ht="76.5">
      <c r="A93" s="5" t="s">
        <v>1068</v>
      </c>
      <c r="B93" s="5" t="s">
        <v>1069</v>
      </c>
      <c r="C93" s="5" t="s">
        <v>11952</v>
      </c>
      <c r="D93" s="5" t="s">
        <v>1070</v>
      </c>
      <c r="E93" s="5" t="s">
        <v>11953</v>
      </c>
      <c r="F93" s="5" t="s">
        <v>11954</v>
      </c>
      <c r="G93" s="5" t="s">
        <v>11955</v>
      </c>
      <c r="H93" s="5" t="s">
        <v>11235</v>
      </c>
      <c r="I93" s="5" t="s">
        <v>1065</v>
      </c>
      <c r="J93" s="5" t="s">
        <v>3510</v>
      </c>
      <c r="K93" s="5" t="s">
        <v>11956</v>
      </c>
      <c r="L93" s="5" t="s">
        <v>1079</v>
      </c>
      <c r="M93" s="5" t="s">
        <v>11952</v>
      </c>
      <c r="N93" s="5" t="s">
        <v>11952</v>
      </c>
      <c r="O93" s="5" t="s">
        <v>11952</v>
      </c>
      <c r="P93" s="5" t="s">
        <v>1079</v>
      </c>
      <c r="Q93" s="5" t="s">
        <v>11952</v>
      </c>
      <c r="R93" s="5" t="s">
        <v>11952</v>
      </c>
      <c r="S93" s="5" t="s">
        <v>11952</v>
      </c>
      <c r="T93" s="5" t="s">
        <v>13155</v>
      </c>
      <c r="U93" s="5" t="s">
        <v>2854</v>
      </c>
      <c r="V93" s="5" t="s">
        <v>13156</v>
      </c>
      <c r="W93" s="5" t="s">
        <v>121</v>
      </c>
      <c r="X93" s="5" t="s">
        <v>13156</v>
      </c>
      <c r="Y93" s="5" t="s">
        <v>121</v>
      </c>
      <c r="Z93" s="5" t="s">
        <v>12276</v>
      </c>
      <c r="AA93" s="5" t="s">
        <v>11981</v>
      </c>
      <c r="AB93" s="5" t="s">
        <v>155</v>
      </c>
      <c r="AC93" s="5" t="s">
        <v>1076</v>
      </c>
      <c r="AD93" s="5" t="s">
        <v>121</v>
      </c>
      <c r="AE93" s="5" t="s">
        <v>121</v>
      </c>
      <c r="AF93" s="5" t="s">
        <v>1076</v>
      </c>
      <c r="AG93" s="5" t="s">
        <v>121</v>
      </c>
      <c r="AH93" s="5" t="s">
        <v>121</v>
      </c>
      <c r="AI93" s="5" t="s">
        <v>121</v>
      </c>
      <c r="AJ93" s="5" t="s">
        <v>121</v>
      </c>
      <c r="AK93" s="5" t="s">
        <v>121</v>
      </c>
      <c r="AL93" s="5" t="s">
        <v>121</v>
      </c>
      <c r="AM93" s="5" t="s">
        <v>121</v>
      </c>
      <c r="AN93" s="5" t="s">
        <v>121</v>
      </c>
      <c r="AO93" s="5" t="s">
        <v>121</v>
      </c>
      <c r="AP93" s="5" t="s">
        <v>121</v>
      </c>
      <c r="AQ93" s="5" t="s">
        <v>121</v>
      </c>
      <c r="AR93" s="5" t="s">
        <v>121</v>
      </c>
      <c r="AS93" s="5" t="s">
        <v>1077</v>
      </c>
      <c r="AT93" s="5" t="s">
        <v>121</v>
      </c>
      <c r="AU93" s="5" t="s">
        <v>1072</v>
      </c>
      <c r="AV93" s="5" t="s">
        <v>121</v>
      </c>
      <c r="AW93" s="5" t="s">
        <v>121</v>
      </c>
      <c r="AX93" s="5" t="s">
        <v>121</v>
      </c>
      <c r="AY93" s="5" t="s">
        <v>121</v>
      </c>
      <c r="AZ93" s="5" t="s">
        <v>2854</v>
      </c>
      <c r="BA93" s="5" t="s">
        <v>121</v>
      </c>
      <c r="BB93" s="5" t="s">
        <v>121</v>
      </c>
      <c r="BC93" s="5" t="s">
        <v>121</v>
      </c>
      <c r="BD93" s="5" t="s">
        <v>121</v>
      </c>
      <c r="BE93" s="5" t="s">
        <v>121</v>
      </c>
      <c r="BF93" s="5" t="s">
        <v>13157</v>
      </c>
      <c r="BG93" s="5" t="s">
        <v>121</v>
      </c>
      <c r="BH93" s="5" t="s">
        <v>13158</v>
      </c>
      <c r="BI93" s="5" t="s">
        <v>121</v>
      </c>
      <c r="BJ93" s="5" t="s">
        <v>1073</v>
      </c>
      <c r="BK93" s="5" t="s">
        <v>121</v>
      </c>
      <c r="BL93" s="5" t="s">
        <v>1056</v>
      </c>
      <c r="BM93" s="5" t="s">
        <v>1056</v>
      </c>
      <c r="BN93" s="5" t="s">
        <v>1074</v>
      </c>
      <c r="BO93" s="5" t="s">
        <v>11984</v>
      </c>
      <c r="BP93" s="5" t="s">
        <v>121</v>
      </c>
      <c r="BQ93" s="5" t="s">
        <v>121</v>
      </c>
      <c r="BR93" s="5" t="s">
        <v>2854</v>
      </c>
      <c r="BS93" s="5" t="s">
        <v>121</v>
      </c>
      <c r="BT93" s="5" t="s">
        <v>121</v>
      </c>
      <c r="BU93" s="5" t="s">
        <v>121</v>
      </c>
      <c r="BV93" s="5" t="s">
        <v>3510</v>
      </c>
      <c r="BW93" s="5" t="s">
        <v>3510</v>
      </c>
      <c r="BX93" s="5" t="s">
        <v>3510</v>
      </c>
      <c r="BY93" s="5" t="s">
        <v>121</v>
      </c>
      <c r="BZ93" s="5" t="s">
        <v>121</v>
      </c>
      <c r="CA93" s="5" t="s">
        <v>121</v>
      </c>
      <c r="CB93" s="5" t="s">
        <v>121</v>
      </c>
      <c r="CC93" s="5" t="s">
        <v>1071</v>
      </c>
      <c r="CD93" s="5" t="s">
        <v>13159</v>
      </c>
      <c r="CE93" s="5" t="s">
        <v>13159</v>
      </c>
      <c r="CF93" s="5" t="s">
        <v>11958</v>
      </c>
      <c r="CG93" s="5" t="s">
        <v>121</v>
      </c>
      <c r="CH93" s="5" t="s">
        <v>121</v>
      </c>
      <c r="CI93" s="5" t="s">
        <v>11972</v>
      </c>
      <c r="CJ93" s="5" t="s">
        <v>124</v>
      </c>
      <c r="CK93" s="5" t="s">
        <v>1075</v>
      </c>
      <c r="CL93" s="5" t="s">
        <v>3510</v>
      </c>
      <c r="CM93" s="5" t="s">
        <v>124</v>
      </c>
      <c r="CN93" s="5" t="s">
        <v>121</v>
      </c>
      <c r="CO93" s="5" t="s">
        <v>121</v>
      </c>
      <c r="CP93" s="5" t="s">
        <v>3510</v>
      </c>
      <c r="CQ93" s="5" t="s">
        <v>1078</v>
      </c>
      <c r="CR93" s="5" t="s">
        <v>11960</v>
      </c>
      <c r="CS93" s="5" t="s">
        <v>3510</v>
      </c>
      <c r="CT93" s="5" t="s">
        <v>3510</v>
      </c>
      <c r="CU93" s="5" t="s">
        <v>3510</v>
      </c>
      <c r="CV93" s="5" t="s">
        <v>11952</v>
      </c>
      <c r="CW93" s="5" t="s">
        <v>11952</v>
      </c>
      <c r="CX93" s="5" t="s">
        <v>13160</v>
      </c>
      <c r="CY93" s="5" t="s">
        <v>13161</v>
      </c>
      <c r="CZ93" s="5" t="s">
        <v>3510</v>
      </c>
      <c r="DA93" s="5" t="s">
        <v>11952</v>
      </c>
      <c r="DB93" s="5" t="s">
        <v>11963</v>
      </c>
      <c r="DC93" s="5" t="s">
        <v>11963</v>
      </c>
      <c r="DD93" s="5" t="s">
        <v>11963</v>
      </c>
      <c r="DE93" s="5" t="s">
        <v>11963</v>
      </c>
      <c r="DF93" s="5" t="s">
        <v>3510</v>
      </c>
      <c r="DG93" s="5" t="s">
        <v>11964</v>
      </c>
      <c r="DH93" s="5" t="s">
        <v>13162</v>
      </c>
      <c r="DI93" s="5" t="s">
        <v>11975</v>
      </c>
      <c r="DJ93" s="5" t="s">
        <v>11994</v>
      </c>
      <c r="DK93" s="5" t="s">
        <v>12201</v>
      </c>
      <c r="DL93" s="5">
        <v>4</v>
      </c>
      <c r="DM93" s="5">
        <v>3</v>
      </c>
      <c r="DN93" s="5">
        <v>3.5</v>
      </c>
      <c r="DO93" s="5">
        <v>1</v>
      </c>
      <c r="DP93" s="5">
        <v>1</v>
      </c>
      <c r="DQ93" s="5">
        <v>0</v>
      </c>
      <c r="DR93" s="5">
        <v>0</v>
      </c>
      <c r="DS93" s="5">
        <v>43.5</v>
      </c>
      <c r="DT93" s="5" t="s">
        <v>11968</v>
      </c>
      <c r="DU93" s="5" t="s">
        <v>11969</v>
      </c>
      <c r="DV93" s="5" t="s">
        <v>11970</v>
      </c>
      <c r="DW93" s="5"/>
      <c r="DX93" s="5">
        <v>17</v>
      </c>
      <c r="DY93" s="5"/>
      <c r="DZ93" s="5">
        <v>100</v>
      </c>
      <c r="EA93" s="5"/>
      <c r="EB93" s="5">
        <v>0.17</v>
      </c>
      <c r="EC93" s="5"/>
      <c r="ED93" s="5" t="s">
        <v>11971</v>
      </c>
      <c r="EE93" s="5"/>
      <c r="EF93" s="5" t="s">
        <v>11997</v>
      </c>
      <c r="EG93" s="5"/>
      <c r="EH93" s="5" t="s">
        <v>11997</v>
      </c>
      <c r="EI93" s="5"/>
      <c r="EJ93" s="5" t="s">
        <v>11997</v>
      </c>
      <c r="EK93" s="5"/>
      <c r="EL93" s="5" t="s">
        <v>11997</v>
      </c>
      <c r="EM93" s="5"/>
      <c r="EN93" s="5" t="s">
        <v>11997</v>
      </c>
      <c r="EO93" s="5"/>
      <c r="EP93" s="5" t="s">
        <v>11998</v>
      </c>
      <c r="EQ93" s="5"/>
      <c r="ER93" s="5" t="s">
        <v>11997</v>
      </c>
      <c r="ES93" s="5"/>
      <c r="ET93" s="5" t="s">
        <v>11972</v>
      </c>
      <c r="EU93" s="5"/>
      <c r="EV93" s="5"/>
      <c r="EW93" s="5"/>
      <c r="EX93" s="5"/>
      <c r="EY93" s="5" t="s">
        <v>5804</v>
      </c>
      <c r="EZ93" s="5"/>
      <c r="FA93" s="5" t="s">
        <v>1079</v>
      </c>
      <c r="FB93" s="5"/>
    </row>
    <row r="94" spans="1:158" ht="76.5">
      <c r="A94" s="5" t="s">
        <v>1081</v>
      </c>
      <c r="B94" s="5" t="s">
        <v>1082</v>
      </c>
      <c r="C94" s="5" t="s">
        <v>11952</v>
      </c>
      <c r="D94" s="5" t="s">
        <v>1083</v>
      </c>
      <c r="E94" s="5" t="s">
        <v>11953</v>
      </c>
      <c r="F94" s="5" t="s">
        <v>11954</v>
      </c>
      <c r="G94" s="5" t="s">
        <v>11955</v>
      </c>
      <c r="H94" s="5" t="s">
        <v>11237</v>
      </c>
      <c r="I94" s="5" t="s">
        <v>1065</v>
      </c>
      <c r="J94" s="5" t="s">
        <v>3510</v>
      </c>
      <c r="K94" s="5" t="s">
        <v>11956</v>
      </c>
      <c r="L94" s="5" t="s">
        <v>1088</v>
      </c>
      <c r="M94" s="5" t="s">
        <v>11952</v>
      </c>
      <c r="N94" s="5" t="s">
        <v>11952</v>
      </c>
      <c r="O94" s="5" t="s">
        <v>11952</v>
      </c>
      <c r="P94" s="5" t="s">
        <v>1088</v>
      </c>
      <c r="Q94" s="5" t="s">
        <v>11952</v>
      </c>
      <c r="R94" s="5" t="s">
        <v>11952</v>
      </c>
      <c r="S94" s="5" t="s">
        <v>11952</v>
      </c>
      <c r="T94" s="5" t="s">
        <v>121</v>
      </c>
      <c r="U94" s="5" t="s">
        <v>2854</v>
      </c>
      <c r="V94" s="5" t="s">
        <v>1088</v>
      </c>
      <c r="W94" s="5" t="s">
        <v>121</v>
      </c>
      <c r="X94" s="5" t="s">
        <v>1088</v>
      </c>
      <c r="Y94" s="5" t="s">
        <v>121</v>
      </c>
      <c r="Z94" s="5" t="s">
        <v>121</v>
      </c>
      <c r="AA94" s="5" t="s">
        <v>11981</v>
      </c>
      <c r="AB94" s="5" t="s">
        <v>155</v>
      </c>
      <c r="AC94" s="5" t="s">
        <v>1086</v>
      </c>
      <c r="AD94" s="5" t="s">
        <v>121</v>
      </c>
      <c r="AE94" s="5" t="s">
        <v>121</v>
      </c>
      <c r="AF94" s="5" t="s">
        <v>1086</v>
      </c>
      <c r="AG94" s="5" t="s">
        <v>121</v>
      </c>
      <c r="AH94" s="5" t="s">
        <v>121</v>
      </c>
      <c r="AI94" s="5" t="s">
        <v>121</v>
      </c>
      <c r="AJ94" s="5" t="s">
        <v>121</v>
      </c>
      <c r="AK94" s="5" t="s">
        <v>121</v>
      </c>
      <c r="AL94" s="5" t="s">
        <v>121</v>
      </c>
      <c r="AM94" s="5" t="s">
        <v>121</v>
      </c>
      <c r="AN94" s="5" t="s">
        <v>121</v>
      </c>
      <c r="AO94" s="5" t="s">
        <v>121</v>
      </c>
      <c r="AP94" s="5" t="s">
        <v>121</v>
      </c>
      <c r="AQ94" s="5" t="s">
        <v>121</v>
      </c>
      <c r="AR94" s="5" t="s">
        <v>121</v>
      </c>
      <c r="AS94" s="5" t="s">
        <v>121</v>
      </c>
      <c r="AT94" s="5" t="s">
        <v>121</v>
      </c>
      <c r="AU94" s="5" t="s">
        <v>121</v>
      </c>
      <c r="AV94" s="5" t="s">
        <v>121</v>
      </c>
      <c r="AW94" s="5" t="s">
        <v>121</v>
      </c>
      <c r="AX94" s="5" t="s">
        <v>121</v>
      </c>
      <c r="AY94" s="5" t="s">
        <v>121</v>
      </c>
      <c r="AZ94" s="5" t="s">
        <v>121</v>
      </c>
      <c r="BA94" s="5" t="s">
        <v>121</v>
      </c>
      <c r="BB94" s="5" t="s">
        <v>121</v>
      </c>
      <c r="BC94" s="5" t="s">
        <v>121</v>
      </c>
      <c r="BD94" s="5" t="s">
        <v>121</v>
      </c>
      <c r="BE94" s="5" t="s">
        <v>121</v>
      </c>
      <c r="BF94" s="5" t="s">
        <v>121</v>
      </c>
      <c r="BG94" s="5" t="s">
        <v>121</v>
      </c>
      <c r="BH94" s="5" t="s">
        <v>12815</v>
      </c>
      <c r="BI94" s="5" t="s">
        <v>121</v>
      </c>
      <c r="BJ94" s="5" t="s">
        <v>1084</v>
      </c>
      <c r="BK94" s="5" t="s">
        <v>121</v>
      </c>
      <c r="BL94" s="5" t="s">
        <v>1056</v>
      </c>
      <c r="BM94" s="5" t="s">
        <v>1056</v>
      </c>
      <c r="BN94" s="5" t="s">
        <v>1085</v>
      </c>
      <c r="BO94" s="5" t="s">
        <v>11984</v>
      </c>
      <c r="BP94" s="5" t="s">
        <v>121</v>
      </c>
      <c r="BQ94" s="5" t="s">
        <v>121</v>
      </c>
      <c r="BR94" s="5" t="s">
        <v>2854</v>
      </c>
      <c r="BS94" s="5" t="s">
        <v>121</v>
      </c>
      <c r="BT94" s="5" t="s">
        <v>121</v>
      </c>
      <c r="BU94" s="5" t="s">
        <v>121</v>
      </c>
      <c r="BV94" s="5" t="s">
        <v>121</v>
      </c>
      <c r="BW94" s="5" t="s">
        <v>121</v>
      </c>
      <c r="BX94" s="5" t="s">
        <v>121</v>
      </c>
      <c r="BY94" s="5" t="s">
        <v>121</v>
      </c>
      <c r="BZ94" s="5" t="s">
        <v>121</v>
      </c>
      <c r="CA94" s="5" t="s">
        <v>121</v>
      </c>
      <c r="CB94" s="5" t="s">
        <v>121</v>
      </c>
      <c r="CC94" s="5" t="s">
        <v>1056</v>
      </c>
      <c r="CD94" s="5" t="s">
        <v>121</v>
      </c>
      <c r="CE94" s="5" t="s">
        <v>121</v>
      </c>
      <c r="CF94" s="5" t="s">
        <v>11958</v>
      </c>
      <c r="CG94" s="5" t="s">
        <v>121</v>
      </c>
      <c r="CH94" s="5" t="s">
        <v>121</v>
      </c>
      <c r="CI94" s="5" t="s">
        <v>11972</v>
      </c>
      <c r="CJ94" s="5" t="s">
        <v>124</v>
      </c>
      <c r="CK94" s="5" t="s">
        <v>121</v>
      </c>
      <c r="CL94" s="5" t="s">
        <v>3510</v>
      </c>
      <c r="CM94" s="5" t="s">
        <v>124</v>
      </c>
      <c r="CN94" s="5" t="s">
        <v>121</v>
      </c>
      <c r="CO94" s="5" t="s">
        <v>121</v>
      </c>
      <c r="CP94" s="5" t="s">
        <v>3510</v>
      </c>
      <c r="CQ94" s="5" t="s">
        <v>1087</v>
      </c>
      <c r="CR94" s="5" t="s">
        <v>11960</v>
      </c>
      <c r="CS94" s="5" t="s">
        <v>3510</v>
      </c>
      <c r="CT94" s="5" t="s">
        <v>3510</v>
      </c>
      <c r="CU94" s="5" t="s">
        <v>3510</v>
      </c>
      <c r="CV94" s="5" t="s">
        <v>11952</v>
      </c>
      <c r="CW94" s="5" t="s">
        <v>11952</v>
      </c>
      <c r="CX94" s="5" t="s">
        <v>13152</v>
      </c>
      <c r="CY94" s="5" t="s">
        <v>13163</v>
      </c>
      <c r="CZ94" s="5" t="s">
        <v>11952</v>
      </c>
      <c r="DA94" s="5" t="s">
        <v>3510</v>
      </c>
      <c r="DB94" s="5" t="s">
        <v>11963</v>
      </c>
      <c r="DC94" s="5" t="s">
        <v>11963</v>
      </c>
      <c r="DD94" s="5" t="s">
        <v>11963</v>
      </c>
      <c r="DE94" s="5" t="s">
        <v>11963</v>
      </c>
      <c r="DF94" s="5" t="s">
        <v>3510</v>
      </c>
      <c r="DG94" s="5" t="s">
        <v>11964</v>
      </c>
      <c r="DH94" s="5" t="s">
        <v>13164</v>
      </c>
      <c r="DI94" s="5" t="s">
        <v>11966</v>
      </c>
      <c r="DJ94" s="5" t="s">
        <v>11994</v>
      </c>
      <c r="DK94" s="5" t="s">
        <v>12201</v>
      </c>
      <c r="DL94" s="5">
        <v>4</v>
      </c>
      <c r="DM94" s="5">
        <v>1</v>
      </c>
      <c r="DN94" s="5">
        <v>1</v>
      </c>
      <c r="DO94" s="5">
        <v>2</v>
      </c>
      <c r="DP94" s="5">
        <v>1</v>
      </c>
      <c r="DQ94" s="5">
        <v>0</v>
      </c>
      <c r="DR94" s="5">
        <v>0</v>
      </c>
      <c r="DS94" s="5">
        <v>31</v>
      </c>
      <c r="DT94" s="5" t="s">
        <v>11968</v>
      </c>
      <c r="DU94" s="5" t="s">
        <v>11969</v>
      </c>
      <c r="DV94" s="5" t="s">
        <v>11970</v>
      </c>
      <c r="DW94" s="5"/>
      <c r="DX94" s="5">
        <v>15</v>
      </c>
      <c r="DY94" s="5"/>
      <c r="DZ94" s="5">
        <v>100</v>
      </c>
      <c r="EA94" s="5"/>
      <c r="EB94" s="5">
        <v>0.15</v>
      </c>
      <c r="EC94" s="5"/>
      <c r="ED94" s="5" t="s">
        <v>11971</v>
      </c>
      <c r="EE94" s="5"/>
      <c r="EF94" s="5" t="s">
        <v>11997</v>
      </c>
      <c r="EG94" s="5"/>
      <c r="EH94" s="5" t="s">
        <v>11997</v>
      </c>
      <c r="EI94" s="5"/>
      <c r="EJ94" s="5" t="s">
        <v>11997</v>
      </c>
      <c r="EK94" s="5"/>
      <c r="EL94" s="5" t="s">
        <v>11997</v>
      </c>
      <c r="EM94" s="5"/>
      <c r="EN94" s="5" t="s">
        <v>11997</v>
      </c>
      <c r="EO94" s="5"/>
      <c r="EP94" s="5" t="s">
        <v>11998</v>
      </c>
      <c r="EQ94" s="5"/>
      <c r="ER94" s="5" t="s">
        <v>11997</v>
      </c>
      <c r="ES94" s="5"/>
      <c r="ET94" s="5" t="s">
        <v>11972</v>
      </c>
      <c r="EU94" s="5"/>
      <c r="EV94" s="5"/>
      <c r="EW94" s="5"/>
      <c r="EX94" s="5"/>
      <c r="EY94" s="5" t="s">
        <v>5835</v>
      </c>
      <c r="EZ94" s="5"/>
      <c r="FA94" s="5" t="s">
        <v>1088</v>
      </c>
      <c r="FB94" s="5"/>
    </row>
    <row r="95" spans="1:158" ht="242.25">
      <c r="A95" s="5" t="s">
        <v>1090</v>
      </c>
      <c r="B95" s="5" t="s">
        <v>1091</v>
      </c>
      <c r="C95" s="5" t="s">
        <v>11952</v>
      </c>
      <c r="D95" s="5" t="s">
        <v>1092</v>
      </c>
      <c r="E95" s="5" t="s">
        <v>11974</v>
      </c>
      <c r="F95" s="5" t="s">
        <v>11975</v>
      </c>
      <c r="G95" s="5" t="s">
        <v>13165</v>
      </c>
      <c r="H95" s="5" t="s">
        <v>12530</v>
      </c>
      <c r="I95" s="5" t="s">
        <v>13166</v>
      </c>
      <c r="J95" s="5" t="s">
        <v>2854</v>
      </c>
      <c r="K95" s="5" t="s">
        <v>13167</v>
      </c>
      <c r="L95" s="5" t="s">
        <v>1103</v>
      </c>
      <c r="M95" s="5" t="s">
        <v>11952</v>
      </c>
      <c r="N95" s="5" t="s">
        <v>11952</v>
      </c>
      <c r="O95" s="5" t="s">
        <v>11952</v>
      </c>
      <c r="P95" s="5" t="s">
        <v>13168</v>
      </c>
      <c r="Q95" s="5" t="s">
        <v>1103</v>
      </c>
      <c r="R95" s="5" t="s">
        <v>11952</v>
      </c>
      <c r="S95" s="5" t="s">
        <v>11952</v>
      </c>
      <c r="T95" s="5" t="s">
        <v>13169</v>
      </c>
      <c r="U95" s="5" t="s">
        <v>2854</v>
      </c>
      <c r="V95" s="5" t="s">
        <v>13170</v>
      </c>
      <c r="W95" s="5" t="s">
        <v>121</v>
      </c>
      <c r="X95" s="5" t="s">
        <v>13170</v>
      </c>
      <c r="Y95" s="5" t="s">
        <v>121</v>
      </c>
      <c r="Z95" s="5" t="s">
        <v>121</v>
      </c>
      <c r="AA95" s="5" t="s">
        <v>11981</v>
      </c>
      <c r="AB95" s="5" t="s">
        <v>155</v>
      </c>
      <c r="AC95" s="5" t="s">
        <v>1098</v>
      </c>
      <c r="AD95" s="5" t="s">
        <v>121</v>
      </c>
      <c r="AE95" s="5" t="s">
        <v>121</v>
      </c>
      <c r="AF95" s="5" t="s">
        <v>1098</v>
      </c>
      <c r="AG95" s="5" t="s">
        <v>121</v>
      </c>
      <c r="AH95" s="5" t="s">
        <v>121</v>
      </c>
      <c r="AI95" s="5" t="s">
        <v>121</v>
      </c>
      <c r="AJ95" s="5" t="s">
        <v>121</v>
      </c>
      <c r="AK95" s="5" t="s">
        <v>121</v>
      </c>
      <c r="AL95" s="5" t="s">
        <v>121</v>
      </c>
      <c r="AM95" s="5" t="s">
        <v>121</v>
      </c>
      <c r="AN95" s="5" t="s">
        <v>13171</v>
      </c>
      <c r="AO95" s="5" t="s">
        <v>121</v>
      </c>
      <c r="AP95" s="5" t="s">
        <v>2302</v>
      </c>
      <c r="AQ95" s="5" t="s">
        <v>121</v>
      </c>
      <c r="AR95" s="5" t="s">
        <v>13172</v>
      </c>
      <c r="AS95" s="5" t="s">
        <v>1099</v>
      </c>
      <c r="AT95" s="5" t="s">
        <v>121</v>
      </c>
      <c r="AU95" s="5" t="s">
        <v>1094</v>
      </c>
      <c r="AV95" s="5" t="s">
        <v>12003</v>
      </c>
      <c r="AW95" s="5" t="s">
        <v>1094</v>
      </c>
      <c r="AX95" s="5" t="s">
        <v>121</v>
      </c>
      <c r="AY95" s="5" t="s">
        <v>121</v>
      </c>
      <c r="AZ95" s="5" t="s">
        <v>121</v>
      </c>
      <c r="BA95" s="5" t="s">
        <v>121</v>
      </c>
      <c r="BB95" s="5" t="s">
        <v>3510</v>
      </c>
      <c r="BC95" s="5" t="s">
        <v>121</v>
      </c>
      <c r="BD95" s="5" t="s">
        <v>121</v>
      </c>
      <c r="BE95" s="5" t="s">
        <v>121</v>
      </c>
      <c r="BF95" s="5" t="s">
        <v>13173</v>
      </c>
      <c r="BG95" s="5" t="s">
        <v>121</v>
      </c>
      <c r="BH95" s="5" t="s">
        <v>12815</v>
      </c>
      <c r="BI95" s="5" t="s">
        <v>121</v>
      </c>
      <c r="BJ95" s="5" t="s">
        <v>1095</v>
      </c>
      <c r="BK95" s="5" t="s">
        <v>121</v>
      </c>
      <c r="BL95" s="5" t="s">
        <v>13174</v>
      </c>
      <c r="BM95" s="5" t="s">
        <v>13174</v>
      </c>
      <c r="BN95" s="5" t="s">
        <v>1096</v>
      </c>
      <c r="BO95" s="5" t="s">
        <v>11984</v>
      </c>
      <c r="BP95" s="5" t="s">
        <v>2854</v>
      </c>
      <c r="BQ95" s="5" t="s">
        <v>121</v>
      </c>
      <c r="BR95" s="5" t="s">
        <v>2854</v>
      </c>
      <c r="BS95" s="5" t="s">
        <v>121</v>
      </c>
      <c r="BT95" s="5" t="s">
        <v>121</v>
      </c>
      <c r="BU95" s="5" t="s">
        <v>121</v>
      </c>
      <c r="BV95" s="5" t="s">
        <v>3510</v>
      </c>
      <c r="BW95" s="5" t="s">
        <v>3510</v>
      </c>
      <c r="BX95" s="5" t="s">
        <v>3510</v>
      </c>
      <c r="BY95" s="5" t="s">
        <v>13175</v>
      </c>
      <c r="BZ95" s="5" t="s">
        <v>13176</v>
      </c>
      <c r="CA95" s="5" t="s">
        <v>121</v>
      </c>
      <c r="CB95" s="5" t="s">
        <v>121</v>
      </c>
      <c r="CC95" s="5" t="s">
        <v>1093</v>
      </c>
      <c r="CD95" s="5" t="s">
        <v>121</v>
      </c>
      <c r="CE95" s="5" t="s">
        <v>121</v>
      </c>
      <c r="CF95" s="5" t="s">
        <v>11958</v>
      </c>
      <c r="CG95" s="5" t="s">
        <v>121</v>
      </c>
      <c r="CH95" s="5" t="s">
        <v>121</v>
      </c>
      <c r="CI95" s="5" t="s">
        <v>12034</v>
      </c>
      <c r="CJ95" s="5" t="s">
        <v>124</v>
      </c>
      <c r="CK95" s="5" t="s">
        <v>1097</v>
      </c>
      <c r="CL95" s="5" t="s">
        <v>3510</v>
      </c>
      <c r="CM95" s="5" t="s">
        <v>124</v>
      </c>
      <c r="CN95" s="5" t="s">
        <v>121</v>
      </c>
      <c r="CO95" s="5" t="s">
        <v>121</v>
      </c>
      <c r="CP95" s="5" t="s">
        <v>3510</v>
      </c>
      <c r="CQ95" s="5" t="s">
        <v>1100</v>
      </c>
      <c r="CR95" s="5" t="s">
        <v>11960</v>
      </c>
      <c r="CS95" s="5" t="s">
        <v>2854</v>
      </c>
      <c r="CT95" s="5" t="s">
        <v>3510</v>
      </c>
      <c r="CU95" s="5" t="s">
        <v>3510</v>
      </c>
      <c r="CV95" s="5" t="s">
        <v>11952</v>
      </c>
      <c r="CW95" s="5" t="s">
        <v>13177</v>
      </c>
      <c r="CX95" s="5" t="s">
        <v>13178</v>
      </c>
      <c r="CY95" s="5" t="s">
        <v>13179</v>
      </c>
      <c r="CZ95" s="5" t="s">
        <v>11989</v>
      </c>
      <c r="DA95" s="5" t="s">
        <v>11989</v>
      </c>
      <c r="DB95" s="5" t="s">
        <v>13180</v>
      </c>
      <c r="DC95" s="5" t="s">
        <v>13181</v>
      </c>
      <c r="DD95" s="5" t="s">
        <v>11963</v>
      </c>
      <c r="DE95" s="5" t="s">
        <v>13182</v>
      </c>
      <c r="DF95" s="5" t="s">
        <v>3510</v>
      </c>
      <c r="DG95" s="5" t="s">
        <v>13183</v>
      </c>
      <c r="DH95" s="5" t="s">
        <v>13184</v>
      </c>
      <c r="DI95" s="5" t="s">
        <v>11975</v>
      </c>
      <c r="DJ95" s="5" t="s">
        <v>11994</v>
      </c>
      <c r="DK95" s="5" t="s">
        <v>13185</v>
      </c>
      <c r="DL95" s="5">
        <v>4</v>
      </c>
      <c r="DM95" s="5">
        <v>4</v>
      </c>
      <c r="DN95" s="5">
        <v>3.5</v>
      </c>
      <c r="DO95" s="5">
        <v>5</v>
      </c>
      <c r="DP95" s="5">
        <v>2</v>
      </c>
      <c r="DQ95" s="5">
        <v>1.5</v>
      </c>
      <c r="DR95" s="5">
        <v>1</v>
      </c>
      <c r="DS95" s="5">
        <v>66.5</v>
      </c>
      <c r="DT95" s="5" t="s">
        <v>11968</v>
      </c>
      <c r="DU95" s="5" t="s">
        <v>12116</v>
      </c>
      <c r="DV95" s="5" t="s">
        <v>11970</v>
      </c>
      <c r="DW95" s="5"/>
      <c r="DX95" s="5">
        <v>38</v>
      </c>
      <c r="DY95" s="5"/>
      <c r="DZ95" s="5">
        <v>100</v>
      </c>
      <c r="EA95" s="5"/>
      <c r="EB95" s="5">
        <v>0.38</v>
      </c>
      <c r="EC95" s="5"/>
      <c r="ED95" s="5" t="s">
        <v>11971</v>
      </c>
      <c r="EE95" s="5"/>
      <c r="EF95" s="5" t="s">
        <v>11997</v>
      </c>
      <c r="EG95" s="5"/>
      <c r="EH95" s="5" t="s">
        <v>11997</v>
      </c>
      <c r="EI95" s="5"/>
      <c r="EJ95" s="5" t="s">
        <v>11997</v>
      </c>
      <c r="EK95" s="5"/>
      <c r="EL95" s="5" t="s">
        <v>11997</v>
      </c>
      <c r="EM95" s="5"/>
      <c r="EN95" s="5" t="s">
        <v>11997</v>
      </c>
      <c r="EO95" s="5"/>
      <c r="EP95" s="5" t="s">
        <v>11998</v>
      </c>
      <c r="EQ95" s="5"/>
      <c r="ER95" s="5" t="s">
        <v>11997</v>
      </c>
      <c r="ES95" s="5"/>
      <c r="ET95" s="5" t="s">
        <v>11972</v>
      </c>
      <c r="EU95" s="5"/>
      <c r="EV95" s="5"/>
      <c r="EW95" s="5"/>
      <c r="EX95" s="5"/>
      <c r="EY95" s="5" t="s">
        <v>5862</v>
      </c>
      <c r="EZ95" s="5"/>
      <c r="FA95" s="5" t="s">
        <v>1103</v>
      </c>
      <c r="FB95" s="5"/>
    </row>
    <row r="96" spans="1:158" ht="76.5">
      <c r="A96" s="5" t="s">
        <v>1105</v>
      </c>
      <c r="B96" s="5" t="s">
        <v>1106</v>
      </c>
      <c r="C96" s="5" t="s">
        <v>11952</v>
      </c>
      <c r="D96" s="5" t="s">
        <v>1107</v>
      </c>
      <c r="E96" s="5" t="s">
        <v>11953</v>
      </c>
      <c r="F96" s="5" t="s">
        <v>11954</v>
      </c>
      <c r="G96" s="5" t="s">
        <v>11955</v>
      </c>
      <c r="H96" s="5" t="s">
        <v>11235</v>
      </c>
      <c r="I96" s="5" t="s">
        <v>1065</v>
      </c>
      <c r="J96" s="5" t="s">
        <v>3510</v>
      </c>
      <c r="K96" s="5" t="s">
        <v>11956</v>
      </c>
      <c r="L96" s="5" t="s">
        <v>1112</v>
      </c>
      <c r="M96" s="5" t="s">
        <v>11952</v>
      </c>
      <c r="N96" s="5" t="s">
        <v>11952</v>
      </c>
      <c r="O96" s="5" t="s">
        <v>11952</v>
      </c>
      <c r="P96" s="5" t="s">
        <v>1112</v>
      </c>
      <c r="Q96" s="5" t="s">
        <v>11952</v>
      </c>
      <c r="R96" s="5" t="s">
        <v>11952</v>
      </c>
      <c r="S96" s="5" t="s">
        <v>11952</v>
      </c>
      <c r="T96" s="5" t="s">
        <v>121</v>
      </c>
      <c r="U96" s="5" t="s">
        <v>3510</v>
      </c>
      <c r="V96" s="5" t="s">
        <v>121</v>
      </c>
      <c r="W96" s="5" t="s">
        <v>121</v>
      </c>
      <c r="X96" s="5" t="s">
        <v>121</v>
      </c>
      <c r="Y96" s="5" t="s">
        <v>121</v>
      </c>
      <c r="Z96" s="5" t="s">
        <v>11952</v>
      </c>
      <c r="AA96" s="5" t="s">
        <v>11952</v>
      </c>
      <c r="AB96" s="5" t="s">
        <v>121</v>
      </c>
      <c r="AC96" s="5" t="s">
        <v>121</v>
      </c>
      <c r="AD96" s="5" t="s">
        <v>121</v>
      </c>
      <c r="AE96" s="5" t="s">
        <v>121</v>
      </c>
      <c r="AF96" s="5" t="s">
        <v>121</v>
      </c>
      <c r="AG96" s="5" t="s">
        <v>121</v>
      </c>
      <c r="AH96" s="5" t="s">
        <v>121</v>
      </c>
      <c r="AI96" s="5" t="s">
        <v>121</v>
      </c>
      <c r="AJ96" s="5" t="s">
        <v>121</v>
      </c>
      <c r="AK96" s="5" t="s">
        <v>121</v>
      </c>
      <c r="AL96" s="5" t="s">
        <v>121</v>
      </c>
      <c r="AM96" s="5" t="s">
        <v>121</v>
      </c>
      <c r="AN96" s="5" t="s">
        <v>121</v>
      </c>
      <c r="AO96" s="5" t="s">
        <v>121</v>
      </c>
      <c r="AP96" s="5" t="s">
        <v>121</v>
      </c>
      <c r="AQ96" s="5" t="s">
        <v>121</v>
      </c>
      <c r="AR96" s="5" t="s">
        <v>121</v>
      </c>
      <c r="AS96" s="5" t="s">
        <v>121</v>
      </c>
      <c r="AT96" s="5" t="s">
        <v>121</v>
      </c>
      <c r="AU96" s="5" t="s">
        <v>121</v>
      </c>
      <c r="AV96" s="5" t="s">
        <v>121</v>
      </c>
      <c r="AW96" s="5" t="s">
        <v>121</v>
      </c>
      <c r="AX96" s="5" t="s">
        <v>121</v>
      </c>
      <c r="AY96" s="5" t="s">
        <v>121</v>
      </c>
      <c r="AZ96" s="5" t="s">
        <v>121</v>
      </c>
      <c r="BA96" s="5" t="s">
        <v>121</v>
      </c>
      <c r="BB96" s="5" t="s">
        <v>121</v>
      </c>
      <c r="BC96" s="5" t="s">
        <v>121</v>
      </c>
      <c r="BD96" s="5" t="s">
        <v>121</v>
      </c>
      <c r="BE96" s="5" t="s">
        <v>121</v>
      </c>
      <c r="BF96" s="5" t="s">
        <v>121</v>
      </c>
      <c r="BG96" s="5" t="s">
        <v>121</v>
      </c>
      <c r="BH96" s="5" t="s">
        <v>13158</v>
      </c>
      <c r="BI96" s="5" t="s">
        <v>121</v>
      </c>
      <c r="BJ96" s="5" t="s">
        <v>1109</v>
      </c>
      <c r="BK96" s="5" t="s">
        <v>121</v>
      </c>
      <c r="BL96" s="5" t="s">
        <v>13186</v>
      </c>
      <c r="BM96" s="5" t="s">
        <v>13186</v>
      </c>
      <c r="BN96" s="5" t="s">
        <v>1110</v>
      </c>
      <c r="BO96" s="5" t="s">
        <v>13187</v>
      </c>
      <c r="BP96" s="5" t="s">
        <v>121</v>
      </c>
      <c r="BQ96" s="5" t="s">
        <v>121</v>
      </c>
      <c r="BR96" s="5" t="s">
        <v>2854</v>
      </c>
      <c r="BS96" s="5" t="s">
        <v>121</v>
      </c>
      <c r="BT96" s="5" t="s">
        <v>121</v>
      </c>
      <c r="BU96" s="5" t="s">
        <v>121</v>
      </c>
      <c r="BV96" s="5" t="s">
        <v>3510</v>
      </c>
      <c r="BW96" s="5" t="s">
        <v>3510</v>
      </c>
      <c r="BX96" s="5" t="s">
        <v>3510</v>
      </c>
      <c r="BY96" s="5" t="s">
        <v>13188</v>
      </c>
      <c r="BZ96" s="5" t="s">
        <v>121</v>
      </c>
      <c r="CA96" s="5" t="s">
        <v>121</v>
      </c>
      <c r="CB96" s="5" t="s">
        <v>121</v>
      </c>
      <c r="CC96" s="5" t="s">
        <v>1108</v>
      </c>
      <c r="CD96" s="5" t="s">
        <v>121</v>
      </c>
      <c r="CE96" s="5" t="s">
        <v>121</v>
      </c>
      <c r="CF96" s="5" t="s">
        <v>11958</v>
      </c>
      <c r="CG96" s="5" t="s">
        <v>121</v>
      </c>
      <c r="CH96" s="5" t="s">
        <v>121</v>
      </c>
      <c r="CI96" s="5" t="s">
        <v>11972</v>
      </c>
      <c r="CJ96" s="5" t="s">
        <v>124</v>
      </c>
      <c r="CK96" s="5" t="s">
        <v>121</v>
      </c>
      <c r="CL96" s="5" t="s">
        <v>3510</v>
      </c>
      <c r="CM96" s="5" t="s">
        <v>124</v>
      </c>
      <c r="CN96" s="5" t="s">
        <v>121</v>
      </c>
      <c r="CO96" s="5" t="s">
        <v>121</v>
      </c>
      <c r="CP96" s="5" t="s">
        <v>3510</v>
      </c>
      <c r="CQ96" s="5" t="s">
        <v>1111</v>
      </c>
      <c r="CR96" s="5" t="s">
        <v>11960</v>
      </c>
      <c r="CS96" s="5" t="s">
        <v>3510</v>
      </c>
      <c r="CT96" s="5" t="s">
        <v>3510</v>
      </c>
      <c r="CU96" s="5" t="s">
        <v>3510</v>
      </c>
      <c r="CV96" s="5" t="s">
        <v>11952</v>
      </c>
      <c r="CW96" s="5" t="s">
        <v>11952</v>
      </c>
      <c r="CX96" s="5" t="s">
        <v>13160</v>
      </c>
      <c r="CY96" s="5" t="s">
        <v>13189</v>
      </c>
      <c r="CZ96" s="5" t="s">
        <v>3510</v>
      </c>
      <c r="DA96" s="5" t="s">
        <v>11952</v>
      </c>
      <c r="DB96" s="5" t="s">
        <v>11963</v>
      </c>
      <c r="DC96" s="5" t="s">
        <v>11963</v>
      </c>
      <c r="DD96" s="5" t="s">
        <v>11963</v>
      </c>
      <c r="DE96" s="5" t="s">
        <v>11963</v>
      </c>
      <c r="DF96" s="5" t="s">
        <v>3510</v>
      </c>
      <c r="DG96" s="5" t="s">
        <v>11964</v>
      </c>
      <c r="DH96" s="5" t="s">
        <v>13190</v>
      </c>
      <c r="DI96" s="5" t="s">
        <v>11966</v>
      </c>
      <c r="DJ96" s="5" t="s">
        <v>11994</v>
      </c>
      <c r="DK96" s="5" t="s">
        <v>12201</v>
      </c>
      <c r="DL96" s="5">
        <v>3</v>
      </c>
      <c r="DM96" s="5">
        <v>2</v>
      </c>
      <c r="DN96" s="5">
        <v>2</v>
      </c>
      <c r="DO96" s="5">
        <v>1</v>
      </c>
      <c r="DP96" s="5">
        <v>0</v>
      </c>
      <c r="DQ96" s="5">
        <v>0</v>
      </c>
      <c r="DR96" s="5">
        <v>0</v>
      </c>
      <c r="DS96" s="5">
        <v>29</v>
      </c>
      <c r="DT96" s="5" t="s">
        <v>11968</v>
      </c>
      <c r="DU96" s="5" t="s">
        <v>11969</v>
      </c>
      <c r="DV96" s="5" t="s">
        <v>11970</v>
      </c>
      <c r="DW96" s="5"/>
      <c r="DX96" s="5">
        <v>19</v>
      </c>
      <c r="DY96" s="5"/>
      <c r="DZ96" s="5">
        <v>100</v>
      </c>
      <c r="EA96" s="5"/>
      <c r="EB96" s="5">
        <v>0.19</v>
      </c>
      <c r="EC96" s="5"/>
      <c r="ED96" s="5" t="s">
        <v>11971</v>
      </c>
      <c r="EE96" s="5"/>
      <c r="EF96" s="5" t="s">
        <v>11997</v>
      </c>
      <c r="EG96" s="5"/>
      <c r="EH96" s="5" t="s">
        <v>11997</v>
      </c>
      <c r="EI96" s="5"/>
      <c r="EJ96" s="5" t="s">
        <v>11997</v>
      </c>
      <c r="EK96" s="5"/>
      <c r="EL96" s="5" t="s">
        <v>11997</v>
      </c>
      <c r="EM96" s="5"/>
      <c r="EN96" s="5" t="s">
        <v>11997</v>
      </c>
      <c r="EO96" s="5"/>
      <c r="EP96" s="5" t="s">
        <v>11998</v>
      </c>
      <c r="EQ96" s="5"/>
      <c r="ER96" s="5" t="s">
        <v>11997</v>
      </c>
      <c r="ES96" s="5"/>
      <c r="ET96" s="5" t="s">
        <v>11972</v>
      </c>
      <c r="EU96" s="5"/>
      <c r="EV96" s="5"/>
      <c r="EW96" s="5"/>
      <c r="EX96" s="5"/>
      <c r="EY96" s="5" t="s">
        <v>5899</v>
      </c>
      <c r="EZ96" s="5"/>
      <c r="FA96" s="5" t="s">
        <v>1112</v>
      </c>
      <c r="FB96" s="5"/>
    </row>
    <row r="97" spans="1:158" ht="89.25">
      <c r="A97" s="5" t="s">
        <v>1114</v>
      </c>
      <c r="B97" s="5" t="s">
        <v>1115</v>
      </c>
      <c r="C97" s="5" t="s">
        <v>11952</v>
      </c>
      <c r="D97" s="5" t="s">
        <v>1116</v>
      </c>
      <c r="E97" s="5" t="s">
        <v>11953</v>
      </c>
      <c r="F97" s="5" t="s">
        <v>11954</v>
      </c>
      <c r="G97" s="5" t="s">
        <v>11955</v>
      </c>
      <c r="H97" s="5" t="s">
        <v>11237</v>
      </c>
      <c r="I97" s="5" t="s">
        <v>1065</v>
      </c>
      <c r="J97" s="5" t="s">
        <v>3510</v>
      </c>
      <c r="K97" s="5" t="s">
        <v>11956</v>
      </c>
      <c r="L97" s="5" t="s">
        <v>1125</v>
      </c>
      <c r="M97" s="5" t="s">
        <v>11952</v>
      </c>
      <c r="N97" s="5" t="s">
        <v>11952</v>
      </c>
      <c r="O97" s="5" t="s">
        <v>11952</v>
      </c>
      <c r="P97" s="5" t="s">
        <v>1125</v>
      </c>
      <c r="Q97" s="5" t="s">
        <v>11952</v>
      </c>
      <c r="R97" s="5" t="s">
        <v>11952</v>
      </c>
      <c r="S97" s="5" t="s">
        <v>11952</v>
      </c>
      <c r="T97" s="5" t="s">
        <v>121</v>
      </c>
      <c r="U97" s="5" t="s">
        <v>2854</v>
      </c>
      <c r="V97" s="5" t="s">
        <v>1125</v>
      </c>
      <c r="W97" s="5" t="s">
        <v>121</v>
      </c>
      <c r="X97" s="5" t="s">
        <v>1125</v>
      </c>
      <c r="Y97" s="5" t="s">
        <v>121</v>
      </c>
      <c r="Z97" s="5" t="s">
        <v>121</v>
      </c>
      <c r="AA97" s="5" t="s">
        <v>11981</v>
      </c>
      <c r="AB97" s="5" t="s">
        <v>155</v>
      </c>
      <c r="AC97" s="5" t="s">
        <v>1121</v>
      </c>
      <c r="AD97" s="5" t="s">
        <v>121</v>
      </c>
      <c r="AE97" s="5" t="s">
        <v>121</v>
      </c>
      <c r="AF97" s="5" t="s">
        <v>1121</v>
      </c>
      <c r="AG97" s="5" t="s">
        <v>121</v>
      </c>
      <c r="AH97" s="5" t="s">
        <v>121</v>
      </c>
      <c r="AI97" s="5" t="s">
        <v>121</v>
      </c>
      <c r="AJ97" s="5" t="s">
        <v>121</v>
      </c>
      <c r="AK97" s="5" t="s">
        <v>121</v>
      </c>
      <c r="AL97" s="5" t="s">
        <v>121</v>
      </c>
      <c r="AM97" s="5" t="s">
        <v>121</v>
      </c>
      <c r="AN97" s="5" t="s">
        <v>121</v>
      </c>
      <c r="AO97" s="5" t="s">
        <v>121</v>
      </c>
      <c r="AP97" s="5" t="s">
        <v>13191</v>
      </c>
      <c r="AQ97" s="5" t="s">
        <v>121</v>
      </c>
      <c r="AR97" s="5" t="s">
        <v>13192</v>
      </c>
      <c r="AS97" s="5" t="s">
        <v>1122</v>
      </c>
      <c r="AT97" s="5" t="s">
        <v>121</v>
      </c>
      <c r="AU97" s="5" t="s">
        <v>1118</v>
      </c>
      <c r="AV97" s="5" t="s">
        <v>121</v>
      </c>
      <c r="AW97" s="5" t="s">
        <v>121</v>
      </c>
      <c r="AX97" s="5" t="s">
        <v>121</v>
      </c>
      <c r="AY97" s="5" t="s">
        <v>121</v>
      </c>
      <c r="AZ97" s="5" t="s">
        <v>121</v>
      </c>
      <c r="BA97" s="5" t="s">
        <v>121</v>
      </c>
      <c r="BB97" s="5" t="s">
        <v>121</v>
      </c>
      <c r="BC97" s="5" t="s">
        <v>2854</v>
      </c>
      <c r="BD97" s="5" t="s">
        <v>121</v>
      </c>
      <c r="BE97" s="5" t="s">
        <v>12395</v>
      </c>
      <c r="BF97" s="5" t="s">
        <v>12395</v>
      </c>
      <c r="BG97" s="5" t="s">
        <v>121</v>
      </c>
      <c r="BH97" s="5" t="s">
        <v>12721</v>
      </c>
      <c r="BI97" s="5" t="s">
        <v>121</v>
      </c>
      <c r="BJ97" s="5" t="s">
        <v>1119</v>
      </c>
      <c r="BK97" s="5" t="s">
        <v>121</v>
      </c>
      <c r="BL97" s="5" t="s">
        <v>1117</v>
      </c>
      <c r="BM97" s="5" t="s">
        <v>1117</v>
      </c>
      <c r="BN97" s="5" t="s">
        <v>1120</v>
      </c>
      <c r="BO97" s="5" t="s">
        <v>12280</v>
      </c>
      <c r="BP97" s="5" t="s">
        <v>121</v>
      </c>
      <c r="BQ97" s="5" t="s">
        <v>2854</v>
      </c>
      <c r="BR97" s="5" t="s">
        <v>121</v>
      </c>
      <c r="BS97" s="5" t="s">
        <v>121</v>
      </c>
      <c r="BT97" s="5" t="s">
        <v>121</v>
      </c>
      <c r="BU97" s="5" t="s">
        <v>121</v>
      </c>
      <c r="BV97" s="5" t="s">
        <v>121</v>
      </c>
      <c r="BW97" s="5" t="s">
        <v>121</v>
      </c>
      <c r="BX97" s="5" t="s">
        <v>121</v>
      </c>
      <c r="BY97" s="5" t="s">
        <v>13193</v>
      </c>
      <c r="BZ97" s="5" t="s">
        <v>13194</v>
      </c>
      <c r="CA97" s="5" t="s">
        <v>121</v>
      </c>
      <c r="CB97" s="5" t="s">
        <v>121</v>
      </c>
      <c r="CC97" s="5" t="s">
        <v>1117</v>
      </c>
      <c r="CD97" s="5" t="s">
        <v>121</v>
      </c>
      <c r="CE97" s="5" t="s">
        <v>121</v>
      </c>
      <c r="CF97" s="5" t="s">
        <v>11958</v>
      </c>
      <c r="CG97" s="5" t="s">
        <v>121</v>
      </c>
      <c r="CH97" s="5" t="s">
        <v>121</v>
      </c>
      <c r="CI97" s="5" t="s">
        <v>11959</v>
      </c>
      <c r="CJ97" s="5" t="s">
        <v>124</v>
      </c>
      <c r="CK97" s="5" t="s">
        <v>241</v>
      </c>
      <c r="CL97" s="5" t="s">
        <v>3510</v>
      </c>
      <c r="CM97" s="5" t="s">
        <v>124</v>
      </c>
      <c r="CN97" s="5" t="s">
        <v>121</v>
      </c>
      <c r="CO97" s="5" t="s">
        <v>121</v>
      </c>
      <c r="CP97" s="5" t="s">
        <v>3510</v>
      </c>
      <c r="CQ97" s="5" t="s">
        <v>1123</v>
      </c>
      <c r="CR97" s="5" t="s">
        <v>12187</v>
      </c>
      <c r="CS97" s="5" t="s">
        <v>3510</v>
      </c>
      <c r="CT97" s="5" t="s">
        <v>3510</v>
      </c>
      <c r="CU97" s="5" t="s">
        <v>2854</v>
      </c>
      <c r="CV97" s="5" t="s">
        <v>1118</v>
      </c>
      <c r="CW97" s="5" t="s">
        <v>11952</v>
      </c>
      <c r="CX97" s="5" t="s">
        <v>13152</v>
      </c>
      <c r="CY97" s="5" t="s">
        <v>13195</v>
      </c>
      <c r="CZ97" s="5" t="s">
        <v>11952</v>
      </c>
      <c r="DA97" s="5" t="s">
        <v>3510</v>
      </c>
      <c r="DB97" s="5" t="s">
        <v>11963</v>
      </c>
      <c r="DC97" s="5" t="s">
        <v>11963</v>
      </c>
      <c r="DD97" s="5" t="s">
        <v>11963</v>
      </c>
      <c r="DE97" s="5" t="s">
        <v>11963</v>
      </c>
      <c r="DF97" s="5" t="s">
        <v>3510</v>
      </c>
      <c r="DG97" s="5" t="s">
        <v>11964</v>
      </c>
      <c r="DH97" s="5" t="s">
        <v>13196</v>
      </c>
      <c r="DI97" s="5" t="s">
        <v>11975</v>
      </c>
      <c r="DJ97" s="5" t="s">
        <v>11966</v>
      </c>
      <c r="DK97" s="5" t="s">
        <v>11967</v>
      </c>
      <c r="DL97" s="5">
        <v>5</v>
      </c>
      <c r="DM97" s="5">
        <v>1</v>
      </c>
      <c r="DN97" s="5">
        <v>3.5</v>
      </c>
      <c r="DO97" s="5">
        <v>3</v>
      </c>
      <c r="DP97" s="5">
        <v>5</v>
      </c>
      <c r="DQ97" s="5">
        <v>5</v>
      </c>
      <c r="DR97" s="5">
        <v>0.5</v>
      </c>
      <c r="DS97" s="5">
        <v>64.5</v>
      </c>
      <c r="DT97" s="5" t="s">
        <v>11968</v>
      </c>
      <c r="DU97" s="5" t="s">
        <v>11969</v>
      </c>
      <c r="DV97" s="5" t="s">
        <v>11970</v>
      </c>
      <c r="DW97" s="5"/>
      <c r="DX97" s="5">
        <v>23</v>
      </c>
      <c r="DY97" s="5"/>
      <c r="DZ97" s="5">
        <v>100</v>
      </c>
      <c r="EA97" s="5"/>
      <c r="EB97" s="5">
        <v>0.23</v>
      </c>
      <c r="EC97" s="5"/>
      <c r="ED97" s="5" t="s">
        <v>11971</v>
      </c>
      <c r="EE97" s="5"/>
      <c r="EF97" s="5" t="s">
        <v>11997</v>
      </c>
      <c r="EG97" s="5"/>
      <c r="EH97" s="5" t="s">
        <v>11997</v>
      </c>
      <c r="EI97" s="5"/>
      <c r="EJ97" s="5" t="s">
        <v>11997</v>
      </c>
      <c r="EK97" s="5"/>
      <c r="EL97" s="5" t="s">
        <v>11997</v>
      </c>
      <c r="EM97" s="5"/>
      <c r="EN97" s="5" t="s">
        <v>11997</v>
      </c>
      <c r="EO97" s="5"/>
      <c r="EP97" s="5" t="s">
        <v>11998</v>
      </c>
      <c r="EQ97" s="5"/>
      <c r="ER97" s="5" t="s">
        <v>11997</v>
      </c>
      <c r="ES97" s="5"/>
      <c r="ET97" s="5" t="s">
        <v>11972</v>
      </c>
      <c r="EU97" s="5"/>
      <c r="EV97" s="5"/>
      <c r="EW97" s="5"/>
      <c r="EX97" s="5"/>
      <c r="EY97" s="5" t="s">
        <v>5926</v>
      </c>
      <c r="EZ97" s="5"/>
      <c r="FA97" s="5" t="s">
        <v>1125</v>
      </c>
      <c r="FB97" s="5"/>
    </row>
    <row r="98" spans="1:158" ht="255">
      <c r="A98" s="5" t="s">
        <v>1127</v>
      </c>
      <c r="B98" s="5" t="s">
        <v>1128</v>
      </c>
      <c r="C98" s="5" t="s">
        <v>13197</v>
      </c>
      <c r="D98" s="5" t="s">
        <v>1129</v>
      </c>
      <c r="E98" s="5" t="s">
        <v>12011</v>
      </c>
      <c r="F98" s="5" t="s">
        <v>11994</v>
      </c>
      <c r="G98" s="5" t="s">
        <v>13198</v>
      </c>
      <c r="H98" s="5" t="s">
        <v>12530</v>
      </c>
      <c r="I98" s="5" t="s">
        <v>1065</v>
      </c>
      <c r="J98" s="5" t="s">
        <v>3510</v>
      </c>
      <c r="K98" s="5" t="s">
        <v>13199</v>
      </c>
      <c r="L98" s="5" t="s">
        <v>1137</v>
      </c>
      <c r="M98" s="5" t="s">
        <v>11952</v>
      </c>
      <c r="N98" s="5" t="s">
        <v>11952</v>
      </c>
      <c r="O98" s="5" t="s">
        <v>11952</v>
      </c>
      <c r="P98" s="5" t="s">
        <v>1137</v>
      </c>
      <c r="Q98" s="5" t="s">
        <v>11952</v>
      </c>
      <c r="R98" s="5" t="s">
        <v>11952</v>
      </c>
      <c r="S98" s="5" t="s">
        <v>11952</v>
      </c>
      <c r="T98" s="5" t="s">
        <v>121</v>
      </c>
      <c r="U98" s="5" t="s">
        <v>2854</v>
      </c>
      <c r="V98" s="5" t="s">
        <v>13200</v>
      </c>
      <c r="W98" s="5" t="s">
        <v>121</v>
      </c>
      <c r="X98" s="5" t="s">
        <v>11499</v>
      </c>
      <c r="Y98" s="5" t="s">
        <v>121</v>
      </c>
      <c r="Z98" s="5" t="s">
        <v>121</v>
      </c>
      <c r="AA98" s="5" t="s">
        <v>11981</v>
      </c>
      <c r="AB98" s="5" t="s">
        <v>155</v>
      </c>
      <c r="AC98" s="5" t="s">
        <v>1133</v>
      </c>
      <c r="AD98" s="5" t="s">
        <v>121</v>
      </c>
      <c r="AE98" s="5" t="s">
        <v>121</v>
      </c>
      <c r="AF98" s="5" t="s">
        <v>1133</v>
      </c>
      <c r="AG98" s="5" t="s">
        <v>121</v>
      </c>
      <c r="AH98" s="5" t="s">
        <v>121</v>
      </c>
      <c r="AI98" s="5" t="s">
        <v>121</v>
      </c>
      <c r="AJ98" s="5" t="s">
        <v>121</v>
      </c>
      <c r="AK98" s="5" t="s">
        <v>121</v>
      </c>
      <c r="AL98" s="5" t="s">
        <v>121</v>
      </c>
      <c r="AM98" s="5" t="s">
        <v>121</v>
      </c>
      <c r="AN98" s="5" t="s">
        <v>13201</v>
      </c>
      <c r="AO98" s="5" t="s">
        <v>121</v>
      </c>
      <c r="AP98" s="5" t="s">
        <v>121</v>
      </c>
      <c r="AQ98" s="5" t="s">
        <v>121</v>
      </c>
      <c r="AR98" s="5" t="s">
        <v>121</v>
      </c>
      <c r="AS98" s="5" t="s">
        <v>1134</v>
      </c>
      <c r="AT98" s="5" t="s">
        <v>121</v>
      </c>
      <c r="AU98" s="5" t="s">
        <v>121</v>
      </c>
      <c r="AV98" s="5" t="s">
        <v>121</v>
      </c>
      <c r="AW98" s="5" t="s">
        <v>121</v>
      </c>
      <c r="AX98" s="5" t="s">
        <v>121</v>
      </c>
      <c r="AY98" s="5" t="s">
        <v>121</v>
      </c>
      <c r="AZ98" s="5" t="s">
        <v>121</v>
      </c>
      <c r="BA98" s="5" t="s">
        <v>121</v>
      </c>
      <c r="BB98" s="5" t="s">
        <v>3510</v>
      </c>
      <c r="BC98" s="5" t="s">
        <v>3510</v>
      </c>
      <c r="BD98" s="5" t="s">
        <v>121</v>
      </c>
      <c r="BE98" s="5" t="s">
        <v>121</v>
      </c>
      <c r="BF98" s="5" t="s">
        <v>121</v>
      </c>
      <c r="BG98" s="5" t="s">
        <v>121</v>
      </c>
      <c r="BH98" s="5" t="s">
        <v>12721</v>
      </c>
      <c r="BI98" s="5" t="s">
        <v>121</v>
      </c>
      <c r="BJ98" s="5" t="s">
        <v>1131</v>
      </c>
      <c r="BK98" s="5" t="s">
        <v>121</v>
      </c>
      <c r="BL98" s="5" t="s">
        <v>13186</v>
      </c>
      <c r="BM98" s="5" t="s">
        <v>13186</v>
      </c>
      <c r="BN98" s="5" t="s">
        <v>1132</v>
      </c>
      <c r="BO98" s="5" t="s">
        <v>13187</v>
      </c>
      <c r="BP98" s="5" t="s">
        <v>121</v>
      </c>
      <c r="BQ98" s="5" t="s">
        <v>2854</v>
      </c>
      <c r="BR98" s="5" t="s">
        <v>2854</v>
      </c>
      <c r="BS98" s="5" t="s">
        <v>2854</v>
      </c>
      <c r="BT98" s="5" t="s">
        <v>121</v>
      </c>
      <c r="BU98" s="5" t="s">
        <v>121</v>
      </c>
      <c r="BV98" s="5" t="s">
        <v>3510</v>
      </c>
      <c r="BW98" s="5" t="s">
        <v>3510</v>
      </c>
      <c r="BX98" s="5" t="s">
        <v>3510</v>
      </c>
      <c r="BY98" s="5" t="s">
        <v>13202</v>
      </c>
      <c r="BZ98" s="5" t="s">
        <v>13203</v>
      </c>
      <c r="CA98" s="5" t="s">
        <v>121</v>
      </c>
      <c r="CB98" s="5" t="s">
        <v>121</v>
      </c>
      <c r="CC98" s="5" t="s">
        <v>1130</v>
      </c>
      <c r="CD98" s="5" t="s">
        <v>121</v>
      </c>
      <c r="CE98" s="5" t="s">
        <v>121</v>
      </c>
      <c r="CF98" s="5" t="s">
        <v>11958</v>
      </c>
      <c r="CG98" s="5" t="s">
        <v>121</v>
      </c>
      <c r="CH98" s="5" t="s">
        <v>121</v>
      </c>
      <c r="CI98" s="5" t="s">
        <v>12749</v>
      </c>
      <c r="CJ98" s="5" t="s">
        <v>124</v>
      </c>
      <c r="CK98" s="5" t="s">
        <v>241</v>
      </c>
      <c r="CL98" s="5" t="s">
        <v>3510</v>
      </c>
      <c r="CM98" s="5" t="s">
        <v>124</v>
      </c>
      <c r="CN98" s="5" t="s">
        <v>121</v>
      </c>
      <c r="CO98" s="5" t="s">
        <v>121</v>
      </c>
      <c r="CP98" s="5" t="s">
        <v>3510</v>
      </c>
      <c r="CQ98" s="5" t="s">
        <v>1135</v>
      </c>
      <c r="CR98" s="5" t="s">
        <v>12187</v>
      </c>
      <c r="CS98" s="5" t="s">
        <v>3510</v>
      </c>
      <c r="CT98" s="5" t="s">
        <v>3510</v>
      </c>
      <c r="CU98" s="5" t="s">
        <v>2854</v>
      </c>
      <c r="CV98" s="5" t="s">
        <v>13204</v>
      </c>
      <c r="CW98" s="5" t="s">
        <v>11952</v>
      </c>
      <c r="CX98" s="5" t="s">
        <v>13205</v>
      </c>
      <c r="CY98" s="5" t="s">
        <v>13206</v>
      </c>
      <c r="CZ98" s="5" t="s">
        <v>11989</v>
      </c>
      <c r="DA98" s="5" t="s">
        <v>11989</v>
      </c>
      <c r="DB98" s="5" t="s">
        <v>11963</v>
      </c>
      <c r="DC98" s="5" t="s">
        <v>13207</v>
      </c>
      <c r="DD98" s="5" t="s">
        <v>11963</v>
      </c>
      <c r="DE98" s="5" t="s">
        <v>13208</v>
      </c>
      <c r="DF98" s="5" t="s">
        <v>2854</v>
      </c>
      <c r="DG98" s="5" t="s">
        <v>12194</v>
      </c>
      <c r="DH98" s="5" t="s">
        <v>13209</v>
      </c>
      <c r="DI98" s="5" t="s">
        <v>11975</v>
      </c>
      <c r="DJ98" s="5" t="s">
        <v>11966</v>
      </c>
      <c r="DK98" s="5" t="s">
        <v>13210</v>
      </c>
      <c r="DL98" s="5">
        <v>5</v>
      </c>
      <c r="DM98" s="5">
        <v>3</v>
      </c>
      <c r="DN98" s="5">
        <v>3.5</v>
      </c>
      <c r="DO98" s="5">
        <v>1</v>
      </c>
      <c r="DP98" s="5">
        <v>1</v>
      </c>
      <c r="DQ98" s="5">
        <v>0</v>
      </c>
      <c r="DR98" s="5">
        <v>0</v>
      </c>
      <c r="DS98" s="5">
        <v>47.5</v>
      </c>
      <c r="DT98" s="5" t="s">
        <v>11968</v>
      </c>
      <c r="DU98" s="5" t="s">
        <v>12116</v>
      </c>
      <c r="DV98" s="5" t="s">
        <v>11970</v>
      </c>
      <c r="DW98" s="5"/>
      <c r="DX98" s="5">
        <v>19</v>
      </c>
      <c r="DY98" s="5"/>
      <c r="DZ98" s="5">
        <v>100</v>
      </c>
      <c r="EA98" s="5"/>
      <c r="EB98" s="5">
        <v>0.19</v>
      </c>
      <c r="EC98" s="5"/>
      <c r="ED98" s="5" t="s">
        <v>11971</v>
      </c>
      <c r="EE98" s="5"/>
      <c r="EF98" s="5" t="s">
        <v>11997</v>
      </c>
      <c r="EG98" s="5"/>
      <c r="EH98" s="5" t="s">
        <v>11997</v>
      </c>
      <c r="EI98" s="5"/>
      <c r="EJ98" s="5" t="s">
        <v>11997</v>
      </c>
      <c r="EK98" s="5"/>
      <c r="EL98" s="5" t="s">
        <v>11997</v>
      </c>
      <c r="EM98" s="5"/>
      <c r="EN98" s="5" t="s">
        <v>11997</v>
      </c>
      <c r="EO98" s="5"/>
      <c r="EP98" s="5" t="s">
        <v>11998</v>
      </c>
      <c r="EQ98" s="5"/>
      <c r="ER98" s="5" t="s">
        <v>11997</v>
      </c>
      <c r="ES98" s="5"/>
      <c r="ET98" s="5" t="s">
        <v>11972</v>
      </c>
      <c r="EU98" s="5"/>
      <c r="EV98" s="5"/>
      <c r="EW98" s="5"/>
      <c r="EX98" s="5"/>
      <c r="EY98" s="5" t="s">
        <v>5959</v>
      </c>
      <c r="EZ98" s="5"/>
      <c r="FA98" s="5" t="s">
        <v>1137</v>
      </c>
      <c r="FB98" s="5"/>
    </row>
    <row r="99" spans="1:158" ht="76.5">
      <c r="A99" s="5" t="s">
        <v>1139</v>
      </c>
      <c r="B99" s="5" t="s">
        <v>1140</v>
      </c>
      <c r="C99" s="5" t="s">
        <v>11952</v>
      </c>
      <c r="D99" s="5" t="s">
        <v>1070</v>
      </c>
      <c r="E99" s="5" t="s">
        <v>11953</v>
      </c>
      <c r="F99" s="5" t="s">
        <v>11954</v>
      </c>
      <c r="G99" s="5" t="s">
        <v>11955</v>
      </c>
      <c r="H99" s="5" t="s">
        <v>11235</v>
      </c>
      <c r="I99" s="5" t="s">
        <v>1065</v>
      </c>
      <c r="J99" s="5" t="s">
        <v>3510</v>
      </c>
      <c r="K99" s="5" t="s">
        <v>11956</v>
      </c>
      <c r="L99" s="5" t="s">
        <v>1145</v>
      </c>
      <c r="M99" s="5" t="s">
        <v>11952</v>
      </c>
      <c r="N99" s="5" t="s">
        <v>11952</v>
      </c>
      <c r="O99" s="5" t="s">
        <v>11952</v>
      </c>
      <c r="P99" s="5" t="s">
        <v>1145</v>
      </c>
      <c r="Q99" s="5" t="s">
        <v>11952</v>
      </c>
      <c r="R99" s="5" t="s">
        <v>11952</v>
      </c>
      <c r="S99" s="5" t="s">
        <v>11952</v>
      </c>
      <c r="T99" s="5" t="s">
        <v>121</v>
      </c>
      <c r="U99" s="5" t="s">
        <v>3510</v>
      </c>
      <c r="V99" s="5" t="s">
        <v>121</v>
      </c>
      <c r="W99" s="5" t="s">
        <v>121</v>
      </c>
      <c r="X99" s="5" t="s">
        <v>121</v>
      </c>
      <c r="Y99" s="5" t="s">
        <v>121</v>
      </c>
      <c r="Z99" s="5" t="s">
        <v>11952</v>
      </c>
      <c r="AA99" s="5" t="s">
        <v>11952</v>
      </c>
      <c r="AB99" s="5" t="s">
        <v>121</v>
      </c>
      <c r="AC99" s="5" t="s">
        <v>121</v>
      </c>
      <c r="AD99" s="5" t="s">
        <v>121</v>
      </c>
      <c r="AE99" s="5" t="s">
        <v>121</v>
      </c>
      <c r="AF99" s="5" t="s">
        <v>121</v>
      </c>
      <c r="AG99" s="5" t="s">
        <v>121</v>
      </c>
      <c r="AH99" s="5" t="s">
        <v>121</v>
      </c>
      <c r="AI99" s="5" t="s">
        <v>121</v>
      </c>
      <c r="AJ99" s="5" t="s">
        <v>121</v>
      </c>
      <c r="AK99" s="5" t="s">
        <v>121</v>
      </c>
      <c r="AL99" s="5" t="s">
        <v>121</v>
      </c>
      <c r="AM99" s="5" t="s">
        <v>121</v>
      </c>
      <c r="AN99" s="5" t="s">
        <v>121</v>
      </c>
      <c r="AO99" s="5" t="s">
        <v>121</v>
      </c>
      <c r="AP99" s="5" t="s">
        <v>121</v>
      </c>
      <c r="AQ99" s="5" t="s">
        <v>121</v>
      </c>
      <c r="AR99" s="5" t="s">
        <v>121</v>
      </c>
      <c r="AS99" s="5" t="s">
        <v>121</v>
      </c>
      <c r="AT99" s="5" t="s">
        <v>121</v>
      </c>
      <c r="AU99" s="5" t="s">
        <v>121</v>
      </c>
      <c r="AV99" s="5" t="s">
        <v>121</v>
      </c>
      <c r="AW99" s="5" t="s">
        <v>121</v>
      </c>
      <c r="AX99" s="5" t="s">
        <v>121</v>
      </c>
      <c r="AY99" s="5" t="s">
        <v>121</v>
      </c>
      <c r="AZ99" s="5" t="s">
        <v>121</v>
      </c>
      <c r="BA99" s="5" t="s">
        <v>121</v>
      </c>
      <c r="BB99" s="5" t="s">
        <v>121</v>
      </c>
      <c r="BC99" s="5" t="s">
        <v>121</v>
      </c>
      <c r="BD99" s="5" t="s">
        <v>121</v>
      </c>
      <c r="BE99" s="5" t="s">
        <v>121</v>
      </c>
      <c r="BF99" s="5" t="s">
        <v>121</v>
      </c>
      <c r="BG99" s="5" t="s">
        <v>121</v>
      </c>
      <c r="BH99" s="5" t="s">
        <v>12721</v>
      </c>
      <c r="BI99" s="5" t="s">
        <v>121</v>
      </c>
      <c r="BJ99" s="5" t="s">
        <v>1141</v>
      </c>
      <c r="BK99" s="5" t="s">
        <v>121</v>
      </c>
      <c r="BL99" s="5" t="s">
        <v>1195</v>
      </c>
      <c r="BM99" s="5" t="s">
        <v>1195</v>
      </c>
      <c r="BN99" s="5" t="s">
        <v>1110</v>
      </c>
      <c r="BO99" s="5" t="s">
        <v>13187</v>
      </c>
      <c r="BP99" s="5" t="s">
        <v>121</v>
      </c>
      <c r="BQ99" s="5" t="s">
        <v>2854</v>
      </c>
      <c r="BR99" s="5" t="s">
        <v>121</v>
      </c>
      <c r="BS99" s="5" t="s">
        <v>121</v>
      </c>
      <c r="BT99" s="5" t="s">
        <v>121</v>
      </c>
      <c r="BU99" s="5" t="s">
        <v>121</v>
      </c>
      <c r="BV99" s="5" t="s">
        <v>3510</v>
      </c>
      <c r="BW99" s="5" t="s">
        <v>3510</v>
      </c>
      <c r="BX99" s="5" t="s">
        <v>3510</v>
      </c>
      <c r="BY99" s="5" t="s">
        <v>13188</v>
      </c>
      <c r="BZ99" s="5" t="s">
        <v>121</v>
      </c>
      <c r="CA99" s="5" t="s">
        <v>121</v>
      </c>
      <c r="CB99" s="5" t="s">
        <v>121</v>
      </c>
      <c r="CC99" s="5" t="s">
        <v>332</v>
      </c>
      <c r="CD99" s="5" t="s">
        <v>121</v>
      </c>
      <c r="CE99" s="5" t="s">
        <v>121</v>
      </c>
      <c r="CF99" s="5" t="s">
        <v>11958</v>
      </c>
      <c r="CG99" s="5" t="s">
        <v>121</v>
      </c>
      <c r="CH99" s="5" t="s">
        <v>121</v>
      </c>
      <c r="CI99" s="5" t="s">
        <v>11959</v>
      </c>
      <c r="CJ99" s="5" t="s">
        <v>124</v>
      </c>
      <c r="CK99" s="5" t="s">
        <v>121</v>
      </c>
      <c r="CL99" s="5" t="s">
        <v>3510</v>
      </c>
      <c r="CM99" s="5" t="s">
        <v>124</v>
      </c>
      <c r="CN99" s="5" t="s">
        <v>121</v>
      </c>
      <c r="CO99" s="5" t="s">
        <v>121</v>
      </c>
      <c r="CP99" s="5" t="s">
        <v>3510</v>
      </c>
      <c r="CQ99" s="5" t="s">
        <v>1144</v>
      </c>
      <c r="CR99" s="5" t="s">
        <v>11960</v>
      </c>
      <c r="CS99" s="5" t="s">
        <v>3510</v>
      </c>
      <c r="CT99" s="5" t="s">
        <v>3510</v>
      </c>
      <c r="CU99" s="5" t="s">
        <v>3510</v>
      </c>
      <c r="CV99" s="5" t="s">
        <v>11952</v>
      </c>
      <c r="CW99" s="5" t="s">
        <v>11952</v>
      </c>
      <c r="CX99" s="5" t="s">
        <v>13160</v>
      </c>
      <c r="CY99" s="5" t="s">
        <v>13211</v>
      </c>
      <c r="CZ99" s="5" t="s">
        <v>3510</v>
      </c>
      <c r="DA99" s="5" t="s">
        <v>11952</v>
      </c>
      <c r="DB99" s="5" t="s">
        <v>11963</v>
      </c>
      <c r="DC99" s="5" t="s">
        <v>11963</v>
      </c>
      <c r="DD99" s="5" t="s">
        <v>11963</v>
      </c>
      <c r="DE99" s="5" t="s">
        <v>11963</v>
      </c>
      <c r="DF99" s="5" t="s">
        <v>3510</v>
      </c>
      <c r="DG99" s="5" t="s">
        <v>11964</v>
      </c>
      <c r="DH99" s="5" t="s">
        <v>13212</v>
      </c>
      <c r="DI99" s="5" t="s">
        <v>11966</v>
      </c>
      <c r="DJ99" s="5" t="s">
        <v>11966</v>
      </c>
      <c r="DK99" s="5" t="s">
        <v>11967</v>
      </c>
      <c r="DL99" s="5">
        <v>3</v>
      </c>
      <c r="DM99" s="5">
        <v>2</v>
      </c>
      <c r="DN99" s="5">
        <v>2</v>
      </c>
      <c r="DO99" s="5">
        <v>1</v>
      </c>
      <c r="DP99" s="5">
        <v>0</v>
      </c>
      <c r="DQ99" s="5">
        <v>0</v>
      </c>
      <c r="DR99" s="5">
        <v>0</v>
      </c>
      <c r="DS99" s="5">
        <v>29</v>
      </c>
      <c r="DT99" s="5" t="s">
        <v>11968</v>
      </c>
      <c r="DU99" s="5" t="s">
        <v>11969</v>
      </c>
      <c r="DV99" s="5" t="s">
        <v>11970</v>
      </c>
      <c r="DW99" s="5"/>
      <c r="DX99" s="5">
        <v>19</v>
      </c>
      <c r="DY99" s="5"/>
      <c r="DZ99" s="5">
        <v>100</v>
      </c>
      <c r="EA99" s="5"/>
      <c r="EB99" s="5">
        <v>0.19</v>
      </c>
      <c r="EC99" s="5"/>
      <c r="ED99" s="5" t="s">
        <v>11971</v>
      </c>
      <c r="EE99" s="5"/>
      <c r="EF99" s="5" t="s">
        <v>11997</v>
      </c>
      <c r="EG99" s="5"/>
      <c r="EH99" s="5" t="s">
        <v>11997</v>
      </c>
      <c r="EI99" s="5"/>
      <c r="EJ99" s="5" t="s">
        <v>11997</v>
      </c>
      <c r="EK99" s="5"/>
      <c r="EL99" s="5" t="s">
        <v>11997</v>
      </c>
      <c r="EM99" s="5"/>
      <c r="EN99" s="5" t="s">
        <v>11997</v>
      </c>
      <c r="EO99" s="5"/>
      <c r="EP99" s="5" t="s">
        <v>11998</v>
      </c>
      <c r="EQ99" s="5"/>
      <c r="ER99" s="5" t="s">
        <v>11997</v>
      </c>
      <c r="ES99" s="5"/>
      <c r="ET99" s="5" t="s">
        <v>11972</v>
      </c>
      <c r="EU99" s="5"/>
      <c r="EV99" s="5"/>
      <c r="EW99" s="5"/>
      <c r="EX99" s="5"/>
      <c r="EY99" s="5" t="s">
        <v>5991</v>
      </c>
      <c r="EZ99" s="5"/>
      <c r="FA99" s="5" t="s">
        <v>1145</v>
      </c>
      <c r="FB99" s="5"/>
    </row>
    <row r="100" spans="1:158" ht="89.25">
      <c r="A100" s="5" t="s">
        <v>1147</v>
      </c>
      <c r="B100" s="5" t="s">
        <v>1148</v>
      </c>
      <c r="C100" s="5" t="s">
        <v>11952</v>
      </c>
      <c r="D100" s="5" t="s">
        <v>1149</v>
      </c>
      <c r="E100" s="5" t="s">
        <v>11953</v>
      </c>
      <c r="F100" s="5" t="s">
        <v>11954</v>
      </c>
      <c r="G100" s="5" t="s">
        <v>11955</v>
      </c>
      <c r="H100" s="5" t="s">
        <v>11237</v>
      </c>
      <c r="I100" s="5" t="s">
        <v>1065</v>
      </c>
      <c r="J100" s="5" t="s">
        <v>3510</v>
      </c>
      <c r="K100" s="5" t="s">
        <v>11956</v>
      </c>
      <c r="L100" s="5" t="s">
        <v>1156</v>
      </c>
      <c r="M100" s="5" t="s">
        <v>11952</v>
      </c>
      <c r="N100" s="5" t="s">
        <v>11952</v>
      </c>
      <c r="O100" s="5" t="s">
        <v>11952</v>
      </c>
      <c r="P100" s="5" t="s">
        <v>1156</v>
      </c>
      <c r="Q100" s="5" t="s">
        <v>11952</v>
      </c>
      <c r="R100" s="5" t="s">
        <v>11952</v>
      </c>
      <c r="S100" s="5" t="s">
        <v>11952</v>
      </c>
      <c r="T100" s="5" t="s">
        <v>121</v>
      </c>
      <c r="U100" s="5" t="s">
        <v>2854</v>
      </c>
      <c r="V100" s="5" t="s">
        <v>1156</v>
      </c>
      <c r="W100" s="5" t="s">
        <v>121</v>
      </c>
      <c r="X100" s="5" t="s">
        <v>1156</v>
      </c>
      <c r="Y100" s="5" t="s">
        <v>121</v>
      </c>
      <c r="Z100" s="5" t="s">
        <v>121</v>
      </c>
      <c r="AA100" s="5" t="s">
        <v>11981</v>
      </c>
      <c r="AB100" s="5" t="s">
        <v>121</v>
      </c>
      <c r="AC100" s="5" t="s">
        <v>121</v>
      </c>
      <c r="AD100" s="5" t="s">
        <v>121</v>
      </c>
      <c r="AE100" s="5" t="s">
        <v>121</v>
      </c>
      <c r="AF100" s="5" t="s">
        <v>121</v>
      </c>
      <c r="AG100" s="5" t="s">
        <v>121</v>
      </c>
      <c r="AH100" s="5" t="s">
        <v>121</v>
      </c>
      <c r="AI100" s="5" t="s">
        <v>121</v>
      </c>
      <c r="AJ100" s="5" t="s">
        <v>121</v>
      </c>
      <c r="AK100" s="5" t="s">
        <v>121</v>
      </c>
      <c r="AL100" s="5" t="s">
        <v>121</v>
      </c>
      <c r="AM100" s="5" t="s">
        <v>121</v>
      </c>
      <c r="AN100" s="5" t="s">
        <v>121</v>
      </c>
      <c r="AO100" s="5" t="s">
        <v>121</v>
      </c>
      <c r="AP100" s="5" t="s">
        <v>13191</v>
      </c>
      <c r="AQ100" s="5" t="s">
        <v>121</v>
      </c>
      <c r="AR100" s="5" t="s">
        <v>13213</v>
      </c>
      <c r="AS100" s="5" t="s">
        <v>1154</v>
      </c>
      <c r="AT100" s="5" t="s">
        <v>121</v>
      </c>
      <c r="AU100" s="5" t="s">
        <v>1151</v>
      </c>
      <c r="AV100" s="5" t="s">
        <v>121</v>
      </c>
      <c r="AW100" s="5" t="s">
        <v>121</v>
      </c>
      <c r="AX100" s="5" t="s">
        <v>121</v>
      </c>
      <c r="AY100" s="5" t="s">
        <v>121</v>
      </c>
      <c r="AZ100" s="5" t="s">
        <v>121</v>
      </c>
      <c r="BA100" s="5" t="s">
        <v>121</v>
      </c>
      <c r="BB100" s="5" t="s">
        <v>121</v>
      </c>
      <c r="BC100" s="5" t="s">
        <v>121</v>
      </c>
      <c r="BD100" s="5" t="s">
        <v>121</v>
      </c>
      <c r="BE100" s="5" t="s">
        <v>12395</v>
      </c>
      <c r="BF100" s="5" t="s">
        <v>12395</v>
      </c>
      <c r="BG100" s="5" t="s">
        <v>121</v>
      </c>
      <c r="BH100" s="5" t="s">
        <v>13214</v>
      </c>
      <c r="BI100" s="5" t="s">
        <v>121</v>
      </c>
      <c r="BJ100" s="5" t="s">
        <v>1152</v>
      </c>
      <c r="BK100" s="5" t="s">
        <v>121</v>
      </c>
      <c r="BL100" s="5" t="s">
        <v>1195</v>
      </c>
      <c r="BM100" s="5" t="s">
        <v>1195</v>
      </c>
      <c r="BN100" s="5" t="s">
        <v>1153</v>
      </c>
      <c r="BO100" s="5" t="s">
        <v>1474</v>
      </c>
      <c r="BP100" s="5" t="s">
        <v>121</v>
      </c>
      <c r="BQ100" s="5" t="s">
        <v>2854</v>
      </c>
      <c r="BR100" s="5" t="s">
        <v>121</v>
      </c>
      <c r="BS100" s="5" t="s">
        <v>121</v>
      </c>
      <c r="BT100" s="5" t="s">
        <v>121</v>
      </c>
      <c r="BU100" s="5" t="s">
        <v>121</v>
      </c>
      <c r="BV100" s="5" t="s">
        <v>121</v>
      </c>
      <c r="BW100" s="5" t="s">
        <v>121</v>
      </c>
      <c r="BX100" s="5" t="s">
        <v>121</v>
      </c>
      <c r="BY100" s="5" t="s">
        <v>13215</v>
      </c>
      <c r="BZ100" s="5" t="s">
        <v>13216</v>
      </c>
      <c r="CA100" s="5" t="s">
        <v>121</v>
      </c>
      <c r="CB100" s="5" t="s">
        <v>121</v>
      </c>
      <c r="CC100" s="5" t="s">
        <v>1150</v>
      </c>
      <c r="CD100" s="5" t="s">
        <v>121</v>
      </c>
      <c r="CE100" s="5" t="s">
        <v>121</v>
      </c>
      <c r="CF100" s="5" t="s">
        <v>11958</v>
      </c>
      <c r="CG100" s="5" t="s">
        <v>121</v>
      </c>
      <c r="CH100" s="5" t="s">
        <v>121</v>
      </c>
      <c r="CI100" s="5" t="s">
        <v>11959</v>
      </c>
      <c r="CJ100" s="5" t="s">
        <v>124</v>
      </c>
      <c r="CK100" s="5" t="s">
        <v>121</v>
      </c>
      <c r="CL100" s="5" t="s">
        <v>3510</v>
      </c>
      <c r="CM100" s="5" t="s">
        <v>124</v>
      </c>
      <c r="CN100" s="5" t="s">
        <v>121</v>
      </c>
      <c r="CO100" s="5" t="s">
        <v>121</v>
      </c>
      <c r="CP100" s="5" t="s">
        <v>3510</v>
      </c>
      <c r="CQ100" s="5" t="s">
        <v>1155</v>
      </c>
      <c r="CR100" s="5" t="s">
        <v>12187</v>
      </c>
      <c r="CS100" s="5" t="s">
        <v>3510</v>
      </c>
      <c r="CT100" s="5" t="s">
        <v>3510</v>
      </c>
      <c r="CU100" s="5" t="s">
        <v>2854</v>
      </c>
      <c r="CV100" s="5" t="s">
        <v>13217</v>
      </c>
      <c r="CW100" s="5" t="s">
        <v>11490</v>
      </c>
      <c r="CX100" s="5" t="s">
        <v>13152</v>
      </c>
      <c r="CY100" s="5" t="s">
        <v>13218</v>
      </c>
      <c r="CZ100" s="5" t="s">
        <v>11952</v>
      </c>
      <c r="DA100" s="5" t="s">
        <v>3510</v>
      </c>
      <c r="DB100" s="5" t="s">
        <v>11963</v>
      </c>
      <c r="DC100" s="5" t="s">
        <v>11963</v>
      </c>
      <c r="DD100" s="5" t="s">
        <v>11963</v>
      </c>
      <c r="DE100" s="5" t="s">
        <v>11963</v>
      </c>
      <c r="DF100" s="5" t="s">
        <v>3510</v>
      </c>
      <c r="DG100" s="5" t="s">
        <v>11964</v>
      </c>
      <c r="DH100" s="5" t="s">
        <v>13219</v>
      </c>
      <c r="DI100" s="5" t="s">
        <v>11975</v>
      </c>
      <c r="DJ100" s="5" t="s">
        <v>11966</v>
      </c>
      <c r="DK100" s="5" t="s">
        <v>11967</v>
      </c>
      <c r="DL100" s="5">
        <v>4</v>
      </c>
      <c r="DM100" s="5">
        <v>1</v>
      </c>
      <c r="DN100" s="5">
        <v>3</v>
      </c>
      <c r="DO100" s="5">
        <v>4</v>
      </c>
      <c r="DP100" s="5">
        <v>4</v>
      </c>
      <c r="DQ100" s="5">
        <v>2</v>
      </c>
      <c r="DR100" s="5">
        <v>0</v>
      </c>
      <c r="DS100" s="5">
        <v>53</v>
      </c>
      <c r="DT100" s="5" t="s">
        <v>11968</v>
      </c>
      <c r="DU100" s="5" t="s">
        <v>11969</v>
      </c>
      <c r="DV100" s="5" t="s">
        <v>11970</v>
      </c>
      <c r="DW100" s="5"/>
      <c r="DX100" s="5">
        <v>19</v>
      </c>
      <c r="DY100" s="5"/>
      <c r="DZ100" s="5">
        <v>100</v>
      </c>
      <c r="EA100" s="5"/>
      <c r="EB100" s="5">
        <v>0.19</v>
      </c>
      <c r="EC100" s="5"/>
      <c r="ED100" s="5" t="s">
        <v>11971</v>
      </c>
      <c r="EE100" s="5"/>
      <c r="EF100" s="5" t="s">
        <v>11997</v>
      </c>
      <c r="EG100" s="5"/>
      <c r="EH100" s="5" t="s">
        <v>11997</v>
      </c>
      <c r="EI100" s="5"/>
      <c r="EJ100" s="5" t="s">
        <v>11997</v>
      </c>
      <c r="EK100" s="5"/>
      <c r="EL100" s="5" t="s">
        <v>11997</v>
      </c>
      <c r="EM100" s="5"/>
      <c r="EN100" s="5" t="s">
        <v>11997</v>
      </c>
      <c r="EO100" s="5"/>
      <c r="EP100" s="5" t="s">
        <v>11998</v>
      </c>
      <c r="EQ100" s="5"/>
      <c r="ER100" s="5" t="s">
        <v>11997</v>
      </c>
      <c r="ES100" s="5"/>
      <c r="ET100" s="5" t="s">
        <v>11972</v>
      </c>
      <c r="EU100" s="5"/>
      <c r="EV100" s="5"/>
      <c r="EW100" s="5"/>
      <c r="EX100" s="5"/>
      <c r="EY100" s="5" t="s">
        <v>6018</v>
      </c>
      <c r="EZ100" s="5"/>
      <c r="FA100" s="5" t="s">
        <v>1156</v>
      </c>
      <c r="FB100" s="5"/>
    </row>
    <row r="101" spans="1:158" ht="255">
      <c r="A101" s="5" t="s">
        <v>39</v>
      </c>
      <c r="B101" s="5" t="s">
        <v>1158</v>
      </c>
      <c r="C101" s="5" t="s">
        <v>11952</v>
      </c>
      <c r="D101" s="5" t="s">
        <v>13220</v>
      </c>
      <c r="E101" s="5" t="s">
        <v>11953</v>
      </c>
      <c r="F101" s="5" t="s">
        <v>11954</v>
      </c>
      <c r="G101" s="5" t="s">
        <v>11955</v>
      </c>
      <c r="H101" s="5" t="s">
        <v>11237</v>
      </c>
      <c r="I101" s="5" t="s">
        <v>1065</v>
      </c>
      <c r="J101" s="5" t="s">
        <v>3510</v>
      </c>
      <c r="K101" s="5" t="s">
        <v>11956</v>
      </c>
      <c r="L101" s="5" t="s">
        <v>1166</v>
      </c>
      <c r="M101" s="5" t="s">
        <v>11952</v>
      </c>
      <c r="N101" s="5" t="s">
        <v>11952</v>
      </c>
      <c r="O101" s="5" t="s">
        <v>11952</v>
      </c>
      <c r="P101" s="5" t="s">
        <v>1166</v>
      </c>
      <c r="Q101" s="5" t="s">
        <v>11952</v>
      </c>
      <c r="R101" s="5" t="s">
        <v>11952</v>
      </c>
      <c r="S101" s="5" t="s">
        <v>11952</v>
      </c>
      <c r="T101" s="5" t="s">
        <v>13221</v>
      </c>
      <c r="U101" s="5" t="s">
        <v>2854</v>
      </c>
      <c r="V101" s="5" t="s">
        <v>1167</v>
      </c>
      <c r="W101" s="5" t="s">
        <v>121</v>
      </c>
      <c r="X101" s="5" t="s">
        <v>1167</v>
      </c>
      <c r="Y101" s="5" t="s">
        <v>121</v>
      </c>
      <c r="Z101" s="5" t="s">
        <v>12276</v>
      </c>
      <c r="AA101" s="5" t="s">
        <v>11981</v>
      </c>
      <c r="AB101" s="5" t="s">
        <v>155</v>
      </c>
      <c r="AC101" s="5" t="s">
        <v>13222</v>
      </c>
      <c r="AD101" s="5" t="s">
        <v>121</v>
      </c>
      <c r="AE101" s="5" t="s">
        <v>121</v>
      </c>
      <c r="AF101" s="5" t="s">
        <v>13222</v>
      </c>
      <c r="AG101" s="5" t="s">
        <v>121</v>
      </c>
      <c r="AH101" s="5" t="s">
        <v>121</v>
      </c>
      <c r="AI101" s="5" t="s">
        <v>121</v>
      </c>
      <c r="AJ101" s="5" t="s">
        <v>121</v>
      </c>
      <c r="AK101" s="5" t="s">
        <v>121</v>
      </c>
      <c r="AL101" s="5" t="s">
        <v>121</v>
      </c>
      <c r="AM101" s="5" t="s">
        <v>121</v>
      </c>
      <c r="AN101" s="5" t="s">
        <v>12854</v>
      </c>
      <c r="AO101" s="5" t="s">
        <v>121</v>
      </c>
      <c r="AP101" s="5" t="s">
        <v>2302</v>
      </c>
      <c r="AQ101" s="5" t="s">
        <v>121</v>
      </c>
      <c r="AR101" s="5" t="s">
        <v>13148</v>
      </c>
      <c r="AS101" s="5" t="s">
        <v>1063</v>
      </c>
      <c r="AT101" s="5" t="s">
        <v>121</v>
      </c>
      <c r="AU101" s="5" t="s">
        <v>13223</v>
      </c>
      <c r="AV101" s="5" t="s">
        <v>12003</v>
      </c>
      <c r="AW101" s="5" t="s">
        <v>13223</v>
      </c>
      <c r="AX101" s="5" t="s">
        <v>12344</v>
      </c>
      <c r="AY101" s="5" t="s">
        <v>121</v>
      </c>
      <c r="AZ101" s="5" t="s">
        <v>121</v>
      </c>
      <c r="BA101" s="5" t="s">
        <v>121</v>
      </c>
      <c r="BB101" s="5" t="s">
        <v>121</v>
      </c>
      <c r="BC101" s="5" t="s">
        <v>121</v>
      </c>
      <c r="BD101" s="5" t="s">
        <v>121</v>
      </c>
      <c r="BE101" s="5" t="s">
        <v>121</v>
      </c>
      <c r="BF101" s="5" t="s">
        <v>121</v>
      </c>
      <c r="BG101" s="5" t="s">
        <v>121</v>
      </c>
      <c r="BH101" s="5" t="s">
        <v>13224</v>
      </c>
      <c r="BI101" s="5" t="s">
        <v>121</v>
      </c>
      <c r="BJ101" s="5" t="s">
        <v>13225</v>
      </c>
      <c r="BK101" s="5" t="s">
        <v>121</v>
      </c>
      <c r="BL101" s="5" t="s">
        <v>13226</v>
      </c>
      <c r="BM101" s="5" t="s">
        <v>13226</v>
      </c>
      <c r="BN101" s="5" t="s">
        <v>13227</v>
      </c>
      <c r="BO101" s="5" t="s">
        <v>11984</v>
      </c>
      <c r="BP101" s="5" t="s">
        <v>2854</v>
      </c>
      <c r="BQ101" s="5" t="s">
        <v>2854</v>
      </c>
      <c r="BR101" s="5" t="s">
        <v>2854</v>
      </c>
      <c r="BS101" s="5" t="s">
        <v>121</v>
      </c>
      <c r="BT101" s="5" t="s">
        <v>121</v>
      </c>
      <c r="BU101" s="5" t="s">
        <v>121</v>
      </c>
      <c r="BV101" s="5" t="s">
        <v>121</v>
      </c>
      <c r="BW101" s="5" t="s">
        <v>121</v>
      </c>
      <c r="BX101" s="5" t="s">
        <v>121</v>
      </c>
      <c r="BY101" s="5" t="s">
        <v>13228</v>
      </c>
      <c r="BZ101" s="5" t="s">
        <v>13229</v>
      </c>
      <c r="CA101" s="5" t="s">
        <v>121</v>
      </c>
      <c r="CB101" s="5" t="s">
        <v>121</v>
      </c>
      <c r="CC101" s="5" t="s">
        <v>13230</v>
      </c>
      <c r="CD101" s="5" t="s">
        <v>121</v>
      </c>
      <c r="CE101" s="5" t="s">
        <v>121</v>
      </c>
      <c r="CF101" s="5" t="s">
        <v>11958</v>
      </c>
      <c r="CG101" s="5" t="s">
        <v>121</v>
      </c>
      <c r="CH101" s="5" t="s">
        <v>121</v>
      </c>
      <c r="CI101" s="5" t="s">
        <v>12034</v>
      </c>
      <c r="CJ101" s="5" t="s">
        <v>124</v>
      </c>
      <c r="CK101" s="5" t="s">
        <v>1060</v>
      </c>
      <c r="CL101" s="5" t="s">
        <v>3510</v>
      </c>
      <c r="CM101" s="5" t="s">
        <v>124</v>
      </c>
      <c r="CN101" s="5" t="s">
        <v>121</v>
      </c>
      <c r="CO101" s="5" t="s">
        <v>121</v>
      </c>
      <c r="CP101" s="5" t="s">
        <v>3510</v>
      </c>
      <c r="CQ101" s="5" t="s">
        <v>13231</v>
      </c>
      <c r="CR101" s="5" t="s">
        <v>11960</v>
      </c>
      <c r="CS101" s="5" t="s">
        <v>3510</v>
      </c>
      <c r="CT101" s="5" t="s">
        <v>3510</v>
      </c>
      <c r="CU101" s="5" t="s">
        <v>3510</v>
      </c>
      <c r="CV101" s="5" t="s">
        <v>11952</v>
      </c>
      <c r="CW101" s="5" t="s">
        <v>11952</v>
      </c>
      <c r="CX101" s="5" t="s">
        <v>13152</v>
      </c>
      <c r="CY101" s="5" t="s">
        <v>13232</v>
      </c>
      <c r="CZ101" s="5" t="s">
        <v>11952</v>
      </c>
      <c r="DA101" s="5" t="s">
        <v>3510</v>
      </c>
      <c r="DB101" s="5" t="s">
        <v>11963</v>
      </c>
      <c r="DC101" s="5" t="s">
        <v>11963</v>
      </c>
      <c r="DD101" s="5" t="s">
        <v>11963</v>
      </c>
      <c r="DE101" s="5" t="s">
        <v>11963</v>
      </c>
      <c r="DF101" s="5" t="s">
        <v>3510</v>
      </c>
      <c r="DG101" s="5" t="s">
        <v>11964</v>
      </c>
      <c r="DH101" s="5" t="s">
        <v>13233</v>
      </c>
      <c r="DI101" s="5" t="s">
        <v>11994</v>
      </c>
      <c r="DJ101" s="5" t="s">
        <v>11966</v>
      </c>
      <c r="DK101" s="5" t="s">
        <v>11967</v>
      </c>
      <c r="DL101" s="5">
        <v>5</v>
      </c>
      <c r="DM101" s="5">
        <v>5</v>
      </c>
      <c r="DN101" s="5">
        <v>4.5</v>
      </c>
      <c r="DO101" s="5">
        <v>4</v>
      </c>
      <c r="DP101" s="5">
        <v>3</v>
      </c>
      <c r="DQ101" s="5">
        <v>3</v>
      </c>
      <c r="DR101" s="5">
        <v>1</v>
      </c>
      <c r="DS101" s="5">
        <v>79.5</v>
      </c>
      <c r="DT101" s="5" t="s">
        <v>11968</v>
      </c>
      <c r="DU101" s="5" t="s">
        <v>11969</v>
      </c>
      <c r="DV101" s="5" t="s">
        <v>11970</v>
      </c>
      <c r="DW101" s="5"/>
      <c r="DX101" s="5">
        <v>43</v>
      </c>
      <c r="DY101" s="5"/>
      <c r="DZ101" s="5">
        <v>100</v>
      </c>
      <c r="EA101" s="5"/>
      <c r="EB101" s="5">
        <v>0.43</v>
      </c>
      <c r="EC101" s="5"/>
      <c r="ED101" s="5" t="s">
        <v>11971</v>
      </c>
      <c r="EE101" s="5"/>
      <c r="EF101" s="5" t="s">
        <v>11997</v>
      </c>
      <c r="EG101" s="5"/>
      <c r="EH101" s="5" t="s">
        <v>11997</v>
      </c>
      <c r="EI101" s="5"/>
      <c r="EJ101" s="5" t="s">
        <v>11997</v>
      </c>
      <c r="EK101" s="5"/>
      <c r="EL101" s="5" t="s">
        <v>11997</v>
      </c>
      <c r="EM101" s="5"/>
      <c r="EN101" s="5" t="s">
        <v>11997</v>
      </c>
      <c r="EO101" s="5"/>
      <c r="EP101" s="5" t="s">
        <v>11998</v>
      </c>
      <c r="EQ101" s="5"/>
      <c r="ER101" s="5" t="s">
        <v>11997</v>
      </c>
      <c r="ES101" s="5"/>
      <c r="ET101" s="5" t="s">
        <v>11972</v>
      </c>
      <c r="EU101" s="5"/>
      <c r="EV101" s="5"/>
      <c r="EW101" s="5"/>
      <c r="EX101" s="5"/>
      <c r="EY101" s="5" t="s">
        <v>13234</v>
      </c>
      <c r="EZ101" s="5"/>
      <c r="FA101" s="5" t="s">
        <v>1166</v>
      </c>
      <c r="FB101" s="5"/>
    </row>
    <row r="102" spans="1:158" ht="409.5">
      <c r="A102" s="5" t="s">
        <v>1169</v>
      </c>
      <c r="B102" s="5" t="s">
        <v>1170</v>
      </c>
      <c r="C102" s="5" t="s">
        <v>13235</v>
      </c>
      <c r="D102" s="5" t="s">
        <v>1171</v>
      </c>
      <c r="E102" s="5" t="s">
        <v>12011</v>
      </c>
      <c r="F102" s="5" t="s">
        <v>11994</v>
      </c>
      <c r="G102" s="5" t="s">
        <v>13236</v>
      </c>
      <c r="H102" s="5" t="s">
        <v>12530</v>
      </c>
      <c r="I102" s="5" t="s">
        <v>1181</v>
      </c>
      <c r="J102" s="5" t="s">
        <v>2854</v>
      </c>
      <c r="K102" s="5" t="s">
        <v>13237</v>
      </c>
      <c r="L102" s="5" t="s">
        <v>1182</v>
      </c>
      <c r="M102" s="5" t="s">
        <v>11952</v>
      </c>
      <c r="N102" s="5" t="s">
        <v>11952</v>
      </c>
      <c r="O102" s="5" t="s">
        <v>11952</v>
      </c>
      <c r="P102" s="5" t="s">
        <v>1182</v>
      </c>
      <c r="Q102" s="5" t="s">
        <v>11952</v>
      </c>
      <c r="R102" s="5" t="s">
        <v>13238</v>
      </c>
      <c r="S102" s="5" t="s">
        <v>11952</v>
      </c>
      <c r="T102" s="5" t="s">
        <v>13239</v>
      </c>
      <c r="U102" s="5" t="s">
        <v>2854</v>
      </c>
      <c r="V102" s="5" t="s">
        <v>13240</v>
      </c>
      <c r="W102" s="5" t="s">
        <v>13239</v>
      </c>
      <c r="X102" s="5" t="s">
        <v>13240</v>
      </c>
      <c r="Y102" s="5" t="s">
        <v>121</v>
      </c>
      <c r="Z102" s="5" t="s">
        <v>121</v>
      </c>
      <c r="AA102" s="5" t="s">
        <v>11981</v>
      </c>
      <c r="AB102" s="5" t="s">
        <v>155</v>
      </c>
      <c r="AC102" s="5" t="s">
        <v>1178</v>
      </c>
      <c r="AD102" s="5" t="s">
        <v>121</v>
      </c>
      <c r="AE102" s="5" t="s">
        <v>121</v>
      </c>
      <c r="AF102" s="5" t="s">
        <v>1178</v>
      </c>
      <c r="AG102" s="5" t="s">
        <v>121</v>
      </c>
      <c r="AH102" s="5" t="s">
        <v>121</v>
      </c>
      <c r="AI102" s="5" t="s">
        <v>121</v>
      </c>
      <c r="AJ102" s="5" t="s">
        <v>121</v>
      </c>
      <c r="AK102" s="5" t="s">
        <v>121</v>
      </c>
      <c r="AL102" s="5" t="s">
        <v>121</v>
      </c>
      <c r="AM102" s="5" t="s">
        <v>121</v>
      </c>
      <c r="AN102" s="5" t="s">
        <v>13241</v>
      </c>
      <c r="AO102" s="5" t="s">
        <v>121</v>
      </c>
      <c r="AP102" s="5" t="s">
        <v>13242</v>
      </c>
      <c r="AQ102" s="5" t="s">
        <v>121</v>
      </c>
      <c r="AR102" s="5" t="s">
        <v>121</v>
      </c>
      <c r="AS102" s="5" t="s">
        <v>1179</v>
      </c>
      <c r="AT102" s="5" t="s">
        <v>121</v>
      </c>
      <c r="AU102" s="5" t="s">
        <v>1173</v>
      </c>
      <c r="AV102" s="5" t="s">
        <v>121</v>
      </c>
      <c r="AW102" s="5" t="s">
        <v>121</v>
      </c>
      <c r="AX102" s="5" t="s">
        <v>121</v>
      </c>
      <c r="AY102" s="5" t="s">
        <v>121</v>
      </c>
      <c r="AZ102" s="5" t="s">
        <v>121</v>
      </c>
      <c r="BA102" s="5" t="s">
        <v>121</v>
      </c>
      <c r="BB102" s="5" t="s">
        <v>3510</v>
      </c>
      <c r="BC102" s="5" t="s">
        <v>3510</v>
      </c>
      <c r="BD102" s="5" t="s">
        <v>121</v>
      </c>
      <c r="BE102" s="5" t="s">
        <v>12395</v>
      </c>
      <c r="BF102" s="5" t="s">
        <v>13243</v>
      </c>
      <c r="BG102" s="5" t="s">
        <v>121</v>
      </c>
      <c r="BH102" s="5" t="s">
        <v>13244</v>
      </c>
      <c r="BI102" s="5" t="s">
        <v>121</v>
      </c>
      <c r="BJ102" s="5" t="s">
        <v>1174</v>
      </c>
      <c r="BK102" s="5" t="s">
        <v>121</v>
      </c>
      <c r="BL102" s="5" t="s">
        <v>13245</v>
      </c>
      <c r="BM102" s="5" t="s">
        <v>13245</v>
      </c>
      <c r="BN102" s="5" t="s">
        <v>1175</v>
      </c>
      <c r="BO102" s="5" t="s">
        <v>121</v>
      </c>
      <c r="BP102" s="5" t="s">
        <v>2854</v>
      </c>
      <c r="BQ102" s="5" t="s">
        <v>2854</v>
      </c>
      <c r="BR102" s="5" t="s">
        <v>121</v>
      </c>
      <c r="BS102" s="5" t="s">
        <v>121</v>
      </c>
      <c r="BT102" s="5" t="s">
        <v>121</v>
      </c>
      <c r="BU102" s="5" t="s">
        <v>121</v>
      </c>
      <c r="BV102" s="5" t="s">
        <v>3510</v>
      </c>
      <c r="BW102" s="5" t="s">
        <v>3510</v>
      </c>
      <c r="BX102" s="5" t="s">
        <v>3510</v>
      </c>
      <c r="BY102" s="5" t="s">
        <v>13246</v>
      </c>
      <c r="BZ102" s="5" t="s">
        <v>121</v>
      </c>
      <c r="CA102" s="5" t="s">
        <v>121</v>
      </c>
      <c r="CB102" s="5" t="s">
        <v>121</v>
      </c>
      <c r="CC102" s="5" t="s">
        <v>1172</v>
      </c>
      <c r="CD102" s="5" t="s">
        <v>121</v>
      </c>
      <c r="CE102" s="5" t="s">
        <v>121</v>
      </c>
      <c r="CF102" s="5" t="s">
        <v>11958</v>
      </c>
      <c r="CG102" s="5" t="s">
        <v>121</v>
      </c>
      <c r="CH102" s="5" t="s">
        <v>121</v>
      </c>
      <c r="CI102" s="5" t="s">
        <v>13247</v>
      </c>
      <c r="CJ102" s="5" t="s">
        <v>1177</v>
      </c>
      <c r="CK102" s="5" t="s">
        <v>1176</v>
      </c>
      <c r="CL102" s="5" t="s">
        <v>2854</v>
      </c>
      <c r="CM102" s="5" t="s">
        <v>1177</v>
      </c>
      <c r="CN102" s="5" t="s">
        <v>121</v>
      </c>
      <c r="CO102" s="5" t="s">
        <v>121</v>
      </c>
      <c r="CP102" s="5" t="s">
        <v>3510</v>
      </c>
      <c r="CQ102" s="5" t="s">
        <v>1180</v>
      </c>
      <c r="CR102" s="5" t="s">
        <v>12118</v>
      </c>
      <c r="CS102" s="5" t="s">
        <v>2854</v>
      </c>
      <c r="CT102" s="5" t="s">
        <v>3510</v>
      </c>
      <c r="CU102" s="5" t="s">
        <v>2854</v>
      </c>
      <c r="CV102" s="5" t="s">
        <v>11952</v>
      </c>
      <c r="CW102" s="5" t="s">
        <v>11952</v>
      </c>
      <c r="CX102" s="5" t="s">
        <v>13248</v>
      </c>
      <c r="CY102" s="5" t="s">
        <v>13249</v>
      </c>
      <c r="CZ102" s="5" t="s">
        <v>11989</v>
      </c>
      <c r="DA102" s="5" t="s">
        <v>11989</v>
      </c>
      <c r="DB102" s="5" t="s">
        <v>13250</v>
      </c>
      <c r="DC102" s="5" t="s">
        <v>13251</v>
      </c>
      <c r="DD102" s="5" t="s">
        <v>11963</v>
      </c>
      <c r="DE102" s="5" t="s">
        <v>13252</v>
      </c>
      <c r="DF102" s="5" t="s">
        <v>2854</v>
      </c>
      <c r="DG102" s="5" t="s">
        <v>13253</v>
      </c>
      <c r="DH102" s="5" t="s">
        <v>13254</v>
      </c>
      <c r="DI102" s="5" t="s">
        <v>11975</v>
      </c>
      <c r="DJ102" s="5" t="s">
        <v>11966</v>
      </c>
      <c r="DK102" s="5" t="s">
        <v>13255</v>
      </c>
      <c r="DL102" s="5">
        <v>4.8</v>
      </c>
      <c r="DM102" s="5">
        <v>2</v>
      </c>
      <c r="DN102" s="5">
        <v>3.5</v>
      </c>
      <c r="DO102" s="5">
        <v>3.2</v>
      </c>
      <c r="DP102" s="5">
        <v>2.8</v>
      </c>
      <c r="DQ102" s="5">
        <v>0.8</v>
      </c>
      <c r="DR102" s="5">
        <v>0</v>
      </c>
      <c r="DS102" s="5">
        <v>54.5</v>
      </c>
      <c r="DT102" s="5" t="s">
        <v>11968</v>
      </c>
      <c r="DU102" s="5" t="s">
        <v>12046</v>
      </c>
      <c r="DV102" s="5" t="s">
        <v>12667</v>
      </c>
      <c r="DW102" s="5"/>
      <c r="DX102" s="5"/>
      <c r="DY102" s="5"/>
      <c r="DZ102" s="5">
        <v>100</v>
      </c>
      <c r="EA102" s="5"/>
      <c r="EB102" s="5"/>
      <c r="EC102" s="5"/>
      <c r="ED102" s="5" t="s">
        <v>11971</v>
      </c>
      <c r="EE102" s="5"/>
      <c r="EF102" s="5" t="s">
        <v>11997</v>
      </c>
      <c r="EG102" s="5"/>
      <c r="EH102" s="5" t="s">
        <v>11997</v>
      </c>
      <c r="EI102" s="5"/>
      <c r="EJ102" s="5" t="s">
        <v>11997</v>
      </c>
      <c r="EK102" s="5"/>
      <c r="EL102" s="5" t="s">
        <v>11997</v>
      </c>
      <c r="EM102" s="5"/>
      <c r="EN102" s="5" t="s">
        <v>11997</v>
      </c>
      <c r="EO102" s="5"/>
      <c r="EP102" s="5" t="s">
        <v>11998</v>
      </c>
      <c r="EQ102" s="5"/>
      <c r="ER102" s="5" t="s">
        <v>11997</v>
      </c>
      <c r="ES102" s="5"/>
      <c r="ET102" s="5" t="s">
        <v>11972</v>
      </c>
      <c r="EU102" s="5"/>
      <c r="EV102" s="5"/>
      <c r="EW102" s="5"/>
      <c r="EX102" s="5"/>
      <c r="EY102" s="5" t="s">
        <v>6091</v>
      </c>
      <c r="EZ102" s="5"/>
      <c r="FA102" s="5" t="s">
        <v>1182</v>
      </c>
      <c r="FB102" s="5"/>
    </row>
    <row r="103" spans="1:158" ht="89.25">
      <c r="A103" s="5" t="s">
        <v>1184</v>
      </c>
      <c r="B103" s="5" t="s">
        <v>1185</v>
      </c>
      <c r="C103" s="5" t="s">
        <v>11952</v>
      </c>
      <c r="D103" s="5" t="s">
        <v>1083</v>
      </c>
      <c r="E103" s="5" t="s">
        <v>11953</v>
      </c>
      <c r="F103" s="5" t="s">
        <v>11954</v>
      </c>
      <c r="G103" s="5" t="s">
        <v>11955</v>
      </c>
      <c r="H103" s="5" t="s">
        <v>11237</v>
      </c>
      <c r="I103" s="5" t="s">
        <v>1065</v>
      </c>
      <c r="J103" s="5" t="s">
        <v>3510</v>
      </c>
      <c r="K103" s="5" t="s">
        <v>11956</v>
      </c>
      <c r="L103" s="5" t="s">
        <v>1190</v>
      </c>
      <c r="M103" s="5" t="s">
        <v>11952</v>
      </c>
      <c r="N103" s="5" t="s">
        <v>11952</v>
      </c>
      <c r="O103" s="5" t="s">
        <v>11952</v>
      </c>
      <c r="P103" s="5" t="s">
        <v>1190</v>
      </c>
      <c r="Q103" s="5" t="s">
        <v>11952</v>
      </c>
      <c r="R103" s="5" t="s">
        <v>11952</v>
      </c>
      <c r="S103" s="5" t="s">
        <v>11952</v>
      </c>
      <c r="T103" s="5" t="s">
        <v>121</v>
      </c>
      <c r="U103" s="5" t="s">
        <v>2854</v>
      </c>
      <c r="V103" s="5" t="s">
        <v>1190</v>
      </c>
      <c r="W103" s="5" t="s">
        <v>121</v>
      </c>
      <c r="X103" s="5" t="s">
        <v>1190</v>
      </c>
      <c r="Y103" s="5" t="s">
        <v>121</v>
      </c>
      <c r="Z103" s="5" t="s">
        <v>121</v>
      </c>
      <c r="AA103" s="5" t="s">
        <v>11981</v>
      </c>
      <c r="AB103" s="5" t="s">
        <v>121</v>
      </c>
      <c r="AC103" s="5" t="s">
        <v>121</v>
      </c>
      <c r="AD103" s="5" t="s">
        <v>121</v>
      </c>
      <c r="AE103" s="5" t="s">
        <v>121</v>
      </c>
      <c r="AF103" s="5" t="s">
        <v>121</v>
      </c>
      <c r="AG103" s="5" t="s">
        <v>121</v>
      </c>
      <c r="AH103" s="5" t="s">
        <v>121</v>
      </c>
      <c r="AI103" s="5" t="s">
        <v>121</v>
      </c>
      <c r="AJ103" s="5" t="s">
        <v>121</v>
      </c>
      <c r="AK103" s="5" t="s">
        <v>121</v>
      </c>
      <c r="AL103" s="5" t="s">
        <v>121</v>
      </c>
      <c r="AM103" s="5" t="s">
        <v>121</v>
      </c>
      <c r="AN103" s="5" t="s">
        <v>121</v>
      </c>
      <c r="AO103" s="5" t="s">
        <v>121</v>
      </c>
      <c r="AP103" s="5" t="s">
        <v>121</v>
      </c>
      <c r="AQ103" s="5" t="s">
        <v>121</v>
      </c>
      <c r="AR103" s="5" t="s">
        <v>121</v>
      </c>
      <c r="AS103" s="5" t="s">
        <v>121</v>
      </c>
      <c r="AT103" s="5" t="s">
        <v>121</v>
      </c>
      <c r="AU103" s="5" t="s">
        <v>121</v>
      </c>
      <c r="AV103" s="5" t="s">
        <v>121</v>
      </c>
      <c r="AW103" s="5" t="s">
        <v>121</v>
      </c>
      <c r="AX103" s="5" t="s">
        <v>121</v>
      </c>
      <c r="AY103" s="5" t="s">
        <v>121</v>
      </c>
      <c r="AZ103" s="5" t="s">
        <v>121</v>
      </c>
      <c r="BA103" s="5" t="s">
        <v>121</v>
      </c>
      <c r="BB103" s="5" t="s">
        <v>121</v>
      </c>
      <c r="BC103" s="5" t="s">
        <v>121</v>
      </c>
      <c r="BD103" s="5" t="s">
        <v>121</v>
      </c>
      <c r="BE103" s="5" t="s">
        <v>121</v>
      </c>
      <c r="BF103" s="5" t="s">
        <v>121</v>
      </c>
      <c r="BG103" s="5" t="s">
        <v>121</v>
      </c>
      <c r="BH103" s="5" t="s">
        <v>13214</v>
      </c>
      <c r="BI103" s="5" t="s">
        <v>121</v>
      </c>
      <c r="BJ103" s="5" t="s">
        <v>1187</v>
      </c>
      <c r="BK103" s="5" t="s">
        <v>121</v>
      </c>
      <c r="BL103" s="5" t="s">
        <v>1186</v>
      </c>
      <c r="BM103" s="5" t="s">
        <v>1186</v>
      </c>
      <c r="BN103" s="5" t="s">
        <v>1188</v>
      </c>
      <c r="BO103" s="5" t="s">
        <v>121</v>
      </c>
      <c r="BP103" s="5" t="s">
        <v>2854</v>
      </c>
      <c r="BQ103" s="5" t="s">
        <v>121</v>
      </c>
      <c r="BR103" s="5" t="s">
        <v>121</v>
      </c>
      <c r="BS103" s="5" t="s">
        <v>121</v>
      </c>
      <c r="BT103" s="5" t="s">
        <v>121</v>
      </c>
      <c r="BU103" s="5" t="s">
        <v>121</v>
      </c>
      <c r="BV103" s="5" t="s">
        <v>121</v>
      </c>
      <c r="BW103" s="5" t="s">
        <v>121</v>
      </c>
      <c r="BX103" s="5" t="s">
        <v>121</v>
      </c>
      <c r="BY103" s="5" t="s">
        <v>121</v>
      </c>
      <c r="BZ103" s="5" t="s">
        <v>121</v>
      </c>
      <c r="CA103" s="5" t="s">
        <v>121</v>
      </c>
      <c r="CB103" s="5" t="s">
        <v>121</v>
      </c>
      <c r="CC103" s="5" t="s">
        <v>1186</v>
      </c>
      <c r="CD103" s="5" t="s">
        <v>121</v>
      </c>
      <c r="CE103" s="5" t="s">
        <v>121</v>
      </c>
      <c r="CF103" s="5" t="s">
        <v>11958</v>
      </c>
      <c r="CG103" s="5" t="s">
        <v>121</v>
      </c>
      <c r="CH103" s="5" t="s">
        <v>121</v>
      </c>
      <c r="CI103" s="5" t="s">
        <v>11972</v>
      </c>
      <c r="CJ103" s="5" t="s">
        <v>287</v>
      </c>
      <c r="CK103" s="5" t="s">
        <v>121</v>
      </c>
      <c r="CL103" s="5" t="s">
        <v>2854</v>
      </c>
      <c r="CM103" s="5" t="s">
        <v>287</v>
      </c>
      <c r="CN103" s="5" t="s">
        <v>121</v>
      </c>
      <c r="CO103" s="5" t="s">
        <v>121</v>
      </c>
      <c r="CP103" s="5" t="s">
        <v>3510</v>
      </c>
      <c r="CQ103" s="5" t="s">
        <v>1189</v>
      </c>
      <c r="CR103" s="5" t="s">
        <v>11960</v>
      </c>
      <c r="CS103" s="5" t="s">
        <v>3510</v>
      </c>
      <c r="CT103" s="5" t="s">
        <v>3510</v>
      </c>
      <c r="CU103" s="5" t="s">
        <v>3510</v>
      </c>
      <c r="CV103" s="5" t="s">
        <v>11952</v>
      </c>
      <c r="CW103" s="5" t="s">
        <v>11952</v>
      </c>
      <c r="CX103" s="5" t="s">
        <v>13152</v>
      </c>
      <c r="CY103" s="5" t="s">
        <v>13256</v>
      </c>
      <c r="CZ103" s="5" t="s">
        <v>11952</v>
      </c>
      <c r="DA103" s="5" t="s">
        <v>3510</v>
      </c>
      <c r="DB103" s="5" t="s">
        <v>11963</v>
      </c>
      <c r="DC103" s="5" t="s">
        <v>11963</v>
      </c>
      <c r="DD103" s="5" t="s">
        <v>11963</v>
      </c>
      <c r="DE103" s="5" t="s">
        <v>11963</v>
      </c>
      <c r="DF103" s="5" t="s">
        <v>3510</v>
      </c>
      <c r="DG103" s="5" t="s">
        <v>11964</v>
      </c>
      <c r="DH103" s="5" t="s">
        <v>13257</v>
      </c>
      <c r="DI103" s="5" t="s">
        <v>11966</v>
      </c>
      <c r="DJ103" s="5" t="s">
        <v>11994</v>
      </c>
      <c r="DK103" s="5" t="s">
        <v>12201</v>
      </c>
      <c r="DL103" s="5">
        <v>2</v>
      </c>
      <c r="DM103" s="5">
        <v>0</v>
      </c>
      <c r="DN103" s="5">
        <v>0</v>
      </c>
      <c r="DO103" s="5">
        <v>1</v>
      </c>
      <c r="DP103" s="5">
        <v>1</v>
      </c>
      <c r="DQ103" s="5">
        <v>0</v>
      </c>
      <c r="DR103" s="5">
        <v>0</v>
      </c>
      <c r="DS103" s="5">
        <v>13</v>
      </c>
      <c r="DT103" s="5" t="s">
        <v>11968</v>
      </c>
      <c r="DU103" s="5" t="s">
        <v>11969</v>
      </c>
      <c r="DV103" s="5" t="s">
        <v>11970</v>
      </c>
      <c r="DW103" s="5"/>
      <c r="DX103" s="5">
        <v>7</v>
      </c>
      <c r="DY103" s="5"/>
      <c r="DZ103" s="5">
        <v>100</v>
      </c>
      <c r="EA103" s="5"/>
      <c r="EB103" s="5">
        <v>7.0000000000000007E-2</v>
      </c>
      <c r="EC103" s="5"/>
      <c r="ED103" s="5" t="s">
        <v>11971</v>
      </c>
      <c r="EE103" s="5"/>
      <c r="EF103" s="5" t="s">
        <v>11997</v>
      </c>
      <c r="EG103" s="5"/>
      <c r="EH103" s="5" t="s">
        <v>11997</v>
      </c>
      <c r="EI103" s="5"/>
      <c r="EJ103" s="5" t="s">
        <v>11997</v>
      </c>
      <c r="EK103" s="5"/>
      <c r="EL103" s="5" t="s">
        <v>11997</v>
      </c>
      <c r="EM103" s="5"/>
      <c r="EN103" s="5" t="s">
        <v>11997</v>
      </c>
      <c r="EO103" s="5"/>
      <c r="EP103" s="5" t="s">
        <v>11998</v>
      </c>
      <c r="EQ103" s="5"/>
      <c r="ER103" s="5" t="s">
        <v>11997</v>
      </c>
      <c r="ES103" s="5"/>
      <c r="ET103" s="5" t="s">
        <v>11972</v>
      </c>
      <c r="EU103" s="5"/>
      <c r="EV103" s="5"/>
      <c r="EW103" s="5"/>
      <c r="EX103" s="5"/>
      <c r="EY103" s="5" t="s">
        <v>6124</v>
      </c>
      <c r="EZ103" s="5"/>
      <c r="FA103" s="5" t="s">
        <v>1190</v>
      </c>
      <c r="FB103" s="5"/>
    </row>
    <row r="104" spans="1:158" ht="102">
      <c r="A104" s="5" t="s">
        <v>1192</v>
      </c>
      <c r="B104" s="5" t="s">
        <v>1193</v>
      </c>
      <c r="C104" s="5" t="s">
        <v>11952</v>
      </c>
      <c r="D104" s="5" t="s">
        <v>1194</v>
      </c>
      <c r="E104" s="5" t="s">
        <v>11953</v>
      </c>
      <c r="F104" s="5" t="s">
        <v>11954</v>
      </c>
      <c r="G104" s="5" t="s">
        <v>11955</v>
      </c>
      <c r="H104" s="5" t="s">
        <v>11237</v>
      </c>
      <c r="I104" s="5" t="s">
        <v>1065</v>
      </c>
      <c r="J104" s="5" t="s">
        <v>3510</v>
      </c>
      <c r="K104" s="5" t="s">
        <v>11956</v>
      </c>
      <c r="L104" s="5" t="s">
        <v>1202</v>
      </c>
      <c r="M104" s="5" t="s">
        <v>11952</v>
      </c>
      <c r="N104" s="5" t="s">
        <v>11952</v>
      </c>
      <c r="O104" s="5" t="s">
        <v>11952</v>
      </c>
      <c r="P104" s="5" t="s">
        <v>1202</v>
      </c>
      <c r="Q104" s="5" t="s">
        <v>11952</v>
      </c>
      <c r="R104" s="5" t="s">
        <v>11952</v>
      </c>
      <c r="S104" s="5" t="s">
        <v>11952</v>
      </c>
      <c r="T104" s="5" t="s">
        <v>121</v>
      </c>
      <c r="U104" s="5" t="s">
        <v>2854</v>
      </c>
      <c r="V104" s="5" t="s">
        <v>1202</v>
      </c>
      <c r="W104" s="5" t="s">
        <v>121</v>
      </c>
      <c r="X104" s="5" t="s">
        <v>1202</v>
      </c>
      <c r="Y104" s="5" t="s">
        <v>121</v>
      </c>
      <c r="Z104" s="5" t="s">
        <v>121</v>
      </c>
      <c r="AA104" s="5" t="s">
        <v>11981</v>
      </c>
      <c r="AB104" s="5" t="s">
        <v>155</v>
      </c>
      <c r="AC104" s="5" t="s">
        <v>1199</v>
      </c>
      <c r="AD104" s="5" t="s">
        <v>121</v>
      </c>
      <c r="AE104" s="5" t="s">
        <v>121</v>
      </c>
      <c r="AF104" s="5" t="s">
        <v>1199</v>
      </c>
      <c r="AG104" s="5" t="s">
        <v>121</v>
      </c>
      <c r="AH104" s="5" t="s">
        <v>121</v>
      </c>
      <c r="AI104" s="5" t="s">
        <v>121</v>
      </c>
      <c r="AJ104" s="5" t="s">
        <v>121</v>
      </c>
      <c r="AK104" s="5" t="s">
        <v>121</v>
      </c>
      <c r="AL104" s="5" t="s">
        <v>121</v>
      </c>
      <c r="AM104" s="5" t="s">
        <v>121</v>
      </c>
      <c r="AN104" s="5" t="s">
        <v>121</v>
      </c>
      <c r="AO104" s="5" t="s">
        <v>121</v>
      </c>
      <c r="AP104" s="5" t="s">
        <v>1350</v>
      </c>
      <c r="AQ104" s="5" t="s">
        <v>121</v>
      </c>
      <c r="AR104" s="5" t="s">
        <v>13258</v>
      </c>
      <c r="AS104" s="5" t="s">
        <v>1200</v>
      </c>
      <c r="AT104" s="5" t="s">
        <v>121</v>
      </c>
      <c r="AU104" s="5" t="s">
        <v>1196</v>
      </c>
      <c r="AV104" s="5" t="s">
        <v>12003</v>
      </c>
      <c r="AW104" s="5" t="s">
        <v>1196</v>
      </c>
      <c r="AX104" s="5" t="s">
        <v>12159</v>
      </c>
      <c r="AY104" s="5" t="s">
        <v>121</v>
      </c>
      <c r="AZ104" s="5" t="s">
        <v>121</v>
      </c>
      <c r="BA104" s="5" t="s">
        <v>121</v>
      </c>
      <c r="BB104" s="5" t="s">
        <v>121</v>
      </c>
      <c r="BC104" s="5" t="s">
        <v>121</v>
      </c>
      <c r="BD104" s="5" t="s">
        <v>121</v>
      </c>
      <c r="BE104" s="5" t="s">
        <v>12160</v>
      </c>
      <c r="BF104" s="5" t="s">
        <v>12160</v>
      </c>
      <c r="BG104" s="5" t="s">
        <v>121</v>
      </c>
      <c r="BH104" s="5" t="s">
        <v>13259</v>
      </c>
      <c r="BI104" s="5" t="s">
        <v>121</v>
      </c>
      <c r="BJ104" s="5" t="s">
        <v>1197</v>
      </c>
      <c r="BK104" s="5" t="s">
        <v>121</v>
      </c>
      <c r="BL104" s="5" t="s">
        <v>1195</v>
      </c>
      <c r="BM104" s="5" t="s">
        <v>1195</v>
      </c>
      <c r="BN104" s="5" t="s">
        <v>1153</v>
      </c>
      <c r="BO104" s="5" t="s">
        <v>1474</v>
      </c>
      <c r="BP104" s="5" t="s">
        <v>121</v>
      </c>
      <c r="BQ104" s="5" t="s">
        <v>2854</v>
      </c>
      <c r="BR104" s="5" t="s">
        <v>121</v>
      </c>
      <c r="BS104" s="5" t="s">
        <v>121</v>
      </c>
      <c r="BT104" s="5" t="s">
        <v>121</v>
      </c>
      <c r="BU104" s="5" t="s">
        <v>121</v>
      </c>
      <c r="BV104" s="5" t="s">
        <v>121</v>
      </c>
      <c r="BW104" s="5" t="s">
        <v>121</v>
      </c>
      <c r="BX104" s="5" t="s">
        <v>121</v>
      </c>
      <c r="BY104" s="5" t="s">
        <v>13260</v>
      </c>
      <c r="BZ104" s="5" t="s">
        <v>13261</v>
      </c>
      <c r="CA104" s="5" t="s">
        <v>121</v>
      </c>
      <c r="CB104" s="5" t="s">
        <v>121</v>
      </c>
      <c r="CC104" s="5" t="s">
        <v>1195</v>
      </c>
      <c r="CD104" s="5" t="s">
        <v>121</v>
      </c>
      <c r="CE104" s="5" t="s">
        <v>121</v>
      </c>
      <c r="CF104" s="5" t="s">
        <v>11958</v>
      </c>
      <c r="CG104" s="5" t="s">
        <v>121</v>
      </c>
      <c r="CH104" s="5" t="s">
        <v>121</v>
      </c>
      <c r="CI104" s="5" t="s">
        <v>11959</v>
      </c>
      <c r="CJ104" s="5" t="s">
        <v>124</v>
      </c>
      <c r="CK104" s="5" t="s">
        <v>1198</v>
      </c>
      <c r="CL104" s="5" t="s">
        <v>3510</v>
      </c>
      <c r="CM104" s="5" t="s">
        <v>124</v>
      </c>
      <c r="CN104" s="5" t="s">
        <v>121</v>
      </c>
      <c r="CO104" s="5" t="s">
        <v>121</v>
      </c>
      <c r="CP104" s="5" t="s">
        <v>3510</v>
      </c>
      <c r="CQ104" s="5" t="s">
        <v>1201</v>
      </c>
      <c r="CR104" s="5" t="s">
        <v>12187</v>
      </c>
      <c r="CS104" s="5" t="s">
        <v>3510</v>
      </c>
      <c r="CT104" s="5" t="s">
        <v>3510</v>
      </c>
      <c r="CU104" s="5" t="s">
        <v>2854</v>
      </c>
      <c r="CV104" s="5" t="s">
        <v>13262</v>
      </c>
      <c r="CW104" s="5" t="s">
        <v>13263</v>
      </c>
      <c r="CX104" s="5" t="s">
        <v>13152</v>
      </c>
      <c r="CY104" s="5" t="s">
        <v>13264</v>
      </c>
      <c r="CZ104" s="5" t="s">
        <v>11952</v>
      </c>
      <c r="DA104" s="5" t="s">
        <v>3510</v>
      </c>
      <c r="DB104" s="5" t="s">
        <v>11963</v>
      </c>
      <c r="DC104" s="5" t="s">
        <v>11963</v>
      </c>
      <c r="DD104" s="5" t="s">
        <v>11963</v>
      </c>
      <c r="DE104" s="5" t="s">
        <v>11963</v>
      </c>
      <c r="DF104" s="5" t="s">
        <v>3510</v>
      </c>
      <c r="DG104" s="5" t="s">
        <v>11964</v>
      </c>
      <c r="DH104" s="5" t="s">
        <v>13265</v>
      </c>
      <c r="DI104" s="5" t="s">
        <v>11975</v>
      </c>
      <c r="DJ104" s="5" t="s">
        <v>11966</v>
      </c>
      <c r="DK104" s="5" t="s">
        <v>11967</v>
      </c>
      <c r="DL104" s="5">
        <v>5</v>
      </c>
      <c r="DM104" s="5">
        <v>4</v>
      </c>
      <c r="DN104" s="5">
        <v>4</v>
      </c>
      <c r="DO104" s="5">
        <v>3</v>
      </c>
      <c r="DP104" s="5">
        <v>1</v>
      </c>
      <c r="DQ104" s="5">
        <v>2</v>
      </c>
      <c r="DR104" s="5">
        <v>0</v>
      </c>
      <c r="DS104" s="5">
        <v>63</v>
      </c>
      <c r="DT104" s="5" t="s">
        <v>11968</v>
      </c>
      <c r="DU104" s="5" t="s">
        <v>11969</v>
      </c>
      <c r="DV104" s="5" t="s">
        <v>11970</v>
      </c>
      <c r="DW104" s="5"/>
      <c r="DX104" s="5">
        <v>27</v>
      </c>
      <c r="DY104" s="5"/>
      <c r="DZ104" s="5">
        <v>100</v>
      </c>
      <c r="EA104" s="5"/>
      <c r="EB104" s="5">
        <v>0.27</v>
      </c>
      <c r="EC104" s="5"/>
      <c r="ED104" s="5" t="s">
        <v>11971</v>
      </c>
      <c r="EE104" s="5"/>
      <c r="EF104" s="5" t="s">
        <v>11997</v>
      </c>
      <c r="EG104" s="5"/>
      <c r="EH104" s="5" t="s">
        <v>11997</v>
      </c>
      <c r="EI104" s="5"/>
      <c r="EJ104" s="5" t="s">
        <v>11997</v>
      </c>
      <c r="EK104" s="5"/>
      <c r="EL104" s="5" t="s">
        <v>11997</v>
      </c>
      <c r="EM104" s="5"/>
      <c r="EN104" s="5" t="s">
        <v>11997</v>
      </c>
      <c r="EO104" s="5"/>
      <c r="EP104" s="5" t="s">
        <v>11998</v>
      </c>
      <c r="EQ104" s="5"/>
      <c r="ER104" s="5" t="s">
        <v>11997</v>
      </c>
      <c r="ES104" s="5"/>
      <c r="ET104" s="5" t="s">
        <v>11972</v>
      </c>
      <c r="EU104" s="5"/>
      <c r="EV104" s="5"/>
      <c r="EW104" s="5"/>
      <c r="EX104" s="5"/>
      <c r="EY104" s="5" t="s">
        <v>6150</v>
      </c>
      <c r="EZ104" s="5"/>
      <c r="FA104" s="5" t="s">
        <v>1202</v>
      </c>
      <c r="FB104" s="5"/>
    </row>
    <row r="105" spans="1:158" ht="63.75">
      <c r="A105" s="5" t="s">
        <v>1204</v>
      </c>
      <c r="B105" s="5" t="s">
        <v>11503</v>
      </c>
      <c r="C105" s="5" t="s">
        <v>11952</v>
      </c>
      <c r="D105" s="5" t="s">
        <v>13266</v>
      </c>
      <c r="E105" s="5" t="s">
        <v>11953</v>
      </c>
      <c r="F105" s="5" t="s">
        <v>11954</v>
      </c>
      <c r="G105" s="5" t="s">
        <v>11955</v>
      </c>
      <c r="H105" s="5" t="s">
        <v>11237</v>
      </c>
      <c r="I105" s="5" t="s">
        <v>1065</v>
      </c>
      <c r="J105" s="5" t="s">
        <v>3510</v>
      </c>
      <c r="K105" s="5" t="s">
        <v>11956</v>
      </c>
      <c r="L105" s="5" t="s">
        <v>13267</v>
      </c>
      <c r="M105" s="5" t="s">
        <v>11952</v>
      </c>
      <c r="N105" s="5" t="s">
        <v>11952</v>
      </c>
      <c r="O105" s="5" t="s">
        <v>11952</v>
      </c>
      <c r="P105" s="5" t="s">
        <v>13267</v>
      </c>
      <c r="Q105" s="5" t="s">
        <v>11952</v>
      </c>
      <c r="R105" s="5" t="s">
        <v>11952</v>
      </c>
      <c r="S105" s="5" t="s">
        <v>11952</v>
      </c>
      <c r="T105" s="5" t="s">
        <v>121</v>
      </c>
      <c r="U105" s="5" t="s">
        <v>2854</v>
      </c>
      <c r="V105" s="5" t="s">
        <v>13268</v>
      </c>
      <c r="W105" s="5" t="s">
        <v>121</v>
      </c>
      <c r="X105" s="5" t="s">
        <v>13268</v>
      </c>
      <c r="Y105" s="5" t="s">
        <v>121</v>
      </c>
      <c r="Z105" s="5" t="s">
        <v>12276</v>
      </c>
      <c r="AA105" s="5" t="s">
        <v>11981</v>
      </c>
      <c r="AB105" s="5" t="s">
        <v>155</v>
      </c>
      <c r="AC105" s="5" t="s">
        <v>13269</v>
      </c>
      <c r="AD105" s="5" t="s">
        <v>121</v>
      </c>
      <c r="AE105" s="5" t="s">
        <v>121</v>
      </c>
      <c r="AF105" s="5" t="s">
        <v>13269</v>
      </c>
      <c r="AG105" s="5" t="s">
        <v>121</v>
      </c>
      <c r="AH105" s="5" t="s">
        <v>121</v>
      </c>
      <c r="AI105" s="5" t="s">
        <v>121</v>
      </c>
      <c r="AJ105" s="5" t="s">
        <v>121</v>
      </c>
      <c r="AK105" s="5" t="s">
        <v>121</v>
      </c>
      <c r="AL105" s="5" t="s">
        <v>121</v>
      </c>
      <c r="AM105" s="5" t="s">
        <v>121</v>
      </c>
      <c r="AN105" s="5" t="s">
        <v>121</v>
      </c>
      <c r="AO105" s="5" t="s">
        <v>121</v>
      </c>
      <c r="AP105" s="5" t="s">
        <v>13191</v>
      </c>
      <c r="AQ105" s="5" t="s">
        <v>121</v>
      </c>
      <c r="AR105" s="5" t="s">
        <v>121</v>
      </c>
      <c r="AS105" s="5" t="s">
        <v>13270</v>
      </c>
      <c r="AT105" s="5" t="s">
        <v>121</v>
      </c>
      <c r="AU105" s="5" t="s">
        <v>13271</v>
      </c>
      <c r="AV105" s="5" t="s">
        <v>121</v>
      </c>
      <c r="AW105" s="5" t="s">
        <v>121</v>
      </c>
      <c r="AX105" s="5" t="s">
        <v>121</v>
      </c>
      <c r="AY105" s="5" t="s">
        <v>121</v>
      </c>
      <c r="AZ105" s="5" t="s">
        <v>121</v>
      </c>
      <c r="BA105" s="5" t="s">
        <v>121</v>
      </c>
      <c r="BB105" s="5" t="s">
        <v>121</v>
      </c>
      <c r="BC105" s="5" t="s">
        <v>121</v>
      </c>
      <c r="BD105" s="5" t="s">
        <v>121</v>
      </c>
      <c r="BE105" s="5" t="s">
        <v>13272</v>
      </c>
      <c r="BF105" s="5" t="s">
        <v>12395</v>
      </c>
      <c r="BG105" s="5" t="s">
        <v>121</v>
      </c>
      <c r="BH105" s="5" t="s">
        <v>13273</v>
      </c>
      <c r="BI105" s="5" t="s">
        <v>121</v>
      </c>
      <c r="BJ105" s="5" t="s">
        <v>13274</v>
      </c>
      <c r="BK105" s="5" t="s">
        <v>121</v>
      </c>
      <c r="BL105" s="5" t="s">
        <v>1186</v>
      </c>
      <c r="BM105" s="5" t="s">
        <v>1186</v>
      </c>
      <c r="BN105" s="5" t="s">
        <v>13275</v>
      </c>
      <c r="BO105" s="5" t="s">
        <v>121</v>
      </c>
      <c r="BP105" s="5" t="s">
        <v>2854</v>
      </c>
      <c r="BQ105" s="5" t="s">
        <v>121</v>
      </c>
      <c r="BR105" s="5" t="s">
        <v>121</v>
      </c>
      <c r="BS105" s="5" t="s">
        <v>121</v>
      </c>
      <c r="BT105" s="5" t="s">
        <v>121</v>
      </c>
      <c r="BU105" s="5" t="s">
        <v>2854</v>
      </c>
      <c r="BV105" s="5" t="s">
        <v>121</v>
      </c>
      <c r="BW105" s="5" t="s">
        <v>121</v>
      </c>
      <c r="BX105" s="5" t="s">
        <v>121</v>
      </c>
      <c r="BY105" s="5" t="s">
        <v>13276</v>
      </c>
      <c r="BZ105" s="5" t="s">
        <v>121</v>
      </c>
      <c r="CA105" s="5" t="s">
        <v>121</v>
      </c>
      <c r="CB105" s="5" t="s">
        <v>121</v>
      </c>
      <c r="CC105" s="5" t="s">
        <v>1186</v>
      </c>
      <c r="CD105" s="5" t="s">
        <v>121</v>
      </c>
      <c r="CE105" s="5" t="s">
        <v>121</v>
      </c>
      <c r="CF105" s="5" t="s">
        <v>11958</v>
      </c>
      <c r="CG105" s="5" t="s">
        <v>121</v>
      </c>
      <c r="CH105" s="5" t="s">
        <v>121</v>
      </c>
      <c r="CI105" s="5" t="s">
        <v>11959</v>
      </c>
      <c r="CJ105" s="5" t="s">
        <v>124</v>
      </c>
      <c r="CK105" s="5" t="s">
        <v>1640</v>
      </c>
      <c r="CL105" s="5" t="s">
        <v>3510</v>
      </c>
      <c r="CM105" s="5" t="s">
        <v>124</v>
      </c>
      <c r="CN105" s="5" t="s">
        <v>121</v>
      </c>
      <c r="CO105" s="5" t="s">
        <v>121</v>
      </c>
      <c r="CP105" s="5" t="s">
        <v>3510</v>
      </c>
      <c r="CQ105" s="5" t="s">
        <v>13277</v>
      </c>
      <c r="CR105" s="5" t="s">
        <v>12118</v>
      </c>
      <c r="CS105" s="5" t="s">
        <v>3510</v>
      </c>
      <c r="CT105" s="5" t="s">
        <v>3510</v>
      </c>
      <c r="CU105" s="5" t="s">
        <v>2854</v>
      </c>
      <c r="CV105" s="5" t="s">
        <v>13278</v>
      </c>
      <c r="CW105" s="5" t="s">
        <v>11952</v>
      </c>
      <c r="CX105" s="5" t="s">
        <v>13152</v>
      </c>
      <c r="CY105" s="5" t="s">
        <v>13279</v>
      </c>
      <c r="CZ105" s="5" t="s">
        <v>11952</v>
      </c>
      <c r="DA105" s="5" t="s">
        <v>3510</v>
      </c>
      <c r="DB105" s="5" t="s">
        <v>11963</v>
      </c>
      <c r="DC105" s="5" t="s">
        <v>11963</v>
      </c>
      <c r="DD105" s="5" t="s">
        <v>11963</v>
      </c>
      <c r="DE105" s="5" t="s">
        <v>11963</v>
      </c>
      <c r="DF105" s="5" t="s">
        <v>3510</v>
      </c>
      <c r="DG105" s="5" t="s">
        <v>11964</v>
      </c>
      <c r="DH105" s="5" t="s">
        <v>13280</v>
      </c>
      <c r="DI105" s="5" t="s">
        <v>11975</v>
      </c>
      <c r="DJ105" s="5" t="s">
        <v>11966</v>
      </c>
      <c r="DK105" s="5" t="s">
        <v>11967</v>
      </c>
      <c r="DL105" s="5">
        <v>4</v>
      </c>
      <c r="DM105" s="5">
        <v>2</v>
      </c>
      <c r="DN105" s="5">
        <v>2.5</v>
      </c>
      <c r="DO105" s="5">
        <v>5</v>
      </c>
      <c r="DP105" s="5">
        <v>3</v>
      </c>
      <c r="DQ105" s="5">
        <v>1</v>
      </c>
      <c r="DR105" s="5">
        <v>1.5</v>
      </c>
      <c r="DS105" s="5">
        <v>57.5</v>
      </c>
      <c r="DT105" s="5" t="s">
        <v>11968</v>
      </c>
      <c r="DU105" s="5" t="s">
        <v>11969</v>
      </c>
      <c r="DV105" s="5" t="s">
        <v>12667</v>
      </c>
      <c r="DW105" s="5"/>
      <c r="DX105" s="5"/>
      <c r="DY105" s="5"/>
      <c r="DZ105" s="5">
        <v>100</v>
      </c>
      <c r="EA105" s="5"/>
      <c r="EB105" s="5"/>
      <c r="EC105" s="5"/>
      <c r="ED105" s="5" t="s">
        <v>11971</v>
      </c>
      <c r="EE105" s="5"/>
      <c r="EF105" s="5" t="s">
        <v>11997</v>
      </c>
      <c r="EG105" s="5"/>
      <c r="EH105" s="5" t="s">
        <v>11997</v>
      </c>
      <c r="EI105" s="5"/>
      <c r="EJ105" s="5" t="s">
        <v>11997</v>
      </c>
      <c r="EK105" s="5"/>
      <c r="EL105" s="5" t="s">
        <v>11997</v>
      </c>
      <c r="EM105" s="5"/>
      <c r="EN105" s="5" t="s">
        <v>11997</v>
      </c>
      <c r="EO105" s="5"/>
      <c r="EP105" s="5" t="s">
        <v>11998</v>
      </c>
      <c r="EQ105" s="5"/>
      <c r="ER105" s="5" t="s">
        <v>11997</v>
      </c>
      <c r="ES105" s="5"/>
      <c r="ET105" s="5" t="s">
        <v>11972</v>
      </c>
      <c r="EU105" s="5"/>
      <c r="EV105" s="5"/>
      <c r="EW105" s="5"/>
      <c r="EX105" s="5"/>
      <c r="EY105" s="5" t="s">
        <v>13281</v>
      </c>
      <c r="EZ105" s="5"/>
      <c r="FA105" s="5" t="s">
        <v>13267</v>
      </c>
      <c r="FB105" s="5"/>
    </row>
    <row r="106" spans="1:158" ht="127.5">
      <c r="A106" s="5" t="s">
        <v>1221</v>
      </c>
      <c r="B106" s="5" t="s">
        <v>1222</v>
      </c>
      <c r="C106" s="5" t="s">
        <v>13282</v>
      </c>
      <c r="D106" s="5" t="s">
        <v>1223</v>
      </c>
      <c r="E106" s="5" t="s">
        <v>12011</v>
      </c>
      <c r="F106" s="5" t="s">
        <v>11994</v>
      </c>
      <c r="G106" s="5" t="s">
        <v>13283</v>
      </c>
      <c r="H106" s="5" t="s">
        <v>12530</v>
      </c>
      <c r="I106" s="5" t="s">
        <v>1065</v>
      </c>
      <c r="J106" s="5" t="s">
        <v>3510</v>
      </c>
      <c r="K106" s="5" t="s">
        <v>13284</v>
      </c>
      <c r="L106" s="5" t="s">
        <v>1230</v>
      </c>
      <c r="M106" s="5" t="s">
        <v>11952</v>
      </c>
      <c r="N106" s="5" t="s">
        <v>11952</v>
      </c>
      <c r="O106" s="5" t="s">
        <v>11952</v>
      </c>
      <c r="P106" s="5" t="s">
        <v>1230</v>
      </c>
      <c r="Q106" s="5" t="s">
        <v>11952</v>
      </c>
      <c r="R106" s="5" t="s">
        <v>11952</v>
      </c>
      <c r="S106" s="5" t="s">
        <v>11952</v>
      </c>
      <c r="T106" s="5" t="s">
        <v>121</v>
      </c>
      <c r="U106" s="5" t="s">
        <v>2854</v>
      </c>
      <c r="V106" s="5" t="s">
        <v>1230</v>
      </c>
      <c r="W106" s="5" t="s">
        <v>121</v>
      </c>
      <c r="X106" s="5" t="s">
        <v>1230</v>
      </c>
      <c r="Y106" s="5" t="s">
        <v>121</v>
      </c>
      <c r="Z106" s="5" t="s">
        <v>121</v>
      </c>
      <c r="AA106" s="5" t="s">
        <v>11981</v>
      </c>
      <c r="AB106" s="5" t="s">
        <v>155</v>
      </c>
      <c r="AC106" s="5" t="s">
        <v>1228</v>
      </c>
      <c r="AD106" s="5" t="s">
        <v>121</v>
      </c>
      <c r="AE106" s="5" t="s">
        <v>121</v>
      </c>
      <c r="AF106" s="5" t="s">
        <v>1228</v>
      </c>
      <c r="AG106" s="5" t="s">
        <v>121</v>
      </c>
      <c r="AH106" s="5" t="s">
        <v>121</v>
      </c>
      <c r="AI106" s="5" t="s">
        <v>121</v>
      </c>
      <c r="AJ106" s="5" t="s">
        <v>121</v>
      </c>
      <c r="AK106" s="5" t="s">
        <v>121</v>
      </c>
      <c r="AL106" s="5" t="s">
        <v>121</v>
      </c>
      <c r="AM106" s="5" t="s">
        <v>121</v>
      </c>
      <c r="AN106" s="5" t="s">
        <v>121</v>
      </c>
      <c r="AO106" s="5" t="s">
        <v>121</v>
      </c>
      <c r="AP106" s="5" t="s">
        <v>121</v>
      </c>
      <c r="AQ106" s="5" t="s">
        <v>121</v>
      </c>
      <c r="AR106" s="5" t="s">
        <v>121</v>
      </c>
      <c r="AS106" s="5" t="s">
        <v>121</v>
      </c>
      <c r="AT106" s="5" t="s">
        <v>121</v>
      </c>
      <c r="AU106" s="5" t="s">
        <v>121</v>
      </c>
      <c r="AV106" s="5" t="s">
        <v>121</v>
      </c>
      <c r="AW106" s="5" t="s">
        <v>121</v>
      </c>
      <c r="AX106" s="5" t="s">
        <v>121</v>
      </c>
      <c r="AY106" s="5" t="s">
        <v>121</v>
      </c>
      <c r="AZ106" s="5" t="s">
        <v>121</v>
      </c>
      <c r="BA106" s="5" t="s">
        <v>121</v>
      </c>
      <c r="BB106" s="5" t="s">
        <v>121</v>
      </c>
      <c r="BC106" s="5" t="s">
        <v>121</v>
      </c>
      <c r="BD106" s="5" t="s">
        <v>121</v>
      </c>
      <c r="BE106" s="5" t="s">
        <v>121</v>
      </c>
      <c r="BF106" s="5" t="s">
        <v>121</v>
      </c>
      <c r="BG106" s="5" t="s">
        <v>121</v>
      </c>
      <c r="BH106" s="5" t="s">
        <v>12721</v>
      </c>
      <c r="BI106" s="5" t="s">
        <v>121</v>
      </c>
      <c r="BJ106" s="5" t="s">
        <v>1225</v>
      </c>
      <c r="BK106" s="5" t="s">
        <v>121</v>
      </c>
      <c r="BL106" s="5" t="s">
        <v>1195</v>
      </c>
      <c r="BM106" s="5" t="s">
        <v>1195</v>
      </c>
      <c r="BN106" s="5" t="s">
        <v>1226</v>
      </c>
      <c r="BO106" s="5" t="s">
        <v>12219</v>
      </c>
      <c r="BP106" s="5" t="s">
        <v>121</v>
      </c>
      <c r="BQ106" s="5" t="s">
        <v>2854</v>
      </c>
      <c r="BR106" s="5" t="s">
        <v>121</v>
      </c>
      <c r="BS106" s="5" t="s">
        <v>121</v>
      </c>
      <c r="BT106" s="5" t="s">
        <v>121</v>
      </c>
      <c r="BU106" s="5" t="s">
        <v>121</v>
      </c>
      <c r="BV106" s="5" t="s">
        <v>3510</v>
      </c>
      <c r="BW106" s="5" t="s">
        <v>3510</v>
      </c>
      <c r="BX106" s="5" t="s">
        <v>3510</v>
      </c>
      <c r="BY106" s="5" t="s">
        <v>121</v>
      </c>
      <c r="BZ106" s="5" t="s">
        <v>121</v>
      </c>
      <c r="CA106" s="5" t="s">
        <v>121</v>
      </c>
      <c r="CB106" s="5" t="s">
        <v>121</v>
      </c>
      <c r="CC106" s="5" t="s">
        <v>1224</v>
      </c>
      <c r="CD106" s="5" t="s">
        <v>121</v>
      </c>
      <c r="CE106" s="5" t="s">
        <v>121</v>
      </c>
      <c r="CF106" s="5" t="s">
        <v>11958</v>
      </c>
      <c r="CG106" s="5" t="s">
        <v>121</v>
      </c>
      <c r="CH106" s="5" t="s">
        <v>121</v>
      </c>
      <c r="CI106" s="5" t="s">
        <v>13285</v>
      </c>
      <c r="CJ106" s="5" t="s">
        <v>124</v>
      </c>
      <c r="CK106" s="5" t="s">
        <v>1227</v>
      </c>
      <c r="CL106" s="5" t="s">
        <v>3510</v>
      </c>
      <c r="CM106" s="5" t="s">
        <v>124</v>
      </c>
      <c r="CN106" s="5" t="s">
        <v>121</v>
      </c>
      <c r="CO106" s="5" t="s">
        <v>121</v>
      </c>
      <c r="CP106" s="5" t="s">
        <v>3510</v>
      </c>
      <c r="CQ106" s="5" t="s">
        <v>1229</v>
      </c>
      <c r="CR106" s="5" t="s">
        <v>12187</v>
      </c>
      <c r="CS106" s="5" t="s">
        <v>3510</v>
      </c>
      <c r="CT106" s="5" t="s">
        <v>3510</v>
      </c>
      <c r="CU106" s="5" t="s">
        <v>2854</v>
      </c>
      <c r="CV106" s="5" t="s">
        <v>11952</v>
      </c>
      <c r="CW106" s="5" t="s">
        <v>11952</v>
      </c>
      <c r="CX106" s="5" t="s">
        <v>13205</v>
      </c>
      <c r="CY106" s="5" t="s">
        <v>13286</v>
      </c>
      <c r="CZ106" s="5" t="s">
        <v>11989</v>
      </c>
      <c r="DA106" s="5" t="s">
        <v>11989</v>
      </c>
      <c r="DB106" s="5" t="s">
        <v>11963</v>
      </c>
      <c r="DC106" s="5" t="s">
        <v>13287</v>
      </c>
      <c r="DD106" s="5" t="s">
        <v>11963</v>
      </c>
      <c r="DE106" s="5" t="s">
        <v>13288</v>
      </c>
      <c r="DF106" s="5" t="s">
        <v>2854</v>
      </c>
      <c r="DG106" s="5" t="s">
        <v>13289</v>
      </c>
      <c r="DH106" s="5" t="s">
        <v>13290</v>
      </c>
      <c r="DI106" s="5" t="s">
        <v>11966</v>
      </c>
      <c r="DJ106" s="5" t="s">
        <v>12044</v>
      </c>
      <c r="DK106" s="5" t="s">
        <v>13291</v>
      </c>
      <c r="DL106" s="5">
        <v>3</v>
      </c>
      <c r="DM106" s="5">
        <v>1</v>
      </c>
      <c r="DN106" s="5">
        <v>1.2</v>
      </c>
      <c r="DO106" s="5">
        <v>0.5</v>
      </c>
      <c r="DP106" s="5">
        <v>0.5</v>
      </c>
      <c r="DQ106" s="5">
        <v>0</v>
      </c>
      <c r="DR106" s="5">
        <v>0</v>
      </c>
      <c r="DS106" s="5">
        <v>22.1</v>
      </c>
      <c r="DT106" s="5" t="s">
        <v>11968</v>
      </c>
      <c r="DU106" s="5" t="s">
        <v>12116</v>
      </c>
      <c r="DV106" s="5" t="s">
        <v>11970</v>
      </c>
      <c r="DW106" s="5"/>
      <c r="DX106" s="5">
        <v>7</v>
      </c>
      <c r="DY106" s="5"/>
      <c r="DZ106" s="5">
        <v>100</v>
      </c>
      <c r="EA106" s="5"/>
      <c r="EB106" s="5">
        <v>7.0000000000000007E-2</v>
      </c>
      <c r="EC106" s="5"/>
      <c r="ED106" s="5" t="s">
        <v>11971</v>
      </c>
      <c r="EE106" s="5"/>
      <c r="EF106" s="5" t="s">
        <v>11997</v>
      </c>
      <c r="EG106" s="5"/>
      <c r="EH106" s="5" t="s">
        <v>11997</v>
      </c>
      <c r="EI106" s="5"/>
      <c r="EJ106" s="5" t="s">
        <v>11997</v>
      </c>
      <c r="EK106" s="5"/>
      <c r="EL106" s="5" t="s">
        <v>11997</v>
      </c>
      <c r="EM106" s="5"/>
      <c r="EN106" s="5" t="s">
        <v>11997</v>
      </c>
      <c r="EO106" s="5"/>
      <c r="EP106" s="5" t="s">
        <v>11998</v>
      </c>
      <c r="EQ106" s="5"/>
      <c r="ER106" s="5" t="s">
        <v>11997</v>
      </c>
      <c r="ES106" s="5"/>
      <c r="ET106" s="5" t="s">
        <v>11972</v>
      </c>
      <c r="EU106" s="5"/>
      <c r="EV106" s="5"/>
      <c r="EW106" s="5"/>
      <c r="EX106" s="5"/>
      <c r="EY106" s="5" t="s">
        <v>6229</v>
      </c>
      <c r="EZ106" s="5"/>
      <c r="FA106" s="5" t="s">
        <v>1230</v>
      </c>
      <c r="FB106" s="5"/>
    </row>
    <row r="107" spans="1:158" ht="280.5">
      <c r="A107" s="5" t="s">
        <v>1232</v>
      </c>
      <c r="B107" s="5" t="s">
        <v>1233</v>
      </c>
      <c r="C107" s="5" t="s">
        <v>13292</v>
      </c>
      <c r="D107" s="5" t="s">
        <v>1234</v>
      </c>
      <c r="E107" s="5" t="s">
        <v>12011</v>
      </c>
      <c r="F107" s="5" t="s">
        <v>11994</v>
      </c>
      <c r="G107" s="5" t="s">
        <v>13293</v>
      </c>
      <c r="H107" s="5" t="s">
        <v>11237</v>
      </c>
      <c r="I107" s="5" t="s">
        <v>13166</v>
      </c>
      <c r="J107" s="5" t="s">
        <v>2854</v>
      </c>
      <c r="K107" s="5" t="s">
        <v>13294</v>
      </c>
      <c r="L107" s="5" t="s">
        <v>1242</v>
      </c>
      <c r="M107" s="5" t="s">
        <v>11952</v>
      </c>
      <c r="N107" s="5" t="s">
        <v>11952</v>
      </c>
      <c r="O107" s="5" t="s">
        <v>11952</v>
      </c>
      <c r="P107" s="5" t="s">
        <v>13295</v>
      </c>
      <c r="Q107" s="5" t="s">
        <v>1242</v>
      </c>
      <c r="R107" s="5" t="s">
        <v>11952</v>
      </c>
      <c r="S107" s="5" t="s">
        <v>11952</v>
      </c>
      <c r="T107" s="5" t="s">
        <v>13296</v>
      </c>
      <c r="U107" s="5" t="s">
        <v>2854</v>
      </c>
      <c r="V107" s="5" t="s">
        <v>13297</v>
      </c>
      <c r="W107" s="5" t="s">
        <v>13298</v>
      </c>
      <c r="X107" s="5" t="s">
        <v>13299</v>
      </c>
      <c r="Y107" s="5" t="s">
        <v>121</v>
      </c>
      <c r="Z107" s="5" t="s">
        <v>2854</v>
      </c>
      <c r="AA107" s="5" t="s">
        <v>11981</v>
      </c>
      <c r="AB107" s="5" t="s">
        <v>155</v>
      </c>
      <c r="AC107" s="5" t="s">
        <v>1239</v>
      </c>
      <c r="AD107" s="5" t="s">
        <v>121</v>
      </c>
      <c r="AE107" s="5" t="s">
        <v>121</v>
      </c>
      <c r="AF107" s="5" t="s">
        <v>1239</v>
      </c>
      <c r="AG107" s="5" t="s">
        <v>121</v>
      </c>
      <c r="AH107" s="5" t="s">
        <v>121</v>
      </c>
      <c r="AI107" s="5" t="s">
        <v>121</v>
      </c>
      <c r="AJ107" s="5" t="s">
        <v>121</v>
      </c>
      <c r="AK107" s="5" t="s">
        <v>121</v>
      </c>
      <c r="AL107" s="5" t="s">
        <v>121</v>
      </c>
      <c r="AM107" s="5" t="s">
        <v>121</v>
      </c>
      <c r="AN107" s="5" t="s">
        <v>13300</v>
      </c>
      <c r="AO107" s="5" t="s">
        <v>121</v>
      </c>
      <c r="AP107" s="5" t="s">
        <v>2302</v>
      </c>
      <c r="AQ107" s="5" t="s">
        <v>121</v>
      </c>
      <c r="AR107" s="5" t="s">
        <v>13301</v>
      </c>
      <c r="AS107" s="5" t="s">
        <v>1240</v>
      </c>
      <c r="AT107" s="5" t="s">
        <v>121</v>
      </c>
      <c r="AU107" s="5" t="s">
        <v>1236</v>
      </c>
      <c r="AV107" s="5" t="s">
        <v>121</v>
      </c>
      <c r="AW107" s="5" t="s">
        <v>121</v>
      </c>
      <c r="AX107" s="5" t="s">
        <v>121</v>
      </c>
      <c r="AY107" s="5" t="s">
        <v>121</v>
      </c>
      <c r="AZ107" s="5" t="s">
        <v>121</v>
      </c>
      <c r="BA107" s="5" t="s">
        <v>121</v>
      </c>
      <c r="BB107" s="5" t="s">
        <v>121</v>
      </c>
      <c r="BC107" s="5" t="s">
        <v>121</v>
      </c>
      <c r="BD107" s="5" t="s">
        <v>121</v>
      </c>
      <c r="BE107" s="5" t="s">
        <v>121</v>
      </c>
      <c r="BF107" s="5" t="s">
        <v>13302</v>
      </c>
      <c r="BG107" s="5" t="s">
        <v>121</v>
      </c>
      <c r="BH107" s="5" t="s">
        <v>13303</v>
      </c>
      <c r="BI107" s="5" t="s">
        <v>121</v>
      </c>
      <c r="BJ107" s="5" t="s">
        <v>1237</v>
      </c>
      <c r="BK107" s="5" t="s">
        <v>121</v>
      </c>
      <c r="BL107" s="5" t="s">
        <v>13304</v>
      </c>
      <c r="BM107" s="5" t="s">
        <v>13304</v>
      </c>
      <c r="BN107" s="5" t="s">
        <v>1238</v>
      </c>
      <c r="BO107" s="5" t="s">
        <v>13305</v>
      </c>
      <c r="BP107" s="5" t="s">
        <v>121</v>
      </c>
      <c r="BQ107" s="5" t="s">
        <v>2854</v>
      </c>
      <c r="BR107" s="5" t="s">
        <v>121</v>
      </c>
      <c r="BS107" s="5" t="s">
        <v>121</v>
      </c>
      <c r="BT107" s="5" t="s">
        <v>121</v>
      </c>
      <c r="BU107" s="5" t="s">
        <v>121</v>
      </c>
      <c r="BV107" s="5" t="s">
        <v>121</v>
      </c>
      <c r="BW107" s="5" t="s">
        <v>121</v>
      </c>
      <c r="BX107" s="5" t="s">
        <v>121</v>
      </c>
      <c r="BY107" s="5" t="s">
        <v>13306</v>
      </c>
      <c r="BZ107" s="5" t="s">
        <v>13307</v>
      </c>
      <c r="CA107" s="5" t="s">
        <v>121</v>
      </c>
      <c r="CB107" s="5" t="s">
        <v>121</v>
      </c>
      <c r="CC107" s="5" t="s">
        <v>1235</v>
      </c>
      <c r="CD107" s="5" t="s">
        <v>13308</v>
      </c>
      <c r="CE107" s="5" t="s">
        <v>13308</v>
      </c>
      <c r="CF107" s="5" t="s">
        <v>11958</v>
      </c>
      <c r="CG107" s="5" t="s">
        <v>13309</v>
      </c>
      <c r="CH107" s="5" t="s">
        <v>13310</v>
      </c>
      <c r="CI107" s="5" t="s">
        <v>12034</v>
      </c>
      <c r="CJ107" s="5" t="s">
        <v>124</v>
      </c>
      <c r="CK107" s="5" t="s">
        <v>241</v>
      </c>
      <c r="CL107" s="5" t="s">
        <v>3510</v>
      </c>
      <c r="CM107" s="5" t="s">
        <v>124</v>
      </c>
      <c r="CN107" s="5" t="s">
        <v>121</v>
      </c>
      <c r="CO107" s="5" t="s">
        <v>121</v>
      </c>
      <c r="CP107" s="5" t="s">
        <v>3510</v>
      </c>
      <c r="CQ107" s="5" t="s">
        <v>1241</v>
      </c>
      <c r="CR107" s="5" t="s">
        <v>11960</v>
      </c>
      <c r="CS107" s="5" t="s">
        <v>2854</v>
      </c>
      <c r="CT107" s="5" t="s">
        <v>3510</v>
      </c>
      <c r="CU107" s="5" t="s">
        <v>3510</v>
      </c>
      <c r="CV107" s="5" t="s">
        <v>11952</v>
      </c>
      <c r="CW107" s="5" t="s">
        <v>11952</v>
      </c>
      <c r="CX107" s="5" t="s">
        <v>13311</v>
      </c>
      <c r="CY107" s="5" t="s">
        <v>13312</v>
      </c>
      <c r="CZ107" s="5" t="s">
        <v>11952</v>
      </c>
      <c r="DA107" s="5" t="s">
        <v>3510</v>
      </c>
      <c r="DB107" s="5" t="s">
        <v>11963</v>
      </c>
      <c r="DC107" s="5" t="s">
        <v>13313</v>
      </c>
      <c r="DD107" s="5" t="s">
        <v>11963</v>
      </c>
      <c r="DE107" s="5" t="s">
        <v>13314</v>
      </c>
      <c r="DF107" s="5" t="s">
        <v>3510</v>
      </c>
      <c r="DG107" s="5" t="s">
        <v>13315</v>
      </c>
      <c r="DH107" s="5" t="s">
        <v>13316</v>
      </c>
      <c r="DI107" s="5" t="s">
        <v>11994</v>
      </c>
      <c r="DJ107" s="5" t="s">
        <v>11966</v>
      </c>
      <c r="DK107" s="5" t="s">
        <v>13317</v>
      </c>
      <c r="DL107" s="5">
        <v>5</v>
      </c>
      <c r="DM107" s="5">
        <v>4</v>
      </c>
      <c r="DN107" s="5">
        <v>4.8</v>
      </c>
      <c r="DO107" s="5">
        <v>3.5</v>
      </c>
      <c r="DP107" s="5">
        <v>2.5</v>
      </c>
      <c r="DQ107" s="5">
        <v>2</v>
      </c>
      <c r="DR107" s="5">
        <v>0</v>
      </c>
      <c r="DS107" s="5">
        <v>69.900000000000006</v>
      </c>
      <c r="DT107" s="5" t="s">
        <v>11968</v>
      </c>
      <c r="DU107" s="5" t="s">
        <v>12116</v>
      </c>
      <c r="DV107" s="5" t="s">
        <v>11970</v>
      </c>
      <c r="DW107" s="5"/>
      <c r="DX107" s="5">
        <v>11</v>
      </c>
      <c r="DY107" s="5"/>
      <c r="DZ107" s="5">
        <v>100</v>
      </c>
      <c r="EA107" s="5"/>
      <c r="EB107" s="5">
        <v>0.11</v>
      </c>
      <c r="EC107" s="5"/>
      <c r="ED107" s="5" t="s">
        <v>11971</v>
      </c>
      <c r="EE107" s="5"/>
      <c r="EF107" s="5" t="s">
        <v>11997</v>
      </c>
      <c r="EG107" s="5"/>
      <c r="EH107" s="5" t="s">
        <v>11997</v>
      </c>
      <c r="EI107" s="5"/>
      <c r="EJ107" s="5" t="s">
        <v>11997</v>
      </c>
      <c r="EK107" s="5"/>
      <c r="EL107" s="5" t="s">
        <v>11997</v>
      </c>
      <c r="EM107" s="5"/>
      <c r="EN107" s="5" t="s">
        <v>11997</v>
      </c>
      <c r="EO107" s="5"/>
      <c r="EP107" s="5" t="s">
        <v>11998</v>
      </c>
      <c r="EQ107" s="5"/>
      <c r="ER107" s="5" t="s">
        <v>11997</v>
      </c>
      <c r="ES107" s="5"/>
      <c r="ET107" s="5" t="s">
        <v>11972</v>
      </c>
      <c r="EU107" s="5"/>
      <c r="EV107" s="5"/>
      <c r="EW107" s="5"/>
      <c r="EX107" s="5"/>
      <c r="EY107" s="5" t="s">
        <v>6257</v>
      </c>
      <c r="EZ107" s="5"/>
      <c r="FA107" s="5" t="s">
        <v>1242</v>
      </c>
      <c r="FB107" s="5"/>
    </row>
    <row r="108" spans="1:158" ht="76.5">
      <c r="A108" s="5" t="s">
        <v>1244</v>
      </c>
      <c r="B108" s="5" t="s">
        <v>1245</v>
      </c>
      <c r="C108" s="5" t="s">
        <v>11952</v>
      </c>
      <c r="D108" s="5" t="s">
        <v>1070</v>
      </c>
      <c r="E108" s="5" t="s">
        <v>11953</v>
      </c>
      <c r="F108" s="5" t="s">
        <v>11954</v>
      </c>
      <c r="G108" s="5" t="s">
        <v>11955</v>
      </c>
      <c r="H108" s="5" t="s">
        <v>11235</v>
      </c>
      <c r="I108" s="5" t="s">
        <v>1065</v>
      </c>
      <c r="J108" s="5" t="s">
        <v>3510</v>
      </c>
      <c r="K108" s="5" t="s">
        <v>11956</v>
      </c>
      <c r="L108" s="5" t="s">
        <v>1248</v>
      </c>
      <c r="M108" s="5" t="s">
        <v>11952</v>
      </c>
      <c r="N108" s="5" t="s">
        <v>11952</v>
      </c>
      <c r="O108" s="5" t="s">
        <v>11952</v>
      </c>
      <c r="P108" s="5" t="s">
        <v>1248</v>
      </c>
      <c r="Q108" s="5" t="s">
        <v>11952</v>
      </c>
      <c r="R108" s="5" t="s">
        <v>11952</v>
      </c>
      <c r="S108" s="5" t="s">
        <v>11952</v>
      </c>
      <c r="T108" s="5" t="s">
        <v>121</v>
      </c>
      <c r="U108" s="5" t="s">
        <v>3510</v>
      </c>
      <c r="V108" s="5" t="s">
        <v>121</v>
      </c>
      <c r="W108" s="5" t="s">
        <v>121</v>
      </c>
      <c r="X108" s="5" t="s">
        <v>121</v>
      </c>
      <c r="Y108" s="5" t="s">
        <v>121</v>
      </c>
      <c r="Z108" s="5" t="s">
        <v>11952</v>
      </c>
      <c r="AA108" s="5" t="s">
        <v>11952</v>
      </c>
      <c r="AB108" s="5" t="s">
        <v>121</v>
      </c>
      <c r="AC108" s="5" t="s">
        <v>121</v>
      </c>
      <c r="AD108" s="5" t="s">
        <v>121</v>
      </c>
      <c r="AE108" s="5" t="s">
        <v>121</v>
      </c>
      <c r="AF108" s="5" t="s">
        <v>121</v>
      </c>
      <c r="AG108" s="5" t="s">
        <v>121</v>
      </c>
      <c r="AH108" s="5" t="s">
        <v>121</v>
      </c>
      <c r="AI108" s="5" t="s">
        <v>121</v>
      </c>
      <c r="AJ108" s="5" t="s">
        <v>121</v>
      </c>
      <c r="AK108" s="5" t="s">
        <v>121</v>
      </c>
      <c r="AL108" s="5" t="s">
        <v>121</v>
      </c>
      <c r="AM108" s="5" t="s">
        <v>121</v>
      </c>
      <c r="AN108" s="5" t="s">
        <v>121</v>
      </c>
      <c r="AO108" s="5" t="s">
        <v>121</v>
      </c>
      <c r="AP108" s="5" t="s">
        <v>121</v>
      </c>
      <c r="AQ108" s="5" t="s">
        <v>121</v>
      </c>
      <c r="AR108" s="5" t="s">
        <v>121</v>
      </c>
      <c r="AS108" s="5" t="s">
        <v>121</v>
      </c>
      <c r="AT108" s="5" t="s">
        <v>121</v>
      </c>
      <c r="AU108" s="5" t="s">
        <v>121</v>
      </c>
      <c r="AV108" s="5" t="s">
        <v>121</v>
      </c>
      <c r="AW108" s="5" t="s">
        <v>121</v>
      </c>
      <c r="AX108" s="5" t="s">
        <v>121</v>
      </c>
      <c r="AY108" s="5" t="s">
        <v>121</v>
      </c>
      <c r="AZ108" s="5" t="s">
        <v>121</v>
      </c>
      <c r="BA108" s="5" t="s">
        <v>121</v>
      </c>
      <c r="BB108" s="5" t="s">
        <v>121</v>
      </c>
      <c r="BC108" s="5" t="s">
        <v>121</v>
      </c>
      <c r="BD108" s="5" t="s">
        <v>121</v>
      </c>
      <c r="BE108" s="5" t="s">
        <v>121</v>
      </c>
      <c r="BF108" s="5" t="s">
        <v>121</v>
      </c>
      <c r="BG108" s="5" t="s">
        <v>121</v>
      </c>
      <c r="BH108" s="5" t="s">
        <v>12721</v>
      </c>
      <c r="BI108" s="5" t="s">
        <v>121</v>
      </c>
      <c r="BJ108" s="5" t="s">
        <v>1246</v>
      </c>
      <c r="BK108" s="5" t="s">
        <v>121</v>
      </c>
      <c r="BL108" s="5" t="s">
        <v>1195</v>
      </c>
      <c r="BM108" s="5" t="s">
        <v>1195</v>
      </c>
      <c r="BN108" s="5" t="s">
        <v>121</v>
      </c>
      <c r="BO108" s="5" t="s">
        <v>121</v>
      </c>
      <c r="BP108" s="5" t="s">
        <v>121</v>
      </c>
      <c r="BQ108" s="5" t="s">
        <v>2854</v>
      </c>
      <c r="BR108" s="5" t="s">
        <v>121</v>
      </c>
      <c r="BS108" s="5" t="s">
        <v>121</v>
      </c>
      <c r="BT108" s="5" t="s">
        <v>121</v>
      </c>
      <c r="BU108" s="5" t="s">
        <v>121</v>
      </c>
      <c r="BV108" s="5" t="s">
        <v>3510</v>
      </c>
      <c r="BW108" s="5" t="s">
        <v>3510</v>
      </c>
      <c r="BX108" s="5" t="s">
        <v>3510</v>
      </c>
      <c r="BY108" s="5" t="s">
        <v>121</v>
      </c>
      <c r="BZ108" s="5" t="s">
        <v>121</v>
      </c>
      <c r="CA108" s="5" t="s">
        <v>121</v>
      </c>
      <c r="CB108" s="5" t="s">
        <v>121</v>
      </c>
      <c r="CC108" s="5" t="s">
        <v>332</v>
      </c>
      <c r="CD108" s="5" t="s">
        <v>121</v>
      </c>
      <c r="CE108" s="5" t="s">
        <v>121</v>
      </c>
      <c r="CF108" s="5" t="s">
        <v>11958</v>
      </c>
      <c r="CG108" s="5" t="s">
        <v>121</v>
      </c>
      <c r="CH108" s="5" t="s">
        <v>121</v>
      </c>
      <c r="CI108" s="5" t="s">
        <v>11959</v>
      </c>
      <c r="CJ108" s="5" t="s">
        <v>124</v>
      </c>
      <c r="CK108" s="5" t="s">
        <v>121</v>
      </c>
      <c r="CL108" s="5" t="s">
        <v>3510</v>
      </c>
      <c r="CM108" s="5" t="s">
        <v>124</v>
      </c>
      <c r="CN108" s="5" t="s">
        <v>121</v>
      </c>
      <c r="CO108" s="5" t="s">
        <v>121</v>
      </c>
      <c r="CP108" s="5" t="s">
        <v>3510</v>
      </c>
      <c r="CQ108" s="5" t="s">
        <v>1247</v>
      </c>
      <c r="CR108" s="5" t="s">
        <v>11960</v>
      </c>
      <c r="CS108" s="5" t="s">
        <v>3510</v>
      </c>
      <c r="CT108" s="5" t="s">
        <v>3510</v>
      </c>
      <c r="CU108" s="5" t="s">
        <v>3510</v>
      </c>
      <c r="CV108" s="5" t="s">
        <v>11952</v>
      </c>
      <c r="CW108" s="5" t="s">
        <v>11952</v>
      </c>
      <c r="CX108" s="5" t="s">
        <v>13160</v>
      </c>
      <c r="CY108" s="5" t="s">
        <v>13318</v>
      </c>
      <c r="CZ108" s="5" t="s">
        <v>3510</v>
      </c>
      <c r="DA108" s="5" t="s">
        <v>11952</v>
      </c>
      <c r="DB108" s="5" t="s">
        <v>11963</v>
      </c>
      <c r="DC108" s="5" t="s">
        <v>11963</v>
      </c>
      <c r="DD108" s="5" t="s">
        <v>11963</v>
      </c>
      <c r="DE108" s="5" t="s">
        <v>11963</v>
      </c>
      <c r="DF108" s="5" t="s">
        <v>3510</v>
      </c>
      <c r="DG108" s="5" t="s">
        <v>11964</v>
      </c>
      <c r="DH108" s="5" t="s">
        <v>13319</v>
      </c>
      <c r="DI108" s="5" t="s">
        <v>11966</v>
      </c>
      <c r="DJ108" s="5" t="s">
        <v>11966</v>
      </c>
      <c r="DK108" s="5" t="s">
        <v>11967</v>
      </c>
      <c r="DL108" s="5">
        <v>3</v>
      </c>
      <c r="DM108" s="5">
        <v>1</v>
      </c>
      <c r="DN108" s="5">
        <v>1.5</v>
      </c>
      <c r="DO108" s="5">
        <v>0</v>
      </c>
      <c r="DP108" s="5">
        <v>0</v>
      </c>
      <c r="DQ108" s="5">
        <v>0</v>
      </c>
      <c r="DR108" s="5">
        <v>0</v>
      </c>
      <c r="DS108" s="5">
        <v>20.5</v>
      </c>
      <c r="DT108" s="5" t="s">
        <v>11968</v>
      </c>
      <c r="DU108" s="5" t="s">
        <v>11969</v>
      </c>
      <c r="DV108" s="5" t="s">
        <v>11970</v>
      </c>
      <c r="DW108" s="5"/>
      <c r="DX108" s="5">
        <v>13</v>
      </c>
      <c r="DY108" s="5"/>
      <c r="DZ108" s="5">
        <v>100</v>
      </c>
      <c r="EA108" s="5"/>
      <c r="EB108" s="5">
        <v>0.13</v>
      </c>
      <c r="EC108" s="5"/>
      <c r="ED108" s="5" t="s">
        <v>11971</v>
      </c>
      <c r="EE108" s="5"/>
      <c r="EF108" s="5" t="s">
        <v>11997</v>
      </c>
      <c r="EG108" s="5"/>
      <c r="EH108" s="5" t="s">
        <v>11997</v>
      </c>
      <c r="EI108" s="5"/>
      <c r="EJ108" s="5" t="s">
        <v>11997</v>
      </c>
      <c r="EK108" s="5"/>
      <c r="EL108" s="5" t="s">
        <v>11997</v>
      </c>
      <c r="EM108" s="5"/>
      <c r="EN108" s="5" t="s">
        <v>11997</v>
      </c>
      <c r="EO108" s="5"/>
      <c r="EP108" s="5" t="s">
        <v>11998</v>
      </c>
      <c r="EQ108" s="5"/>
      <c r="ER108" s="5" t="s">
        <v>11997</v>
      </c>
      <c r="ES108" s="5"/>
      <c r="ET108" s="5" t="s">
        <v>11972</v>
      </c>
      <c r="EU108" s="5"/>
      <c r="EV108" s="5"/>
      <c r="EW108" s="5"/>
      <c r="EX108" s="5"/>
      <c r="EY108" s="5" t="s">
        <v>6290</v>
      </c>
      <c r="EZ108" s="5"/>
      <c r="FA108" s="5" t="s">
        <v>1248</v>
      </c>
      <c r="FB108" s="5"/>
    </row>
    <row r="109" spans="1:158" ht="255">
      <c r="A109" s="5" t="s">
        <v>1250</v>
      </c>
      <c r="B109" s="5" t="s">
        <v>1251</v>
      </c>
      <c r="C109" s="5" t="s">
        <v>11952</v>
      </c>
      <c r="D109" s="5" t="s">
        <v>1252</v>
      </c>
      <c r="E109" s="5" t="s">
        <v>11953</v>
      </c>
      <c r="F109" s="5" t="s">
        <v>11954</v>
      </c>
      <c r="G109" s="5" t="s">
        <v>11955</v>
      </c>
      <c r="H109" s="5" t="s">
        <v>11237</v>
      </c>
      <c r="I109" s="5" t="s">
        <v>1065</v>
      </c>
      <c r="J109" s="5" t="s">
        <v>3510</v>
      </c>
      <c r="K109" s="5" t="s">
        <v>11956</v>
      </c>
      <c r="L109" s="5" t="s">
        <v>1259</v>
      </c>
      <c r="M109" s="5" t="s">
        <v>11952</v>
      </c>
      <c r="N109" s="5" t="s">
        <v>11952</v>
      </c>
      <c r="O109" s="5" t="s">
        <v>11952</v>
      </c>
      <c r="P109" s="5" t="s">
        <v>1259</v>
      </c>
      <c r="Q109" s="5" t="s">
        <v>11952</v>
      </c>
      <c r="R109" s="5" t="s">
        <v>11952</v>
      </c>
      <c r="S109" s="5" t="s">
        <v>11952</v>
      </c>
      <c r="T109" s="5" t="s">
        <v>121</v>
      </c>
      <c r="U109" s="5" t="s">
        <v>2854</v>
      </c>
      <c r="V109" s="5" t="s">
        <v>13320</v>
      </c>
      <c r="W109" s="5" t="s">
        <v>13321</v>
      </c>
      <c r="X109" s="5" t="s">
        <v>13320</v>
      </c>
      <c r="Y109" s="5" t="s">
        <v>121</v>
      </c>
      <c r="Z109" s="5" t="s">
        <v>2854</v>
      </c>
      <c r="AA109" s="5" t="s">
        <v>11981</v>
      </c>
      <c r="AB109" s="5" t="s">
        <v>155</v>
      </c>
      <c r="AC109" s="5" t="s">
        <v>1256</v>
      </c>
      <c r="AD109" s="5" t="s">
        <v>121</v>
      </c>
      <c r="AE109" s="5" t="s">
        <v>121</v>
      </c>
      <c r="AF109" s="5" t="s">
        <v>1256</v>
      </c>
      <c r="AG109" s="5" t="s">
        <v>121</v>
      </c>
      <c r="AH109" s="5" t="s">
        <v>121</v>
      </c>
      <c r="AI109" s="5" t="s">
        <v>121</v>
      </c>
      <c r="AJ109" s="5" t="s">
        <v>121</v>
      </c>
      <c r="AK109" s="5" t="s">
        <v>121</v>
      </c>
      <c r="AL109" s="5" t="s">
        <v>121</v>
      </c>
      <c r="AM109" s="5" t="s">
        <v>121</v>
      </c>
      <c r="AN109" s="5" t="s">
        <v>13322</v>
      </c>
      <c r="AO109" s="5" t="s">
        <v>121</v>
      </c>
      <c r="AP109" s="5" t="s">
        <v>13191</v>
      </c>
      <c r="AQ109" s="5" t="s">
        <v>121</v>
      </c>
      <c r="AR109" s="5" t="s">
        <v>13323</v>
      </c>
      <c r="AS109" s="5" t="s">
        <v>1257</v>
      </c>
      <c r="AT109" s="5" t="s">
        <v>121</v>
      </c>
      <c r="AU109" s="5" t="s">
        <v>1253</v>
      </c>
      <c r="AV109" s="5" t="s">
        <v>12003</v>
      </c>
      <c r="AW109" s="5" t="s">
        <v>1253</v>
      </c>
      <c r="AX109" s="5" t="s">
        <v>12159</v>
      </c>
      <c r="AY109" s="5" t="s">
        <v>121</v>
      </c>
      <c r="AZ109" s="5" t="s">
        <v>2854</v>
      </c>
      <c r="BA109" s="5" t="s">
        <v>121</v>
      </c>
      <c r="BB109" s="5" t="s">
        <v>121</v>
      </c>
      <c r="BC109" s="5" t="s">
        <v>121</v>
      </c>
      <c r="BD109" s="5" t="s">
        <v>121</v>
      </c>
      <c r="BE109" s="5" t="s">
        <v>13324</v>
      </c>
      <c r="BF109" s="5" t="s">
        <v>13324</v>
      </c>
      <c r="BG109" s="5" t="s">
        <v>121</v>
      </c>
      <c r="BH109" s="5" t="s">
        <v>13325</v>
      </c>
      <c r="BI109" s="5" t="s">
        <v>121</v>
      </c>
      <c r="BJ109" s="5" t="s">
        <v>1254</v>
      </c>
      <c r="BK109" s="5" t="s">
        <v>121</v>
      </c>
      <c r="BL109" s="5" t="s">
        <v>1195</v>
      </c>
      <c r="BM109" s="5" t="s">
        <v>1195</v>
      </c>
      <c r="BN109" s="5" t="s">
        <v>1153</v>
      </c>
      <c r="BO109" s="5" t="s">
        <v>1474</v>
      </c>
      <c r="BP109" s="5" t="s">
        <v>121</v>
      </c>
      <c r="BQ109" s="5" t="s">
        <v>2854</v>
      </c>
      <c r="BR109" s="5" t="s">
        <v>121</v>
      </c>
      <c r="BS109" s="5" t="s">
        <v>121</v>
      </c>
      <c r="BT109" s="5" t="s">
        <v>121</v>
      </c>
      <c r="BU109" s="5" t="s">
        <v>121</v>
      </c>
      <c r="BV109" s="5" t="s">
        <v>121</v>
      </c>
      <c r="BW109" s="5" t="s">
        <v>121</v>
      </c>
      <c r="BX109" s="5" t="s">
        <v>121</v>
      </c>
      <c r="BY109" s="5" t="s">
        <v>13326</v>
      </c>
      <c r="BZ109" s="5" t="s">
        <v>13327</v>
      </c>
      <c r="CA109" s="5" t="s">
        <v>121</v>
      </c>
      <c r="CB109" s="5" t="s">
        <v>121</v>
      </c>
      <c r="CC109" s="5" t="s">
        <v>1195</v>
      </c>
      <c r="CD109" s="5" t="s">
        <v>121</v>
      </c>
      <c r="CE109" s="5" t="s">
        <v>121</v>
      </c>
      <c r="CF109" s="5" t="s">
        <v>11958</v>
      </c>
      <c r="CG109" s="5" t="s">
        <v>121</v>
      </c>
      <c r="CH109" s="5" t="s">
        <v>121</v>
      </c>
      <c r="CI109" s="5" t="s">
        <v>12034</v>
      </c>
      <c r="CJ109" s="5" t="s">
        <v>124</v>
      </c>
      <c r="CK109" s="5" t="s">
        <v>1255</v>
      </c>
      <c r="CL109" s="5" t="s">
        <v>3510</v>
      </c>
      <c r="CM109" s="5" t="s">
        <v>124</v>
      </c>
      <c r="CN109" s="5" t="s">
        <v>121</v>
      </c>
      <c r="CO109" s="5" t="s">
        <v>121</v>
      </c>
      <c r="CP109" s="5" t="s">
        <v>3510</v>
      </c>
      <c r="CQ109" s="5" t="s">
        <v>1258</v>
      </c>
      <c r="CR109" s="5" t="s">
        <v>12118</v>
      </c>
      <c r="CS109" s="5" t="s">
        <v>3510</v>
      </c>
      <c r="CT109" s="5" t="s">
        <v>3510</v>
      </c>
      <c r="CU109" s="5" t="s">
        <v>2854</v>
      </c>
      <c r="CV109" s="5" t="s">
        <v>13328</v>
      </c>
      <c r="CW109" s="5" t="s">
        <v>13329</v>
      </c>
      <c r="CX109" s="5" t="s">
        <v>13152</v>
      </c>
      <c r="CY109" s="5" t="s">
        <v>13330</v>
      </c>
      <c r="CZ109" s="5" t="s">
        <v>11952</v>
      </c>
      <c r="DA109" s="5" t="s">
        <v>3510</v>
      </c>
      <c r="DB109" s="5" t="s">
        <v>11963</v>
      </c>
      <c r="DC109" s="5" t="s">
        <v>11963</v>
      </c>
      <c r="DD109" s="5" t="s">
        <v>11963</v>
      </c>
      <c r="DE109" s="5" t="s">
        <v>11963</v>
      </c>
      <c r="DF109" s="5" t="s">
        <v>3510</v>
      </c>
      <c r="DG109" s="5" t="s">
        <v>11964</v>
      </c>
      <c r="DH109" s="5" t="s">
        <v>13331</v>
      </c>
      <c r="DI109" s="5" t="s">
        <v>11994</v>
      </c>
      <c r="DJ109" s="5" t="s">
        <v>11966</v>
      </c>
      <c r="DK109" s="5" t="s">
        <v>11967</v>
      </c>
      <c r="DL109" s="5">
        <v>5</v>
      </c>
      <c r="DM109" s="5">
        <v>4</v>
      </c>
      <c r="DN109" s="5">
        <v>4.5</v>
      </c>
      <c r="DO109" s="5">
        <v>5</v>
      </c>
      <c r="DP109" s="5">
        <v>5</v>
      </c>
      <c r="DQ109" s="5">
        <v>2</v>
      </c>
      <c r="DR109" s="5">
        <v>0</v>
      </c>
      <c r="DS109" s="5">
        <v>78.5</v>
      </c>
      <c r="DT109" s="5" t="s">
        <v>11968</v>
      </c>
      <c r="DU109" s="5" t="s">
        <v>11969</v>
      </c>
      <c r="DV109" s="5" t="s">
        <v>11970</v>
      </c>
      <c r="DW109" s="5"/>
      <c r="DX109" s="5">
        <v>23</v>
      </c>
      <c r="DY109" s="5"/>
      <c r="DZ109" s="5">
        <v>100</v>
      </c>
      <c r="EA109" s="5"/>
      <c r="EB109" s="5">
        <v>0.23</v>
      </c>
      <c r="EC109" s="5"/>
      <c r="ED109" s="5" t="s">
        <v>11971</v>
      </c>
      <c r="EE109" s="5"/>
      <c r="EF109" s="5" t="s">
        <v>11997</v>
      </c>
      <c r="EG109" s="5"/>
      <c r="EH109" s="5" t="s">
        <v>11997</v>
      </c>
      <c r="EI109" s="5"/>
      <c r="EJ109" s="5" t="s">
        <v>11997</v>
      </c>
      <c r="EK109" s="5"/>
      <c r="EL109" s="5" t="s">
        <v>11997</v>
      </c>
      <c r="EM109" s="5"/>
      <c r="EN109" s="5" t="s">
        <v>11997</v>
      </c>
      <c r="EO109" s="5"/>
      <c r="EP109" s="5" t="s">
        <v>11998</v>
      </c>
      <c r="EQ109" s="5"/>
      <c r="ER109" s="5" t="s">
        <v>11997</v>
      </c>
      <c r="ES109" s="5"/>
      <c r="ET109" s="5" t="s">
        <v>11972</v>
      </c>
      <c r="EU109" s="5"/>
      <c r="EV109" s="5"/>
      <c r="EW109" s="5"/>
      <c r="EX109" s="5"/>
      <c r="EY109" s="5" t="s">
        <v>6314</v>
      </c>
      <c r="EZ109" s="5"/>
      <c r="FA109" s="5" t="s">
        <v>1259</v>
      </c>
      <c r="FB109" s="5"/>
    </row>
    <row r="110" spans="1:158" ht="89.25">
      <c r="A110" s="5" t="s">
        <v>1261</v>
      </c>
      <c r="B110" s="5" t="s">
        <v>1262</v>
      </c>
      <c r="C110" s="5" t="s">
        <v>11952</v>
      </c>
      <c r="D110" s="5" t="s">
        <v>1263</v>
      </c>
      <c r="E110" s="5" t="s">
        <v>11953</v>
      </c>
      <c r="F110" s="5" t="s">
        <v>11954</v>
      </c>
      <c r="G110" s="5" t="s">
        <v>11955</v>
      </c>
      <c r="H110" s="5" t="s">
        <v>11237</v>
      </c>
      <c r="I110" s="5" t="s">
        <v>1065</v>
      </c>
      <c r="J110" s="5" t="s">
        <v>3510</v>
      </c>
      <c r="K110" s="5" t="s">
        <v>11956</v>
      </c>
      <c r="L110" s="5" t="s">
        <v>1268</v>
      </c>
      <c r="M110" s="5" t="s">
        <v>11952</v>
      </c>
      <c r="N110" s="5" t="s">
        <v>11952</v>
      </c>
      <c r="O110" s="5" t="s">
        <v>11952</v>
      </c>
      <c r="P110" s="5" t="s">
        <v>1268</v>
      </c>
      <c r="Q110" s="5" t="s">
        <v>11952</v>
      </c>
      <c r="R110" s="5" t="s">
        <v>11952</v>
      </c>
      <c r="S110" s="5" t="s">
        <v>11952</v>
      </c>
      <c r="T110" s="5" t="s">
        <v>121</v>
      </c>
      <c r="U110" s="5" t="s">
        <v>2854</v>
      </c>
      <c r="V110" s="5" t="s">
        <v>1268</v>
      </c>
      <c r="W110" s="5" t="s">
        <v>121</v>
      </c>
      <c r="X110" s="5" t="s">
        <v>1268</v>
      </c>
      <c r="Y110" s="5" t="s">
        <v>121</v>
      </c>
      <c r="Z110" s="5" t="s">
        <v>121</v>
      </c>
      <c r="AA110" s="5" t="s">
        <v>11981</v>
      </c>
      <c r="AB110" s="5" t="s">
        <v>155</v>
      </c>
      <c r="AC110" s="5" t="s">
        <v>1256</v>
      </c>
      <c r="AD110" s="5" t="s">
        <v>121</v>
      </c>
      <c r="AE110" s="5" t="s">
        <v>121</v>
      </c>
      <c r="AF110" s="5" t="s">
        <v>1256</v>
      </c>
      <c r="AG110" s="5" t="s">
        <v>121</v>
      </c>
      <c r="AH110" s="5" t="s">
        <v>121</v>
      </c>
      <c r="AI110" s="5" t="s">
        <v>121</v>
      </c>
      <c r="AJ110" s="5" t="s">
        <v>121</v>
      </c>
      <c r="AK110" s="5" t="s">
        <v>121</v>
      </c>
      <c r="AL110" s="5" t="s">
        <v>121</v>
      </c>
      <c r="AM110" s="5" t="s">
        <v>121</v>
      </c>
      <c r="AN110" s="5" t="s">
        <v>13213</v>
      </c>
      <c r="AO110" s="5" t="s">
        <v>121</v>
      </c>
      <c r="AP110" s="5" t="s">
        <v>13191</v>
      </c>
      <c r="AQ110" s="5" t="s">
        <v>121</v>
      </c>
      <c r="AR110" s="5" t="s">
        <v>13332</v>
      </c>
      <c r="AS110" s="5" t="s">
        <v>1266</v>
      </c>
      <c r="AT110" s="5" t="s">
        <v>121</v>
      </c>
      <c r="AU110" s="5" t="s">
        <v>1253</v>
      </c>
      <c r="AV110" s="5" t="s">
        <v>12003</v>
      </c>
      <c r="AW110" s="5" t="s">
        <v>1253</v>
      </c>
      <c r="AX110" s="5" t="s">
        <v>12159</v>
      </c>
      <c r="AY110" s="5" t="s">
        <v>121</v>
      </c>
      <c r="AZ110" s="5" t="s">
        <v>2854</v>
      </c>
      <c r="BA110" s="5" t="s">
        <v>121</v>
      </c>
      <c r="BB110" s="5" t="s">
        <v>121</v>
      </c>
      <c r="BC110" s="5" t="s">
        <v>121</v>
      </c>
      <c r="BD110" s="5" t="s">
        <v>121</v>
      </c>
      <c r="BE110" s="5" t="s">
        <v>12395</v>
      </c>
      <c r="BF110" s="5" t="s">
        <v>12395</v>
      </c>
      <c r="BG110" s="5" t="s">
        <v>121</v>
      </c>
      <c r="BH110" s="5" t="s">
        <v>13325</v>
      </c>
      <c r="BI110" s="5" t="s">
        <v>121</v>
      </c>
      <c r="BJ110" s="5" t="s">
        <v>1265</v>
      </c>
      <c r="BK110" s="5" t="s">
        <v>121</v>
      </c>
      <c r="BL110" s="5" t="s">
        <v>1195</v>
      </c>
      <c r="BM110" s="5" t="s">
        <v>1195</v>
      </c>
      <c r="BN110" s="5" t="s">
        <v>1153</v>
      </c>
      <c r="BO110" s="5" t="s">
        <v>1474</v>
      </c>
      <c r="BP110" s="5" t="s">
        <v>121</v>
      </c>
      <c r="BQ110" s="5" t="s">
        <v>2854</v>
      </c>
      <c r="BR110" s="5" t="s">
        <v>121</v>
      </c>
      <c r="BS110" s="5" t="s">
        <v>121</v>
      </c>
      <c r="BT110" s="5" t="s">
        <v>121</v>
      </c>
      <c r="BU110" s="5" t="s">
        <v>121</v>
      </c>
      <c r="BV110" s="5" t="s">
        <v>121</v>
      </c>
      <c r="BW110" s="5" t="s">
        <v>121</v>
      </c>
      <c r="BX110" s="5" t="s">
        <v>121</v>
      </c>
      <c r="BY110" s="5" t="s">
        <v>13333</v>
      </c>
      <c r="BZ110" s="5" t="s">
        <v>13334</v>
      </c>
      <c r="CA110" s="5" t="s">
        <v>121</v>
      </c>
      <c r="CB110" s="5" t="s">
        <v>121</v>
      </c>
      <c r="CC110" s="5" t="s">
        <v>1264</v>
      </c>
      <c r="CD110" s="5" t="s">
        <v>121</v>
      </c>
      <c r="CE110" s="5" t="s">
        <v>121</v>
      </c>
      <c r="CF110" s="5" t="s">
        <v>11958</v>
      </c>
      <c r="CG110" s="5" t="s">
        <v>121</v>
      </c>
      <c r="CH110" s="5" t="s">
        <v>121</v>
      </c>
      <c r="CI110" s="5" t="s">
        <v>11959</v>
      </c>
      <c r="CJ110" s="5" t="s">
        <v>124</v>
      </c>
      <c r="CK110" s="5" t="s">
        <v>121</v>
      </c>
      <c r="CL110" s="5" t="s">
        <v>3510</v>
      </c>
      <c r="CM110" s="5" t="s">
        <v>124</v>
      </c>
      <c r="CN110" s="5" t="s">
        <v>121</v>
      </c>
      <c r="CO110" s="5" t="s">
        <v>121</v>
      </c>
      <c r="CP110" s="5" t="s">
        <v>3510</v>
      </c>
      <c r="CQ110" s="5" t="s">
        <v>1267</v>
      </c>
      <c r="CR110" s="5" t="s">
        <v>12187</v>
      </c>
      <c r="CS110" s="5" t="s">
        <v>3510</v>
      </c>
      <c r="CT110" s="5" t="s">
        <v>3510</v>
      </c>
      <c r="CU110" s="5" t="s">
        <v>2854</v>
      </c>
      <c r="CV110" s="5" t="s">
        <v>13335</v>
      </c>
      <c r="CW110" s="5" t="s">
        <v>1251</v>
      </c>
      <c r="CX110" s="5" t="s">
        <v>13152</v>
      </c>
      <c r="CY110" s="5" t="s">
        <v>13336</v>
      </c>
      <c r="CZ110" s="5" t="s">
        <v>11952</v>
      </c>
      <c r="DA110" s="5" t="s">
        <v>3510</v>
      </c>
      <c r="DB110" s="5" t="s">
        <v>11963</v>
      </c>
      <c r="DC110" s="5" t="s">
        <v>11963</v>
      </c>
      <c r="DD110" s="5" t="s">
        <v>11963</v>
      </c>
      <c r="DE110" s="5" t="s">
        <v>11963</v>
      </c>
      <c r="DF110" s="5" t="s">
        <v>3510</v>
      </c>
      <c r="DG110" s="5" t="s">
        <v>11964</v>
      </c>
      <c r="DH110" s="5" t="s">
        <v>13337</v>
      </c>
      <c r="DI110" s="5" t="s">
        <v>11975</v>
      </c>
      <c r="DJ110" s="5" t="s">
        <v>11966</v>
      </c>
      <c r="DK110" s="5" t="s">
        <v>11967</v>
      </c>
      <c r="DL110" s="5">
        <v>4</v>
      </c>
      <c r="DM110" s="5">
        <v>2</v>
      </c>
      <c r="DN110" s="5">
        <v>4</v>
      </c>
      <c r="DO110" s="5">
        <v>5</v>
      </c>
      <c r="DP110" s="5">
        <v>5</v>
      </c>
      <c r="DQ110" s="5">
        <v>2</v>
      </c>
      <c r="DR110" s="5">
        <v>0</v>
      </c>
      <c r="DS110" s="5">
        <v>65</v>
      </c>
      <c r="DT110" s="5" t="s">
        <v>11968</v>
      </c>
      <c r="DU110" s="5" t="s">
        <v>11969</v>
      </c>
      <c r="DV110" s="5" t="s">
        <v>11970</v>
      </c>
      <c r="DW110" s="5"/>
      <c r="DX110" s="5">
        <v>21</v>
      </c>
      <c r="DY110" s="5"/>
      <c r="DZ110" s="5">
        <v>100</v>
      </c>
      <c r="EA110" s="5"/>
      <c r="EB110" s="5">
        <v>0.21</v>
      </c>
      <c r="EC110" s="5"/>
      <c r="ED110" s="5" t="s">
        <v>11971</v>
      </c>
      <c r="EE110" s="5"/>
      <c r="EF110" s="5" t="s">
        <v>11997</v>
      </c>
      <c r="EG110" s="5"/>
      <c r="EH110" s="5" t="s">
        <v>11997</v>
      </c>
      <c r="EI110" s="5"/>
      <c r="EJ110" s="5" t="s">
        <v>11997</v>
      </c>
      <c r="EK110" s="5"/>
      <c r="EL110" s="5" t="s">
        <v>11997</v>
      </c>
      <c r="EM110" s="5"/>
      <c r="EN110" s="5" t="s">
        <v>11997</v>
      </c>
      <c r="EO110" s="5"/>
      <c r="EP110" s="5" t="s">
        <v>11998</v>
      </c>
      <c r="EQ110" s="5"/>
      <c r="ER110" s="5" t="s">
        <v>11997</v>
      </c>
      <c r="ES110" s="5"/>
      <c r="ET110" s="5" t="s">
        <v>11972</v>
      </c>
      <c r="EU110" s="5"/>
      <c r="EV110" s="5"/>
      <c r="EW110" s="5"/>
      <c r="EX110" s="5"/>
      <c r="EY110" s="5" t="s">
        <v>6348</v>
      </c>
      <c r="EZ110" s="5"/>
      <c r="FA110" s="5" t="s">
        <v>1268</v>
      </c>
      <c r="FB110" s="5"/>
    </row>
    <row r="111" spans="1:158" ht="76.5">
      <c r="A111" s="5" t="s">
        <v>1270</v>
      </c>
      <c r="B111" s="5" t="s">
        <v>1271</v>
      </c>
      <c r="C111" s="5" t="s">
        <v>11952</v>
      </c>
      <c r="D111" s="5" t="s">
        <v>1272</v>
      </c>
      <c r="E111" s="5" t="s">
        <v>11953</v>
      </c>
      <c r="F111" s="5" t="s">
        <v>11954</v>
      </c>
      <c r="G111" s="5" t="s">
        <v>11955</v>
      </c>
      <c r="H111" s="5" t="s">
        <v>11235</v>
      </c>
      <c r="I111" s="5" t="s">
        <v>1065</v>
      </c>
      <c r="J111" s="5" t="s">
        <v>3510</v>
      </c>
      <c r="K111" s="5" t="s">
        <v>11956</v>
      </c>
      <c r="L111" s="5" t="s">
        <v>1278</v>
      </c>
      <c r="M111" s="5" t="s">
        <v>11952</v>
      </c>
      <c r="N111" s="5" t="s">
        <v>11952</v>
      </c>
      <c r="O111" s="5" t="s">
        <v>11952</v>
      </c>
      <c r="P111" s="5" t="s">
        <v>1278</v>
      </c>
      <c r="Q111" s="5" t="s">
        <v>11952</v>
      </c>
      <c r="R111" s="5" t="s">
        <v>11952</v>
      </c>
      <c r="S111" s="5" t="s">
        <v>11952</v>
      </c>
      <c r="T111" s="5" t="s">
        <v>121</v>
      </c>
      <c r="U111" s="5" t="s">
        <v>2854</v>
      </c>
      <c r="V111" s="5" t="s">
        <v>13338</v>
      </c>
      <c r="W111" s="5" t="s">
        <v>121</v>
      </c>
      <c r="X111" s="5" t="s">
        <v>13338</v>
      </c>
      <c r="Y111" s="5" t="s">
        <v>121</v>
      </c>
      <c r="Z111" s="5" t="s">
        <v>121</v>
      </c>
      <c r="AA111" s="5" t="s">
        <v>11981</v>
      </c>
      <c r="AB111" s="5" t="s">
        <v>155</v>
      </c>
      <c r="AC111" s="5" t="s">
        <v>1276</v>
      </c>
      <c r="AD111" s="5" t="s">
        <v>121</v>
      </c>
      <c r="AE111" s="5" t="s">
        <v>121</v>
      </c>
      <c r="AF111" s="5" t="s">
        <v>1276</v>
      </c>
      <c r="AG111" s="5" t="s">
        <v>121</v>
      </c>
      <c r="AH111" s="5" t="s">
        <v>121</v>
      </c>
      <c r="AI111" s="5" t="s">
        <v>121</v>
      </c>
      <c r="AJ111" s="5" t="s">
        <v>121</v>
      </c>
      <c r="AK111" s="5" t="s">
        <v>121</v>
      </c>
      <c r="AL111" s="5" t="s">
        <v>121</v>
      </c>
      <c r="AM111" s="5" t="s">
        <v>121</v>
      </c>
      <c r="AN111" s="5" t="s">
        <v>121</v>
      </c>
      <c r="AO111" s="5" t="s">
        <v>121</v>
      </c>
      <c r="AP111" s="5" t="s">
        <v>121</v>
      </c>
      <c r="AQ111" s="5" t="s">
        <v>121</v>
      </c>
      <c r="AR111" s="5" t="s">
        <v>121</v>
      </c>
      <c r="AS111" s="5" t="s">
        <v>121</v>
      </c>
      <c r="AT111" s="5" t="s">
        <v>121</v>
      </c>
      <c r="AU111" s="5" t="s">
        <v>121</v>
      </c>
      <c r="AV111" s="5" t="s">
        <v>121</v>
      </c>
      <c r="AW111" s="5" t="s">
        <v>121</v>
      </c>
      <c r="AX111" s="5" t="s">
        <v>121</v>
      </c>
      <c r="AY111" s="5" t="s">
        <v>121</v>
      </c>
      <c r="AZ111" s="5" t="s">
        <v>121</v>
      </c>
      <c r="BA111" s="5" t="s">
        <v>121</v>
      </c>
      <c r="BB111" s="5" t="s">
        <v>121</v>
      </c>
      <c r="BC111" s="5" t="s">
        <v>121</v>
      </c>
      <c r="BD111" s="5" t="s">
        <v>121</v>
      </c>
      <c r="BE111" s="5" t="s">
        <v>121</v>
      </c>
      <c r="BF111" s="5" t="s">
        <v>121</v>
      </c>
      <c r="BG111" s="5" t="s">
        <v>121</v>
      </c>
      <c r="BH111" s="5" t="s">
        <v>13339</v>
      </c>
      <c r="BI111" s="5" t="s">
        <v>121</v>
      </c>
      <c r="BJ111" s="5" t="s">
        <v>1274</v>
      </c>
      <c r="BK111" s="5" t="s">
        <v>121</v>
      </c>
      <c r="BL111" s="5" t="s">
        <v>1056</v>
      </c>
      <c r="BM111" s="5" t="s">
        <v>1056</v>
      </c>
      <c r="BN111" s="5" t="s">
        <v>1275</v>
      </c>
      <c r="BO111" s="5" t="s">
        <v>11984</v>
      </c>
      <c r="BP111" s="5" t="s">
        <v>121</v>
      </c>
      <c r="BQ111" s="5" t="s">
        <v>121</v>
      </c>
      <c r="BR111" s="5" t="s">
        <v>2854</v>
      </c>
      <c r="BS111" s="5" t="s">
        <v>121</v>
      </c>
      <c r="BT111" s="5" t="s">
        <v>121</v>
      </c>
      <c r="BU111" s="5" t="s">
        <v>121</v>
      </c>
      <c r="BV111" s="5" t="s">
        <v>3510</v>
      </c>
      <c r="BW111" s="5" t="s">
        <v>3510</v>
      </c>
      <c r="BX111" s="5" t="s">
        <v>3510</v>
      </c>
      <c r="BY111" s="5" t="s">
        <v>121</v>
      </c>
      <c r="BZ111" s="5" t="s">
        <v>121</v>
      </c>
      <c r="CA111" s="5" t="s">
        <v>121</v>
      </c>
      <c r="CB111" s="5" t="s">
        <v>121</v>
      </c>
      <c r="CC111" s="5" t="s">
        <v>1273</v>
      </c>
      <c r="CD111" s="5" t="s">
        <v>121</v>
      </c>
      <c r="CE111" s="5" t="s">
        <v>121</v>
      </c>
      <c r="CF111" s="5" t="s">
        <v>11958</v>
      </c>
      <c r="CG111" s="5" t="s">
        <v>121</v>
      </c>
      <c r="CH111" s="5" t="s">
        <v>121</v>
      </c>
      <c r="CI111" s="5" t="s">
        <v>11959</v>
      </c>
      <c r="CJ111" s="5" t="s">
        <v>124</v>
      </c>
      <c r="CK111" s="5" t="s">
        <v>121</v>
      </c>
      <c r="CL111" s="5" t="s">
        <v>3510</v>
      </c>
      <c r="CM111" s="5" t="s">
        <v>124</v>
      </c>
      <c r="CN111" s="5" t="s">
        <v>121</v>
      </c>
      <c r="CO111" s="5" t="s">
        <v>121</v>
      </c>
      <c r="CP111" s="5" t="s">
        <v>3510</v>
      </c>
      <c r="CQ111" s="5" t="s">
        <v>1277</v>
      </c>
      <c r="CR111" s="5" t="s">
        <v>12118</v>
      </c>
      <c r="CS111" s="5" t="s">
        <v>3510</v>
      </c>
      <c r="CT111" s="5" t="s">
        <v>3510</v>
      </c>
      <c r="CU111" s="5" t="s">
        <v>2854</v>
      </c>
      <c r="CV111" s="5" t="s">
        <v>13340</v>
      </c>
      <c r="CW111" s="5" t="s">
        <v>11952</v>
      </c>
      <c r="CX111" s="5" t="s">
        <v>13160</v>
      </c>
      <c r="CY111" s="5" t="s">
        <v>13341</v>
      </c>
      <c r="CZ111" s="5" t="s">
        <v>3510</v>
      </c>
      <c r="DA111" s="5" t="s">
        <v>11952</v>
      </c>
      <c r="DB111" s="5" t="s">
        <v>11963</v>
      </c>
      <c r="DC111" s="5" t="s">
        <v>11963</v>
      </c>
      <c r="DD111" s="5" t="s">
        <v>11963</v>
      </c>
      <c r="DE111" s="5" t="s">
        <v>11963</v>
      </c>
      <c r="DF111" s="5" t="s">
        <v>3510</v>
      </c>
      <c r="DG111" s="5" t="s">
        <v>11964</v>
      </c>
      <c r="DH111" s="5" t="s">
        <v>13342</v>
      </c>
      <c r="DI111" s="5" t="s">
        <v>11975</v>
      </c>
      <c r="DJ111" s="5" t="s">
        <v>11966</v>
      </c>
      <c r="DK111" s="5" t="s">
        <v>11967</v>
      </c>
      <c r="DL111" s="5">
        <v>3</v>
      </c>
      <c r="DM111" s="5">
        <v>2</v>
      </c>
      <c r="DN111" s="5">
        <v>1.5</v>
      </c>
      <c r="DO111" s="5">
        <v>4</v>
      </c>
      <c r="DP111" s="5">
        <v>0</v>
      </c>
      <c r="DQ111" s="5">
        <v>0</v>
      </c>
      <c r="DR111" s="5">
        <v>0</v>
      </c>
      <c r="DS111" s="5">
        <v>36.5</v>
      </c>
      <c r="DT111" s="5" t="s">
        <v>11968</v>
      </c>
      <c r="DU111" s="5" t="s">
        <v>11969</v>
      </c>
      <c r="DV111" s="5" t="s">
        <v>11970</v>
      </c>
      <c r="DW111" s="5"/>
      <c r="DX111" s="5">
        <v>7</v>
      </c>
      <c r="DY111" s="5"/>
      <c r="DZ111" s="5">
        <v>100</v>
      </c>
      <c r="EA111" s="5"/>
      <c r="EB111" s="5">
        <v>7.0000000000000007E-2</v>
      </c>
      <c r="EC111" s="5"/>
      <c r="ED111" s="5" t="s">
        <v>11971</v>
      </c>
      <c r="EE111" s="5"/>
      <c r="EF111" s="5" t="s">
        <v>11997</v>
      </c>
      <c r="EG111" s="5"/>
      <c r="EH111" s="5" t="s">
        <v>11997</v>
      </c>
      <c r="EI111" s="5"/>
      <c r="EJ111" s="5" t="s">
        <v>11997</v>
      </c>
      <c r="EK111" s="5"/>
      <c r="EL111" s="5" t="s">
        <v>11997</v>
      </c>
      <c r="EM111" s="5"/>
      <c r="EN111" s="5" t="s">
        <v>11997</v>
      </c>
      <c r="EO111" s="5"/>
      <c r="EP111" s="5" t="s">
        <v>11998</v>
      </c>
      <c r="EQ111" s="5"/>
      <c r="ER111" s="5" t="s">
        <v>11997</v>
      </c>
      <c r="ES111" s="5"/>
      <c r="ET111" s="5" t="s">
        <v>11972</v>
      </c>
      <c r="EU111" s="5"/>
      <c r="EV111" s="5"/>
      <c r="EW111" s="5"/>
      <c r="EX111" s="5"/>
      <c r="EY111" s="5" t="s">
        <v>6381</v>
      </c>
      <c r="EZ111" s="5"/>
      <c r="FA111" s="5" t="s">
        <v>1278</v>
      </c>
      <c r="FB111" s="5"/>
    </row>
    <row r="112" spans="1:158" ht="102">
      <c r="A112" s="5" t="s">
        <v>1280</v>
      </c>
      <c r="B112" s="5" t="s">
        <v>1281</v>
      </c>
      <c r="C112" s="5" t="s">
        <v>11952</v>
      </c>
      <c r="D112" s="5" t="s">
        <v>121</v>
      </c>
      <c r="E112" s="5" t="s">
        <v>11953</v>
      </c>
      <c r="F112" s="5" t="s">
        <v>11954</v>
      </c>
      <c r="G112" s="5" t="s">
        <v>11955</v>
      </c>
      <c r="H112" s="5" t="s">
        <v>11235</v>
      </c>
      <c r="I112" s="5" t="s">
        <v>1286</v>
      </c>
      <c r="J112" s="5" t="s">
        <v>3510</v>
      </c>
      <c r="K112" s="5" t="s">
        <v>11956</v>
      </c>
      <c r="L112" s="5" t="s">
        <v>1287</v>
      </c>
      <c r="M112" s="5" t="s">
        <v>11952</v>
      </c>
      <c r="N112" s="5" t="s">
        <v>11952</v>
      </c>
      <c r="O112" s="5" t="s">
        <v>11952</v>
      </c>
      <c r="P112" s="5" t="s">
        <v>11952</v>
      </c>
      <c r="Q112" s="5" t="s">
        <v>1287</v>
      </c>
      <c r="R112" s="5" t="s">
        <v>11952</v>
      </c>
      <c r="S112" s="5" t="s">
        <v>11952</v>
      </c>
      <c r="T112" s="5" t="s">
        <v>13343</v>
      </c>
      <c r="U112" s="5" t="s">
        <v>3510</v>
      </c>
      <c r="V112" s="5" t="s">
        <v>121</v>
      </c>
      <c r="W112" s="5" t="s">
        <v>121</v>
      </c>
      <c r="X112" s="5" t="s">
        <v>121</v>
      </c>
      <c r="Y112" s="5" t="s">
        <v>121</v>
      </c>
      <c r="Z112" s="5" t="s">
        <v>11952</v>
      </c>
      <c r="AA112" s="5" t="s">
        <v>11952</v>
      </c>
      <c r="AB112" s="5" t="s">
        <v>121</v>
      </c>
      <c r="AC112" s="5" t="s">
        <v>121</v>
      </c>
      <c r="AD112" s="5" t="s">
        <v>121</v>
      </c>
      <c r="AE112" s="5" t="s">
        <v>121</v>
      </c>
      <c r="AF112" s="5" t="s">
        <v>121</v>
      </c>
      <c r="AG112" s="5" t="s">
        <v>556</v>
      </c>
      <c r="AH112" s="5" t="s">
        <v>121</v>
      </c>
      <c r="AI112" s="5" t="s">
        <v>121</v>
      </c>
      <c r="AJ112" s="5" t="s">
        <v>121</v>
      </c>
      <c r="AK112" s="5" t="s">
        <v>121</v>
      </c>
      <c r="AL112" s="5" t="s">
        <v>121</v>
      </c>
      <c r="AM112" s="5" t="s">
        <v>121</v>
      </c>
      <c r="AN112" s="5" t="s">
        <v>121</v>
      </c>
      <c r="AO112" s="5" t="s">
        <v>121</v>
      </c>
      <c r="AP112" s="5" t="s">
        <v>121</v>
      </c>
      <c r="AQ112" s="5" t="s">
        <v>121</v>
      </c>
      <c r="AR112" s="5" t="s">
        <v>121</v>
      </c>
      <c r="AS112" s="5" t="s">
        <v>121</v>
      </c>
      <c r="AT112" s="5" t="s">
        <v>121</v>
      </c>
      <c r="AU112" s="5" t="s">
        <v>1283</v>
      </c>
      <c r="AV112" s="5" t="s">
        <v>12003</v>
      </c>
      <c r="AW112" s="5" t="s">
        <v>1283</v>
      </c>
      <c r="AX112" s="5" t="s">
        <v>12159</v>
      </c>
      <c r="AY112" s="5" t="s">
        <v>121</v>
      </c>
      <c r="AZ112" s="5" t="s">
        <v>121</v>
      </c>
      <c r="BA112" s="5" t="s">
        <v>121</v>
      </c>
      <c r="BB112" s="5" t="s">
        <v>3510</v>
      </c>
      <c r="BC112" s="5" t="s">
        <v>121</v>
      </c>
      <c r="BD112" s="5" t="s">
        <v>13344</v>
      </c>
      <c r="BE112" s="5" t="s">
        <v>121</v>
      </c>
      <c r="BF112" s="5" t="s">
        <v>121</v>
      </c>
      <c r="BG112" s="5" t="s">
        <v>121</v>
      </c>
      <c r="BH112" s="5" t="s">
        <v>13345</v>
      </c>
      <c r="BI112" s="5" t="s">
        <v>121</v>
      </c>
      <c r="BJ112" s="5" t="s">
        <v>121</v>
      </c>
      <c r="BK112" s="5" t="s">
        <v>121</v>
      </c>
      <c r="BL112" s="5" t="s">
        <v>121</v>
      </c>
      <c r="BM112" s="5" t="s">
        <v>121</v>
      </c>
      <c r="BN112" s="5" t="s">
        <v>1284</v>
      </c>
      <c r="BO112" s="5" t="s">
        <v>12378</v>
      </c>
      <c r="BP112" s="5" t="s">
        <v>121</v>
      </c>
      <c r="BQ112" s="5" t="s">
        <v>121</v>
      </c>
      <c r="BR112" s="5" t="s">
        <v>121</v>
      </c>
      <c r="BS112" s="5" t="s">
        <v>121</v>
      </c>
      <c r="BT112" s="5" t="s">
        <v>121</v>
      </c>
      <c r="BU112" s="5" t="s">
        <v>121</v>
      </c>
      <c r="BV112" s="5" t="s">
        <v>3510</v>
      </c>
      <c r="BW112" s="5" t="s">
        <v>3510</v>
      </c>
      <c r="BX112" s="5" t="s">
        <v>3510</v>
      </c>
      <c r="BY112" s="5" t="s">
        <v>121</v>
      </c>
      <c r="BZ112" s="5" t="s">
        <v>121</v>
      </c>
      <c r="CA112" s="5" t="s">
        <v>121</v>
      </c>
      <c r="CB112" s="5" t="s">
        <v>121</v>
      </c>
      <c r="CC112" s="5" t="s">
        <v>1282</v>
      </c>
      <c r="CD112" s="5" t="s">
        <v>121</v>
      </c>
      <c r="CE112" s="5" t="s">
        <v>121</v>
      </c>
      <c r="CF112" s="5" t="s">
        <v>11958</v>
      </c>
      <c r="CG112" s="5" t="s">
        <v>121</v>
      </c>
      <c r="CH112" s="5" t="s">
        <v>121</v>
      </c>
      <c r="CI112" s="5" t="s">
        <v>11959</v>
      </c>
      <c r="CJ112" s="5" t="s">
        <v>124</v>
      </c>
      <c r="CK112" s="5" t="s">
        <v>1097</v>
      </c>
      <c r="CL112" s="5" t="s">
        <v>3510</v>
      </c>
      <c r="CM112" s="5" t="s">
        <v>124</v>
      </c>
      <c r="CN112" s="5" t="s">
        <v>121</v>
      </c>
      <c r="CO112" s="5" t="s">
        <v>121</v>
      </c>
      <c r="CP112" s="5" t="s">
        <v>3510</v>
      </c>
      <c r="CQ112" s="5" t="s">
        <v>1285</v>
      </c>
      <c r="CR112" s="5" t="s">
        <v>11960</v>
      </c>
      <c r="CS112" s="5" t="s">
        <v>3510</v>
      </c>
      <c r="CT112" s="5" t="s">
        <v>3510</v>
      </c>
      <c r="CU112" s="5" t="s">
        <v>3510</v>
      </c>
      <c r="CV112" s="5" t="s">
        <v>11952</v>
      </c>
      <c r="CW112" s="5" t="s">
        <v>11952</v>
      </c>
      <c r="CX112" s="5" t="s">
        <v>13346</v>
      </c>
      <c r="CY112" s="5" t="s">
        <v>13347</v>
      </c>
      <c r="CZ112" s="5" t="s">
        <v>3510</v>
      </c>
      <c r="DA112" s="5" t="s">
        <v>11952</v>
      </c>
      <c r="DB112" s="5" t="s">
        <v>11963</v>
      </c>
      <c r="DC112" s="5" t="s">
        <v>11963</v>
      </c>
      <c r="DD112" s="5" t="s">
        <v>11963</v>
      </c>
      <c r="DE112" s="5" t="s">
        <v>11963</v>
      </c>
      <c r="DF112" s="5" t="s">
        <v>3510</v>
      </c>
      <c r="DG112" s="5" t="s">
        <v>11964</v>
      </c>
      <c r="DH112" s="5" t="s">
        <v>13348</v>
      </c>
      <c r="DI112" s="5" t="s">
        <v>11966</v>
      </c>
      <c r="DJ112" s="5" t="s">
        <v>11966</v>
      </c>
      <c r="DK112" s="5" t="s">
        <v>11967</v>
      </c>
      <c r="DL112" s="5">
        <v>4</v>
      </c>
      <c r="DM112" s="5">
        <v>1</v>
      </c>
      <c r="DN112" s="5">
        <v>1</v>
      </c>
      <c r="DO112" s="5">
        <v>1</v>
      </c>
      <c r="DP112" s="5">
        <v>1</v>
      </c>
      <c r="DQ112" s="5">
        <v>3</v>
      </c>
      <c r="DR112" s="5">
        <v>0</v>
      </c>
      <c r="DS112" s="5">
        <v>34</v>
      </c>
      <c r="DT112" s="5" t="s">
        <v>11968</v>
      </c>
      <c r="DU112" s="5" t="s">
        <v>11969</v>
      </c>
      <c r="DV112" s="5" t="s">
        <v>11970</v>
      </c>
      <c r="DW112" s="5"/>
      <c r="DX112" s="5">
        <v>9</v>
      </c>
      <c r="DY112" s="5"/>
      <c r="DZ112" s="5">
        <v>100</v>
      </c>
      <c r="EA112" s="5"/>
      <c r="EB112" s="5">
        <v>0.09</v>
      </c>
      <c r="EC112" s="5"/>
      <c r="ED112" s="5" t="s">
        <v>11971</v>
      </c>
      <c r="EE112" s="5"/>
      <c r="EF112" s="5" t="s">
        <v>11997</v>
      </c>
      <c r="EG112" s="5"/>
      <c r="EH112" s="5" t="s">
        <v>11997</v>
      </c>
      <c r="EI112" s="5"/>
      <c r="EJ112" s="5" t="s">
        <v>11997</v>
      </c>
      <c r="EK112" s="5"/>
      <c r="EL112" s="5" t="s">
        <v>11997</v>
      </c>
      <c r="EM112" s="5"/>
      <c r="EN112" s="5" t="s">
        <v>11997</v>
      </c>
      <c r="EO112" s="5"/>
      <c r="EP112" s="5" t="s">
        <v>11998</v>
      </c>
      <c r="EQ112" s="5"/>
      <c r="ER112" s="5" t="s">
        <v>11997</v>
      </c>
      <c r="ES112" s="5"/>
      <c r="ET112" s="5" t="s">
        <v>11972</v>
      </c>
      <c r="EU112" s="5"/>
      <c r="EV112" s="5"/>
      <c r="EW112" s="5"/>
      <c r="EX112" s="5"/>
      <c r="EY112" s="5" t="s">
        <v>6408</v>
      </c>
      <c r="EZ112" s="5"/>
      <c r="FA112" s="5" t="s">
        <v>1287</v>
      </c>
      <c r="FB112" s="5"/>
    </row>
    <row r="113" spans="1:158" ht="76.5">
      <c r="A113" s="5" t="s">
        <v>1289</v>
      </c>
      <c r="B113" s="5" t="s">
        <v>1290</v>
      </c>
      <c r="C113" s="5" t="s">
        <v>11952</v>
      </c>
      <c r="D113" s="5" t="s">
        <v>121</v>
      </c>
      <c r="E113" s="5" t="s">
        <v>11953</v>
      </c>
      <c r="F113" s="5" t="s">
        <v>11954</v>
      </c>
      <c r="G113" s="5" t="s">
        <v>11955</v>
      </c>
      <c r="H113" s="5" t="s">
        <v>11235</v>
      </c>
      <c r="I113" s="5" t="s">
        <v>1286</v>
      </c>
      <c r="J113" s="5" t="s">
        <v>3510</v>
      </c>
      <c r="K113" s="5" t="s">
        <v>11956</v>
      </c>
      <c r="L113" s="5" t="s">
        <v>1297</v>
      </c>
      <c r="M113" s="5" t="s">
        <v>11952</v>
      </c>
      <c r="N113" s="5" t="s">
        <v>11952</v>
      </c>
      <c r="O113" s="5" t="s">
        <v>11952</v>
      </c>
      <c r="P113" s="5" t="s">
        <v>11952</v>
      </c>
      <c r="Q113" s="5" t="s">
        <v>1297</v>
      </c>
      <c r="R113" s="5" t="s">
        <v>11952</v>
      </c>
      <c r="S113" s="5" t="s">
        <v>11952</v>
      </c>
      <c r="T113" s="5" t="s">
        <v>13349</v>
      </c>
      <c r="U113" s="5" t="s">
        <v>3510</v>
      </c>
      <c r="V113" s="5" t="s">
        <v>121</v>
      </c>
      <c r="W113" s="5" t="s">
        <v>121</v>
      </c>
      <c r="X113" s="5" t="s">
        <v>121</v>
      </c>
      <c r="Y113" s="5" t="s">
        <v>121</v>
      </c>
      <c r="Z113" s="5" t="s">
        <v>11952</v>
      </c>
      <c r="AA113" s="5" t="s">
        <v>11952</v>
      </c>
      <c r="AB113" s="5" t="s">
        <v>155</v>
      </c>
      <c r="AC113" s="5" t="s">
        <v>1295</v>
      </c>
      <c r="AD113" s="5" t="s">
        <v>121</v>
      </c>
      <c r="AE113" s="5" t="s">
        <v>121</v>
      </c>
      <c r="AF113" s="5" t="s">
        <v>1295</v>
      </c>
      <c r="AG113" s="5" t="s">
        <v>121</v>
      </c>
      <c r="AH113" s="5" t="s">
        <v>121</v>
      </c>
      <c r="AI113" s="5" t="s">
        <v>121</v>
      </c>
      <c r="AJ113" s="5" t="s">
        <v>121</v>
      </c>
      <c r="AK113" s="5" t="s">
        <v>121</v>
      </c>
      <c r="AL113" s="5" t="s">
        <v>121</v>
      </c>
      <c r="AM113" s="5" t="s">
        <v>121</v>
      </c>
      <c r="AN113" s="5" t="s">
        <v>121</v>
      </c>
      <c r="AO113" s="5" t="s">
        <v>121</v>
      </c>
      <c r="AP113" s="5" t="s">
        <v>121</v>
      </c>
      <c r="AQ113" s="5" t="s">
        <v>121</v>
      </c>
      <c r="AR113" s="5" t="s">
        <v>121</v>
      </c>
      <c r="AS113" s="5" t="s">
        <v>121</v>
      </c>
      <c r="AT113" s="5" t="s">
        <v>121</v>
      </c>
      <c r="AU113" s="5" t="s">
        <v>1292</v>
      </c>
      <c r="AV113" s="5" t="s">
        <v>12003</v>
      </c>
      <c r="AW113" s="5" t="s">
        <v>1292</v>
      </c>
      <c r="AX113" s="5" t="s">
        <v>12159</v>
      </c>
      <c r="AY113" s="5" t="s">
        <v>2854</v>
      </c>
      <c r="AZ113" s="5" t="s">
        <v>121</v>
      </c>
      <c r="BA113" s="5" t="s">
        <v>121</v>
      </c>
      <c r="BB113" s="5" t="s">
        <v>3510</v>
      </c>
      <c r="BC113" s="5" t="s">
        <v>121</v>
      </c>
      <c r="BD113" s="5" t="s">
        <v>121</v>
      </c>
      <c r="BE113" s="5" t="s">
        <v>121</v>
      </c>
      <c r="BF113" s="5" t="s">
        <v>13350</v>
      </c>
      <c r="BG113" s="5" t="s">
        <v>121</v>
      </c>
      <c r="BH113" s="5" t="s">
        <v>13351</v>
      </c>
      <c r="BI113" s="5" t="s">
        <v>121</v>
      </c>
      <c r="BJ113" s="5" t="s">
        <v>1293</v>
      </c>
      <c r="BK113" s="5" t="s">
        <v>121</v>
      </c>
      <c r="BL113" s="5" t="s">
        <v>1056</v>
      </c>
      <c r="BM113" s="5" t="s">
        <v>1056</v>
      </c>
      <c r="BN113" s="5" t="s">
        <v>1294</v>
      </c>
      <c r="BO113" s="5" t="s">
        <v>11984</v>
      </c>
      <c r="BP113" s="5" t="s">
        <v>121</v>
      </c>
      <c r="BQ113" s="5" t="s">
        <v>121</v>
      </c>
      <c r="BR113" s="5" t="s">
        <v>2854</v>
      </c>
      <c r="BS113" s="5" t="s">
        <v>121</v>
      </c>
      <c r="BT113" s="5" t="s">
        <v>121</v>
      </c>
      <c r="BU113" s="5" t="s">
        <v>121</v>
      </c>
      <c r="BV113" s="5" t="s">
        <v>3510</v>
      </c>
      <c r="BW113" s="5" t="s">
        <v>3510</v>
      </c>
      <c r="BX113" s="5" t="s">
        <v>3510</v>
      </c>
      <c r="BY113" s="5" t="s">
        <v>12262</v>
      </c>
      <c r="BZ113" s="5" t="s">
        <v>13352</v>
      </c>
      <c r="CA113" s="5" t="s">
        <v>121</v>
      </c>
      <c r="CB113" s="5" t="s">
        <v>121</v>
      </c>
      <c r="CC113" s="5" t="s">
        <v>1291</v>
      </c>
      <c r="CD113" s="5" t="s">
        <v>13353</v>
      </c>
      <c r="CE113" s="5" t="s">
        <v>13353</v>
      </c>
      <c r="CF113" s="5" t="s">
        <v>11958</v>
      </c>
      <c r="CG113" s="5" t="s">
        <v>121</v>
      </c>
      <c r="CH113" s="5" t="s">
        <v>121</v>
      </c>
      <c r="CI113" s="5" t="s">
        <v>12034</v>
      </c>
      <c r="CJ113" s="5" t="s">
        <v>124</v>
      </c>
      <c r="CK113" s="5" t="s">
        <v>1097</v>
      </c>
      <c r="CL113" s="5" t="s">
        <v>3510</v>
      </c>
      <c r="CM113" s="5" t="s">
        <v>124</v>
      </c>
      <c r="CN113" s="5" t="s">
        <v>121</v>
      </c>
      <c r="CO113" s="5" t="s">
        <v>121</v>
      </c>
      <c r="CP113" s="5" t="s">
        <v>2854</v>
      </c>
      <c r="CQ113" s="5" t="s">
        <v>1296</v>
      </c>
      <c r="CR113" s="5" t="s">
        <v>11960</v>
      </c>
      <c r="CS113" s="5" t="s">
        <v>3510</v>
      </c>
      <c r="CT113" s="5" t="s">
        <v>3510</v>
      </c>
      <c r="CU113" s="5" t="s">
        <v>3510</v>
      </c>
      <c r="CV113" s="5" t="s">
        <v>11952</v>
      </c>
      <c r="CW113" s="5" t="s">
        <v>11952</v>
      </c>
      <c r="CX113" s="5" t="s">
        <v>13346</v>
      </c>
      <c r="CY113" s="5" t="s">
        <v>13354</v>
      </c>
      <c r="CZ113" s="5" t="s">
        <v>3510</v>
      </c>
      <c r="DA113" s="5" t="s">
        <v>11952</v>
      </c>
      <c r="DB113" s="5" t="s">
        <v>11963</v>
      </c>
      <c r="DC113" s="5" t="s">
        <v>11963</v>
      </c>
      <c r="DD113" s="5" t="s">
        <v>11963</v>
      </c>
      <c r="DE113" s="5" t="s">
        <v>11963</v>
      </c>
      <c r="DF113" s="5" t="s">
        <v>3510</v>
      </c>
      <c r="DG113" s="5" t="s">
        <v>11964</v>
      </c>
      <c r="DH113" s="5" t="s">
        <v>13355</v>
      </c>
      <c r="DI113" s="5" t="s">
        <v>11994</v>
      </c>
      <c r="DJ113" s="5" t="s">
        <v>11966</v>
      </c>
      <c r="DK113" s="5" t="s">
        <v>11967</v>
      </c>
      <c r="DL113" s="5">
        <v>5</v>
      </c>
      <c r="DM113" s="5">
        <v>4</v>
      </c>
      <c r="DN113" s="5">
        <v>5</v>
      </c>
      <c r="DO113" s="5">
        <v>3</v>
      </c>
      <c r="DP113" s="5">
        <v>4</v>
      </c>
      <c r="DQ113" s="5">
        <v>1</v>
      </c>
      <c r="DR113" s="5">
        <v>0</v>
      </c>
      <c r="DS113" s="5">
        <v>70</v>
      </c>
      <c r="DT113" s="5" t="s">
        <v>11968</v>
      </c>
      <c r="DU113" s="5" t="s">
        <v>11969</v>
      </c>
      <c r="DV113" s="5" t="s">
        <v>11970</v>
      </c>
      <c r="DW113" s="5"/>
      <c r="DX113" s="5">
        <v>19</v>
      </c>
      <c r="DY113" s="5"/>
      <c r="DZ113" s="5">
        <v>100</v>
      </c>
      <c r="EA113" s="5"/>
      <c r="EB113" s="5">
        <v>0.19</v>
      </c>
      <c r="EC113" s="5"/>
      <c r="ED113" s="5" t="s">
        <v>11971</v>
      </c>
      <c r="EE113" s="5"/>
      <c r="EF113" s="5" t="s">
        <v>11997</v>
      </c>
      <c r="EG113" s="5"/>
      <c r="EH113" s="5" t="s">
        <v>11997</v>
      </c>
      <c r="EI113" s="5"/>
      <c r="EJ113" s="5" t="s">
        <v>11997</v>
      </c>
      <c r="EK113" s="5"/>
      <c r="EL113" s="5" t="s">
        <v>11997</v>
      </c>
      <c r="EM113" s="5"/>
      <c r="EN113" s="5" t="s">
        <v>11997</v>
      </c>
      <c r="EO113" s="5"/>
      <c r="EP113" s="5" t="s">
        <v>11998</v>
      </c>
      <c r="EQ113" s="5"/>
      <c r="ER113" s="5" t="s">
        <v>11997</v>
      </c>
      <c r="ES113" s="5"/>
      <c r="ET113" s="5" t="s">
        <v>11972</v>
      </c>
      <c r="EU113" s="5"/>
      <c r="EV113" s="5"/>
      <c r="EW113" s="5"/>
      <c r="EX113" s="5"/>
      <c r="EY113" s="5" t="s">
        <v>6438</v>
      </c>
      <c r="EZ113" s="5"/>
      <c r="FA113" s="5" t="s">
        <v>1297</v>
      </c>
      <c r="FB113" s="5"/>
    </row>
    <row r="114" spans="1:158" ht="280.5">
      <c r="A114" s="5" t="s">
        <v>1299</v>
      </c>
      <c r="B114" s="5" t="s">
        <v>1300</v>
      </c>
      <c r="C114" s="5" t="s">
        <v>13356</v>
      </c>
      <c r="D114" s="5" t="s">
        <v>1301</v>
      </c>
      <c r="E114" s="5" t="s">
        <v>12011</v>
      </c>
      <c r="F114" s="5" t="s">
        <v>11994</v>
      </c>
      <c r="G114" s="5" t="s">
        <v>13357</v>
      </c>
      <c r="H114" s="5" t="s">
        <v>12530</v>
      </c>
      <c r="I114" s="5" t="s">
        <v>1286</v>
      </c>
      <c r="J114" s="5" t="s">
        <v>3510</v>
      </c>
      <c r="K114" s="5" t="s">
        <v>13358</v>
      </c>
      <c r="L114" s="5" t="s">
        <v>1309</v>
      </c>
      <c r="M114" s="5" t="s">
        <v>11952</v>
      </c>
      <c r="N114" s="5" t="s">
        <v>11952</v>
      </c>
      <c r="O114" s="5" t="s">
        <v>11952</v>
      </c>
      <c r="P114" s="5" t="s">
        <v>11952</v>
      </c>
      <c r="Q114" s="5" t="s">
        <v>1309</v>
      </c>
      <c r="R114" s="5" t="s">
        <v>11952</v>
      </c>
      <c r="S114" s="5" t="s">
        <v>11952</v>
      </c>
      <c r="T114" s="5" t="s">
        <v>13359</v>
      </c>
      <c r="U114" s="5" t="s">
        <v>3510</v>
      </c>
      <c r="V114" s="5" t="s">
        <v>121</v>
      </c>
      <c r="W114" s="5" t="s">
        <v>121</v>
      </c>
      <c r="X114" s="5" t="s">
        <v>121</v>
      </c>
      <c r="Y114" s="5" t="s">
        <v>121</v>
      </c>
      <c r="Z114" s="5" t="s">
        <v>11952</v>
      </c>
      <c r="AA114" s="5" t="s">
        <v>11952</v>
      </c>
      <c r="AB114" s="5" t="s">
        <v>155</v>
      </c>
      <c r="AC114" s="5" t="s">
        <v>1306</v>
      </c>
      <c r="AD114" s="5" t="s">
        <v>121</v>
      </c>
      <c r="AE114" s="5" t="s">
        <v>121</v>
      </c>
      <c r="AF114" s="5" t="s">
        <v>1306</v>
      </c>
      <c r="AG114" s="5" t="s">
        <v>121</v>
      </c>
      <c r="AH114" s="5" t="s">
        <v>121</v>
      </c>
      <c r="AI114" s="5" t="s">
        <v>121</v>
      </c>
      <c r="AJ114" s="5" t="s">
        <v>121</v>
      </c>
      <c r="AK114" s="5" t="s">
        <v>121</v>
      </c>
      <c r="AL114" s="5" t="s">
        <v>121</v>
      </c>
      <c r="AM114" s="5" t="s">
        <v>121</v>
      </c>
      <c r="AN114" s="5" t="s">
        <v>121</v>
      </c>
      <c r="AO114" s="5" t="s">
        <v>121</v>
      </c>
      <c r="AP114" s="5" t="s">
        <v>12677</v>
      </c>
      <c r="AQ114" s="5" t="s">
        <v>121</v>
      </c>
      <c r="AR114" s="5" t="s">
        <v>13360</v>
      </c>
      <c r="AS114" s="5" t="s">
        <v>1307</v>
      </c>
      <c r="AT114" s="5" t="s">
        <v>121</v>
      </c>
      <c r="AU114" s="5" t="s">
        <v>1303</v>
      </c>
      <c r="AV114" s="5" t="s">
        <v>121</v>
      </c>
      <c r="AW114" s="5" t="s">
        <v>1303</v>
      </c>
      <c r="AX114" s="5" t="s">
        <v>12063</v>
      </c>
      <c r="AY114" s="5" t="s">
        <v>2854</v>
      </c>
      <c r="AZ114" s="5" t="s">
        <v>121</v>
      </c>
      <c r="BA114" s="5" t="s">
        <v>121</v>
      </c>
      <c r="BB114" s="5" t="s">
        <v>3510</v>
      </c>
      <c r="BC114" s="5" t="s">
        <v>3510</v>
      </c>
      <c r="BD114" s="5" t="s">
        <v>121</v>
      </c>
      <c r="BE114" s="5" t="s">
        <v>13361</v>
      </c>
      <c r="BF114" s="5" t="s">
        <v>13362</v>
      </c>
      <c r="BG114" s="5" t="s">
        <v>121</v>
      </c>
      <c r="BH114" s="5" t="s">
        <v>13363</v>
      </c>
      <c r="BI114" s="5" t="s">
        <v>13363</v>
      </c>
      <c r="BJ114" s="5" t="s">
        <v>1304</v>
      </c>
      <c r="BK114" s="5" t="s">
        <v>121</v>
      </c>
      <c r="BL114" s="5" t="s">
        <v>13364</v>
      </c>
      <c r="BM114" s="5" t="s">
        <v>13364</v>
      </c>
      <c r="BN114" s="5" t="s">
        <v>1305</v>
      </c>
      <c r="BO114" s="5" t="s">
        <v>121</v>
      </c>
      <c r="BP114" s="5" t="s">
        <v>2854</v>
      </c>
      <c r="BQ114" s="5" t="s">
        <v>121</v>
      </c>
      <c r="BR114" s="5" t="s">
        <v>121</v>
      </c>
      <c r="BS114" s="5" t="s">
        <v>121</v>
      </c>
      <c r="BT114" s="5" t="s">
        <v>121</v>
      </c>
      <c r="BU114" s="5" t="s">
        <v>121</v>
      </c>
      <c r="BV114" s="5" t="s">
        <v>3510</v>
      </c>
      <c r="BW114" s="5" t="s">
        <v>3510</v>
      </c>
      <c r="BX114" s="5" t="s">
        <v>3510</v>
      </c>
      <c r="BY114" s="5" t="s">
        <v>13365</v>
      </c>
      <c r="BZ114" s="5" t="s">
        <v>13366</v>
      </c>
      <c r="CA114" s="5" t="s">
        <v>121</v>
      </c>
      <c r="CB114" s="5" t="s">
        <v>121</v>
      </c>
      <c r="CC114" s="5" t="s">
        <v>1302</v>
      </c>
      <c r="CD114" s="5" t="s">
        <v>121</v>
      </c>
      <c r="CE114" s="5" t="s">
        <v>121</v>
      </c>
      <c r="CF114" s="5" t="s">
        <v>11958</v>
      </c>
      <c r="CG114" s="5" t="s">
        <v>121</v>
      </c>
      <c r="CH114" s="5" t="s">
        <v>121</v>
      </c>
      <c r="CI114" s="5" t="s">
        <v>12749</v>
      </c>
      <c r="CJ114" s="5" t="s">
        <v>124</v>
      </c>
      <c r="CK114" s="5" t="s">
        <v>1097</v>
      </c>
      <c r="CL114" s="5" t="s">
        <v>3510</v>
      </c>
      <c r="CM114" s="5" t="s">
        <v>124</v>
      </c>
      <c r="CN114" s="5" t="s">
        <v>121</v>
      </c>
      <c r="CO114" s="5" t="s">
        <v>121</v>
      </c>
      <c r="CP114" s="5" t="s">
        <v>3510</v>
      </c>
      <c r="CQ114" s="5" t="s">
        <v>1308</v>
      </c>
      <c r="CR114" s="5" t="s">
        <v>11960</v>
      </c>
      <c r="CS114" s="5" t="s">
        <v>3510</v>
      </c>
      <c r="CT114" s="5" t="s">
        <v>3510</v>
      </c>
      <c r="CU114" s="5" t="s">
        <v>3510</v>
      </c>
      <c r="CV114" s="5" t="s">
        <v>11952</v>
      </c>
      <c r="CW114" s="5" t="s">
        <v>11952</v>
      </c>
      <c r="CX114" s="5" t="s">
        <v>13367</v>
      </c>
      <c r="CY114" s="5" t="s">
        <v>13368</v>
      </c>
      <c r="CZ114" s="5" t="s">
        <v>11989</v>
      </c>
      <c r="DA114" s="5" t="s">
        <v>11989</v>
      </c>
      <c r="DB114" s="5" t="s">
        <v>11963</v>
      </c>
      <c r="DC114" s="5" t="s">
        <v>13369</v>
      </c>
      <c r="DD114" s="5" t="s">
        <v>11963</v>
      </c>
      <c r="DE114" s="5" t="s">
        <v>13370</v>
      </c>
      <c r="DF114" s="5" t="s">
        <v>2854</v>
      </c>
      <c r="DG114" s="5" t="s">
        <v>13371</v>
      </c>
      <c r="DH114" s="5" t="s">
        <v>13372</v>
      </c>
      <c r="DI114" s="5" t="s">
        <v>11966</v>
      </c>
      <c r="DJ114" s="5" t="s">
        <v>11966</v>
      </c>
      <c r="DK114" s="5" t="s">
        <v>12176</v>
      </c>
      <c r="DL114" s="5">
        <v>4.5</v>
      </c>
      <c r="DM114" s="5">
        <v>2</v>
      </c>
      <c r="DN114" s="5">
        <v>2.8</v>
      </c>
      <c r="DO114" s="5">
        <v>2.5</v>
      </c>
      <c r="DP114" s="5">
        <v>4</v>
      </c>
      <c r="DQ114" s="5">
        <v>1</v>
      </c>
      <c r="DR114" s="5">
        <v>1</v>
      </c>
      <c r="DS114" s="5">
        <v>53.9</v>
      </c>
      <c r="DT114" s="5" t="s">
        <v>11968</v>
      </c>
      <c r="DU114" s="5" t="s">
        <v>12116</v>
      </c>
      <c r="DV114" s="5" t="s">
        <v>11970</v>
      </c>
      <c r="DW114" s="5"/>
      <c r="DX114" s="5">
        <v>31</v>
      </c>
      <c r="DY114" s="5"/>
      <c r="DZ114" s="5">
        <v>100</v>
      </c>
      <c r="EA114" s="5"/>
      <c r="EB114" s="5">
        <v>0.31</v>
      </c>
      <c r="EC114" s="5"/>
      <c r="ED114" s="5" t="s">
        <v>11971</v>
      </c>
      <c r="EE114" s="5"/>
      <c r="EF114" s="5" t="s">
        <v>11997</v>
      </c>
      <c r="EG114" s="5"/>
      <c r="EH114" s="5" t="s">
        <v>11997</v>
      </c>
      <c r="EI114" s="5"/>
      <c r="EJ114" s="5" t="s">
        <v>11997</v>
      </c>
      <c r="EK114" s="5"/>
      <c r="EL114" s="5" t="s">
        <v>11997</v>
      </c>
      <c r="EM114" s="5"/>
      <c r="EN114" s="5" t="s">
        <v>11997</v>
      </c>
      <c r="EO114" s="5"/>
      <c r="EP114" s="5" t="s">
        <v>11998</v>
      </c>
      <c r="EQ114" s="5"/>
      <c r="ER114" s="5" t="s">
        <v>11997</v>
      </c>
      <c r="ES114" s="5"/>
      <c r="ET114" s="5" t="s">
        <v>11972</v>
      </c>
      <c r="EU114" s="5"/>
      <c r="EV114" s="5"/>
      <c r="EW114" s="5"/>
      <c r="EX114" s="5"/>
      <c r="EY114" s="5" t="s">
        <v>6471</v>
      </c>
      <c r="EZ114" s="5"/>
      <c r="FA114" s="5" t="s">
        <v>1309</v>
      </c>
      <c r="FB114" s="5"/>
    </row>
    <row r="115" spans="1:158" ht="114.75">
      <c r="A115" s="5" t="s">
        <v>1311</v>
      </c>
      <c r="B115" s="5" t="s">
        <v>1312</v>
      </c>
      <c r="C115" s="5" t="s">
        <v>11952</v>
      </c>
      <c r="D115" s="5" t="s">
        <v>121</v>
      </c>
      <c r="E115" s="5" t="s">
        <v>11953</v>
      </c>
      <c r="F115" s="5" t="s">
        <v>11954</v>
      </c>
      <c r="G115" s="5" t="s">
        <v>11955</v>
      </c>
      <c r="H115" s="5" t="s">
        <v>11235</v>
      </c>
      <c r="I115" s="5" t="s">
        <v>1286</v>
      </c>
      <c r="J115" s="5" t="s">
        <v>3510</v>
      </c>
      <c r="K115" s="5" t="s">
        <v>11956</v>
      </c>
      <c r="L115" s="5" t="s">
        <v>1318</v>
      </c>
      <c r="M115" s="5" t="s">
        <v>11952</v>
      </c>
      <c r="N115" s="5" t="s">
        <v>11952</v>
      </c>
      <c r="O115" s="5" t="s">
        <v>11952</v>
      </c>
      <c r="P115" s="5" t="s">
        <v>11952</v>
      </c>
      <c r="Q115" s="5" t="s">
        <v>1318</v>
      </c>
      <c r="R115" s="5" t="s">
        <v>11952</v>
      </c>
      <c r="S115" s="5" t="s">
        <v>11952</v>
      </c>
      <c r="T115" s="5" t="s">
        <v>13373</v>
      </c>
      <c r="U115" s="5" t="s">
        <v>2854</v>
      </c>
      <c r="V115" s="5" t="s">
        <v>13374</v>
      </c>
      <c r="W115" s="5" t="s">
        <v>13373</v>
      </c>
      <c r="X115" s="5" t="s">
        <v>13375</v>
      </c>
      <c r="Y115" s="5" t="s">
        <v>121</v>
      </c>
      <c r="Z115" s="5" t="s">
        <v>121</v>
      </c>
      <c r="AA115" s="5" t="s">
        <v>11981</v>
      </c>
      <c r="AB115" s="5" t="s">
        <v>121</v>
      </c>
      <c r="AC115" s="5" t="s">
        <v>121</v>
      </c>
      <c r="AD115" s="5" t="s">
        <v>121</v>
      </c>
      <c r="AE115" s="5" t="s">
        <v>121</v>
      </c>
      <c r="AF115" s="5" t="s">
        <v>121</v>
      </c>
      <c r="AG115" s="5" t="s">
        <v>121</v>
      </c>
      <c r="AH115" s="5" t="s">
        <v>121</v>
      </c>
      <c r="AI115" s="5" t="s">
        <v>121</v>
      </c>
      <c r="AJ115" s="5" t="s">
        <v>121</v>
      </c>
      <c r="AK115" s="5" t="s">
        <v>121</v>
      </c>
      <c r="AL115" s="5" t="s">
        <v>121</v>
      </c>
      <c r="AM115" s="5" t="s">
        <v>121</v>
      </c>
      <c r="AN115" s="5" t="s">
        <v>13376</v>
      </c>
      <c r="AO115" s="5" t="s">
        <v>121</v>
      </c>
      <c r="AP115" s="5" t="s">
        <v>1814</v>
      </c>
      <c r="AQ115" s="5" t="s">
        <v>121</v>
      </c>
      <c r="AR115" s="5" t="s">
        <v>13377</v>
      </c>
      <c r="AS115" s="5" t="s">
        <v>1316</v>
      </c>
      <c r="AT115" s="5" t="s">
        <v>121</v>
      </c>
      <c r="AU115" s="5" t="s">
        <v>1313</v>
      </c>
      <c r="AV115" s="5" t="s">
        <v>12003</v>
      </c>
      <c r="AW115" s="5" t="s">
        <v>1313</v>
      </c>
      <c r="AX115" s="5" t="s">
        <v>12159</v>
      </c>
      <c r="AY115" s="5" t="s">
        <v>121</v>
      </c>
      <c r="AZ115" s="5" t="s">
        <v>121</v>
      </c>
      <c r="BA115" s="5" t="s">
        <v>121</v>
      </c>
      <c r="BB115" s="5" t="s">
        <v>3510</v>
      </c>
      <c r="BC115" s="5" t="s">
        <v>121</v>
      </c>
      <c r="BD115" s="5" t="s">
        <v>121</v>
      </c>
      <c r="BE115" s="5" t="s">
        <v>121</v>
      </c>
      <c r="BF115" s="5" t="s">
        <v>13378</v>
      </c>
      <c r="BG115" s="5" t="s">
        <v>121</v>
      </c>
      <c r="BH115" s="5" t="s">
        <v>13379</v>
      </c>
      <c r="BI115" s="5" t="s">
        <v>121</v>
      </c>
      <c r="BJ115" s="5" t="s">
        <v>1314</v>
      </c>
      <c r="BK115" s="5" t="s">
        <v>121</v>
      </c>
      <c r="BL115" s="5" t="s">
        <v>1195</v>
      </c>
      <c r="BM115" s="5" t="s">
        <v>1195</v>
      </c>
      <c r="BN115" s="5" t="s">
        <v>1315</v>
      </c>
      <c r="BO115" s="5" t="s">
        <v>13380</v>
      </c>
      <c r="BP115" s="5" t="s">
        <v>121</v>
      </c>
      <c r="BQ115" s="5" t="s">
        <v>2854</v>
      </c>
      <c r="BR115" s="5" t="s">
        <v>121</v>
      </c>
      <c r="BS115" s="5" t="s">
        <v>121</v>
      </c>
      <c r="BT115" s="5" t="s">
        <v>121</v>
      </c>
      <c r="BU115" s="5" t="s">
        <v>121</v>
      </c>
      <c r="BV115" s="5" t="s">
        <v>3510</v>
      </c>
      <c r="BW115" s="5" t="s">
        <v>3510</v>
      </c>
      <c r="BX115" s="5" t="s">
        <v>3510</v>
      </c>
      <c r="BY115" s="5" t="s">
        <v>12262</v>
      </c>
      <c r="BZ115" s="5" t="s">
        <v>13381</v>
      </c>
      <c r="CA115" s="5" t="s">
        <v>121</v>
      </c>
      <c r="CB115" s="5" t="s">
        <v>121</v>
      </c>
      <c r="CC115" s="5" t="s">
        <v>1195</v>
      </c>
      <c r="CD115" s="5" t="s">
        <v>121</v>
      </c>
      <c r="CE115" s="5" t="s">
        <v>121</v>
      </c>
      <c r="CF115" s="5" t="s">
        <v>11958</v>
      </c>
      <c r="CG115" s="5" t="s">
        <v>13382</v>
      </c>
      <c r="CH115" s="5" t="s">
        <v>121</v>
      </c>
      <c r="CI115" s="5" t="s">
        <v>12034</v>
      </c>
      <c r="CJ115" s="5" t="s">
        <v>124</v>
      </c>
      <c r="CK115" s="5" t="s">
        <v>1097</v>
      </c>
      <c r="CL115" s="5" t="s">
        <v>3510</v>
      </c>
      <c r="CM115" s="5" t="s">
        <v>124</v>
      </c>
      <c r="CN115" s="5" t="s">
        <v>121</v>
      </c>
      <c r="CO115" s="5" t="s">
        <v>121</v>
      </c>
      <c r="CP115" s="5" t="s">
        <v>3510</v>
      </c>
      <c r="CQ115" s="5" t="s">
        <v>1317</v>
      </c>
      <c r="CR115" s="5" t="s">
        <v>11960</v>
      </c>
      <c r="CS115" s="5" t="s">
        <v>3510</v>
      </c>
      <c r="CT115" s="5" t="s">
        <v>3510</v>
      </c>
      <c r="CU115" s="5" t="s">
        <v>3510</v>
      </c>
      <c r="CV115" s="5" t="s">
        <v>11952</v>
      </c>
      <c r="CW115" s="5" t="s">
        <v>11952</v>
      </c>
      <c r="CX115" s="5" t="s">
        <v>13346</v>
      </c>
      <c r="CY115" s="5" t="s">
        <v>13383</v>
      </c>
      <c r="CZ115" s="5" t="s">
        <v>3510</v>
      </c>
      <c r="DA115" s="5" t="s">
        <v>11952</v>
      </c>
      <c r="DB115" s="5" t="s">
        <v>11963</v>
      </c>
      <c r="DC115" s="5" t="s">
        <v>11963</v>
      </c>
      <c r="DD115" s="5" t="s">
        <v>11963</v>
      </c>
      <c r="DE115" s="5" t="s">
        <v>11963</v>
      </c>
      <c r="DF115" s="5" t="s">
        <v>3510</v>
      </c>
      <c r="DG115" s="5" t="s">
        <v>11964</v>
      </c>
      <c r="DH115" s="5" t="s">
        <v>13384</v>
      </c>
      <c r="DI115" s="5" t="s">
        <v>11994</v>
      </c>
      <c r="DJ115" s="5" t="s">
        <v>11966</v>
      </c>
      <c r="DK115" s="5" t="s">
        <v>11967</v>
      </c>
      <c r="DL115" s="5">
        <v>5</v>
      </c>
      <c r="DM115" s="5">
        <v>4</v>
      </c>
      <c r="DN115" s="5">
        <v>4.5</v>
      </c>
      <c r="DO115" s="5">
        <v>3</v>
      </c>
      <c r="DP115" s="5">
        <v>3</v>
      </c>
      <c r="DQ115" s="5">
        <v>1</v>
      </c>
      <c r="DR115" s="5">
        <v>0</v>
      </c>
      <c r="DS115" s="5">
        <v>66.5</v>
      </c>
      <c r="DT115" s="5" t="s">
        <v>11968</v>
      </c>
      <c r="DU115" s="5" t="s">
        <v>11969</v>
      </c>
      <c r="DV115" s="5" t="s">
        <v>11970</v>
      </c>
      <c r="DW115" s="5"/>
      <c r="DX115" s="5">
        <v>42</v>
      </c>
      <c r="DY115" s="5"/>
      <c r="DZ115" s="5">
        <v>100</v>
      </c>
      <c r="EA115" s="5"/>
      <c r="EB115" s="5">
        <v>0.42</v>
      </c>
      <c r="EC115" s="5"/>
      <c r="ED115" s="5" t="s">
        <v>11971</v>
      </c>
      <c r="EE115" s="5"/>
      <c r="EF115" s="5" t="s">
        <v>11997</v>
      </c>
      <c r="EG115" s="5"/>
      <c r="EH115" s="5" t="s">
        <v>11997</v>
      </c>
      <c r="EI115" s="5"/>
      <c r="EJ115" s="5" t="s">
        <v>11997</v>
      </c>
      <c r="EK115" s="5"/>
      <c r="EL115" s="5" t="s">
        <v>11997</v>
      </c>
      <c r="EM115" s="5"/>
      <c r="EN115" s="5" t="s">
        <v>11997</v>
      </c>
      <c r="EO115" s="5"/>
      <c r="EP115" s="5" t="s">
        <v>11998</v>
      </c>
      <c r="EQ115" s="5"/>
      <c r="ER115" s="5" t="s">
        <v>11997</v>
      </c>
      <c r="ES115" s="5"/>
      <c r="ET115" s="5" t="s">
        <v>11972</v>
      </c>
      <c r="EU115" s="5"/>
      <c r="EV115" s="5"/>
      <c r="EW115" s="5"/>
      <c r="EX115" s="5"/>
      <c r="EY115" s="5" t="s">
        <v>6504</v>
      </c>
      <c r="EZ115" s="5"/>
      <c r="FA115" s="5" t="s">
        <v>1318</v>
      </c>
      <c r="FB115" s="5"/>
    </row>
    <row r="116" spans="1:158" ht="255">
      <c r="A116" s="5" t="s">
        <v>1320</v>
      </c>
      <c r="B116" s="5" t="s">
        <v>11509</v>
      </c>
      <c r="C116" s="5" t="s">
        <v>13385</v>
      </c>
      <c r="D116" s="5" t="s">
        <v>1452</v>
      </c>
      <c r="E116" s="5" t="s">
        <v>12011</v>
      </c>
      <c r="F116" s="5" t="s">
        <v>11994</v>
      </c>
      <c r="G116" s="5" t="s">
        <v>13386</v>
      </c>
      <c r="H116" s="5" t="s">
        <v>12973</v>
      </c>
      <c r="I116" s="5" t="s">
        <v>1286</v>
      </c>
      <c r="J116" s="5" t="s">
        <v>3510</v>
      </c>
      <c r="K116" s="5" t="s">
        <v>13387</v>
      </c>
      <c r="L116" s="5" t="s">
        <v>1332</v>
      </c>
      <c r="M116" s="5" t="s">
        <v>11952</v>
      </c>
      <c r="N116" s="5" t="s">
        <v>11952</v>
      </c>
      <c r="O116" s="5" t="s">
        <v>11952</v>
      </c>
      <c r="P116" s="5" t="s">
        <v>11952</v>
      </c>
      <c r="Q116" s="5" t="s">
        <v>11510</v>
      </c>
      <c r="R116" s="5" t="s">
        <v>11952</v>
      </c>
      <c r="S116" s="5" t="s">
        <v>11952</v>
      </c>
      <c r="T116" s="5" t="s">
        <v>13388</v>
      </c>
      <c r="U116" s="5" t="s">
        <v>3510</v>
      </c>
      <c r="V116" s="5" t="s">
        <v>121</v>
      </c>
      <c r="W116" s="5" t="s">
        <v>121</v>
      </c>
      <c r="X116" s="5" t="s">
        <v>121</v>
      </c>
      <c r="Y116" s="5" t="s">
        <v>121</v>
      </c>
      <c r="Z116" s="5" t="s">
        <v>11952</v>
      </c>
      <c r="AA116" s="5" t="s">
        <v>11952</v>
      </c>
      <c r="AB116" s="5" t="s">
        <v>121</v>
      </c>
      <c r="AC116" s="5" t="s">
        <v>121</v>
      </c>
      <c r="AD116" s="5" t="s">
        <v>121</v>
      </c>
      <c r="AE116" s="5" t="s">
        <v>121</v>
      </c>
      <c r="AF116" s="5" t="s">
        <v>121</v>
      </c>
      <c r="AG116" s="5" t="s">
        <v>13389</v>
      </c>
      <c r="AH116" s="5" t="s">
        <v>121</v>
      </c>
      <c r="AI116" s="5" t="s">
        <v>121</v>
      </c>
      <c r="AJ116" s="5" t="s">
        <v>121</v>
      </c>
      <c r="AK116" s="5" t="s">
        <v>121</v>
      </c>
      <c r="AL116" s="5" t="s">
        <v>121</v>
      </c>
      <c r="AM116" s="5" t="s">
        <v>121</v>
      </c>
      <c r="AN116" s="5" t="s">
        <v>121</v>
      </c>
      <c r="AO116" s="5" t="s">
        <v>121</v>
      </c>
      <c r="AP116" s="5" t="s">
        <v>121</v>
      </c>
      <c r="AQ116" s="5" t="s">
        <v>121</v>
      </c>
      <c r="AR116" s="5" t="s">
        <v>13390</v>
      </c>
      <c r="AS116" s="5" t="s">
        <v>1330</v>
      </c>
      <c r="AT116" s="5" t="s">
        <v>13391</v>
      </c>
      <c r="AU116" s="5" t="s">
        <v>1324</v>
      </c>
      <c r="AV116" s="5" t="s">
        <v>12003</v>
      </c>
      <c r="AW116" s="5" t="s">
        <v>1324</v>
      </c>
      <c r="AX116" s="5" t="s">
        <v>12159</v>
      </c>
      <c r="AY116" s="5" t="s">
        <v>2854</v>
      </c>
      <c r="AZ116" s="5" t="s">
        <v>121</v>
      </c>
      <c r="BA116" s="5" t="s">
        <v>121</v>
      </c>
      <c r="BB116" s="5" t="s">
        <v>3510</v>
      </c>
      <c r="BC116" s="5" t="s">
        <v>2854</v>
      </c>
      <c r="BD116" s="5" t="s">
        <v>121</v>
      </c>
      <c r="BE116" s="5" t="s">
        <v>121</v>
      </c>
      <c r="BF116" s="5" t="s">
        <v>121</v>
      </c>
      <c r="BG116" s="5" t="s">
        <v>121</v>
      </c>
      <c r="BH116" s="5" t="s">
        <v>13392</v>
      </c>
      <c r="BI116" s="5" t="s">
        <v>121</v>
      </c>
      <c r="BJ116" s="5" t="s">
        <v>1325</v>
      </c>
      <c r="BK116" s="5" t="s">
        <v>121</v>
      </c>
      <c r="BL116" s="5" t="s">
        <v>13393</v>
      </c>
      <c r="BM116" s="5" t="s">
        <v>13393</v>
      </c>
      <c r="BN116" s="5" t="s">
        <v>1326</v>
      </c>
      <c r="BO116" s="5" t="s">
        <v>121</v>
      </c>
      <c r="BP116" s="5" t="s">
        <v>121</v>
      </c>
      <c r="BQ116" s="5" t="s">
        <v>2854</v>
      </c>
      <c r="BR116" s="5" t="s">
        <v>121</v>
      </c>
      <c r="BS116" s="5" t="s">
        <v>121</v>
      </c>
      <c r="BT116" s="5" t="s">
        <v>121</v>
      </c>
      <c r="BU116" s="5" t="s">
        <v>121</v>
      </c>
      <c r="BV116" s="5" t="s">
        <v>3510</v>
      </c>
      <c r="BW116" s="5" t="s">
        <v>3510</v>
      </c>
      <c r="BX116" s="5" t="s">
        <v>3510</v>
      </c>
      <c r="BY116" s="5" t="s">
        <v>13394</v>
      </c>
      <c r="BZ116" s="5" t="s">
        <v>13395</v>
      </c>
      <c r="CA116" s="5" t="s">
        <v>121</v>
      </c>
      <c r="CB116" s="5" t="s">
        <v>121</v>
      </c>
      <c r="CC116" s="5" t="s">
        <v>1323</v>
      </c>
      <c r="CD116" s="5" t="s">
        <v>13396</v>
      </c>
      <c r="CE116" s="5" t="s">
        <v>13396</v>
      </c>
      <c r="CF116" s="5" t="s">
        <v>11958</v>
      </c>
      <c r="CG116" s="5" t="s">
        <v>121</v>
      </c>
      <c r="CH116" s="5" t="s">
        <v>121</v>
      </c>
      <c r="CI116" s="5" t="s">
        <v>11959</v>
      </c>
      <c r="CJ116" s="5" t="s">
        <v>1328</v>
      </c>
      <c r="CK116" s="5" t="s">
        <v>1327</v>
      </c>
      <c r="CL116" s="5" t="s">
        <v>121</v>
      </c>
      <c r="CM116" s="5" t="s">
        <v>1328</v>
      </c>
      <c r="CN116" s="5" t="s">
        <v>121</v>
      </c>
      <c r="CO116" s="5" t="s">
        <v>121</v>
      </c>
      <c r="CP116" s="5" t="s">
        <v>2854</v>
      </c>
      <c r="CQ116" s="5" t="s">
        <v>13397</v>
      </c>
      <c r="CR116" s="5" t="s">
        <v>11960</v>
      </c>
      <c r="CS116" s="5" t="s">
        <v>3510</v>
      </c>
      <c r="CT116" s="5" t="s">
        <v>3510</v>
      </c>
      <c r="CU116" s="5" t="s">
        <v>3510</v>
      </c>
      <c r="CV116" s="5" t="s">
        <v>11952</v>
      </c>
      <c r="CW116" s="5" t="s">
        <v>11952</v>
      </c>
      <c r="CX116" s="5" t="s">
        <v>13398</v>
      </c>
      <c r="CY116" s="5" t="s">
        <v>13399</v>
      </c>
      <c r="CZ116" s="5" t="s">
        <v>11989</v>
      </c>
      <c r="DA116" s="5" t="s">
        <v>11952</v>
      </c>
      <c r="DB116" s="5" t="s">
        <v>11963</v>
      </c>
      <c r="DC116" s="5" t="s">
        <v>13400</v>
      </c>
      <c r="DD116" s="5" t="s">
        <v>11963</v>
      </c>
      <c r="DE116" s="5" t="s">
        <v>13401</v>
      </c>
      <c r="DF116" s="5" t="s">
        <v>3510</v>
      </c>
      <c r="DG116" s="5" t="s">
        <v>13402</v>
      </c>
      <c r="DH116" s="5" t="s">
        <v>13403</v>
      </c>
      <c r="DI116" s="5" t="s">
        <v>11975</v>
      </c>
      <c r="DJ116" s="5" t="s">
        <v>11994</v>
      </c>
      <c r="DK116" s="5" t="s">
        <v>13404</v>
      </c>
      <c r="DL116" s="5">
        <v>1</v>
      </c>
      <c r="DM116" s="5">
        <v>2</v>
      </c>
      <c r="DN116" s="5">
        <v>2.5</v>
      </c>
      <c r="DO116" s="5">
        <v>3</v>
      </c>
      <c r="DP116" s="5">
        <v>3</v>
      </c>
      <c r="DQ116" s="5">
        <v>4</v>
      </c>
      <c r="DR116" s="5">
        <v>0.5</v>
      </c>
      <c r="DS116" s="5">
        <v>43.5</v>
      </c>
      <c r="DT116" s="5" t="s">
        <v>11968</v>
      </c>
      <c r="DU116" s="5" t="s">
        <v>12850</v>
      </c>
      <c r="DV116" s="5" t="s">
        <v>11970</v>
      </c>
      <c r="DW116" s="5"/>
      <c r="DX116" s="5">
        <v>16</v>
      </c>
      <c r="DY116" s="5"/>
      <c r="DZ116" s="5">
        <v>100</v>
      </c>
      <c r="EA116" s="5"/>
      <c r="EB116" s="5">
        <v>0.16</v>
      </c>
      <c r="EC116" s="5"/>
      <c r="ED116" s="5" t="s">
        <v>11971</v>
      </c>
      <c r="EE116" s="5"/>
      <c r="EF116" s="5" t="s">
        <v>11997</v>
      </c>
      <c r="EG116" s="5"/>
      <c r="EH116" s="5" t="s">
        <v>11997</v>
      </c>
      <c r="EI116" s="5"/>
      <c r="EJ116" s="5" t="s">
        <v>11997</v>
      </c>
      <c r="EK116" s="5"/>
      <c r="EL116" s="5" t="s">
        <v>11997</v>
      </c>
      <c r="EM116" s="5"/>
      <c r="EN116" s="5" t="s">
        <v>11997</v>
      </c>
      <c r="EO116" s="5"/>
      <c r="EP116" s="5" t="s">
        <v>11998</v>
      </c>
      <c r="EQ116" s="5"/>
      <c r="ER116" s="5" t="s">
        <v>11997</v>
      </c>
      <c r="ES116" s="5"/>
      <c r="ET116" s="5" t="s">
        <v>11972</v>
      </c>
      <c r="EU116" s="5"/>
      <c r="EV116" s="5"/>
      <c r="EW116" s="5"/>
      <c r="EX116" s="5"/>
      <c r="EY116" s="5" t="s">
        <v>13405</v>
      </c>
      <c r="EZ116" s="5"/>
      <c r="FA116" s="5" t="s">
        <v>1332</v>
      </c>
      <c r="FB116" s="5"/>
    </row>
    <row r="117" spans="1:158" ht="102">
      <c r="A117" s="5" t="s">
        <v>1334</v>
      </c>
      <c r="B117" s="5" t="s">
        <v>1335</v>
      </c>
      <c r="C117" s="5" t="s">
        <v>11952</v>
      </c>
      <c r="D117" s="5" t="s">
        <v>121</v>
      </c>
      <c r="E117" s="5" t="s">
        <v>11953</v>
      </c>
      <c r="F117" s="5" t="s">
        <v>11954</v>
      </c>
      <c r="G117" s="5" t="s">
        <v>11955</v>
      </c>
      <c r="H117" s="5" t="s">
        <v>11235</v>
      </c>
      <c r="I117" s="5" t="s">
        <v>1286</v>
      </c>
      <c r="J117" s="5" t="s">
        <v>3510</v>
      </c>
      <c r="K117" s="5" t="s">
        <v>11956</v>
      </c>
      <c r="L117" s="5" t="s">
        <v>1343</v>
      </c>
      <c r="M117" s="5" t="s">
        <v>11952</v>
      </c>
      <c r="N117" s="5" t="s">
        <v>11952</v>
      </c>
      <c r="O117" s="5" t="s">
        <v>11952</v>
      </c>
      <c r="P117" s="5" t="s">
        <v>11952</v>
      </c>
      <c r="Q117" s="5" t="s">
        <v>1343</v>
      </c>
      <c r="R117" s="5" t="s">
        <v>11952</v>
      </c>
      <c r="S117" s="5" t="s">
        <v>11952</v>
      </c>
      <c r="T117" s="5" t="s">
        <v>13406</v>
      </c>
      <c r="U117" s="5" t="s">
        <v>3510</v>
      </c>
      <c r="V117" s="5" t="s">
        <v>121</v>
      </c>
      <c r="W117" s="5" t="s">
        <v>121</v>
      </c>
      <c r="X117" s="5" t="s">
        <v>121</v>
      </c>
      <c r="Y117" s="5" t="s">
        <v>121</v>
      </c>
      <c r="Z117" s="5" t="s">
        <v>11952</v>
      </c>
      <c r="AA117" s="5" t="s">
        <v>11952</v>
      </c>
      <c r="AB117" s="5" t="s">
        <v>121</v>
      </c>
      <c r="AC117" s="5" t="s">
        <v>121</v>
      </c>
      <c r="AD117" s="5" t="s">
        <v>121</v>
      </c>
      <c r="AE117" s="5" t="s">
        <v>121</v>
      </c>
      <c r="AF117" s="5" t="s">
        <v>121</v>
      </c>
      <c r="AG117" s="5" t="s">
        <v>121</v>
      </c>
      <c r="AH117" s="5" t="s">
        <v>121</v>
      </c>
      <c r="AI117" s="5" t="s">
        <v>121</v>
      </c>
      <c r="AJ117" s="5" t="s">
        <v>121</v>
      </c>
      <c r="AK117" s="5" t="s">
        <v>121</v>
      </c>
      <c r="AL117" s="5" t="s">
        <v>121</v>
      </c>
      <c r="AM117" s="5" t="s">
        <v>121</v>
      </c>
      <c r="AN117" s="5" t="s">
        <v>121</v>
      </c>
      <c r="AO117" s="5" t="s">
        <v>121</v>
      </c>
      <c r="AP117" s="5" t="s">
        <v>12683</v>
      </c>
      <c r="AQ117" s="5" t="s">
        <v>121</v>
      </c>
      <c r="AR117" s="5" t="s">
        <v>13407</v>
      </c>
      <c r="AS117" s="5" t="s">
        <v>1341</v>
      </c>
      <c r="AT117" s="5" t="s">
        <v>121</v>
      </c>
      <c r="AU117" s="5" t="s">
        <v>1339</v>
      </c>
      <c r="AV117" s="5" t="s">
        <v>12003</v>
      </c>
      <c r="AW117" s="5" t="s">
        <v>1339</v>
      </c>
      <c r="AX117" s="5" t="s">
        <v>12159</v>
      </c>
      <c r="AY117" s="5" t="s">
        <v>2854</v>
      </c>
      <c r="AZ117" s="5" t="s">
        <v>121</v>
      </c>
      <c r="BA117" s="5" t="s">
        <v>121</v>
      </c>
      <c r="BB117" s="5" t="s">
        <v>2854</v>
      </c>
      <c r="BC117" s="5" t="s">
        <v>2854</v>
      </c>
      <c r="BD117" s="5" t="s">
        <v>13408</v>
      </c>
      <c r="BE117" s="5" t="s">
        <v>12160</v>
      </c>
      <c r="BF117" s="5" t="s">
        <v>13409</v>
      </c>
      <c r="BG117" s="5" t="s">
        <v>121</v>
      </c>
      <c r="BH117" s="5" t="s">
        <v>121</v>
      </c>
      <c r="BI117" s="5" t="s">
        <v>121</v>
      </c>
      <c r="BJ117" s="5" t="s">
        <v>1340</v>
      </c>
      <c r="BK117" s="5" t="s">
        <v>121</v>
      </c>
      <c r="BL117" s="5" t="s">
        <v>121</v>
      </c>
      <c r="BM117" s="5" t="s">
        <v>121</v>
      </c>
      <c r="BN117" s="5" t="s">
        <v>121</v>
      </c>
      <c r="BO117" s="5" t="s">
        <v>121</v>
      </c>
      <c r="BP117" s="5" t="s">
        <v>121</v>
      </c>
      <c r="BQ117" s="5" t="s">
        <v>121</v>
      </c>
      <c r="BR117" s="5" t="s">
        <v>121</v>
      </c>
      <c r="BS117" s="5" t="s">
        <v>121</v>
      </c>
      <c r="BT117" s="5" t="s">
        <v>121</v>
      </c>
      <c r="BU117" s="5" t="s">
        <v>121</v>
      </c>
      <c r="BV117" s="5" t="s">
        <v>3510</v>
      </c>
      <c r="BW117" s="5" t="s">
        <v>3510</v>
      </c>
      <c r="BX117" s="5" t="s">
        <v>3510</v>
      </c>
      <c r="BY117" s="5" t="s">
        <v>121</v>
      </c>
      <c r="BZ117" s="5" t="s">
        <v>13410</v>
      </c>
      <c r="CA117" s="5" t="s">
        <v>121</v>
      </c>
      <c r="CB117" s="5" t="s">
        <v>121</v>
      </c>
      <c r="CC117" s="5" t="s">
        <v>13411</v>
      </c>
      <c r="CD117" s="5" t="s">
        <v>121</v>
      </c>
      <c r="CE117" s="5" t="s">
        <v>121</v>
      </c>
      <c r="CF117" s="5" t="s">
        <v>11958</v>
      </c>
      <c r="CG117" s="5" t="s">
        <v>121</v>
      </c>
      <c r="CH117" s="5" t="s">
        <v>121</v>
      </c>
      <c r="CI117" s="5" t="s">
        <v>11959</v>
      </c>
      <c r="CJ117" s="5" t="s">
        <v>124</v>
      </c>
      <c r="CK117" s="5" t="s">
        <v>1097</v>
      </c>
      <c r="CL117" s="5" t="s">
        <v>3510</v>
      </c>
      <c r="CM117" s="5" t="s">
        <v>124</v>
      </c>
      <c r="CN117" s="5" t="s">
        <v>121</v>
      </c>
      <c r="CO117" s="5" t="s">
        <v>121</v>
      </c>
      <c r="CP117" s="5" t="s">
        <v>3510</v>
      </c>
      <c r="CQ117" s="5" t="s">
        <v>13412</v>
      </c>
      <c r="CR117" s="5" t="s">
        <v>11960</v>
      </c>
      <c r="CS117" s="5" t="s">
        <v>3510</v>
      </c>
      <c r="CT117" s="5" t="s">
        <v>3510</v>
      </c>
      <c r="CU117" s="5" t="s">
        <v>3510</v>
      </c>
      <c r="CV117" s="5" t="s">
        <v>11952</v>
      </c>
      <c r="CW117" s="5" t="s">
        <v>11952</v>
      </c>
      <c r="CX117" s="5" t="s">
        <v>13346</v>
      </c>
      <c r="CY117" s="5" t="s">
        <v>13413</v>
      </c>
      <c r="CZ117" s="5" t="s">
        <v>3510</v>
      </c>
      <c r="DA117" s="5" t="s">
        <v>11952</v>
      </c>
      <c r="DB117" s="5" t="s">
        <v>11963</v>
      </c>
      <c r="DC117" s="5" t="s">
        <v>11963</v>
      </c>
      <c r="DD117" s="5" t="s">
        <v>11963</v>
      </c>
      <c r="DE117" s="5" t="s">
        <v>11963</v>
      </c>
      <c r="DF117" s="5" t="s">
        <v>3510</v>
      </c>
      <c r="DG117" s="5" t="s">
        <v>13414</v>
      </c>
      <c r="DH117" s="5" t="s">
        <v>13415</v>
      </c>
      <c r="DI117" s="5" t="s">
        <v>11975</v>
      </c>
      <c r="DJ117" s="5" t="s">
        <v>11966</v>
      </c>
      <c r="DK117" s="5" t="s">
        <v>11967</v>
      </c>
      <c r="DL117" s="5">
        <v>3</v>
      </c>
      <c r="DM117" s="5">
        <v>1</v>
      </c>
      <c r="DN117" s="5">
        <v>3.5</v>
      </c>
      <c r="DO117" s="5">
        <v>4</v>
      </c>
      <c r="DP117" s="5">
        <v>4</v>
      </c>
      <c r="DQ117" s="5">
        <v>5</v>
      </c>
      <c r="DR117" s="5">
        <v>0.5</v>
      </c>
      <c r="DS117" s="5">
        <v>57.5</v>
      </c>
      <c r="DT117" s="5" t="s">
        <v>11968</v>
      </c>
      <c r="DU117" s="5" t="s">
        <v>11969</v>
      </c>
      <c r="DV117" s="5" t="s">
        <v>11970</v>
      </c>
      <c r="DW117" s="5"/>
      <c r="DX117" s="5">
        <v>21</v>
      </c>
      <c r="DY117" s="5"/>
      <c r="DZ117" s="5">
        <v>100</v>
      </c>
      <c r="EA117" s="5"/>
      <c r="EB117" s="5">
        <v>0.21</v>
      </c>
      <c r="EC117" s="5"/>
      <c r="ED117" s="5" t="s">
        <v>11971</v>
      </c>
      <c r="EE117" s="5"/>
      <c r="EF117" s="5" t="s">
        <v>11997</v>
      </c>
      <c r="EG117" s="5"/>
      <c r="EH117" s="5" t="s">
        <v>11997</v>
      </c>
      <c r="EI117" s="5"/>
      <c r="EJ117" s="5" t="s">
        <v>11997</v>
      </c>
      <c r="EK117" s="5"/>
      <c r="EL117" s="5" t="s">
        <v>11997</v>
      </c>
      <c r="EM117" s="5"/>
      <c r="EN117" s="5" t="s">
        <v>11997</v>
      </c>
      <c r="EO117" s="5"/>
      <c r="EP117" s="5" t="s">
        <v>11998</v>
      </c>
      <c r="EQ117" s="5"/>
      <c r="ER117" s="5" t="s">
        <v>11997</v>
      </c>
      <c r="ES117" s="5"/>
      <c r="ET117" s="5" t="s">
        <v>11972</v>
      </c>
      <c r="EU117" s="5"/>
      <c r="EV117" s="5"/>
      <c r="EW117" s="5"/>
      <c r="EX117" s="5"/>
      <c r="EY117" s="5" t="s">
        <v>6571</v>
      </c>
      <c r="EZ117" s="5"/>
      <c r="FA117" s="5" t="s">
        <v>1343</v>
      </c>
      <c r="FB117" s="5"/>
    </row>
    <row r="118" spans="1:158" ht="76.5">
      <c r="A118" s="5" t="s">
        <v>1345</v>
      </c>
      <c r="B118" s="5" t="s">
        <v>1346</v>
      </c>
      <c r="C118" s="5" t="s">
        <v>11952</v>
      </c>
      <c r="D118" s="5" t="s">
        <v>121</v>
      </c>
      <c r="E118" s="5" t="s">
        <v>11953</v>
      </c>
      <c r="F118" s="5" t="s">
        <v>11954</v>
      </c>
      <c r="G118" s="5" t="s">
        <v>11955</v>
      </c>
      <c r="H118" s="5" t="s">
        <v>11235</v>
      </c>
      <c r="I118" s="5" t="s">
        <v>1286</v>
      </c>
      <c r="J118" s="5" t="s">
        <v>3510</v>
      </c>
      <c r="K118" s="5" t="s">
        <v>11956</v>
      </c>
      <c r="L118" s="5" t="s">
        <v>1352</v>
      </c>
      <c r="M118" s="5" t="s">
        <v>11952</v>
      </c>
      <c r="N118" s="5" t="s">
        <v>11952</v>
      </c>
      <c r="O118" s="5" t="s">
        <v>11952</v>
      </c>
      <c r="P118" s="5" t="s">
        <v>11952</v>
      </c>
      <c r="Q118" s="5" t="s">
        <v>1352</v>
      </c>
      <c r="R118" s="5" t="s">
        <v>11952</v>
      </c>
      <c r="S118" s="5" t="s">
        <v>11952</v>
      </c>
      <c r="T118" s="5" t="s">
        <v>13416</v>
      </c>
      <c r="U118" s="5" t="s">
        <v>2854</v>
      </c>
      <c r="V118" s="5" t="s">
        <v>13417</v>
      </c>
      <c r="W118" s="5" t="s">
        <v>13418</v>
      </c>
      <c r="X118" s="5" t="s">
        <v>13417</v>
      </c>
      <c r="Y118" s="5" t="s">
        <v>121</v>
      </c>
      <c r="Z118" s="5" t="s">
        <v>2854</v>
      </c>
      <c r="AA118" s="5" t="s">
        <v>11981</v>
      </c>
      <c r="AB118" s="5" t="s">
        <v>121</v>
      </c>
      <c r="AC118" s="5" t="s">
        <v>121</v>
      </c>
      <c r="AD118" s="5" t="s">
        <v>121</v>
      </c>
      <c r="AE118" s="5" t="s">
        <v>121</v>
      </c>
      <c r="AF118" s="5" t="s">
        <v>121</v>
      </c>
      <c r="AG118" s="5" t="s">
        <v>121</v>
      </c>
      <c r="AH118" s="5" t="s">
        <v>121</v>
      </c>
      <c r="AI118" s="5" t="s">
        <v>121</v>
      </c>
      <c r="AJ118" s="5" t="s">
        <v>121</v>
      </c>
      <c r="AK118" s="5" t="s">
        <v>121</v>
      </c>
      <c r="AL118" s="5" t="s">
        <v>121</v>
      </c>
      <c r="AM118" s="5" t="s">
        <v>121</v>
      </c>
      <c r="AN118" s="5" t="s">
        <v>121</v>
      </c>
      <c r="AO118" s="5" t="s">
        <v>121</v>
      </c>
      <c r="AP118" s="5" t="s">
        <v>1350</v>
      </c>
      <c r="AQ118" s="5" t="s">
        <v>121</v>
      </c>
      <c r="AR118" s="5" t="s">
        <v>121</v>
      </c>
      <c r="AS118" s="5" t="s">
        <v>1350</v>
      </c>
      <c r="AT118" s="5" t="s">
        <v>121</v>
      </c>
      <c r="AU118" s="5" t="s">
        <v>1313</v>
      </c>
      <c r="AV118" s="5" t="s">
        <v>12003</v>
      </c>
      <c r="AW118" s="5" t="s">
        <v>1313</v>
      </c>
      <c r="AX118" s="5" t="s">
        <v>12159</v>
      </c>
      <c r="AY118" s="5" t="s">
        <v>121</v>
      </c>
      <c r="AZ118" s="5" t="s">
        <v>121</v>
      </c>
      <c r="BA118" s="5" t="s">
        <v>121</v>
      </c>
      <c r="BB118" s="5" t="s">
        <v>3510</v>
      </c>
      <c r="BC118" s="5" t="s">
        <v>121</v>
      </c>
      <c r="BD118" s="5" t="s">
        <v>121</v>
      </c>
      <c r="BE118" s="5" t="s">
        <v>121</v>
      </c>
      <c r="BF118" s="5" t="s">
        <v>121</v>
      </c>
      <c r="BG118" s="5" t="s">
        <v>121</v>
      </c>
      <c r="BH118" s="5" t="s">
        <v>13419</v>
      </c>
      <c r="BI118" s="5" t="s">
        <v>121</v>
      </c>
      <c r="BJ118" s="5" t="s">
        <v>1348</v>
      </c>
      <c r="BK118" s="5" t="s">
        <v>121</v>
      </c>
      <c r="BL118" s="5" t="s">
        <v>1186</v>
      </c>
      <c r="BM118" s="5" t="s">
        <v>1186</v>
      </c>
      <c r="BN118" s="5" t="s">
        <v>1349</v>
      </c>
      <c r="BO118" s="5" t="s">
        <v>12378</v>
      </c>
      <c r="BP118" s="5" t="s">
        <v>2854</v>
      </c>
      <c r="BQ118" s="5" t="s">
        <v>121</v>
      </c>
      <c r="BR118" s="5" t="s">
        <v>121</v>
      </c>
      <c r="BS118" s="5" t="s">
        <v>121</v>
      </c>
      <c r="BT118" s="5" t="s">
        <v>121</v>
      </c>
      <c r="BU118" s="5" t="s">
        <v>2854</v>
      </c>
      <c r="BV118" s="5" t="s">
        <v>3510</v>
      </c>
      <c r="BW118" s="5" t="s">
        <v>3510</v>
      </c>
      <c r="BX118" s="5" t="s">
        <v>3510</v>
      </c>
      <c r="BY118" s="5" t="s">
        <v>12262</v>
      </c>
      <c r="BZ118" s="5" t="s">
        <v>13420</v>
      </c>
      <c r="CA118" s="5" t="s">
        <v>121</v>
      </c>
      <c r="CB118" s="5" t="s">
        <v>121</v>
      </c>
      <c r="CC118" s="5" t="s">
        <v>1347</v>
      </c>
      <c r="CD118" s="5" t="s">
        <v>121</v>
      </c>
      <c r="CE118" s="5" t="s">
        <v>121</v>
      </c>
      <c r="CF118" s="5" t="s">
        <v>11958</v>
      </c>
      <c r="CG118" s="5" t="s">
        <v>121</v>
      </c>
      <c r="CH118" s="5" t="s">
        <v>121</v>
      </c>
      <c r="CI118" s="5" t="s">
        <v>12034</v>
      </c>
      <c r="CJ118" s="5" t="s">
        <v>124</v>
      </c>
      <c r="CK118" s="5" t="s">
        <v>1097</v>
      </c>
      <c r="CL118" s="5" t="s">
        <v>3510</v>
      </c>
      <c r="CM118" s="5" t="s">
        <v>124</v>
      </c>
      <c r="CN118" s="5" t="s">
        <v>121</v>
      </c>
      <c r="CO118" s="5" t="s">
        <v>121</v>
      </c>
      <c r="CP118" s="5" t="s">
        <v>3510</v>
      </c>
      <c r="CQ118" s="5" t="s">
        <v>1351</v>
      </c>
      <c r="CR118" s="5" t="s">
        <v>11960</v>
      </c>
      <c r="CS118" s="5" t="s">
        <v>3510</v>
      </c>
      <c r="CT118" s="5" t="s">
        <v>3510</v>
      </c>
      <c r="CU118" s="5" t="s">
        <v>3510</v>
      </c>
      <c r="CV118" s="5" t="s">
        <v>11952</v>
      </c>
      <c r="CW118" s="5" t="s">
        <v>13421</v>
      </c>
      <c r="CX118" s="5" t="s">
        <v>13346</v>
      </c>
      <c r="CY118" s="5" t="s">
        <v>13422</v>
      </c>
      <c r="CZ118" s="5" t="s">
        <v>3510</v>
      </c>
      <c r="DA118" s="5" t="s">
        <v>11952</v>
      </c>
      <c r="DB118" s="5" t="s">
        <v>11963</v>
      </c>
      <c r="DC118" s="5" t="s">
        <v>11963</v>
      </c>
      <c r="DD118" s="5" t="s">
        <v>11963</v>
      </c>
      <c r="DE118" s="5" t="s">
        <v>11963</v>
      </c>
      <c r="DF118" s="5" t="s">
        <v>3510</v>
      </c>
      <c r="DG118" s="5" t="s">
        <v>11964</v>
      </c>
      <c r="DH118" s="5" t="s">
        <v>13423</v>
      </c>
      <c r="DI118" s="5" t="s">
        <v>11994</v>
      </c>
      <c r="DJ118" s="5" t="s">
        <v>12044</v>
      </c>
      <c r="DK118" s="5" t="s">
        <v>11967</v>
      </c>
      <c r="DL118" s="5">
        <v>5</v>
      </c>
      <c r="DM118" s="5">
        <v>4</v>
      </c>
      <c r="DN118" s="5">
        <v>4</v>
      </c>
      <c r="DO118" s="5">
        <v>3</v>
      </c>
      <c r="DP118" s="5">
        <v>3</v>
      </c>
      <c r="DQ118" s="5">
        <v>4</v>
      </c>
      <c r="DR118" s="5">
        <v>1.5</v>
      </c>
      <c r="DS118" s="5">
        <v>74</v>
      </c>
      <c r="DT118" s="5" t="s">
        <v>11968</v>
      </c>
      <c r="DU118" s="5" t="s">
        <v>11969</v>
      </c>
      <c r="DV118" s="5" t="s">
        <v>11970</v>
      </c>
      <c r="DW118" s="5"/>
      <c r="DX118" s="5">
        <v>21</v>
      </c>
      <c r="DY118" s="5"/>
      <c r="DZ118" s="5">
        <v>100</v>
      </c>
      <c r="EA118" s="5"/>
      <c r="EB118" s="5">
        <v>0.21</v>
      </c>
      <c r="EC118" s="5"/>
      <c r="ED118" s="5" t="s">
        <v>11971</v>
      </c>
      <c r="EE118" s="5"/>
      <c r="EF118" s="5" t="s">
        <v>11997</v>
      </c>
      <c r="EG118" s="5"/>
      <c r="EH118" s="5" t="s">
        <v>11997</v>
      </c>
      <c r="EI118" s="5"/>
      <c r="EJ118" s="5" t="s">
        <v>11997</v>
      </c>
      <c r="EK118" s="5"/>
      <c r="EL118" s="5" t="s">
        <v>11997</v>
      </c>
      <c r="EM118" s="5"/>
      <c r="EN118" s="5" t="s">
        <v>11997</v>
      </c>
      <c r="EO118" s="5"/>
      <c r="EP118" s="5" t="s">
        <v>11998</v>
      </c>
      <c r="EQ118" s="5"/>
      <c r="ER118" s="5" t="s">
        <v>11997</v>
      </c>
      <c r="ES118" s="5"/>
      <c r="ET118" s="5" t="s">
        <v>11972</v>
      </c>
      <c r="EU118" s="5"/>
      <c r="EV118" s="5"/>
      <c r="EW118" s="5"/>
      <c r="EX118" s="5"/>
      <c r="EY118" s="5" t="s">
        <v>6601</v>
      </c>
      <c r="EZ118" s="5"/>
      <c r="FA118" s="5" t="s">
        <v>1352</v>
      </c>
      <c r="FB118" s="5"/>
    </row>
    <row r="119" spans="1:158" ht="76.5">
      <c r="A119" s="5" t="s">
        <v>1354</v>
      </c>
      <c r="B119" s="5" t="s">
        <v>1355</v>
      </c>
      <c r="C119" s="5" t="s">
        <v>11952</v>
      </c>
      <c r="D119" s="5" t="s">
        <v>121</v>
      </c>
      <c r="E119" s="5" t="s">
        <v>11953</v>
      </c>
      <c r="F119" s="5" t="s">
        <v>11954</v>
      </c>
      <c r="G119" s="5" t="s">
        <v>11955</v>
      </c>
      <c r="H119" s="5" t="s">
        <v>11235</v>
      </c>
      <c r="I119" s="5" t="s">
        <v>1286</v>
      </c>
      <c r="J119" s="5" t="s">
        <v>3510</v>
      </c>
      <c r="K119" s="5" t="s">
        <v>11956</v>
      </c>
      <c r="L119" s="5" t="s">
        <v>1357</v>
      </c>
      <c r="M119" s="5" t="s">
        <v>11952</v>
      </c>
      <c r="N119" s="5" t="s">
        <v>11952</v>
      </c>
      <c r="O119" s="5" t="s">
        <v>11952</v>
      </c>
      <c r="P119" s="5" t="s">
        <v>11952</v>
      </c>
      <c r="Q119" s="5" t="s">
        <v>1357</v>
      </c>
      <c r="R119" s="5" t="s">
        <v>11952</v>
      </c>
      <c r="S119" s="5" t="s">
        <v>11952</v>
      </c>
      <c r="T119" s="5" t="s">
        <v>13424</v>
      </c>
      <c r="U119" s="5" t="s">
        <v>2854</v>
      </c>
      <c r="V119" s="5" t="s">
        <v>13425</v>
      </c>
      <c r="W119" s="5" t="s">
        <v>13426</v>
      </c>
      <c r="X119" s="5" t="s">
        <v>13425</v>
      </c>
      <c r="Y119" s="5" t="s">
        <v>121</v>
      </c>
      <c r="Z119" s="5" t="s">
        <v>2854</v>
      </c>
      <c r="AA119" s="5" t="s">
        <v>11981</v>
      </c>
      <c r="AB119" s="5" t="s">
        <v>121</v>
      </c>
      <c r="AC119" s="5" t="s">
        <v>121</v>
      </c>
      <c r="AD119" s="5" t="s">
        <v>121</v>
      </c>
      <c r="AE119" s="5" t="s">
        <v>121</v>
      </c>
      <c r="AF119" s="5" t="s">
        <v>121</v>
      </c>
      <c r="AG119" s="5" t="s">
        <v>121</v>
      </c>
      <c r="AH119" s="5" t="s">
        <v>121</v>
      </c>
      <c r="AI119" s="5" t="s">
        <v>121</v>
      </c>
      <c r="AJ119" s="5" t="s">
        <v>121</v>
      </c>
      <c r="AK119" s="5" t="s">
        <v>121</v>
      </c>
      <c r="AL119" s="5" t="s">
        <v>121</v>
      </c>
      <c r="AM119" s="5" t="s">
        <v>121</v>
      </c>
      <c r="AN119" s="5" t="s">
        <v>121</v>
      </c>
      <c r="AO119" s="5" t="s">
        <v>121</v>
      </c>
      <c r="AP119" s="5" t="s">
        <v>1350</v>
      </c>
      <c r="AQ119" s="5" t="s">
        <v>121</v>
      </c>
      <c r="AR119" s="5" t="s">
        <v>121</v>
      </c>
      <c r="AS119" s="5" t="s">
        <v>1350</v>
      </c>
      <c r="AT119" s="5" t="s">
        <v>121</v>
      </c>
      <c r="AU119" s="5" t="s">
        <v>1313</v>
      </c>
      <c r="AV119" s="5" t="s">
        <v>12003</v>
      </c>
      <c r="AW119" s="5" t="s">
        <v>1313</v>
      </c>
      <c r="AX119" s="5" t="s">
        <v>12159</v>
      </c>
      <c r="AY119" s="5" t="s">
        <v>121</v>
      </c>
      <c r="AZ119" s="5" t="s">
        <v>121</v>
      </c>
      <c r="BA119" s="5" t="s">
        <v>121</v>
      </c>
      <c r="BB119" s="5" t="s">
        <v>3510</v>
      </c>
      <c r="BC119" s="5" t="s">
        <v>121</v>
      </c>
      <c r="BD119" s="5" t="s">
        <v>121</v>
      </c>
      <c r="BE119" s="5" t="s">
        <v>121</v>
      </c>
      <c r="BF119" s="5" t="s">
        <v>121</v>
      </c>
      <c r="BG119" s="5" t="s">
        <v>121</v>
      </c>
      <c r="BH119" s="5" t="s">
        <v>12815</v>
      </c>
      <c r="BI119" s="5" t="s">
        <v>121</v>
      </c>
      <c r="BJ119" s="5" t="s">
        <v>1348</v>
      </c>
      <c r="BK119" s="5" t="s">
        <v>121</v>
      </c>
      <c r="BL119" s="5" t="s">
        <v>1186</v>
      </c>
      <c r="BM119" s="5" t="s">
        <v>1186</v>
      </c>
      <c r="BN119" s="5" t="s">
        <v>1349</v>
      </c>
      <c r="BO119" s="5" t="s">
        <v>12378</v>
      </c>
      <c r="BP119" s="5" t="s">
        <v>2854</v>
      </c>
      <c r="BQ119" s="5" t="s">
        <v>121</v>
      </c>
      <c r="BR119" s="5" t="s">
        <v>121</v>
      </c>
      <c r="BS119" s="5" t="s">
        <v>121</v>
      </c>
      <c r="BT119" s="5" t="s">
        <v>121</v>
      </c>
      <c r="BU119" s="5" t="s">
        <v>2854</v>
      </c>
      <c r="BV119" s="5" t="s">
        <v>3510</v>
      </c>
      <c r="BW119" s="5" t="s">
        <v>3510</v>
      </c>
      <c r="BX119" s="5" t="s">
        <v>3510</v>
      </c>
      <c r="BY119" s="5" t="s">
        <v>12262</v>
      </c>
      <c r="BZ119" s="5" t="s">
        <v>13420</v>
      </c>
      <c r="CA119" s="5" t="s">
        <v>121</v>
      </c>
      <c r="CB119" s="5" t="s">
        <v>121</v>
      </c>
      <c r="CC119" s="5" t="s">
        <v>1347</v>
      </c>
      <c r="CD119" s="5" t="s">
        <v>121</v>
      </c>
      <c r="CE119" s="5" t="s">
        <v>121</v>
      </c>
      <c r="CF119" s="5" t="s">
        <v>11958</v>
      </c>
      <c r="CG119" s="5" t="s">
        <v>121</v>
      </c>
      <c r="CH119" s="5" t="s">
        <v>121</v>
      </c>
      <c r="CI119" s="5" t="s">
        <v>12034</v>
      </c>
      <c r="CJ119" s="5" t="s">
        <v>124</v>
      </c>
      <c r="CK119" s="5" t="s">
        <v>1097</v>
      </c>
      <c r="CL119" s="5" t="s">
        <v>3510</v>
      </c>
      <c r="CM119" s="5" t="s">
        <v>124</v>
      </c>
      <c r="CN119" s="5" t="s">
        <v>121</v>
      </c>
      <c r="CO119" s="5" t="s">
        <v>121</v>
      </c>
      <c r="CP119" s="5" t="s">
        <v>3510</v>
      </c>
      <c r="CQ119" s="5" t="s">
        <v>1356</v>
      </c>
      <c r="CR119" s="5" t="s">
        <v>11960</v>
      </c>
      <c r="CS119" s="5" t="s">
        <v>3510</v>
      </c>
      <c r="CT119" s="5" t="s">
        <v>3510</v>
      </c>
      <c r="CU119" s="5" t="s">
        <v>3510</v>
      </c>
      <c r="CV119" s="5" t="s">
        <v>11952</v>
      </c>
      <c r="CW119" s="5" t="s">
        <v>13427</v>
      </c>
      <c r="CX119" s="5" t="s">
        <v>13346</v>
      </c>
      <c r="CY119" s="5" t="s">
        <v>13428</v>
      </c>
      <c r="CZ119" s="5" t="s">
        <v>3510</v>
      </c>
      <c r="DA119" s="5" t="s">
        <v>11952</v>
      </c>
      <c r="DB119" s="5" t="s">
        <v>11963</v>
      </c>
      <c r="DC119" s="5" t="s">
        <v>11963</v>
      </c>
      <c r="DD119" s="5" t="s">
        <v>11963</v>
      </c>
      <c r="DE119" s="5" t="s">
        <v>11963</v>
      </c>
      <c r="DF119" s="5" t="s">
        <v>3510</v>
      </c>
      <c r="DG119" s="5" t="s">
        <v>11964</v>
      </c>
      <c r="DH119" s="5" t="s">
        <v>13429</v>
      </c>
      <c r="DI119" s="5" t="s">
        <v>11994</v>
      </c>
      <c r="DJ119" s="5" t="s">
        <v>12044</v>
      </c>
      <c r="DK119" s="5" t="s">
        <v>11967</v>
      </c>
      <c r="DL119" s="5">
        <v>5</v>
      </c>
      <c r="DM119" s="5">
        <v>4</v>
      </c>
      <c r="DN119" s="5">
        <v>4</v>
      </c>
      <c r="DO119" s="5">
        <v>3</v>
      </c>
      <c r="DP119" s="5">
        <v>3</v>
      </c>
      <c r="DQ119" s="5">
        <v>4</v>
      </c>
      <c r="DR119" s="5">
        <v>1.5</v>
      </c>
      <c r="DS119" s="5">
        <v>74</v>
      </c>
      <c r="DT119" s="5" t="s">
        <v>11968</v>
      </c>
      <c r="DU119" s="5" t="s">
        <v>11969</v>
      </c>
      <c r="DV119" s="5" t="s">
        <v>11970</v>
      </c>
      <c r="DW119" s="5"/>
      <c r="DX119" s="5">
        <v>21</v>
      </c>
      <c r="DY119" s="5"/>
      <c r="DZ119" s="5">
        <v>100</v>
      </c>
      <c r="EA119" s="5"/>
      <c r="EB119" s="5">
        <v>0.21</v>
      </c>
      <c r="EC119" s="5"/>
      <c r="ED119" s="5" t="s">
        <v>11971</v>
      </c>
      <c r="EE119" s="5"/>
      <c r="EF119" s="5" t="s">
        <v>11997</v>
      </c>
      <c r="EG119" s="5"/>
      <c r="EH119" s="5" t="s">
        <v>11997</v>
      </c>
      <c r="EI119" s="5"/>
      <c r="EJ119" s="5" t="s">
        <v>11997</v>
      </c>
      <c r="EK119" s="5"/>
      <c r="EL119" s="5" t="s">
        <v>11997</v>
      </c>
      <c r="EM119" s="5"/>
      <c r="EN119" s="5" t="s">
        <v>11997</v>
      </c>
      <c r="EO119" s="5"/>
      <c r="EP119" s="5" t="s">
        <v>11998</v>
      </c>
      <c r="EQ119" s="5"/>
      <c r="ER119" s="5" t="s">
        <v>11997</v>
      </c>
      <c r="ES119" s="5"/>
      <c r="ET119" s="5" t="s">
        <v>11972</v>
      </c>
      <c r="EU119" s="5"/>
      <c r="EV119" s="5"/>
      <c r="EW119" s="5"/>
      <c r="EX119" s="5"/>
      <c r="EY119" s="5" t="s">
        <v>6633</v>
      </c>
      <c r="EZ119" s="5"/>
      <c r="FA119" s="5" t="s">
        <v>1357</v>
      </c>
      <c r="FB119" s="5"/>
    </row>
    <row r="120" spans="1:158" ht="76.5">
      <c r="A120" s="5" t="s">
        <v>1359</v>
      </c>
      <c r="B120" s="5" t="s">
        <v>1360</v>
      </c>
      <c r="C120" s="5" t="s">
        <v>11952</v>
      </c>
      <c r="D120" s="5" t="s">
        <v>121</v>
      </c>
      <c r="E120" s="5" t="s">
        <v>11953</v>
      </c>
      <c r="F120" s="5" t="s">
        <v>11954</v>
      </c>
      <c r="G120" s="5" t="s">
        <v>11955</v>
      </c>
      <c r="H120" s="5" t="s">
        <v>11235</v>
      </c>
      <c r="I120" s="5" t="s">
        <v>1286</v>
      </c>
      <c r="J120" s="5" t="s">
        <v>3510</v>
      </c>
      <c r="K120" s="5" t="s">
        <v>11956</v>
      </c>
      <c r="L120" s="5" t="s">
        <v>1367</v>
      </c>
      <c r="M120" s="5" t="s">
        <v>11952</v>
      </c>
      <c r="N120" s="5" t="s">
        <v>11952</v>
      </c>
      <c r="O120" s="5" t="s">
        <v>11952</v>
      </c>
      <c r="P120" s="5" t="s">
        <v>11952</v>
      </c>
      <c r="Q120" s="5" t="s">
        <v>1367</v>
      </c>
      <c r="R120" s="5" t="s">
        <v>11952</v>
      </c>
      <c r="S120" s="5" t="s">
        <v>11952</v>
      </c>
      <c r="T120" s="5" t="s">
        <v>13430</v>
      </c>
      <c r="U120" s="5" t="s">
        <v>3510</v>
      </c>
      <c r="V120" s="5" t="s">
        <v>121</v>
      </c>
      <c r="W120" s="5" t="s">
        <v>121</v>
      </c>
      <c r="X120" s="5" t="s">
        <v>121</v>
      </c>
      <c r="Y120" s="5" t="s">
        <v>121</v>
      </c>
      <c r="Z120" s="5" t="s">
        <v>11952</v>
      </c>
      <c r="AA120" s="5" t="s">
        <v>11952</v>
      </c>
      <c r="AB120" s="5" t="s">
        <v>155</v>
      </c>
      <c r="AC120" s="5" t="s">
        <v>1364</v>
      </c>
      <c r="AD120" s="5" t="s">
        <v>121</v>
      </c>
      <c r="AE120" s="5" t="s">
        <v>121</v>
      </c>
      <c r="AF120" s="5" t="s">
        <v>1364</v>
      </c>
      <c r="AG120" s="5" t="s">
        <v>121</v>
      </c>
      <c r="AH120" s="5" t="s">
        <v>121</v>
      </c>
      <c r="AI120" s="5" t="s">
        <v>121</v>
      </c>
      <c r="AJ120" s="5" t="s">
        <v>121</v>
      </c>
      <c r="AK120" s="5" t="s">
        <v>121</v>
      </c>
      <c r="AL120" s="5" t="s">
        <v>121</v>
      </c>
      <c r="AM120" s="5" t="s">
        <v>121</v>
      </c>
      <c r="AN120" s="5" t="s">
        <v>121</v>
      </c>
      <c r="AO120" s="5" t="s">
        <v>121</v>
      </c>
      <c r="AP120" s="5" t="s">
        <v>13431</v>
      </c>
      <c r="AQ120" s="5" t="s">
        <v>121</v>
      </c>
      <c r="AR120" s="5" t="s">
        <v>13432</v>
      </c>
      <c r="AS120" s="5" t="s">
        <v>1365</v>
      </c>
      <c r="AT120" s="5" t="s">
        <v>121</v>
      </c>
      <c r="AU120" s="5" t="s">
        <v>1362</v>
      </c>
      <c r="AV120" s="5" t="s">
        <v>12003</v>
      </c>
      <c r="AW120" s="5" t="s">
        <v>1362</v>
      </c>
      <c r="AX120" s="5" t="s">
        <v>12159</v>
      </c>
      <c r="AY120" s="5" t="s">
        <v>2854</v>
      </c>
      <c r="AZ120" s="5" t="s">
        <v>121</v>
      </c>
      <c r="BA120" s="5" t="s">
        <v>121</v>
      </c>
      <c r="BB120" s="5" t="s">
        <v>3510</v>
      </c>
      <c r="BC120" s="5" t="s">
        <v>121</v>
      </c>
      <c r="BD120" s="5" t="s">
        <v>121</v>
      </c>
      <c r="BE120" s="5" t="s">
        <v>121</v>
      </c>
      <c r="BF120" s="5" t="s">
        <v>121</v>
      </c>
      <c r="BG120" s="5" t="s">
        <v>121</v>
      </c>
      <c r="BH120" s="5" t="s">
        <v>13433</v>
      </c>
      <c r="BI120" s="5" t="s">
        <v>121</v>
      </c>
      <c r="BJ120" s="5" t="s">
        <v>1363</v>
      </c>
      <c r="BK120" s="5" t="s">
        <v>121</v>
      </c>
      <c r="BL120" s="5" t="s">
        <v>1195</v>
      </c>
      <c r="BM120" s="5" t="s">
        <v>1195</v>
      </c>
      <c r="BN120" s="5" t="s">
        <v>1315</v>
      </c>
      <c r="BO120" s="5" t="s">
        <v>13380</v>
      </c>
      <c r="BP120" s="5" t="s">
        <v>121</v>
      </c>
      <c r="BQ120" s="5" t="s">
        <v>2854</v>
      </c>
      <c r="BR120" s="5" t="s">
        <v>121</v>
      </c>
      <c r="BS120" s="5" t="s">
        <v>121</v>
      </c>
      <c r="BT120" s="5" t="s">
        <v>121</v>
      </c>
      <c r="BU120" s="5" t="s">
        <v>121</v>
      </c>
      <c r="BV120" s="5" t="s">
        <v>3510</v>
      </c>
      <c r="BW120" s="5" t="s">
        <v>3510</v>
      </c>
      <c r="BX120" s="5" t="s">
        <v>3510</v>
      </c>
      <c r="BY120" s="5" t="s">
        <v>12262</v>
      </c>
      <c r="BZ120" s="5" t="s">
        <v>13434</v>
      </c>
      <c r="CA120" s="5" t="s">
        <v>121</v>
      </c>
      <c r="CB120" s="5" t="s">
        <v>121</v>
      </c>
      <c r="CC120" s="5" t="s">
        <v>1361</v>
      </c>
      <c r="CD120" s="5" t="s">
        <v>121</v>
      </c>
      <c r="CE120" s="5" t="s">
        <v>121</v>
      </c>
      <c r="CF120" s="5" t="s">
        <v>11958</v>
      </c>
      <c r="CG120" s="5" t="s">
        <v>121</v>
      </c>
      <c r="CH120" s="5" t="s">
        <v>121</v>
      </c>
      <c r="CI120" s="5" t="s">
        <v>12034</v>
      </c>
      <c r="CJ120" s="5" t="s">
        <v>124</v>
      </c>
      <c r="CK120" s="5" t="s">
        <v>1097</v>
      </c>
      <c r="CL120" s="5" t="s">
        <v>3510</v>
      </c>
      <c r="CM120" s="5" t="s">
        <v>124</v>
      </c>
      <c r="CN120" s="5" t="s">
        <v>121</v>
      </c>
      <c r="CO120" s="5" t="s">
        <v>121</v>
      </c>
      <c r="CP120" s="5" t="s">
        <v>3510</v>
      </c>
      <c r="CQ120" s="5" t="s">
        <v>1366</v>
      </c>
      <c r="CR120" s="5" t="s">
        <v>11960</v>
      </c>
      <c r="CS120" s="5" t="s">
        <v>3510</v>
      </c>
      <c r="CT120" s="5" t="s">
        <v>3510</v>
      </c>
      <c r="CU120" s="5" t="s">
        <v>3510</v>
      </c>
      <c r="CV120" s="5" t="s">
        <v>11952</v>
      </c>
      <c r="CW120" s="5" t="s">
        <v>11952</v>
      </c>
      <c r="CX120" s="5" t="s">
        <v>13346</v>
      </c>
      <c r="CY120" s="5" t="s">
        <v>13435</v>
      </c>
      <c r="CZ120" s="5" t="s">
        <v>3510</v>
      </c>
      <c r="DA120" s="5" t="s">
        <v>11952</v>
      </c>
      <c r="DB120" s="5" t="s">
        <v>11963</v>
      </c>
      <c r="DC120" s="5" t="s">
        <v>11963</v>
      </c>
      <c r="DD120" s="5" t="s">
        <v>11963</v>
      </c>
      <c r="DE120" s="5" t="s">
        <v>11963</v>
      </c>
      <c r="DF120" s="5" t="s">
        <v>3510</v>
      </c>
      <c r="DG120" s="5" t="s">
        <v>11964</v>
      </c>
      <c r="DH120" s="5" t="s">
        <v>13436</v>
      </c>
      <c r="DI120" s="5" t="s">
        <v>11994</v>
      </c>
      <c r="DJ120" s="5" t="s">
        <v>11966</v>
      </c>
      <c r="DK120" s="5" t="s">
        <v>11967</v>
      </c>
      <c r="DL120" s="5">
        <v>5</v>
      </c>
      <c r="DM120" s="5">
        <v>4</v>
      </c>
      <c r="DN120" s="5">
        <v>4.5</v>
      </c>
      <c r="DO120" s="5">
        <v>2</v>
      </c>
      <c r="DP120" s="5">
        <v>5</v>
      </c>
      <c r="DQ120" s="5">
        <v>1</v>
      </c>
      <c r="DR120" s="5">
        <v>0</v>
      </c>
      <c r="DS120" s="5">
        <v>67.5</v>
      </c>
      <c r="DT120" s="5" t="s">
        <v>11968</v>
      </c>
      <c r="DU120" s="5" t="s">
        <v>11969</v>
      </c>
      <c r="DV120" s="5" t="s">
        <v>12667</v>
      </c>
      <c r="DW120" s="5"/>
      <c r="DX120" s="5"/>
      <c r="DY120" s="5"/>
      <c r="DZ120" s="5">
        <v>100</v>
      </c>
      <c r="EA120" s="5"/>
      <c r="EB120" s="5"/>
      <c r="EC120" s="5"/>
      <c r="ED120" s="5" t="s">
        <v>11971</v>
      </c>
      <c r="EE120" s="5"/>
      <c r="EF120" s="5" t="s">
        <v>11997</v>
      </c>
      <c r="EG120" s="5"/>
      <c r="EH120" s="5" t="s">
        <v>11997</v>
      </c>
      <c r="EI120" s="5"/>
      <c r="EJ120" s="5" t="s">
        <v>11997</v>
      </c>
      <c r="EK120" s="5"/>
      <c r="EL120" s="5" t="s">
        <v>11997</v>
      </c>
      <c r="EM120" s="5"/>
      <c r="EN120" s="5" t="s">
        <v>11997</v>
      </c>
      <c r="EO120" s="5"/>
      <c r="EP120" s="5" t="s">
        <v>11998</v>
      </c>
      <c r="EQ120" s="5"/>
      <c r="ER120" s="5" t="s">
        <v>11997</v>
      </c>
      <c r="ES120" s="5"/>
      <c r="ET120" s="5" t="s">
        <v>11972</v>
      </c>
      <c r="EU120" s="5"/>
      <c r="EV120" s="5"/>
      <c r="EW120" s="5"/>
      <c r="EX120" s="5"/>
      <c r="EY120" s="5" t="s">
        <v>6665</v>
      </c>
      <c r="EZ120" s="5"/>
      <c r="FA120" s="5" t="s">
        <v>1367</v>
      </c>
      <c r="FB120" s="5"/>
    </row>
    <row r="121" spans="1:158" ht="102">
      <c r="A121" s="5" t="s">
        <v>1369</v>
      </c>
      <c r="B121" s="5" t="s">
        <v>1370</v>
      </c>
      <c r="C121" s="5" t="s">
        <v>11952</v>
      </c>
      <c r="D121" s="5" t="s">
        <v>1371</v>
      </c>
      <c r="E121" s="5" t="s">
        <v>11953</v>
      </c>
      <c r="F121" s="5" t="s">
        <v>11954</v>
      </c>
      <c r="G121" s="5" t="s">
        <v>11955</v>
      </c>
      <c r="H121" s="5" t="s">
        <v>11235</v>
      </c>
      <c r="I121" s="5" t="s">
        <v>1286</v>
      </c>
      <c r="J121" s="5" t="s">
        <v>3510</v>
      </c>
      <c r="K121" s="5" t="s">
        <v>11956</v>
      </c>
      <c r="L121" s="5" t="s">
        <v>1377</v>
      </c>
      <c r="M121" s="5" t="s">
        <v>11952</v>
      </c>
      <c r="N121" s="5" t="s">
        <v>11952</v>
      </c>
      <c r="O121" s="5" t="s">
        <v>11952</v>
      </c>
      <c r="P121" s="5" t="s">
        <v>11952</v>
      </c>
      <c r="Q121" s="5" t="s">
        <v>1377</v>
      </c>
      <c r="R121" s="5" t="s">
        <v>11952</v>
      </c>
      <c r="S121" s="5" t="s">
        <v>11952</v>
      </c>
      <c r="T121" s="5" t="s">
        <v>13437</v>
      </c>
      <c r="U121" s="5" t="s">
        <v>3510</v>
      </c>
      <c r="V121" s="5" t="s">
        <v>121</v>
      </c>
      <c r="W121" s="5" t="s">
        <v>121</v>
      </c>
      <c r="X121" s="5" t="s">
        <v>121</v>
      </c>
      <c r="Y121" s="5" t="s">
        <v>121</v>
      </c>
      <c r="Z121" s="5" t="s">
        <v>11952</v>
      </c>
      <c r="AA121" s="5" t="s">
        <v>11952</v>
      </c>
      <c r="AB121" s="5" t="s">
        <v>155</v>
      </c>
      <c r="AC121" s="5" t="s">
        <v>1374</v>
      </c>
      <c r="AD121" s="5" t="s">
        <v>121</v>
      </c>
      <c r="AE121" s="5" t="s">
        <v>121</v>
      </c>
      <c r="AF121" s="5" t="s">
        <v>1374</v>
      </c>
      <c r="AG121" s="5" t="s">
        <v>121</v>
      </c>
      <c r="AH121" s="5" t="s">
        <v>121</v>
      </c>
      <c r="AI121" s="5" t="s">
        <v>121</v>
      </c>
      <c r="AJ121" s="5" t="s">
        <v>121</v>
      </c>
      <c r="AK121" s="5" t="s">
        <v>121</v>
      </c>
      <c r="AL121" s="5" t="s">
        <v>121</v>
      </c>
      <c r="AM121" s="5" t="s">
        <v>121</v>
      </c>
      <c r="AN121" s="5" t="s">
        <v>121</v>
      </c>
      <c r="AO121" s="5" t="s">
        <v>121</v>
      </c>
      <c r="AP121" s="5" t="s">
        <v>12677</v>
      </c>
      <c r="AQ121" s="5" t="s">
        <v>121</v>
      </c>
      <c r="AR121" s="5" t="s">
        <v>13438</v>
      </c>
      <c r="AS121" s="5" t="s">
        <v>1375</v>
      </c>
      <c r="AT121" s="5" t="s">
        <v>121</v>
      </c>
      <c r="AU121" s="5" t="s">
        <v>1372</v>
      </c>
      <c r="AV121" s="5" t="s">
        <v>121</v>
      </c>
      <c r="AW121" s="5" t="s">
        <v>121</v>
      </c>
      <c r="AX121" s="5" t="s">
        <v>12063</v>
      </c>
      <c r="AY121" s="5" t="s">
        <v>2854</v>
      </c>
      <c r="AZ121" s="5" t="s">
        <v>121</v>
      </c>
      <c r="BA121" s="5" t="s">
        <v>121</v>
      </c>
      <c r="BB121" s="5" t="s">
        <v>3510</v>
      </c>
      <c r="BC121" s="5" t="s">
        <v>3510</v>
      </c>
      <c r="BD121" s="5" t="s">
        <v>121</v>
      </c>
      <c r="BE121" s="5" t="s">
        <v>121</v>
      </c>
      <c r="BF121" s="5" t="s">
        <v>13439</v>
      </c>
      <c r="BG121" s="5" t="s">
        <v>121</v>
      </c>
      <c r="BH121" s="5" t="s">
        <v>13440</v>
      </c>
      <c r="BI121" s="5" t="s">
        <v>13440</v>
      </c>
      <c r="BJ121" s="5" t="s">
        <v>1373</v>
      </c>
      <c r="BK121" s="5" t="s">
        <v>121</v>
      </c>
      <c r="BL121" s="5" t="s">
        <v>1186</v>
      </c>
      <c r="BM121" s="5" t="s">
        <v>1186</v>
      </c>
      <c r="BN121" s="5" t="s">
        <v>1305</v>
      </c>
      <c r="BO121" s="5" t="s">
        <v>121</v>
      </c>
      <c r="BP121" s="5" t="s">
        <v>2854</v>
      </c>
      <c r="BQ121" s="5" t="s">
        <v>121</v>
      </c>
      <c r="BR121" s="5" t="s">
        <v>121</v>
      </c>
      <c r="BS121" s="5" t="s">
        <v>121</v>
      </c>
      <c r="BT121" s="5" t="s">
        <v>121</v>
      </c>
      <c r="BU121" s="5" t="s">
        <v>121</v>
      </c>
      <c r="BV121" s="5" t="s">
        <v>3510</v>
      </c>
      <c r="BW121" s="5" t="s">
        <v>3510</v>
      </c>
      <c r="BX121" s="5" t="s">
        <v>3510</v>
      </c>
      <c r="BY121" s="5" t="s">
        <v>12262</v>
      </c>
      <c r="BZ121" s="5" t="s">
        <v>13441</v>
      </c>
      <c r="CA121" s="5" t="s">
        <v>121</v>
      </c>
      <c r="CB121" s="5" t="s">
        <v>121</v>
      </c>
      <c r="CC121" s="5" t="s">
        <v>1186</v>
      </c>
      <c r="CD121" s="5" t="s">
        <v>121</v>
      </c>
      <c r="CE121" s="5" t="s">
        <v>121</v>
      </c>
      <c r="CF121" s="5" t="s">
        <v>11958</v>
      </c>
      <c r="CG121" s="5" t="s">
        <v>121</v>
      </c>
      <c r="CH121" s="5" t="s">
        <v>121</v>
      </c>
      <c r="CI121" s="5" t="s">
        <v>12034</v>
      </c>
      <c r="CJ121" s="5" t="s">
        <v>124</v>
      </c>
      <c r="CK121" s="5" t="s">
        <v>1097</v>
      </c>
      <c r="CL121" s="5" t="s">
        <v>3510</v>
      </c>
      <c r="CM121" s="5" t="s">
        <v>124</v>
      </c>
      <c r="CN121" s="5" t="s">
        <v>121</v>
      </c>
      <c r="CO121" s="5" t="s">
        <v>121</v>
      </c>
      <c r="CP121" s="5" t="s">
        <v>3510</v>
      </c>
      <c r="CQ121" s="5" t="s">
        <v>1376</v>
      </c>
      <c r="CR121" s="5" t="s">
        <v>11960</v>
      </c>
      <c r="CS121" s="5" t="s">
        <v>3510</v>
      </c>
      <c r="CT121" s="5" t="s">
        <v>3510</v>
      </c>
      <c r="CU121" s="5" t="s">
        <v>3510</v>
      </c>
      <c r="CV121" s="5" t="s">
        <v>11952</v>
      </c>
      <c r="CW121" s="5" t="s">
        <v>13442</v>
      </c>
      <c r="CX121" s="5" t="s">
        <v>13346</v>
      </c>
      <c r="CY121" s="5" t="s">
        <v>13443</v>
      </c>
      <c r="CZ121" s="5" t="s">
        <v>3510</v>
      </c>
      <c r="DA121" s="5" t="s">
        <v>11952</v>
      </c>
      <c r="DB121" s="5" t="s">
        <v>11963</v>
      </c>
      <c r="DC121" s="5" t="s">
        <v>11963</v>
      </c>
      <c r="DD121" s="5" t="s">
        <v>11963</v>
      </c>
      <c r="DE121" s="5" t="s">
        <v>11963</v>
      </c>
      <c r="DF121" s="5" t="s">
        <v>3510</v>
      </c>
      <c r="DG121" s="5" t="s">
        <v>11964</v>
      </c>
      <c r="DH121" s="5" t="s">
        <v>13444</v>
      </c>
      <c r="DI121" s="5" t="s">
        <v>11975</v>
      </c>
      <c r="DJ121" s="5" t="s">
        <v>11994</v>
      </c>
      <c r="DK121" s="5" t="s">
        <v>13445</v>
      </c>
      <c r="DL121" s="5">
        <v>3</v>
      </c>
      <c r="DM121" s="5">
        <v>2</v>
      </c>
      <c r="DN121" s="5">
        <v>2.5</v>
      </c>
      <c r="DO121" s="5">
        <v>4</v>
      </c>
      <c r="DP121" s="5">
        <v>2</v>
      </c>
      <c r="DQ121" s="5">
        <v>1</v>
      </c>
      <c r="DR121" s="5">
        <v>0</v>
      </c>
      <c r="DS121" s="5">
        <v>45.5</v>
      </c>
      <c r="DT121" s="5" t="s">
        <v>11968</v>
      </c>
      <c r="DU121" s="5" t="s">
        <v>11969</v>
      </c>
      <c r="DV121" s="5" t="s">
        <v>11970</v>
      </c>
      <c r="DW121" s="5"/>
      <c r="DX121" s="5">
        <v>25</v>
      </c>
      <c r="DY121" s="5"/>
      <c r="DZ121" s="5">
        <v>100</v>
      </c>
      <c r="EA121" s="5"/>
      <c r="EB121" s="5">
        <v>0.25</v>
      </c>
      <c r="EC121" s="5"/>
      <c r="ED121" s="5" t="s">
        <v>11971</v>
      </c>
      <c r="EE121" s="5"/>
      <c r="EF121" s="5" t="s">
        <v>11997</v>
      </c>
      <c r="EG121" s="5"/>
      <c r="EH121" s="5" t="s">
        <v>11997</v>
      </c>
      <c r="EI121" s="5"/>
      <c r="EJ121" s="5" t="s">
        <v>11997</v>
      </c>
      <c r="EK121" s="5"/>
      <c r="EL121" s="5" t="s">
        <v>11997</v>
      </c>
      <c r="EM121" s="5"/>
      <c r="EN121" s="5" t="s">
        <v>11997</v>
      </c>
      <c r="EO121" s="5"/>
      <c r="EP121" s="5" t="s">
        <v>11998</v>
      </c>
      <c r="EQ121" s="5"/>
      <c r="ER121" s="5" t="s">
        <v>11997</v>
      </c>
      <c r="ES121" s="5"/>
      <c r="ET121" s="5" t="s">
        <v>11972</v>
      </c>
      <c r="EU121" s="5"/>
      <c r="EV121" s="5"/>
      <c r="EW121" s="5"/>
      <c r="EX121" s="5"/>
      <c r="EY121" s="5" t="s">
        <v>6698</v>
      </c>
      <c r="EZ121" s="5"/>
      <c r="FA121" s="5" t="s">
        <v>1377</v>
      </c>
      <c r="FB121" s="5"/>
    </row>
    <row r="122" spans="1:158" ht="89.25">
      <c r="A122" s="5" t="s">
        <v>1379</v>
      </c>
      <c r="B122" s="5" t="s">
        <v>1380</v>
      </c>
      <c r="C122" s="5" t="s">
        <v>11952</v>
      </c>
      <c r="D122" s="5" t="s">
        <v>1381</v>
      </c>
      <c r="E122" s="5" t="s">
        <v>11953</v>
      </c>
      <c r="F122" s="5" t="s">
        <v>11954</v>
      </c>
      <c r="G122" s="5" t="s">
        <v>11955</v>
      </c>
      <c r="H122" s="5" t="s">
        <v>11235</v>
      </c>
      <c r="I122" s="5" t="s">
        <v>1286</v>
      </c>
      <c r="J122" s="5" t="s">
        <v>3510</v>
      </c>
      <c r="K122" s="5" t="s">
        <v>11956</v>
      </c>
      <c r="L122" s="5" t="s">
        <v>1383</v>
      </c>
      <c r="M122" s="5" t="s">
        <v>11952</v>
      </c>
      <c r="N122" s="5" t="s">
        <v>11952</v>
      </c>
      <c r="O122" s="5" t="s">
        <v>11952</v>
      </c>
      <c r="P122" s="5" t="s">
        <v>11952</v>
      </c>
      <c r="Q122" s="5" t="s">
        <v>1383</v>
      </c>
      <c r="R122" s="5" t="s">
        <v>11952</v>
      </c>
      <c r="S122" s="5" t="s">
        <v>11952</v>
      </c>
      <c r="T122" s="5" t="s">
        <v>13446</v>
      </c>
      <c r="U122" s="5" t="s">
        <v>3510</v>
      </c>
      <c r="V122" s="5" t="s">
        <v>121</v>
      </c>
      <c r="W122" s="5" t="s">
        <v>121</v>
      </c>
      <c r="X122" s="5" t="s">
        <v>121</v>
      </c>
      <c r="Y122" s="5" t="s">
        <v>121</v>
      </c>
      <c r="Z122" s="5" t="s">
        <v>11952</v>
      </c>
      <c r="AA122" s="5" t="s">
        <v>11952</v>
      </c>
      <c r="AB122" s="5" t="s">
        <v>155</v>
      </c>
      <c r="AC122" s="5" t="s">
        <v>1374</v>
      </c>
      <c r="AD122" s="5" t="s">
        <v>121</v>
      </c>
      <c r="AE122" s="5" t="s">
        <v>121</v>
      </c>
      <c r="AF122" s="5" t="s">
        <v>1374</v>
      </c>
      <c r="AG122" s="5" t="s">
        <v>121</v>
      </c>
      <c r="AH122" s="5" t="s">
        <v>121</v>
      </c>
      <c r="AI122" s="5" t="s">
        <v>121</v>
      </c>
      <c r="AJ122" s="5" t="s">
        <v>121</v>
      </c>
      <c r="AK122" s="5" t="s">
        <v>121</v>
      </c>
      <c r="AL122" s="5" t="s">
        <v>121</v>
      </c>
      <c r="AM122" s="5" t="s">
        <v>121</v>
      </c>
      <c r="AN122" s="5" t="s">
        <v>121</v>
      </c>
      <c r="AO122" s="5" t="s">
        <v>121</v>
      </c>
      <c r="AP122" s="5" t="s">
        <v>12677</v>
      </c>
      <c r="AQ122" s="5" t="s">
        <v>121</v>
      </c>
      <c r="AR122" s="5" t="s">
        <v>13438</v>
      </c>
      <c r="AS122" s="5" t="s">
        <v>1375</v>
      </c>
      <c r="AT122" s="5" t="s">
        <v>121</v>
      </c>
      <c r="AU122" s="5" t="s">
        <v>1372</v>
      </c>
      <c r="AV122" s="5" t="s">
        <v>121</v>
      </c>
      <c r="AW122" s="5" t="s">
        <v>121</v>
      </c>
      <c r="AX122" s="5" t="s">
        <v>12063</v>
      </c>
      <c r="AY122" s="5" t="s">
        <v>2854</v>
      </c>
      <c r="AZ122" s="5" t="s">
        <v>121</v>
      </c>
      <c r="BA122" s="5" t="s">
        <v>121</v>
      </c>
      <c r="BB122" s="5" t="s">
        <v>3510</v>
      </c>
      <c r="BC122" s="5" t="s">
        <v>3510</v>
      </c>
      <c r="BD122" s="5" t="s">
        <v>121</v>
      </c>
      <c r="BE122" s="5" t="s">
        <v>121</v>
      </c>
      <c r="BF122" s="5" t="s">
        <v>13439</v>
      </c>
      <c r="BG122" s="5" t="s">
        <v>121</v>
      </c>
      <c r="BH122" s="5" t="s">
        <v>13440</v>
      </c>
      <c r="BI122" s="5" t="s">
        <v>13440</v>
      </c>
      <c r="BJ122" s="5" t="s">
        <v>1373</v>
      </c>
      <c r="BK122" s="5" t="s">
        <v>121</v>
      </c>
      <c r="BL122" s="5" t="s">
        <v>1186</v>
      </c>
      <c r="BM122" s="5" t="s">
        <v>1186</v>
      </c>
      <c r="BN122" s="5" t="s">
        <v>1305</v>
      </c>
      <c r="BO122" s="5" t="s">
        <v>121</v>
      </c>
      <c r="BP122" s="5" t="s">
        <v>2854</v>
      </c>
      <c r="BQ122" s="5" t="s">
        <v>121</v>
      </c>
      <c r="BR122" s="5" t="s">
        <v>121</v>
      </c>
      <c r="BS122" s="5" t="s">
        <v>121</v>
      </c>
      <c r="BT122" s="5" t="s">
        <v>121</v>
      </c>
      <c r="BU122" s="5" t="s">
        <v>121</v>
      </c>
      <c r="BV122" s="5" t="s">
        <v>3510</v>
      </c>
      <c r="BW122" s="5" t="s">
        <v>3510</v>
      </c>
      <c r="BX122" s="5" t="s">
        <v>3510</v>
      </c>
      <c r="BY122" s="5" t="s">
        <v>12262</v>
      </c>
      <c r="BZ122" s="5" t="s">
        <v>13441</v>
      </c>
      <c r="CA122" s="5" t="s">
        <v>121</v>
      </c>
      <c r="CB122" s="5" t="s">
        <v>121</v>
      </c>
      <c r="CC122" s="5" t="s">
        <v>1186</v>
      </c>
      <c r="CD122" s="5" t="s">
        <v>121</v>
      </c>
      <c r="CE122" s="5" t="s">
        <v>121</v>
      </c>
      <c r="CF122" s="5" t="s">
        <v>11958</v>
      </c>
      <c r="CG122" s="5" t="s">
        <v>121</v>
      </c>
      <c r="CH122" s="5" t="s">
        <v>121</v>
      </c>
      <c r="CI122" s="5" t="s">
        <v>12034</v>
      </c>
      <c r="CJ122" s="5" t="s">
        <v>124</v>
      </c>
      <c r="CK122" s="5" t="s">
        <v>1097</v>
      </c>
      <c r="CL122" s="5" t="s">
        <v>3510</v>
      </c>
      <c r="CM122" s="5" t="s">
        <v>124</v>
      </c>
      <c r="CN122" s="5" t="s">
        <v>121</v>
      </c>
      <c r="CO122" s="5" t="s">
        <v>121</v>
      </c>
      <c r="CP122" s="5" t="s">
        <v>3510</v>
      </c>
      <c r="CQ122" s="5" t="s">
        <v>1382</v>
      </c>
      <c r="CR122" s="5" t="s">
        <v>11960</v>
      </c>
      <c r="CS122" s="5" t="s">
        <v>3510</v>
      </c>
      <c r="CT122" s="5" t="s">
        <v>3510</v>
      </c>
      <c r="CU122" s="5" t="s">
        <v>3510</v>
      </c>
      <c r="CV122" s="5" t="s">
        <v>11952</v>
      </c>
      <c r="CW122" s="5" t="s">
        <v>13447</v>
      </c>
      <c r="CX122" s="5" t="s">
        <v>13346</v>
      </c>
      <c r="CY122" s="5" t="s">
        <v>13448</v>
      </c>
      <c r="CZ122" s="5" t="s">
        <v>3510</v>
      </c>
      <c r="DA122" s="5" t="s">
        <v>11952</v>
      </c>
      <c r="DB122" s="5" t="s">
        <v>11963</v>
      </c>
      <c r="DC122" s="5" t="s">
        <v>11963</v>
      </c>
      <c r="DD122" s="5" t="s">
        <v>11963</v>
      </c>
      <c r="DE122" s="5" t="s">
        <v>11963</v>
      </c>
      <c r="DF122" s="5" t="s">
        <v>3510</v>
      </c>
      <c r="DG122" s="5" t="s">
        <v>11964</v>
      </c>
      <c r="DH122" s="5" t="s">
        <v>13449</v>
      </c>
      <c r="DI122" s="5" t="s">
        <v>11975</v>
      </c>
      <c r="DJ122" s="5" t="s">
        <v>11994</v>
      </c>
      <c r="DK122" s="5" t="s">
        <v>13445</v>
      </c>
      <c r="DL122" s="5">
        <v>2</v>
      </c>
      <c r="DM122" s="5">
        <v>2</v>
      </c>
      <c r="DN122" s="5">
        <v>2.5</v>
      </c>
      <c r="DO122" s="5">
        <v>4</v>
      </c>
      <c r="DP122" s="5">
        <v>2</v>
      </c>
      <c r="DQ122" s="5">
        <v>1</v>
      </c>
      <c r="DR122" s="5">
        <v>0</v>
      </c>
      <c r="DS122" s="5">
        <v>41.5</v>
      </c>
      <c r="DT122" s="5" t="s">
        <v>11968</v>
      </c>
      <c r="DU122" s="5" t="s">
        <v>11969</v>
      </c>
      <c r="DV122" s="5" t="s">
        <v>11970</v>
      </c>
      <c r="DW122" s="5"/>
      <c r="DX122" s="5">
        <v>25</v>
      </c>
      <c r="DY122" s="5"/>
      <c r="DZ122" s="5">
        <v>100</v>
      </c>
      <c r="EA122" s="5"/>
      <c r="EB122" s="5">
        <v>0.25</v>
      </c>
      <c r="EC122" s="5"/>
      <c r="ED122" s="5" t="s">
        <v>11971</v>
      </c>
      <c r="EE122" s="5"/>
      <c r="EF122" s="5" t="s">
        <v>11997</v>
      </c>
      <c r="EG122" s="5"/>
      <c r="EH122" s="5" t="s">
        <v>11997</v>
      </c>
      <c r="EI122" s="5"/>
      <c r="EJ122" s="5" t="s">
        <v>11997</v>
      </c>
      <c r="EK122" s="5"/>
      <c r="EL122" s="5" t="s">
        <v>11997</v>
      </c>
      <c r="EM122" s="5"/>
      <c r="EN122" s="5" t="s">
        <v>11997</v>
      </c>
      <c r="EO122" s="5"/>
      <c r="EP122" s="5" t="s">
        <v>11998</v>
      </c>
      <c r="EQ122" s="5"/>
      <c r="ER122" s="5" t="s">
        <v>11997</v>
      </c>
      <c r="ES122" s="5"/>
      <c r="ET122" s="5" t="s">
        <v>11972</v>
      </c>
      <c r="EU122" s="5"/>
      <c r="EV122" s="5"/>
      <c r="EW122" s="5"/>
      <c r="EX122" s="5"/>
      <c r="EY122" s="5" t="s">
        <v>6732</v>
      </c>
      <c r="EZ122" s="5"/>
      <c r="FA122" s="5" t="s">
        <v>1383</v>
      </c>
      <c r="FB122" s="5"/>
    </row>
    <row r="123" spans="1:158" ht="102">
      <c r="A123" s="5" t="s">
        <v>1385</v>
      </c>
      <c r="B123" s="5" t="s">
        <v>1386</v>
      </c>
      <c r="C123" s="5" t="s">
        <v>11952</v>
      </c>
      <c r="D123" s="5" t="s">
        <v>121</v>
      </c>
      <c r="E123" s="5" t="s">
        <v>11953</v>
      </c>
      <c r="F123" s="5" t="s">
        <v>11954</v>
      </c>
      <c r="G123" s="5" t="s">
        <v>11955</v>
      </c>
      <c r="H123" s="5" t="s">
        <v>11235</v>
      </c>
      <c r="I123" s="5" t="s">
        <v>1286</v>
      </c>
      <c r="J123" s="5" t="s">
        <v>3510</v>
      </c>
      <c r="K123" s="5" t="s">
        <v>11956</v>
      </c>
      <c r="L123" s="5" t="s">
        <v>1392</v>
      </c>
      <c r="M123" s="5" t="s">
        <v>11952</v>
      </c>
      <c r="N123" s="5" t="s">
        <v>11952</v>
      </c>
      <c r="O123" s="5" t="s">
        <v>11952</v>
      </c>
      <c r="P123" s="5" t="s">
        <v>11952</v>
      </c>
      <c r="Q123" s="5" t="s">
        <v>1392</v>
      </c>
      <c r="R123" s="5" t="s">
        <v>11952</v>
      </c>
      <c r="S123" s="5" t="s">
        <v>11952</v>
      </c>
      <c r="T123" s="5" t="s">
        <v>13450</v>
      </c>
      <c r="U123" s="5" t="s">
        <v>3510</v>
      </c>
      <c r="V123" s="5" t="s">
        <v>121</v>
      </c>
      <c r="W123" s="5" t="s">
        <v>121</v>
      </c>
      <c r="X123" s="5" t="s">
        <v>121</v>
      </c>
      <c r="Y123" s="5" t="s">
        <v>121</v>
      </c>
      <c r="Z123" s="5" t="s">
        <v>11952</v>
      </c>
      <c r="AA123" s="5" t="s">
        <v>11952</v>
      </c>
      <c r="AB123" s="5" t="s">
        <v>121</v>
      </c>
      <c r="AC123" s="5" t="s">
        <v>121</v>
      </c>
      <c r="AD123" s="5" t="s">
        <v>121</v>
      </c>
      <c r="AE123" s="5" t="s">
        <v>121</v>
      </c>
      <c r="AF123" s="5" t="s">
        <v>121</v>
      </c>
      <c r="AG123" s="5" t="s">
        <v>121</v>
      </c>
      <c r="AH123" s="5" t="s">
        <v>121</v>
      </c>
      <c r="AI123" s="5" t="s">
        <v>121</v>
      </c>
      <c r="AJ123" s="5" t="s">
        <v>121</v>
      </c>
      <c r="AK123" s="5" t="s">
        <v>121</v>
      </c>
      <c r="AL123" s="5" t="s">
        <v>121</v>
      </c>
      <c r="AM123" s="5" t="s">
        <v>121</v>
      </c>
      <c r="AN123" s="5" t="s">
        <v>13451</v>
      </c>
      <c r="AO123" s="5" t="s">
        <v>121</v>
      </c>
      <c r="AP123" s="5" t="s">
        <v>13452</v>
      </c>
      <c r="AQ123" s="5" t="s">
        <v>121</v>
      </c>
      <c r="AR123" s="5" t="s">
        <v>13453</v>
      </c>
      <c r="AS123" s="5" t="s">
        <v>1390</v>
      </c>
      <c r="AT123" s="5" t="s">
        <v>121</v>
      </c>
      <c r="AU123" s="5" t="s">
        <v>1313</v>
      </c>
      <c r="AV123" s="5" t="s">
        <v>12003</v>
      </c>
      <c r="AW123" s="5" t="s">
        <v>1313</v>
      </c>
      <c r="AX123" s="5" t="s">
        <v>12159</v>
      </c>
      <c r="AY123" s="5" t="s">
        <v>121</v>
      </c>
      <c r="AZ123" s="5" t="s">
        <v>121</v>
      </c>
      <c r="BA123" s="5" t="s">
        <v>121</v>
      </c>
      <c r="BB123" s="5" t="s">
        <v>3510</v>
      </c>
      <c r="BC123" s="5" t="s">
        <v>2854</v>
      </c>
      <c r="BD123" s="5" t="s">
        <v>121</v>
      </c>
      <c r="BE123" s="5" t="s">
        <v>13454</v>
      </c>
      <c r="BF123" s="5" t="s">
        <v>121</v>
      </c>
      <c r="BG123" s="5" t="s">
        <v>121</v>
      </c>
      <c r="BH123" s="5" t="s">
        <v>13455</v>
      </c>
      <c r="BI123" s="5" t="s">
        <v>13455</v>
      </c>
      <c r="BJ123" s="5" t="s">
        <v>1388</v>
      </c>
      <c r="BK123" s="5" t="s">
        <v>121</v>
      </c>
      <c r="BL123" s="5" t="s">
        <v>13456</v>
      </c>
      <c r="BM123" s="5" t="s">
        <v>13456</v>
      </c>
      <c r="BN123" s="5" t="s">
        <v>1389</v>
      </c>
      <c r="BO123" s="5" t="s">
        <v>121</v>
      </c>
      <c r="BP123" s="5" t="s">
        <v>121</v>
      </c>
      <c r="BQ123" s="5" t="s">
        <v>121</v>
      </c>
      <c r="BR123" s="5" t="s">
        <v>121</v>
      </c>
      <c r="BS123" s="5" t="s">
        <v>121</v>
      </c>
      <c r="BT123" s="5" t="s">
        <v>121</v>
      </c>
      <c r="BU123" s="5" t="s">
        <v>121</v>
      </c>
      <c r="BV123" s="5" t="s">
        <v>3510</v>
      </c>
      <c r="BW123" s="5" t="s">
        <v>3510</v>
      </c>
      <c r="BX123" s="5" t="s">
        <v>2854</v>
      </c>
      <c r="BY123" s="5" t="s">
        <v>13457</v>
      </c>
      <c r="BZ123" s="5" t="s">
        <v>13458</v>
      </c>
      <c r="CA123" s="5" t="s">
        <v>121</v>
      </c>
      <c r="CB123" s="5" t="s">
        <v>121</v>
      </c>
      <c r="CC123" s="5" t="s">
        <v>1387</v>
      </c>
      <c r="CD123" s="5" t="s">
        <v>121</v>
      </c>
      <c r="CE123" s="5" t="s">
        <v>121</v>
      </c>
      <c r="CF123" s="5" t="s">
        <v>11958</v>
      </c>
      <c r="CG123" s="5" t="s">
        <v>121</v>
      </c>
      <c r="CH123" s="5" t="s">
        <v>121</v>
      </c>
      <c r="CI123" s="5" t="s">
        <v>11959</v>
      </c>
      <c r="CJ123" s="5" t="s">
        <v>124</v>
      </c>
      <c r="CK123" s="5" t="s">
        <v>1097</v>
      </c>
      <c r="CL123" s="5" t="s">
        <v>3510</v>
      </c>
      <c r="CM123" s="5" t="s">
        <v>124</v>
      </c>
      <c r="CN123" s="5" t="s">
        <v>121</v>
      </c>
      <c r="CO123" s="5" t="s">
        <v>121</v>
      </c>
      <c r="CP123" s="5" t="s">
        <v>3510</v>
      </c>
      <c r="CQ123" s="5" t="s">
        <v>1391</v>
      </c>
      <c r="CR123" s="5" t="s">
        <v>11960</v>
      </c>
      <c r="CS123" s="5" t="s">
        <v>3510</v>
      </c>
      <c r="CT123" s="5" t="s">
        <v>3510</v>
      </c>
      <c r="CU123" s="5" t="s">
        <v>3510</v>
      </c>
      <c r="CV123" s="5" t="s">
        <v>11952</v>
      </c>
      <c r="CW123" s="5" t="s">
        <v>11952</v>
      </c>
      <c r="CX123" s="5" t="s">
        <v>13346</v>
      </c>
      <c r="CY123" s="5" t="s">
        <v>13459</v>
      </c>
      <c r="CZ123" s="5" t="s">
        <v>3510</v>
      </c>
      <c r="DA123" s="5" t="s">
        <v>11952</v>
      </c>
      <c r="DB123" s="5" t="s">
        <v>11963</v>
      </c>
      <c r="DC123" s="5" t="s">
        <v>11963</v>
      </c>
      <c r="DD123" s="5" t="s">
        <v>11963</v>
      </c>
      <c r="DE123" s="5" t="s">
        <v>11963</v>
      </c>
      <c r="DF123" s="5" t="s">
        <v>3510</v>
      </c>
      <c r="DG123" s="5" t="s">
        <v>11964</v>
      </c>
      <c r="DH123" s="5" t="s">
        <v>13460</v>
      </c>
      <c r="DI123" s="5" t="s">
        <v>11994</v>
      </c>
      <c r="DJ123" s="5" t="s">
        <v>11966</v>
      </c>
      <c r="DK123" s="5" t="s">
        <v>11967</v>
      </c>
      <c r="DL123" s="5">
        <v>5</v>
      </c>
      <c r="DM123" s="5">
        <v>3</v>
      </c>
      <c r="DN123" s="5">
        <v>5</v>
      </c>
      <c r="DO123" s="5">
        <v>2</v>
      </c>
      <c r="DP123" s="5">
        <v>1</v>
      </c>
      <c r="DQ123" s="5">
        <v>4</v>
      </c>
      <c r="DR123" s="5">
        <v>2</v>
      </c>
      <c r="DS123" s="5">
        <v>67</v>
      </c>
      <c r="DT123" s="5" t="s">
        <v>11968</v>
      </c>
      <c r="DU123" s="5" t="s">
        <v>11969</v>
      </c>
      <c r="DV123" s="5" t="s">
        <v>11970</v>
      </c>
      <c r="DW123" s="5"/>
      <c r="DX123" s="5">
        <v>33</v>
      </c>
      <c r="DY123" s="5"/>
      <c r="DZ123" s="5">
        <v>100</v>
      </c>
      <c r="EA123" s="5"/>
      <c r="EB123" s="5">
        <v>0.33</v>
      </c>
      <c r="EC123" s="5"/>
      <c r="ED123" s="5" t="s">
        <v>11971</v>
      </c>
      <c r="EE123" s="5"/>
      <c r="EF123" s="5" t="s">
        <v>11997</v>
      </c>
      <c r="EG123" s="5"/>
      <c r="EH123" s="5" t="s">
        <v>11997</v>
      </c>
      <c r="EI123" s="5"/>
      <c r="EJ123" s="5" t="s">
        <v>11997</v>
      </c>
      <c r="EK123" s="5"/>
      <c r="EL123" s="5" t="s">
        <v>11997</v>
      </c>
      <c r="EM123" s="5"/>
      <c r="EN123" s="5" t="s">
        <v>11997</v>
      </c>
      <c r="EO123" s="5"/>
      <c r="EP123" s="5" t="s">
        <v>11998</v>
      </c>
      <c r="EQ123" s="5"/>
      <c r="ER123" s="5" t="s">
        <v>11997</v>
      </c>
      <c r="ES123" s="5"/>
      <c r="ET123" s="5" t="s">
        <v>11972</v>
      </c>
      <c r="EU123" s="5"/>
      <c r="EV123" s="5"/>
      <c r="EW123" s="5"/>
      <c r="EX123" s="5"/>
      <c r="EY123" s="5" t="s">
        <v>6766</v>
      </c>
      <c r="EZ123" s="5"/>
      <c r="FA123" s="5" t="s">
        <v>1392</v>
      </c>
      <c r="FB123" s="5"/>
    </row>
    <row r="124" spans="1:158" ht="229.5">
      <c r="A124" s="5" t="s">
        <v>1394</v>
      </c>
      <c r="B124" s="5" t="s">
        <v>1395</v>
      </c>
      <c r="C124" s="5" t="s">
        <v>11952</v>
      </c>
      <c r="D124" s="5" t="s">
        <v>119</v>
      </c>
      <c r="E124" s="5" t="s">
        <v>11953</v>
      </c>
      <c r="F124" s="5" t="s">
        <v>11954</v>
      </c>
      <c r="G124" s="5" t="s">
        <v>11955</v>
      </c>
      <c r="H124" s="5" t="s">
        <v>11237</v>
      </c>
      <c r="I124" s="5" t="s">
        <v>1286</v>
      </c>
      <c r="J124" s="5" t="s">
        <v>3510</v>
      </c>
      <c r="K124" s="5" t="s">
        <v>11956</v>
      </c>
      <c r="L124" s="5" t="s">
        <v>1402</v>
      </c>
      <c r="M124" s="5" t="s">
        <v>11952</v>
      </c>
      <c r="N124" s="5" t="s">
        <v>11952</v>
      </c>
      <c r="O124" s="5" t="s">
        <v>11952</v>
      </c>
      <c r="P124" s="5" t="s">
        <v>11952</v>
      </c>
      <c r="Q124" s="5" t="s">
        <v>1402</v>
      </c>
      <c r="R124" s="5" t="s">
        <v>11952</v>
      </c>
      <c r="S124" s="5" t="s">
        <v>11952</v>
      </c>
      <c r="T124" s="5" t="s">
        <v>13461</v>
      </c>
      <c r="U124" s="5" t="s">
        <v>3510</v>
      </c>
      <c r="V124" s="5" t="s">
        <v>121</v>
      </c>
      <c r="W124" s="5" t="s">
        <v>121</v>
      </c>
      <c r="X124" s="5" t="s">
        <v>121</v>
      </c>
      <c r="Y124" s="5" t="s">
        <v>121</v>
      </c>
      <c r="Z124" s="5" t="s">
        <v>11952</v>
      </c>
      <c r="AA124" s="5" t="s">
        <v>11952</v>
      </c>
      <c r="AB124" s="5" t="s">
        <v>155</v>
      </c>
      <c r="AC124" s="5" t="s">
        <v>1399</v>
      </c>
      <c r="AD124" s="5" t="s">
        <v>121</v>
      </c>
      <c r="AE124" s="5" t="s">
        <v>121</v>
      </c>
      <c r="AF124" s="5" t="s">
        <v>1399</v>
      </c>
      <c r="AG124" s="5" t="s">
        <v>121</v>
      </c>
      <c r="AH124" s="5" t="s">
        <v>121</v>
      </c>
      <c r="AI124" s="5" t="s">
        <v>121</v>
      </c>
      <c r="AJ124" s="5" t="s">
        <v>121</v>
      </c>
      <c r="AK124" s="5" t="s">
        <v>121</v>
      </c>
      <c r="AL124" s="5" t="s">
        <v>121</v>
      </c>
      <c r="AM124" s="5" t="s">
        <v>121</v>
      </c>
      <c r="AN124" s="5" t="s">
        <v>13462</v>
      </c>
      <c r="AO124" s="5" t="s">
        <v>121</v>
      </c>
      <c r="AP124" s="5" t="s">
        <v>121</v>
      </c>
      <c r="AQ124" s="5" t="s">
        <v>121</v>
      </c>
      <c r="AR124" s="5" t="s">
        <v>121</v>
      </c>
      <c r="AS124" s="5" t="s">
        <v>1400</v>
      </c>
      <c r="AT124" s="5" t="s">
        <v>121</v>
      </c>
      <c r="AU124" s="5" t="s">
        <v>1397</v>
      </c>
      <c r="AV124" s="5" t="s">
        <v>121</v>
      </c>
      <c r="AW124" s="5" t="s">
        <v>121</v>
      </c>
      <c r="AX124" s="5" t="s">
        <v>121</v>
      </c>
      <c r="AY124" s="5" t="s">
        <v>121</v>
      </c>
      <c r="AZ124" s="5" t="s">
        <v>121</v>
      </c>
      <c r="BA124" s="5" t="s">
        <v>121</v>
      </c>
      <c r="BB124" s="5" t="s">
        <v>2854</v>
      </c>
      <c r="BC124" s="5" t="s">
        <v>121</v>
      </c>
      <c r="BD124" s="5" t="s">
        <v>121</v>
      </c>
      <c r="BE124" s="5" t="s">
        <v>121</v>
      </c>
      <c r="BF124" s="5" t="s">
        <v>121</v>
      </c>
      <c r="BG124" s="5" t="s">
        <v>121</v>
      </c>
      <c r="BH124" s="5" t="s">
        <v>12815</v>
      </c>
      <c r="BI124" s="5" t="s">
        <v>121</v>
      </c>
      <c r="BJ124" s="5" t="s">
        <v>260</v>
      </c>
      <c r="BK124" s="5" t="s">
        <v>121</v>
      </c>
      <c r="BL124" s="5" t="s">
        <v>1273</v>
      </c>
      <c r="BM124" s="5" t="s">
        <v>1273</v>
      </c>
      <c r="BN124" s="5" t="s">
        <v>1398</v>
      </c>
      <c r="BO124" s="5" t="s">
        <v>121</v>
      </c>
      <c r="BP124" s="5" t="s">
        <v>121</v>
      </c>
      <c r="BQ124" s="5" t="s">
        <v>121</v>
      </c>
      <c r="BR124" s="5" t="s">
        <v>2854</v>
      </c>
      <c r="BS124" s="5" t="s">
        <v>121</v>
      </c>
      <c r="BT124" s="5" t="s">
        <v>121</v>
      </c>
      <c r="BU124" s="5" t="s">
        <v>121</v>
      </c>
      <c r="BV124" s="5" t="s">
        <v>3510</v>
      </c>
      <c r="BW124" s="5" t="s">
        <v>3510</v>
      </c>
      <c r="BX124" s="5" t="s">
        <v>3510</v>
      </c>
      <c r="BY124" s="5" t="s">
        <v>13463</v>
      </c>
      <c r="BZ124" s="5" t="s">
        <v>121</v>
      </c>
      <c r="CA124" s="5" t="s">
        <v>121</v>
      </c>
      <c r="CB124" s="5" t="s">
        <v>121</v>
      </c>
      <c r="CC124" s="5" t="s">
        <v>1396</v>
      </c>
      <c r="CD124" s="5" t="s">
        <v>121</v>
      </c>
      <c r="CE124" s="5" t="s">
        <v>121</v>
      </c>
      <c r="CF124" s="5" t="s">
        <v>11958</v>
      </c>
      <c r="CG124" s="5" t="s">
        <v>121</v>
      </c>
      <c r="CH124" s="5" t="s">
        <v>121</v>
      </c>
      <c r="CI124" s="5" t="s">
        <v>12034</v>
      </c>
      <c r="CJ124" s="5" t="s">
        <v>124</v>
      </c>
      <c r="CK124" s="5" t="s">
        <v>121</v>
      </c>
      <c r="CL124" s="5" t="s">
        <v>3510</v>
      </c>
      <c r="CM124" s="5" t="s">
        <v>124</v>
      </c>
      <c r="CN124" s="5" t="s">
        <v>121</v>
      </c>
      <c r="CO124" s="5" t="s">
        <v>121</v>
      </c>
      <c r="CP124" s="5" t="s">
        <v>3510</v>
      </c>
      <c r="CQ124" s="5" t="s">
        <v>1401</v>
      </c>
      <c r="CR124" s="5" t="s">
        <v>11960</v>
      </c>
      <c r="CS124" s="5" t="s">
        <v>3510</v>
      </c>
      <c r="CT124" s="5" t="s">
        <v>3510</v>
      </c>
      <c r="CU124" s="5" t="s">
        <v>3510</v>
      </c>
      <c r="CV124" s="5" t="s">
        <v>11952</v>
      </c>
      <c r="CW124" s="5" t="s">
        <v>11952</v>
      </c>
      <c r="CX124" s="5" t="s">
        <v>13464</v>
      </c>
      <c r="CY124" s="5" t="s">
        <v>13465</v>
      </c>
      <c r="CZ124" s="5" t="s">
        <v>11952</v>
      </c>
      <c r="DA124" s="5" t="s">
        <v>3510</v>
      </c>
      <c r="DB124" s="5" t="s">
        <v>11963</v>
      </c>
      <c r="DC124" s="5" t="s">
        <v>11963</v>
      </c>
      <c r="DD124" s="5" t="s">
        <v>11963</v>
      </c>
      <c r="DE124" s="5" t="s">
        <v>11963</v>
      </c>
      <c r="DF124" s="5" t="s">
        <v>3510</v>
      </c>
      <c r="DG124" s="5" t="s">
        <v>11964</v>
      </c>
      <c r="DH124" s="5" t="s">
        <v>13466</v>
      </c>
      <c r="DI124" s="5" t="s">
        <v>11975</v>
      </c>
      <c r="DJ124" s="5" t="s">
        <v>11966</v>
      </c>
      <c r="DK124" s="5" t="s">
        <v>11967</v>
      </c>
      <c r="DL124" s="5">
        <v>5</v>
      </c>
      <c r="DM124" s="5">
        <v>4</v>
      </c>
      <c r="DN124" s="5">
        <v>4</v>
      </c>
      <c r="DO124" s="5">
        <v>4</v>
      </c>
      <c r="DP124" s="5">
        <v>2</v>
      </c>
      <c r="DQ124" s="5">
        <v>5</v>
      </c>
      <c r="DR124" s="5">
        <v>0</v>
      </c>
      <c r="DS124" s="5">
        <v>74</v>
      </c>
      <c r="DT124" s="5" t="s">
        <v>11968</v>
      </c>
      <c r="DU124" s="5" t="s">
        <v>11969</v>
      </c>
      <c r="DV124" s="5" t="s">
        <v>11970</v>
      </c>
      <c r="DW124" s="5"/>
      <c r="DX124" s="5">
        <v>23</v>
      </c>
      <c r="DY124" s="5"/>
      <c r="DZ124" s="5">
        <v>100</v>
      </c>
      <c r="EA124" s="5"/>
      <c r="EB124" s="5">
        <v>0.23</v>
      </c>
      <c r="EC124" s="5"/>
      <c r="ED124" s="5" t="s">
        <v>11971</v>
      </c>
      <c r="EE124" s="5"/>
      <c r="EF124" s="5" t="s">
        <v>11997</v>
      </c>
      <c r="EG124" s="5"/>
      <c r="EH124" s="5" t="s">
        <v>11997</v>
      </c>
      <c r="EI124" s="5"/>
      <c r="EJ124" s="5" t="s">
        <v>11997</v>
      </c>
      <c r="EK124" s="5"/>
      <c r="EL124" s="5" t="s">
        <v>11997</v>
      </c>
      <c r="EM124" s="5"/>
      <c r="EN124" s="5" t="s">
        <v>11997</v>
      </c>
      <c r="EO124" s="5"/>
      <c r="EP124" s="5" t="s">
        <v>11998</v>
      </c>
      <c r="EQ124" s="5"/>
      <c r="ER124" s="5" t="s">
        <v>11997</v>
      </c>
      <c r="ES124" s="5"/>
      <c r="ET124" s="5" t="s">
        <v>11972</v>
      </c>
      <c r="EU124" s="5"/>
      <c r="EV124" s="5"/>
      <c r="EW124" s="5"/>
      <c r="EX124" s="5"/>
      <c r="EY124" s="5" t="s">
        <v>6799</v>
      </c>
      <c r="EZ124" s="5"/>
      <c r="FA124" s="5" t="s">
        <v>1403</v>
      </c>
      <c r="FB124" s="5"/>
    </row>
    <row r="125" spans="1:158" ht="102">
      <c r="A125" s="5" t="s">
        <v>1405</v>
      </c>
      <c r="B125" s="5" t="s">
        <v>1406</v>
      </c>
      <c r="C125" s="5" t="s">
        <v>11952</v>
      </c>
      <c r="D125" s="5" t="s">
        <v>1407</v>
      </c>
      <c r="E125" s="5" t="s">
        <v>11953</v>
      </c>
      <c r="F125" s="5" t="s">
        <v>11954</v>
      </c>
      <c r="G125" s="5" t="s">
        <v>11955</v>
      </c>
      <c r="H125" s="5" t="s">
        <v>11235</v>
      </c>
      <c r="I125" s="5" t="s">
        <v>1286</v>
      </c>
      <c r="J125" s="5" t="s">
        <v>3510</v>
      </c>
      <c r="K125" s="5" t="s">
        <v>11956</v>
      </c>
      <c r="L125" s="5" t="s">
        <v>1414</v>
      </c>
      <c r="M125" s="5" t="s">
        <v>11952</v>
      </c>
      <c r="N125" s="5" t="s">
        <v>11952</v>
      </c>
      <c r="O125" s="5" t="s">
        <v>11952</v>
      </c>
      <c r="P125" s="5" t="s">
        <v>11952</v>
      </c>
      <c r="Q125" s="5" t="s">
        <v>1414</v>
      </c>
      <c r="R125" s="5" t="s">
        <v>11952</v>
      </c>
      <c r="S125" s="5" t="s">
        <v>11952</v>
      </c>
      <c r="T125" s="5" t="s">
        <v>13467</v>
      </c>
      <c r="U125" s="5" t="s">
        <v>2854</v>
      </c>
      <c r="V125" s="5" t="s">
        <v>13468</v>
      </c>
      <c r="W125" s="5" t="s">
        <v>121</v>
      </c>
      <c r="X125" s="5" t="s">
        <v>121</v>
      </c>
      <c r="Y125" s="5" t="s">
        <v>121</v>
      </c>
      <c r="Z125" s="5" t="s">
        <v>121</v>
      </c>
      <c r="AA125" s="5" t="s">
        <v>11981</v>
      </c>
      <c r="AB125" s="5" t="s">
        <v>121</v>
      </c>
      <c r="AC125" s="5" t="s">
        <v>121</v>
      </c>
      <c r="AD125" s="5" t="s">
        <v>121</v>
      </c>
      <c r="AE125" s="5" t="s">
        <v>121</v>
      </c>
      <c r="AF125" s="5" t="s">
        <v>121</v>
      </c>
      <c r="AG125" s="5" t="s">
        <v>13469</v>
      </c>
      <c r="AH125" s="5" t="s">
        <v>121</v>
      </c>
      <c r="AI125" s="5" t="s">
        <v>121</v>
      </c>
      <c r="AJ125" s="5" t="s">
        <v>121</v>
      </c>
      <c r="AK125" s="5" t="s">
        <v>121</v>
      </c>
      <c r="AL125" s="5" t="s">
        <v>121</v>
      </c>
      <c r="AM125" s="5" t="s">
        <v>121</v>
      </c>
      <c r="AN125" s="5" t="s">
        <v>13470</v>
      </c>
      <c r="AO125" s="5" t="s">
        <v>121</v>
      </c>
      <c r="AP125" s="5" t="s">
        <v>13471</v>
      </c>
      <c r="AQ125" s="5" t="s">
        <v>121</v>
      </c>
      <c r="AR125" s="5" t="s">
        <v>13472</v>
      </c>
      <c r="AS125" s="5" t="s">
        <v>1412</v>
      </c>
      <c r="AT125" s="5" t="s">
        <v>121</v>
      </c>
      <c r="AU125" s="5" t="s">
        <v>1409</v>
      </c>
      <c r="AV125" s="5" t="s">
        <v>12003</v>
      </c>
      <c r="AW125" s="5" t="s">
        <v>121</v>
      </c>
      <c r="AX125" s="5" t="s">
        <v>121</v>
      </c>
      <c r="AY125" s="5" t="s">
        <v>121</v>
      </c>
      <c r="AZ125" s="5" t="s">
        <v>121</v>
      </c>
      <c r="BA125" s="5" t="s">
        <v>121</v>
      </c>
      <c r="BB125" s="5" t="s">
        <v>2854</v>
      </c>
      <c r="BC125" s="5" t="s">
        <v>121</v>
      </c>
      <c r="BD125" s="5" t="s">
        <v>121</v>
      </c>
      <c r="BE125" s="5" t="s">
        <v>121</v>
      </c>
      <c r="BF125" s="5" t="s">
        <v>121</v>
      </c>
      <c r="BG125" s="5" t="s">
        <v>121</v>
      </c>
      <c r="BH125" s="5" t="s">
        <v>12518</v>
      </c>
      <c r="BI125" s="5" t="s">
        <v>121</v>
      </c>
      <c r="BJ125" s="5" t="s">
        <v>1410</v>
      </c>
      <c r="BK125" s="5" t="s">
        <v>121</v>
      </c>
      <c r="BL125" s="5" t="s">
        <v>13473</v>
      </c>
      <c r="BM125" s="5" t="s">
        <v>13473</v>
      </c>
      <c r="BN125" s="5" t="s">
        <v>1411</v>
      </c>
      <c r="BO125" s="5" t="s">
        <v>121</v>
      </c>
      <c r="BP125" s="5" t="s">
        <v>121</v>
      </c>
      <c r="BQ125" s="5" t="s">
        <v>121</v>
      </c>
      <c r="BR125" s="5" t="s">
        <v>121</v>
      </c>
      <c r="BS125" s="5" t="s">
        <v>121</v>
      </c>
      <c r="BT125" s="5" t="s">
        <v>121</v>
      </c>
      <c r="BU125" s="5" t="s">
        <v>121</v>
      </c>
      <c r="BV125" s="5" t="s">
        <v>3510</v>
      </c>
      <c r="BW125" s="5" t="s">
        <v>3510</v>
      </c>
      <c r="BX125" s="5" t="s">
        <v>3510</v>
      </c>
      <c r="BY125" s="5" t="s">
        <v>13474</v>
      </c>
      <c r="BZ125" s="5" t="s">
        <v>13475</v>
      </c>
      <c r="CA125" s="5" t="s">
        <v>121</v>
      </c>
      <c r="CB125" s="5" t="s">
        <v>121</v>
      </c>
      <c r="CC125" s="5" t="s">
        <v>1408</v>
      </c>
      <c r="CD125" s="5" t="s">
        <v>121</v>
      </c>
      <c r="CE125" s="5" t="s">
        <v>121</v>
      </c>
      <c r="CF125" s="5" t="s">
        <v>11958</v>
      </c>
      <c r="CG125" s="5" t="s">
        <v>121</v>
      </c>
      <c r="CH125" s="5" t="s">
        <v>121</v>
      </c>
      <c r="CI125" s="5" t="s">
        <v>11959</v>
      </c>
      <c r="CJ125" s="5" t="s">
        <v>159</v>
      </c>
      <c r="CK125" s="5" t="s">
        <v>1097</v>
      </c>
      <c r="CL125" s="5" t="s">
        <v>121</v>
      </c>
      <c r="CM125" s="5" t="s">
        <v>159</v>
      </c>
      <c r="CN125" s="5" t="s">
        <v>121</v>
      </c>
      <c r="CO125" s="5" t="s">
        <v>121</v>
      </c>
      <c r="CP125" s="5" t="s">
        <v>3510</v>
      </c>
      <c r="CQ125" s="5" t="s">
        <v>1413</v>
      </c>
      <c r="CR125" s="5" t="s">
        <v>11960</v>
      </c>
      <c r="CS125" s="5" t="s">
        <v>3510</v>
      </c>
      <c r="CT125" s="5" t="s">
        <v>3510</v>
      </c>
      <c r="CU125" s="5" t="s">
        <v>3510</v>
      </c>
      <c r="CV125" s="5" t="s">
        <v>11952</v>
      </c>
      <c r="CW125" s="5" t="s">
        <v>11952</v>
      </c>
      <c r="CX125" s="5" t="s">
        <v>13346</v>
      </c>
      <c r="CY125" s="5" t="s">
        <v>13476</v>
      </c>
      <c r="CZ125" s="5" t="s">
        <v>3510</v>
      </c>
      <c r="DA125" s="5" t="s">
        <v>11952</v>
      </c>
      <c r="DB125" s="5" t="s">
        <v>11963</v>
      </c>
      <c r="DC125" s="5" t="s">
        <v>11963</v>
      </c>
      <c r="DD125" s="5" t="s">
        <v>11963</v>
      </c>
      <c r="DE125" s="5" t="s">
        <v>11963</v>
      </c>
      <c r="DF125" s="5" t="s">
        <v>3510</v>
      </c>
      <c r="DG125" s="5" t="s">
        <v>11964</v>
      </c>
      <c r="DH125" s="5" t="s">
        <v>13477</v>
      </c>
      <c r="DI125" s="5" t="s">
        <v>11966</v>
      </c>
      <c r="DJ125" s="5" t="s">
        <v>11966</v>
      </c>
      <c r="DK125" s="5" t="s">
        <v>11967</v>
      </c>
      <c r="DL125" s="5">
        <v>1</v>
      </c>
      <c r="DM125" s="5">
        <v>4</v>
      </c>
      <c r="DN125" s="5">
        <v>4.5</v>
      </c>
      <c r="DO125" s="5">
        <v>5</v>
      </c>
      <c r="DP125" s="5">
        <v>2</v>
      </c>
      <c r="DQ125" s="5">
        <v>4</v>
      </c>
      <c r="DR125" s="5">
        <v>1</v>
      </c>
      <c r="DS125" s="5">
        <v>62.5</v>
      </c>
      <c r="DT125" s="5" t="s">
        <v>11968</v>
      </c>
      <c r="DU125" s="5" t="s">
        <v>11969</v>
      </c>
      <c r="DV125" s="5" t="s">
        <v>12667</v>
      </c>
      <c r="DW125" s="5"/>
      <c r="DX125" s="5"/>
      <c r="DY125" s="5"/>
      <c r="DZ125" s="5">
        <v>100</v>
      </c>
      <c r="EA125" s="5"/>
      <c r="EB125" s="5"/>
      <c r="EC125" s="5"/>
      <c r="ED125" s="5" t="s">
        <v>11971</v>
      </c>
      <c r="EE125" s="5"/>
      <c r="EF125" s="5" t="s">
        <v>11997</v>
      </c>
      <c r="EG125" s="5"/>
      <c r="EH125" s="5" t="s">
        <v>11997</v>
      </c>
      <c r="EI125" s="5"/>
      <c r="EJ125" s="5" t="s">
        <v>11997</v>
      </c>
      <c r="EK125" s="5"/>
      <c r="EL125" s="5" t="s">
        <v>11997</v>
      </c>
      <c r="EM125" s="5"/>
      <c r="EN125" s="5" t="s">
        <v>11997</v>
      </c>
      <c r="EO125" s="5"/>
      <c r="EP125" s="5" t="s">
        <v>11998</v>
      </c>
      <c r="EQ125" s="5"/>
      <c r="ER125" s="5" t="s">
        <v>11997</v>
      </c>
      <c r="ES125" s="5"/>
      <c r="ET125" s="5" t="s">
        <v>11972</v>
      </c>
      <c r="EU125" s="5"/>
      <c r="EV125" s="5"/>
      <c r="EW125" s="5"/>
      <c r="EX125" s="5"/>
      <c r="EY125" s="5" t="s">
        <v>6830</v>
      </c>
      <c r="EZ125" s="5"/>
      <c r="FA125" s="5" t="s">
        <v>1414</v>
      </c>
      <c r="FB125" s="5"/>
    </row>
    <row r="126" spans="1:158" ht="102">
      <c r="A126" s="5" t="s">
        <v>1416</v>
      </c>
      <c r="B126" s="5" t="s">
        <v>1417</v>
      </c>
      <c r="C126" s="5" t="s">
        <v>11952</v>
      </c>
      <c r="D126" s="5" t="s">
        <v>1407</v>
      </c>
      <c r="E126" s="5" t="s">
        <v>11953</v>
      </c>
      <c r="F126" s="5" t="s">
        <v>11954</v>
      </c>
      <c r="G126" s="5" t="s">
        <v>11955</v>
      </c>
      <c r="H126" s="5" t="s">
        <v>11235</v>
      </c>
      <c r="I126" s="5" t="s">
        <v>1286</v>
      </c>
      <c r="J126" s="5" t="s">
        <v>3510</v>
      </c>
      <c r="K126" s="5" t="s">
        <v>11956</v>
      </c>
      <c r="L126" s="5" t="s">
        <v>1425</v>
      </c>
      <c r="M126" s="5" t="s">
        <v>11952</v>
      </c>
      <c r="N126" s="5" t="s">
        <v>11952</v>
      </c>
      <c r="O126" s="5" t="s">
        <v>11952</v>
      </c>
      <c r="P126" s="5" t="s">
        <v>11952</v>
      </c>
      <c r="Q126" s="5" t="s">
        <v>1425</v>
      </c>
      <c r="R126" s="5" t="s">
        <v>11952</v>
      </c>
      <c r="S126" s="5" t="s">
        <v>11952</v>
      </c>
      <c r="T126" s="5" t="s">
        <v>13478</v>
      </c>
      <c r="U126" s="5" t="s">
        <v>3510</v>
      </c>
      <c r="V126" s="5" t="s">
        <v>121</v>
      </c>
      <c r="W126" s="5" t="s">
        <v>121</v>
      </c>
      <c r="X126" s="5" t="s">
        <v>121</v>
      </c>
      <c r="Y126" s="5" t="s">
        <v>121</v>
      </c>
      <c r="Z126" s="5" t="s">
        <v>11952</v>
      </c>
      <c r="AA126" s="5" t="s">
        <v>11952</v>
      </c>
      <c r="AB126" s="5" t="s">
        <v>155</v>
      </c>
      <c r="AC126" s="5" t="s">
        <v>1422</v>
      </c>
      <c r="AD126" s="5" t="s">
        <v>121</v>
      </c>
      <c r="AE126" s="5" t="s">
        <v>121</v>
      </c>
      <c r="AF126" s="5" t="s">
        <v>1422</v>
      </c>
      <c r="AG126" s="5" t="s">
        <v>121</v>
      </c>
      <c r="AH126" s="5" t="s">
        <v>121</v>
      </c>
      <c r="AI126" s="5" t="s">
        <v>121</v>
      </c>
      <c r="AJ126" s="5" t="s">
        <v>121</v>
      </c>
      <c r="AK126" s="5" t="s">
        <v>121</v>
      </c>
      <c r="AL126" s="5" t="s">
        <v>121</v>
      </c>
      <c r="AM126" s="5" t="s">
        <v>121</v>
      </c>
      <c r="AN126" s="5" t="s">
        <v>121</v>
      </c>
      <c r="AO126" s="5" t="s">
        <v>121</v>
      </c>
      <c r="AP126" s="5" t="s">
        <v>13479</v>
      </c>
      <c r="AQ126" s="5" t="s">
        <v>121</v>
      </c>
      <c r="AR126" s="5" t="s">
        <v>13480</v>
      </c>
      <c r="AS126" s="5" t="s">
        <v>1423</v>
      </c>
      <c r="AT126" s="5" t="s">
        <v>121</v>
      </c>
      <c r="AU126" s="5" t="s">
        <v>1419</v>
      </c>
      <c r="AV126" s="5" t="s">
        <v>121</v>
      </c>
      <c r="AW126" s="5" t="s">
        <v>1419</v>
      </c>
      <c r="AX126" s="5" t="s">
        <v>12063</v>
      </c>
      <c r="AY126" s="5" t="s">
        <v>2854</v>
      </c>
      <c r="AZ126" s="5" t="s">
        <v>2854</v>
      </c>
      <c r="BA126" s="5" t="s">
        <v>121</v>
      </c>
      <c r="BB126" s="5" t="s">
        <v>3510</v>
      </c>
      <c r="BC126" s="5" t="s">
        <v>2854</v>
      </c>
      <c r="BD126" s="5" t="s">
        <v>121</v>
      </c>
      <c r="BE126" s="5" t="s">
        <v>121</v>
      </c>
      <c r="BF126" s="5" t="s">
        <v>121</v>
      </c>
      <c r="BG126" s="5" t="s">
        <v>121</v>
      </c>
      <c r="BH126" s="5" t="s">
        <v>13481</v>
      </c>
      <c r="BI126" s="5" t="s">
        <v>121</v>
      </c>
      <c r="BJ126" s="5" t="s">
        <v>1420</v>
      </c>
      <c r="BK126" s="5" t="s">
        <v>121</v>
      </c>
      <c r="BL126" s="5" t="s">
        <v>13482</v>
      </c>
      <c r="BM126" s="5" t="s">
        <v>13482</v>
      </c>
      <c r="BN126" s="5" t="s">
        <v>1421</v>
      </c>
      <c r="BO126" s="5" t="s">
        <v>12006</v>
      </c>
      <c r="BP126" s="5" t="s">
        <v>2854</v>
      </c>
      <c r="BQ126" s="5" t="s">
        <v>2854</v>
      </c>
      <c r="BR126" s="5" t="s">
        <v>2854</v>
      </c>
      <c r="BS126" s="5" t="s">
        <v>2854</v>
      </c>
      <c r="BT126" s="5" t="s">
        <v>121</v>
      </c>
      <c r="BU126" s="5" t="s">
        <v>121</v>
      </c>
      <c r="BV126" s="5" t="s">
        <v>3510</v>
      </c>
      <c r="BW126" s="5" t="s">
        <v>3510</v>
      </c>
      <c r="BX126" s="5" t="s">
        <v>3510</v>
      </c>
      <c r="BY126" s="5" t="s">
        <v>12262</v>
      </c>
      <c r="BZ126" s="5" t="s">
        <v>13483</v>
      </c>
      <c r="CA126" s="5" t="s">
        <v>121</v>
      </c>
      <c r="CB126" s="5" t="s">
        <v>121</v>
      </c>
      <c r="CC126" s="5" t="s">
        <v>1418</v>
      </c>
      <c r="CD126" s="5" t="s">
        <v>121</v>
      </c>
      <c r="CE126" s="5" t="s">
        <v>121</v>
      </c>
      <c r="CF126" s="5" t="s">
        <v>11958</v>
      </c>
      <c r="CG126" s="5" t="s">
        <v>121</v>
      </c>
      <c r="CH126" s="5" t="s">
        <v>121</v>
      </c>
      <c r="CI126" s="5" t="s">
        <v>12034</v>
      </c>
      <c r="CJ126" s="5" t="s">
        <v>124</v>
      </c>
      <c r="CK126" s="5" t="s">
        <v>1097</v>
      </c>
      <c r="CL126" s="5" t="s">
        <v>3510</v>
      </c>
      <c r="CM126" s="5" t="s">
        <v>124</v>
      </c>
      <c r="CN126" s="5" t="s">
        <v>121</v>
      </c>
      <c r="CO126" s="5" t="s">
        <v>121</v>
      </c>
      <c r="CP126" s="5" t="s">
        <v>3510</v>
      </c>
      <c r="CQ126" s="5" t="s">
        <v>1424</v>
      </c>
      <c r="CR126" s="5" t="s">
        <v>11960</v>
      </c>
      <c r="CS126" s="5" t="s">
        <v>3510</v>
      </c>
      <c r="CT126" s="5" t="s">
        <v>3510</v>
      </c>
      <c r="CU126" s="5" t="s">
        <v>3510</v>
      </c>
      <c r="CV126" s="5" t="s">
        <v>11952</v>
      </c>
      <c r="CW126" s="5" t="s">
        <v>11952</v>
      </c>
      <c r="CX126" s="5" t="s">
        <v>13346</v>
      </c>
      <c r="CY126" s="5" t="s">
        <v>13484</v>
      </c>
      <c r="CZ126" s="5" t="s">
        <v>3510</v>
      </c>
      <c r="DA126" s="5" t="s">
        <v>11952</v>
      </c>
      <c r="DB126" s="5" t="s">
        <v>11963</v>
      </c>
      <c r="DC126" s="5" t="s">
        <v>11963</v>
      </c>
      <c r="DD126" s="5" t="s">
        <v>11963</v>
      </c>
      <c r="DE126" s="5" t="s">
        <v>11963</v>
      </c>
      <c r="DF126" s="5" t="s">
        <v>3510</v>
      </c>
      <c r="DG126" s="5" t="s">
        <v>11964</v>
      </c>
      <c r="DH126" s="5" t="s">
        <v>13485</v>
      </c>
      <c r="DI126" s="5" t="s">
        <v>11994</v>
      </c>
      <c r="DJ126" s="5" t="s">
        <v>11966</v>
      </c>
      <c r="DK126" s="5" t="s">
        <v>11967</v>
      </c>
      <c r="DL126" s="5">
        <v>5</v>
      </c>
      <c r="DM126" s="5">
        <v>4</v>
      </c>
      <c r="DN126" s="5">
        <v>4.5</v>
      </c>
      <c r="DO126" s="5">
        <v>3</v>
      </c>
      <c r="DP126" s="5">
        <v>4</v>
      </c>
      <c r="DQ126" s="5">
        <v>3</v>
      </c>
      <c r="DR126" s="5">
        <v>0.5</v>
      </c>
      <c r="DS126" s="5">
        <v>73.5</v>
      </c>
      <c r="DT126" s="5" t="s">
        <v>11968</v>
      </c>
      <c r="DU126" s="5" t="s">
        <v>11969</v>
      </c>
      <c r="DV126" s="5" t="s">
        <v>11970</v>
      </c>
      <c r="DW126" s="5"/>
      <c r="DX126" s="5">
        <v>26</v>
      </c>
      <c r="DY126" s="5"/>
      <c r="DZ126" s="5">
        <v>100</v>
      </c>
      <c r="EA126" s="5"/>
      <c r="EB126" s="5">
        <v>0.26</v>
      </c>
      <c r="EC126" s="5"/>
      <c r="ED126" s="5" t="s">
        <v>11971</v>
      </c>
      <c r="EE126" s="5"/>
      <c r="EF126" s="5" t="s">
        <v>11997</v>
      </c>
      <c r="EG126" s="5"/>
      <c r="EH126" s="5" t="s">
        <v>11997</v>
      </c>
      <c r="EI126" s="5"/>
      <c r="EJ126" s="5" t="s">
        <v>11997</v>
      </c>
      <c r="EK126" s="5"/>
      <c r="EL126" s="5" t="s">
        <v>11997</v>
      </c>
      <c r="EM126" s="5"/>
      <c r="EN126" s="5" t="s">
        <v>11997</v>
      </c>
      <c r="EO126" s="5"/>
      <c r="EP126" s="5" t="s">
        <v>11998</v>
      </c>
      <c r="EQ126" s="5"/>
      <c r="ER126" s="5" t="s">
        <v>11997</v>
      </c>
      <c r="ES126" s="5"/>
      <c r="ET126" s="5" t="s">
        <v>11972</v>
      </c>
      <c r="EU126" s="5"/>
      <c r="EV126" s="5"/>
      <c r="EW126" s="5"/>
      <c r="EX126" s="5"/>
      <c r="EY126" s="5" t="s">
        <v>6863</v>
      </c>
      <c r="EZ126" s="5"/>
      <c r="FA126" s="5" t="s">
        <v>1425</v>
      </c>
      <c r="FB126" s="5"/>
    </row>
    <row r="127" spans="1:158" ht="89.25">
      <c r="A127" s="5" t="s">
        <v>1427</v>
      </c>
      <c r="B127" s="5" t="s">
        <v>1428</v>
      </c>
      <c r="C127" s="5" t="s">
        <v>11952</v>
      </c>
      <c r="D127" s="5" t="s">
        <v>1429</v>
      </c>
      <c r="E127" s="5" t="s">
        <v>11953</v>
      </c>
      <c r="F127" s="5" t="s">
        <v>11954</v>
      </c>
      <c r="G127" s="5" t="s">
        <v>11955</v>
      </c>
      <c r="H127" s="5" t="s">
        <v>11235</v>
      </c>
      <c r="I127" s="5" t="s">
        <v>1286</v>
      </c>
      <c r="J127" s="5" t="s">
        <v>3510</v>
      </c>
      <c r="K127" s="5" t="s">
        <v>11956</v>
      </c>
      <c r="L127" s="5" t="s">
        <v>1437</v>
      </c>
      <c r="M127" s="5" t="s">
        <v>11952</v>
      </c>
      <c r="N127" s="5" t="s">
        <v>11952</v>
      </c>
      <c r="O127" s="5" t="s">
        <v>11952</v>
      </c>
      <c r="P127" s="5" t="s">
        <v>11952</v>
      </c>
      <c r="Q127" s="5" t="s">
        <v>1437</v>
      </c>
      <c r="R127" s="5" t="s">
        <v>11952</v>
      </c>
      <c r="S127" s="5" t="s">
        <v>11952</v>
      </c>
      <c r="T127" s="5" t="s">
        <v>13486</v>
      </c>
      <c r="U127" s="5" t="s">
        <v>3510</v>
      </c>
      <c r="V127" s="5" t="s">
        <v>121</v>
      </c>
      <c r="W127" s="5" t="s">
        <v>121</v>
      </c>
      <c r="X127" s="5" t="s">
        <v>121</v>
      </c>
      <c r="Y127" s="5" t="s">
        <v>121</v>
      </c>
      <c r="Z127" s="5" t="s">
        <v>11952</v>
      </c>
      <c r="AA127" s="5" t="s">
        <v>11952</v>
      </c>
      <c r="AB127" s="5" t="s">
        <v>155</v>
      </c>
      <c r="AC127" s="5" t="s">
        <v>1434</v>
      </c>
      <c r="AD127" s="5" t="s">
        <v>121</v>
      </c>
      <c r="AE127" s="5" t="s">
        <v>121</v>
      </c>
      <c r="AF127" s="5" t="s">
        <v>1434</v>
      </c>
      <c r="AG127" s="5" t="s">
        <v>121</v>
      </c>
      <c r="AH127" s="5" t="s">
        <v>121</v>
      </c>
      <c r="AI127" s="5" t="s">
        <v>121</v>
      </c>
      <c r="AJ127" s="5" t="s">
        <v>121</v>
      </c>
      <c r="AK127" s="5" t="s">
        <v>121</v>
      </c>
      <c r="AL127" s="5" t="s">
        <v>121</v>
      </c>
      <c r="AM127" s="5" t="s">
        <v>121</v>
      </c>
      <c r="AN127" s="5" t="s">
        <v>121</v>
      </c>
      <c r="AO127" s="5" t="s">
        <v>121</v>
      </c>
      <c r="AP127" s="5" t="s">
        <v>13479</v>
      </c>
      <c r="AQ127" s="5" t="s">
        <v>121</v>
      </c>
      <c r="AR127" s="5" t="s">
        <v>13487</v>
      </c>
      <c r="AS127" s="5" t="s">
        <v>1435</v>
      </c>
      <c r="AT127" s="5" t="s">
        <v>121</v>
      </c>
      <c r="AU127" s="5" t="s">
        <v>1431</v>
      </c>
      <c r="AV127" s="5" t="s">
        <v>121</v>
      </c>
      <c r="AW127" s="5" t="s">
        <v>1431</v>
      </c>
      <c r="AX127" s="5" t="s">
        <v>121</v>
      </c>
      <c r="AY127" s="5" t="s">
        <v>2854</v>
      </c>
      <c r="AZ127" s="5" t="s">
        <v>121</v>
      </c>
      <c r="BA127" s="5" t="s">
        <v>121</v>
      </c>
      <c r="BB127" s="5" t="s">
        <v>3510</v>
      </c>
      <c r="BC127" s="5" t="s">
        <v>121</v>
      </c>
      <c r="BD127" s="5" t="s">
        <v>121</v>
      </c>
      <c r="BE127" s="5" t="s">
        <v>121</v>
      </c>
      <c r="BF127" s="5" t="s">
        <v>121</v>
      </c>
      <c r="BG127" s="5" t="s">
        <v>121</v>
      </c>
      <c r="BH127" s="5" t="s">
        <v>13488</v>
      </c>
      <c r="BI127" s="5" t="s">
        <v>121</v>
      </c>
      <c r="BJ127" s="5" t="s">
        <v>1432</v>
      </c>
      <c r="BK127" s="5" t="s">
        <v>121</v>
      </c>
      <c r="BL127" s="5" t="s">
        <v>1195</v>
      </c>
      <c r="BM127" s="5" t="s">
        <v>1195</v>
      </c>
      <c r="BN127" s="5" t="s">
        <v>1433</v>
      </c>
      <c r="BO127" s="5" t="s">
        <v>1474</v>
      </c>
      <c r="BP127" s="5" t="s">
        <v>121</v>
      </c>
      <c r="BQ127" s="5" t="s">
        <v>2854</v>
      </c>
      <c r="BR127" s="5" t="s">
        <v>121</v>
      </c>
      <c r="BS127" s="5" t="s">
        <v>121</v>
      </c>
      <c r="BT127" s="5" t="s">
        <v>121</v>
      </c>
      <c r="BU127" s="5" t="s">
        <v>121</v>
      </c>
      <c r="BV127" s="5" t="s">
        <v>3510</v>
      </c>
      <c r="BW127" s="5" t="s">
        <v>3510</v>
      </c>
      <c r="BX127" s="5" t="s">
        <v>3510</v>
      </c>
      <c r="BY127" s="5" t="s">
        <v>12262</v>
      </c>
      <c r="BZ127" s="5" t="s">
        <v>13489</v>
      </c>
      <c r="CA127" s="5" t="s">
        <v>121</v>
      </c>
      <c r="CB127" s="5" t="s">
        <v>121</v>
      </c>
      <c r="CC127" s="5" t="s">
        <v>1430</v>
      </c>
      <c r="CD127" s="5" t="s">
        <v>121</v>
      </c>
      <c r="CE127" s="5" t="s">
        <v>121</v>
      </c>
      <c r="CF127" s="5" t="s">
        <v>11958</v>
      </c>
      <c r="CG127" s="5" t="s">
        <v>121</v>
      </c>
      <c r="CH127" s="5" t="s">
        <v>121</v>
      </c>
      <c r="CI127" s="5" t="s">
        <v>12034</v>
      </c>
      <c r="CJ127" s="5" t="s">
        <v>124</v>
      </c>
      <c r="CK127" s="5" t="s">
        <v>1097</v>
      </c>
      <c r="CL127" s="5" t="s">
        <v>3510</v>
      </c>
      <c r="CM127" s="5" t="s">
        <v>124</v>
      </c>
      <c r="CN127" s="5" t="s">
        <v>121</v>
      </c>
      <c r="CO127" s="5" t="s">
        <v>121</v>
      </c>
      <c r="CP127" s="5" t="s">
        <v>3510</v>
      </c>
      <c r="CQ127" s="5" t="s">
        <v>1436</v>
      </c>
      <c r="CR127" s="5" t="s">
        <v>11960</v>
      </c>
      <c r="CS127" s="5" t="s">
        <v>3510</v>
      </c>
      <c r="CT127" s="5" t="s">
        <v>3510</v>
      </c>
      <c r="CU127" s="5" t="s">
        <v>3510</v>
      </c>
      <c r="CV127" s="5" t="s">
        <v>11952</v>
      </c>
      <c r="CW127" s="5" t="s">
        <v>11952</v>
      </c>
      <c r="CX127" s="5" t="s">
        <v>13346</v>
      </c>
      <c r="CY127" s="5" t="s">
        <v>13490</v>
      </c>
      <c r="CZ127" s="5" t="s">
        <v>3510</v>
      </c>
      <c r="DA127" s="5" t="s">
        <v>11952</v>
      </c>
      <c r="DB127" s="5" t="s">
        <v>11963</v>
      </c>
      <c r="DC127" s="5" t="s">
        <v>11963</v>
      </c>
      <c r="DD127" s="5" t="s">
        <v>11963</v>
      </c>
      <c r="DE127" s="5" t="s">
        <v>11963</v>
      </c>
      <c r="DF127" s="5" t="s">
        <v>3510</v>
      </c>
      <c r="DG127" s="5" t="s">
        <v>11964</v>
      </c>
      <c r="DH127" s="5" t="s">
        <v>13491</v>
      </c>
      <c r="DI127" s="5" t="s">
        <v>11994</v>
      </c>
      <c r="DJ127" s="5" t="s">
        <v>11966</v>
      </c>
      <c r="DK127" s="5" t="s">
        <v>11967</v>
      </c>
      <c r="DL127" s="5">
        <v>5</v>
      </c>
      <c r="DM127" s="5">
        <v>5</v>
      </c>
      <c r="DN127" s="5">
        <v>4</v>
      </c>
      <c r="DO127" s="5">
        <v>4</v>
      </c>
      <c r="DP127" s="5">
        <v>3</v>
      </c>
      <c r="DQ127" s="5">
        <v>1</v>
      </c>
      <c r="DR127" s="5">
        <v>0</v>
      </c>
      <c r="DS127" s="5">
        <v>72</v>
      </c>
      <c r="DT127" s="5" t="s">
        <v>11968</v>
      </c>
      <c r="DU127" s="5" t="s">
        <v>11969</v>
      </c>
      <c r="DV127" s="5" t="s">
        <v>11970</v>
      </c>
      <c r="DW127" s="5"/>
      <c r="DX127" s="5">
        <v>33</v>
      </c>
      <c r="DY127" s="5"/>
      <c r="DZ127" s="5">
        <v>100</v>
      </c>
      <c r="EA127" s="5"/>
      <c r="EB127" s="5">
        <v>0.33</v>
      </c>
      <c r="EC127" s="5"/>
      <c r="ED127" s="5" t="s">
        <v>11971</v>
      </c>
      <c r="EE127" s="5"/>
      <c r="EF127" s="5" t="s">
        <v>11997</v>
      </c>
      <c r="EG127" s="5"/>
      <c r="EH127" s="5" t="s">
        <v>11997</v>
      </c>
      <c r="EI127" s="5"/>
      <c r="EJ127" s="5" t="s">
        <v>11997</v>
      </c>
      <c r="EK127" s="5"/>
      <c r="EL127" s="5" t="s">
        <v>11997</v>
      </c>
      <c r="EM127" s="5"/>
      <c r="EN127" s="5" t="s">
        <v>11997</v>
      </c>
      <c r="EO127" s="5"/>
      <c r="EP127" s="5" t="s">
        <v>11998</v>
      </c>
      <c r="EQ127" s="5"/>
      <c r="ER127" s="5" t="s">
        <v>11997</v>
      </c>
      <c r="ES127" s="5"/>
      <c r="ET127" s="5" t="s">
        <v>11972</v>
      </c>
      <c r="EU127" s="5"/>
      <c r="EV127" s="5"/>
      <c r="EW127" s="5"/>
      <c r="EX127" s="5"/>
      <c r="EY127" s="5" t="s">
        <v>6896</v>
      </c>
      <c r="EZ127" s="5"/>
      <c r="FA127" s="5" t="s">
        <v>1437</v>
      </c>
      <c r="FB127" s="5"/>
    </row>
    <row r="128" spans="1:158" ht="63.75">
      <c r="A128" s="5" t="s">
        <v>1439</v>
      </c>
      <c r="B128" s="5" t="s">
        <v>1440</v>
      </c>
      <c r="C128" s="5" t="s">
        <v>11952</v>
      </c>
      <c r="D128" s="5" t="s">
        <v>119</v>
      </c>
      <c r="E128" s="5" t="s">
        <v>11953</v>
      </c>
      <c r="F128" s="5" t="s">
        <v>11954</v>
      </c>
      <c r="G128" s="5" t="s">
        <v>11955</v>
      </c>
      <c r="H128" s="5" t="s">
        <v>11237</v>
      </c>
      <c r="I128" s="5" t="s">
        <v>1286</v>
      </c>
      <c r="J128" s="5" t="s">
        <v>3510</v>
      </c>
      <c r="K128" s="5" t="s">
        <v>11956</v>
      </c>
      <c r="L128" s="5" t="s">
        <v>1448</v>
      </c>
      <c r="M128" s="5" t="s">
        <v>11952</v>
      </c>
      <c r="N128" s="5" t="s">
        <v>11952</v>
      </c>
      <c r="O128" s="5" t="s">
        <v>11952</v>
      </c>
      <c r="P128" s="5" t="s">
        <v>11952</v>
      </c>
      <c r="Q128" s="5" t="s">
        <v>1448</v>
      </c>
      <c r="R128" s="5" t="s">
        <v>11952</v>
      </c>
      <c r="S128" s="5" t="s">
        <v>11952</v>
      </c>
      <c r="T128" s="5" t="s">
        <v>13492</v>
      </c>
      <c r="U128" s="5" t="s">
        <v>2854</v>
      </c>
      <c r="V128" s="5" t="s">
        <v>13493</v>
      </c>
      <c r="W128" s="5" t="s">
        <v>13494</v>
      </c>
      <c r="X128" s="5" t="s">
        <v>13495</v>
      </c>
      <c r="Y128" s="5" t="s">
        <v>121</v>
      </c>
      <c r="Z128" s="5" t="s">
        <v>2854</v>
      </c>
      <c r="AA128" s="5" t="s">
        <v>11981</v>
      </c>
      <c r="AB128" s="5" t="s">
        <v>155</v>
      </c>
      <c r="AC128" s="5" t="s">
        <v>1445</v>
      </c>
      <c r="AD128" s="5" t="s">
        <v>121</v>
      </c>
      <c r="AE128" s="5" t="s">
        <v>121</v>
      </c>
      <c r="AF128" s="5" t="s">
        <v>1445</v>
      </c>
      <c r="AG128" s="5" t="s">
        <v>121</v>
      </c>
      <c r="AH128" s="5" t="s">
        <v>121</v>
      </c>
      <c r="AI128" s="5" t="s">
        <v>121</v>
      </c>
      <c r="AJ128" s="5" t="s">
        <v>121</v>
      </c>
      <c r="AK128" s="5" t="s">
        <v>121</v>
      </c>
      <c r="AL128" s="5" t="s">
        <v>121</v>
      </c>
      <c r="AM128" s="5" t="s">
        <v>121</v>
      </c>
      <c r="AN128" s="5" t="s">
        <v>121</v>
      </c>
      <c r="AO128" s="5" t="s">
        <v>121</v>
      </c>
      <c r="AP128" s="5" t="s">
        <v>1873</v>
      </c>
      <c r="AQ128" s="5" t="s">
        <v>121</v>
      </c>
      <c r="AR128" s="5" t="s">
        <v>13496</v>
      </c>
      <c r="AS128" s="5" t="s">
        <v>1446</v>
      </c>
      <c r="AT128" s="5" t="s">
        <v>121</v>
      </c>
      <c r="AU128" s="5" t="s">
        <v>1442</v>
      </c>
      <c r="AV128" s="5" t="s">
        <v>121</v>
      </c>
      <c r="AW128" s="5" t="s">
        <v>121</v>
      </c>
      <c r="AX128" s="5" t="s">
        <v>121</v>
      </c>
      <c r="AY128" s="5" t="s">
        <v>121</v>
      </c>
      <c r="AZ128" s="5" t="s">
        <v>121</v>
      </c>
      <c r="BA128" s="5" t="s">
        <v>121</v>
      </c>
      <c r="BB128" s="5" t="s">
        <v>3510</v>
      </c>
      <c r="BC128" s="5" t="s">
        <v>121</v>
      </c>
      <c r="BD128" s="5" t="s">
        <v>121</v>
      </c>
      <c r="BE128" s="5" t="s">
        <v>121</v>
      </c>
      <c r="BF128" s="5" t="s">
        <v>121</v>
      </c>
      <c r="BG128" s="5" t="s">
        <v>121</v>
      </c>
      <c r="BH128" s="5" t="s">
        <v>13497</v>
      </c>
      <c r="BI128" s="5" t="s">
        <v>121</v>
      </c>
      <c r="BJ128" s="5" t="s">
        <v>1443</v>
      </c>
      <c r="BK128" s="5" t="s">
        <v>121</v>
      </c>
      <c r="BL128" s="5" t="s">
        <v>1693</v>
      </c>
      <c r="BM128" s="5" t="s">
        <v>1693</v>
      </c>
      <c r="BN128" s="5" t="s">
        <v>1444</v>
      </c>
      <c r="BO128" s="5" t="s">
        <v>121</v>
      </c>
      <c r="BP128" s="5" t="s">
        <v>2854</v>
      </c>
      <c r="BQ128" s="5" t="s">
        <v>121</v>
      </c>
      <c r="BR128" s="5" t="s">
        <v>121</v>
      </c>
      <c r="BS128" s="5" t="s">
        <v>121</v>
      </c>
      <c r="BT128" s="5" t="s">
        <v>121</v>
      </c>
      <c r="BU128" s="5" t="s">
        <v>121</v>
      </c>
      <c r="BV128" s="5" t="s">
        <v>3510</v>
      </c>
      <c r="BW128" s="5" t="s">
        <v>3510</v>
      </c>
      <c r="BX128" s="5" t="s">
        <v>3510</v>
      </c>
      <c r="BY128" s="5" t="s">
        <v>13498</v>
      </c>
      <c r="BZ128" s="5" t="s">
        <v>13499</v>
      </c>
      <c r="CA128" s="5" t="s">
        <v>121</v>
      </c>
      <c r="CB128" s="5" t="s">
        <v>121</v>
      </c>
      <c r="CC128" s="5" t="s">
        <v>1441</v>
      </c>
      <c r="CD128" s="5" t="s">
        <v>13500</v>
      </c>
      <c r="CE128" s="5" t="s">
        <v>13500</v>
      </c>
      <c r="CF128" s="5" t="s">
        <v>11958</v>
      </c>
      <c r="CG128" s="5" t="s">
        <v>12801</v>
      </c>
      <c r="CH128" s="5" t="s">
        <v>13501</v>
      </c>
      <c r="CI128" s="5" t="s">
        <v>12034</v>
      </c>
      <c r="CJ128" s="5" t="s">
        <v>124</v>
      </c>
      <c r="CK128" s="5" t="s">
        <v>121</v>
      </c>
      <c r="CL128" s="5" t="s">
        <v>3510</v>
      </c>
      <c r="CM128" s="5" t="s">
        <v>124</v>
      </c>
      <c r="CN128" s="5" t="s">
        <v>121</v>
      </c>
      <c r="CO128" s="5" t="s">
        <v>121</v>
      </c>
      <c r="CP128" s="5" t="s">
        <v>3510</v>
      </c>
      <c r="CQ128" s="5" t="s">
        <v>1447</v>
      </c>
      <c r="CR128" s="5" t="s">
        <v>11960</v>
      </c>
      <c r="CS128" s="5" t="s">
        <v>3510</v>
      </c>
      <c r="CT128" s="5" t="s">
        <v>3510</v>
      </c>
      <c r="CU128" s="5" t="s">
        <v>3510</v>
      </c>
      <c r="CV128" s="5" t="s">
        <v>11952</v>
      </c>
      <c r="CW128" s="5" t="s">
        <v>11952</v>
      </c>
      <c r="CX128" s="5" t="s">
        <v>13464</v>
      </c>
      <c r="CY128" s="5" t="s">
        <v>13502</v>
      </c>
      <c r="CZ128" s="5" t="s">
        <v>11952</v>
      </c>
      <c r="DA128" s="5" t="s">
        <v>3510</v>
      </c>
      <c r="DB128" s="5" t="s">
        <v>11963</v>
      </c>
      <c r="DC128" s="5" t="s">
        <v>11963</v>
      </c>
      <c r="DD128" s="5" t="s">
        <v>11963</v>
      </c>
      <c r="DE128" s="5" t="s">
        <v>11963</v>
      </c>
      <c r="DF128" s="5" t="s">
        <v>3510</v>
      </c>
      <c r="DG128" s="5" t="s">
        <v>11964</v>
      </c>
      <c r="DH128" s="5" t="s">
        <v>13503</v>
      </c>
      <c r="DI128" s="5" t="s">
        <v>11994</v>
      </c>
      <c r="DJ128" s="5" t="s">
        <v>11966</v>
      </c>
      <c r="DK128" s="5" t="s">
        <v>11967</v>
      </c>
      <c r="DL128" s="5">
        <v>5</v>
      </c>
      <c r="DM128" s="5">
        <v>4</v>
      </c>
      <c r="DN128" s="5">
        <v>4</v>
      </c>
      <c r="DO128" s="5">
        <v>5</v>
      </c>
      <c r="DP128" s="5">
        <v>3</v>
      </c>
      <c r="DQ128" s="5">
        <v>2</v>
      </c>
      <c r="DR128" s="5">
        <v>0</v>
      </c>
      <c r="DS128" s="5">
        <v>73</v>
      </c>
      <c r="DT128" s="5" t="s">
        <v>11968</v>
      </c>
      <c r="DU128" s="5" t="s">
        <v>11969</v>
      </c>
      <c r="DV128" s="5" t="s">
        <v>11970</v>
      </c>
      <c r="DW128" s="5"/>
      <c r="DX128" s="5">
        <v>22</v>
      </c>
      <c r="DY128" s="5"/>
      <c r="DZ128" s="5">
        <v>100</v>
      </c>
      <c r="EA128" s="5"/>
      <c r="EB128" s="5">
        <v>0.22</v>
      </c>
      <c r="EC128" s="5"/>
      <c r="ED128" s="5" t="s">
        <v>11971</v>
      </c>
      <c r="EE128" s="5"/>
      <c r="EF128" s="5" t="s">
        <v>11997</v>
      </c>
      <c r="EG128" s="5"/>
      <c r="EH128" s="5" t="s">
        <v>11997</v>
      </c>
      <c r="EI128" s="5"/>
      <c r="EJ128" s="5" t="s">
        <v>11997</v>
      </c>
      <c r="EK128" s="5"/>
      <c r="EL128" s="5" t="s">
        <v>11997</v>
      </c>
      <c r="EM128" s="5"/>
      <c r="EN128" s="5" t="s">
        <v>11997</v>
      </c>
      <c r="EO128" s="5"/>
      <c r="EP128" s="5" t="s">
        <v>11998</v>
      </c>
      <c r="EQ128" s="5"/>
      <c r="ER128" s="5" t="s">
        <v>11997</v>
      </c>
      <c r="ES128" s="5"/>
      <c r="ET128" s="5" t="s">
        <v>11972</v>
      </c>
      <c r="EU128" s="5"/>
      <c r="EV128" s="5"/>
      <c r="EW128" s="5"/>
      <c r="EX128" s="5"/>
      <c r="EY128" s="5" t="s">
        <v>6931</v>
      </c>
      <c r="EZ128" s="5"/>
      <c r="FA128" s="5" t="s">
        <v>1448</v>
      </c>
      <c r="FB128" s="5"/>
    </row>
    <row r="129" spans="1:158" ht="114.75">
      <c r="A129" s="5" t="s">
        <v>1450</v>
      </c>
      <c r="B129" s="5" t="s">
        <v>1451</v>
      </c>
      <c r="C129" s="5" t="s">
        <v>11952</v>
      </c>
      <c r="D129" s="5" t="s">
        <v>1452</v>
      </c>
      <c r="E129" s="5" t="s">
        <v>11953</v>
      </c>
      <c r="F129" s="5" t="s">
        <v>11954</v>
      </c>
      <c r="G129" s="5" t="s">
        <v>11955</v>
      </c>
      <c r="H129" s="5" t="s">
        <v>11235</v>
      </c>
      <c r="I129" s="5" t="s">
        <v>1286</v>
      </c>
      <c r="J129" s="5" t="s">
        <v>3510</v>
      </c>
      <c r="K129" s="5" t="s">
        <v>11956</v>
      </c>
      <c r="L129" s="5" t="s">
        <v>1460</v>
      </c>
      <c r="M129" s="5" t="s">
        <v>11952</v>
      </c>
      <c r="N129" s="5" t="s">
        <v>11952</v>
      </c>
      <c r="O129" s="5" t="s">
        <v>11952</v>
      </c>
      <c r="P129" s="5" t="s">
        <v>11952</v>
      </c>
      <c r="Q129" s="5" t="s">
        <v>1460</v>
      </c>
      <c r="R129" s="5" t="s">
        <v>11952</v>
      </c>
      <c r="S129" s="5" t="s">
        <v>11952</v>
      </c>
      <c r="T129" s="5" t="s">
        <v>13504</v>
      </c>
      <c r="U129" s="5" t="s">
        <v>2854</v>
      </c>
      <c r="V129" s="5" t="s">
        <v>13505</v>
      </c>
      <c r="W129" s="5" t="s">
        <v>121</v>
      </c>
      <c r="X129" s="5" t="s">
        <v>121</v>
      </c>
      <c r="Y129" s="5" t="s">
        <v>121</v>
      </c>
      <c r="Z129" s="5" t="s">
        <v>121</v>
      </c>
      <c r="AA129" s="5" t="s">
        <v>11981</v>
      </c>
      <c r="AB129" s="5" t="s">
        <v>121</v>
      </c>
      <c r="AC129" s="5" t="s">
        <v>121</v>
      </c>
      <c r="AD129" s="5" t="s">
        <v>121</v>
      </c>
      <c r="AE129" s="5" t="s">
        <v>121</v>
      </c>
      <c r="AF129" s="5" t="s">
        <v>121</v>
      </c>
      <c r="AG129" s="5" t="s">
        <v>13506</v>
      </c>
      <c r="AH129" s="5" t="s">
        <v>121</v>
      </c>
      <c r="AI129" s="5" t="s">
        <v>121</v>
      </c>
      <c r="AJ129" s="5" t="s">
        <v>121</v>
      </c>
      <c r="AK129" s="5" t="s">
        <v>121</v>
      </c>
      <c r="AL129" s="5" t="s">
        <v>121</v>
      </c>
      <c r="AM129" s="5" t="s">
        <v>121</v>
      </c>
      <c r="AN129" s="5" t="s">
        <v>121</v>
      </c>
      <c r="AO129" s="5" t="s">
        <v>121</v>
      </c>
      <c r="AP129" s="5" t="s">
        <v>13507</v>
      </c>
      <c r="AQ129" s="5" t="s">
        <v>121</v>
      </c>
      <c r="AR129" s="5" t="s">
        <v>13508</v>
      </c>
      <c r="AS129" s="5" t="s">
        <v>1458</v>
      </c>
      <c r="AT129" s="5" t="s">
        <v>13509</v>
      </c>
      <c r="AU129" s="5" t="s">
        <v>1454</v>
      </c>
      <c r="AV129" s="5" t="s">
        <v>121</v>
      </c>
      <c r="AW129" s="5" t="s">
        <v>121</v>
      </c>
      <c r="AX129" s="5" t="s">
        <v>121</v>
      </c>
      <c r="AY129" s="5" t="s">
        <v>121</v>
      </c>
      <c r="AZ129" s="5" t="s">
        <v>121</v>
      </c>
      <c r="BA129" s="5" t="s">
        <v>121</v>
      </c>
      <c r="BB129" s="5" t="s">
        <v>2854</v>
      </c>
      <c r="BC129" s="5" t="s">
        <v>2854</v>
      </c>
      <c r="BD129" s="5" t="s">
        <v>13408</v>
      </c>
      <c r="BE129" s="5" t="s">
        <v>121</v>
      </c>
      <c r="BF129" s="5" t="s">
        <v>121</v>
      </c>
      <c r="BG129" s="5" t="s">
        <v>121</v>
      </c>
      <c r="BH129" s="5" t="s">
        <v>13510</v>
      </c>
      <c r="BI129" s="5" t="s">
        <v>121</v>
      </c>
      <c r="BJ129" s="5" t="s">
        <v>1455</v>
      </c>
      <c r="BK129" s="5" t="s">
        <v>121</v>
      </c>
      <c r="BL129" s="5" t="s">
        <v>13511</v>
      </c>
      <c r="BM129" s="5" t="s">
        <v>13511</v>
      </c>
      <c r="BN129" s="5" t="s">
        <v>1456</v>
      </c>
      <c r="BO129" s="5" t="s">
        <v>121</v>
      </c>
      <c r="BP129" s="5" t="s">
        <v>121</v>
      </c>
      <c r="BQ129" s="5" t="s">
        <v>121</v>
      </c>
      <c r="BR129" s="5" t="s">
        <v>2854</v>
      </c>
      <c r="BS129" s="5" t="s">
        <v>121</v>
      </c>
      <c r="BT129" s="5" t="s">
        <v>121</v>
      </c>
      <c r="BU129" s="5" t="s">
        <v>121</v>
      </c>
      <c r="BV129" s="5" t="s">
        <v>3510</v>
      </c>
      <c r="BW129" s="5" t="s">
        <v>3510</v>
      </c>
      <c r="BX129" s="5" t="s">
        <v>3510</v>
      </c>
      <c r="BY129" s="5" t="s">
        <v>12262</v>
      </c>
      <c r="BZ129" s="5" t="s">
        <v>13512</v>
      </c>
      <c r="CA129" s="5" t="s">
        <v>121</v>
      </c>
      <c r="CB129" s="5" t="s">
        <v>121</v>
      </c>
      <c r="CC129" s="5" t="s">
        <v>1453</v>
      </c>
      <c r="CD129" s="5" t="s">
        <v>121</v>
      </c>
      <c r="CE129" s="5" t="s">
        <v>121</v>
      </c>
      <c r="CF129" s="5" t="s">
        <v>11958</v>
      </c>
      <c r="CG129" s="5" t="s">
        <v>121</v>
      </c>
      <c r="CH129" s="5" t="s">
        <v>121</v>
      </c>
      <c r="CI129" s="5" t="s">
        <v>11959</v>
      </c>
      <c r="CJ129" s="5" t="s">
        <v>124</v>
      </c>
      <c r="CK129" s="5" t="s">
        <v>1457</v>
      </c>
      <c r="CL129" s="5" t="s">
        <v>3510</v>
      </c>
      <c r="CM129" s="5" t="s">
        <v>124</v>
      </c>
      <c r="CN129" s="5" t="s">
        <v>121</v>
      </c>
      <c r="CO129" s="5" t="s">
        <v>121</v>
      </c>
      <c r="CP129" s="5" t="s">
        <v>3510</v>
      </c>
      <c r="CQ129" s="5" t="s">
        <v>1459</v>
      </c>
      <c r="CR129" s="5" t="s">
        <v>11960</v>
      </c>
      <c r="CS129" s="5" t="s">
        <v>3510</v>
      </c>
      <c r="CT129" s="5" t="s">
        <v>3510</v>
      </c>
      <c r="CU129" s="5" t="s">
        <v>3510</v>
      </c>
      <c r="CV129" s="5" t="s">
        <v>11952</v>
      </c>
      <c r="CW129" s="5" t="s">
        <v>11952</v>
      </c>
      <c r="CX129" s="5" t="s">
        <v>13346</v>
      </c>
      <c r="CY129" s="5" t="s">
        <v>13513</v>
      </c>
      <c r="CZ129" s="5" t="s">
        <v>3510</v>
      </c>
      <c r="DA129" s="5" t="s">
        <v>11952</v>
      </c>
      <c r="DB129" s="5" t="s">
        <v>11963</v>
      </c>
      <c r="DC129" s="5" t="s">
        <v>11963</v>
      </c>
      <c r="DD129" s="5" t="s">
        <v>11963</v>
      </c>
      <c r="DE129" s="5" t="s">
        <v>11963</v>
      </c>
      <c r="DF129" s="5" t="s">
        <v>3510</v>
      </c>
      <c r="DG129" s="5" t="s">
        <v>11964</v>
      </c>
      <c r="DH129" s="5" t="s">
        <v>13514</v>
      </c>
      <c r="DI129" s="5" t="s">
        <v>11994</v>
      </c>
      <c r="DJ129" s="5" t="s">
        <v>11966</v>
      </c>
      <c r="DK129" s="5" t="s">
        <v>11967</v>
      </c>
      <c r="DL129" s="5">
        <v>4</v>
      </c>
      <c r="DM129" s="5">
        <v>4</v>
      </c>
      <c r="DN129" s="5">
        <v>4</v>
      </c>
      <c r="DO129" s="5">
        <v>2</v>
      </c>
      <c r="DP129" s="5">
        <v>1</v>
      </c>
      <c r="DQ129" s="5">
        <v>5</v>
      </c>
      <c r="DR129" s="5">
        <v>0.5</v>
      </c>
      <c r="DS129" s="5">
        <v>63</v>
      </c>
      <c r="DT129" s="5" t="s">
        <v>11968</v>
      </c>
      <c r="DU129" s="5" t="s">
        <v>11969</v>
      </c>
      <c r="DV129" s="5" t="s">
        <v>11970</v>
      </c>
      <c r="DW129" s="5"/>
      <c r="DX129" s="5">
        <v>26</v>
      </c>
      <c r="DY129" s="5"/>
      <c r="DZ129" s="5">
        <v>100</v>
      </c>
      <c r="EA129" s="5"/>
      <c r="EB129" s="5">
        <v>0.26</v>
      </c>
      <c r="EC129" s="5"/>
      <c r="ED129" s="5" t="s">
        <v>11971</v>
      </c>
      <c r="EE129" s="5"/>
      <c r="EF129" s="5" t="s">
        <v>11997</v>
      </c>
      <c r="EG129" s="5"/>
      <c r="EH129" s="5" t="s">
        <v>11997</v>
      </c>
      <c r="EI129" s="5"/>
      <c r="EJ129" s="5" t="s">
        <v>11997</v>
      </c>
      <c r="EK129" s="5"/>
      <c r="EL129" s="5" t="s">
        <v>11997</v>
      </c>
      <c r="EM129" s="5"/>
      <c r="EN129" s="5" t="s">
        <v>11997</v>
      </c>
      <c r="EO129" s="5"/>
      <c r="EP129" s="5" t="s">
        <v>11998</v>
      </c>
      <c r="EQ129" s="5"/>
      <c r="ER129" s="5" t="s">
        <v>11997</v>
      </c>
      <c r="ES129" s="5"/>
      <c r="ET129" s="5" t="s">
        <v>11972</v>
      </c>
      <c r="EU129" s="5"/>
      <c r="EV129" s="5"/>
      <c r="EW129" s="5"/>
      <c r="EX129" s="5"/>
      <c r="EY129" s="5" t="s">
        <v>6963</v>
      </c>
      <c r="EZ129" s="5"/>
      <c r="FA129" s="5" t="s">
        <v>1460</v>
      </c>
      <c r="FB129" s="5"/>
    </row>
    <row r="130" spans="1:158" ht="63.75">
      <c r="A130" s="5" t="s">
        <v>1462</v>
      </c>
      <c r="B130" s="5" t="s">
        <v>1463</v>
      </c>
      <c r="C130" s="5" t="s">
        <v>11952</v>
      </c>
      <c r="D130" s="5" t="s">
        <v>119</v>
      </c>
      <c r="E130" s="5" t="s">
        <v>11953</v>
      </c>
      <c r="F130" s="5" t="s">
        <v>11954</v>
      </c>
      <c r="G130" s="5" t="s">
        <v>11955</v>
      </c>
      <c r="H130" s="5" t="s">
        <v>11237</v>
      </c>
      <c r="I130" s="5" t="s">
        <v>1286</v>
      </c>
      <c r="J130" s="5" t="s">
        <v>3510</v>
      </c>
      <c r="K130" s="5" t="s">
        <v>11956</v>
      </c>
      <c r="L130" s="5" t="s">
        <v>1467</v>
      </c>
      <c r="M130" s="5" t="s">
        <v>11952</v>
      </c>
      <c r="N130" s="5" t="s">
        <v>11952</v>
      </c>
      <c r="O130" s="5" t="s">
        <v>11952</v>
      </c>
      <c r="P130" s="5" t="s">
        <v>11952</v>
      </c>
      <c r="Q130" s="5" t="s">
        <v>1467</v>
      </c>
      <c r="R130" s="5" t="s">
        <v>11952</v>
      </c>
      <c r="S130" s="5" t="s">
        <v>11952</v>
      </c>
      <c r="T130" s="5" t="s">
        <v>13515</v>
      </c>
      <c r="U130" s="5" t="s">
        <v>3510</v>
      </c>
      <c r="V130" s="5" t="s">
        <v>121</v>
      </c>
      <c r="W130" s="5" t="s">
        <v>121</v>
      </c>
      <c r="X130" s="5" t="s">
        <v>121</v>
      </c>
      <c r="Y130" s="5" t="s">
        <v>121</v>
      </c>
      <c r="Z130" s="5" t="s">
        <v>11952</v>
      </c>
      <c r="AA130" s="5" t="s">
        <v>11952</v>
      </c>
      <c r="AB130" s="5" t="s">
        <v>121</v>
      </c>
      <c r="AC130" s="5" t="s">
        <v>121</v>
      </c>
      <c r="AD130" s="5" t="s">
        <v>121</v>
      </c>
      <c r="AE130" s="5" t="s">
        <v>121</v>
      </c>
      <c r="AF130" s="5" t="s">
        <v>121</v>
      </c>
      <c r="AG130" s="5" t="s">
        <v>121</v>
      </c>
      <c r="AH130" s="5" t="s">
        <v>121</v>
      </c>
      <c r="AI130" s="5" t="s">
        <v>121</v>
      </c>
      <c r="AJ130" s="5" t="s">
        <v>121</v>
      </c>
      <c r="AK130" s="5" t="s">
        <v>121</v>
      </c>
      <c r="AL130" s="5" t="s">
        <v>121</v>
      </c>
      <c r="AM130" s="5" t="s">
        <v>121</v>
      </c>
      <c r="AN130" s="5" t="s">
        <v>121</v>
      </c>
      <c r="AO130" s="5" t="s">
        <v>121</v>
      </c>
      <c r="AP130" s="5" t="s">
        <v>1827</v>
      </c>
      <c r="AQ130" s="5" t="s">
        <v>121</v>
      </c>
      <c r="AR130" s="5" t="s">
        <v>121</v>
      </c>
      <c r="AS130" s="5" t="s">
        <v>1465</v>
      </c>
      <c r="AT130" s="5" t="s">
        <v>121</v>
      </c>
      <c r="AU130" s="5" t="s">
        <v>121</v>
      </c>
      <c r="AV130" s="5" t="s">
        <v>121</v>
      </c>
      <c r="AW130" s="5" t="s">
        <v>121</v>
      </c>
      <c r="AX130" s="5" t="s">
        <v>121</v>
      </c>
      <c r="AY130" s="5" t="s">
        <v>121</v>
      </c>
      <c r="AZ130" s="5" t="s">
        <v>121</v>
      </c>
      <c r="BA130" s="5" t="s">
        <v>121</v>
      </c>
      <c r="BB130" s="5" t="s">
        <v>121</v>
      </c>
      <c r="BC130" s="5" t="s">
        <v>121</v>
      </c>
      <c r="BD130" s="5" t="s">
        <v>121</v>
      </c>
      <c r="BE130" s="5" t="s">
        <v>121</v>
      </c>
      <c r="BF130" s="5" t="s">
        <v>121</v>
      </c>
      <c r="BG130" s="5" t="s">
        <v>121</v>
      </c>
      <c r="BH130" s="5" t="s">
        <v>13516</v>
      </c>
      <c r="BI130" s="5" t="s">
        <v>13516</v>
      </c>
      <c r="BJ130" s="5" t="s">
        <v>1464</v>
      </c>
      <c r="BK130" s="5" t="s">
        <v>121</v>
      </c>
      <c r="BL130" s="5" t="s">
        <v>13517</v>
      </c>
      <c r="BM130" s="5" t="s">
        <v>13517</v>
      </c>
      <c r="BN130" s="5" t="s">
        <v>121</v>
      </c>
      <c r="BO130" s="5" t="s">
        <v>121</v>
      </c>
      <c r="BP130" s="5" t="s">
        <v>2854</v>
      </c>
      <c r="BQ130" s="5" t="s">
        <v>121</v>
      </c>
      <c r="BR130" s="5" t="s">
        <v>121</v>
      </c>
      <c r="BS130" s="5" t="s">
        <v>121</v>
      </c>
      <c r="BT130" s="5" t="s">
        <v>121</v>
      </c>
      <c r="BU130" s="5" t="s">
        <v>121</v>
      </c>
      <c r="BV130" s="5" t="s">
        <v>3510</v>
      </c>
      <c r="BW130" s="5" t="s">
        <v>3510</v>
      </c>
      <c r="BX130" s="5" t="s">
        <v>3510</v>
      </c>
      <c r="BY130" s="5" t="s">
        <v>121</v>
      </c>
      <c r="BZ130" s="5" t="s">
        <v>121</v>
      </c>
      <c r="CA130" s="5" t="s">
        <v>121</v>
      </c>
      <c r="CB130" s="5" t="s">
        <v>121</v>
      </c>
      <c r="CC130" s="5" t="s">
        <v>120</v>
      </c>
      <c r="CD130" s="5" t="s">
        <v>121</v>
      </c>
      <c r="CE130" s="5" t="s">
        <v>121</v>
      </c>
      <c r="CF130" s="5" t="s">
        <v>11958</v>
      </c>
      <c r="CG130" s="5" t="s">
        <v>121</v>
      </c>
      <c r="CH130" s="5" t="s">
        <v>121</v>
      </c>
      <c r="CI130" s="5" t="s">
        <v>11959</v>
      </c>
      <c r="CJ130" s="5" t="s">
        <v>159</v>
      </c>
      <c r="CK130" s="5" t="s">
        <v>121</v>
      </c>
      <c r="CL130" s="5" t="s">
        <v>121</v>
      </c>
      <c r="CM130" s="5" t="s">
        <v>159</v>
      </c>
      <c r="CN130" s="5" t="s">
        <v>121</v>
      </c>
      <c r="CO130" s="5" t="s">
        <v>121</v>
      </c>
      <c r="CP130" s="5" t="s">
        <v>3510</v>
      </c>
      <c r="CQ130" s="5" t="s">
        <v>1466</v>
      </c>
      <c r="CR130" s="5" t="s">
        <v>11960</v>
      </c>
      <c r="CS130" s="5" t="s">
        <v>3510</v>
      </c>
      <c r="CT130" s="5" t="s">
        <v>3510</v>
      </c>
      <c r="CU130" s="5" t="s">
        <v>3510</v>
      </c>
      <c r="CV130" s="5" t="s">
        <v>11952</v>
      </c>
      <c r="CW130" s="5" t="s">
        <v>11952</v>
      </c>
      <c r="CX130" s="5" t="s">
        <v>13464</v>
      </c>
      <c r="CY130" s="5" t="s">
        <v>13518</v>
      </c>
      <c r="CZ130" s="5" t="s">
        <v>11952</v>
      </c>
      <c r="DA130" s="5" t="s">
        <v>3510</v>
      </c>
      <c r="DB130" s="5" t="s">
        <v>11963</v>
      </c>
      <c r="DC130" s="5" t="s">
        <v>11963</v>
      </c>
      <c r="DD130" s="5" t="s">
        <v>11963</v>
      </c>
      <c r="DE130" s="5" t="s">
        <v>11963</v>
      </c>
      <c r="DF130" s="5" t="s">
        <v>3510</v>
      </c>
      <c r="DG130" s="5" t="s">
        <v>11964</v>
      </c>
      <c r="DH130" s="5" t="s">
        <v>13519</v>
      </c>
      <c r="DI130" s="5" t="s">
        <v>11966</v>
      </c>
      <c r="DJ130" s="5" t="s">
        <v>11966</v>
      </c>
      <c r="DK130" s="5" t="s">
        <v>11967</v>
      </c>
      <c r="DL130" s="5">
        <v>1</v>
      </c>
      <c r="DM130" s="5">
        <v>1</v>
      </c>
      <c r="DN130" s="5">
        <v>1.5</v>
      </c>
      <c r="DO130" s="5">
        <v>0</v>
      </c>
      <c r="DP130" s="5">
        <v>1</v>
      </c>
      <c r="DQ130" s="5">
        <v>0</v>
      </c>
      <c r="DR130" s="5">
        <v>0</v>
      </c>
      <c r="DS130" s="5">
        <v>14.5</v>
      </c>
      <c r="DT130" s="5" t="s">
        <v>11968</v>
      </c>
      <c r="DU130" s="5" t="s">
        <v>11969</v>
      </c>
      <c r="DV130" s="5" t="s">
        <v>11970</v>
      </c>
      <c r="DW130" s="5"/>
      <c r="DX130" s="5">
        <v>4</v>
      </c>
      <c r="DY130" s="5"/>
      <c r="DZ130" s="5">
        <v>100</v>
      </c>
      <c r="EA130" s="5"/>
      <c r="EB130" s="5">
        <v>0.04</v>
      </c>
      <c r="EC130" s="5"/>
      <c r="ED130" s="5" t="s">
        <v>11971</v>
      </c>
      <c r="EE130" s="5"/>
      <c r="EF130" s="5" t="s">
        <v>11997</v>
      </c>
      <c r="EG130" s="5"/>
      <c r="EH130" s="5" t="s">
        <v>11997</v>
      </c>
      <c r="EI130" s="5"/>
      <c r="EJ130" s="5" t="s">
        <v>11997</v>
      </c>
      <c r="EK130" s="5"/>
      <c r="EL130" s="5" t="s">
        <v>11997</v>
      </c>
      <c r="EM130" s="5"/>
      <c r="EN130" s="5" t="s">
        <v>11997</v>
      </c>
      <c r="EO130" s="5"/>
      <c r="EP130" s="5" t="s">
        <v>11998</v>
      </c>
      <c r="EQ130" s="5"/>
      <c r="ER130" s="5" t="s">
        <v>11997</v>
      </c>
      <c r="ES130" s="5"/>
      <c r="ET130" s="5" t="s">
        <v>11972</v>
      </c>
      <c r="EU130" s="5"/>
      <c r="EV130" s="5"/>
      <c r="EW130" s="5"/>
      <c r="EX130" s="5"/>
      <c r="EY130" s="5" t="s">
        <v>6996</v>
      </c>
      <c r="EZ130" s="5"/>
      <c r="FA130" s="5" t="s">
        <v>1467</v>
      </c>
      <c r="FB130" s="5"/>
    </row>
    <row r="131" spans="1:158" ht="165.75">
      <c r="A131" s="5" t="s">
        <v>1469</v>
      </c>
      <c r="B131" s="5" t="s">
        <v>1470</v>
      </c>
      <c r="C131" s="5" t="s">
        <v>13520</v>
      </c>
      <c r="D131" s="5" t="s">
        <v>121</v>
      </c>
      <c r="E131" s="5" t="s">
        <v>12011</v>
      </c>
      <c r="F131" s="5" t="s">
        <v>11994</v>
      </c>
      <c r="G131" s="5" t="s">
        <v>13521</v>
      </c>
      <c r="H131" s="5" t="s">
        <v>12973</v>
      </c>
      <c r="I131" s="5" t="s">
        <v>1286</v>
      </c>
      <c r="J131" s="5" t="s">
        <v>3510</v>
      </c>
      <c r="K131" s="5" t="s">
        <v>13358</v>
      </c>
      <c r="L131" s="5" t="s">
        <v>1478</v>
      </c>
      <c r="M131" s="5" t="s">
        <v>11952</v>
      </c>
      <c r="N131" s="5" t="s">
        <v>11952</v>
      </c>
      <c r="O131" s="5" t="s">
        <v>11952</v>
      </c>
      <c r="P131" s="5" t="s">
        <v>11952</v>
      </c>
      <c r="Q131" s="5" t="s">
        <v>1478</v>
      </c>
      <c r="R131" s="5" t="s">
        <v>11952</v>
      </c>
      <c r="S131" s="5" t="s">
        <v>11952</v>
      </c>
      <c r="T131" s="5" t="s">
        <v>13522</v>
      </c>
      <c r="U131" s="5" t="s">
        <v>3510</v>
      </c>
      <c r="V131" s="5" t="s">
        <v>121</v>
      </c>
      <c r="W131" s="5" t="s">
        <v>121</v>
      </c>
      <c r="X131" s="5" t="s">
        <v>121</v>
      </c>
      <c r="Y131" s="5" t="s">
        <v>121</v>
      </c>
      <c r="Z131" s="5" t="s">
        <v>11952</v>
      </c>
      <c r="AA131" s="5" t="s">
        <v>11952</v>
      </c>
      <c r="AB131" s="5" t="s">
        <v>155</v>
      </c>
      <c r="AC131" s="5" t="s">
        <v>1475</v>
      </c>
      <c r="AD131" s="5" t="s">
        <v>121</v>
      </c>
      <c r="AE131" s="5" t="s">
        <v>121</v>
      </c>
      <c r="AF131" s="5" t="s">
        <v>1475</v>
      </c>
      <c r="AG131" s="5" t="s">
        <v>121</v>
      </c>
      <c r="AH131" s="5" t="s">
        <v>121</v>
      </c>
      <c r="AI131" s="5" t="s">
        <v>121</v>
      </c>
      <c r="AJ131" s="5" t="s">
        <v>121</v>
      </c>
      <c r="AK131" s="5" t="s">
        <v>121</v>
      </c>
      <c r="AL131" s="5" t="s">
        <v>121</v>
      </c>
      <c r="AM131" s="5" t="s">
        <v>121</v>
      </c>
      <c r="AN131" s="5" t="s">
        <v>121</v>
      </c>
      <c r="AO131" s="5" t="s">
        <v>121</v>
      </c>
      <c r="AP131" s="5" t="s">
        <v>13523</v>
      </c>
      <c r="AQ131" s="5" t="s">
        <v>121</v>
      </c>
      <c r="AR131" s="5" t="s">
        <v>13524</v>
      </c>
      <c r="AS131" s="5" t="s">
        <v>1476</v>
      </c>
      <c r="AT131" s="5" t="s">
        <v>121</v>
      </c>
      <c r="AU131" s="5" t="s">
        <v>1472</v>
      </c>
      <c r="AV131" s="5" t="s">
        <v>12003</v>
      </c>
      <c r="AW131" s="5" t="s">
        <v>121</v>
      </c>
      <c r="AX131" s="5" t="s">
        <v>121</v>
      </c>
      <c r="AY131" s="5" t="s">
        <v>121</v>
      </c>
      <c r="AZ131" s="5" t="s">
        <v>121</v>
      </c>
      <c r="BA131" s="5" t="s">
        <v>121</v>
      </c>
      <c r="BB131" s="5" t="s">
        <v>3510</v>
      </c>
      <c r="BC131" s="5" t="s">
        <v>3510</v>
      </c>
      <c r="BD131" s="5" t="s">
        <v>121</v>
      </c>
      <c r="BE131" s="5" t="s">
        <v>121</v>
      </c>
      <c r="BF131" s="5" t="s">
        <v>121</v>
      </c>
      <c r="BG131" s="5" t="s">
        <v>121</v>
      </c>
      <c r="BH131" s="5" t="s">
        <v>13525</v>
      </c>
      <c r="BI131" s="5" t="s">
        <v>121</v>
      </c>
      <c r="BJ131" s="5" t="s">
        <v>1473</v>
      </c>
      <c r="BK131" s="5" t="s">
        <v>121</v>
      </c>
      <c r="BL131" s="5" t="s">
        <v>1471</v>
      </c>
      <c r="BM131" s="5" t="s">
        <v>1471</v>
      </c>
      <c r="BN131" s="5" t="s">
        <v>1474</v>
      </c>
      <c r="BO131" s="5" t="s">
        <v>1474</v>
      </c>
      <c r="BP131" s="5" t="s">
        <v>2854</v>
      </c>
      <c r="BQ131" s="5" t="s">
        <v>2854</v>
      </c>
      <c r="BR131" s="5" t="s">
        <v>121</v>
      </c>
      <c r="BS131" s="5" t="s">
        <v>121</v>
      </c>
      <c r="BT131" s="5" t="s">
        <v>121</v>
      </c>
      <c r="BU131" s="5" t="s">
        <v>121</v>
      </c>
      <c r="BV131" s="5" t="s">
        <v>3510</v>
      </c>
      <c r="BW131" s="5" t="s">
        <v>3510</v>
      </c>
      <c r="BX131" s="5" t="s">
        <v>3510</v>
      </c>
      <c r="BY131" s="5" t="s">
        <v>121</v>
      </c>
      <c r="BZ131" s="5" t="s">
        <v>121</v>
      </c>
      <c r="CA131" s="5" t="s">
        <v>121</v>
      </c>
      <c r="CB131" s="5" t="s">
        <v>121</v>
      </c>
      <c r="CC131" s="5" t="s">
        <v>1471</v>
      </c>
      <c r="CD131" s="5" t="s">
        <v>121</v>
      </c>
      <c r="CE131" s="5" t="s">
        <v>121</v>
      </c>
      <c r="CF131" s="5" t="s">
        <v>11958</v>
      </c>
      <c r="CG131" s="5" t="s">
        <v>121</v>
      </c>
      <c r="CH131" s="5" t="s">
        <v>121</v>
      </c>
      <c r="CI131" s="5" t="s">
        <v>12034</v>
      </c>
      <c r="CJ131" s="5" t="s">
        <v>124</v>
      </c>
      <c r="CK131" s="5" t="s">
        <v>1327</v>
      </c>
      <c r="CL131" s="5" t="s">
        <v>3510</v>
      </c>
      <c r="CM131" s="5" t="s">
        <v>124</v>
      </c>
      <c r="CN131" s="5" t="s">
        <v>121</v>
      </c>
      <c r="CO131" s="5" t="s">
        <v>121</v>
      </c>
      <c r="CP131" s="5" t="s">
        <v>3510</v>
      </c>
      <c r="CQ131" s="5" t="s">
        <v>1477</v>
      </c>
      <c r="CR131" s="5" t="s">
        <v>11960</v>
      </c>
      <c r="CS131" s="5" t="s">
        <v>3510</v>
      </c>
      <c r="CT131" s="5" t="s">
        <v>3510</v>
      </c>
      <c r="CU131" s="5" t="s">
        <v>3510</v>
      </c>
      <c r="CV131" s="5" t="s">
        <v>11952</v>
      </c>
      <c r="CW131" s="5" t="s">
        <v>11952</v>
      </c>
      <c r="CX131" s="5" t="s">
        <v>13398</v>
      </c>
      <c r="CY131" s="5" t="s">
        <v>13526</v>
      </c>
      <c r="CZ131" s="5" t="s">
        <v>11989</v>
      </c>
      <c r="DA131" s="5" t="s">
        <v>11952</v>
      </c>
      <c r="DB131" s="5" t="s">
        <v>11963</v>
      </c>
      <c r="DC131" s="5" t="s">
        <v>13527</v>
      </c>
      <c r="DD131" s="5" t="s">
        <v>11963</v>
      </c>
      <c r="DE131" s="5" t="s">
        <v>13528</v>
      </c>
      <c r="DF131" s="5" t="s">
        <v>3510</v>
      </c>
      <c r="DG131" s="5" t="s">
        <v>12986</v>
      </c>
      <c r="DH131" s="5" t="s">
        <v>13529</v>
      </c>
      <c r="DI131" s="5" t="s">
        <v>11975</v>
      </c>
      <c r="DJ131" s="5" t="s">
        <v>11966</v>
      </c>
      <c r="DK131" s="5" t="s">
        <v>12176</v>
      </c>
      <c r="DL131" s="5">
        <v>5</v>
      </c>
      <c r="DM131" s="5">
        <v>2</v>
      </c>
      <c r="DN131" s="5">
        <v>2.2000000000000002</v>
      </c>
      <c r="DO131" s="5">
        <v>4.5</v>
      </c>
      <c r="DP131" s="5">
        <v>2</v>
      </c>
      <c r="DQ131" s="5">
        <v>1</v>
      </c>
      <c r="DR131" s="5">
        <v>1</v>
      </c>
      <c r="DS131" s="5">
        <v>56.1</v>
      </c>
      <c r="DT131" s="5" t="s">
        <v>11968</v>
      </c>
      <c r="DU131" s="5" t="s">
        <v>12116</v>
      </c>
      <c r="DV131" s="5" t="s">
        <v>11970</v>
      </c>
      <c r="DW131" s="5"/>
      <c r="DX131" s="5">
        <v>24</v>
      </c>
      <c r="DY131" s="5"/>
      <c r="DZ131" s="5">
        <v>100</v>
      </c>
      <c r="EA131" s="5"/>
      <c r="EB131" s="5">
        <v>0.24</v>
      </c>
      <c r="EC131" s="5"/>
      <c r="ED131" s="5" t="s">
        <v>11971</v>
      </c>
      <c r="EE131" s="5"/>
      <c r="EF131" s="5" t="s">
        <v>11997</v>
      </c>
      <c r="EG131" s="5"/>
      <c r="EH131" s="5" t="s">
        <v>11997</v>
      </c>
      <c r="EI131" s="5"/>
      <c r="EJ131" s="5" t="s">
        <v>11997</v>
      </c>
      <c r="EK131" s="5"/>
      <c r="EL131" s="5" t="s">
        <v>11997</v>
      </c>
      <c r="EM131" s="5"/>
      <c r="EN131" s="5" t="s">
        <v>11997</v>
      </c>
      <c r="EO131" s="5"/>
      <c r="EP131" s="5" t="s">
        <v>11998</v>
      </c>
      <c r="EQ131" s="5"/>
      <c r="ER131" s="5" t="s">
        <v>11997</v>
      </c>
      <c r="ES131" s="5"/>
      <c r="ET131" s="5" t="s">
        <v>11972</v>
      </c>
      <c r="EU131" s="5"/>
      <c r="EV131" s="5"/>
      <c r="EW131" s="5"/>
      <c r="EX131" s="5"/>
      <c r="EY131" s="5" t="s">
        <v>7022</v>
      </c>
      <c r="EZ131" s="5"/>
      <c r="FA131" s="5" t="s">
        <v>1478</v>
      </c>
      <c r="FB131" s="5"/>
    </row>
    <row r="132" spans="1:158" ht="89.25">
      <c r="A132" s="5" t="s">
        <v>1480</v>
      </c>
      <c r="B132" s="5" t="s">
        <v>1481</v>
      </c>
      <c r="C132" s="5" t="s">
        <v>11952</v>
      </c>
      <c r="D132" s="5" t="s">
        <v>556</v>
      </c>
      <c r="E132" s="5" t="s">
        <v>11953</v>
      </c>
      <c r="F132" s="5" t="s">
        <v>11954</v>
      </c>
      <c r="G132" s="5" t="s">
        <v>11955</v>
      </c>
      <c r="H132" s="5" t="s">
        <v>11235</v>
      </c>
      <c r="I132" s="5" t="s">
        <v>1286</v>
      </c>
      <c r="J132" s="5" t="s">
        <v>3510</v>
      </c>
      <c r="K132" s="5" t="s">
        <v>11956</v>
      </c>
      <c r="L132" s="5" t="s">
        <v>1486</v>
      </c>
      <c r="M132" s="5" t="s">
        <v>11952</v>
      </c>
      <c r="N132" s="5" t="s">
        <v>11952</v>
      </c>
      <c r="O132" s="5" t="s">
        <v>11952</v>
      </c>
      <c r="P132" s="5" t="s">
        <v>11952</v>
      </c>
      <c r="Q132" s="5" t="s">
        <v>1486</v>
      </c>
      <c r="R132" s="5" t="s">
        <v>11952</v>
      </c>
      <c r="S132" s="5" t="s">
        <v>11952</v>
      </c>
      <c r="T132" s="5" t="s">
        <v>13530</v>
      </c>
      <c r="U132" s="5" t="s">
        <v>3510</v>
      </c>
      <c r="V132" s="5" t="s">
        <v>121</v>
      </c>
      <c r="W132" s="5" t="s">
        <v>121</v>
      </c>
      <c r="X132" s="5" t="s">
        <v>121</v>
      </c>
      <c r="Y132" s="5" t="s">
        <v>121</v>
      </c>
      <c r="Z132" s="5" t="s">
        <v>11952</v>
      </c>
      <c r="AA132" s="5" t="s">
        <v>11952</v>
      </c>
      <c r="AB132" s="5" t="s">
        <v>155</v>
      </c>
      <c r="AC132" s="5" t="s">
        <v>1484</v>
      </c>
      <c r="AD132" s="5" t="s">
        <v>121</v>
      </c>
      <c r="AE132" s="5" t="s">
        <v>121</v>
      </c>
      <c r="AF132" s="5" t="s">
        <v>1484</v>
      </c>
      <c r="AG132" s="5" t="s">
        <v>121</v>
      </c>
      <c r="AH132" s="5" t="s">
        <v>121</v>
      </c>
      <c r="AI132" s="5" t="s">
        <v>121</v>
      </c>
      <c r="AJ132" s="5" t="s">
        <v>121</v>
      </c>
      <c r="AK132" s="5" t="s">
        <v>121</v>
      </c>
      <c r="AL132" s="5" t="s">
        <v>121</v>
      </c>
      <c r="AM132" s="5" t="s">
        <v>121</v>
      </c>
      <c r="AN132" s="5" t="s">
        <v>121</v>
      </c>
      <c r="AO132" s="5" t="s">
        <v>121</v>
      </c>
      <c r="AP132" s="5" t="s">
        <v>121</v>
      </c>
      <c r="AQ132" s="5" t="s">
        <v>121</v>
      </c>
      <c r="AR132" s="5" t="s">
        <v>121</v>
      </c>
      <c r="AS132" s="5" t="s">
        <v>121</v>
      </c>
      <c r="AT132" s="5" t="s">
        <v>121</v>
      </c>
      <c r="AU132" s="5" t="s">
        <v>1313</v>
      </c>
      <c r="AV132" s="5" t="s">
        <v>12003</v>
      </c>
      <c r="AW132" s="5" t="s">
        <v>1313</v>
      </c>
      <c r="AX132" s="5" t="s">
        <v>12159</v>
      </c>
      <c r="AY132" s="5" t="s">
        <v>121</v>
      </c>
      <c r="AZ132" s="5" t="s">
        <v>121</v>
      </c>
      <c r="BA132" s="5" t="s">
        <v>121</v>
      </c>
      <c r="BB132" s="5" t="s">
        <v>3510</v>
      </c>
      <c r="BC132" s="5" t="s">
        <v>121</v>
      </c>
      <c r="BD132" s="5" t="s">
        <v>121</v>
      </c>
      <c r="BE132" s="5" t="s">
        <v>12160</v>
      </c>
      <c r="BF132" s="5" t="s">
        <v>13531</v>
      </c>
      <c r="BG132" s="5" t="s">
        <v>121</v>
      </c>
      <c r="BH132" s="5" t="s">
        <v>13532</v>
      </c>
      <c r="BI132" s="5" t="s">
        <v>121</v>
      </c>
      <c r="BJ132" s="5" t="s">
        <v>1483</v>
      </c>
      <c r="BK132" s="5" t="s">
        <v>121</v>
      </c>
      <c r="BL132" s="5" t="s">
        <v>1186</v>
      </c>
      <c r="BM132" s="5" t="s">
        <v>1186</v>
      </c>
      <c r="BN132" s="5" t="s">
        <v>121</v>
      </c>
      <c r="BO132" s="5" t="s">
        <v>121</v>
      </c>
      <c r="BP132" s="5" t="s">
        <v>2854</v>
      </c>
      <c r="BQ132" s="5" t="s">
        <v>2854</v>
      </c>
      <c r="BR132" s="5" t="s">
        <v>121</v>
      </c>
      <c r="BS132" s="5" t="s">
        <v>121</v>
      </c>
      <c r="BT132" s="5" t="s">
        <v>121</v>
      </c>
      <c r="BU132" s="5" t="s">
        <v>121</v>
      </c>
      <c r="BV132" s="5" t="s">
        <v>3510</v>
      </c>
      <c r="BW132" s="5" t="s">
        <v>3510</v>
      </c>
      <c r="BX132" s="5" t="s">
        <v>3510</v>
      </c>
      <c r="BY132" s="5" t="s">
        <v>12262</v>
      </c>
      <c r="BZ132" s="5" t="s">
        <v>13533</v>
      </c>
      <c r="CA132" s="5" t="s">
        <v>121</v>
      </c>
      <c r="CB132" s="5" t="s">
        <v>121</v>
      </c>
      <c r="CC132" s="5" t="s">
        <v>1482</v>
      </c>
      <c r="CD132" s="5" t="s">
        <v>121</v>
      </c>
      <c r="CE132" s="5" t="s">
        <v>121</v>
      </c>
      <c r="CF132" s="5" t="s">
        <v>11958</v>
      </c>
      <c r="CG132" s="5" t="s">
        <v>121</v>
      </c>
      <c r="CH132" s="5" t="s">
        <v>121</v>
      </c>
      <c r="CI132" s="5" t="s">
        <v>12034</v>
      </c>
      <c r="CJ132" s="5" t="s">
        <v>124</v>
      </c>
      <c r="CK132" s="5" t="s">
        <v>1097</v>
      </c>
      <c r="CL132" s="5" t="s">
        <v>3510</v>
      </c>
      <c r="CM132" s="5" t="s">
        <v>124</v>
      </c>
      <c r="CN132" s="5" t="s">
        <v>121</v>
      </c>
      <c r="CO132" s="5" t="s">
        <v>121</v>
      </c>
      <c r="CP132" s="5" t="s">
        <v>3510</v>
      </c>
      <c r="CQ132" s="5" t="s">
        <v>1485</v>
      </c>
      <c r="CR132" s="5" t="s">
        <v>11960</v>
      </c>
      <c r="CS132" s="5" t="s">
        <v>3510</v>
      </c>
      <c r="CT132" s="5" t="s">
        <v>3510</v>
      </c>
      <c r="CU132" s="5" t="s">
        <v>3510</v>
      </c>
      <c r="CV132" s="5" t="s">
        <v>11952</v>
      </c>
      <c r="CW132" s="5" t="s">
        <v>11952</v>
      </c>
      <c r="CX132" s="5" t="s">
        <v>13346</v>
      </c>
      <c r="CY132" s="5" t="s">
        <v>13534</v>
      </c>
      <c r="CZ132" s="5" t="s">
        <v>3510</v>
      </c>
      <c r="DA132" s="5" t="s">
        <v>11952</v>
      </c>
      <c r="DB132" s="5" t="s">
        <v>11963</v>
      </c>
      <c r="DC132" s="5" t="s">
        <v>11963</v>
      </c>
      <c r="DD132" s="5" t="s">
        <v>11963</v>
      </c>
      <c r="DE132" s="5" t="s">
        <v>11963</v>
      </c>
      <c r="DF132" s="5" t="s">
        <v>3510</v>
      </c>
      <c r="DG132" s="5" t="s">
        <v>11964</v>
      </c>
      <c r="DH132" s="5" t="s">
        <v>13535</v>
      </c>
      <c r="DI132" s="5" t="s">
        <v>11975</v>
      </c>
      <c r="DJ132" s="5" t="s">
        <v>11966</v>
      </c>
      <c r="DK132" s="5" t="s">
        <v>11967</v>
      </c>
      <c r="DL132" s="5">
        <v>5</v>
      </c>
      <c r="DM132" s="5">
        <v>2</v>
      </c>
      <c r="DN132" s="5">
        <v>1.5</v>
      </c>
      <c r="DO132" s="5">
        <v>4</v>
      </c>
      <c r="DP132" s="5">
        <v>3</v>
      </c>
      <c r="DQ132" s="5">
        <v>1</v>
      </c>
      <c r="DR132" s="5">
        <v>0</v>
      </c>
      <c r="DS132" s="5">
        <v>52.5</v>
      </c>
      <c r="DT132" s="5" t="s">
        <v>11968</v>
      </c>
      <c r="DU132" s="5" t="s">
        <v>11969</v>
      </c>
      <c r="DV132" s="5" t="s">
        <v>11970</v>
      </c>
      <c r="DW132" s="5"/>
      <c r="DX132" s="5">
        <v>21</v>
      </c>
      <c r="DY132" s="5"/>
      <c r="DZ132" s="5">
        <v>100</v>
      </c>
      <c r="EA132" s="5"/>
      <c r="EB132" s="5">
        <v>0.21</v>
      </c>
      <c r="EC132" s="5"/>
      <c r="ED132" s="5" t="s">
        <v>11971</v>
      </c>
      <c r="EE132" s="5"/>
      <c r="EF132" s="5" t="s">
        <v>11997</v>
      </c>
      <c r="EG132" s="5"/>
      <c r="EH132" s="5" t="s">
        <v>11997</v>
      </c>
      <c r="EI132" s="5"/>
      <c r="EJ132" s="5" t="s">
        <v>11997</v>
      </c>
      <c r="EK132" s="5"/>
      <c r="EL132" s="5" t="s">
        <v>11997</v>
      </c>
      <c r="EM132" s="5"/>
      <c r="EN132" s="5" t="s">
        <v>11997</v>
      </c>
      <c r="EO132" s="5"/>
      <c r="EP132" s="5" t="s">
        <v>11998</v>
      </c>
      <c r="EQ132" s="5"/>
      <c r="ER132" s="5" t="s">
        <v>11997</v>
      </c>
      <c r="ES132" s="5"/>
      <c r="ET132" s="5" t="s">
        <v>11972</v>
      </c>
      <c r="EU132" s="5"/>
      <c r="EV132" s="5"/>
      <c r="EW132" s="5"/>
      <c r="EX132" s="5"/>
      <c r="EY132" s="5" t="s">
        <v>7053</v>
      </c>
      <c r="EZ132" s="5"/>
      <c r="FA132" s="5" t="s">
        <v>1486</v>
      </c>
      <c r="FB132" s="5"/>
    </row>
    <row r="133" spans="1:158" ht="89.25">
      <c r="A133" s="5" t="s">
        <v>1488</v>
      </c>
      <c r="B133" s="5" t="s">
        <v>1489</v>
      </c>
      <c r="C133" s="5" t="s">
        <v>11952</v>
      </c>
      <c r="D133" s="5" t="s">
        <v>121</v>
      </c>
      <c r="E133" s="5" t="s">
        <v>11953</v>
      </c>
      <c r="F133" s="5" t="s">
        <v>11954</v>
      </c>
      <c r="G133" s="5" t="s">
        <v>11955</v>
      </c>
      <c r="H133" s="5" t="s">
        <v>11235</v>
      </c>
      <c r="I133" s="5" t="s">
        <v>1286</v>
      </c>
      <c r="J133" s="5" t="s">
        <v>3510</v>
      </c>
      <c r="K133" s="5" t="s">
        <v>11956</v>
      </c>
      <c r="L133" s="5" t="s">
        <v>1493</v>
      </c>
      <c r="M133" s="5" t="s">
        <v>11952</v>
      </c>
      <c r="N133" s="5" t="s">
        <v>11952</v>
      </c>
      <c r="O133" s="5" t="s">
        <v>11952</v>
      </c>
      <c r="P133" s="5" t="s">
        <v>11952</v>
      </c>
      <c r="Q133" s="5" t="s">
        <v>1493</v>
      </c>
      <c r="R133" s="5" t="s">
        <v>11952</v>
      </c>
      <c r="S133" s="5" t="s">
        <v>11952</v>
      </c>
      <c r="T133" s="5" t="s">
        <v>13536</v>
      </c>
      <c r="U133" s="5" t="s">
        <v>2854</v>
      </c>
      <c r="V133" s="5" t="s">
        <v>13537</v>
      </c>
      <c r="W133" s="5" t="s">
        <v>121</v>
      </c>
      <c r="X133" s="5" t="s">
        <v>13537</v>
      </c>
      <c r="Y133" s="5" t="s">
        <v>121</v>
      </c>
      <c r="Z133" s="5" t="s">
        <v>121</v>
      </c>
      <c r="AA133" s="5" t="s">
        <v>11981</v>
      </c>
      <c r="AB133" s="5" t="s">
        <v>121</v>
      </c>
      <c r="AC133" s="5" t="s">
        <v>121</v>
      </c>
      <c r="AD133" s="5" t="s">
        <v>121</v>
      </c>
      <c r="AE133" s="5" t="s">
        <v>121</v>
      </c>
      <c r="AF133" s="5" t="s">
        <v>121</v>
      </c>
      <c r="AG133" s="5" t="s">
        <v>121</v>
      </c>
      <c r="AH133" s="5" t="s">
        <v>121</v>
      </c>
      <c r="AI133" s="5" t="s">
        <v>121</v>
      </c>
      <c r="AJ133" s="5" t="s">
        <v>121</v>
      </c>
      <c r="AK133" s="5" t="s">
        <v>121</v>
      </c>
      <c r="AL133" s="5" t="s">
        <v>121</v>
      </c>
      <c r="AM133" s="5" t="s">
        <v>121</v>
      </c>
      <c r="AN133" s="5" t="s">
        <v>121</v>
      </c>
      <c r="AO133" s="5" t="s">
        <v>121</v>
      </c>
      <c r="AP133" s="5" t="s">
        <v>121</v>
      </c>
      <c r="AQ133" s="5" t="s">
        <v>121</v>
      </c>
      <c r="AR133" s="5" t="s">
        <v>121</v>
      </c>
      <c r="AS133" s="5" t="s">
        <v>121</v>
      </c>
      <c r="AT133" s="5" t="s">
        <v>121</v>
      </c>
      <c r="AU133" s="5" t="s">
        <v>1491</v>
      </c>
      <c r="AV133" s="5" t="s">
        <v>12003</v>
      </c>
      <c r="AW133" s="5" t="s">
        <v>1491</v>
      </c>
      <c r="AX133" s="5" t="s">
        <v>12159</v>
      </c>
      <c r="AY133" s="5" t="s">
        <v>121</v>
      </c>
      <c r="AZ133" s="5" t="s">
        <v>121</v>
      </c>
      <c r="BA133" s="5" t="s">
        <v>121</v>
      </c>
      <c r="BB133" s="5" t="s">
        <v>2854</v>
      </c>
      <c r="BC133" s="5" t="s">
        <v>121</v>
      </c>
      <c r="BD133" s="5" t="s">
        <v>13538</v>
      </c>
      <c r="BE133" s="5" t="s">
        <v>121</v>
      </c>
      <c r="BF133" s="5" t="s">
        <v>121</v>
      </c>
      <c r="BG133" s="5" t="s">
        <v>121</v>
      </c>
      <c r="BH133" s="5" t="s">
        <v>121</v>
      </c>
      <c r="BI133" s="5" t="s">
        <v>121</v>
      </c>
      <c r="BJ133" s="5" t="s">
        <v>121</v>
      </c>
      <c r="BK133" s="5" t="s">
        <v>121</v>
      </c>
      <c r="BL133" s="5" t="s">
        <v>1490</v>
      </c>
      <c r="BM133" s="5" t="s">
        <v>1490</v>
      </c>
      <c r="BN133" s="5" t="s">
        <v>121</v>
      </c>
      <c r="BO133" s="5" t="s">
        <v>121</v>
      </c>
      <c r="BP133" s="5" t="s">
        <v>121</v>
      </c>
      <c r="BQ133" s="5" t="s">
        <v>121</v>
      </c>
      <c r="BR133" s="5" t="s">
        <v>121</v>
      </c>
      <c r="BS133" s="5" t="s">
        <v>121</v>
      </c>
      <c r="BT133" s="5" t="s">
        <v>121</v>
      </c>
      <c r="BU133" s="5" t="s">
        <v>121</v>
      </c>
      <c r="BV133" s="5" t="s">
        <v>3510</v>
      </c>
      <c r="BW133" s="5" t="s">
        <v>3510</v>
      </c>
      <c r="BX133" s="5" t="s">
        <v>3510</v>
      </c>
      <c r="BY133" s="5" t="s">
        <v>121</v>
      </c>
      <c r="BZ133" s="5" t="s">
        <v>121</v>
      </c>
      <c r="CA133" s="5" t="s">
        <v>121</v>
      </c>
      <c r="CB133" s="5" t="s">
        <v>121</v>
      </c>
      <c r="CC133" s="5" t="s">
        <v>1490</v>
      </c>
      <c r="CD133" s="5" t="s">
        <v>121</v>
      </c>
      <c r="CE133" s="5" t="s">
        <v>121</v>
      </c>
      <c r="CF133" s="5" t="s">
        <v>11958</v>
      </c>
      <c r="CG133" s="5" t="s">
        <v>121</v>
      </c>
      <c r="CH133" s="5" t="s">
        <v>121</v>
      </c>
      <c r="CI133" s="5" t="s">
        <v>11959</v>
      </c>
      <c r="CJ133" s="5" t="s">
        <v>124</v>
      </c>
      <c r="CK133" s="5" t="s">
        <v>121</v>
      </c>
      <c r="CL133" s="5" t="s">
        <v>3510</v>
      </c>
      <c r="CM133" s="5" t="s">
        <v>124</v>
      </c>
      <c r="CN133" s="5" t="s">
        <v>121</v>
      </c>
      <c r="CO133" s="5" t="s">
        <v>121</v>
      </c>
      <c r="CP133" s="5" t="s">
        <v>3510</v>
      </c>
      <c r="CQ133" s="5" t="s">
        <v>1492</v>
      </c>
      <c r="CR133" s="5" t="s">
        <v>11960</v>
      </c>
      <c r="CS133" s="5" t="s">
        <v>3510</v>
      </c>
      <c r="CT133" s="5" t="s">
        <v>3510</v>
      </c>
      <c r="CU133" s="5" t="s">
        <v>3510</v>
      </c>
      <c r="CV133" s="5" t="s">
        <v>11952</v>
      </c>
      <c r="CW133" s="5" t="s">
        <v>11952</v>
      </c>
      <c r="CX133" s="5" t="s">
        <v>13346</v>
      </c>
      <c r="CY133" s="5" t="s">
        <v>13539</v>
      </c>
      <c r="CZ133" s="5" t="s">
        <v>3510</v>
      </c>
      <c r="DA133" s="5" t="s">
        <v>11952</v>
      </c>
      <c r="DB133" s="5" t="s">
        <v>11963</v>
      </c>
      <c r="DC133" s="5" t="s">
        <v>11963</v>
      </c>
      <c r="DD133" s="5" t="s">
        <v>11963</v>
      </c>
      <c r="DE133" s="5" t="s">
        <v>11963</v>
      </c>
      <c r="DF133" s="5" t="s">
        <v>3510</v>
      </c>
      <c r="DG133" s="5" t="s">
        <v>11964</v>
      </c>
      <c r="DH133" s="5" t="s">
        <v>13540</v>
      </c>
      <c r="DI133" s="5" t="s">
        <v>11966</v>
      </c>
      <c r="DJ133" s="5" t="s">
        <v>11966</v>
      </c>
      <c r="DK133" s="5" t="s">
        <v>11967</v>
      </c>
      <c r="DL133" s="5">
        <v>4</v>
      </c>
      <c r="DM133" s="5">
        <v>1</v>
      </c>
      <c r="DN133" s="5">
        <v>2</v>
      </c>
      <c r="DO133" s="5">
        <v>2</v>
      </c>
      <c r="DP133" s="5">
        <v>2</v>
      </c>
      <c r="DQ133" s="5">
        <v>2</v>
      </c>
      <c r="DR133" s="5">
        <v>0</v>
      </c>
      <c r="DS133" s="5">
        <v>40</v>
      </c>
      <c r="DT133" s="5" t="s">
        <v>11968</v>
      </c>
      <c r="DU133" s="5" t="s">
        <v>11969</v>
      </c>
      <c r="DV133" s="5" t="s">
        <v>11970</v>
      </c>
      <c r="DW133" s="5"/>
      <c r="DX133" s="5">
        <v>17</v>
      </c>
      <c r="DY133" s="5"/>
      <c r="DZ133" s="5">
        <v>100</v>
      </c>
      <c r="EA133" s="5"/>
      <c r="EB133" s="5">
        <v>0.17</v>
      </c>
      <c r="EC133" s="5"/>
      <c r="ED133" s="5" t="s">
        <v>11971</v>
      </c>
      <c r="EE133" s="5"/>
      <c r="EF133" s="5" t="s">
        <v>11997</v>
      </c>
      <c r="EG133" s="5"/>
      <c r="EH133" s="5" t="s">
        <v>11997</v>
      </c>
      <c r="EI133" s="5"/>
      <c r="EJ133" s="5" t="s">
        <v>11997</v>
      </c>
      <c r="EK133" s="5"/>
      <c r="EL133" s="5" t="s">
        <v>11997</v>
      </c>
      <c r="EM133" s="5"/>
      <c r="EN133" s="5" t="s">
        <v>11997</v>
      </c>
      <c r="EO133" s="5"/>
      <c r="EP133" s="5" t="s">
        <v>11998</v>
      </c>
      <c r="EQ133" s="5"/>
      <c r="ER133" s="5" t="s">
        <v>11997</v>
      </c>
      <c r="ES133" s="5"/>
      <c r="ET133" s="5" t="s">
        <v>11972</v>
      </c>
      <c r="EU133" s="5"/>
      <c r="EV133" s="5"/>
      <c r="EW133" s="5"/>
      <c r="EX133" s="5"/>
      <c r="EY133" s="5" t="s">
        <v>7086</v>
      </c>
      <c r="EZ133" s="5"/>
      <c r="FA133" s="5" t="s">
        <v>1493</v>
      </c>
      <c r="FB133" s="5"/>
    </row>
    <row r="134" spans="1:158" ht="409.5">
      <c r="A134" s="5" t="s">
        <v>1495</v>
      </c>
      <c r="B134" s="5" t="s">
        <v>1496</v>
      </c>
      <c r="C134" s="5" t="s">
        <v>13541</v>
      </c>
      <c r="D134" s="5" t="s">
        <v>1497</v>
      </c>
      <c r="E134" s="5" t="s">
        <v>12011</v>
      </c>
      <c r="F134" s="5" t="s">
        <v>11994</v>
      </c>
      <c r="G134" s="5" t="s">
        <v>13542</v>
      </c>
      <c r="H134" s="5" t="s">
        <v>12530</v>
      </c>
      <c r="I134" s="5" t="s">
        <v>1508</v>
      </c>
      <c r="J134" s="5" t="s">
        <v>2854</v>
      </c>
      <c r="K134" s="5" t="s">
        <v>13543</v>
      </c>
      <c r="L134" s="5" t="s">
        <v>1509</v>
      </c>
      <c r="M134" s="5" t="s">
        <v>11952</v>
      </c>
      <c r="N134" s="5" t="s">
        <v>11952</v>
      </c>
      <c r="O134" s="5" t="s">
        <v>11952</v>
      </c>
      <c r="P134" s="5" t="s">
        <v>11952</v>
      </c>
      <c r="Q134" s="5" t="s">
        <v>1509</v>
      </c>
      <c r="R134" s="5" t="s">
        <v>13544</v>
      </c>
      <c r="S134" s="5" t="s">
        <v>11952</v>
      </c>
      <c r="T134" s="5" t="s">
        <v>13545</v>
      </c>
      <c r="U134" s="5" t="s">
        <v>2854</v>
      </c>
      <c r="V134" s="5" t="s">
        <v>13546</v>
      </c>
      <c r="W134" s="5" t="s">
        <v>13547</v>
      </c>
      <c r="X134" s="5" t="s">
        <v>13546</v>
      </c>
      <c r="Y134" s="5" t="s">
        <v>121</v>
      </c>
      <c r="Z134" s="5" t="s">
        <v>121</v>
      </c>
      <c r="AA134" s="5" t="s">
        <v>11981</v>
      </c>
      <c r="AB134" s="5" t="s">
        <v>155</v>
      </c>
      <c r="AC134" s="5" t="s">
        <v>1504</v>
      </c>
      <c r="AD134" s="5" t="s">
        <v>121</v>
      </c>
      <c r="AE134" s="5" t="s">
        <v>121</v>
      </c>
      <c r="AF134" s="5" t="s">
        <v>1504</v>
      </c>
      <c r="AG134" s="5" t="s">
        <v>121</v>
      </c>
      <c r="AH134" s="5" t="s">
        <v>121</v>
      </c>
      <c r="AI134" s="5" t="s">
        <v>121</v>
      </c>
      <c r="AJ134" s="5" t="s">
        <v>121</v>
      </c>
      <c r="AK134" s="5" t="s">
        <v>121</v>
      </c>
      <c r="AL134" s="5" t="s">
        <v>121</v>
      </c>
      <c r="AM134" s="5" t="s">
        <v>121</v>
      </c>
      <c r="AN134" s="5" t="s">
        <v>13548</v>
      </c>
      <c r="AO134" s="5" t="s">
        <v>121</v>
      </c>
      <c r="AP134" s="5" t="s">
        <v>13549</v>
      </c>
      <c r="AQ134" s="5" t="s">
        <v>121</v>
      </c>
      <c r="AR134" s="5" t="s">
        <v>13550</v>
      </c>
      <c r="AS134" s="5" t="s">
        <v>1505</v>
      </c>
      <c r="AT134" s="5" t="s">
        <v>121</v>
      </c>
      <c r="AU134" s="5" t="s">
        <v>1499</v>
      </c>
      <c r="AV134" s="5" t="s">
        <v>12003</v>
      </c>
      <c r="AW134" s="5" t="s">
        <v>1499</v>
      </c>
      <c r="AX134" s="5" t="s">
        <v>12159</v>
      </c>
      <c r="AY134" s="5" t="s">
        <v>2854</v>
      </c>
      <c r="AZ134" s="5" t="s">
        <v>121</v>
      </c>
      <c r="BA134" s="5" t="s">
        <v>121</v>
      </c>
      <c r="BB134" s="5" t="s">
        <v>3510</v>
      </c>
      <c r="BC134" s="5" t="s">
        <v>121</v>
      </c>
      <c r="BD134" s="5" t="s">
        <v>121</v>
      </c>
      <c r="BE134" s="5" t="s">
        <v>12160</v>
      </c>
      <c r="BF134" s="5" t="s">
        <v>13551</v>
      </c>
      <c r="BG134" s="5" t="s">
        <v>121</v>
      </c>
      <c r="BH134" s="5" t="s">
        <v>13552</v>
      </c>
      <c r="BI134" s="5" t="s">
        <v>121</v>
      </c>
      <c r="BJ134" s="5" t="s">
        <v>1500</v>
      </c>
      <c r="BK134" s="5" t="s">
        <v>121</v>
      </c>
      <c r="BL134" s="5" t="s">
        <v>13553</v>
      </c>
      <c r="BM134" s="5" t="s">
        <v>13553</v>
      </c>
      <c r="BN134" s="5" t="s">
        <v>1501</v>
      </c>
      <c r="BO134" s="5" t="s">
        <v>13554</v>
      </c>
      <c r="BP134" s="5" t="s">
        <v>121</v>
      </c>
      <c r="BQ134" s="5" t="s">
        <v>2854</v>
      </c>
      <c r="BR134" s="5" t="s">
        <v>2854</v>
      </c>
      <c r="BS134" s="5" t="s">
        <v>2854</v>
      </c>
      <c r="BT134" s="5" t="s">
        <v>121</v>
      </c>
      <c r="BU134" s="5" t="s">
        <v>121</v>
      </c>
      <c r="BV134" s="5" t="s">
        <v>3510</v>
      </c>
      <c r="BW134" s="5" t="s">
        <v>3510</v>
      </c>
      <c r="BX134" s="5" t="s">
        <v>3510</v>
      </c>
      <c r="BY134" s="5" t="s">
        <v>13555</v>
      </c>
      <c r="BZ134" s="5" t="s">
        <v>13556</v>
      </c>
      <c r="CA134" s="5" t="s">
        <v>121</v>
      </c>
      <c r="CB134" s="5" t="s">
        <v>121</v>
      </c>
      <c r="CC134" s="5" t="s">
        <v>1498</v>
      </c>
      <c r="CD134" s="5" t="s">
        <v>121</v>
      </c>
      <c r="CE134" s="5" t="s">
        <v>121</v>
      </c>
      <c r="CF134" s="5" t="s">
        <v>11958</v>
      </c>
      <c r="CG134" s="5" t="s">
        <v>121</v>
      </c>
      <c r="CH134" s="5" t="s">
        <v>121</v>
      </c>
      <c r="CI134" s="5" t="s">
        <v>12749</v>
      </c>
      <c r="CJ134" s="5" t="s">
        <v>1503</v>
      </c>
      <c r="CK134" s="5" t="s">
        <v>1502</v>
      </c>
      <c r="CL134" s="5" t="s">
        <v>2854</v>
      </c>
      <c r="CM134" s="5" t="s">
        <v>1503</v>
      </c>
      <c r="CN134" s="5" t="s">
        <v>121</v>
      </c>
      <c r="CO134" s="5" t="s">
        <v>121</v>
      </c>
      <c r="CP134" s="5" t="s">
        <v>3510</v>
      </c>
      <c r="CQ134" s="5" t="s">
        <v>1506</v>
      </c>
      <c r="CR134" s="5" t="s">
        <v>11960</v>
      </c>
      <c r="CS134" s="5" t="s">
        <v>2854</v>
      </c>
      <c r="CT134" s="5" t="s">
        <v>3510</v>
      </c>
      <c r="CU134" s="5" t="s">
        <v>3510</v>
      </c>
      <c r="CV134" s="5" t="s">
        <v>11952</v>
      </c>
      <c r="CW134" s="5" t="s">
        <v>13557</v>
      </c>
      <c r="CX134" s="5" t="s">
        <v>13558</v>
      </c>
      <c r="CY134" s="5" t="s">
        <v>13559</v>
      </c>
      <c r="CZ134" s="5" t="s">
        <v>11989</v>
      </c>
      <c r="DA134" s="5" t="s">
        <v>11989</v>
      </c>
      <c r="DB134" s="5" t="s">
        <v>13560</v>
      </c>
      <c r="DC134" s="5" t="s">
        <v>13561</v>
      </c>
      <c r="DD134" s="5" t="s">
        <v>11963</v>
      </c>
      <c r="DE134" s="5" t="s">
        <v>13562</v>
      </c>
      <c r="DF134" s="5" t="s">
        <v>2854</v>
      </c>
      <c r="DG134" s="5" t="s">
        <v>13563</v>
      </c>
      <c r="DH134" s="5" t="s">
        <v>13564</v>
      </c>
      <c r="DI134" s="5" t="s">
        <v>11994</v>
      </c>
      <c r="DJ134" s="5" t="s">
        <v>11994</v>
      </c>
      <c r="DK134" s="5" t="s">
        <v>13565</v>
      </c>
      <c r="DL134" s="5">
        <v>4.7</v>
      </c>
      <c r="DM134" s="5">
        <v>4.3</v>
      </c>
      <c r="DN134" s="5">
        <v>4.5</v>
      </c>
      <c r="DO134" s="5">
        <v>2.2999999999999998</v>
      </c>
      <c r="DP134" s="5">
        <v>3.3</v>
      </c>
      <c r="DQ134" s="5">
        <v>1.7</v>
      </c>
      <c r="DR134" s="5">
        <v>0</v>
      </c>
      <c r="DS134" s="5">
        <v>66.400000000000006</v>
      </c>
      <c r="DT134" s="5" t="s">
        <v>11968</v>
      </c>
      <c r="DU134" s="5" t="s">
        <v>11996</v>
      </c>
      <c r="DV134" s="5" t="s">
        <v>11970</v>
      </c>
      <c r="DW134" s="5"/>
      <c r="DX134" s="5">
        <v>31</v>
      </c>
      <c r="DY134" s="5"/>
      <c r="DZ134" s="5">
        <v>100</v>
      </c>
      <c r="EA134" s="5"/>
      <c r="EB134" s="5">
        <v>0.31</v>
      </c>
      <c r="EC134" s="5"/>
      <c r="ED134" s="5" t="s">
        <v>11971</v>
      </c>
      <c r="EE134" s="5"/>
      <c r="EF134" s="5" t="s">
        <v>11997</v>
      </c>
      <c r="EG134" s="5"/>
      <c r="EH134" s="5" t="s">
        <v>11997</v>
      </c>
      <c r="EI134" s="5"/>
      <c r="EJ134" s="5" t="s">
        <v>11997</v>
      </c>
      <c r="EK134" s="5"/>
      <c r="EL134" s="5" t="s">
        <v>11997</v>
      </c>
      <c r="EM134" s="5"/>
      <c r="EN134" s="5" t="s">
        <v>11997</v>
      </c>
      <c r="EO134" s="5"/>
      <c r="EP134" s="5" t="s">
        <v>11998</v>
      </c>
      <c r="EQ134" s="5"/>
      <c r="ER134" s="5" t="s">
        <v>11997</v>
      </c>
      <c r="ES134" s="5"/>
      <c r="ET134" s="5" t="s">
        <v>11972</v>
      </c>
      <c r="EU134" s="5"/>
      <c r="EV134" s="5"/>
      <c r="EW134" s="5"/>
      <c r="EX134" s="5"/>
      <c r="EY134" s="5" t="s">
        <v>7111</v>
      </c>
      <c r="EZ134" s="5"/>
      <c r="FA134" s="5" t="s">
        <v>1509</v>
      </c>
      <c r="FB134" s="5"/>
    </row>
    <row r="135" spans="1:158" ht="114.75">
      <c r="A135" s="5" t="s">
        <v>1511</v>
      </c>
      <c r="B135" s="5" t="s">
        <v>1512</v>
      </c>
      <c r="C135" s="5" t="s">
        <v>11952</v>
      </c>
      <c r="D135" s="5" t="s">
        <v>1407</v>
      </c>
      <c r="E135" s="5" t="s">
        <v>11953</v>
      </c>
      <c r="F135" s="5" t="s">
        <v>11954</v>
      </c>
      <c r="G135" s="5" t="s">
        <v>11955</v>
      </c>
      <c r="H135" s="5" t="s">
        <v>11235</v>
      </c>
      <c r="I135" s="5" t="s">
        <v>1286</v>
      </c>
      <c r="J135" s="5" t="s">
        <v>3510</v>
      </c>
      <c r="K135" s="5" t="s">
        <v>11956</v>
      </c>
      <c r="L135" s="5" t="s">
        <v>1519</v>
      </c>
      <c r="M135" s="5" t="s">
        <v>11952</v>
      </c>
      <c r="N135" s="5" t="s">
        <v>11952</v>
      </c>
      <c r="O135" s="5" t="s">
        <v>11952</v>
      </c>
      <c r="P135" s="5" t="s">
        <v>11952</v>
      </c>
      <c r="Q135" s="5" t="s">
        <v>1519</v>
      </c>
      <c r="R135" s="5" t="s">
        <v>11952</v>
      </c>
      <c r="S135" s="5" t="s">
        <v>11952</v>
      </c>
      <c r="T135" s="5" t="s">
        <v>13566</v>
      </c>
      <c r="U135" s="5" t="s">
        <v>3510</v>
      </c>
      <c r="V135" s="5" t="s">
        <v>121</v>
      </c>
      <c r="W135" s="5" t="s">
        <v>121</v>
      </c>
      <c r="X135" s="5" t="s">
        <v>121</v>
      </c>
      <c r="Y135" s="5" t="s">
        <v>121</v>
      </c>
      <c r="Z135" s="5" t="s">
        <v>11952</v>
      </c>
      <c r="AA135" s="5" t="s">
        <v>11952</v>
      </c>
      <c r="AB135" s="5" t="s">
        <v>155</v>
      </c>
      <c r="AC135" s="5" t="s">
        <v>1516</v>
      </c>
      <c r="AD135" s="5" t="s">
        <v>121</v>
      </c>
      <c r="AE135" s="5" t="s">
        <v>121</v>
      </c>
      <c r="AF135" s="5" t="s">
        <v>1516</v>
      </c>
      <c r="AG135" s="5" t="s">
        <v>121</v>
      </c>
      <c r="AH135" s="5" t="s">
        <v>121</v>
      </c>
      <c r="AI135" s="5" t="s">
        <v>121</v>
      </c>
      <c r="AJ135" s="5" t="s">
        <v>121</v>
      </c>
      <c r="AK135" s="5" t="s">
        <v>121</v>
      </c>
      <c r="AL135" s="5" t="s">
        <v>121</v>
      </c>
      <c r="AM135" s="5" t="s">
        <v>121</v>
      </c>
      <c r="AN135" s="5" t="s">
        <v>121</v>
      </c>
      <c r="AO135" s="5" t="s">
        <v>121</v>
      </c>
      <c r="AP135" s="5" t="s">
        <v>1827</v>
      </c>
      <c r="AQ135" s="5" t="s">
        <v>121</v>
      </c>
      <c r="AR135" s="5" t="s">
        <v>13567</v>
      </c>
      <c r="AS135" s="5" t="s">
        <v>1517</v>
      </c>
      <c r="AT135" s="5" t="s">
        <v>121</v>
      </c>
      <c r="AU135" s="5" t="s">
        <v>121</v>
      </c>
      <c r="AV135" s="5" t="s">
        <v>121</v>
      </c>
      <c r="AW135" s="5" t="s">
        <v>121</v>
      </c>
      <c r="AX135" s="5" t="s">
        <v>121</v>
      </c>
      <c r="AY135" s="5" t="s">
        <v>121</v>
      </c>
      <c r="AZ135" s="5" t="s">
        <v>121</v>
      </c>
      <c r="BA135" s="5" t="s">
        <v>121</v>
      </c>
      <c r="BB135" s="5" t="s">
        <v>3510</v>
      </c>
      <c r="BC135" s="5" t="s">
        <v>2854</v>
      </c>
      <c r="BD135" s="5" t="s">
        <v>121</v>
      </c>
      <c r="BE135" s="5" t="s">
        <v>12160</v>
      </c>
      <c r="BF135" s="5" t="s">
        <v>12160</v>
      </c>
      <c r="BG135" s="5" t="s">
        <v>121</v>
      </c>
      <c r="BH135" s="5" t="s">
        <v>13568</v>
      </c>
      <c r="BI135" s="5" t="s">
        <v>13568</v>
      </c>
      <c r="BJ135" s="5" t="s">
        <v>1514</v>
      </c>
      <c r="BK135" s="5" t="s">
        <v>121</v>
      </c>
      <c r="BL135" s="5" t="s">
        <v>13569</v>
      </c>
      <c r="BM135" s="5" t="s">
        <v>13569</v>
      </c>
      <c r="BN135" s="5" t="s">
        <v>1515</v>
      </c>
      <c r="BO135" s="5" t="s">
        <v>121</v>
      </c>
      <c r="BP135" s="5" t="s">
        <v>2854</v>
      </c>
      <c r="BQ135" s="5" t="s">
        <v>2854</v>
      </c>
      <c r="BR135" s="5" t="s">
        <v>121</v>
      </c>
      <c r="BS135" s="5" t="s">
        <v>121</v>
      </c>
      <c r="BT135" s="5" t="s">
        <v>121</v>
      </c>
      <c r="BU135" s="5" t="s">
        <v>2854</v>
      </c>
      <c r="BV135" s="5" t="s">
        <v>3510</v>
      </c>
      <c r="BW135" s="5" t="s">
        <v>3510</v>
      </c>
      <c r="BX135" s="5" t="s">
        <v>3510</v>
      </c>
      <c r="BY135" s="5" t="s">
        <v>121</v>
      </c>
      <c r="BZ135" s="5" t="s">
        <v>13570</v>
      </c>
      <c r="CA135" s="5" t="s">
        <v>121</v>
      </c>
      <c r="CB135" s="5" t="s">
        <v>121</v>
      </c>
      <c r="CC135" s="5" t="s">
        <v>1513</v>
      </c>
      <c r="CD135" s="5" t="s">
        <v>121</v>
      </c>
      <c r="CE135" s="5" t="s">
        <v>121</v>
      </c>
      <c r="CF135" s="5" t="s">
        <v>11958</v>
      </c>
      <c r="CG135" s="5" t="s">
        <v>121</v>
      </c>
      <c r="CH135" s="5" t="s">
        <v>121</v>
      </c>
      <c r="CI135" s="5" t="s">
        <v>11959</v>
      </c>
      <c r="CJ135" s="5" t="s">
        <v>159</v>
      </c>
      <c r="CK135" s="5" t="s">
        <v>1097</v>
      </c>
      <c r="CL135" s="5" t="s">
        <v>121</v>
      </c>
      <c r="CM135" s="5" t="s">
        <v>159</v>
      </c>
      <c r="CN135" s="5" t="s">
        <v>121</v>
      </c>
      <c r="CO135" s="5" t="s">
        <v>121</v>
      </c>
      <c r="CP135" s="5" t="s">
        <v>3510</v>
      </c>
      <c r="CQ135" s="5" t="s">
        <v>1518</v>
      </c>
      <c r="CR135" s="5" t="s">
        <v>11960</v>
      </c>
      <c r="CS135" s="5" t="s">
        <v>3510</v>
      </c>
      <c r="CT135" s="5" t="s">
        <v>3510</v>
      </c>
      <c r="CU135" s="5" t="s">
        <v>3510</v>
      </c>
      <c r="CV135" s="5" t="s">
        <v>11952</v>
      </c>
      <c r="CW135" s="5" t="s">
        <v>11952</v>
      </c>
      <c r="CX135" s="5" t="s">
        <v>13346</v>
      </c>
      <c r="CY135" s="5" t="s">
        <v>13571</v>
      </c>
      <c r="CZ135" s="5" t="s">
        <v>3510</v>
      </c>
      <c r="DA135" s="5" t="s">
        <v>11952</v>
      </c>
      <c r="DB135" s="5" t="s">
        <v>11963</v>
      </c>
      <c r="DC135" s="5" t="s">
        <v>11963</v>
      </c>
      <c r="DD135" s="5" t="s">
        <v>11963</v>
      </c>
      <c r="DE135" s="5" t="s">
        <v>11963</v>
      </c>
      <c r="DF135" s="5" t="s">
        <v>3510</v>
      </c>
      <c r="DG135" s="5" t="s">
        <v>11964</v>
      </c>
      <c r="DH135" s="5" t="s">
        <v>13572</v>
      </c>
      <c r="DI135" s="5" t="s">
        <v>11966</v>
      </c>
      <c r="DJ135" s="5" t="s">
        <v>11966</v>
      </c>
      <c r="DK135" s="5" t="s">
        <v>11967</v>
      </c>
      <c r="DL135" s="5">
        <v>1</v>
      </c>
      <c r="DM135" s="5">
        <v>4</v>
      </c>
      <c r="DN135" s="5">
        <v>3</v>
      </c>
      <c r="DO135" s="5">
        <v>2</v>
      </c>
      <c r="DP135" s="5">
        <v>5</v>
      </c>
      <c r="DQ135" s="5">
        <v>4</v>
      </c>
      <c r="DR135" s="5">
        <v>2</v>
      </c>
      <c r="DS135" s="5">
        <v>57</v>
      </c>
      <c r="DT135" s="5" t="s">
        <v>11968</v>
      </c>
      <c r="DU135" s="5" t="s">
        <v>11969</v>
      </c>
      <c r="DV135" s="5" t="s">
        <v>11970</v>
      </c>
      <c r="DW135" s="5"/>
      <c r="DX135" s="5">
        <v>29</v>
      </c>
      <c r="DY135" s="5"/>
      <c r="DZ135" s="5">
        <v>100</v>
      </c>
      <c r="EA135" s="5"/>
      <c r="EB135" s="5">
        <v>0.28999999999999998</v>
      </c>
      <c r="EC135" s="5"/>
      <c r="ED135" s="5" t="s">
        <v>11971</v>
      </c>
      <c r="EE135" s="5"/>
      <c r="EF135" s="5" t="s">
        <v>11997</v>
      </c>
      <c r="EG135" s="5"/>
      <c r="EH135" s="5" t="s">
        <v>11997</v>
      </c>
      <c r="EI135" s="5"/>
      <c r="EJ135" s="5" t="s">
        <v>11997</v>
      </c>
      <c r="EK135" s="5"/>
      <c r="EL135" s="5" t="s">
        <v>11997</v>
      </c>
      <c r="EM135" s="5"/>
      <c r="EN135" s="5" t="s">
        <v>11997</v>
      </c>
      <c r="EO135" s="5"/>
      <c r="EP135" s="5" t="s">
        <v>11998</v>
      </c>
      <c r="EQ135" s="5"/>
      <c r="ER135" s="5" t="s">
        <v>11997</v>
      </c>
      <c r="ES135" s="5"/>
      <c r="ET135" s="5" t="s">
        <v>11972</v>
      </c>
      <c r="EU135" s="5"/>
      <c r="EV135" s="5"/>
      <c r="EW135" s="5"/>
      <c r="EX135" s="5"/>
      <c r="EY135" s="5" t="s">
        <v>7144</v>
      </c>
      <c r="EZ135" s="5"/>
      <c r="FA135" s="5" t="s">
        <v>1519</v>
      </c>
      <c r="FB135" s="5"/>
    </row>
    <row r="136" spans="1:158" ht="242.25">
      <c r="A136" s="5" t="s">
        <v>1521</v>
      </c>
      <c r="B136" s="5" t="s">
        <v>1522</v>
      </c>
      <c r="C136" s="5" t="s">
        <v>13573</v>
      </c>
      <c r="D136" s="5" t="s">
        <v>119</v>
      </c>
      <c r="E136" s="5" t="s">
        <v>12011</v>
      </c>
      <c r="F136" s="5" t="s">
        <v>11994</v>
      </c>
      <c r="G136" s="5" t="s">
        <v>13574</v>
      </c>
      <c r="H136" s="5" t="s">
        <v>12530</v>
      </c>
      <c r="I136" s="5" t="s">
        <v>1286</v>
      </c>
      <c r="J136" s="5" t="s">
        <v>3510</v>
      </c>
      <c r="K136" s="5" t="s">
        <v>13358</v>
      </c>
      <c r="L136" s="5" t="s">
        <v>1531</v>
      </c>
      <c r="M136" s="5" t="s">
        <v>11952</v>
      </c>
      <c r="N136" s="5" t="s">
        <v>11952</v>
      </c>
      <c r="O136" s="5" t="s">
        <v>11952</v>
      </c>
      <c r="P136" s="5" t="s">
        <v>11952</v>
      </c>
      <c r="Q136" s="5" t="s">
        <v>1531</v>
      </c>
      <c r="R136" s="5" t="s">
        <v>11952</v>
      </c>
      <c r="S136" s="5" t="s">
        <v>11952</v>
      </c>
      <c r="T136" s="5" t="s">
        <v>13575</v>
      </c>
      <c r="U136" s="5" t="s">
        <v>3510</v>
      </c>
      <c r="V136" s="5" t="s">
        <v>121</v>
      </c>
      <c r="W136" s="5" t="s">
        <v>121</v>
      </c>
      <c r="X136" s="5" t="s">
        <v>121</v>
      </c>
      <c r="Y136" s="5" t="s">
        <v>121</v>
      </c>
      <c r="Z136" s="5" t="s">
        <v>11952</v>
      </c>
      <c r="AA136" s="5" t="s">
        <v>11952</v>
      </c>
      <c r="AB136" s="5" t="s">
        <v>155</v>
      </c>
      <c r="AC136" s="5" t="s">
        <v>1528</v>
      </c>
      <c r="AD136" s="5" t="s">
        <v>121</v>
      </c>
      <c r="AE136" s="5" t="s">
        <v>121</v>
      </c>
      <c r="AF136" s="5" t="s">
        <v>1528</v>
      </c>
      <c r="AG136" s="5" t="s">
        <v>121</v>
      </c>
      <c r="AH136" s="5" t="s">
        <v>121</v>
      </c>
      <c r="AI136" s="5" t="s">
        <v>121</v>
      </c>
      <c r="AJ136" s="5" t="s">
        <v>121</v>
      </c>
      <c r="AK136" s="5" t="s">
        <v>121</v>
      </c>
      <c r="AL136" s="5" t="s">
        <v>121</v>
      </c>
      <c r="AM136" s="5" t="s">
        <v>121</v>
      </c>
      <c r="AN136" s="5" t="s">
        <v>121</v>
      </c>
      <c r="AO136" s="5" t="s">
        <v>121</v>
      </c>
      <c r="AP136" s="5" t="s">
        <v>13576</v>
      </c>
      <c r="AQ136" s="5" t="s">
        <v>121</v>
      </c>
      <c r="AR136" s="5" t="s">
        <v>121</v>
      </c>
      <c r="AS136" s="5" t="s">
        <v>1529</v>
      </c>
      <c r="AT136" s="5" t="s">
        <v>121</v>
      </c>
      <c r="AU136" s="5" t="s">
        <v>1524</v>
      </c>
      <c r="AV136" s="5" t="s">
        <v>121</v>
      </c>
      <c r="AW136" s="5" t="s">
        <v>121</v>
      </c>
      <c r="AX136" s="5" t="s">
        <v>121</v>
      </c>
      <c r="AY136" s="5" t="s">
        <v>121</v>
      </c>
      <c r="AZ136" s="5" t="s">
        <v>121</v>
      </c>
      <c r="BA136" s="5" t="s">
        <v>121</v>
      </c>
      <c r="BB136" s="5" t="s">
        <v>3510</v>
      </c>
      <c r="BC136" s="5" t="s">
        <v>3510</v>
      </c>
      <c r="BD136" s="5" t="s">
        <v>121</v>
      </c>
      <c r="BE136" s="5" t="s">
        <v>121</v>
      </c>
      <c r="BF136" s="5" t="s">
        <v>121</v>
      </c>
      <c r="BG136" s="5" t="s">
        <v>121</v>
      </c>
      <c r="BH136" s="5" t="s">
        <v>13577</v>
      </c>
      <c r="BI136" s="5" t="s">
        <v>121</v>
      </c>
      <c r="BJ136" s="5" t="s">
        <v>1525</v>
      </c>
      <c r="BK136" s="5" t="s">
        <v>121</v>
      </c>
      <c r="BL136" s="5" t="s">
        <v>13578</v>
      </c>
      <c r="BM136" s="5" t="s">
        <v>13578</v>
      </c>
      <c r="BN136" s="5" t="s">
        <v>1526</v>
      </c>
      <c r="BO136" s="5" t="s">
        <v>1474</v>
      </c>
      <c r="BP136" s="5" t="s">
        <v>121</v>
      </c>
      <c r="BQ136" s="5" t="s">
        <v>2854</v>
      </c>
      <c r="BR136" s="5" t="s">
        <v>2854</v>
      </c>
      <c r="BS136" s="5" t="s">
        <v>2854</v>
      </c>
      <c r="BT136" s="5" t="s">
        <v>121</v>
      </c>
      <c r="BU136" s="5" t="s">
        <v>121</v>
      </c>
      <c r="BV136" s="5" t="s">
        <v>3510</v>
      </c>
      <c r="BW136" s="5" t="s">
        <v>3510</v>
      </c>
      <c r="BX136" s="5" t="s">
        <v>3510</v>
      </c>
      <c r="BY136" s="5" t="s">
        <v>13579</v>
      </c>
      <c r="BZ136" s="5" t="s">
        <v>13580</v>
      </c>
      <c r="CA136" s="5" t="s">
        <v>121</v>
      </c>
      <c r="CB136" s="5" t="s">
        <v>121</v>
      </c>
      <c r="CC136" s="5" t="s">
        <v>1523</v>
      </c>
      <c r="CD136" s="5" t="s">
        <v>121</v>
      </c>
      <c r="CE136" s="5" t="s">
        <v>121</v>
      </c>
      <c r="CF136" s="5" t="s">
        <v>11958</v>
      </c>
      <c r="CG136" s="5" t="s">
        <v>121</v>
      </c>
      <c r="CH136" s="5" t="s">
        <v>121</v>
      </c>
      <c r="CI136" s="5" t="s">
        <v>12749</v>
      </c>
      <c r="CJ136" s="5" t="s">
        <v>124</v>
      </c>
      <c r="CK136" s="5" t="s">
        <v>1527</v>
      </c>
      <c r="CL136" s="5" t="s">
        <v>3510</v>
      </c>
      <c r="CM136" s="5" t="s">
        <v>124</v>
      </c>
      <c r="CN136" s="5" t="s">
        <v>121</v>
      </c>
      <c r="CO136" s="5" t="s">
        <v>121</v>
      </c>
      <c r="CP136" s="5" t="s">
        <v>3510</v>
      </c>
      <c r="CQ136" s="5" t="s">
        <v>1530</v>
      </c>
      <c r="CR136" s="5" t="s">
        <v>12118</v>
      </c>
      <c r="CS136" s="5" t="s">
        <v>3510</v>
      </c>
      <c r="CT136" s="5" t="s">
        <v>3510</v>
      </c>
      <c r="CU136" s="5" t="s">
        <v>2854</v>
      </c>
      <c r="CV136" s="5" t="s">
        <v>13581</v>
      </c>
      <c r="CW136" s="5" t="s">
        <v>11952</v>
      </c>
      <c r="CX136" s="5" t="s">
        <v>13367</v>
      </c>
      <c r="CY136" s="5" t="s">
        <v>13582</v>
      </c>
      <c r="CZ136" s="5" t="s">
        <v>11989</v>
      </c>
      <c r="DA136" s="5" t="s">
        <v>11989</v>
      </c>
      <c r="DB136" s="5" t="s">
        <v>11963</v>
      </c>
      <c r="DC136" s="5" t="s">
        <v>13583</v>
      </c>
      <c r="DD136" s="5" t="s">
        <v>11963</v>
      </c>
      <c r="DE136" s="5" t="s">
        <v>13584</v>
      </c>
      <c r="DF136" s="5" t="s">
        <v>2854</v>
      </c>
      <c r="DG136" s="5" t="s">
        <v>13585</v>
      </c>
      <c r="DH136" s="5" t="s">
        <v>13586</v>
      </c>
      <c r="DI136" s="5" t="s">
        <v>11975</v>
      </c>
      <c r="DJ136" s="5" t="s">
        <v>12044</v>
      </c>
      <c r="DK136" s="5" t="s">
        <v>13587</v>
      </c>
      <c r="DL136" s="5">
        <v>5</v>
      </c>
      <c r="DM136" s="5">
        <v>3.5</v>
      </c>
      <c r="DN136" s="5">
        <v>3.8</v>
      </c>
      <c r="DO136" s="5">
        <v>2.5</v>
      </c>
      <c r="DP136" s="5">
        <v>1.5</v>
      </c>
      <c r="DQ136" s="5">
        <v>0.5</v>
      </c>
      <c r="DR136" s="5">
        <v>0</v>
      </c>
      <c r="DS136" s="5">
        <v>56.9</v>
      </c>
      <c r="DT136" s="5" t="s">
        <v>11968</v>
      </c>
      <c r="DU136" s="5" t="s">
        <v>12116</v>
      </c>
      <c r="DV136" s="5" t="s">
        <v>11970</v>
      </c>
      <c r="DW136" s="5"/>
      <c r="DX136" s="5">
        <v>21</v>
      </c>
      <c r="DY136" s="5"/>
      <c r="DZ136" s="5">
        <v>100</v>
      </c>
      <c r="EA136" s="5"/>
      <c r="EB136" s="5">
        <v>0.21</v>
      </c>
      <c r="EC136" s="5"/>
      <c r="ED136" s="5" t="s">
        <v>11971</v>
      </c>
      <c r="EE136" s="5"/>
      <c r="EF136" s="5" t="s">
        <v>11997</v>
      </c>
      <c r="EG136" s="5"/>
      <c r="EH136" s="5" t="s">
        <v>11997</v>
      </c>
      <c r="EI136" s="5"/>
      <c r="EJ136" s="5" t="s">
        <v>11997</v>
      </c>
      <c r="EK136" s="5"/>
      <c r="EL136" s="5" t="s">
        <v>11997</v>
      </c>
      <c r="EM136" s="5"/>
      <c r="EN136" s="5" t="s">
        <v>11997</v>
      </c>
      <c r="EO136" s="5"/>
      <c r="EP136" s="5" t="s">
        <v>11998</v>
      </c>
      <c r="EQ136" s="5"/>
      <c r="ER136" s="5" t="s">
        <v>11997</v>
      </c>
      <c r="ES136" s="5"/>
      <c r="ET136" s="5" t="s">
        <v>11972</v>
      </c>
      <c r="EU136" s="5"/>
      <c r="EV136" s="5"/>
      <c r="EW136" s="5"/>
      <c r="EX136" s="5"/>
      <c r="EY136" s="5" t="s">
        <v>7175</v>
      </c>
      <c r="EZ136" s="5"/>
      <c r="FA136" s="5" t="s">
        <v>1531</v>
      </c>
      <c r="FB136" s="5"/>
    </row>
    <row r="137" spans="1:158" ht="280.5">
      <c r="A137" s="5" t="s">
        <v>1533</v>
      </c>
      <c r="B137" s="5" t="s">
        <v>1534</v>
      </c>
      <c r="C137" s="5" t="s">
        <v>11952</v>
      </c>
      <c r="D137" s="5" t="s">
        <v>119</v>
      </c>
      <c r="E137" s="5" t="s">
        <v>12011</v>
      </c>
      <c r="F137" s="5" t="s">
        <v>11994</v>
      </c>
      <c r="G137" s="5" t="s">
        <v>13588</v>
      </c>
      <c r="H137" s="5" t="s">
        <v>12787</v>
      </c>
      <c r="I137" s="5" t="s">
        <v>1286</v>
      </c>
      <c r="J137" s="5" t="s">
        <v>3510</v>
      </c>
      <c r="K137" s="5" t="s">
        <v>13358</v>
      </c>
      <c r="L137" s="5" t="s">
        <v>1541</v>
      </c>
      <c r="M137" s="5" t="s">
        <v>11952</v>
      </c>
      <c r="N137" s="5" t="s">
        <v>11952</v>
      </c>
      <c r="O137" s="5" t="s">
        <v>11952</v>
      </c>
      <c r="P137" s="5" t="s">
        <v>11952</v>
      </c>
      <c r="Q137" s="5" t="s">
        <v>1541</v>
      </c>
      <c r="R137" s="5" t="s">
        <v>11952</v>
      </c>
      <c r="S137" s="5" t="s">
        <v>11952</v>
      </c>
      <c r="T137" s="5" t="s">
        <v>13589</v>
      </c>
      <c r="U137" s="5" t="s">
        <v>3510</v>
      </c>
      <c r="V137" s="5" t="s">
        <v>121</v>
      </c>
      <c r="W137" s="5" t="s">
        <v>121</v>
      </c>
      <c r="X137" s="5" t="s">
        <v>121</v>
      </c>
      <c r="Y137" s="5" t="s">
        <v>121</v>
      </c>
      <c r="Z137" s="5" t="s">
        <v>11952</v>
      </c>
      <c r="AA137" s="5" t="s">
        <v>11952</v>
      </c>
      <c r="AB137" s="5" t="s">
        <v>155</v>
      </c>
      <c r="AC137" s="5" t="s">
        <v>695</v>
      </c>
      <c r="AD137" s="5" t="s">
        <v>121</v>
      </c>
      <c r="AE137" s="5" t="s">
        <v>121</v>
      </c>
      <c r="AF137" s="5" t="s">
        <v>695</v>
      </c>
      <c r="AG137" s="5" t="s">
        <v>121</v>
      </c>
      <c r="AH137" s="5" t="s">
        <v>121</v>
      </c>
      <c r="AI137" s="5" t="s">
        <v>121</v>
      </c>
      <c r="AJ137" s="5" t="s">
        <v>121</v>
      </c>
      <c r="AK137" s="5" t="s">
        <v>121</v>
      </c>
      <c r="AL137" s="5" t="s">
        <v>121</v>
      </c>
      <c r="AM137" s="5" t="s">
        <v>121</v>
      </c>
      <c r="AN137" s="5" t="s">
        <v>121</v>
      </c>
      <c r="AO137" s="5" t="s">
        <v>121</v>
      </c>
      <c r="AP137" s="5" t="s">
        <v>13590</v>
      </c>
      <c r="AQ137" s="5" t="s">
        <v>121</v>
      </c>
      <c r="AR137" s="5" t="s">
        <v>121</v>
      </c>
      <c r="AS137" s="5" t="s">
        <v>1539</v>
      </c>
      <c r="AT137" s="5" t="s">
        <v>121</v>
      </c>
      <c r="AU137" s="5" t="s">
        <v>1536</v>
      </c>
      <c r="AV137" s="5" t="s">
        <v>12003</v>
      </c>
      <c r="AW137" s="5" t="s">
        <v>121</v>
      </c>
      <c r="AX137" s="5" t="s">
        <v>121</v>
      </c>
      <c r="AY137" s="5" t="s">
        <v>2854</v>
      </c>
      <c r="AZ137" s="5" t="s">
        <v>2854</v>
      </c>
      <c r="BA137" s="5" t="s">
        <v>121</v>
      </c>
      <c r="BB137" s="5" t="s">
        <v>3510</v>
      </c>
      <c r="BC137" s="5" t="s">
        <v>3510</v>
      </c>
      <c r="BD137" s="5" t="s">
        <v>121</v>
      </c>
      <c r="BE137" s="5" t="s">
        <v>121</v>
      </c>
      <c r="BF137" s="5" t="s">
        <v>121</v>
      </c>
      <c r="BG137" s="5" t="s">
        <v>121</v>
      </c>
      <c r="BH137" s="5" t="s">
        <v>13591</v>
      </c>
      <c r="BI137" s="5" t="s">
        <v>121</v>
      </c>
      <c r="BJ137" s="5" t="s">
        <v>1537</v>
      </c>
      <c r="BK137" s="5" t="s">
        <v>121</v>
      </c>
      <c r="BL137" s="5" t="s">
        <v>13592</v>
      </c>
      <c r="BM137" s="5" t="s">
        <v>13592</v>
      </c>
      <c r="BN137" s="5" t="s">
        <v>1538</v>
      </c>
      <c r="BO137" s="5" t="s">
        <v>11984</v>
      </c>
      <c r="BP137" s="5" t="s">
        <v>121</v>
      </c>
      <c r="BQ137" s="5" t="s">
        <v>121</v>
      </c>
      <c r="BR137" s="5" t="s">
        <v>2854</v>
      </c>
      <c r="BS137" s="5" t="s">
        <v>121</v>
      </c>
      <c r="BT137" s="5" t="s">
        <v>121</v>
      </c>
      <c r="BU137" s="5" t="s">
        <v>121</v>
      </c>
      <c r="BV137" s="5" t="s">
        <v>3510</v>
      </c>
      <c r="BW137" s="5" t="s">
        <v>3510</v>
      </c>
      <c r="BX137" s="5" t="s">
        <v>3510</v>
      </c>
      <c r="BY137" s="5" t="s">
        <v>13593</v>
      </c>
      <c r="BZ137" s="5" t="s">
        <v>13594</v>
      </c>
      <c r="CA137" s="5" t="s">
        <v>121</v>
      </c>
      <c r="CB137" s="5" t="s">
        <v>121</v>
      </c>
      <c r="CC137" s="5" t="s">
        <v>1535</v>
      </c>
      <c r="CD137" s="5" t="s">
        <v>121</v>
      </c>
      <c r="CE137" s="5" t="s">
        <v>121</v>
      </c>
      <c r="CF137" s="5" t="s">
        <v>11958</v>
      </c>
      <c r="CG137" s="5" t="s">
        <v>121</v>
      </c>
      <c r="CH137" s="5" t="s">
        <v>121</v>
      </c>
      <c r="CI137" s="5" t="s">
        <v>13595</v>
      </c>
      <c r="CJ137" s="5" t="s">
        <v>124</v>
      </c>
      <c r="CK137" s="5" t="s">
        <v>1327</v>
      </c>
      <c r="CL137" s="5" t="s">
        <v>3510</v>
      </c>
      <c r="CM137" s="5" t="s">
        <v>124</v>
      </c>
      <c r="CN137" s="5" t="s">
        <v>121</v>
      </c>
      <c r="CO137" s="5" t="s">
        <v>121</v>
      </c>
      <c r="CP137" s="5" t="s">
        <v>3510</v>
      </c>
      <c r="CQ137" s="5" t="s">
        <v>1540</v>
      </c>
      <c r="CR137" s="5" t="s">
        <v>12187</v>
      </c>
      <c r="CS137" s="5" t="s">
        <v>3510</v>
      </c>
      <c r="CT137" s="5" t="s">
        <v>3510</v>
      </c>
      <c r="CU137" s="5" t="s">
        <v>2854</v>
      </c>
      <c r="CV137" s="5" t="s">
        <v>33</v>
      </c>
      <c r="CW137" s="5" t="s">
        <v>33</v>
      </c>
      <c r="CX137" s="5" t="s">
        <v>13596</v>
      </c>
      <c r="CY137" s="5" t="s">
        <v>13597</v>
      </c>
      <c r="CZ137" s="5" t="s">
        <v>11989</v>
      </c>
      <c r="DA137" s="5" t="s">
        <v>11989</v>
      </c>
      <c r="DB137" s="5" t="s">
        <v>11963</v>
      </c>
      <c r="DC137" s="5" t="s">
        <v>13598</v>
      </c>
      <c r="DD137" s="5" t="s">
        <v>11963</v>
      </c>
      <c r="DE137" s="5" t="s">
        <v>13599</v>
      </c>
      <c r="DF137" s="5" t="s">
        <v>2854</v>
      </c>
      <c r="DG137" s="5" t="s">
        <v>13600</v>
      </c>
      <c r="DH137" s="5" t="s">
        <v>13601</v>
      </c>
      <c r="DI137" s="5" t="s">
        <v>11966</v>
      </c>
      <c r="DJ137" s="5" t="s">
        <v>11994</v>
      </c>
      <c r="DK137" s="5" t="s">
        <v>13602</v>
      </c>
      <c r="DL137" s="5">
        <v>5</v>
      </c>
      <c r="DM137" s="5">
        <v>3.7</v>
      </c>
      <c r="DN137" s="5">
        <v>3.5</v>
      </c>
      <c r="DO137" s="5">
        <v>1.3</v>
      </c>
      <c r="DP137" s="5">
        <v>2.2999999999999998</v>
      </c>
      <c r="DQ137" s="5">
        <v>1.3</v>
      </c>
      <c r="DR137" s="5">
        <v>0</v>
      </c>
      <c r="DS137" s="5">
        <v>56.4</v>
      </c>
      <c r="DT137" s="5" t="s">
        <v>11968</v>
      </c>
      <c r="DU137" s="5" t="s">
        <v>11996</v>
      </c>
      <c r="DV137" s="5" t="s">
        <v>11970</v>
      </c>
      <c r="DW137" s="5"/>
      <c r="DX137" s="5">
        <v>17</v>
      </c>
      <c r="DY137" s="5"/>
      <c r="DZ137" s="5">
        <v>100</v>
      </c>
      <c r="EA137" s="5"/>
      <c r="EB137" s="5">
        <v>0.17</v>
      </c>
      <c r="EC137" s="5"/>
      <c r="ED137" s="5" t="s">
        <v>11971</v>
      </c>
      <c r="EE137" s="5"/>
      <c r="EF137" s="5" t="s">
        <v>11997</v>
      </c>
      <c r="EG137" s="5"/>
      <c r="EH137" s="5" t="s">
        <v>11997</v>
      </c>
      <c r="EI137" s="5"/>
      <c r="EJ137" s="5" t="s">
        <v>11997</v>
      </c>
      <c r="EK137" s="5"/>
      <c r="EL137" s="5" t="s">
        <v>11997</v>
      </c>
      <c r="EM137" s="5"/>
      <c r="EN137" s="5" t="s">
        <v>11997</v>
      </c>
      <c r="EO137" s="5"/>
      <c r="EP137" s="5" t="s">
        <v>11998</v>
      </c>
      <c r="EQ137" s="5"/>
      <c r="ER137" s="5" t="s">
        <v>11997</v>
      </c>
      <c r="ES137" s="5"/>
      <c r="ET137" s="5" t="s">
        <v>11972</v>
      </c>
      <c r="EU137" s="5"/>
      <c r="EV137" s="5"/>
      <c r="EW137" s="5"/>
      <c r="EX137" s="5"/>
      <c r="EY137" s="5" t="s">
        <v>7209</v>
      </c>
      <c r="EZ137" s="5"/>
      <c r="FA137" s="5" t="s">
        <v>1541</v>
      </c>
      <c r="FB137" s="5"/>
    </row>
    <row r="138" spans="1:158" ht="89.25">
      <c r="A138" s="5" t="s">
        <v>1543</v>
      </c>
      <c r="B138" s="5" t="s">
        <v>1544</v>
      </c>
      <c r="C138" s="5" t="s">
        <v>11952</v>
      </c>
      <c r="D138" s="5" t="s">
        <v>121</v>
      </c>
      <c r="E138" s="5" t="s">
        <v>11953</v>
      </c>
      <c r="F138" s="5" t="s">
        <v>11954</v>
      </c>
      <c r="G138" s="5" t="s">
        <v>11955</v>
      </c>
      <c r="H138" s="5" t="s">
        <v>11235</v>
      </c>
      <c r="I138" s="5" t="s">
        <v>1286</v>
      </c>
      <c r="J138" s="5" t="s">
        <v>3510</v>
      </c>
      <c r="K138" s="5" t="s">
        <v>11956</v>
      </c>
      <c r="L138" s="5" t="s">
        <v>1552</v>
      </c>
      <c r="M138" s="5" t="s">
        <v>11952</v>
      </c>
      <c r="N138" s="5" t="s">
        <v>11952</v>
      </c>
      <c r="O138" s="5" t="s">
        <v>11952</v>
      </c>
      <c r="P138" s="5" t="s">
        <v>11952</v>
      </c>
      <c r="Q138" s="5" t="s">
        <v>1552</v>
      </c>
      <c r="R138" s="5" t="s">
        <v>11952</v>
      </c>
      <c r="S138" s="5" t="s">
        <v>11952</v>
      </c>
      <c r="T138" s="5" t="s">
        <v>13603</v>
      </c>
      <c r="U138" s="5" t="s">
        <v>3510</v>
      </c>
      <c r="V138" s="5" t="s">
        <v>121</v>
      </c>
      <c r="W138" s="5" t="s">
        <v>121</v>
      </c>
      <c r="X138" s="5" t="s">
        <v>121</v>
      </c>
      <c r="Y138" s="5" t="s">
        <v>121</v>
      </c>
      <c r="Z138" s="5" t="s">
        <v>11952</v>
      </c>
      <c r="AA138" s="5" t="s">
        <v>11952</v>
      </c>
      <c r="AB138" s="5" t="s">
        <v>155</v>
      </c>
      <c r="AC138" s="5" t="s">
        <v>1549</v>
      </c>
      <c r="AD138" s="5" t="s">
        <v>121</v>
      </c>
      <c r="AE138" s="5" t="s">
        <v>121</v>
      </c>
      <c r="AF138" s="5" t="s">
        <v>1549</v>
      </c>
      <c r="AG138" s="5" t="s">
        <v>1549</v>
      </c>
      <c r="AH138" s="5" t="s">
        <v>121</v>
      </c>
      <c r="AI138" s="5" t="s">
        <v>121</v>
      </c>
      <c r="AJ138" s="5" t="s">
        <v>121</v>
      </c>
      <c r="AK138" s="5" t="s">
        <v>121</v>
      </c>
      <c r="AL138" s="5" t="s">
        <v>121</v>
      </c>
      <c r="AM138" s="5" t="s">
        <v>121</v>
      </c>
      <c r="AN138" s="5" t="s">
        <v>121</v>
      </c>
      <c r="AO138" s="5" t="s">
        <v>121</v>
      </c>
      <c r="AP138" s="5" t="s">
        <v>1550</v>
      </c>
      <c r="AQ138" s="5" t="s">
        <v>121</v>
      </c>
      <c r="AR138" s="5" t="s">
        <v>121</v>
      </c>
      <c r="AS138" s="5" t="s">
        <v>1550</v>
      </c>
      <c r="AT138" s="5" t="s">
        <v>121</v>
      </c>
      <c r="AU138" s="5" t="s">
        <v>1546</v>
      </c>
      <c r="AV138" s="5" t="s">
        <v>121</v>
      </c>
      <c r="AW138" s="5" t="s">
        <v>121</v>
      </c>
      <c r="AX138" s="5" t="s">
        <v>121</v>
      </c>
      <c r="AY138" s="5" t="s">
        <v>121</v>
      </c>
      <c r="AZ138" s="5" t="s">
        <v>2854</v>
      </c>
      <c r="BA138" s="5" t="s">
        <v>121</v>
      </c>
      <c r="BB138" s="5" t="s">
        <v>3510</v>
      </c>
      <c r="BC138" s="5" t="s">
        <v>2854</v>
      </c>
      <c r="BD138" s="5" t="s">
        <v>121</v>
      </c>
      <c r="BE138" s="5" t="s">
        <v>121</v>
      </c>
      <c r="BF138" s="5" t="s">
        <v>121</v>
      </c>
      <c r="BG138" s="5" t="s">
        <v>121</v>
      </c>
      <c r="BH138" s="5" t="s">
        <v>13604</v>
      </c>
      <c r="BI138" s="5" t="s">
        <v>13604</v>
      </c>
      <c r="BJ138" s="5" t="s">
        <v>1547</v>
      </c>
      <c r="BK138" s="5" t="s">
        <v>121</v>
      </c>
      <c r="BL138" s="5" t="s">
        <v>13605</v>
      </c>
      <c r="BM138" s="5" t="s">
        <v>13605</v>
      </c>
      <c r="BN138" s="5" t="s">
        <v>1548</v>
      </c>
      <c r="BO138" s="5" t="s">
        <v>121</v>
      </c>
      <c r="BP138" s="5" t="s">
        <v>2854</v>
      </c>
      <c r="BQ138" s="5" t="s">
        <v>121</v>
      </c>
      <c r="BR138" s="5" t="s">
        <v>121</v>
      </c>
      <c r="BS138" s="5" t="s">
        <v>121</v>
      </c>
      <c r="BT138" s="5" t="s">
        <v>121</v>
      </c>
      <c r="BU138" s="5" t="s">
        <v>121</v>
      </c>
      <c r="BV138" s="5" t="s">
        <v>3510</v>
      </c>
      <c r="BW138" s="5" t="s">
        <v>3510</v>
      </c>
      <c r="BX138" s="5" t="s">
        <v>3510</v>
      </c>
      <c r="BY138" s="5" t="s">
        <v>13606</v>
      </c>
      <c r="BZ138" s="5" t="s">
        <v>121</v>
      </c>
      <c r="CA138" s="5" t="s">
        <v>121</v>
      </c>
      <c r="CB138" s="5" t="s">
        <v>121</v>
      </c>
      <c r="CC138" s="5" t="s">
        <v>1545</v>
      </c>
      <c r="CD138" s="5" t="s">
        <v>121</v>
      </c>
      <c r="CE138" s="5" t="s">
        <v>121</v>
      </c>
      <c r="CF138" s="5" t="s">
        <v>11958</v>
      </c>
      <c r="CG138" s="5" t="s">
        <v>121</v>
      </c>
      <c r="CH138" s="5" t="s">
        <v>121</v>
      </c>
      <c r="CI138" s="5" t="s">
        <v>11959</v>
      </c>
      <c r="CJ138" s="5" t="s">
        <v>124</v>
      </c>
      <c r="CK138" s="5" t="s">
        <v>1097</v>
      </c>
      <c r="CL138" s="5" t="s">
        <v>3510</v>
      </c>
      <c r="CM138" s="5" t="s">
        <v>124</v>
      </c>
      <c r="CN138" s="5" t="s">
        <v>121</v>
      </c>
      <c r="CO138" s="5" t="s">
        <v>121</v>
      </c>
      <c r="CP138" s="5" t="s">
        <v>3510</v>
      </c>
      <c r="CQ138" s="5" t="s">
        <v>1551</v>
      </c>
      <c r="CR138" s="5" t="s">
        <v>11960</v>
      </c>
      <c r="CS138" s="5" t="s">
        <v>3510</v>
      </c>
      <c r="CT138" s="5" t="s">
        <v>3510</v>
      </c>
      <c r="CU138" s="5" t="s">
        <v>3510</v>
      </c>
      <c r="CV138" s="5" t="s">
        <v>11952</v>
      </c>
      <c r="CW138" s="5" t="s">
        <v>11952</v>
      </c>
      <c r="CX138" s="5" t="s">
        <v>13346</v>
      </c>
      <c r="CY138" s="5" t="s">
        <v>13607</v>
      </c>
      <c r="CZ138" s="5" t="s">
        <v>3510</v>
      </c>
      <c r="DA138" s="5" t="s">
        <v>11952</v>
      </c>
      <c r="DB138" s="5" t="s">
        <v>11963</v>
      </c>
      <c r="DC138" s="5" t="s">
        <v>11963</v>
      </c>
      <c r="DD138" s="5" t="s">
        <v>11963</v>
      </c>
      <c r="DE138" s="5" t="s">
        <v>11963</v>
      </c>
      <c r="DF138" s="5" t="s">
        <v>3510</v>
      </c>
      <c r="DG138" s="5" t="s">
        <v>11964</v>
      </c>
      <c r="DH138" s="5" t="s">
        <v>13608</v>
      </c>
      <c r="DI138" s="5" t="s">
        <v>11994</v>
      </c>
      <c r="DJ138" s="5" t="s">
        <v>11966</v>
      </c>
      <c r="DK138" s="5" t="s">
        <v>11967</v>
      </c>
      <c r="DL138" s="5">
        <v>5</v>
      </c>
      <c r="DM138" s="5">
        <v>1</v>
      </c>
      <c r="DN138" s="5">
        <v>3</v>
      </c>
      <c r="DO138" s="5">
        <v>1</v>
      </c>
      <c r="DP138" s="5">
        <v>2</v>
      </c>
      <c r="DQ138" s="5">
        <v>4</v>
      </c>
      <c r="DR138" s="5">
        <v>0.5</v>
      </c>
      <c r="DS138" s="5">
        <v>49</v>
      </c>
      <c r="DT138" s="5" t="s">
        <v>11968</v>
      </c>
      <c r="DU138" s="5" t="s">
        <v>11969</v>
      </c>
      <c r="DV138" s="5" t="s">
        <v>11970</v>
      </c>
      <c r="DW138" s="5"/>
      <c r="DX138" s="5">
        <v>31</v>
      </c>
      <c r="DY138" s="5"/>
      <c r="DZ138" s="5">
        <v>100</v>
      </c>
      <c r="EA138" s="5"/>
      <c r="EB138" s="5">
        <v>0.31</v>
      </c>
      <c r="EC138" s="5"/>
      <c r="ED138" s="5" t="s">
        <v>11971</v>
      </c>
      <c r="EE138" s="5"/>
      <c r="EF138" s="5" t="s">
        <v>11997</v>
      </c>
      <c r="EG138" s="5"/>
      <c r="EH138" s="5" t="s">
        <v>11997</v>
      </c>
      <c r="EI138" s="5"/>
      <c r="EJ138" s="5" t="s">
        <v>11997</v>
      </c>
      <c r="EK138" s="5"/>
      <c r="EL138" s="5" t="s">
        <v>11997</v>
      </c>
      <c r="EM138" s="5"/>
      <c r="EN138" s="5" t="s">
        <v>11997</v>
      </c>
      <c r="EO138" s="5"/>
      <c r="EP138" s="5" t="s">
        <v>11998</v>
      </c>
      <c r="EQ138" s="5"/>
      <c r="ER138" s="5" t="s">
        <v>11997</v>
      </c>
      <c r="ES138" s="5"/>
      <c r="ET138" s="5" t="s">
        <v>11972</v>
      </c>
      <c r="EU138" s="5"/>
      <c r="EV138" s="5"/>
      <c r="EW138" s="5"/>
      <c r="EX138" s="5"/>
      <c r="EY138" s="5" t="s">
        <v>7242</v>
      </c>
      <c r="EZ138" s="5"/>
      <c r="FA138" s="5" t="s">
        <v>1552</v>
      </c>
      <c r="FB138" s="5"/>
    </row>
    <row r="139" spans="1:158" ht="306">
      <c r="A139" s="5" t="s">
        <v>1554</v>
      </c>
      <c r="B139" s="5" t="s">
        <v>1555</v>
      </c>
      <c r="C139" s="5" t="s">
        <v>13609</v>
      </c>
      <c r="D139" s="5" t="s">
        <v>1556</v>
      </c>
      <c r="E139" s="5" t="s">
        <v>12011</v>
      </c>
      <c r="F139" s="5" t="s">
        <v>11994</v>
      </c>
      <c r="G139" s="5" t="s">
        <v>13610</v>
      </c>
      <c r="H139" s="5" t="s">
        <v>12787</v>
      </c>
      <c r="I139" s="5" t="s">
        <v>1286</v>
      </c>
      <c r="J139" s="5" t="s">
        <v>3510</v>
      </c>
      <c r="K139" s="5" t="s">
        <v>13358</v>
      </c>
      <c r="L139" s="5" t="s">
        <v>1564</v>
      </c>
      <c r="M139" s="5" t="s">
        <v>11952</v>
      </c>
      <c r="N139" s="5" t="s">
        <v>11952</v>
      </c>
      <c r="O139" s="5" t="s">
        <v>11952</v>
      </c>
      <c r="P139" s="5" t="s">
        <v>11952</v>
      </c>
      <c r="Q139" s="5" t="s">
        <v>1564</v>
      </c>
      <c r="R139" s="5" t="s">
        <v>11952</v>
      </c>
      <c r="S139" s="5" t="s">
        <v>11952</v>
      </c>
      <c r="T139" s="5" t="s">
        <v>13611</v>
      </c>
      <c r="U139" s="5" t="s">
        <v>2854</v>
      </c>
      <c r="V139" s="5" t="s">
        <v>13612</v>
      </c>
      <c r="W139" s="5" t="s">
        <v>13613</v>
      </c>
      <c r="X139" s="5" t="s">
        <v>13614</v>
      </c>
      <c r="Y139" s="5" t="s">
        <v>121</v>
      </c>
      <c r="Z139" s="5" t="s">
        <v>2854</v>
      </c>
      <c r="AA139" s="5" t="s">
        <v>11981</v>
      </c>
      <c r="AB139" s="5" t="s">
        <v>155</v>
      </c>
      <c r="AC139" s="5" t="s">
        <v>1561</v>
      </c>
      <c r="AD139" s="5" t="s">
        <v>121</v>
      </c>
      <c r="AE139" s="5" t="s">
        <v>121</v>
      </c>
      <c r="AF139" s="5" t="s">
        <v>1561</v>
      </c>
      <c r="AG139" s="5" t="s">
        <v>949</v>
      </c>
      <c r="AH139" s="5" t="s">
        <v>121</v>
      </c>
      <c r="AI139" s="5" t="s">
        <v>121</v>
      </c>
      <c r="AJ139" s="5" t="s">
        <v>121</v>
      </c>
      <c r="AK139" s="5" t="s">
        <v>121</v>
      </c>
      <c r="AL139" s="5" t="s">
        <v>121</v>
      </c>
      <c r="AM139" s="5" t="s">
        <v>121</v>
      </c>
      <c r="AN139" s="5" t="s">
        <v>13615</v>
      </c>
      <c r="AO139" s="5" t="s">
        <v>121</v>
      </c>
      <c r="AP139" s="5" t="s">
        <v>1550</v>
      </c>
      <c r="AQ139" s="5" t="s">
        <v>121</v>
      </c>
      <c r="AR139" s="5" t="s">
        <v>13616</v>
      </c>
      <c r="AS139" s="5" t="s">
        <v>1562</v>
      </c>
      <c r="AT139" s="5" t="s">
        <v>121</v>
      </c>
      <c r="AU139" s="5" t="s">
        <v>1558</v>
      </c>
      <c r="AV139" s="5" t="s">
        <v>121</v>
      </c>
      <c r="AW139" s="5" t="s">
        <v>121</v>
      </c>
      <c r="AX139" s="5" t="s">
        <v>121</v>
      </c>
      <c r="AY139" s="5" t="s">
        <v>121</v>
      </c>
      <c r="AZ139" s="5" t="s">
        <v>2854</v>
      </c>
      <c r="BA139" s="5" t="s">
        <v>121</v>
      </c>
      <c r="BB139" s="5" t="s">
        <v>3510</v>
      </c>
      <c r="BC139" s="5" t="s">
        <v>2854</v>
      </c>
      <c r="BD139" s="5" t="s">
        <v>121</v>
      </c>
      <c r="BE139" s="5" t="s">
        <v>121</v>
      </c>
      <c r="BF139" s="5" t="s">
        <v>121</v>
      </c>
      <c r="BG139" s="5" t="s">
        <v>121</v>
      </c>
      <c r="BH139" s="5" t="s">
        <v>13617</v>
      </c>
      <c r="BI139" s="5" t="s">
        <v>121</v>
      </c>
      <c r="BJ139" s="5" t="s">
        <v>1559</v>
      </c>
      <c r="BK139" s="5" t="s">
        <v>121</v>
      </c>
      <c r="BL139" s="5" t="s">
        <v>13618</v>
      </c>
      <c r="BM139" s="5" t="s">
        <v>13618</v>
      </c>
      <c r="BN139" s="5" t="s">
        <v>1560</v>
      </c>
      <c r="BO139" s="5" t="s">
        <v>12437</v>
      </c>
      <c r="BP139" s="5" t="s">
        <v>121</v>
      </c>
      <c r="BQ139" s="5" t="s">
        <v>2854</v>
      </c>
      <c r="BR139" s="5" t="s">
        <v>121</v>
      </c>
      <c r="BS139" s="5" t="s">
        <v>121</v>
      </c>
      <c r="BT139" s="5" t="s">
        <v>121</v>
      </c>
      <c r="BU139" s="5" t="s">
        <v>121</v>
      </c>
      <c r="BV139" s="5" t="s">
        <v>3510</v>
      </c>
      <c r="BW139" s="5" t="s">
        <v>3510</v>
      </c>
      <c r="BX139" s="5" t="s">
        <v>3510</v>
      </c>
      <c r="BY139" s="5" t="s">
        <v>13619</v>
      </c>
      <c r="BZ139" s="5" t="s">
        <v>13620</v>
      </c>
      <c r="CA139" s="5" t="s">
        <v>121</v>
      </c>
      <c r="CB139" s="5" t="s">
        <v>121</v>
      </c>
      <c r="CC139" s="5" t="s">
        <v>1557</v>
      </c>
      <c r="CD139" s="5" t="s">
        <v>121</v>
      </c>
      <c r="CE139" s="5" t="s">
        <v>121</v>
      </c>
      <c r="CF139" s="5" t="s">
        <v>11958</v>
      </c>
      <c r="CG139" s="5" t="s">
        <v>121</v>
      </c>
      <c r="CH139" s="5" t="s">
        <v>121</v>
      </c>
      <c r="CI139" s="5" t="s">
        <v>12034</v>
      </c>
      <c r="CJ139" s="5" t="s">
        <v>124</v>
      </c>
      <c r="CK139" s="5" t="s">
        <v>1327</v>
      </c>
      <c r="CL139" s="5" t="s">
        <v>3510</v>
      </c>
      <c r="CM139" s="5" t="s">
        <v>124</v>
      </c>
      <c r="CN139" s="5" t="s">
        <v>121</v>
      </c>
      <c r="CO139" s="5" t="s">
        <v>121</v>
      </c>
      <c r="CP139" s="5" t="s">
        <v>3510</v>
      </c>
      <c r="CQ139" s="5" t="s">
        <v>1563</v>
      </c>
      <c r="CR139" s="5" t="s">
        <v>11960</v>
      </c>
      <c r="CS139" s="5" t="s">
        <v>3510</v>
      </c>
      <c r="CT139" s="5" t="s">
        <v>3510</v>
      </c>
      <c r="CU139" s="5" t="s">
        <v>3510</v>
      </c>
      <c r="CV139" s="5" t="s">
        <v>11952</v>
      </c>
      <c r="CW139" s="5" t="s">
        <v>13621</v>
      </c>
      <c r="CX139" s="5" t="s">
        <v>13596</v>
      </c>
      <c r="CY139" s="5" t="s">
        <v>13622</v>
      </c>
      <c r="CZ139" s="5" t="s">
        <v>11989</v>
      </c>
      <c r="DA139" s="5" t="s">
        <v>11989</v>
      </c>
      <c r="DB139" s="5" t="s">
        <v>13623</v>
      </c>
      <c r="DC139" s="5" t="s">
        <v>13624</v>
      </c>
      <c r="DD139" s="5" t="s">
        <v>11963</v>
      </c>
      <c r="DE139" s="5" t="s">
        <v>13625</v>
      </c>
      <c r="DF139" s="5" t="s">
        <v>3510</v>
      </c>
      <c r="DG139" s="5" t="s">
        <v>13626</v>
      </c>
      <c r="DH139" s="5" t="s">
        <v>13627</v>
      </c>
      <c r="DI139" s="5" t="s">
        <v>11994</v>
      </c>
      <c r="DJ139" s="5" t="s">
        <v>11966</v>
      </c>
      <c r="DK139" s="5" t="s">
        <v>13628</v>
      </c>
      <c r="DL139" s="5">
        <v>5</v>
      </c>
      <c r="DM139" s="5">
        <v>3.7</v>
      </c>
      <c r="DN139" s="5">
        <v>4.3</v>
      </c>
      <c r="DO139" s="5">
        <v>1.3</v>
      </c>
      <c r="DP139" s="5">
        <v>2</v>
      </c>
      <c r="DQ139" s="5">
        <v>3</v>
      </c>
      <c r="DR139" s="5">
        <v>0.5</v>
      </c>
      <c r="DS139" s="5">
        <v>62.6</v>
      </c>
      <c r="DT139" s="5" t="s">
        <v>11968</v>
      </c>
      <c r="DU139" s="5" t="s">
        <v>11996</v>
      </c>
      <c r="DV139" s="5" t="s">
        <v>11970</v>
      </c>
      <c r="DW139" s="5"/>
      <c r="DX139" s="5">
        <v>31</v>
      </c>
      <c r="DY139" s="5"/>
      <c r="DZ139" s="5">
        <v>100</v>
      </c>
      <c r="EA139" s="5"/>
      <c r="EB139" s="5">
        <v>0.31</v>
      </c>
      <c r="EC139" s="5"/>
      <c r="ED139" s="5" t="s">
        <v>11971</v>
      </c>
      <c r="EE139" s="5"/>
      <c r="EF139" s="5" t="s">
        <v>11997</v>
      </c>
      <c r="EG139" s="5"/>
      <c r="EH139" s="5" t="s">
        <v>11997</v>
      </c>
      <c r="EI139" s="5"/>
      <c r="EJ139" s="5" t="s">
        <v>11997</v>
      </c>
      <c r="EK139" s="5"/>
      <c r="EL139" s="5" t="s">
        <v>11997</v>
      </c>
      <c r="EM139" s="5"/>
      <c r="EN139" s="5" t="s">
        <v>11997</v>
      </c>
      <c r="EO139" s="5"/>
      <c r="EP139" s="5" t="s">
        <v>11998</v>
      </c>
      <c r="EQ139" s="5"/>
      <c r="ER139" s="5" t="s">
        <v>11997</v>
      </c>
      <c r="ES139" s="5"/>
      <c r="ET139" s="5" t="s">
        <v>11972</v>
      </c>
      <c r="EU139" s="5"/>
      <c r="EV139" s="5"/>
      <c r="EW139" s="5"/>
      <c r="EX139" s="5"/>
      <c r="EY139" s="5" t="s">
        <v>7274</v>
      </c>
      <c r="EZ139" s="5"/>
      <c r="FA139" s="5" t="s">
        <v>1564</v>
      </c>
      <c r="FB139" s="5"/>
    </row>
    <row r="140" spans="1:158" ht="331.5">
      <c r="A140" s="5" t="s">
        <v>53</v>
      </c>
      <c r="B140" s="5" t="s">
        <v>1566</v>
      </c>
      <c r="C140" s="5" t="s">
        <v>13629</v>
      </c>
      <c r="D140" s="5" t="s">
        <v>13630</v>
      </c>
      <c r="E140" s="5" t="s">
        <v>12011</v>
      </c>
      <c r="F140" s="5" t="s">
        <v>11994</v>
      </c>
      <c r="G140" s="5" t="s">
        <v>13631</v>
      </c>
      <c r="H140" s="5" t="s">
        <v>13632</v>
      </c>
      <c r="I140" s="5" t="s">
        <v>1286</v>
      </c>
      <c r="J140" s="5" t="s">
        <v>3510</v>
      </c>
      <c r="K140" s="5" t="s">
        <v>13633</v>
      </c>
      <c r="L140" s="5" t="s">
        <v>1575</v>
      </c>
      <c r="M140" s="5" t="s">
        <v>11952</v>
      </c>
      <c r="N140" s="5" t="s">
        <v>11952</v>
      </c>
      <c r="O140" s="5" t="s">
        <v>11952</v>
      </c>
      <c r="P140" s="5" t="s">
        <v>11952</v>
      </c>
      <c r="Q140" s="5" t="s">
        <v>1575</v>
      </c>
      <c r="R140" s="5" t="s">
        <v>11952</v>
      </c>
      <c r="S140" s="5" t="s">
        <v>11952</v>
      </c>
      <c r="T140" s="5" t="s">
        <v>13634</v>
      </c>
      <c r="U140" s="5" t="s">
        <v>2854</v>
      </c>
      <c r="V140" s="5" t="s">
        <v>13635</v>
      </c>
      <c r="W140" s="5" t="s">
        <v>13636</v>
      </c>
      <c r="X140" s="5" t="s">
        <v>11519</v>
      </c>
      <c r="Y140" s="5" t="s">
        <v>13637</v>
      </c>
      <c r="Z140" s="5" t="s">
        <v>2854</v>
      </c>
      <c r="AA140" s="5" t="s">
        <v>12883</v>
      </c>
      <c r="AB140" s="5" t="s">
        <v>155</v>
      </c>
      <c r="AC140" s="5" t="s">
        <v>1571</v>
      </c>
      <c r="AD140" s="5" t="s">
        <v>121</v>
      </c>
      <c r="AE140" s="5" t="s">
        <v>121</v>
      </c>
      <c r="AF140" s="5" t="s">
        <v>1571</v>
      </c>
      <c r="AG140" s="5" t="s">
        <v>121</v>
      </c>
      <c r="AH140" s="5" t="s">
        <v>13638</v>
      </c>
      <c r="AI140" s="5" t="s">
        <v>1549</v>
      </c>
      <c r="AJ140" s="5" t="s">
        <v>121</v>
      </c>
      <c r="AK140" s="5" t="s">
        <v>121</v>
      </c>
      <c r="AL140" s="5" t="s">
        <v>121</v>
      </c>
      <c r="AM140" s="5" t="s">
        <v>121</v>
      </c>
      <c r="AN140" s="5" t="s">
        <v>13639</v>
      </c>
      <c r="AO140" s="5" t="s">
        <v>121</v>
      </c>
      <c r="AP140" s="5" t="s">
        <v>2302</v>
      </c>
      <c r="AQ140" s="5" t="s">
        <v>121</v>
      </c>
      <c r="AR140" s="5" t="s">
        <v>121</v>
      </c>
      <c r="AS140" s="5" t="s">
        <v>1572</v>
      </c>
      <c r="AT140" s="5" t="s">
        <v>121</v>
      </c>
      <c r="AU140" s="5" t="s">
        <v>1568</v>
      </c>
      <c r="AV140" s="5" t="s">
        <v>121</v>
      </c>
      <c r="AW140" s="5" t="s">
        <v>121</v>
      </c>
      <c r="AX140" s="5" t="s">
        <v>121</v>
      </c>
      <c r="AY140" s="5" t="s">
        <v>121</v>
      </c>
      <c r="AZ140" s="5" t="s">
        <v>2854</v>
      </c>
      <c r="BA140" s="5" t="s">
        <v>121</v>
      </c>
      <c r="BB140" s="5" t="s">
        <v>3510</v>
      </c>
      <c r="BC140" s="5" t="s">
        <v>3510</v>
      </c>
      <c r="BD140" s="5" t="s">
        <v>121</v>
      </c>
      <c r="BE140" s="5" t="s">
        <v>121</v>
      </c>
      <c r="BF140" s="5" t="s">
        <v>121</v>
      </c>
      <c r="BG140" s="5" t="s">
        <v>121</v>
      </c>
      <c r="BH140" s="5" t="s">
        <v>13640</v>
      </c>
      <c r="BI140" s="5" t="s">
        <v>121</v>
      </c>
      <c r="BJ140" s="5" t="s">
        <v>1569</v>
      </c>
      <c r="BK140" s="5" t="s">
        <v>1549</v>
      </c>
      <c r="BL140" s="5" t="s">
        <v>13641</v>
      </c>
      <c r="BM140" s="5" t="s">
        <v>13641</v>
      </c>
      <c r="BN140" s="5" t="s">
        <v>1570</v>
      </c>
      <c r="BO140" s="5" t="s">
        <v>12398</v>
      </c>
      <c r="BP140" s="5" t="s">
        <v>2854</v>
      </c>
      <c r="BQ140" s="5" t="s">
        <v>2854</v>
      </c>
      <c r="BR140" s="5" t="s">
        <v>121</v>
      </c>
      <c r="BS140" s="5" t="s">
        <v>121</v>
      </c>
      <c r="BT140" s="5" t="s">
        <v>121</v>
      </c>
      <c r="BU140" s="5" t="s">
        <v>121</v>
      </c>
      <c r="BV140" s="5" t="s">
        <v>3510</v>
      </c>
      <c r="BW140" s="5" t="s">
        <v>3510</v>
      </c>
      <c r="BX140" s="5" t="s">
        <v>3510</v>
      </c>
      <c r="BY140" s="5" t="s">
        <v>13642</v>
      </c>
      <c r="BZ140" s="5" t="s">
        <v>121</v>
      </c>
      <c r="CA140" s="5" t="s">
        <v>121</v>
      </c>
      <c r="CB140" s="5" t="s">
        <v>121</v>
      </c>
      <c r="CC140" s="5" t="s">
        <v>1567</v>
      </c>
      <c r="CD140" s="5" t="s">
        <v>121</v>
      </c>
      <c r="CE140" s="5" t="s">
        <v>121</v>
      </c>
      <c r="CF140" s="5" t="s">
        <v>11958</v>
      </c>
      <c r="CG140" s="5" t="s">
        <v>121</v>
      </c>
      <c r="CH140" s="5" t="s">
        <v>121</v>
      </c>
      <c r="CI140" s="5" t="s">
        <v>12034</v>
      </c>
      <c r="CJ140" s="5" t="s">
        <v>124</v>
      </c>
      <c r="CK140" s="5" t="s">
        <v>1327</v>
      </c>
      <c r="CL140" s="5" t="s">
        <v>3510</v>
      </c>
      <c r="CM140" s="5" t="s">
        <v>124</v>
      </c>
      <c r="CN140" s="5" t="s">
        <v>121</v>
      </c>
      <c r="CO140" s="5" t="s">
        <v>121</v>
      </c>
      <c r="CP140" s="5" t="s">
        <v>3510</v>
      </c>
      <c r="CQ140" s="5" t="s">
        <v>1573</v>
      </c>
      <c r="CR140" s="5" t="s">
        <v>11960</v>
      </c>
      <c r="CS140" s="5" t="s">
        <v>3510</v>
      </c>
      <c r="CT140" s="5" t="s">
        <v>3510</v>
      </c>
      <c r="CU140" s="5" t="s">
        <v>3510</v>
      </c>
      <c r="CV140" s="5" t="s">
        <v>11952</v>
      </c>
      <c r="CW140" s="5" t="s">
        <v>13643</v>
      </c>
      <c r="CX140" s="5" t="s">
        <v>13644</v>
      </c>
      <c r="CY140" s="5" t="s">
        <v>13645</v>
      </c>
      <c r="CZ140" s="5" t="s">
        <v>11989</v>
      </c>
      <c r="DA140" s="5" t="s">
        <v>11989</v>
      </c>
      <c r="DB140" s="5" t="s">
        <v>11963</v>
      </c>
      <c r="DC140" s="5" t="s">
        <v>13646</v>
      </c>
      <c r="DD140" s="5" t="s">
        <v>11963</v>
      </c>
      <c r="DE140" s="5" t="s">
        <v>13647</v>
      </c>
      <c r="DF140" s="5" t="s">
        <v>3510</v>
      </c>
      <c r="DG140" s="5" t="s">
        <v>13648</v>
      </c>
      <c r="DH140" s="5" t="s">
        <v>13649</v>
      </c>
      <c r="DI140" s="5" t="s">
        <v>11975</v>
      </c>
      <c r="DJ140" s="5" t="s">
        <v>11966</v>
      </c>
      <c r="DK140" s="5" t="s">
        <v>13650</v>
      </c>
      <c r="DL140" s="5">
        <v>5</v>
      </c>
      <c r="DM140" s="5">
        <v>4</v>
      </c>
      <c r="DN140" s="5">
        <v>4.0999999999999996</v>
      </c>
      <c r="DO140" s="5">
        <v>3.8</v>
      </c>
      <c r="DP140" s="5">
        <v>2.8</v>
      </c>
      <c r="DQ140" s="5">
        <v>1.8</v>
      </c>
      <c r="DR140" s="5">
        <v>0</v>
      </c>
      <c r="DS140" s="5">
        <v>68.900000000000006</v>
      </c>
      <c r="DT140" s="5" t="s">
        <v>11968</v>
      </c>
      <c r="DU140" s="5" t="s">
        <v>12046</v>
      </c>
      <c r="DV140" s="5" t="s">
        <v>11970</v>
      </c>
      <c r="DW140" s="5"/>
      <c r="DX140" s="5">
        <v>19</v>
      </c>
      <c r="DY140" s="5"/>
      <c r="DZ140" s="5">
        <v>100</v>
      </c>
      <c r="EA140" s="5"/>
      <c r="EB140" s="5">
        <v>0.19</v>
      </c>
      <c r="EC140" s="5"/>
      <c r="ED140" s="5" t="s">
        <v>11971</v>
      </c>
      <c r="EE140" s="5"/>
      <c r="EF140" s="5" t="s">
        <v>11997</v>
      </c>
      <c r="EG140" s="5"/>
      <c r="EH140" s="5" t="s">
        <v>11997</v>
      </c>
      <c r="EI140" s="5"/>
      <c r="EJ140" s="5" t="s">
        <v>11997</v>
      </c>
      <c r="EK140" s="5"/>
      <c r="EL140" s="5" t="s">
        <v>11997</v>
      </c>
      <c r="EM140" s="5"/>
      <c r="EN140" s="5" t="s">
        <v>11997</v>
      </c>
      <c r="EO140" s="5"/>
      <c r="EP140" s="5" t="s">
        <v>11998</v>
      </c>
      <c r="EQ140" s="5"/>
      <c r="ER140" s="5" t="s">
        <v>11997</v>
      </c>
      <c r="ES140" s="5"/>
      <c r="ET140" s="5" t="s">
        <v>11972</v>
      </c>
      <c r="EU140" s="5"/>
      <c r="EV140" s="5"/>
      <c r="EW140" s="5"/>
      <c r="EX140" s="5"/>
      <c r="EY140" s="5" t="s">
        <v>13651</v>
      </c>
      <c r="EZ140" s="5"/>
      <c r="FA140" s="5" t="s">
        <v>1575</v>
      </c>
      <c r="FB140" s="5"/>
    </row>
    <row r="141" spans="1:158" ht="89.25">
      <c r="A141" s="5" t="s">
        <v>1578</v>
      </c>
      <c r="B141" s="5" t="s">
        <v>1579</v>
      </c>
      <c r="C141" s="5" t="s">
        <v>11952</v>
      </c>
      <c r="D141" s="5" t="s">
        <v>119</v>
      </c>
      <c r="E141" s="5" t="s">
        <v>11953</v>
      </c>
      <c r="F141" s="5" t="s">
        <v>11954</v>
      </c>
      <c r="G141" s="5" t="s">
        <v>11955</v>
      </c>
      <c r="H141" s="5" t="s">
        <v>11237</v>
      </c>
      <c r="I141" s="5" t="s">
        <v>1286</v>
      </c>
      <c r="J141" s="5" t="s">
        <v>3510</v>
      </c>
      <c r="K141" s="5" t="s">
        <v>11956</v>
      </c>
      <c r="L141" s="5" t="s">
        <v>1586</v>
      </c>
      <c r="M141" s="5" t="s">
        <v>11952</v>
      </c>
      <c r="N141" s="5" t="s">
        <v>11952</v>
      </c>
      <c r="O141" s="5" t="s">
        <v>11952</v>
      </c>
      <c r="P141" s="5" t="s">
        <v>11952</v>
      </c>
      <c r="Q141" s="5" t="s">
        <v>1586</v>
      </c>
      <c r="R141" s="5" t="s">
        <v>11952</v>
      </c>
      <c r="S141" s="5" t="s">
        <v>11952</v>
      </c>
      <c r="T141" s="5" t="s">
        <v>13652</v>
      </c>
      <c r="U141" s="5" t="s">
        <v>3510</v>
      </c>
      <c r="V141" s="5" t="s">
        <v>121</v>
      </c>
      <c r="W141" s="5" t="s">
        <v>121</v>
      </c>
      <c r="X141" s="5" t="s">
        <v>121</v>
      </c>
      <c r="Y141" s="5" t="s">
        <v>121</v>
      </c>
      <c r="Z141" s="5" t="s">
        <v>11952</v>
      </c>
      <c r="AA141" s="5" t="s">
        <v>11952</v>
      </c>
      <c r="AB141" s="5" t="s">
        <v>121</v>
      </c>
      <c r="AC141" s="5" t="s">
        <v>121</v>
      </c>
      <c r="AD141" s="5" t="s">
        <v>121</v>
      </c>
      <c r="AE141" s="5" t="s">
        <v>121</v>
      </c>
      <c r="AF141" s="5" t="s">
        <v>121</v>
      </c>
      <c r="AG141" s="5" t="s">
        <v>121</v>
      </c>
      <c r="AH141" s="5" t="s">
        <v>121</v>
      </c>
      <c r="AI141" s="5" t="s">
        <v>121</v>
      </c>
      <c r="AJ141" s="5" t="s">
        <v>121</v>
      </c>
      <c r="AK141" s="5" t="s">
        <v>121</v>
      </c>
      <c r="AL141" s="5" t="s">
        <v>121</v>
      </c>
      <c r="AM141" s="5" t="s">
        <v>121</v>
      </c>
      <c r="AN141" s="5" t="s">
        <v>121</v>
      </c>
      <c r="AO141" s="5" t="s">
        <v>121</v>
      </c>
      <c r="AP141" s="5" t="s">
        <v>13576</v>
      </c>
      <c r="AQ141" s="5" t="s">
        <v>121</v>
      </c>
      <c r="AR141" s="5" t="s">
        <v>121</v>
      </c>
      <c r="AS141" s="5" t="s">
        <v>1584</v>
      </c>
      <c r="AT141" s="5" t="s">
        <v>121</v>
      </c>
      <c r="AU141" s="5" t="s">
        <v>1581</v>
      </c>
      <c r="AV141" s="5" t="s">
        <v>121</v>
      </c>
      <c r="AW141" s="5" t="s">
        <v>121</v>
      </c>
      <c r="AX141" s="5" t="s">
        <v>121</v>
      </c>
      <c r="AY141" s="5" t="s">
        <v>121</v>
      </c>
      <c r="AZ141" s="5" t="s">
        <v>121</v>
      </c>
      <c r="BA141" s="5" t="s">
        <v>121</v>
      </c>
      <c r="BB141" s="5" t="s">
        <v>121</v>
      </c>
      <c r="BC141" s="5" t="s">
        <v>121</v>
      </c>
      <c r="BD141" s="5" t="s">
        <v>121</v>
      </c>
      <c r="BE141" s="5" t="s">
        <v>121</v>
      </c>
      <c r="BF141" s="5" t="s">
        <v>121</v>
      </c>
      <c r="BG141" s="5" t="s">
        <v>121</v>
      </c>
      <c r="BH141" s="5" t="s">
        <v>12815</v>
      </c>
      <c r="BI141" s="5" t="s">
        <v>121</v>
      </c>
      <c r="BJ141" s="5" t="s">
        <v>1582</v>
      </c>
      <c r="BK141" s="5" t="s">
        <v>121</v>
      </c>
      <c r="BL141" s="5" t="s">
        <v>13653</v>
      </c>
      <c r="BM141" s="5" t="s">
        <v>13653</v>
      </c>
      <c r="BN141" s="5" t="s">
        <v>1583</v>
      </c>
      <c r="BO141" s="5" t="s">
        <v>121</v>
      </c>
      <c r="BP141" s="5" t="s">
        <v>121</v>
      </c>
      <c r="BQ141" s="5" t="s">
        <v>121</v>
      </c>
      <c r="BR141" s="5" t="s">
        <v>2854</v>
      </c>
      <c r="BS141" s="5" t="s">
        <v>121</v>
      </c>
      <c r="BT141" s="5" t="s">
        <v>121</v>
      </c>
      <c r="BU141" s="5" t="s">
        <v>121</v>
      </c>
      <c r="BV141" s="5" t="s">
        <v>3510</v>
      </c>
      <c r="BW141" s="5" t="s">
        <v>3510</v>
      </c>
      <c r="BX141" s="5" t="s">
        <v>3510</v>
      </c>
      <c r="BY141" s="5" t="s">
        <v>13654</v>
      </c>
      <c r="BZ141" s="5" t="s">
        <v>121</v>
      </c>
      <c r="CA141" s="5" t="s">
        <v>121</v>
      </c>
      <c r="CB141" s="5" t="s">
        <v>121</v>
      </c>
      <c r="CC141" s="5" t="s">
        <v>1580</v>
      </c>
      <c r="CD141" s="5" t="s">
        <v>121</v>
      </c>
      <c r="CE141" s="5" t="s">
        <v>121</v>
      </c>
      <c r="CF141" s="5" t="s">
        <v>11958</v>
      </c>
      <c r="CG141" s="5" t="s">
        <v>121</v>
      </c>
      <c r="CH141" s="5" t="s">
        <v>121</v>
      </c>
      <c r="CI141" s="5" t="s">
        <v>11959</v>
      </c>
      <c r="CJ141" s="5" t="s">
        <v>124</v>
      </c>
      <c r="CK141" s="5" t="s">
        <v>121</v>
      </c>
      <c r="CL141" s="5" t="s">
        <v>3510</v>
      </c>
      <c r="CM141" s="5" t="s">
        <v>124</v>
      </c>
      <c r="CN141" s="5" t="s">
        <v>121</v>
      </c>
      <c r="CO141" s="5" t="s">
        <v>121</v>
      </c>
      <c r="CP141" s="5" t="s">
        <v>3510</v>
      </c>
      <c r="CQ141" s="5" t="s">
        <v>1585</v>
      </c>
      <c r="CR141" s="5" t="s">
        <v>12187</v>
      </c>
      <c r="CS141" s="5" t="s">
        <v>3510</v>
      </c>
      <c r="CT141" s="5" t="s">
        <v>3510</v>
      </c>
      <c r="CU141" s="5" t="s">
        <v>2854</v>
      </c>
      <c r="CV141" s="5" t="s">
        <v>13655</v>
      </c>
      <c r="CW141" s="5" t="s">
        <v>11952</v>
      </c>
      <c r="CX141" s="5" t="s">
        <v>13464</v>
      </c>
      <c r="CY141" s="5" t="s">
        <v>13656</v>
      </c>
      <c r="CZ141" s="5" t="s">
        <v>11952</v>
      </c>
      <c r="DA141" s="5" t="s">
        <v>3510</v>
      </c>
      <c r="DB141" s="5" t="s">
        <v>11963</v>
      </c>
      <c r="DC141" s="5" t="s">
        <v>11963</v>
      </c>
      <c r="DD141" s="5" t="s">
        <v>11963</v>
      </c>
      <c r="DE141" s="5" t="s">
        <v>11963</v>
      </c>
      <c r="DF141" s="5" t="s">
        <v>3510</v>
      </c>
      <c r="DG141" s="5" t="s">
        <v>11964</v>
      </c>
      <c r="DH141" s="5" t="s">
        <v>13657</v>
      </c>
      <c r="DI141" s="5" t="s">
        <v>11975</v>
      </c>
      <c r="DJ141" s="5" t="s">
        <v>11966</v>
      </c>
      <c r="DK141" s="5" t="s">
        <v>11967</v>
      </c>
      <c r="DL141" s="5">
        <v>5</v>
      </c>
      <c r="DM141" s="5">
        <v>2</v>
      </c>
      <c r="DN141" s="5">
        <v>3</v>
      </c>
      <c r="DO141" s="5">
        <v>1</v>
      </c>
      <c r="DP141" s="5">
        <v>2</v>
      </c>
      <c r="DQ141" s="5">
        <v>1</v>
      </c>
      <c r="DR141" s="5">
        <v>0</v>
      </c>
      <c r="DS141" s="5">
        <v>46</v>
      </c>
      <c r="DT141" s="5" t="s">
        <v>11968</v>
      </c>
      <c r="DU141" s="5" t="s">
        <v>11969</v>
      </c>
      <c r="DV141" s="5" t="s">
        <v>11970</v>
      </c>
      <c r="DW141" s="5"/>
      <c r="DX141" s="5">
        <v>19</v>
      </c>
      <c r="DY141" s="5"/>
      <c r="DZ141" s="5">
        <v>100</v>
      </c>
      <c r="EA141" s="5"/>
      <c r="EB141" s="5">
        <v>0.19</v>
      </c>
      <c r="EC141" s="5"/>
      <c r="ED141" s="5" t="s">
        <v>11971</v>
      </c>
      <c r="EE141" s="5"/>
      <c r="EF141" s="5" t="s">
        <v>11997</v>
      </c>
      <c r="EG141" s="5"/>
      <c r="EH141" s="5" t="s">
        <v>11997</v>
      </c>
      <c r="EI141" s="5"/>
      <c r="EJ141" s="5" t="s">
        <v>11997</v>
      </c>
      <c r="EK141" s="5"/>
      <c r="EL141" s="5" t="s">
        <v>11997</v>
      </c>
      <c r="EM141" s="5"/>
      <c r="EN141" s="5" t="s">
        <v>11997</v>
      </c>
      <c r="EO141" s="5"/>
      <c r="EP141" s="5" t="s">
        <v>11998</v>
      </c>
      <c r="EQ141" s="5"/>
      <c r="ER141" s="5" t="s">
        <v>11997</v>
      </c>
      <c r="ES141" s="5"/>
      <c r="ET141" s="5" t="s">
        <v>11972</v>
      </c>
      <c r="EU141" s="5"/>
      <c r="EV141" s="5"/>
      <c r="EW141" s="5"/>
      <c r="EX141" s="5"/>
      <c r="EY141" s="5" t="s">
        <v>7353</v>
      </c>
      <c r="EZ141" s="5"/>
      <c r="FA141" s="5" t="s">
        <v>1586</v>
      </c>
      <c r="FB141" s="5"/>
    </row>
    <row r="142" spans="1:158" ht="306">
      <c r="A142" s="5" t="s">
        <v>1588</v>
      </c>
      <c r="B142" s="5" t="s">
        <v>1589</v>
      </c>
      <c r="C142" s="5" t="s">
        <v>11952</v>
      </c>
      <c r="D142" s="5" t="s">
        <v>1590</v>
      </c>
      <c r="E142" s="5" t="s">
        <v>12011</v>
      </c>
      <c r="F142" s="5" t="s">
        <v>11994</v>
      </c>
      <c r="G142" s="5" t="s">
        <v>13658</v>
      </c>
      <c r="H142" s="5" t="s">
        <v>11235</v>
      </c>
      <c r="I142" s="5" t="s">
        <v>1508</v>
      </c>
      <c r="J142" s="5" t="s">
        <v>2854</v>
      </c>
      <c r="K142" s="5" t="s">
        <v>13659</v>
      </c>
      <c r="L142" s="5" t="s">
        <v>1597</v>
      </c>
      <c r="M142" s="5" t="s">
        <v>11952</v>
      </c>
      <c r="N142" s="5" t="s">
        <v>11952</v>
      </c>
      <c r="O142" s="5" t="s">
        <v>11952</v>
      </c>
      <c r="P142" s="5" t="s">
        <v>11952</v>
      </c>
      <c r="Q142" s="5" t="s">
        <v>1597</v>
      </c>
      <c r="R142" s="5" t="s">
        <v>13660</v>
      </c>
      <c r="S142" s="5" t="s">
        <v>11952</v>
      </c>
      <c r="T142" s="5" t="s">
        <v>13661</v>
      </c>
      <c r="U142" s="5" t="s">
        <v>3510</v>
      </c>
      <c r="V142" s="5" t="s">
        <v>121</v>
      </c>
      <c r="W142" s="5" t="s">
        <v>121</v>
      </c>
      <c r="X142" s="5" t="s">
        <v>121</v>
      </c>
      <c r="Y142" s="5" t="s">
        <v>121</v>
      </c>
      <c r="Z142" s="5" t="s">
        <v>11952</v>
      </c>
      <c r="AA142" s="5" t="s">
        <v>11952</v>
      </c>
      <c r="AB142" s="5" t="s">
        <v>121</v>
      </c>
      <c r="AC142" s="5" t="s">
        <v>121</v>
      </c>
      <c r="AD142" s="5" t="s">
        <v>121</v>
      </c>
      <c r="AE142" s="5" t="s">
        <v>121</v>
      </c>
      <c r="AF142" s="5" t="s">
        <v>121</v>
      </c>
      <c r="AG142" s="5" t="s">
        <v>121</v>
      </c>
      <c r="AH142" s="5" t="s">
        <v>121</v>
      </c>
      <c r="AI142" s="5" t="s">
        <v>121</v>
      </c>
      <c r="AJ142" s="5" t="s">
        <v>121</v>
      </c>
      <c r="AK142" s="5" t="s">
        <v>121</v>
      </c>
      <c r="AL142" s="5" t="s">
        <v>121</v>
      </c>
      <c r="AM142" s="5" t="s">
        <v>121</v>
      </c>
      <c r="AN142" s="5" t="s">
        <v>121</v>
      </c>
      <c r="AO142" s="5" t="s">
        <v>121</v>
      </c>
      <c r="AP142" s="5" t="s">
        <v>121</v>
      </c>
      <c r="AQ142" s="5" t="s">
        <v>121</v>
      </c>
      <c r="AR142" s="5" t="s">
        <v>121</v>
      </c>
      <c r="AS142" s="5" t="s">
        <v>121</v>
      </c>
      <c r="AT142" s="5" t="s">
        <v>121</v>
      </c>
      <c r="AU142" s="5" t="s">
        <v>1592</v>
      </c>
      <c r="AV142" s="5" t="s">
        <v>12003</v>
      </c>
      <c r="AW142" s="5" t="s">
        <v>1592</v>
      </c>
      <c r="AX142" s="5" t="s">
        <v>12159</v>
      </c>
      <c r="AY142" s="5" t="s">
        <v>121</v>
      </c>
      <c r="AZ142" s="5" t="s">
        <v>121</v>
      </c>
      <c r="BA142" s="5" t="s">
        <v>121</v>
      </c>
      <c r="BB142" s="5" t="s">
        <v>3510</v>
      </c>
      <c r="BC142" s="5" t="s">
        <v>3510</v>
      </c>
      <c r="BD142" s="5" t="s">
        <v>121</v>
      </c>
      <c r="BE142" s="5" t="s">
        <v>13662</v>
      </c>
      <c r="BF142" s="5" t="s">
        <v>121</v>
      </c>
      <c r="BG142" s="5" t="s">
        <v>121</v>
      </c>
      <c r="BH142" s="5" t="s">
        <v>13663</v>
      </c>
      <c r="BI142" s="5" t="s">
        <v>121</v>
      </c>
      <c r="BJ142" s="5" t="s">
        <v>1593</v>
      </c>
      <c r="BK142" s="5" t="s">
        <v>121</v>
      </c>
      <c r="BL142" s="5" t="s">
        <v>13664</v>
      </c>
      <c r="BM142" s="5" t="s">
        <v>13664</v>
      </c>
      <c r="BN142" s="5" t="s">
        <v>1594</v>
      </c>
      <c r="BO142" s="5" t="s">
        <v>11984</v>
      </c>
      <c r="BP142" s="5" t="s">
        <v>121</v>
      </c>
      <c r="BQ142" s="5" t="s">
        <v>121</v>
      </c>
      <c r="BR142" s="5" t="s">
        <v>2854</v>
      </c>
      <c r="BS142" s="5" t="s">
        <v>121</v>
      </c>
      <c r="BT142" s="5" t="s">
        <v>121</v>
      </c>
      <c r="BU142" s="5" t="s">
        <v>121</v>
      </c>
      <c r="BV142" s="5" t="s">
        <v>3510</v>
      </c>
      <c r="BW142" s="5" t="s">
        <v>3510</v>
      </c>
      <c r="BX142" s="5" t="s">
        <v>3510</v>
      </c>
      <c r="BY142" s="5" t="s">
        <v>12262</v>
      </c>
      <c r="BZ142" s="5" t="s">
        <v>13665</v>
      </c>
      <c r="CA142" s="5" t="s">
        <v>121</v>
      </c>
      <c r="CB142" s="5" t="s">
        <v>121</v>
      </c>
      <c r="CC142" s="5" t="s">
        <v>1591</v>
      </c>
      <c r="CD142" s="5" t="s">
        <v>121</v>
      </c>
      <c r="CE142" s="5" t="s">
        <v>121</v>
      </c>
      <c r="CF142" s="5" t="s">
        <v>11958</v>
      </c>
      <c r="CG142" s="5" t="s">
        <v>121</v>
      </c>
      <c r="CH142" s="5" t="s">
        <v>121</v>
      </c>
      <c r="CI142" s="5" t="s">
        <v>12034</v>
      </c>
      <c r="CJ142" s="5" t="s">
        <v>871</v>
      </c>
      <c r="CK142" s="5" t="s">
        <v>1595</v>
      </c>
      <c r="CL142" s="5" t="s">
        <v>2854</v>
      </c>
      <c r="CM142" s="5" t="s">
        <v>871</v>
      </c>
      <c r="CN142" s="5" t="s">
        <v>121</v>
      </c>
      <c r="CO142" s="5" t="s">
        <v>121</v>
      </c>
      <c r="CP142" s="5" t="s">
        <v>3510</v>
      </c>
      <c r="CQ142" s="5" t="s">
        <v>1596</v>
      </c>
      <c r="CR142" s="5" t="s">
        <v>11960</v>
      </c>
      <c r="CS142" s="5" t="s">
        <v>2854</v>
      </c>
      <c r="CT142" s="5" t="s">
        <v>3510</v>
      </c>
      <c r="CU142" s="5" t="s">
        <v>3510</v>
      </c>
      <c r="CV142" s="5" t="s">
        <v>11952</v>
      </c>
      <c r="CW142" s="5" t="s">
        <v>11952</v>
      </c>
      <c r="CX142" s="5" t="s">
        <v>13666</v>
      </c>
      <c r="CY142" s="5" t="s">
        <v>13667</v>
      </c>
      <c r="CZ142" s="5" t="s">
        <v>3510</v>
      </c>
      <c r="DA142" s="5" t="s">
        <v>11952</v>
      </c>
      <c r="DB142" s="5" t="s">
        <v>11963</v>
      </c>
      <c r="DC142" s="5" t="s">
        <v>13668</v>
      </c>
      <c r="DD142" s="5" t="s">
        <v>11963</v>
      </c>
      <c r="DE142" s="5" t="s">
        <v>13669</v>
      </c>
      <c r="DF142" s="5" t="s">
        <v>3510</v>
      </c>
      <c r="DG142" s="5" t="s">
        <v>13670</v>
      </c>
      <c r="DH142" s="5" t="s">
        <v>13671</v>
      </c>
      <c r="DI142" s="5" t="s">
        <v>11975</v>
      </c>
      <c r="DJ142" s="5" t="s">
        <v>12044</v>
      </c>
      <c r="DK142" s="5" t="s">
        <v>13672</v>
      </c>
      <c r="DL142" s="5">
        <v>5</v>
      </c>
      <c r="DM142" s="5">
        <v>5</v>
      </c>
      <c r="DN142" s="5">
        <v>4</v>
      </c>
      <c r="DO142" s="5">
        <v>1.5</v>
      </c>
      <c r="DP142" s="5">
        <v>4</v>
      </c>
      <c r="DQ142" s="5">
        <v>2.5</v>
      </c>
      <c r="DR142" s="5">
        <v>0</v>
      </c>
      <c r="DS142" s="5">
        <v>69.5</v>
      </c>
      <c r="DT142" s="5" t="s">
        <v>11968</v>
      </c>
      <c r="DU142" s="5" t="s">
        <v>12116</v>
      </c>
      <c r="DV142" s="5" t="s">
        <v>11970</v>
      </c>
      <c r="DW142" s="5"/>
      <c r="DX142" s="5">
        <v>27</v>
      </c>
      <c r="DY142" s="5"/>
      <c r="DZ142" s="5">
        <v>100</v>
      </c>
      <c r="EA142" s="5"/>
      <c r="EB142" s="5">
        <v>0.27</v>
      </c>
      <c r="EC142" s="5"/>
      <c r="ED142" s="5" t="s">
        <v>11971</v>
      </c>
      <c r="EE142" s="5"/>
      <c r="EF142" s="5" t="s">
        <v>11997</v>
      </c>
      <c r="EG142" s="5"/>
      <c r="EH142" s="5" t="s">
        <v>11997</v>
      </c>
      <c r="EI142" s="5"/>
      <c r="EJ142" s="5" t="s">
        <v>11997</v>
      </c>
      <c r="EK142" s="5"/>
      <c r="EL142" s="5" t="s">
        <v>11997</v>
      </c>
      <c r="EM142" s="5"/>
      <c r="EN142" s="5" t="s">
        <v>11997</v>
      </c>
      <c r="EO142" s="5"/>
      <c r="EP142" s="5" t="s">
        <v>11998</v>
      </c>
      <c r="EQ142" s="5"/>
      <c r="ER142" s="5" t="s">
        <v>11997</v>
      </c>
      <c r="ES142" s="5"/>
      <c r="ET142" s="5" t="s">
        <v>11972</v>
      </c>
      <c r="EU142" s="5"/>
      <c r="EV142" s="5"/>
      <c r="EW142" s="5"/>
      <c r="EX142" s="5"/>
      <c r="EY142" s="5" t="s">
        <v>7383</v>
      </c>
      <c r="EZ142" s="5"/>
      <c r="FA142" s="5" t="s">
        <v>1597</v>
      </c>
      <c r="FB142" s="5"/>
    </row>
    <row r="143" spans="1:158" ht="89.25">
      <c r="A143" s="5" t="s">
        <v>1599</v>
      </c>
      <c r="B143" s="5" t="s">
        <v>1600</v>
      </c>
      <c r="C143" s="5" t="s">
        <v>11952</v>
      </c>
      <c r="D143" s="5" t="s">
        <v>1601</v>
      </c>
      <c r="E143" s="5" t="s">
        <v>11953</v>
      </c>
      <c r="F143" s="5" t="s">
        <v>11954</v>
      </c>
      <c r="G143" s="5" t="s">
        <v>11955</v>
      </c>
      <c r="H143" s="5" t="s">
        <v>11235</v>
      </c>
      <c r="I143" s="5" t="s">
        <v>1607</v>
      </c>
      <c r="J143" s="5" t="s">
        <v>3510</v>
      </c>
      <c r="K143" s="5" t="s">
        <v>11956</v>
      </c>
      <c r="L143" s="5" t="s">
        <v>1608</v>
      </c>
      <c r="M143" s="5" t="s">
        <v>11952</v>
      </c>
      <c r="N143" s="5" t="s">
        <v>11952</v>
      </c>
      <c r="O143" s="5" t="s">
        <v>11952</v>
      </c>
      <c r="P143" s="5" t="s">
        <v>11952</v>
      </c>
      <c r="Q143" s="5" t="s">
        <v>11952</v>
      </c>
      <c r="R143" s="5" t="s">
        <v>1608</v>
      </c>
      <c r="S143" s="5" t="s">
        <v>11952</v>
      </c>
      <c r="T143" s="5" t="s">
        <v>121</v>
      </c>
      <c r="U143" s="5" t="s">
        <v>3510</v>
      </c>
      <c r="V143" s="5" t="s">
        <v>121</v>
      </c>
      <c r="W143" s="5" t="s">
        <v>121</v>
      </c>
      <c r="X143" s="5" t="s">
        <v>121</v>
      </c>
      <c r="Y143" s="5" t="s">
        <v>121</v>
      </c>
      <c r="Z143" s="5" t="s">
        <v>11952</v>
      </c>
      <c r="AA143" s="5" t="s">
        <v>11952</v>
      </c>
      <c r="AB143" s="5" t="s">
        <v>121</v>
      </c>
      <c r="AC143" s="5" t="s">
        <v>121</v>
      </c>
      <c r="AD143" s="5" t="s">
        <v>121</v>
      </c>
      <c r="AE143" s="5" t="s">
        <v>121</v>
      </c>
      <c r="AF143" s="5" t="s">
        <v>121</v>
      </c>
      <c r="AG143" s="5" t="s">
        <v>121</v>
      </c>
      <c r="AH143" s="5" t="s">
        <v>121</v>
      </c>
      <c r="AI143" s="5" t="s">
        <v>121</v>
      </c>
      <c r="AJ143" s="5" t="s">
        <v>121</v>
      </c>
      <c r="AK143" s="5" t="s">
        <v>121</v>
      </c>
      <c r="AL143" s="5" t="s">
        <v>121</v>
      </c>
      <c r="AM143" s="5" t="s">
        <v>121</v>
      </c>
      <c r="AN143" s="5" t="s">
        <v>121</v>
      </c>
      <c r="AO143" s="5" t="s">
        <v>121</v>
      </c>
      <c r="AP143" s="5" t="s">
        <v>121</v>
      </c>
      <c r="AQ143" s="5" t="s">
        <v>121</v>
      </c>
      <c r="AR143" s="5" t="s">
        <v>121</v>
      </c>
      <c r="AS143" s="5" t="s">
        <v>121</v>
      </c>
      <c r="AT143" s="5" t="s">
        <v>121</v>
      </c>
      <c r="AU143" s="5" t="s">
        <v>121</v>
      </c>
      <c r="AV143" s="5" t="s">
        <v>121</v>
      </c>
      <c r="AW143" s="5" t="s">
        <v>121</v>
      </c>
      <c r="AX143" s="5" t="s">
        <v>121</v>
      </c>
      <c r="AY143" s="5" t="s">
        <v>121</v>
      </c>
      <c r="AZ143" s="5" t="s">
        <v>121</v>
      </c>
      <c r="BA143" s="5" t="s">
        <v>121</v>
      </c>
      <c r="BB143" s="5" t="s">
        <v>3510</v>
      </c>
      <c r="BC143" s="5" t="s">
        <v>121</v>
      </c>
      <c r="BD143" s="5" t="s">
        <v>121</v>
      </c>
      <c r="BE143" s="5" t="s">
        <v>121</v>
      </c>
      <c r="BF143" s="5" t="s">
        <v>121</v>
      </c>
      <c r="BG143" s="5" t="s">
        <v>121</v>
      </c>
      <c r="BH143" s="5" t="s">
        <v>12721</v>
      </c>
      <c r="BI143" s="5" t="s">
        <v>121</v>
      </c>
      <c r="BJ143" s="5" t="s">
        <v>1602</v>
      </c>
      <c r="BK143" s="5" t="s">
        <v>121</v>
      </c>
      <c r="BL143" s="5" t="s">
        <v>332</v>
      </c>
      <c r="BM143" s="5" t="s">
        <v>332</v>
      </c>
      <c r="BN143" s="5" t="s">
        <v>1603</v>
      </c>
      <c r="BO143" s="5" t="s">
        <v>12398</v>
      </c>
      <c r="BP143" s="5" t="s">
        <v>121</v>
      </c>
      <c r="BQ143" s="5" t="s">
        <v>2854</v>
      </c>
      <c r="BR143" s="5" t="s">
        <v>121</v>
      </c>
      <c r="BS143" s="5" t="s">
        <v>121</v>
      </c>
      <c r="BT143" s="5" t="s">
        <v>121</v>
      </c>
      <c r="BU143" s="5" t="s">
        <v>121</v>
      </c>
      <c r="BV143" s="5" t="s">
        <v>121</v>
      </c>
      <c r="BW143" s="5" t="s">
        <v>121</v>
      </c>
      <c r="BX143" s="5" t="s">
        <v>121</v>
      </c>
      <c r="BY143" s="5" t="s">
        <v>121</v>
      </c>
      <c r="BZ143" s="5" t="s">
        <v>121</v>
      </c>
      <c r="CA143" s="5" t="s">
        <v>121</v>
      </c>
      <c r="CB143" s="5" t="s">
        <v>121</v>
      </c>
      <c r="CC143" s="5" t="s">
        <v>332</v>
      </c>
      <c r="CD143" s="5" t="s">
        <v>121</v>
      </c>
      <c r="CE143" s="5" t="s">
        <v>121</v>
      </c>
      <c r="CF143" s="5" t="s">
        <v>11958</v>
      </c>
      <c r="CG143" s="5" t="s">
        <v>121</v>
      </c>
      <c r="CH143" s="5" t="s">
        <v>121</v>
      </c>
      <c r="CI143" s="5" t="s">
        <v>11959</v>
      </c>
      <c r="CJ143" s="5" t="s">
        <v>287</v>
      </c>
      <c r="CK143" s="5" t="s">
        <v>1604</v>
      </c>
      <c r="CL143" s="5" t="s">
        <v>2854</v>
      </c>
      <c r="CM143" s="5" t="s">
        <v>287</v>
      </c>
      <c r="CN143" s="5" t="s">
        <v>121</v>
      </c>
      <c r="CO143" s="5" t="s">
        <v>121</v>
      </c>
      <c r="CP143" s="5" t="s">
        <v>3510</v>
      </c>
      <c r="CQ143" s="5" t="s">
        <v>1605</v>
      </c>
      <c r="CR143" s="5" t="s">
        <v>11960</v>
      </c>
      <c r="CS143" s="5" t="s">
        <v>3510</v>
      </c>
      <c r="CT143" s="5" t="s">
        <v>3510</v>
      </c>
      <c r="CU143" s="5" t="s">
        <v>3510</v>
      </c>
      <c r="CV143" s="5" t="s">
        <v>11952</v>
      </c>
      <c r="CW143" s="5" t="s">
        <v>13673</v>
      </c>
      <c r="CX143" s="5" t="s">
        <v>13674</v>
      </c>
      <c r="CY143" s="5" t="s">
        <v>13675</v>
      </c>
      <c r="CZ143" s="5" t="s">
        <v>3510</v>
      </c>
      <c r="DA143" s="5" t="s">
        <v>11952</v>
      </c>
      <c r="DB143" s="5" t="s">
        <v>11963</v>
      </c>
      <c r="DC143" s="5" t="s">
        <v>11963</v>
      </c>
      <c r="DD143" s="5" t="s">
        <v>11963</v>
      </c>
      <c r="DE143" s="5" t="s">
        <v>11963</v>
      </c>
      <c r="DF143" s="5" t="s">
        <v>3510</v>
      </c>
      <c r="DG143" s="5" t="s">
        <v>11964</v>
      </c>
      <c r="DH143" s="5" t="s">
        <v>13676</v>
      </c>
      <c r="DI143" s="5" t="s">
        <v>11975</v>
      </c>
      <c r="DJ143" s="5" t="s">
        <v>12044</v>
      </c>
      <c r="DK143" s="5" t="s">
        <v>11967</v>
      </c>
      <c r="DL143" s="5">
        <v>5</v>
      </c>
      <c r="DM143" s="5">
        <v>3</v>
      </c>
      <c r="DN143" s="5">
        <v>3.5</v>
      </c>
      <c r="DO143" s="5">
        <v>2</v>
      </c>
      <c r="DP143" s="5">
        <v>2</v>
      </c>
      <c r="DQ143" s="5">
        <v>1</v>
      </c>
      <c r="DR143" s="5">
        <v>0</v>
      </c>
      <c r="DS143" s="5">
        <v>54.5</v>
      </c>
      <c r="DT143" s="5" t="s">
        <v>11968</v>
      </c>
      <c r="DU143" s="5" t="s">
        <v>11969</v>
      </c>
      <c r="DV143" s="5" t="s">
        <v>11970</v>
      </c>
      <c r="DW143" s="5"/>
      <c r="DX143" s="5">
        <v>16</v>
      </c>
      <c r="DY143" s="5"/>
      <c r="DZ143" s="5">
        <v>100</v>
      </c>
      <c r="EA143" s="5"/>
      <c r="EB143" s="5">
        <v>0.16</v>
      </c>
      <c r="EC143" s="5"/>
      <c r="ED143" s="5" t="s">
        <v>11971</v>
      </c>
      <c r="EE143" s="5"/>
      <c r="EF143" s="5" t="s">
        <v>11997</v>
      </c>
      <c r="EG143" s="5"/>
      <c r="EH143" s="5" t="s">
        <v>11997</v>
      </c>
      <c r="EI143" s="5"/>
      <c r="EJ143" s="5" t="s">
        <v>11997</v>
      </c>
      <c r="EK143" s="5"/>
      <c r="EL143" s="5" t="s">
        <v>11997</v>
      </c>
      <c r="EM143" s="5"/>
      <c r="EN143" s="5" t="s">
        <v>11997</v>
      </c>
      <c r="EO143" s="5"/>
      <c r="EP143" s="5" t="s">
        <v>11998</v>
      </c>
      <c r="EQ143" s="5"/>
      <c r="ER143" s="5" t="s">
        <v>11997</v>
      </c>
      <c r="ES143" s="5"/>
      <c r="ET143" s="5" t="s">
        <v>11972</v>
      </c>
      <c r="EU143" s="5"/>
      <c r="EV143" s="5"/>
      <c r="EW143" s="5"/>
      <c r="EX143" s="5"/>
      <c r="EY143" s="5" t="s">
        <v>7416</v>
      </c>
      <c r="EZ143" s="5"/>
      <c r="FA143" s="5" t="s">
        <v>1608</v>
      </c>
      <c r="FB143" s="5"/>
    </row>
    <row r="144" spans="1:158" ht="178.5">
      <c r="A144" s="5" t="s">
        <v>1610</v>
      </c>
      <c r="B144" s="5" t="s">
        <v>1611</v>
      </c>
      <c r="C144" s="5" t="s">
        <v>11952</v>
      </c>
      <c r="D144" s="5" t="s">
        <v>1601</v>
      </c>
      <c r="E144" s="5" t="s">
        <v>12011</v>
      </c>
      <c r="F144" s="5" t="s">
        <v>11994</v>
      </c>
      <c r="G144" s="5" t="s">
        <v>13677</v>
      </c>
      <c r="H144" s="5" t="s">
        <v>12530</v>
      </c>
      <c r="I144" s="5" t="s">
        <v>1607</v>
      </c>
      <c r="J144" s="5" t="s">
        <v>3510</v>
      </c>
      <c r="K144" s="5" t="s">
        <v>13678</v>
      </c>
      <c r="L144" s="5" t="s">
        <v>1620</v>
      </c>
      <c r="M144" s="5" t="s">
        <v>11952</v>
      </c>
      <c r="N144" s="5" t="s">
        <v>11952</v>
      </c>
      <c r="O144" s="5" t="s">
        <v>11952</v>
      </c>
      <c r="P144" s="5" t="s">
        <v>11952</v>
      </c>
      <c r="Q144" s="5" t="s">
        <v>11952</v>
      </c>
      <c r="R144" s="5" t="s">
        <v>1620</v>
      </c>
      <c r="S144" s="5" t="s">
        <v>11952</v>
      </c>
      <c r="T144" s="5" t="s">
        <v>121</v>
      </c>
      <c r="U144" s="5" t="s">
        <v>3510</v>
      </c>
      <c r="V144" s="5" t="s">
        <v>121</v>
      </c>
      <c r="W144" s="5" t="s">
        <v>121</v>
      </c>
      <c r="X144" s="5" t="s">
        <v>121</v>
      </c>
      <c r="Y144" s="5" t="s">
        <v>121</v>
      </c>
      <c r="Z144" s="5" t="s">
        <v>11952</v>
      </c>
      <c r="AA144" s="5" t="s">
        <v>11952</v>
      </c>
      <c r="AB144" s="5" t="s">
        <v>155</v>
      </c>
      <c r="AC144" s="5" t="s">
        <v>1617</v>
      </c>
      <c r="AD144" s="5" t="s">
        <v>121</v>
      </c>
      <c r="AE144" s="5" t="s">
        <v>121</v>
      </c>
      <c r="AF144" s="5" t="s">
        <v>1617</v>
      </c>
      <c r="AG144" s="5" t="s">
        <v>121</v>
      </c>
      <c r="AH144" s="5" t="s">
        <v>121</v>
      </c>
      <c r="AI144" s="5" t="s">
        <v>121</v>
      </c>
      <c r="AJ144" s="5" t="s">
        <v>121</v>
      </c>
      <c r="AK144" s="5" t="s">
        <v>121</v>
      </c>
      <c r="AL144" s="5" t="s">
        <v>121</v>
      </c>
      <c r="AM144" s="5" t="s">
        <v>121</v>
      </c>
      <c r="AN144" s="5" t="s">
        <v>121</v>
      </c>
      <c r="AO144" s="5" t="s">
        <v>121</v>
      </c>
      <c r="AP144" s="5" t="s">
        <v>121</v>
      </c>
      <c r="AQ144" s="5" t="s">
        <v>121</v>
      </c>
      <c r="AR144" s="5" t="s">
        <v>121</v>
      </c>
      <c r="AS144" s="5" t="s">
        <v>1618</v>
      </c>
      <c r="AT144" s="5" t="s">
        <v>121</v>
      </c>
      <c r="AU144" s="5" t="s">
        <v>1613</v>
      </c>
      <c r="AV144" s="5" t="s">
        <v>121</v>
      </c>
      <c r="AW144" s="5" t="s">
        <v>121</v>
      </c>
      <c r="AX144" s="5" t="s">
        <v>121</v>
      </c>
      <c r="AY144" s="5" t="s">
        <v>121</v>
      </c>
      <c r="AZ144" s="5" t="s">
        <v>121</v>
      </c>
      <c r="BA144" s="5" t="s">
        <v>121</v>
      </c>
      <c r="BB144" s="5" t="s">
        <v>3510</v>
      </c>
      <c r="BC144" s="5" t="s">
        <v>121</v>
      </c>
      <c r="BD144" s="5" t="s">
        <v>121</v>
      </c>
      <c r="BE144" s="5" t="s">
        <v>121</v>
      </c>
      <c r="BF144" s="5" t="s">
        <v>121</v>
      </c>
      <c r="BG144" s="5" t="s">
        <v>121</v>
      </c>
      <c r="BH144" s="5" t="s">
        <v>12721</v>
      </c>
      <c r="BI144" s="5" t="s">
        <v>121</v>
      </c>
      <c r="BJ144" s="5" t="s">
        <v>1614</v>
      </c>
      <c r="BK144" s="5" t="s">
        <v>121</v>
      </c>
      <c r="BL144" s="5" t="s">
        <v>13679</v>
      </c>
      <c r="BM144" s="5" t="s">
        <v>13679</v>
      </c>
      <c r="BN144" s="5" t="s">
        <v>1615</v>
      </c>
      <c r="BO144" s="5" t="s">
        <v>12398</v>
      </c>
      <c r="BP144" s="5" t="s">
        <v>2854</v>
      </c>
      <c r="BQ144" s="5" t="s">
        <v>2854</v>
      </c>
      <c r="BR144" s="5" t="s">
        <v>121</v>
      </c>
      <c r="BS144" s="5" t="s">
        <v>121</v>
      </c>
      <c r="BT144" s="5" t="s">
        <v>121</v>
      </c>
      <c r="BU144" s="5" t="s">
        <v>2854</v>
      </c>
      <c r="BV144" s="5" t="s">
        <v>3510</v>
      </c>
      <c r="BW144" s="5" t="s">
        <v>3510</v>
      </c>
      <c r="BX144" s="5" t="s">
        <v>3510</v>
      </c>
      <c r="BY144" s="5" t="s">
        <v>13680</v>
      </c>
      <c r="BZ144" s="5" t="s">
        <v>13681</v>
      </c>
      <c r="CA144" s="5" t="s">
        <v>121</v>
      </c>
      <c r="CB144" s="5" t="s">
        <v>121</v>
      </c>
      <c r="CC144" s="5" t="s">
        <v>1612</v>
      </c>
      <c r="CD144" s="5" t="s">
        <v>121</v>
      </c>
      <c r="CE144" s="5" t="s">
        <v>121</v>
      </c>
      <c r="CF144" s="5" t="s">
        <v>11958</v>
      </c>
      <c r="CG144" s="5" t="s">
        <v>121</v>
      </c>
      <c r="CH144" s="5" t="s">
        <v>121</v>
      </c>
      <c r="CI144" s="5" t="s">
        <v>13682</v>
      </c>
      <c r="CJ144" s="5" t="s">
        <v>287</v>
      </c>
      <c r="CK144" s="5" t="s">
        <v>1616</v>
      </c>
      <c r="CL144" s="5" t="s">
        <v>2854</v>
      </c>
      <c r="CM144" s="5" t="s">
        <v>287</v>
      </c>
      <c r="CN144" s="5" t="s">
        <v>121</v>
      </c>
      <c r="CO144" s="5" t="s">
        <v>121</v>
      </c>
      <c r="CP144" s="5" t="s">
        <v>3510</v>
      </c>
      <c r="CQ144" s="5" t="s">
        <v>1619</v>
      </c>
      <c r="CR144" s="5" t="s">
        <v>12187</v>
      </c>
      <c r="CS144" s="5" t="s">
        <v>3510</v>
      </c>
      <c r="CT144" s="5" t="s">
        <v>3510</v>
      </c>
      <c r="CU144" s="5" t="s">
        <v>2854</v>
      </c>
      <c r="CV144" s="5" t="s">
        <v>11952</v>
      </c>
      <c r="CW144" s="5" t="s">
        <v>11952</v>
      </c>
      <c r="CX144" s="5" t="s">
        <v>13683</v>
      </c>
      <c r="CY144" s="5" t="s">
        <v>13684</v>
      </c>
      <c r="CZ144" s="5" t="s">
        <v>11989</v>
      </c>
      <c r="DA144" s="5" t="s">
        <v>11989</v>
      </c>
      <c r="DB144" s="5" t="s">
        <v>11963</v>
      </c>
      <c r="DC144" s="5" t="s">
        <v>13685</v>
      </c>
      <c r="DD144" s="5" t="s">
        <v>11963</v>
      </c>
      <c r="DE144" s="5" t="s">
        <v>13686</v>
      </c>
      <c r="DF144" s="5" t="s">
        <v>2854</v>
      </c>
      <c r="DG144" s="5" t="s">
        <v>13687</v>
      </c>
      <c r="DH144" s="5" t="s">
        <v>13688</v>
      </c>
      <c r="DI144" s="5" t="s">
        <v>11975</v>
      </c>
      <c r="DJ144" s="5" t="s">
        <v>11966</v>
      </c>
      <c r="DK144" s="5" t="s">
        <v>12176</v>
      </c>
      <c r="DL144" s="5">
        <v>4.5</v>
      </c>
      <c r="DM144" s="5">
        <v>4</v>
      </c>
      <c r="DN144" s="5">
        <v>4.2</v>
      </c>
      <c r="DO144" s="5">
        <v>2.5</v>
      </c>
      <c r="DP144" s="5">
        <v>2.5</v>
      </c>
      <c r="DQ144" s="5">
        <v>1</v>
      </c>
      <c r="DR144" s="5">
        <v>1.5</v>
      </c>
      <c r="DS144" s="5">
        <v>64.099999999999994</v>
      </c>
      <c r="DT144" s="5" t="s">
        <v>11968</v>
      </c>
      <c r="DU144" s="5" t="s">
        <v>12116</v>
      </c>
      <c r="DV144" s="5" t="s">
        <v>11970</v>
      </c>
      <c r="DW144" s="5"/>
      <c r="DX144" s="5">
        <v>27</v>
      </c>
      <c r="DY144" s="5"/>
      <c r="DZ144" s="5">
        <v>100</v>
      </c>
      <c r="EA144" s="5"/>
      <c r="EB144" s="5">
        <v>0.27</v>
      </c>
      <c r="EC144" s="5"/>
      <c r="ED144" s="5" t="s">
        <v>11971</v>
      </c>
      <c r="EE144" s="5"/>
      <c r="EF144" s="5" t="s">
        <v>11997</v>
      </c>
      <c r="EG144" s="5"/>
      <c r="EH144" s="5" t="s">
        <v>11997</v>
      </c>
      <c r="EI144" s="5"/>
      <c r="EJ144" s="5" t="s">
        <v>11997</v>
      </c>
      <c r="EK144" s="5"/>
      <c r="EL144" s="5" t="s">
        <v>11997</v>
      </c>
      <c r="EM144" s="5"/>
      <c r="EN144" s="5" t="s">
        <v>11997</v>
      </c>
      <c r="EO144" s="5"/>
      <c r="EP144" s="5" t="s">
        <v>11998</v>
      </c>
      <c r="EQ144" s="5"/>
      <c r="ER144" s="5" t="s">
        <v>11997</v>
      </c>
      <c r="ES144" s="5"/>
      <c r="ET144" s="5" t="s">
        <v>11972</v>
      </c>
      <c r="EU144" s="5"/>
      <c r="EV144" s="5"/>
      <c r="EW144" s="5"/>
      <c r="EX144" s="5"/>
      <c r="EY144" s="5" t="s">
        <v>7443</v>
      </c>
      <c r="EZ144" s="5"/>
      <c r="FA144" s="5" t="s">
        <v>1620</v>
      </c>
      <c r="FB144" s="5"/>
    </row>
    <row r="145" spans="1:158" ht="76.5">
      <c r="A145" s="5" t="s">
        <v>1622</v>
      </c>
      <c r="B145" s="5" t="s">
        <v>1623</v>
      </c>
      <c r="C145" s="5" t="s">
        <v>11952</v>
      </c>
      <c r="D145" s="5" t="s">
        <v>1601</v>
      </c>
      <c r="E145" s="5" t="s">
        <v>11953</v>
      </c>
      <c r="F145" s="5" t="s">
        <v>11954</v>
      </c>
      <c r="G145" s="5" t="s">
        <v>11955</v>
      </c>
      <c r="H145" s="5" t="s">
        <v>11235</v>
      </c>
      <c r="I145" s="5" t="s">
        <v>1607</v>
      </c>
      <c r="J145" s="5" t="s">
        <v>3510</v>
      </c>
      <c r="K145" s="5" t="s">
        <v>11956</v>
      </c>
      <c r="L145" s="5" t="s">
        <v>1626</v>
      </c>
      <c r="M145" s="5" t="s">
        <v>11952</v>
      </c>
      <c r="N145" s="5" t="s">
        <v>11952</v>
      </c>
      <c r="O145" s="5" t="s">
        <v>11952</v>
      </c>
      <c r="P145" s="5" t="s">
        <v>11952</v>
      </c>
      <c r="Q145" s="5" t="s">
        <v>11952</v>
      </c>
      <c r="R145" s="5" t="s">
        <v>1626</v>
      </c>
      <c r="S145" s="5" t="s">
        <v>11952</v>
      </c>
      <c r="T145" s="5" t="s">
        <v>121</v>
      </c>
      <c r="U145" s="5" t="s">
        <v>3510</v>
      </c>
      <c r="V145" s="5" t="s">
        <v>121</v>
      </c>
      <c r="W145" s="5" t="s">
        <v>121</v>
      </c>
      <c r="X145" s="5" t="s">
        <v>121</v>
      </c>
      <c r="Y145" s="5" t="s">
        <v>121</v>
      </c>
      <c r="Z145" s="5" t="s">
        <v>11952</v>
      </c>
      <c r="AA145" s="5" t="s">
        <v>11952</v>
      </c>
      <c r="AB145" s="5" t="s">
        <v>121</v>
      </c>
      <c r="AC145" s="5" t="s">
        <v>121</v>
      </c>
      <c r="AD145" s="5" t="s">
        <v>121</v>
      </c>
      <c r="AE145" s="5" t="s">
        <v>121</v>
      </c>
      <c r="AF145" s="5" t="s">
        <v>121</v>
      </c>
      <c r="AG145" s="5" t="s">
        <v>121</v>
      </c>
      <c r="AH145" s="5" t="s">
        <v>121</v>
      </c>
      <c r="AI145" s="5" t="s">
        <v>121</v>
      </c>
      <c r="AJ145" s="5" t="s">
        <v>121</v>
      </c>
      <c r="AK145" s="5" t="s">
        <v>121</v>
      </c>
      <c r="AL145" s="5" t="s">
        <v>121</v>
      </c>
      <c r="AM145" s="5" t="s">
        <v>121</v>
      </c>
      <c r="AN145" s="5" t="s">
        <v>121</v>
      </c>
      <c r="AO145" s="5" t="s">
        <v>121</v>
      </c>
      <c r="AP145" s="5" t="s">
        <v>121</v>
      </c>
      <c r="AQ145" s="5" t="s">
        <v>121</v>
      </c>
      <c r="AR145" s="5" t="s">
        <v>121</v>
      </c>
      <c r="AS145" s="5" t="s">
        <v>121</v>
      </c>
      <c r="AT145" s="5" t="s">
        <v>121</v>
      </c>
      <c r="AU145" s="5" t="s">
        <v>121</v>
      </c>
      <c r="AV145" s="5" t="s">
        <v>121</v>
      </c>
      <c r="AW145" s="5" t="s">
        <v>121</v>
      </c>
      <c r="AX145" s="5" t="s">
        <v>121</v>
      </c>
      <c r="AY145" s="5" t="s">
        <v>121</v>
      </c>
      <c r="AZ145" s="5" t="s">
        <v>121</v>
      </c>
      <c r="BA145" s="5" t="s">
        <v>121</v>
      </c>
      <c r="BB145" s="5" t="s">
        <v>121</v>
      </c>
      <c r="BC145" s="5" t="s">
        <v>121</v>
      </c>
      <c r="BD145" s="5" t="s">
        <v>121</v>
      </c>
      <c r="BE145" s="5" t="s">
        <v>121</v>
      </c>
      <c r="BF145" s="5" t="s">
        <v>121</v>
      </c>
      <c r="BG145" s="5" t="s">
        <v>121</v>
      </c>
      <c r="BH145" s="5" t="s">
        <v>12815</v>
      </c>
      <c r="BI145" s="5" t="s">
        <v>121</v>
      </c>
      <c r="BJ145" s="5" t="s">
        <v>121</v>
      </c>
      <c r="BK145" s="5" t="s">
        <v>121</v>
      </c>
      <c r="BL145" s="5" t="s">
        <v>121</v>
      </c>
      <c r="BM145" s="5" t="s">
        <v>121</v>
      </c>
      <c r="BN145" s="5" t="s">
        <v>121</v>
      </c>
      <c r="BO145" s="5" t="s">
        <v>121</v>
      </c>
      <c r="BP145" s="5" t="s">
        <v>121</v>
      </c>
      <c r="BQ145" s="5" t="s">
        <v>121</v>
      </c>
      <c r="BR145" s="5" t="s">
        <v>121</v>
      </c>
      <c r="BS145" s="5" t="s">
        <v>121</v>
      </c>
      <c r="BT145" s="5" t="s">
        <v>121</v>
      </c>
      <c r="BU145" s="5" t="s">
        <v>121</v>
      </c>
      <c r="BV145" s="5" t="s">
        <v>121</v>
      </c>
      <c r="BW145" s="5" t="s">
        <v>121</v>
      </c>
      <c r="BX145" s="5" t="s">
        <v>121</v>
      </c>
      <c r="BY145" s="5" t="s">
        <v>121</v>
      </c>
      <c r="BZ145" s="5" t="s">
        <v>121</v>
      </c>
      <c r="CA145" s="5" t="s">
        <v>121</v>
      </c>
      <c r="CB145" s="5" t="s">
        <v>121</v>
      </c>
      <c r="CC145" s="5" t="s">
        <v>121</v>
      </c>
      <c r="CD145" s="5" t="s">
        <v>121</v>
      </c>
      <c r="CE145" s="5" t="s">
        <v>121</v>
      </c>
      <c r="CF145" s="5" t="s">
        <v>121</v>
      </c>
      <c r="CG145" s="5" t="s">
        <v>121</v>
      </c>
      <c r="CH145" s="5" t="s">
        <v>121</v>
      </c>
      <c r="CI145" s="5" t="s">
        <v>11972</v>
      </c>
      <c r="CJ145" s="5" t="s">
        <v>287</v>
      </c>
      <c r="CK145" s="5" t="s">
        <v>1624</v>
      </c>
      <c r="CL145" s="5" t="s">
        <v>2854</v>
      </c>
      <c r="CM145" s="5" t="s">
        <v>287</v>
      </c>
      <c r="CN145" s="5" t="s">
        <v>121</v>
      </c>
      <c r="CO145" s="5" t="s">
        <v>121</v>
      </c>
      <c r="CP145" s="5" t="s">
        <v>3510</v>
      </c>
      <c r="CQ145" s="5" t="s">
        <v>1625</v>
      </c>
      <c r="CR145" s="5" t="s">
        <v>11960</v>
      </c>
      <c r="CS145" s="5" t="s">
        <v>3510</v>
      </c>
      <c r="CT145" s="5" t="s">
        <v>3510</v>
      </c>
      <c r="CU145" s="5" t="s">
        <v>3510</v>
      </c>
      <c r="CV145" s="5" t="s">
        <v>11952</v>
      </c>
      <c r="CW145" s="5" t="s">
        <v>11952</v>
      </c>
      <c r="CX145" s="5" t="s">
        <v>13674</v>
      </c>
      <c r="CY145" s="5" t="s">
        <v>13689</v>
      </c>
      <c r="CZ145" s="5" t="s">
        <v>3510</v>
      </c>
      <c r="DA145" s="5" t="s">
        <v>11952</v>
      </c>
      <c r="DB145" s="5" t="s">
        <v>11963</v>
      </c>
      <c r="DC145" s="5" t="s">
        <v>11963</v>
      </c>
      <c r="DD145" s="5" t="s">
        <v>11963</v>
      </c>
      <c r="DE145" s="5" t="s">
        <v>11963</v>
      </c>
      <c r="DF145" s="5" t="s">
        <v>3510</v>
      </c>
      <c r="DG145" s="5" t="s">
        <v>11964</v>
      </c>
      <c r="DH145" s="5" t="s">
        <v>13690</v>
      </c>
      <c r="DI145" s="5" t="s">
        <v>11966</v>
      </c>
      <c r="DJ145" s="5" t="s">
        <v>11994</v>
      </c>
      <c r="DK145" s="5" t="s">
        <v>12201</v>
      </c>
      <c r="DL145" s="5">
        <v>3</v>
      </c>
      <c r="DM145" s="5">
        <v>0</v>
      </c>
      <c r="DN145" s="5">
        <v>0</v>
      </c>
      <c r="DO145" s="5">
        <v>4</v>
      </c>
      <c r="DP145" s="5">
        <v>0</v>
      </c>
      <c r="DQ145" s="5">
        <v>0</v>
      </c>
      <c r="DR145" s="5">
        <v>0</v>
      </c>
      <c r="DS145" s="5">
        <v>24</v>
      </c>
      <c r="DT145" s="5" t="s">
        <v>11968</v>
      </c>
      <c r="DU145" s="5" t="s">
        <v>11969</v>
      </c>
      <c r="DV145" s="5" t="s">
        <v>11970</v>
      </c>
      <c r="DW145" s="5"/>
      <c r="DX145" s="5">
        <v>4</v>
      </c>
      <c r="DY145" s="5"/>
      <c r="DZ145" s="5">
        <v>100</v>
      </c>
      <c r="EA145" s="5"/>
      <c r="EB145" s="5">
        <v>0.04</v>
      </c>
      <c r="EC145" s="5"/>
      <c r="ED145" s="5" t="s">
        <v>11971</v>
      </c>
      <c r="EE145" s="5"/>
      <c r="EF145" s="5" t="s">
        <v>11997</v>
      </c>
      <c r="EG145" s="5"/>
      <c r="EH145" s="5" t="s">
        <v>11997</v>
      </c>
      <c r="EI145" s="5"/>
      <c r="EJ145" s="5" t="s">
        <v>11997</v>
      </c>
      <c r="EK145" s="5"/>
      <c r="EL145" s="5" t="s">
        <v>11997</v>
      </c>
      <c r="EM145" s="5"/>
      <c r="EN145" s="5" t="s">
        <v>11997</v>
      </c>
      <c r="EO145" s="5"/>
      <c r="EP145" s="5" t="s">
        <v>11998</v>
      </c>
      <c r="EQ145" s="5"/>
      <c r="ER145" s="5" t="s">
        <v>11997</v>
      </c>
      <c r="ES145" s="5"/>
      <c r="ET145" s="5" t="s">
        <v>11972</v>
      </c>
      <c r="EU145" s="5"/>
      <c r="EV145" s="5"/>
      <c r="EW145" s="5"/>
      <c r="EX145" s="5"/>
      <c r="EY145" s="5" t="s">
        <v>7475</v>
      </c>
      <c r="EZ145" s="5"/>
      <c r="FA145" s="5" t="s">
        <v>1626</v>
      </c>
      <c r="FB145" s="5"/>
    </row>
    <row r="146" spans="1:158" ht="153">
      <c r="A146" s="5" t="s">
        <v>1628</v>
      </c>
      <c r="B146" s="5" t="s">
        <v>1629</v>
      </c>
      <c r="C146" s="5" t="s">
        <v>11952</v>
      </c>
      <c r="D146" s="5" t="s">
        <v>1601</v>
      </c>
      <c r="E146" s="5" t="s">
        <v>12011</v>
      </c>
      <c r="F146" s="5" t="s">
        <v>11994</v>
      </c>
      <c r="G146" s="5" t="s">
        <v>13691</v>
      </c>
      <c r="H146" s="5" t="s">
        <v>12973</v>
      </c>
      <c r="I146" s="5" t="s">
        <v>1607</v>
      </c>
      <c r="J146" s="5" t="s">
        <v>3510</v>
      </c>
      <c r="K146" s="5" t="s">
        <v>13678</v>
      </c>
      <c r="L146" s="5" t="s">
        <v>1634</v>
      </c>
      <c r="M146" s="5" t="s">
        <v>11952</v>
      </c>
      <c r="N146" s="5" t="s">
        <v>11952</v>
      </c>
      <c r="O146" s="5" t="s">
        <v>11952</v>
      </c>
      <c r="P146" s="5" t="s">
        <v>11952</v>
      </c>
      <c r="Q146" s="5" t="s">
        <v>11952</v>
      </c>
      <c r="R146" s="5" t="s">
        <v>1634</v>
      </c>
      <c r="S146" s="5" t="s">
        <v>11952</v>
      </c>
      <c r="T146" s="5" t="s">
        <v>121</v>
      </c>
      <c r="U146" s="5" t="s">
        <v>3510</v>
      </c>
      <c r="V146" s="5" t="s">
        <v>121</v>
      </c>
      <c r="W146" s="5" t="s">
        <v>121</v>
      </c>
      <c r="X146" s="5" t="s">
        <v>121</v>
      </c>
      <c r="Y146" s="5" t="s">
        <v>121</v>
      </c>
      <c r="Z146" s="5" t="s">
        <v>11952</v>
      </c>
      <c r="AA146" s="5" t="s">
        <v>11952</v>
      </c>
      <c r="AB146" s="5" t="s">
        <v>155</v>
      </c>
      <c r="AC146" s="5" t="s">
        <v>1632</v>
      </c>
      <c r="AD146" s="5" t="s">
        <v>121</v>
      </c>
      <c r="AE146" s="5" t="s">
        <v>121</v>
      </c>
      <c r="AF146" s="5" t="s">
        <v>1632</v>
      </c>
      <c r="AG146" s="5" t="s">
        <v>121</v>
      </c>
      <c r="AH146" s="5" t="s">
        <v>121</v>
      </c>
      <c r="AI146" s="5" t="s">
        <v>121</v>
      </c>
      <c r="AJ146" s="5" t="s">
        <v>121</v>
      </c>
      <c r="AK146" s="5" t="s">
        <v>121</v>
      </c>
      <c r="AL146" s="5" t="s">
        <v>121</v>
      </c>
      <c r="AM146" s="5" t="s">
        <v>121</v>
      </c>
      <c r="AN146" s="5" t="s">
        <v>121</v>
      </c>
      <c r="AO146" s="5" t="s">
        <v>121</v>
      </c>
      <c r="AP146" s="5" t="s">
        <v>121</v>
      </c>
      <c r="AQ146" s="5" t="s">
        <v>121</v>
      </c>
      <c r="AR146" s="5" t="s">
        <v>121</v>
      </c>
      <c r="AS146" s="5" t="s">
        <v>121</v>
      </c>
      <c r="AT146" s="5" t="s">
        <v>121</v>
      </c>
      <c r="AU146" s="5" t="s">
        <v>121</v>
      </c>
      <c r="AV146" s="5" t="s">
        <v>121</v>
      </c>
      <c r="AW146" s="5" t="s">
        <v>121</v>
      </c>
      <c r="AX146" s="5" t="s">
        <v>121</v>
      </c>
      <c r="AY146" s="5" t="s">
        <v>121</v>
      </c>
      <c r="AZ146" s="5" t="s">
        <v>121</v>
      </c>
      <c r="BA146" s="5" t="s">
        <v>121</v>
      </c>
      <c r="BB146" s="5" t="s">
        <v>121</v>
      </c>
      <c r="BC146" s="5" t="s">
        <v>121</v>
      </c>
      <c r="BD146" s="5" t="s">
        <v>121</v>
      </c>
      <c r="BE146" s="5" t="s">
        <v>121</v>
      </c>
      <c r="BF146" s="5" t="s">
        <v>121</v>
      </c>
      <c r="BG146" s="5" t="s">
        <v>121</v>
      </c>
      <c r="BH146" s="5" t="s">
        <v>13692</v>
      </c>
      <c r="BI146" s="5" t="s">
        <v>121</v>
      </c>
      <c r="BJ146" s="5" t="s">
        <v>121</v>
      </c>
      <c r="BK146" s="5" t="s">
        <v>121</v>
      </c>
      <c r="BL146" s="5" t="s">
        <v>1630</v>
      </c>
      <c r="BM146" s="5" t="s">
        <v>1630</v>
      </c>
      <c r="BN146" s="5" t="s">
        <v>121</v>
      </c>
      <c r="BO146" s="5" t="s">
        <v>121</v>
      </c>
      <c r="BP146" s="5" t="s">
        <v>121</v>
      </c>
      <c r="BQ146" s="5" t="s">
        <v>121</v>
      </c>
      <c r="BR146" s="5" t="s">
        <v>121</v>
      </c>
      <c r="BS146" s="5" t="s">
        <v>121</v>
      </c>
      <c r="BT146" s="5" t="s">
        <v>121</v>
      </c>
      <c r="BU146" s="5" t="s">
        <v>121</v>
      </c>
      <c r="BV146" s="5" t="s">
        <v>121</v>
      </c>
      <c r="BW146" s="5" t="s">
        <v>121</v>
      </c>
      <c r="BX146" s="5" t="s">
        <v>121</v>
      </c>
      <c r="BY146" s="5" t="s">
        <v>121</v>
      </c>
      <c r="BZ146" s="5" t="s">
        <v>121</v>
      </c>
      <c r="CA146" s="5" t="s">
        <v>121</v>
      </c>
      <c r="CB146" s="5" t="s">
        <v>121</v>
      </c>
      <c r="CC146" s="5" t="s">
        <v>1630</v>
      </c>
      <c r="CD146" s="5" t="s">
        <v>121</v>
      </c>
      <c r="CE146" s="5" t="s">
        <v>121</v>
      </c>
      <c r="CF146" s="5" t="s">
        <v>11958</v>
      </c>
      <c r="CG146" s="5" t="s">
        <v>121</v>
      </c>
      <c r="CH146" s="5" t="s">
        <v>121</v>
      </c>
      <c r="CI146" s="5" t="s">
        <v>13693</v>
      </c>
      <c r="CJ146" s="5" t="s">
        <v>1631</v>
      </c>
      <c r="CK146" s="5" t="s">
        <v>1624</v>
      </c>
      <c r="CL146" s="5" t="s">
        <v>2854</v>
      </c>
      <c r="CM146" s="5" t="s">
        <v>1631</v>
      </c>
      <c r="CN146" s="5" t="s">
        <v>121</v>
      </c>
      <c r="CO146" s="5" t="s">
        <v>121</v>
      </c>
      <c r="CP146" s="5" t="s">
        <v>3510</v>
      </c>
      <c r="CQ146" s="5" t="s">
        <v>1633</v>
      </c>
      <c r="CR146" s="5" t="s">
        <v>11960</v>
      </c>
      <c r="CS146" s="5" t="s">
        <v>3510</v>
      </c>
      <c r="CT146" s="5" t="s">
        <v>3510</v>
      </c>
      <c r="CU146" s="5" t="s">
        <v>3510</v>
      </c>
      <c r="CV146" s="5" t="s">
        <v>11952</v>
      </c>
      <c r="CW146" s="5" t="s">
        <v>11952</v>
      </c>
      <c r="CX146" s="5" t="s">
        <v>13694</v>
      </c>
      <c r="CY146" s="5" t="s">
        <v>13695</v>
      </c>
      <c r="CZ146" s="5" t="s">
        <v>11989</v>
      </c>
      <c r="DA146" s="5" t="s">
        <v>11952</v>
      </c>
      <c r="DB146" s="5" t="s">
        <v>11963</v>
      </c>
      <c r="DC146" s="5" t="s">
        <v>11963</v>
      </c>
      <c r="DD146" s="5" t="s">
        <v>11963</v>
      </c>
      <c r="DE146" s="5" t="s">
        <v>13696</v>
      </c>
      <c r="DF146" s="5" t="s">
        <v>2854</v>
      </c>
      <c r="DG146" s="5" t="s">
        <v>13697</v>
      </c>
      <c r="DH146" s="5" t="s">
        <v>13698</v>
      </c>
      <c r="DI146" s="5" t="s">
        <v>11966</v>
      </c>
      <c r="DJ146" s="5" t="s">
        <v>11994</v>
      </c>
      <c r="DK146" s="5" t="s">
        <v>13699</v>
      </c>
      <c r="DL146" s="5">
        <v>4</v>
      </c>
      <c r="DM146" s="5">
        <v>0.5</v>
      </c>
      <c r="DN146" s="5">
        <v>0.2</v>
      </c>
      <c r="DO146" s="5">
        <v>4</v>
      </c>
      <c r="DP146" s="5">
        <v>0.5</v>
      </c>
      <c r="DQ146" s="5">
        <v>0</v>
      </c>
      <c r="DR146" s="5">
        <v>0</v>
      </c>
      <c r="DS146" s="5">
        <v>31.6</v>
      </c>
      <c r="DT146" s="5" t="s">
        <v>11968</v>
      </c>
      <c r="DU146" s="5" t="s">
        <v>12116</v>
      </c>
      <c r="DV146" s="5" t="s">
        <v>11970</v>
      </c>
      <c r="DW146" s="5"/>
      <c r="DX146" s="5">
        <v>4</v>
      </c>
      <c r="DY146" s="5"/>
      <c r="DZ146" s="5">
        <v>100</v>
      </c>
      <c r="EA146" s="5"/>
      <c r="EB146" s="5">
        <v>0.04</v>
      </c>
      <c r="EC146" s="5"/>
      <c r="ED146" s="5" t="s">
        <v>11971</v>
      </c>
      <c r="EE146" s="5"/>
      <c r="EF146" s="5" t="s">
        <v>11997</v>
      </c>
      <c r="EG146" s="5"/>
      <c r="EH146" s="5" t="s">
        <v>11997</v>
      </c>
      <c r="EI146" s="5"/>
      <c r="EJ146" s="5" t="s">
        <v>11997</v>
      </c>
      <c r="EK146" s="5"/>
      <c r="EL146" s="5" t="s">
        <v>11997</v>
      </c>
      <c r="EM146" s="5"/>
      <c r="EN146" s="5" t="s">
        <v>11997</v>
      </c>
      <c r="EO146" s="5"/>
      <c r="EP146" s="5" t="s">
        <v>11998</v>
      </c>
      <c r="EQ146" s="5"/>
      <c r="ER146" s="5" t="s">
        <v>11997</v>
      </c>
      <c r="ES146" s="5"/>
      <c r="ET146" s="5" t="s">
        <v>11972</v>
      </c>
      <c r="EU146" s="5"/>
      <c r="EV146" s="5"/>
      <c r="EW146" s="5"/>
      <c r="EX146" s="5"/>
      <c r="EY146" s="5" t="s">
        <v>7498</v>
      </c>
      <c r="EZ146" s="5"/>
      <c r="FA146" s="5" t="s">
        <v>1634</v>
      </c>
      <c r="FB146" s="5"/>
    </row>
    <row r="147" spans="1:158" ht="89.25">
      <c r="A147" s="5" t="s">
        <v>1636</v>
      </c>
      <c r="B147" s="5" t="s">
        <v>1637</v>
      </c>
      <c r="C147" s="5" t="s">
        <v>11952</v>
      </c>
      <c r="D147" s="5" t="s">
        <v>1601</v>
      </c>
      <c r="E147" s="5" t="s">
        <v>11953</v>
      </c>
      <c r="F147" s="5" t="s">
        <v>11954</v>
      </c>
      <c r="G147" s="5" t="s">
        <v>11955</v>
      </c>
      <c r="H147" s="5" t="s">
        <v>11235</v>
      </c>
      <c r="I147" s="5" t="s">
        <v>1607</v>
      </c>
      <c r="J147" s="5" t="s">
        <v>3510</v>
      </c>
      <c r="K147" s="5" t="s">
        <v>11956</v>
      </c>
      <c r="L147" s="5" t="s">
        <v>1642</v>
      </c>
      <c r="M147" s="5" t="s">
        <v>11952</v>
      </c>
      <c r="N147" s="5" t="s">
        <v>11952</v>
      </c>
      <c r="O147" s="5" t="s">
        <v>11952</v>
      </c>
      <c r="P147" s="5" t="s">
        <v>11952</v>
      </c>
      <c r="Q147" s="5" t="s">
        <v>11952</v>
      </c>
      <c r="R147" s="5" t="s">
        <v>1642</v>
      </c>
      <c r="S147" s="5" t="s">
        <v>11952</v>
      </c>
      <c r="T147" s="5" t="s">
        <v>121</v>
      </c>
      <c r="U147" s="5" t="s">
        <v>2854</v>
      </c>
      <c r="V147" s="5" t="s">
        <v>13700</v>
      </c>
      <c r="W147" s="5" t="s">
        <v>121</v>
      </c>
      <c r="X147" s="5" t="s">
        <v>13701</v>
      </c>
      <c r="Y147" s="5" t="s">
        <v>121</v>
      </c>
      <c r="Z147" s="5" t="s">
        <v>121</v>
      </c>
      <c r="AA147" s="5" t="s">
        <v>11981</v>
      </c>
      <c r="AB147" s="5" t="s">
        <v>155</v>
      </c>
      <c r="AC147" s="5" t="s">
        <v>1528</v>
      </c>
      <c r="AD147" s="5" t="s">
        <v>121</v>
      </c>
      <c r="AE147" s="5" t="s">
        <v>121</v>
      </c>
      <c r="AF147" s="5" t="s">
        <v>1528</v>
      </c>
      <c r="AG147" s="5" t="s">
        <v>121</v>
      </c>
      <c r="AH147" s="5" t="s">
        <v>121</v>
      </c>
      <c r="AI147" s="5" t="s">
        <v>121</v>
      </c>
      <c r="AJ147" s="5" t="s">
        <v>121</v>
      </c>
      <c r="AK147" s="5" t="s">
        <v>121</v>
      </c>
      <c r="AL147" s="5" t="s">
        <v>121</v>
      </c>
      <c r="AM147" s="5" t="s">
        <v>121</v>
      </c>
      <c r="AN147" s="5" t="s">
        <v>121</v>
      </c>
      <c r="AO147" s="5" t="s">
        <v>121</v>
      </c>
      <c r="AP147" s="5" t="s">
        <v>121</v>
      </c>
      <c r="AQ147" s="5" t="s">
        <v>121</v>
      </c>
      <c r="AR147" s="5" t="s">
        <v>121</v>
      </c>
      <c r="AS147" s="5" t="s">
        <v>121</v>
      </c>
      <c r="AT147" s="5" t="s">
        <v>121</v>
      </c>
      <c r="AU147" s="5" t="s">
        <v>121</v>
      </c>
      <c r="AV147" s="5" t="s">
        <v>121</v>
      </c>
      <c r="AW147" s="5" t="s">
        <v>121</v>
      </c>
      <c r="AX147" s="5" t="s">
        <v>121</v>
      </c>
      <c r="AY147" s="5" t="s">
        <v>121</v>
      </c>
      <c r="AZ147" s="5" t="s">
        <v>121</v>
      </c>
      <c r="BA147" s="5" t="s">
        <v>121</v>
      </c>
      <c r="BB147" s="5" t="s">
        <v>3510</v>
      </c>
      <c r="BC147" s="5" t="s">
        <v>121</v>
      </c>
      <c r="BD147" s="5" t="s">
        <v>121</v>
      </c>
      <c r="BE147" s="5" t="s">
        <v>121</v>
      </c>
      <c r="BF147" s="5" t="s">
        <v>121</v>
      </c>
      <c r="BG147" s="5" t="s">
        <v>121</v>
      </c>
      <c r="BH147" s="5" t="s">
        <v>12815</v>
      </c>
      <c r="BI147" s="5" t="s">
        <v>121</v>
      </c>
      <c r="BJ147" s="5" t="s">
        <v>1638</v>
      </c>
      <c r="BK147" s="5" t="s">
        <v>121</v>
      </c>
      <c r="BL147" s="5" t="s">
        <v>1273</v>
      </c>
      <c r="BM147" s="5" t="s">
        <v>1273</v>
      </c>
      <c r="BN147" s="5" t="s">
        <v>1639</v>
      </c>
      <c r="BO147" s="5" t="s">
        <v>11984</v>
      </c>
      <c r="BP147" s="5" t="s">
        <v>121</v>
      </c>
      <c r="BQ147" s="5" t="s">
        <v>121</v>
      </c>
      <c r="BR147" s="5" t="s">
        <v>2854</v>
      </c>
      <c r="BS147" s="5" t="s">
        <v>121</v>
      </c>
      <c r="BT147" s="5" t="s">
        <v>121</v>
      </c>
      <c r="BU147" s="5" t="s">
        <v>121</v>
      </c>
      <c r="BV147" s="5" t="s">
        <v>121</v>
      </c>
      <c r="BW147" s="5" t="s">
        <v>121</v>
      </c>
      <c r="BX147" s="5" t="s">
        <v>121</v>
      </c>
      <c r="BY147" s="5" t="s">
        <v>13702</v>
      </c>
      <c r="BZ147" s="5" t="s">
        <v>121</v>
      </c>
      <c r="CA147" s="5" t="s">
        <v>121</v>
      </c>
      <c r="CB147" s="5" t="s">
        <v>121</v>
      </c>
      <c r="CC147" s="5" t="s">
        <v>1273</v>
      </c>
      <c r="CD147" s="5" t="s">
        <v>121</v>
      </c>
      <c r="CE147" s="5" t="s">
        <v>121</v>
      </c>
      <c r="CF147" s="5" t="s">
        <v>11958</v>
      </c>
      <c r="CG147" s="5" t="s">
        <v>121</v>
      </c>
      <c r="CH147" s="5" t="s">
        <v>121</v>
      </c>
      <c r="CI147" s="5" t="s">
        <v>11959</v>
      </c>
      <c r="CJ147" s="5" t="s">
        <v>287</v>
      </c>
      <c r="CK147" s="5" t="s">
        <v>1640</v>
      </c>
      <c r="CL147" s="5" t="s">
        <v>2854</v>
      </c>
      <c r="CM147" s="5" t="s">
        <v>287</v>
      </c>
      <c r="CN147" s="5" t="s">
        <v>121</v>
      </c>
      <c r="CO147" s="5" t="s">
        <v>121</v>
      </c>
      <c r="CP147" s="5" t="s">
        <v>3510</v>
      </c>
      <c r="CQ147" s="5" t="s">
        <v>1641</v>
      </c>
      <c r="CR147" s="5" t="s">
        <v>12118</v>
      </c>
      <c r="CS147" s="5" t="s">
        <v>3510</v>
      </c>
      <c r="CT147" s="5" t="s">
        <v>3510</v>
      </c>
      <c r="CU147" s="5" t="s">
        <v>2854</v>
      </c>
      <c r="CV147" s="5" t="s">
        <v>13703</v>
      </c>
      <c r="CW147" s="5" t="s">
        <v>13704</v>
      </c>
      <c r="CX147" s="5" t="s">
        <v>13674</v>
      </c>
      <c r="CY147" s="5" t="s">
        <v>13705</v>
      </c>
      <c r="CZ147" s="5" t="s">
        <v>3510</v>
      </c>
      <c r="DA147" s="5" t="s">
        <v>11952</v>
      </c>
      <c r="DB147" s="5" t="s">
        <v>11963</v>
      </c>
      <c r="DC147" s="5" t="s">
        <v>11963</v>
      </c>
      <c r="DD147" s="5" t="s">
        <v>11963</v>
      </c>
      <c r="DE147" s="5" t="s">
        <v>11963</v>
      </c>
      <c r="DF147" s="5" t="s">
        <v>3510</v>
      </c>
      <c r="DG147" s="5" t="s">
        <v>11964</v>
      </c>
      <c r="DH147" s="5" t="s">
        <v>13706</v>
      </c>
      <c r="DI147" s="5" t="s">
        <v>11975</v>
      </c>
      <c r="DJ147" s="5" t="s">
        <v>11966</v>
      </c>
      <c r="DK147" s="5" t="s">
        <v>11967</v>
      </c>
      <c r="DL147" s="5">
        <v>5</v>
      </c>
      <c r="DM147" s="5">
        <v>4</v>
      </c>
      <c r="DN147" s="5">
        <v>2.5</v>
      </c>
      <c r="DO147" s="5">
        <v>2</v>
      </c>
      <c r="DP147" s="5">
        <v>3</v>
      </c>
      <c r="DQ147" s="5">
        <v>1</v>
      </c>
      <c r="DR147" s="5">
        <v>0</v>
      </c>
      <c r="DS147" s="5">
        <v>57.5</v>
      </c>
      <c r="DT147" s="5" t="s">
        <v>11968</v>
      </c>
      <c r="DU147" s="5" t="s">
        <v>11969</v>
      </c>
      <c r="DV147" s="5" t="s">
        <v>11970</v>
      </c>
      <c r="DW147" s="5"/>
      <c r="DX147" s="5">
        <v>14</v>
      </c>
      <c r="DY147" s="5"/>
      <c r="DZ147" s="5">
        <v>100</v>
      </c>
      <c r="EA147" s="5"/>
      <c r="EB147" s="5">
        <v>0.14000000000000001</v>
      </c>
      <c r="EC147" s="5"/>
      <c r="ED147" s="5" t="s">
        <v>11971</v>
      </c>
      <c r="EE147" s="5"/>
      <c r="EF147" s="5" t="s">
        <v>11997</v>
      </c>
      <c r="EG147" s="5"/>
      <c r="EH147" s="5" t="s">
        <v>11997</v>
      </c>
      <c r="EI147" s="5"/>
      <c r="EJ147" s="5" t="s">
        <v>11997</v>
      </c>
      <c r="EK147" s="5"/>
      <c r="EL147" s="5" t="s">
        <v>11997</v>
      </c>
      <c r="EM147" s="5"/>
      <c r="EN147" s="5" t="s">
        <v>11997</v>
      </c>
      <c r="EO147" s="5"/>
      <c r="EP147" s="5" t="s">
        <v>11998</v>
      </c>
      <c r="EQ147" s="5"/>
      <c r="ER147" s="5" t="s">
        <v>11997</v>
      </c>
      <c r="ES147" s="5"/>
      <c r="ET147" s="5" t="s">
        <v>11972</v>
      </c>
      <c r="EU147" s="5"/>
      <c r="EV147" s="5"/>
      <c r="EW147" s="5"/>
      <c r="EX147" s="5"/>
      <c r="EY147" s="5" t="s">
        <v>7523</v>
      </c>
      <c r="EZ147" s="5"/>
      <c r="FA147" s="5" t="s">
        <v>1642</v>
      </c>
      <c r="FB147" s="5"/>
    </row>
    <row r="148" spans="1:158" ht="114.75">
      <c r="A148" s="5" t="s">
        <v>1644</v>
      </c>
      <c r="B148" s="5" t="s">
        <v>1645</v>
      </c>
      <c r="C148" s="5" t="s">
        <v>11952</v>
      </c>
      <c r="D148" s="5" t="s">
        <v>1601</v>
      </c>
      <c r="E148" s="5" t="s">
        <v>11953</v>
      </c>
      <c r="F148" s="5" t="s">
        <v>11954</v>
      </c>
      <c r="G148" s="5" t="s">
        <v>11955</v>
      </c>
      <c r="H148" s="5" t="s">
        <v>11235</v>
      </c>
      <c r="I148" s="5" t="s">
        <v>1607</v>
      </c>
      <c r="J148" s="5" t="s">
        <v>3510</v>
      </c>
      <c r="K148" s="5" t="s">
        <v>11956</v>
      </c>
      <c r="L148" s="5" t="s">
        <v>1651</v>
      </c>
      <c r="M148" s="5" t="s">
        <v>11952</v>
      </c>
      <c r="N148" s="5" t="s">
        <v>11952</v>
      </c>
      <c r="O148" s="5" t="s">
        <v>11952</v>
      </c>
      <c r="P148" s="5" t="s">
        <v>11952</v>
      </c>
      <c r="Q148" s="5" t="s">
        <v>11952</v>
      </c>
      <c r="R148" s="5" t="s">
        <v>1651</v>
      </c>
      <c r="S148" s="5" t="s">
        <v>11952</v>
      </c>
      <c r="T148" s="5" t="s">
        <v>121</v>
      </c>
      <c r="U148" s="5" t="s">
        <v>3510</v>
      </c>
      <c r="V148" s="5" t="s">
        <v>121</v>
      </c>
      <c r="W148" s="5" t="s">
        <v>121</v>
      </c>
      <c r="X148" s="5" t="s">
        <v>121</v>
      </c>
      <c r="Y148" s="5" t="s">
        <v>121</v>
      </c>
      <c r="Z148" s="5" t="s">
        <v>11952</v>
      </c>
      <c r="AA148" s="5" t="s">
        <v>11952</v>
      </c>
      <c r="AB148" s="5" t="s">
        <v>121</v>
      </c>
      <c r="AC148" s="5" t="s">
        <v>121</v>
      </c>
      <c r="AD148" s="5" t="s">
        <v>121</v>
      </c>
      <c r="AE148" s="5" t="s">
        <v>121</v>
      </c>
      <c r="AF148" s="5" t="s">
        <v>121</v>
      </c>
      <c r="AG148" s="5" t="s">
        <v>121</v>
      </c>
      <c r="AH148" s="5" t="s">
        <v>121</v>
      </c>
      <c r="AI148" s="5" t="s">
        <v>121</v>
      </c>
      <c r="AJ148" s="5" t="s">
        <v>121</v>
      </c>
      <c r="AK148" s="5" t="s">
        <v>121</v>
      </c>
      <c r="AL148" s="5" t="s">
        <v>121</v>
      </c>
      <c r="AM148" s="5" t="s">
        <v>121</v>
      </c>
      <c r="AN148" s="5" t="s">
        <v>121</v>
      </c>
      <c r="AO148" s="5" t="s">
        <v>121</v>
      </c>
      <c r="AP148" s="5" t="s">
        <v>1827</v>
      </c>
      <c r="AQ148" s="5" t="s">
        <v>121</v>
      </c>
      <c r="AR148" s="5" t="s">
        <v>13707</v>
      </c>
      <c r="AS148" s="5" t="s">
        <v>1649</v>
      </c>
      <c r="AT148" s="5" t="s">
        <v>121</v>
      </c>
      <c r="AU148" s="5" t="s">
        <v>1647</v>
      </c>
      <c r="AV148" s="5" t="s">
        <v>12003</v>
      </c>
      <c r="AW148" s="5" t="s">
        <v>1647</v>
      </c>
      <c r="AX148" s="5" t="s">
        <v>12159</v>
      </c>
      <c r="AY148" s="5" t="s">
        <v>121</v>
      </c>
      <c r="AZ148" s="5" t="s">
        <v>121</v>
      </c>
      <c r="BA148" s="5" t="s">
        <v>121</v>
      </c>
      <c r="BB148" s="5" t="s">
        <v>3510</v>
      </c>
      <c r="BC148" s="5" t="s">
        <v>121</v>
      </c>
      <c r="BD148" s="5" t="s">
        <v>121</v>
      </c>
      <c r="BE148" s="5" t="s">
        <v>121</v>
      </c>
      <c r="BF148" s="5" t="s">
        <v>121</v>
      </c>
      <c r="BG148" s="5" t="s">
        <v>121</v>
      </c>
      <c r="BH148" s="5" t="s">
        <v>13708</v>
      </c>
      <c r="BI148" s="5" t="s">
        <v>121</v>
      </c>
      <c r="BJ148" s="5" t="s">
        <v>1648</v>
      </c>
      <c r="BK148" s="5" t="s">
        <v>121</v>
      </c>
      <c r="BL148" s="5" t="s">
        <v>13709</v>
      </c>
      <c r="BM148" s="5" t="s">
        <v>13709</v>
      </c>
      <c r="BN148" s="5" t="s">
        <v>121</v>
      </c>
      <c r="BO148" s="5" t="s">
        <v>121</v>
      </c>
      <c r="BP148" s="5" t="s">
        <v>121</v>
      </c>
      <c r="BQ148" s="5" t="s">
        <v>2854</v>
      </c>
      <c r="BR148" s="5" t="s">
        <v>2854</v>
      </c>
      <c r="BS148" s="5" t="s">
        <v>121</v>
      </c>
      <c r="BT148" s="5" t="s">
        <v>121</v>
      </c>
      <c r="BU148" s="5" t="s">
        <v>121</v>
      </c>
      <c r="BV148" s="5" t="s">
        <v>121</v>
      </c>
      <c r="BW148" s="5" t="s">
        <v>121</v>
      </c>
      <c r="BX148" s="5" t="s">
        <v>121</v>
      </c>
      <c r="BY148" s="5" t="s">
        <v>121</v>
      </c>
      <c r="BZ148" s="5" t="s">
        <v>121</v>
      </c>
      <c r="CA148" s="5" t="s">
        <v>121</v>
      </c>
      <c r="CB148" s="5" t="s">
        <v>121</v>
      </c>
      <c r="CC148" s="5" t="s">
        <v>1646</v>
      </c>
      <c r="CD148" s="5" t="s">
        <v>121</v>
      </c>
      <c r="CE148" s="5" t="s">
        <v>121</v>
      </c>
      <c r="CF148" s="5" t="s">
        <v>11958</v>
      </c>
      <c r="CG148" s="5" t="s">
        <v>121</v>
      </c>
      <c r="CH148" s="5" t="s">
        <v>121</v>
      </c>
      <c r="CI148" s="5" t="s">
        <v>11959</v>
      </c>
      <c r="CJ148" s="5" t="s">
        <v>287</v>
      </c>
      <c r="CK148" s="5" t="s">
        <v>1060</v>
      </c>
      <c r="CL148" s="5" t="s">
        <v>2854</v>
      </c>
      <c r="CM148" s="5" t="s">
        <v>287</v>
      </c>
      <c r="CN148" s="5" t="s">
        <v>121</v>
      </c>
      <c r="CO148" s="5" t="s">
        <v>121</v>
      </c>
      <c r="CP148" s="5" t="s">
        <v>3510</v>
      </c>
      <c r="CQ148" s="5" t="s">
        <v>1650</v>
      </c>
      <c r="CR148" s="5" t="s">
        <v>11960</v>
      </c>
      <c r="CS148" s="5" t="s">
        <v>3510</v>
      </c>
      <c r="CT148" s="5" t="s">
        <v>3510</v>
      </c>
      <c r="CU148" s="5" t="s">
        <v>3510</v>
      </c>
      <c r="CV148" s="5" t="s">
        <v>11952</v>
      </c>
      <c r="CW148" s="5" t="s">
        <v>11952</v>
      </c>
      <c r="CX148" s="5" t="s">
        <v>13674</v>
      </c>
      <c r="CY148" s="5" t="s">
        <v>13710</v>
      </c>
      <c r="CZ148" s="5" t="s">
        <v>3510</v>
      </c>
      <c r="DA148" s="5" t="s">
        <v>11952</v>
      </c>
      <c r="DB148" s="5" t="s">
        <v>11963</v>
      </c>
      <c r="DC148" s="5" t="s">
        <v>11963</v>
      </c>
      <c r="DD148" s="5" t="s">
        <v>11963</v>
      </c>
      <c r="DE148" s="5" t="s">
        <v>11963</v>
      </c>
      <c r="DF148" s="5" t="s">
        <v>3510</v>
      </c>
      <c r="DG148" s="5" t="s">
        <v>11964</v>
      </c>
      <c r="DH148" s="5" t="s">
        <v>13711</v>
      </c>
      <c r="DI148" s="5" t="s">
        <v>11966</v>
      </c>
      <c r="DJ148" s="5" t="s">
        <v>11966</v>
      </c>
      <c r="DK148" s="5" t="s">
        <v>11967</v>
      </c>
      <c r="DL148" s="5">
        <v>4</v>
      </c>
      <c r="DM148" s="5">
        <v>2</v>
      </c>
      <c r="DN148" s="5">
        <v>3</v>
      </c>
      <c r="DO148" s="5">
        <v>3</v>
      </c>
      <c r="DP148" s="5">
        <v>4</v>
      </c>
      <c r="DQ148" s="5">
        <v>2</v>
      </c>
      <c r="DR148" s="5">
        <v>0</v>
      </c>
      <c r="DS148" s="5">
        <v>54</v>
      </c>
      <c r="DT148" s="5" t="s">
        <v>11968</v>
      </c>
      <c r="DU148" s="5" t="s">
        <v>11969</v>
      </c>
      <c r="DV148" s="5" t="s">
        <v>11970</v>
      </c>
      <c r="DW148" s="5"/>
      <c r="DX148" s="5">
        <v>34</v>
      </c>
      <c r="DY148" s="5"/>
      <c r="DZ148" s="5">
        <v>100</v>
      </c>
      <c r="EA148" s="5"/>
      <c r="EB148" s="5">
        <v>0.34</v>
      </c>
      <c r="EC148" s="5"/>
      <c r="ED148" s="5" t="s">
        <v>11971</v>
      </c>
      <c r="EE148" s="5"/>
      <c r="EF148" s="5" t="s">
        <v>11997</v>
      </c>
      <c r="EG148" s="5"/>
      <c r="EH148" s="5" t="s">
        <v>11997</v>
      </c>
      <c r="EI148" s="5"/>
      <c r="EJ148" s="5" t="s">
        <v>11997</v>
      </c>
      <c r="EK148" s="5"/>
      <c r="EL148" s="5" t="s">
        <v>11997</v>
      </c>
      <c r="EM148" s="5"/>
      <c r="EN148" s="5" t="s">
        <v>11997</v>
      </c>
      <c r="EO148" s="5"/>
      <c r="EP148" s="5" t="s">
        <v>11998</v>
      </c>
      <c r="EQ148" s="5"/>
      <c r="ER148" s="5" t="s">
        <v>11997</v>
      </c>
      <c r="ES148" s="5"/>
      <c r="ET148" s="5" t="s">
        <v>11972</v>
      </c>
      <c r="EU148" s="5"/>
      <c r="EV148" s="5"/>
      <c r="EW148" s="5"/>
      <c r="EX148" s="5"/>
      <c r="EY148" s="5" t="s">
        <v>7552</v>
      </c>
      <c r="EZ148" s="5"/>
      <c r="FA148" s="5" t="s">
        <v>1651</v>
      </c>
      <c r="FB148" s="5"/>
    </row>
    <row r="149" spans="1:158" ht="76.5">
      <c r="A149" s="5" t="s">
        <v>1653</v>
      </c>
      <c r="B149" s="5" t="s">
        <v>1654</v>
      </c>
      <c r="C149" s="5" t="s">
        <v>11952</v>
      </c>
      <c r="D149" s="5" t="s">
        <v>1601</v>
      </c>
      <c r="E149" s="5" t="s">
        <v>11953</v>
      </c>
      <c r="F149" s="5" t="s">
        <v>11954</v>
      </c>
      <c r="G149" s="5" t="s">
        <v>11955</v>
      </c>
      <c r="H149" s="5" t="s">
        <v>11235</v>
      </c>
      <c r="I149" s="5" t="s">
        <v>1607</v>
      </c>
      <c r="J149" s="5" t="s">
        <v>3510</v>
      </c>
      <c r="K149" s="5" t="s">
        <v>11956</v>
      </c>
      <c r="L149" s="5" t="s">
        <v>1660</v>
      </c>
      <c r="M149" s="5" t="s">
        <v>11952</v>
      </c>
      <c r="N149" s="5" t="s">
        <v>11952</v>
      </c>
      <c r="O149" s="5" t="s">
        <v>11952</v>
      </c>
      <c r="P149" s="5" t="s">
        <v>11952</v>
      </c>
      <c r="Q149" s="5" t="s">
        <v>11952</v>
      </c>
      <c r="R149" s="5" t="s">
        <v>1660</v>
      </c>
      <c r="S149" s="5" t="s">
        <v>11952</v>
      </c>
      <c r="T149" s="5" t="s">
        <v>121</v>
      </c>
      <c r="U149" s="5" t="s">
        <v>3510</v>
      </c>
      <c r="V149" s="5" t="s">
        <v>121</v>
      </c>
      <c r="W149" s="5" t="s">
        <v>121</v>
      </c>
      <c r="X149" s="5" t="s">
        <v>121</v>
      </c>
      <c r="Y149" s="5" t="s">
        <v>121</v>
      </c>
      <c r="Z149" s="5" t="s">
        <v>11952</v>
      </c>
      <c r="AA149" s="5" t="s">
        <v>11952</v>
      </c>
      <c r="AB149" s="5" t="s">
        <v>121</v>
      </c>
      <c r="AC149" s="5" t="s">
        <v>121</v>
      </c>
      <c r="AD149" s="5" t="s">
        <v>121</v>
      </c>
      <c r="AE149" s="5" t="s">
        <v>121</v>
      </c>
      <c r="AF149" s="5" t="s">
        <v>121</v>
      </c>
      <c r="AG149" s="5" t="s">
        <v>121</v>
      </c>
      <c r="AH149" s="5" t="s">
        <v>121</v>
      </c>
      <c r="AI149" s="5" t="s">
        <v>121</v>
      </c>
      <c r="AJ149" s="5" t="s">
        <v>121</v>
      </c>
      <c r="AK149" s="5" t="s">
        <v>121</v>
      </c>
      <c r="AL149" s="5" t="s">
        <v>121</v>
      </c>
      <c r="AM149" s="5" t="s">
        <v>121</v>
      </c>
      <c r="AN149" s="5" t="s">
        <v>121</v>
      </c>
      <c r="AO149" s="5" t="s">
        <v>121</v>
      </c>
      <c r="AP149" s="5" t="s">
        <v>121</v>
      </c>
      <c r="AQ149" s="5" t="s">
        <v>121</v>
      </c>
      <c r="AR149" s="5" t="s">
        <v>121</v>
      </c>
      <c r="AS149" s="5" t="s">
        <v>1658</v>
      </c>
      <c r="AT149" s="5" t="s">
        <v>121</v>
      </c>
      <c r="AU149" s="5" t="s">
        <v>121</v>
      </c>
      <c r="AV149" s="5" t="s">
        <v>121</v>
      </c>
      <c r="AW149" s="5" t="s">
        <v>121</v>
      </c>
      <c r="AX149" s="5" t="s">
        <v>121</v>
      </c>
      <c r="AY149" s="5" t="s">
        <v>121</v>
      </c>
      <c r="AZ149" s="5" t="s">
        <v>121</v>
      </c>
      <c r="BA149" s="5" t="s">
        <v>121</v>
      </c>
      <c r="BB149" s="5" t="s">
        <v>3510</v>
      </c>
      <c r="BC149" s="5" t="s">
        <v>121</v>
      </c>
      <c r="BD149" s="5" t="s">
        <v>121</v>
      </c>
      <c r="BE149" s="5" t="s">
        <v>13712</v>
      </c>
      <c r="BF149" s="5" t="s">
        <v>13713</v>
      </c>
      <c r="BG149" s="5" t="s">
        <v>121</v>
      </c>
      <c r="BH149" s="5" t="s">
        <v>12815</v>
      </c>
      <c r="BI149" s="5" t="s">
        <v>121</v>
      </c>
      <c r="BJ149" s="5" t="s">
        <v>1656</v>
      </c>
      <c r="BK149" s="5" t="s">
        <v>121</v>
      </c>
      <c r="BL149" s="5" t="s">
        <v>121</v>
      </c>
      <c r="BM149" s="5" t="s">
        <v>121</v>
      </c>
      <c r="BN149" s="5" t="s">
        <v>121</v>
      </c>
      <c r="BO149" s="5" t="s">
        <v>121</v>
      </c>
      <c r="BP149" s="5" t="s">
        <v>2854</v>
      </c>
      <c r="BQ149" s="5" t="s">
        <v>121</v>
      </c>
      <c r="BR149" s="5" t="s">
        <v>121</v>
      </c>
      <c r="BS149" s="5" t="s">
        <v>121</v>
      </c>
      <c r="BT149" s="5" t="s">
        <v>121</v>
      </c>
      <c r="BU149" s="5" t="s">
        <v>121</v>
      </c>
      <c r="BV149" s="5" t="s">
        <v>121</v>
      </c>
      <c r="BW149" s="5" t="s">
        <v>121</v>
      </c>
      <c r="BX149" s="5" t="s">
        <v>121</v>
      </c>
      <c r="BY149" s="5" t="s">
        <v>121</v>
      </c>
      <c r="BZ149" s="5" t="s">
        <v>121</v>
      </c>
      <c r="CA149" s="5" t="s">
        <v>121</v>
      </c>
      <c r="CB149" s="5" t="s">
        <v>121</v>
      </c>
      <c r="CC149" s="5" t="s">
        <v>1655</v>
      </c>
      <c r="CD149" s="5" t="s">
        <v>121</v>
      </c>
      <c r="CE149" s="5" t="s">
        <v>121</v>
      </c>
      <c r="CF149" s="5" t="s">
        <v>11958</v>
      </c>
      <c r="CG149" s="5" t="s">
        <v>121</v>
      </c>
      <c r="CH149" s="5" t="s">
        <v>121</v>
      </c>
      <c r="CI149" s="5" t="s">
        <v>11959</v>
      </c>
      <c r="CJ149" s="5" t="s">
        <v>287</v>
      </c>
      <c r="CK149" s="5" t="s">
        <v>1657</v>
      </c>
      <c r="CL149" s="5" t="s">
        <v>2854</v>
      </c>
      <c r="CM149" s="5" t="s">
        <v>287</v>
      </c>
      <c r="CN149" s="5" t="s">
        <v>121</v>
      </c>
      <c r="CO149" s="5" t="s">
        <v>121</v>
      </c>
      <c r="CP149" s="5" t="s">
        <v>3510</v>
      </c>
      <c r="CQ149" s="5" t="s">
        <v>1659</v>
      </c>
      <c r="CR149" s="5" t="s">
        <v>11960</v>
      </c>
      <c r="CS149" s="5" t="s">
        <v>3510</v>
      </c>
      <c r="CT149" s="5" t="s">
        <v>3510</v>
      </c>
      <c r="CU149" s="5" t="s">
        <v>3510</v>
      </c>
      <c r="CV149" s="5" t="s">
        <v>11952</v>
      </c>
      <c r="CW149" s="5" t="s">
        <v>11952</v>
      </c>
      <c r="CX149" s="5" t="s">
        <v>13674</v>
      </c>
      <c r="CY149" s="5" t="s">
        <v>13714</v>
      </c>
      <c r="CZ149" s="5" t="s">
        <v>3510</v>
      </c>
      <c r="DA149" s="5" t="s">
        <v>11952</v>
      </c>
      <c r="DB149" s="5" t="s">
        <v>11963</v>
      </c>
      <c r="DC149" s="5" t="s">
        <v>11963</v>
      </c>
      <c r="DD149" s="5" t="s">
        <v>11963</v>
      </c>
      <c r="DE149" s="5" t="s">
        <v>11963</v>
      </c>
      <c r="DF149" s="5" t="s">
        <v>3510</v>
      </c>
      <c r="DG149" s="5" t="s">
        <v>11964</v>
      </c>
      <c r="DH149" s="5" t="s">
        <v>13715</v>
      </c>
      <c r="DI149" s="5" t="s">
        <v>11966</v>
      </c>
      <c r="DJ149" s="5" t="s">
        <v>11966</v>
      </c>
      <c r="DK149" s="5" t="s">
        <v>11967</v>
      </c>
      <c r="DL149" s="5">
        <v>5</v>
      </c>
      <c r="DM149" s="5">
        <v>2</v>
      </c>
      <c r="DN149" s="5">
        <v>2</v>
      </c>
      <c r="DO149" s="5">
        <v>1</v>
      </c>
      <c r="DP149" s="5">
        <v>2</v>
      </c>
      <c r="DQ149" s="5">
        <v>1</v>
      </c>
      <c r="DR149" s="5">
        <v>0</v>
      </c>
      <c r="DS149" s="5">
        <v>43</v>
      </c>
      <c r="DT149" s="5" t="s">
        <v>11968</v>
      </c>
      <c r="DU149" s="5" t="s">
        <v>11969</v>
      </c>
      <c r="DV149" s="5" t="s">
        <v>11970</v>
      </c>
      <c r="DW149" s="5"/>
      <c r="DX149" s="5">
        <v>10</v>
      </c>
      <c r="DY149" s="5"/>
      <c r="DZ149" s="5">
        <v>100</v>
      </c>
      <c r="EA149" s="5"/>
      <c r="EB149" s="5">
        <v>0.1</v>
      </c>
      <c r="EC149" s="5"/>
      <c r="ED149" s="5" t="s">
        <v>11971</v>
      </c>
      <c r="EE149" s="5"/>
      <c r="EF149" s="5" t="s">
        <v>11997</v>
      </c>
      <c r="EG149" s="5"/>
      <c r="EH149" s="5" t="s">
        <v>11997</v>
      </c>
      <c r="EI149" s="5"/>
      <c r="EJ149" s="5" t="s">
        <v>11997</v>
      </c>
      <c r="EK149" s="5"/>
      <c r="EL149" s="5" t="s">
        <v>11997</v>
      </c>
      <c r="EM149" s="5"/>
      <c r="EN149" s="5" t="s">
        <v>11997</v>
      </c>
      <c r="EO149" s="5"/>
      <c r="EP149" s="5" t="s">
        <v>11998</v>
      </c>
      <c r="EQ149" s="5"/>
      <c r="ER149" s="5" t="s">
        <v>11997</v>
      </c>
      <c r="ES149" s="5"/>
      <c r="ET149" s="5" t="s">
        <v>11972</v>
      </c>
      <c r="EU149" s="5"/>
      <c r="EV149" s="5"/>
      <c r="EW149" s="5"/>
      <c r="EX149" s="5"/>
      <c r="EY149" s="5" t="s">
        <v>7581</v>
      </c>
      <c r="EZ149" s="5"/>
      <c r="FA149" s="5" t="s">
        <v>1660</v>
      </c>
      <c r="FB149" s="5"/>
    </row>
    <row r="150" spans="1:158" ht="89.25">
      <c r="A150" s="5" t="s">
        <v>1662</v>
      </c>
      <c r="B150" s="5" t="s">
        <v>1663</v>
      </c>
      <c r="C150" s="5" t="s">
        <v>11952</v>
      </c>
      <c r="D150" s="5" t="s">
        <v>1664</v>
      </c>
      <c r="E150" s="5" t="s">
        <v>11953</v>
      </c>
      <c r="F150" s="5" t="s">
        <v>11954</v>
      </c>
      <c r="G150" s="5" t="s">
        <v>11955</v>
      </c>
      <c r="H150" s="5" t="s">
        <v>11235</v>
      </c>
      <c r="I150" s="5" t="s">
        <v>1607</v>
      </c>
      <c r="J150" s="5" t="s">
        <v>3510</v>
      </c>
      <c r="K150" s="5" t="s">
        <v>11956</v>
      </c>
      <c r="L150" s="5" t="s">
        <v>1669</v>
      </c>
      <c r="M150" s="5" t="s">
        <v>11952</v>
      </c>
      <c r="N150" s="5" t="s">
        <v>11952</v>
      </c>
      <c r="O150" s="5" t="s">
        <v>11952</v>
      </c>
      <c r="P150" s="5" t="s">
        <v>11952</v>
      </c>
      <c r="Q150" s="5" t="s">
        <v>11952</v>
      </c>
      <c r="R150" s="5" t="s">
        <v>1669</v>
      </c>
      <c r="S150" s="5" t="s">
        <v>11952</v>
      </c>
      <c r="T150" s="5" t="s">
        <v>121</v>
      </c>
      <c r="U150" s="5" t="s">
        <v>3510</v>
      </c>
      <c r="V150" s="5" t="s">
        <v>121</v>
      </c>
      <c r="W150" s="5" t="s">
        <v>121</v>
      </c>
      <c r="X150" s="5" t="s">
        <v>121</v>
      </c>
      <c r="Y150" s="5" t="s">
        <v>121</v>
      </c>
      <c r="Z150" s="5" t="s">
        <v>11952</v>
      </c>
      <c r="AA150" s="5" t="s">
        <v>11952</v>
      </c>
      <c r="AB150" s="5" t="s">
        <v>155</v>
      </c>
      <c r="AC150" s="5" t="s">
        <v>786</v>
      </c>
      <c r="AD150" s="5" t="s">
        <v>121</v>
      </c>
      <c r="AE150" s="5" t="s">
        <v>121</v>
      </c>
      <c r="AF150" s="5" t="s">
        <v>786</v>
      </c>
      <c r="AG150" s="5" t="s">
        <v>121</v>
      </c>
      <c r="AH150" s="5" t="s">
        <v>121</v>
      </c>
      <c r="AI150" s="5" t="s">
        <v>121</v>
      </c>
      <c r="AJ150" s="5" t="s">
        <v>121</v>
      </c>
      <c r="AK150" s="5" t="s">
        <v>121</v>
      </c>
      <c r="AL150" s="5" t="s">
        <v>121</v>
      </c>
      <c r="AM150" s="5" t="s">
        <v>121</v>
      </c>
      <c r="AN150" s="5" t="s">
        <v>121</v>
      </c>
      <c r="AO150" s="5" t="s">
        <v>121</v>
      </c>
      <c r="AP150" s="5" t="s">
        <v>121</v>
      </c>
      <c r="AQ150" s="5" t="s">
        <v>121</v>
      </c>
      <c r="AR150" s="5" t="s">
        <v>121</v>
      </c>
      <c r="AS150" s="5" t="s">
        <v>121</v>
      </c>
      <c r="AT150" s="5" t="s">
        <v>121</v>
      </c>
      <c r="AU150" s="5" t="s">
        <v>1666</v>
      </c>
      <c r="AV150" s="5" t="s">
        <v>121</v>
      </c>
      <c r="AW150" s="5" t="s">
        <v>121</v>
      </c>
      <c r="AX150" s="5" t="s">
        <v>121</v>
      </c>
      <c r="AY150" s="5" t="s">
        <v>121</v>
      </c>
      <c r="AZ150" s="5" t="s">
        <v>121</v>
      </c>
      <c r="BA150" s="5" t="s">
        <v>121</v>
      </c>
      <c r="BB150" s="5" t="s">
        <v>3510</v>
      </c>
      <c r="BC150" s="5" t="s">
        <v>121</v>
      </c>
      <c r="BD150" s="5" t="s">
        <v>121</v>
      </c>
      <c r="BE150" s="5" t="s">
        <v>13716</v>
      </c>
      <c r="BF150" s="5" t="s">
        <v>13717</v>
      </c>
      <c r="BG150" s="5" t="s">
        <v>121</v>
      </c>
      <c r="BH150" s="5" t="s">
        <v>12721</v>
      </c>
      <c r="BI150" s="5" t="s">
        <v>121</v>
      </c>
      <c r="BJ150" s="5" t="s">
        <v>1667</v>
      </c>
      <c r="BK150" s="5" t="s">
        <v>121</v>
      </c>
      <c r="BL150" s="5" t="s">
        <v>1693</v>
      </c>
      <c r="BM150" s="5" t="s">
        <v>1693</v>
      </c>
      <c r="BN150" s="5" t="s">
        <v>121</v>
      </c>
      <c r="BO150" s="5" t="s">
        <v>121</v>
      </c>
      <c r="BP150" s="5" t="s">
        <v>2854</v>
      </c>
      <c r="BQ150" s="5" t="s">
        <v>121</v>
      </c>
      <c r="BR150" s="5" t="s">
        <v>121</v>
      </c>
      <c r="BS150" s="5" t="s">
        <v>121</v>
      </c>
      <c r="BT150" s="5" t="s">
        <v>121</v>
      </c>
      <c r="BU150" s="5" t="s">
        <v>121</v>
      </c>
      <c r="BV150" s="5" t="s">
        <v>121</v>
      </c>
      <c r="BW150" s="5" t="s">
        <v>121</v>
      </c>
      <c r="BX150" s="5" t="s">
        <v>121</v>
      </c>
      <c r="BY150" s="5" t="s">
        <v>13718</v>
      </c>
      <c r="BZ150" s="5" t="s">
        <v>13719</v>
      </c>
      <c r="CA150" s="5" t="s">
        <v>121</v>
      </c>
      <c r="CB150" s="5" t="s">
        <v>121</v>
      </c>
      <c r="CC150" s="5" t="s">
        <v>1665</v>
      </c>
      <c r="CD150" s="5" t="s">
        <v>121</v>
      </c>
      <c r="CE150" s="5" t="s">
        <v>121</v>
      </c>
      <c r="CF150" s="5" t="s">
        <v>11958</v>
      </c>
      <c r="CG150" s="5" t="s">
        <v>121</v>
      </c>
      <c r="CH150" s="5" t="s">
        <v>121</v>
      </c>
      <c r="CI150" s="5" t="s">
        <v>11959</v>
      </c>
      <c r="CJ150" s="5" t="s">
        <v>287</v>
      </c>
      <c r="CK150" s="5" t="s">
        <v>1657</v>
      </c>
      <c r="CL150" s="5" t="s">
        <v>2854</v>
      </c>
      <c r="CM150" s="5" t="s">
        <v>287</v>
      </c>
      <c r="CN150" s="5" t="s">
        <v>121</v>
      </c>
      <c r="CO150" s="5" t="s">
        <v>121</v>
      </c>
      <c r="CP150" s="5" t="s">
        <v>3510</v>
      </c>
      <c r="CQ150" s="5" t="s">
        <v>1668</v>
      </c>
      <c r="CR150" s="5" t="s">
        <v>12118</v>
      </c>
      <c r="CS150" s="5" t="s">
        <v>3510</v>
      </c>
      <c r="CT150" s="5" t="s">
        <v>3510</v>
      </c>
      <c r="CU150" s="5" t="s">
        <v>2854</v>
      </c>
      <c r="CV150" s="5" t="s">
        <v>13720</v>
      </c>
      <c r="CW150" s="5" t="s">
        <v>11952</v>
      </c>
      <c r="CX150" s="5" t="s">
        <v>13674</v>
      </c>
      <c r="CY150" s="5" t="s">
        <v>13721</v>
      </c>
      <c r="CZ150" s="5" t="s">
        <v>3510</v>
      </c>
      <c r="DA150" s="5" t="s">
        <v>11952</v>
      </c>
      <c r="DB150" s="5" t="s">
        <v>11963</v>
      </c>
      <c r="DC150" s="5" t="s">
        <v>11963</v>
      </c>
      <c r="DD150" s="5" t="s">
        <v>11963</v>
      </c>
      <c r="DE150" s="5" t="s">
        <v>11963</v>
      </c>
      <c r="DF150" s="5" t="s">
        <v>3510</v>
      </c>
      <c r="DG150" s="5" t="s">
        <v>11964</v>
      </c>
      <c r="DH150" s="5" t="s">
        <v>13722</v>
      </c>
      <c r="DI150" s="5" t="s">
        <v>11966</v>
      </c>
      <c r="DJ150" s="5" t="s">
        <v>11966</v>
      </c>
      <c r="DK150" s="5" t="s">
        <v>11967</v>
      </c>
      <c r="DL150" s="5">
        <v>5</v>
      </c>
      <c r="DM150" s="5">
        <v>3</v>
      </c>
      <c r="DN150" s="5">
        <v>2.5</v>
      </c>
      <c r="DO150" s="5">
        <v>4</v>
      </c>
      <c r="DP150" s="5">
        <v>3</v>
      </c>
      <c r="DQ150" s="5">
        <v>1</v>
      </c>
      <c r="DR150" s="5">
        <v>0</v>
      </c>
      <c r="DS150" s="5">
        <v>59.5</v>
      </c>
      <c r="DT150" s="5" t="s">
        <v>11968</v>
      </c>
      <c r="DU150" s="5" t="s">
        <v>11969</v>
      </c>
      <c r="DV150" s="5" t="s">
        <v>11970</v>
      </c>
      <c r="DW150" s="5"/>
      <c r="DX150" s="5">
        <v>12</v>
      </c>
      <c r="DY150" s="5"/>
      <c r="DZ150" s="5">
        <v>100</v>
      </c>
      <c r="EA150" s="5"/>
      <c r="EB150" s="5">
        <v>0.12</v>
      </c>
      <c r="EC150" s="5"/>
      <c r="ED150" s="5" t="s">
        <v>11971</v>
      </c>
      <c r="EE150" s="5"/>
      <c r="EF150" s="5" t="s">
        <v>11997</v>
      </c>
      <c r="EG150" s="5"/>
      <c r="EH150" s="5" t="s">
        <v>11997</v>
      </c>
      <c r="EI150" s="5"/>
      <c r="EJ150" s="5" t="s">
        <v>11997</v>
      </c>
      <c r="EK150" s="5"/>
      <c r="EL150" s="5" t="s">
        <v>11997</v>
      </c>
      <c r="EM150" s="5"/>
      <c r="EN150" s="5" t="s">
        <v>11997</v>
      </c>
      <c r="EO150" s="5"/>
      <c r="EP150" s="5" t="s">
        <v>11998</v>
      </c>
      <c r="EQ150" s="5"/>
      <c r="ER150" s="5" t="s">
        <v>11997</v>
      </c>
      <c r="ES150" s="5"/>
      <c r="ET150" s="5" t="s">
        <v>11972</v>
      </c>
      <c r="EU150" s="5"/>
      <c r="EV150" s="5"/>
      <c r="EW150" s="5"/>
      <c r="EX150" s="5"/>
      <c r="EY150" s="5" t="s">
        <v>7608</v>
      </c>
      <c r="EZ150" s="5"/>
      <c r="FA150" s="5" t="s">
        <v>1669</v>
      </c>
      <c r="FB150" s="5"/>
    </row>
    <row r="151" spans="1:158" ht="114.75">
      <c r="A151" s="5" t="s">
        <v>1671</v>
      </c>
      <c r="B151" s="5" t="s">
        <v>1672</v>
      </c>
      <c r="C151" s="5" t="s">
        <v>11952</v>
      </c>
      <c r="D151" s="5" t="s">
        <v>1601</v>
      </c>
      <c r="E151" s="5" t="s">
        <v>11953</v>
      </c>
      <c r="F151" s="5" t="s">
        <v>11954</v>
      </c>
      <c r="G151" s="5" t="s">
        <v>11955</v>
      </c>
      <c r="H151" s="5" t="s">
        <v>11235</v>
      </c>
      <c r="I151" s="5" t="s">
        <v>1607</v>
      </c>
      <c r="J151" s="5" t="s">
        <v>3510</v>
      </c>
      <c r="K151" s="5" t="s">
        <v>11956</v>
      </c>
      <c r="L151" s="5" t="s">
        <v>1677</v>
      </c>
      <c r="M151" s="5" t="s">
        <v>11952</v>
      </c>
      <c r="N151" s="5" t="s">
        <v>11952</v>
      </c>
      <c r="O151" s="5" t="s">
        <v>11952</v>
      </c>
      <c r="P151" s="5" t="s">
        <v>11952</v>
      </c>
      <c r="Q151" s="5" t="s">
        <v>11952</v>
      </c>
      <c r="R151" s="5" t="s">
        <v>1677</v>
      </c>
      <c r="S151" s="5" t="s">
        <v>11952</v>
      </c>
      <c r="T151" s="5" t="s">
        <v>121</v>
      </c>
      <c r="U151" s="5" t="s">
        <v>3510</v>
      </c>
      <c r="V151" s="5" t="s">
        <v>121</v>
      </c>
      <c r="W151" s="5" t="s">
        <v>121</v>
      </c>
      <c r="X151" s="5" t="s">
        <v>121</v>
      </c>
      <c r="Y151" s="5" t="s">
        <v>121</v>
      </c>
      <c r="Z151" s="5" t="s">
        <v>11952</v>
      </c>
      <c r="AA151" s="5" t="s">
        <v>11952</v>
      </c>
      <c r="AB151" s="5" t="s">
        <v>121</v>
      </c>
      <c r="AC151" s="5" t="s">
        <v>121</v>
      </c>
      <c r="AD151" s="5" t="s">
        <v>121</v>
      </c>
      <c r="AE151" s="5" t="s">
        <v>121</v>
      </c>
      <c r="AF151" s="5" t="s">
        <v>121</v>
      </c>
      <c r="AG151" s="5" t="s">
        <v>121</v>
      </c>
      <c r="AH151" s="5" t="s">
        <v>121</v>
      </c>
      <c r="AI151" s="5" t="s">
        <v>121</v>
      </c>
      <c r="AJ151" s="5" t="s">
        <v>121</v>
      </c>
      <c r="AK151" s="5" t="s">
        <v>121</v>
      </c>
      <c r="AL151" s="5" t="s">
        <v>121</v>
      </c>
      <c r="AM151" s="5" t="s">
        <v>121</v>
      </c>
      <c r="AN151" s="5" t="s">
        <v>121</v>
      </c>
      <c r="AO151" s="5" t="s">
        <v>121</v>
      </c>
      <c r="AP151" s="5" t="s">
        <v>2302</v>
      </c>
      <c r="AQ151" s="5" t="s">
        <v>121</v>
      </c>
      <c r="AR151" s="5" t="s">
        <v>13723</v>
      </c>
      <c r="AS151" s="5" t="s">
        <v>1675</v>
      </c>
      <c r="AT151" s="5" t="s">
        <v>121</v>
      </c>
      <c r="AU151" s="5" t="s">
        <v>121</v>
      </c>
      <c r="AV151" s="5" t="s">
        <v>121</v>
      </c>
      <c r="AW151" s="5" t="s">
        <v>121</v>
      </c>
      <c r="AX151" s="5" t="s">
        <v>121</v>
      </c>
      <c r="AY151" s="5" t="s">
        <v>121</v>
      </c>
      <c r="AZ151" s="5" t="s">
        <v>121</v>
      </c>
      <c r="BA151" s="5" t="s">
        <v>121</v>
      </c>
      <c r="BB151" s="5" t="s">
        <v>3510</v>
      </c>
      <c r="BC151" s="5" t="s">
        <v>121</v>
      </c>
      <c r="BD151" s="5" t="s">
        <v>121</v>
      </c>
      <c r="BE151" s="5" t="s">
        <v>121</v>
      </c>
      <c r="BF151" s="5" t="s">
        <v>121</v>
      </c>
      <c r="BG151" s="5" t="s">
        <v>121</v>
      </c>
      <c r="BH151" s="5" t="s">
        <v>13724</v>
      </c>
      <c r="BI151" s="5" t="s">
        <v>121</v>
      </c>
      <c r="BJ151" s="5" t="s">
        <v>1674</v>
      </c>
      <c r="BK151" s="5" t="s">
        <v>121</v>
      </c>
      <c r="BL151" s="5" t="s">
        <v>1273</v>
      </c>
      <c r="BM151" s="5" t="s">
        <v>1273</v>
      </c>
      <c r="BN151" s="5" t="s">
        <v>121</v>
      </c>
      <c r="BO151" s="5" t="s">
        <v>121</v>
      </c>
      <c r="BP151" s="5" t="s">
        <v>121</v>
      </c>
      <c r="BQ151" s="5" t="s">
        <v>121</v>
      </c>
      <c r="BR151" s="5" t="s">
        <v>2854</v>
      </c>
      <c r="BS151" s="5" t="s">
        <v>121</v>
      </c>
      <c r="BT151" s="5" t="s">
        <v>121</v>
      </c>
      <c r="BU151" s="5" t="s">
        <v>121</v>
      </c>
      <c r="BV151" s="5" t="s">
        <v>121</v>
      </c>
      <c r="BW151" s="5" t="s">
        <v>121</v>
      </c>
      <c r="BX151" s="5" t="s">
        <v>121</v>
      </c>
      <c r="BY151" s="5" t="s">
        <v>121</v>
      </c>
      <c r="BZ151" s="5" t="s">
        <v>121</v>
      </c>
      <c r="CA151" s="5" t="s">
        <v>121</v>
      </c>
      <c r="CB151" s="5" t="s">
        <v>121</v>
      </c>
      <c r="CC151" s="5" t="s">
        <v>1673</v>
      </c>
      <c r="CD151" s="5" t="s">
        <v>121</v>
      </c>
      <c r="CE151" s="5" t="s">
        <v>121</v>
      </c>
      <c r="CF151" s="5" t="s">
        <v>11958</v>
      </c>
      <c r="CG151" s="5" t="s">
        <v>121</v>
      </c>
      <c r="CH151" s="5" t="s">
        <v>121</v>
      </c>
      <c r="CI151" s="5" t="s">
        <v>11959</v>
      </c>
      <c r="CJ151" s="5" t="s">
        <v>287</v>
      </c>
      <c r="CK151" s="5" t="s">
        <v>1657</v>
      </c>
      <c r="CL151" s="5" t="s">
        <v>2854</v>
      </c>
      <c r="CM151" s="5" t="s">
        <v>287</v>
      </c>
      <c r="CN151" s="5" t="s">
        <v>121</v>
      </c>
      <c r="CO151" s="5" t="s">
        <v>121</v>
      </c>
      <c r="CP151" s="5" t="s">
        <v>3510</v>
      </c>
      <c r="CQ151" s="5" t="s">
        <v>1676</v>
      </c>
      <c r="CR151" s="5" t="s">
        <v>11960</v>
      </c>
      <c r="CS151" s="5" t="s">
        <v>3510</v>
      </c>
      <c r="CT151" s="5" t="s">
        <v>3510</v>
      </c>
      <c r="CU151" s="5" t="s">
        <v>3510</v>
      </c>
      <c r="CV151" s="5" t="s">
        <v>11952</v>
      </c>
      <c r="CW151" s="5" t="s">
        <v>11952</v>
      </c>
      <c r="CX151" s="5" t="s">
        <v>13674</v>
      </c>
      <c r="CY151" s="5" t="s">
        <v>13725</v>
      </c>
      <c r="CZ151" s="5" t="s">
        <v>3510</v>
      </c>
      <c r="DA151" s="5" t="s">
        <v>11952</v>
      </c>
      <c r="DB151" s="5" t="s">
        <v>11963</v>
      </c>
      <c r="DC151" s="5" t="s">
        <v>11963</v>
      </c>
      <c r="DD151" s="5" t="s">
        <v>11963</v>
      </c>
      <c r="DE151" s="5" t="s">
        <v>11963</v>
      </c>
      <c r="DF151" s="5" t="s">
        <v>3510</v>
      </c>
      <c r="DG151" s="5" t="s">
        <v>11964</v>
      </c>
      <c r="DH151" s="5" t="s">
        <v>13726</v>
      </c>
      <c r="DI151" s="5" t="s">
        <v>11966</v>
      </c>
      <c r="DJ151" s="5" t="s">
        <v>11966</v>
      </c>
      <c r="DK151" s="5" t="s">
        <v>11967</v>
      </c>
      <c r="DL151" s="5">
        <v>5</v>
      </c>
      <c r="DM151" s="5">
        <v>4</v>
      </c>
      <c r="DN151" s="5">
        <v>3.5</v>
      </c>
      <c r="DO151" s="5">
        <v>1</v>
      </c>
      <c r="DP151" s="5">
        <v>2</v>
      </c>
      <c r="DQ151" s="5">
        <v>1</v>
      </c>
      <c r="DR151" s="5">
        <v>0</v>
      </c>
      <c r="DS151" s="5">
        <v>55.5</v>
      </c>
      <c r="DT151" s="5" t="s">
        <v>11968</v>
      </c>
      <c r="DU151" s="5" t="s">
        <v>11969</v>
      </c>
      <c r="DV151" s="5" t="s">
        <v>11970</v>
      </c>
      <c r="DW151" s="5"/>
      <c r="DX151" s="5">
        <v>16</v>
      </c>
      <c r="DY151" s="5"/>
      <c r="DZ151" s="5">
        <v>100</v>
      </c>
      <c r="EA151" s="5"/>
      <c r="EB151" s="5">
        <v>0.16</v>
      </c>
      <c r="EC151" s="5"/>
      <c r="ED151" s="5" t="s">
        <v>11971</v>
      </c>
      <c r="EE151" s="5"/>
      <c r="EF151" s="5" t="s">
        <v>11997</v>
      </c>
      <c r="EG151" s="5"/>
      <c r="EH151" s="5" t="s">
        <v>11997</v>
      </c>
      <c r="EI151" s="5"/>
      <c r="EJ151" s="5" t="s">
        <v>11997</v>
      </c>
      <c r="EK151" s="5"/>
      <c r="EL151" s="5" t="s">
        <v>11997</v>
      </c>
      <c r="EM151" s="5"/>
      <c r="EN151" s="5" t="s">
        <v>11997</v>
      </c>
      <c r="EO151" s="5"/>
      <c r="EP151" s="5" t="s">
        <v>11998</v>
      </c>
      <c r="EQ151" s="5"/>
      <c r="ER151" s="5" t="s">
        <v>11997</v>
      </c>
      <c r="ES151" s="5"/>
      <c r="ET151" s="5" t="s">
        <v>11972</v>
      </c>
      <c r="EU151" s="5"/>
      <c r="EV151" s="5"/>
      <c r="EW151" s="5"/>
      <c r="EX151" s="5"/>
      <c r="EY151" s="5" t="s">
        <v>7640</v>
      </c>
      <c r="EZ151" s="5"/>
      <c r="FA151" s="5" t="s">
        <v>1677</v>
      </c>
      <c r="FB151" s="5"/>
    </row>
    <row r="152" spans="1:158" ht="76.5">
      <c r="A152" s="5" t="s">
        <v>1679</v>
      </c>
      <c r="B152" s="5" t="s">
        <v>1680</v>
      </c>
      <c r="C152" s="5" t="s">
        <v>11952</v>
      </c>
      <c r="D152" s="5" t="s">
        <v>121</v>
      </c>
      <c r="E152" s="5" t="s">
        <v>11953</v>
      </c>
      <c r="F152" s="5" t="s">
        <v>11954</v>
      </c>
      <c r="G152" s="5" t="s">
        <v>11955</v>
      </c>
      <c r="H152" s="5" t="s">
        <v>11237</v>
      </c>
      <c r="I152" s="5" t="s">
        <v>1607</v>
      </c>
      <c r="J152" s="5" t="s">
        <v>3510</v>
      </c>
      <c r="K152" s="5" t="s">
        <v>11956</v>
      </c>
      <c r="L152" s="5" t="s">
        <v>1689</v>
      </c>
      <c r="M152" s="5" t="s">
        <v>11952</v>
      </c>
      <c r="N152" s="5" t="s">
        <v>11952</v>
      </c>
      <c r="O152" s="5" t="s">
        <v>11952</v>
      </c>
      <c r="P152" s="5" t="s">
        <v>11952</v>
      </c>
      <c r="Q152" s="5" t="s">
        <v>11952</v>
      </c>
      <c r="R152" s="5" t="s">
        <v>1689</v>
      </c>
      <c r="S152" s="5" t="s">
        <v>11952</v>
      </c>
      <c r="T152" s="5" t="s">
        <v>121</v>
      </c>
      <c r="U152" s="5" t="s">
        <v>2854</v>
      </c>
      <c r="V152" s="5" t="s">
        <v>13727</v>
      </c>
      <c r="W152" s="5" t="s">
        <v>121</v>
      </c>
      <c r="X152" s="5" t="s">
        <v>13727</v>
      </c>
      <c r="Y152" s="5" t="s">
        <v>121</v>
      </c>
      <c r="Z152" s="5" t="s">
        <v>121</v>
      </c>
      <c r="AA152" s="5" t="s">
        <v>11981</v>
      </c>
      <c r="AB152" s="5" t="s">
        <v>155</v>
      </c>
      <c r="AC152" s="5" t="s">
        <v>1685</v>
      </c>
      <c r="AD152" s="5" t="s">
        <v>121</v>
      </c>
      <c r="AE152" s="5" t="s">
        <v>121</v>
      </c>
      <c r="AF152" s="5" t="s">
        <v>1685</v>
      </c>
      <c r="AG152" s="5" t="s">
        <v>121</v>
      </c>
      <c r="AH152" s="5" t="s">
        <v>121</v>
      </c>
      <c r="AI152" s="5" t="s">
        <v>121</v>
      </c>
      <c r="AJ152" s="5" t="s">
        <v>121</v>
      </c>
      <c r="AK152" s="5" t="s">
        <v>121</v>
      </c>
      <c r="AL152" s="5" t="s">
        <v>121</v>
      </c>
      <c r="AM152" s="5" t="s">
        <v>121</v>
      </c>
      <c r="AN152" s="5" t="s">
        <v>121</v>
      </c>
      <c r="AO152" s="5" t="s">
        <v>121</v>
      </c>
      <c r="AP152" s="5" t="s">
        <v>1873</v>
      </c>
      <c r="AQ152" s="5" t="s">
        <v>121</v>
      </c>
      <c r="AR152" s="5" t="s">
        <v>121</v>
      </c>
      <c r="AS152" s="5" t="s">
        <v>1686</v>
      </c>
      <c r="AT152" s="5" t="s">
        <v>121</v>
      </c>
      <c r="AU152" s="5" t="s">
        <v>1682</v>
      </c>
      <c r="AV152" s="5" t="s">
        <v>12003</v>
      </c>
      <c r="AW152" s="5" t="s">
        <v>1682</v>
      </c>
      <c r="AX152" s="5" t="s">
        <v>13728</v>
      </c>
      <c r="AY152" s="5" t="s">
        <v>121</v>
      </c>
      <c r="AZ152" s="5" t="s">
        <v>121</v>
      </c>
      <c r="BA152" s="5" t="s">
        <v>121</v>
      </c>
      <c r="BB152" s="5" t="s">
        <v>3510</v>
      </c>
      <c r="BC152" s="5" t="s">
        <v>121</v>
      </c>
      <c r="BD152" s="5" t="s">
        <v>121</v>
      </c>
      <c r="BE152" s="5" t="s">
        <v>121</v>
      </c>
      <c r="BF152" s="5" t="s">
        <v>121</v>
      </c>
      <c r="BG152" s="5" t="s">
        <v>121</v>
      </c>
      <c r="BH152" s="5" t="s">
        <v>13729</v>
      </c>
      <c r="BI152" s="5" t="s">
        <v>121</v>
      </c>
      <c r="BJ152" s="5" t="s">
        <v>1683</v>
      </c>
      <c r="BK152" s="5" t="s">
        <v>121</v>
      </c>
      <c r="BL152" s="5" t="s">
        <v>1693</v>
      </c>
      <c r="BM152" s="5" t="s">
        <v>1693</v>
      </c>
      <c r="BN152" s="5" t="s">
        <v>1684</v>
      </c>
      <c r="BO152" s="5" t="s">
        <v>121</v>
      </c>
      <c r="BP152" s="5" t="s">
        <v>2854</v>
      </c>
      <c r="BQ152" s="5" t="s">
        <v>121</v>
      </c>
      <c r="BR152" s="5" t="s">
        <v>121</v>
      </c>
      <c r="BS152" s="5" t="s">
        <v>121</v>
      </c>
      <c r="BT152" s="5" t="s">
        <v>121</v>
      </c>
      <c r="BU152" s="5" t="s">
        <v>121</v>
      </c>
      <c r="BV152" s="5" t="s">
        <v>3510</v>
      </c>
      <c r="BW152" s="5" t="s">
        <v>3510</v>
      </c>
      <c r="BX152" s="5" t="s">
        <v>3510</v>
      </c>
      <c r="BY152" s="5" t="s">
        <v>13730</v>
      </c>
      <c r="BZ152" s="5" t="s">
        <v>13731</v>
      </c>
      <c r="CA152" s="5" t="s">
        <v>121</v>
      </c>
      <c r="CB152" s="5" t="s">
        <v>121</v>
      </c>
      <c r="CC152" s="5" t="s">
        <v>1681</v>
      </c>
      <c r="CD152" s="5" t="s">
        <v>121</v>
      </c>
      <c r="CE152" s="5" t="s">
        <v>121</v>
      </c>
      <c r="CF152" s="5" t="s">
        <v>11958</v>
      </c>
      <c r="CG152" s="5" t="s">
        <v>121</v>
      </c>
      <c r="CH152" s="5" t="s">
        <v>121</v>
      </c>
      <c r="CI152" s="5" t="s">
        <v>12034</v>
      </c>
      <c r="CJ152" s="5" t="s">
        <v>287</v>
      </c>
      <c r="CK152" s="5" t="s">
        <v>121</v>
      </c>
      <c r="CL152" s="5" t="s">
        <v>2854</v>
      </c>
      <c r="CM152" s="5" t="s">
        <v>287</v>
      </c>
      <c r="CN152" s="5" t="s">
        <v>121</v>
      </c>
      <c r="CO152" s="5" t="s">
        <v>121</v>
      </c>
      <c r="CP152" s="5" t="s">
        <v>3510</v>
      </c>
      <c r="CQ152" s="5" t="s">
        <v>1687</v>
      </c>
      <c r="CR152" s="5" t="s">
        <v>11960</v>
      </c>
      <c r="CS152" s="5" t="s">
        <v>3510</v>
      </c>
      <c r="CT152" s="5" t="s">
        <v>3510</v>
      </c>
      <c r="CU152" s="5" t="s">
        <v>3510</v>
      </c>
      <c r="CV152" s="5" t="s">
        <v>11952</v>
      </c>
      <c r="CW152" s="5" t="s">
        <v>13732</v>
      </c>
      <c r="CX152" s="5" t="s">
        <v>13733</v>
      </c>
      <c r="CY152" s="5" t="s">
        <v>13734</v>
      </c>
      <c r="CZ152" s="5" t="s">
        <v>11952</v>
      </c>
      <c r="DA152" s="5" t="s">
        <v>3510</v>
      </c>
      <c r="DB152" s="5" t="s">
        <v>11963</v>
      </c>
      <c r="DC152" s="5" t="s">
        <v>11963</v>
      </c>
      <c r="DD152" s="5" t="s">
        <v>11963</v>
      </c>
      <c r="DE152" s="5" t="s">
        <v>11963</v>
      </c>
      <c r="DF152" s="5" t="s">
        <v>3510</v>
      </c>
      <c r="DG152" s="5" t="s">
        <v>13735</v>
      </c>
      <c r="DH152" s="5" t="s">
        <v>13736</v>
      </c>
      <c r="DI152" s="5" t="s">
        <v>11975</v>
      </c>
      <c r="DJ152" s="5" t="s">
        <v>12044</v>
      </c>
      <c r="DK152" s="5" t="s">
        <v>11967</v>
      </c>
      <c r="DL152" s="5">
        <v>4</v>
      </c>
      <c r="DM152" s="5">
        <v>3</v>
      </c>
      <c r="DN152" s="5">
        <v>4</v>
      </c>
      <c r="DO152" s="5">
        <v>4</v>
      </c>
      <c r="DP152" s="5">
        <v>3</v>
      </c>
      <c r="DQ152" s="5">
        <v>1</v>
      </c>
      <c r="DR152" s="5">
        <v>0</v>
      </c>
      <c r="DS152" s="5">
        <v>60</v>
      </c>
      <c r="DT152" s="5" t="s">
        <v>11968</v>
      </c>
      <c r="DU152" s="5" t="s">
        <v>11969</v>
      </c>
      <c r="DV152" s="5" t="s">
        <v>11970</v>
      </c>
      <c r="DW152" s="5"/>
      <c r="DX152" s="5">
        <v>19</v>
      </c>
      <c r="DY152" s="5"/>
      <c r="DZ152" s="5">
        <v>100</v>
      </c>
      <c r="EA152" s="5"/>
      <c r="EB152" s="5">
        <v>0.19</v>
      </c>
      <c r="EC152" s="5"/>
      <c r="ED152" s="5" t="s">
        <v>11971</v>
      </c>
      <c r="EE152" s="5"/>
      <c r="EF152" s="5" t="s">
        <v>11997</v>
      </c>
      <c r="EG152" s="5"/>
      <c r="EH152" s="5" t="s">
        <v>11997</v>
      </c>
      <c r="EI152" s="5"/>
      <c r="EJ152" s="5" t="s">
        <v>11997</v>
      </c>
      <c r="EK152" s="5"/>
      <c r="EL152" s="5" t="s">
        <v>11997</v>
      </c>
      <c r="EM152" s="5"/>
      <c r="EN152" s="5" t="s">
        <v>11997</v>
      </c>
      <c r="EO152" s="5"/>
      <c r="EP152" s="5" t="s">
        <v>11998</v>
      </c>
      <c r="EQ152" s="5"/>
      <c r="ER152" s="5" t="s">
        <v>11997</v>
      </c>
      <c r="ES152" s="5"/>
      <c r="ET152" s="5" t="s">
        <v>11972</v>
      </c>
      <c r="EU152" s="5"/>
      <c r="EV152" s="5"/>
      <c r="EW152" s="5"/>
      <c r="EX152" s="5"/>
      <c r="EY152" s="5" t="s">
        <v>7668</v>
      </c>
      <c r="EZ152" s="5"/>
      <c r="FA152" s="5" t="s">
        <v>1689</v>
      </c>
      <c r="FB152" s="5"/>
    </row>
    <row r="153" spans="1:158" ht="102">
      <c r="A153" s="5" t="s">
        <v>1691</v>
      </c>
      <c r="B153" s="5" t="s">
        <v>1692</v>
      </c>
      <c r="C153" s="5" t="s">
        <v>11952</v>
      </c>
      <c r="D153" s="5" t="s">
        <v>1601</v>
      </c>
      <c r="E153" s="5" t="s">
        <v>11953</v>
      </c>
      <c r="F153" s="5" t="s">
        <v>11954</v>
      </c>
      <c r="G153" s="5" t="s">
        <v>11955</v>
      </c>
      <c r="H153" s="5" t="s">
        <v>11235</v>
      </c>
      <c r="I153" s="5" t="s">
        <v>1607</v>
      </c>
      <c r="J153" s="5" t="s">
        <v>3510</v>
      </c>
      <c r="K153" s="5" t="s">
        <v>11956</v>
      </c>
      <c r="L153" s="5" t="s">
        <v>1699</v>
      </c>
      <c r="M153" s="5" t="s">
        <v>11952</v>
      </c>
      <c r="N153" s="5" t="s">
        <v>11952</v>
      </c>
      <c r="O153" s="5" t="s">
        <v>11952</v>
      </c>
      <c r="P153" s="5" t="s">
        <v>11952</v>
      </c>
      <c r="Q153" s="5" t="s">
        <v>11952</v>
      </c>
      <c r="R153" s="5" t="s">
        <v>1699</v>
      </c>
      <c r="S153" s="5" t="s">
        <v>11952</v>
      </c>
      <c r="T153" s="5" t="s">
        <v>121</v>
      </c>
      <c r="U153" s="5" t="s">
        <v>3510</v>
      </c>
      <c r="V153" s="5" t="s">
        <v>121</v>
      </c>
      <c r="W153" s="5" t="s">
        <v>121</v>
      </c>
      <c r="X153" s="5" t="s">
        <v>121</v>
      </c>
      <c r="Y153" s="5" t="s">
        <v>121</v>
      </c>
      <c r="Z153" s="5" t="s">
        <v>11952</v>
      </c>
      <c r="AA153" s="5" t="s">
        <v>11952</v>
      </c>
      <c r="AB153" s="5" t="s">
        <v>155</v>
      </c>
      <c r="AC153" s="5" t="s">
        <v>1696</v>
      </c>
      <c r="AD153" s="5" t="s">
        <v>121</v>
      </c>
      <c r="AE153" s="5" t="s">
        <v>121</v>
      </c>
      <c r="AF153" s="5" t="s">
        <v>1696</v>
      </c>
      <c r="AG153" s="5" t="s">
        <v>121</v>
      </c>
      <c r="AH153" s="5" t="s">
        <v>121</v>
      </c>
      <c r="AI153" s="5" t="s">
        <v>121</v>
      </c>
      <c r="AJ153" s="5" t="s">
        <v>121</v>
      </c>
      <c r="AK153" s="5" t="s">
        <v>121</v>
      </c>
      <c r="AL153" s="5" t="s">
        <v>121</v>
      </c>
      <c r="AM153" s="5" t="s">
        <v>121</v>
      </c>
      <c r="AN153" s="5" t="s">
        <v>121</v>
      </c>
      <c r="AO153" s="5" t="s">
        <v>121</v>
      </c>
      <c r="AP153" s="5" t="s">
        <v>13737</v>
      </c>
      <c r="AQ153" s="5" t="s">
        <v>121</v>
      </c>
      <c r="AR153" s="5" t="s">
        <v>13738</v>
      </c>
      <c r="AS153" s="5" t="s">
        <v>1697</v>
      </c>
      <c r="AT153" s="5" t="s">
        <v>121</v>
      </c>
      <c r="AU153" s="5" t="s">
        <v>1694</v>
      </c>
      <c r="AV153" s="5" t="s">
        <v>121</v>
      </c>
      <c r="AW153" s="5" t="s">
        <v>1694</v>
      </c>
      <c r="AX153" s="5" t="s">
        <v>12063</v>
      </c>
      <c r="AY153" s="5" t="s">
        <v>121</v>
      </c>
      <c r="AZ153" s="5" t="s">
        <v>121</v>
      </c>
      <c r="BA153" s="5" t="s">
        <v>121</v>
      </c>
      <c r="BB153" s="5" t="s">
        <v>3510</v>
      </c>
      <c r="BC153" s="5" t="s">
        <v>121</v>
      </c>
      <c r="BD153" s="5" t="s">
        <v>121</v>
      </c>
      <c r="BE153" s="5" t="s">
        <v>121</v>
      </c>
      <c r="BF153" s="5" t="s">
        <v>121</v>
      </c>
      <c r="BG153" s="5" t="s">
        <v>121</v>
      </c>
      <c r="BH153" s="5" t="s">
        <v>13739</v>
      </c>
      <c r="BI153" s="5" t="s">
        <v>121</v>
      </c>
      <c r="BJ153" s="5" t="s">
        <v>1695</v>
      </c>
      <c r="BK153" s="5" t="s">
        <v>121</v>
      </c>
      <c r="BL153" s="5" t="s">
        <v>1693</v>
      </c>
      <c r="BM153" s="5" t="s">
        <v>1693</v>
      </c>
      <c r="BN153" s="5" t="s">
        <v>121</v>
      </c>
      <c r="BO153" s="5" t="s">
        <v>121</v>
      </c>
      <c r="BP153" s="5" t="s">
        <v>2854</v>
      </c>
      <c r="BQ153" s="5" t="s">
        <v>121</v>
      </c>
      <c r="BR153" s="5" t="s">
        <v>121</v>
      </c>
      <c r="BS153" s="5" t="s">
        <v>121</v>
      </c>
      <c r="BT153" s="5" t="s">
        <v>121</v>
      </c>
      <c r="BU153" s="5" t="s">
        <v>121</v>
      </c>
      <c r="BV153" s="5" t="s">
        <v>121</v>
      </c>
      <c r="BW153" s="5" t="s">
        <v>121</v>
      </c>
      <c r="BX153" s="5" t="s">
        <v>121</v>
      </c>
      <c r="BY153" s="5" t="s">
        <v>13740</v>
      </c>
      <c r="BZ153" s="5" t="s">
        <v>13741</v>
      </c>
      <c r="CA153" s="5" t="s">
        <v>121</v>
      </c>
      <c r="CB153" s="5" t="s">
        <v>121</v>
      </c>
      <c r="CC153" s="5" t="s">
        <v>1693</v>
      </c>
      <c r="CD153" s="5" t="s">
        <v>121</v>
      </c>
      <c r="CE153" s="5" t="s">
        <v>121</v>
      </c>
      <c r="CF153" s="5" t="s">
        <v>11958</v>
      </c>
      <c r="CG153" s="5" t="s">
        <v>121</v>
      </c>
      <c r="CH153" s="5" t="s">
        <v>121</v>
      </c>
      <c r="CI153" s="5" t="s">
        <v>11959</v>
      </c>
      <c r="CJ153" s="5" t="s">
        <v>287</v>
      </c>
      <c r="CK153" s="5" t="s">
        <v>1640</v>
      </c>
      <c r="CL153" s="5" t="s">
        <v>2854</v>
      </c>
      <c r="CM153" s="5" t="s">
        <v>287</v>
      </c>
      <c r="CN153" s="5" t="s">
        <v>121</v>
      </c>
      <c r="CO153" s="5" t="s">
        <v>121</v>
      </c>
      <c r="CP153" s="5" t="s">
        <v>3510</v>
      </c>
      <c r="CQ153" s="5" t="s">
        <v>1698</v>
      </c>
      <c r="CR153" s="5" t="s">
        <v>11960</v>
      </c>
      <c r="CS153" s="5" t="s">
        <v>3510</v>
      </c>
      <c r="CT153" s="5" t="s">
        <v>3510</v>
      </c>
      <c r="CU153" s="5" t="s">
        <v>3510</v>
      </c>
      <c r="CV153" s="5" t="s">
        <v>11952</v>
      </c>
      <c r="CW153" s="5" t="s">
        <v>11952</v>
      </c>
      <c r="CX153" s="5" t="s">
        <v>13674</v>
      </c>
      <c r="CY153" s="5" t="s">
        <v>13742</v>
      </c>
      <c r="CZ153" s="5" t="s">
        <v>3510</v>
      </c>
      <c r="DA153" s="5" t="s">
        <v>11952</v>
      </c>
      <c r="DB153" s="5" t="s">
        <v>11963</v>
      </c>
      <c r="DC153" s="5" t="s">
        <v>11963</v>
      </c>
      <c r="DD153" s="5" t="s">
        <v>11963</v>
      </c>
      <c r="DE153" s="5" t="s">
        <v>11963</v>
      </c>
      <c r="DF153" s="5" t="s">
        <v>3510</v>
      </c>
      <c r="DG153" s="5" t="s">
        <v>11964</v>
      </c>
      <c r="DH153" s="5" t="s">
        <v>13743</v>
      </c>
      <c r="DI153" s="5" t="s">
        <v>11975</v>
      </c>
      <c r="DJ153" s="5" t="s">
        <v>11966</v>
      </c>
      <c r="DK153" s="5" t="s">
        <v>11967</v>
      </c>
      <c r="DL153" s="5">
        <v>5</v>
      </c>
      <c r="DM153" s="5">
        <v>2</v>
      </c>
      <c r="DN153" s="5">
        <v>3.5</v>
      </c>
      <c r="DO153" s="5">
        <v>1</v>
      </c>
      <c r="DP153" s="5">
        <v>2</v>
      </c>
      <c r="DQ153" s="5">
        <v>1</v>
      </c>
      <c r="DR153" s="5">
        <v>0</v>
      </c>
      <c r="DS153" s="5">
        <v>47.5</v>
      </c>
      <c r="DT153" s="5" t="s">
        <v>11968</v>
      </c>
      <c r="DU153" s="5" t="s">
        <v>11969</v>
      </c>
      <c r="DV153" s="5" t="s">
        <v>11970</v>
      </c>
      <c r="DW153" s="5"/>
      <c r="DX153" s="5">
        <v>28</v>
      </c>
      <c r="DY153" s="5"/>
      <c r="DZ153" s="5">
        <v>100</v>
      </c>
      <c r="EA153" s="5"/>
      <c r="EB153" s="5">
        <v>0.28000000000000003</v>
      </c>
      <c r="EC153" s="5"/>
      <c r="ED153" s="5" t="s">
        <v>11971</v>
      </c>
      <c r="EE153" s="5"/>
      <c r="EF153" s="5" t="s">
        <v>11997</v>
      </c>
      <c r="EG153" s="5"/>
      <c r="EH153" s="5" t="s">
        <v>11997</v>
      </c>
      <c r="EI153" s="5"/>
      <c r="EJ153" s="5" t="s">
        <v>11997</v>
      </c>
      <c r="EK153" s="5"/>
      <c r="EL153" s="5" t="s">
        <v>11997</v>
      </c>
      <c r="EM153" s="5"/>
      <c r="EN153" s="5" t="s">
        <v>11997</v>
      </c>
      <c r="EO153" s="5"/>
      <c r="EP153" s="5" t="s">
        <v>11998</v>
      </c>
      <c r="EQ153" s="5"/>
      <c r="ER153" s="5" t="s">
        <v>11997</v>
      </c>
      <c r="ES153" s="5"/>
      <c r="ET153" s="5" t="s">
        <v>11972</v>
      </c>
      <c r="EU153" s="5"/>
      <c r="EV153" s="5"/>
      <c r="EW153" s="5"/>
      <c r="EX153" s="5"/>
      <c r="EY153" s="5" t="s">
        <v>7700</v>
      </c>
      <c r="EZ153" s="5"/>
      <c r="FA153" s="5" t="s">
        <v>1699</v>
      </c>
      <c r="FB153" s="5"/>
    </row>
    <row r="154" spans="1:158" ht="76.5">
      <c r="A154" s="5" t="s">
        <v>1701</v>
      </c>
      <c r="B154" s="5" t="s">
        <v>1702</v>
      </c>
      <c r="C154" s="5" t="s">
        <v>11952</v>
      </c>
      <c r="D154" s="5" t="s">
        <v>1601</v>
      </c>
      <c r="E154" s="5" t="s">
        <v>11953</v>
      </c>
      <c r="F154" s="5" t="s">
        <v>11954</v>
      </c>
      <c r="G154" s="5" t="s">
        <v>11955</v>
      </c>
      <c r="H154" s="5" t="s">
        <v>11235</v>
      </c>
      <c r="I154" s="5" t="s">
        <v>1607</v>
      </c>
      <c r="J154" s="5" t="s">
        <v>3510</v>
      </c>
      <c r="K154" s="5" t="s">
        <v>11956</v>
      </c>
      <c r="L154" s="5" t="s">
        <v>1707</v>
      </c>
      <c r="M154" s="5" t="s">
        <v>11952</v>
      </c>
      <c r="N154" s="5" t="s">
        <v>11952</v>
      </c>
      <c r="O154" s="5" t="s">
        <v>11952</v>
      </c>
      <c r="P154" s="5" t="s">
        <v>11952</v>
      </c>
      <c r="Q154" s="5" t="s">
        <v>11952</v>
      </c>
      <c r="R154" s="5" t="s">
        <v>1707</v>
      </c>
      <c r="S154" s="5" t="s">
        <v>11952</v>
      </c>
      <c r="T154" s="5" t="s">
        <v>121</v>
      </c>
      <c r="U154" s="5" t="s">
        <v>2854</v>
      </c>
      <c r="V154" s="5" t="s">
        <v>13744</v>
      </c>
      <c r="W154" s="5" t="s">
        <v>121</v>
      </c>
      <c r="X154" s="5" t="s">
        <v>13744</v>
      </c>
      <c r="Y154" s="5" t="s">
        <v>121</v>
      </c>
      <c r="Z154" s="5" t="s">
        <v>121</v>
      </c>
      <c r="AA154" s="5" t="s">
        <v>11981</v>
      </c>
      <c r="AB154" s="5" t="s">
        <v>155</v>
      </c>
      <c r="AC154" s="5" t="s">
        <v>1705</v>
      </c>
      <c r="AD154" s="5" t="s">
        <v>121</v>
      </c>
      <c r="AE154" s="5" t="s">
        <v>121</v>
      </c>
      <c r="AF154" s="5" t="s">
        <v>1705</v>
      </c>
      <c r="AG154" s="5" t="s">
        <v>121</v>
      </c>
      <c r="AH154" s="5" t="s">
        <v>121</v>
      </c>
      <c r="AI154" s="5" t="s">
        <v>121</v>
      </c>
      <c r="AJ154" s="5" t="s">
        <v>121</v>
      </c>
      <c r="AK154" s="5" t="s">
        <v>121</v>
      </c>
      <c r="AL154" s="5" t="s">
        <v>121</v>
      </c>
      <c r="AM154" s="5" t="s">
        <v>121</v>
      </c>
      <c r="AN154" s="5" t="s">
        <v>121</v>
      </c>
      <c r="AO154" s="5" t="s">
        <v>121</v>
      </c>
      <c r="AP154" s="5" t="s">
        <v>121</v>
      </c>
      <c r="AQ154" s="5" t="s">
        <v>121</v>
      </c>
      <c r="AR154" s="5" t="s">
        <v>121</v>
      </c>
      <c r="AS154" s="5" t="s">
        <v>121</v>
      </c>
      <c r="AT154" s="5" t="s">
        <v>121</v>
      </c>
      <c r="AU154" s="5" t="s">
        <v>121</v>
      </c>
      <c r="AV154" s="5" t="s">
        <v>121</v>
      </c>
      <c r="AW154" s="5" t="s">
        <v>121</v>
      </c>
      <c r="AX154" s="5" t="s">
        <v>121</v>
      </c>
      <c r="AY154" s="5" t="s">
        <v>121</v>
      </c>
      <c r="AZ154" s="5" t="s">
        <v>121</v>
      </c>
      <c r="BA154" s="5" t="s">
        <v>121</v>
      </c>
      <c r="BB154" s="5" t="s">
        <v>3510</v>
      </c>
      <c r="BC154" s="5" t="s">
        <v>121</v>
      </c>
      <c r="BD154" s="5" t="s">
        <v>121</v>
      </c>
      <c r="BE154" s="5" t="s">
        <v>121</v>
      </c>
      <c r="BF154" s="5" t="s">
        <v>121</v>
      </c>
      <c r="BG154" s="5" t="s">
        <v>121</v>
      </c>
      <c r="BH154" s="5" t="s">
        <v>12721</v>
      </c>
      <c r="BI154" s="5" t="s">
        <v>121</v>
      </c>
      <c r="BJ154" s="5" t="s">
        <v>1703</v>
      </c>
      <c r="BK154" s="5" t="s">
        <v>121</v>
      </c>
      <c r="BL154" s="5" t="s">
        <v>332</v>
      </c>
      <c r="BM154" s="5" t="s">
        <v>332</v>
      </c>
      <c r="BN154" s="5" t="s">
        <v>538</v>
      </c>
      <c r="BO154" s="5" t="s">
        <v>12398</v>
      </c>
      <c r="BP154" s="5" t="s">
        <v>121</v>
      </c>
      <c r="BQ154" s="5" t="s">
        <v>2854</v>
      </c>
      <c r="BR154" s="5" t="s">
        <v>121</v>
      </c>
      <c r="BS154" s="5" t="s">
        <v>121</v>
      </c>
      <c r="BT154" s="5" t="s">
        <v>121</v>
      </c>
      <c r="BU154" s="5" t="s">
        <v>121</v>
      </c>
      <c r="BV154" s="5" t="s">
        <v>121</v>
      </c>
      <c r="BW154" s="5" t="s">
        <v>121</v>
      </c>
      <c r="BX154" s="5" t="s">
        <v>121</v>
      </c>
      <c r="BY154" s="5" t="s">
        <v>121</v>
      </c>
      <c r="BZ154" s="5" t="s">
        <v>121</v>
      </c>
      <c r="CA154" s="5" t="s">
        <v>121</v>
      </c>
      <c r="CB154" s="5" t="s">
        <v>121</v>
      </c>
      <c r="CC154" s="5" t="s">
        <v>332</v>
      </c>
      <c r="CD154" s="5" t="s">
        <v>121</v>
      </c>
      <c r="CE154" s="5" t="s">
        <v>121</v>
      </c>
      <c r="CF154" s="5" t="s">
        <v>11958</v>
      </c>
      <c r="CG154" s="5" t="s">
        <v>121</v>
      </c>
      <c r="CH154" s="5" t="s">
        <v>121</v>
      </c>
      <c r="CI154" s="5" t="s">
        <v>11959</v>
      </c>
      <c r="CJ154" s="5" t="s">
        <v>287</v>
      </c>
      <c r="CK154" s="5" t="s">
        <v>1704</v>
      </c>
      <c r="CL154" s="5" t="s">
        <v>2854</v>
      </c>
      <c r="CM154" s="5" t="s">
        <v>287</v>
      </c>
      <c r="CN154" s="5" t="s">
        <v>121</v>
      </c>
      <c r="CO154" s="5" t="s">
        <v>121</v>
      </c>
      <c r="CP154" s="5" t="s">
        <v>3510</v>
      </c>
      <c r="CQ154" s="5" t="s">
        <v>1706</v>
      </c>
      <c r="CR154" s="5" t="s">
        <v>12187</v>
      </c>
      <c r="CS154" s="5" t="s">
        <v>3510</v>
      </c>
      <c r="CT154" s="5" t="s">
        <v>3510</v>
      </c>
      <c r="CU154" s="5" t="s">
        <v>2854</v>
      </c>
      <c r="CV154" s="5" t="s">
        <v>13745</v>
      </c>
      <c r="CW154" s="5" t="s">
        <v>13746</v>
      </c>
      <c r="CX154" s="5" t="s">
        <v>13674</v>
      </c>
      <c r="CY154" s="5" t="s">
        <v>13747</v>
      </c>
      <c r="CZ154" s="5" t="s">
        <v>3510</v>
      </c>
      <c r="DA154" s="5" t="s">
        <v>11952</v>
      </c>
      <c r="DB154" s="5" t="s">
        <v>11963</v>
      </c>
      <c r="DC154" s="5" t="s">
        <v>11963</v>
      </c>
      <c r="DD154" s="5" t="s">
        <v>11963</v>
      </c>
      <c r="DE154" s="5" t="s">
        <v>11963</v>
      </c>
      <c r="DF154" s="5" t="s">
        <v>3510</v>
      </c>
      <c r="DG154" s="5" t="s">
        <v>11964</v>
      </c>
      <c r="DH154" s="5" t="s">
        <v>13748</v>
      </c>
      <c r="DI154" s="5" t="s">
        <v>11975</v>
      </c>
      <c r="DJ154" s="5" t="s">
        <v>12044</v>
      </c>
      <c r="DK154" s="5" t="s">
        <v>11967</v>
      </c>
      <c r="DL154" s="5">
        <v>5</v>
      </c>
      <c r="DM154" s="5">
        <v>3</v>
      </c>
      <c r="DN154" s="5">
        <v>3</v>
      </c>
      <c r="DO154" s="5">
        <v>1</v>
      </c>
      <c r="DP154" s="5">
        <v>2</v>
      </c>
      <c r="DQ154" s="5">
        <v>1</v>
      </c>
      <c r="DR154" s="5">
        <v>0</v>
      </c>
      <c r="DS154" s="5">
        <v>50</v>
      </c>
      <c r="DT154" s="5" t="s">
        <v>11968</v>
      </c>
      <c r="DU154" s="5" t="s">
        <v>11969</v>
      </c>
      <c r="DV154" s="5" t="s">
        <v>11970</v>
      </c>
      <c r="DW154" s="5"/>
      <c r="DX154" s="5">
        <v>16</v>
      </c>
      <c r="DY154" s="5"/>
      <c r="DZ154" s="5">
        <v>100</v>
      </c>
      <c r="EA154" s="5"/>
      <c r="EB154" s="5">
        <v>0.16</v>
      </c>
      <c r="EC154" s="5"/>
      <c r="ED154" s="5" t="s">
        <v>11971</v>
      </c>
      <c r="EE154" s="5"/>
      <c r="EF154" s="5" t="s">
        <v>11997</v>
      </c>
      <c r="EG154" s="5"/>
      <c r="EH154" s="5" t="s">
        <v>11997</v>
      </c>
      <c r="EI154" s="5"/>
      <c r="EJ154" s="5" t="s">
        <v>11997</v>
      </c>
      <c r="EK154" s="5"/>
      <c r="EL154" s="5" t="s">
        <v>11997</v>
      </c>
      <c r="EM154" s="5"/>
      <c r="EN154" s="5" t="s">
        <v>11997</v>
      </c>
      <c r="EO154" s="5"/>
      <c r="EP154" s="5" t="s">
        <v>11998</v>
      </c>
      <c r="EQ154" s="5"/>
      <c r="ER154" s="5" t="s">
        <v>11997</v>
      </c>
      <c r="ES154" s="5"/>
      <c r="ET154" s="5" t="s">
        <v>11972</v>
      </c>
      <c r="EU154" s="5"/>
      <c r="EV154" s="5"/>
      <c r="EW154" s="5"/>
      <c r="EX154" s="5"/>
      <c r="EY154" s="5" t="s">
        <v>7733</v>
      </c>
      <c r="EZ154" s="5"/>
      <c r="FA154" s="5" t="s">
        <v>1707</v>
      </c>
      <c r="FB154" s="5"/>
    </row>
    <row r="155" spans="1:158" ht="102">
      <c r="A155" s="5" t="s">
        <v>1709</v>
      </c>
      <c r="B155" s="5" t="s">
        <v>1710</v>
      </c>
      <c r="C155" s="5" t="s">
        <v>11952</v>
      </c>
      <c r="D155" s="5" t="s">
        <v>1497</v>
      </c>
      <c r="E155" s="5" t="s">
        <v>11953</v>
      </c>
      <c r="F155" s="5" t="s">
        <v>11954</v>
      </c>
      <c r="G155" s="5" t="s">
        <v>11955</v>
      </c>
      <c r="H155" s="5" t="s">
        <v>11235</v>
      </c>
      <c r="I155" s="5" t="s">
        <v>1607</v>
      </c>
      <c r="J155" s="5" t="s">
        <v>3510</v>
      </c>
      <c r="K155" s="5" t="s">
        <v>11956</v>
      </c>
      <c r="L155" s="5" t="s">
        <v>1715</v>
      </c>
      <c r="M155" s="5" t="s">
        <v>11952</v>
      </c>
      <c r="N155" s="5" t="s">
        <v>11952</v>
      </c>
      <c r="O155" s="5" t="s">
        <v>11952</v>
      </c>
      <c r="P155" s="5" t="s">
        <v>11952</v>
      </c>
      <c r="Q155" s="5" t="s">
        <v>11952</v>
      </c>
      <c r="R155" s="5" t="s">
        <v>1715</v>
      </c>
      <c r="S155" s="5" t="s">
        <v>11952</v>
      </c>
      <c r="T155" s="5" t="s">
        <v>121</v>
      </c>
      <c r="U155" s="5" t="s">
        <v>3510</v>
      </c>
      <c r="V155" s="5" t="s">
        <v>121</v>
      </c>
      <c r="W155" s="5" t="s">
        <v>121</v>
      </c>
      <c r="X155" s="5" t="s">
        <v>121</v>
      </c>
      <c r="Y155" s="5" t="s">
        <v>121</v>
      </c>
      <c r="Z155" s="5" t="s">
        <v>11952</v>
      </c>
      <c r="AA155" s="5" t="s">
        <v>11952</v>
      </c>
      <c r="AB155" s="5" t="s">
        <v>121</v>
      </c>
      <c r="AC155" s="5" t="s">
        <v>121</v>
      </c>
      <c r="AD155" s="5" t="s">
        <v>121</v>
      </c>
      <c r="AE155" s="5" t="s">
        <v>121</v>
      </c>
      <c r="AF155" s="5" t="s">
        <v>121</v>
      </c>
      <c r="AG155" s="5" t="s">
        <v>121</v>
      </c>
      <c r="AH155" s="5" t="s">
        <v>121</v>
      </c>
      <c r="AI155" s="5" t="s">
        <v>121</v>
      </c>
      <c r="AJ155" s="5" t="s">
        <v>121</v>
      </c>
      <c r="AK155" s="5" t="s">
        <v>121</v>
      </c>
      <c r="AL155" s="5" t="s">
        <v>121</v>
      </c>
      <c r="AM155" s="5" t="s">
        <v>121</v>
      </c>
      <c r="AN155" s="5" t="s">
        <v>121</v>
      </c>
      <c r="AO155" s="5" t="s">
        <v>121</v>
      </c>
      <c r="AP155" s="5" t="s">
        <v>121</v>
      </c>
      <c r="AQ155" s="5" t="s">
        <v>121</v>
      </c>
      <c r="AR155" s="5" t="s">
        <v>121</v>
      </c>
      <c r="AS155" s="5" t="s">
        <v>121</v>
      </c>
      <c r="AT155" s="5" t="s">
        <v>121</v>
      </c>
      <c r="AU155" s="5" t="s">
        <v>1711</v>
      </c>
      <c r="AV155" s="5" t="s">
        <v>121</v>
      </c>
      <c r="AW155" s="5" t="s">
        <v>121</v>
      </c>
      <c r="AX155" s="5" t="s">
        <v>121</v>
      </c>
      <c r="AY155" s="5" t="s">
        <v>121</v>
      </c>
      <c r="AZ155" s="5" t="s">
        <v>121</v>
      </c>
      <c r="BA155" s="5" t="s">
        <v>121</v>
      </c>
      <c r="BB155" s="5" t="s">
        <v>3510</v>
      </c>
      <c r="BC155" s="5" t="s">
        <v>3510</v>
      </c>
      <c r="BD155" s="5" t="s">
        <v>121</v>
      </c>
      <c r="BE155" s="5" t="s">
        <v>121</v>
      </c>
      <c r="BF155" s="5" t="s">
        <v>121</v>
      </c>
      <c r="BG155" s="5" t="s">
        <v>121</v>
      </c>
      <c r="BH155" s="5" t="s">
        <v>12721</v>
      </c>
      <c r="BI155" s="5" t="s">
        <v>121</v>
      </c>
      <c r="BJ155" s="5" t="s">
        <v>1712</v>
      </c>
      <c r="BK155" s="5" t="s">
        <v>121</v>
      </c>
      <c r="BL155" s="5" t="s">
        <v>1693</v>
      </c>
      <c r="BM155" s="5" t="s">
        <v>1693</v>
      </c>
      <c r="BN155" s="5" t="s">
        <v>1713</v>
      </c>
      <c r="BO155" s="5" t="s">
        <v>121</v>
      </c>
      <c r="BP155" s="5" t="s">
        <v>2854</v>
      </c>
      <c r="BQ155" s="5" t="s">
        <v>121</v>
      </c>
      <c r="BR155" s="5" t="s">
        <v>121</v>
      </c>
      <c r="BS155" s="5" t="s">
        <v>121</v>
      </c>
      <c r="BT155" s="5" t="s">
        <v>121</v>
      </c>
      <c r="BU155" s="5" t="s">
        <v>121</v>
      </c>
      <c r="BV155" s="5" t="s">
        <v>3510</v>
      </c>
      <c r="BW155" s="5" t="s">
        <v>3510</v>
      </c>
      <c r="BX155" s="5" t="s">
        <v>3510</v>
      </c>
      <c r="BY155" s="5" t="s">
        <v>121</v>
      </c>
      <c r="BZ155" s="5" t="s">
        <v>121</v>
      </c>
      <c r="CA155" s="5" t="s">
        <v>121</v>
      </c>
      <c r="CB155" s="5" t="s">
        <v>121</v>
      </c>
      <c r="CC155" s="5" t="s">
        <v>1693</v>
      </c>
      <c r="CD155" s="5" t="s">
        <v>121</v>
      </c>
      <c r="CE155" s="5" t="s">
        <v>121</v>
      </c>
      <c r="CF155" s="5" t="s">
        <v>11958</v>
      </c>
      <c r="CG155" s="5" t="s">
        <v>121</v>
      </c>
      <c r="CH155" s="5" t="s">
        <v>121</v>
      </c>
      <c r="CI155" s="5" t="s">
        <v>11959</v>
      </c>
      <c r="CJ155" s="5" t="s">
        <v>287</v>
      </c>
      <c r="CK155" s="5" t="s">
        <v>1657</v>
      </c>
      <c r="CL155" s="5" t="s">
        <v>2854</v>
      </c>
      <c r="CM155" s="5" t="s">
        <v>287</v>
      </c>
      <c r="CN155" s="5" t="s">
        <v>121</v>
      </c>
      <c r="CO155" s="5" t="s">
        <v>121</v>
      </c>
      <c r="CP155" s="5" t="s">
        <v>3510</v>
      </c>
      <c r="CQ155" s="5" t="s">
        <v>1714</v>
      </c>
      <c r="CR155" s="5" t="s">
        <v>12118</v>
      </c>
      <c r="CS155" s="5" t="s">
        <v>3510</v>
      </c>
      <c r="CT155" s="5" t="s">
        <v>3510</v>
      </c>
      <c r="CU155" s="5" t="s">
        <v>2854</v>
      </c>
      <c r="CV155" s="5" t="s">
        <v>1711</v>
      </c>
      <c r="CW155" s="5" t="s">
        <v>11952</v>
      </c>
      <c r="CX155" s="5" t="s">
        <v>13674</v>
      </c>
      <c r="CY155" s="5" t="s">
        <v>13749</v>
      </c>
      <c r="CZ155" s="5" t="s">
        <v>3510</v>
      </c>
      <c r="DA155" s="5" t="s">
        <v>11952</v>
      </c>
      <c r="DB155" s="5" t="s">
        <v>11963</v>
      </c>
      <c r="DC155" s="5" t="s">
        <v>11963</v>
      </c>
      <c r="DD155" s="5" t="s">
        <v>11963</v>
      </c>
      <c r="DE155" s="5" t="s">
        <v>11963</v>
      </c>
      <c r="DF155" s="5" t="s">
        <v>3510</v>
      </c>
      <c r="DG155" s="5" t="s">
        <v>11964</v>
      </c>
      <c r="DH155" s="5" t="s">
        <v>13750</v>
      </c>
      <c r="DI155" s="5" t="s">
        <v>11975</v>
      </c>
      <c r="DJ155" s="5" t="s">
        <v>11966</v>
      </c>
      <c r="DK155" s="5" t="s">
        <v>11967</v>
      </c>
      <c r="DL155" s="5">
        <v>5</v>
      </c>
      <c r="DM155" s="5">
        <v>2</v>
      </c>
      <c r="DN155" s="5">
        <v>2</v>
      </c>
      <c r="DO155" s="5">
        <v>2</v>
      </c>
      <c r="DP155" s="5">
        <v>2</v>
      </c>
      <c r="DQ155" s="5">
        <v>1</v>
      </c>
      <c r="DR155" s="5">
        <v>0</v>
      </c>
      <c r="DS155" s="5">
        <v>46</v>
      </c>
      <c r="DT155" s="5" t="s">
        <v>11968</v>
      </c>
      <c r="DU155" s="5" t="s">
        <v>11969</v>
      </c>
      <c r="DV155" s="5" t="s">
        <v>11970</v>
      </c>
      <c r="DW155" s="5"/>
      <c r="DX155" s="5">
        <v>14</v>
      </c>
      <c r="DY155" s="5"/>
      <c r="DZ155" s="5">
        <v>100</v>
      </c>
      <c r="EA155" s="5"/>
      <c r="EB155" s="5">
        <v>0.14000000000000001</v>
      </c>
      <c r="EC155" s="5"/>
      <c r="ED155" s="5" t="s">
        <v>11971</v>
      </c>
      <c r="EE155" s="5"/>
      <c r="EF155" s="5" t="s">
        <v>11997</v>
      </c>
      <c r="EG155" s="5"/>
      <c r="EH155" s="5" t="s">
        <v>11997</v>
      </c>
      <c r="EI155" s="5"/>
      <c r="EJ155" s="5" t="s">
        <v>11997</v>
      </c>
      <c r="EK155" s="5"/>
      <c r="EL155" s="5" t="s">
        <v>11997</v>
      </c>
      <c r="EM155" s="5"/>
      <c r="EN155" s="5" t="s">
        <v>11997</v>
      </c>
      <c r="EO155" s="5"/>
      <c r="EP155" s="5" t="s">
        <v>11998</v>
      </c>
      <c r="EQ155" s="5"/>
      <c r="ER155" s="5" t="s">
        <v>11997</v>
      </c>
      <c r="ES155" s="5"/>
      <c r="ET155" s="5" t="s">
        <v>11972</v>
      </c>
      <c r="EU155" s="5"/>
      <c r="EV155" s="5"/>
      <c r="EW155" s="5"/>
      <c r="EX155" s="5"/>
      <c r="EY155" s="5" t="s">
        <v>7761</v>
      </c>
      <c r="EZ155" s="5"/>
      <c r="FA155" s="5" t="s">
        <v>1715</v>
      </c>
      <c r="FB155" s="5"/>
    </row>
    <row r="156" spans="1:158" ht="102">
      <c r="A156" s="5" t="s">
        <v>1717</v>
      </c>
      <c r="B156" s="5" t="s">
        <v>1718</v>
      </c>
      <c r="C156" s="5" t="s">
        <v>11952</v>
      </c>
      <c r="D156" s="5" t="s">
        <v>1601</v>
      </c>
      <c r="E156" s="5" t="s">
        <v>11953</v>
      </c>
      <c r="F156" s="5" t="s">
        <v>11954</v>
      </c>
      <c r="G156" s="5" t="s">
        <v>11955</v>
      </c>
      <c r="H156" s="5" t="s">
        <v>11235</v>
      </c>
      <c r="I156" s="5" t="s">
        <v>1607</v>
      </c>
      <c r="J156" s="5" t="s">
        <v>3510</v>
      </c>
      <c r="K156" s="5" t="s">
        <v>11956</v>
      </c>
      <c r="L156" s="5" t="s">
        <v>1725</v>
      </c>
      <c r="M156" s="5" t="s">
        <v>11952</v>
      </c>
      <c r="N156" s="5" t="s">
        <v>11952</v>
      </c>
      <c r="O156" s="5" t="s">
        <v>11952</v>
      </c>
      <c r="P156" s="5" t="s">
        <v>11952</v>
      </c>
      <c r="Q156" s="5" t="s">
        <v>11952</v>
      </c>
      <c r="R156" s="5" t="s">
        <v>1725</v>
      </c>
      <c r="S156" s="5" t="s">
        <v>11952</v>
      </c>
      <c r="T156" s="5" t="s">
        <v>121</v>
      </c>
      <c r="U156" s="5" t="s">
        <v>3510</v>
      </c>
      <c r="V156" s="5" t="s">
        <v>121</v>
      </c>
      <c r="W156" s="5" t="s">
        <v>121</v>
      </c>
      <c r="X156" s="5" t="s">
        <v>121</v>
      </c>
      <c r="Y156" s="5" t="s">
        <v>121</v>
      </c>
      <c r="Z156" s="5" t="s">
        <v>11952</v>
      </c>
      <c r="AA156" s="5" t="s">
        <v>11952</v>
      </c>
      <c r="AB156" s="5" t="s">
        <v>155</v>
      </c>
      <c r="AC156" s="5" t="s">
        <v>1723</v>
      </c>
      <c r="AD156" s="5" t="s">
        <v>121</v>
      </c>
      <c r="AE156" s="5" t="s">
        <v>121</v>
      </c>
      <c r="AF156" s="5" t="s">
        <v>1723</v>
      </c>
      <c r="AG156" s="5" t="s">
        <v>121</v>
      </c>
      <c r="AH156" s="5" t="s">
        <v>121</v>
      </c>
      <c r="AI156" s="5" t="s">
        <v>121</v>
      </c>
      <c r="AJ156" s="5" t="s">
        <v>121</v>
      </c>
      <c r="AK156" s="5" t="s">
        <v>121</v>
      </c>
      <c r="AL156" s="5" t="s">
        <v>121</v>
      </c>
      <c r="AM156" s="5" t="s">
        <v>121</v>
      </c>
      <c r="AN156" s="5" t="s">
        <v>121</v>
      </c>
      <c r="AO156" s="5" t="s">
        <v>121</v>
      </c>
      <c r="AP156" s="5" t="s">
        <v>121</v>
      </c>
      <c r="AQ156" s="5" t="s">
        <v>121</v>
      </c>
      <c r="AR156" s="5" t="s">
        <v>121</v>
      </c>
      <c r="AS156" s="5" t="s">
        <v>121</v>
      </c>
      <c r="AT156" s="5" t="s">
        <v>121</v>
      </c>
      <c r="AU156" s="5" t="s">
        <v>1719</v>
      </c>
      <c r="AV156" s="5" t="s">
        <v>121</v>
      </c>
      <c r="AW156" s="5" t="s">
        <v>121</v>
      </c>
      <c r="AX156" s="5" t="s">
        <v>121</v>
      </c>
      <c r="AY156" s="5" t="s">
        <v>121</v>
      </c>
      <c r="AZ156" s="5" t="s">
        <v>121</v>
      </c>
      <c r="BA156" s="5" t="s">
        <v>121</v>
      </c>
      <c r="BB156" s="5" t="s">
        <v>3510</v>
      </c>
      <c r="BC156" s="5" t="s">
        <v>121</v>
      </c>
      <c r="BD156" s="5" t="s">
        <v>121</v>
      </c>
      <c r="BE156" s="5" t="s">
        <v>121</v>
      </c>
      <c r="BF156" s="5" t="s">
        <v>13751</v>
      </c>
      <c r="BG156" s="5" t="s">
        <v>121</v>
      </c>
      <c r="BH156" s="5" t="s">
        <v>12721</v>
      </c>
      <c r="BI156" s="5" t="s">
        <v>121</v>
      </c>
      <c r="BJ156" s="5" t="s">
        <v>1720</v>
      </c>
      <c r="BK156" s="5" t="s">
        <v>121</v>
      </c>
      <c r="BL156" s="5" t="s">
        <v>332</v>
      </c>
      <c r="BM156" s="5" t="s">
        <v>332</v>
      </c>
      <c r="BN156" s="5" t="s">
        <v>1721</v>
      </c>
      <c r="BO156" s="5" t="s">
        <v>12219</v>
      </c>
      <c r="BP156" s="5" t="s">
        <v>121</v>
      </c>
      <c r="BQ156" s="5" t="s">
        <v>2854</v>
      </c>
      <c r="BR156" s="5" t="s">
        <v>121</v>
      </c>
      <c r="BS156" s="5" t="s">
        <v>121</v>
      </c>
      <c r="BT156" s="5" t="s">
        <v>121</v>
      </c>
      <c r="BU156" s="5" t="s">
        <v>121</v>
      </c>
      <c r="BV156" s="5" t="s">
        <v>121</v>
      </c>
      <c r="BW156" s="5" t="s">
        <v>121</v>
      </c>
      <c r="BX156" s="5" t="s">
        <v>121</v>
      </c>
      <c r="BY156" s="5" t="s">
        <v>121</v>
      </c>
      <c r="BZ156" s="5" t="s">
        <v>13752</v>
      </c>
      <c r="CA156" s="5" t="s">
        <v>121</v>
      </c>
      <c r="CB156" s="5" t="s">
        <v>121</v>
      </c>
      <c r="CC156" s="5" t="s">
        <v>332</v>
      </c>
      <c r="CD156" s="5" t="s">
        <v>121</v>
      </c>
      <c r="CE156" s="5" t="s">
        <v>121</v>
      </c>
      <c r="CF156" s="5" t="s">
        <v>11958</v>
      </c>
      <c r="CG156" s="5" t="s">
        <v>121</v>
      </c>
      <c r="CH156" s="5" t="s">
        <v>121</v>
      </c>
      <c r="CI156" s="5" t="s">
        <v>11959</v>
      </c>
      <c r="CJ156" s="5" t="s">
        <v>287</v>
      </c>
      <c r="CK156" s="5" t="s">
        <v>1722</v>
      </c>
      <c r="CL156" s="5" t="s">
        <v>2854</v>
      </c>
      <c r="CM156" s="5" t="s">
        <v>287</v>
      </c>
      <c r="CN156" s="5" t="s">
        <v>121</v>
      </c>
      <c r="CO156" s="5" t="s">
        <v>121</v>
      </c>
      <c r="CP156" s="5" t="s">
        <v>3510</v>
      </c>
      <c r="CQ156" s="5" t="s">
        <v>1724</v>
      </c>
      <c r="CR156" s="5" t="s">
        <v>11960</v>
      </c>
      <c r="CS156" s="5" t="s">
        <v>3510</v>
      </c>
      <c r="CT156" s="5" t="s">
        <v>3510</v>
      </c>
      <c r="CU156" s="5" t="s">
        <v>3510</v>
      </c>
      <c r="CV156" s="5" t="s">
        <v>11952</v>
      </c>
      <c r="CW156" s="5" t="s">
        <v>11952</v>
      </c>
      <c r="CX156" s="5" t="s">
        <v>13674</v>
      </c>
      <c r="CY156" s="5" t="s">
        <v>13753</v>
      </c>
      <c r="CZ156" s="5" t="s">
        <v>3510</v>
      </c>
      <c r="DA156" s="5" t="s">
        <v>11952</v>
      </c>
      <c r="DB156" s="5" t="s">
        <v>11963</v>
      </c>
      <c r="DC156" s="5" t="s">
        <v>11963</v>
      </c>
      <c r="DD156" s="5" t="s">
        <v>11963</v>
      </c>
      <c r="DE156" s="5" t="s">
        <v>11963</v>
      </c>
      <c r="DF156" s="5" t="s">
        <v>3510</v>
      </c>
      <c r="DG156" s="5" t="s">
        <v>11964</v>
      </c>
      <c r="DH156" s="5" t="s">
        <v>13754</v>
      </c>
      <c r="DI156" s="5" t="s">
        <v>11975</v>
      </c>
      <c r="DJ156" s="5" t="s">
        <v>11966</v>
      </c>
      <c r="DK156" s="5" t="s">
        <v>11967</v>
      </c>
      <c r="DL156" s="5">
        <v>5</v>
      </c>
      <c r="DM156" s="5">
        <v>3</v>
      </c>
      <c r="DN156" s="5">
        <v>3</v>
      </c>
      <c r="DO156" s="5">
        <v>3</v>
      </c>
      <c r="DP156" s="5">
        <v>3</v>
      </c>
      <c r="DQ156" s="5">
        <v>1</v>
      </c>
      <c r="DR156" s="5">
        <v>0</v>
      </c>
      <c r="DS156" s="5">
        <v>58</v>
      </c>
      <c r="DT156" s="5" t="s">
        <v>11968</v>
      </c>
      <c r="DU156" s="5" t="s">
        <v>11969</v>
      </c>
      <c r="DV156" s="5" t="s">
        <v>11970</v>
      </c>
      <c r="DW156" s="5"/>
      <c r="DX156" s="5">
        <v>12</v>
      </c>
      <c r="DY156" s="5"/>
      <c r="DZ156" s="5">
        <v>100</v>
      </c>
      <c r="EA156" s="5"/>
      <c r="EB156" s="5">
        <v>0.12</v>
      </c>
      <c r="EC156" s="5"/>
      <c r="ED156" s="5" t="s">
        <v>11971</v>
      </c>
      <c r="EE156" s="5"/>
      <c r="EF156" s="5" t="s">
        <v>11997</v>
      </c>
      <c r="EG156" s="5"/>
      <c r="EH156" s="5" t="s">
        <v>11997</v>
      </c>
      <c r="EI156" s="5"/>
      <c r="EJ156" s="5" t="s">
        <v>11997</v>
      </c>
      <c r="EK156" s="5"/>
      <c r="EL156" s="5" t="s">
        <v>11997</v>
      </c>
      <c r="EM156" s="5"/>
      <c r="EN156" s="5" t="s">
        <v>11997</v>
      </c>
      <c r="EO156" s="5"/>
      <c r="EP156" s="5" t="s">
        <v>11998</v>
      </c>
      <c r="EQ156" s="5"/>
      <c r="ER156" s="5" t="s">
        <v>11997</v>
      </c>
      <c r="ES156" s="5"/>
      <c r="ET156" s="5" t="s">
        <v>11972</v>
      </c>
      <c r="EU156" s="5"/>
      <c r="EV156" s="5"/>
      <c r="EW156" s="5"/>
      <c r="EX156" s="5"/>
      <c r="EY156" s="5" t="s">
        <v>7789</v>
      </c>
      <c r="EZ156" s="5"/>
      <c r="FA156" s="5" t="s">
        <v>1725</v>
      </c>
      <c r="FB156" s="5"/>
    </row>
    <row r="157" spans="1:158" ht="102">
      <c r="A157" s="5" t="s">
        <v>1727</v>
      </c>
      <c r="B157" s="5" t="s">
        <v>1728</v>
      </c>
      <c r="C157" s="5" t="s">
        <v>11952</v>
      </c>
      <c r="D157" s="5" t="s">
        <v>1601</v>
      </c>
      <c r="E157" s="5" t="s">
        <v>11953</v>
      </c>
      <c r="F157" s="5" t="s">
        <v>11954</v>
      </c>
      <c r="G157" s="5" t="s">
        <v>11955</v>
      </c>
      <c r="H157" s="5" t="s">
        <v>11235</v>
      </c>
      <c r="I157" s="5" t="s">
        <v>1607</v>
      </c>
      <c r="J157" s="5" t="s">
        <v>3510</v>
      </c>
      <c r="K157" s="5" t="s">
        <v>11956</v>
      </c>
      <c r="L157" s="5" t="s">
        <v>1734</v>
      </c>
      <c r="M157" s="5" t="s">
        <v>11952</v>
      </c>
      <c r="N157" s="5" t="s">
        <v>11952</v>
      </c>
      <c r="O157" s="5" t="s">
        <v>11952</v>
      </c>
      <c r="P157" s="5" t="s">
        <v>11952</v>
      </c>
      <c r="Q157" s="5" t="s">
        <v>11952</v>
      </c>
      <c r="R157" s="5" t="s">
        <v>1734</v>
      </c>
      <c r="S157" s="5" t="s">
        <v>11952</v>
      </c>
      <c r="T157" s="5" t="s">
        <v>121</v>
      </c>
      <c r="U157" s="5" t="s">
        <v>3510</v>
      </c>
      <c r="V157" s="5" t="s">
        <v>121</v>
      </c>
      <c r="W157" s="5" t="s">
        <v>121</v>
      </c>
      <c r="X157" s="5" t="s">
        <v>121</v>
      </c>
      <c r="Y157" s="5" t="s">
        <v>121</v>
      </c>
      <c r="Z157" s="5" t="s">
        <v>11952</v>
      </c>
      <c r="AA157" s="5" t="s">
        <v>11952</v>
      </c>
      <c r="AB157" s="5" t="s">
        <v>155</v>
      </c>
      <c r="AC157" s="5" t="s">
        <v>1732</v>
      </c>
      <c r="AD157" s="5" t="s">
        <v>121</v>
      </c>
      <c r="AE157" s="5" t="s">
        <v>121</v>
      </c>
      <c r="AF157" s="5" t="s">
        <v>1732</v>
      </c>
      <c r="AG157" s="5" t="s">
        <v>121</v>
      </c>
      <c r="AH157" s="5" t="s">
        <v>121</v>
      </c>
      <c r="AI157" s="5" t="s">
        <v>121</v>
      </c>
      <c r="AJ157" s="5" t="s">
        <v>121</v>
      </c>
      <c r="AK157" s="5" t="s">
        <v>121</v>
      </c>
      <c r="AL157" s="5" t="s">
        <v>121</v>
      </c>
      <c r="AM157" s="5" t="s">
        <v>121</v>
      </c>
      <c r="AN157" s="5" t="s">
        <v>13201</v>
      </c>
      <c r="AO157" s="5" t="s">
        <v>121</v>
      </c>
      <c r="AP157" s="5" t="s">
        <v>121</v>
      </c>
      <c r="AQ157" s="5" t="s">
        <v>121</v>
      </c>
      <c r="AR157" s="5" t="s">
        <v>121</v>
      </c>
      <c r="AS157" s="5" t="s">
        <v>121</v>
      </c>
      <c r="AT157" s="5" t="s">
        <v>121</v>
      </c>
      <c r="AU157" s="5" t="s">
        <v>121</v>
      </c>
      <c r="AV157" s="5" t="s">
        <v>121</v>
      </c>
      <c r="AW157" s="5" t="s">
        <v>121</v>
      </c>
      <c r="AX157" s="5" t="s">
        <v>121</v>
      </c>
      <c r="AY157" s="5" t="s">
        <v>121</v>
      </c>
      <c r="AZ157" s="5" t="s">
        <v>121</v>
      </c>
      <c r="BA157" s="5" t="s">
        <v>121</v>
      </c>
      <c r="BB157" s="5" t="s">
        <v>3510</v>
      </c>
      <c r="BC157" s="5" t="s">
        <v>121</v>
      </c>
      <c r="BD157" s="5" t="s">
        <v>121</v>
      </c>
      <c r="BE157" s="5" t="s">
        <v>121</v>
      </c>
      <c r="BF157" s="5" t="s">
        <v>13755</v>
      </c>
      <c r="BG157" s="5" t="s">
        <v>121</v>
      </c>
      <c r="BH157" s="5" t="s">
        <v>12721</v>
      </c>
      <c r="BI157" s="5" t="s">
        <v>121</v>
      </c>
      <c r="BJ157" s="5" t="s">
        <v>1729</v>
      </c>
      <c r="BK157" s="5" t="s">
        <v>121</v>
      </c>
      <c r="BL157" s="5" t="s">
        <v>405</v>
      </c>
      <c r="BM157" s="5" t="s">
        <v>405</v>
      </c>
      <c r="BN157" s="5" t="s">
        <v>1730</v>
      </c>
      <c r="BO157" s="5" t="s">
        <v>13380</v>
      </c>
      <c r="BP157" s="5" t="s">
        <v>121</v>
      </c>
      <c r="BQ157" s="5" t="s">
        <v>121</v>
      </c>
      <c r="BR157" s="5" t="s">
        <v>2854</v>
      </c>
      <c r="BS157" s="5" t="s">
        <v>121</v>
      </c>
      <c r="BT157" s="5" t="s">
        <v>121</v>
      </c>
      <c r="BU157" s="5" t="s">
        <v>121</v>
      </c>
      <c r="BV157" s="5" t="s">
        <v>121</v>
      </c>
      <c r="BW157" s="5" t="s">
        <v>121</v>
      </c>
      <c r="BX157" s="5" t="s">
        <v>121</v>
      </c>
      <c r="BY157" s="5" t="s">
        <v>121</v>
      </c>
      <c r="BZ157" s="5" t="s">
        <v>13756</v>
      </c>
      <c r="CA157" s="5" t="s">
        <v>121</v>
      </c>
      <c r="CB157" s="5" t="s">
        <v>121</v>
      </c>
      <c r="CC157" s="5" t="s">
        <v>405</v>
      </c>
      <c r="CD157" s="5" t="s">
        <v>121</v>
      </c>
      <c r="CE157" s="5" t="s">
        <v>121</v>
      </c>
      <c r="CF157" s="5" t="s">
        <v>11958</v>
      </c>
      <c r="CG157" s="5" t="s">
        <v>121</v>
      </c>
      <c r="CH157" s="5" t="s">
        <v>121</v>
      </c>
      <c r="CI157" s="5" t="s">
        <v>11959</v>
      </c>
      <c r="CJ157" s="5" t="s">
        <v>287</v>
      </c>
      <c r="CK157" s="5" t="s">
        <v>1731</v>
      </c>
      <c r="CL157" s="5" t="s">
        <v>2854</v>
      </c>
      <c r="CM157" s="5" t="s">
        <v>287</v>
      </c>
      <c r="CN157" s="5" t="s">
        <v>121</v>
      </c>
      <c r="CO157" s="5" t="s">
        <v>121</v>
      </c>
      <c r="CP157" s="5" t="s">
        <v>3510</v>
      </c>
      <c r="CQ157" s="5" t="s">
        <v>1733</v>
      </c>
      <c r="CR157" s="5" t="s">
        <v>11960</v>
      </c>
      <c r="CS157" s="5" t="s">
        <v>3510</v>
      </c>
      <c r="CT157" s="5" t="s">
        <v>3510</v>
      </c>
      <c r="CU157" s="5" t="s">
        <v>3510</v>
      </c>
      <c r="CV157" s="5" t="s">
        <v>11952</v>
      </c>
      <c r="CW157" s="5" t="s">
        <v>11952</v>
      </c>
      <c r="CX157" s="5" t="s">
        <v>13674</v>
      </c>
      <c r="CY157" s="5" t="s">
        <v>13757</v>
      </c>
      <c r="CZ157" s="5" t="s">
        <v>3510</v>
      </c>
      <c r="DA157" s="5" t="s">
        <v>11952</v>
      </c>
      <c r="DB157" s="5" t="s">
        <v>11963</v>
      </c>
      <c r="DC157" s="5" t="s">
        <v>11963</v>
      </c>
      <c r="DD157" s="5" t="s">
        <v>11963</v>
      </c>
      <c r="DE157" s="5" t="s">
        <v>11963</v>
      </c>
      <c r="DF157" s="5" t="s">
        <v>3510</v>
      </c>
      <c r="DG157" s="5" t="s">
        <v>11964</v>
      </c>
      <c r="DH157" s="5" t="s">
        <v>13758</v>
      </c>
      <c r="DI157" s="5" t="s">
        <v>11975</v>
      </c>
      <c r="DJ157" s="5" t="s">
        <v>11966</v>
      </c>
      <c r="DK157" s="5" t="s">
        <v>11967</v>
      </c>
      <c r="DL157" s="5">
        <v>5</v>
      </c>
      <c r="DM157" s="5">
        <v>3</v>
      </c>
      <c r="DN157" s="5">
        <v>3</v>
      </c>
      <c r="DO157" s="5">
        <v>2</v>
      </c>
      <c r="DP157" s="5">
        <v>3</v>
      </c>
      <c r="DQ157" s="5">
        <v>1</v>
      </c>
      <c r="DR157" s="5">
        <v>0</v>
      </c>
      <c r="DS157" s="5">
        <v>55</v>
      </c>
      <c r="DT157" s="5" t="s">
        <v>11968</v>
      </c>
      <c r="DU157" s="5" t="s">
        <v>11969</v>
      </c>
      <c r="DV157" s="5" t="s">
        <v>11970</v>
      </c>
      <c r="DW157" s="5"/>
      <c r="DX157" s="5">
        <v>16</v>
      </c>
      <c r="DY157" s="5"/>
      <c r="DZ157" s="5">
        <v>100</v>
      </c>
      <c r="EA157" s="5"/>
      <c r="EB157" s="5">
        <v>0.16</v>
      </c>
      <c r="EC157" s="5"/>
      <c r="ED157" s="5" t="s">
        <v>11971</v>
      </c>
      <c r="EE157" s="5"/>
      <c r="EF157" s="5" t="s">
        <v>11997</v>
      </c>
      <c r="EG157" s="5"/>
      <c r="EH157" s="5" t="s">
        <v>11997</v>
      </c>
      <c r="EI157" s="5"/>
      <c r="EJ157" s="5" t="s">
        <v>11997</v>
      </c>
      <c r="EK157" s="5"/>
      <c r="EL157" s="5" t="s">
        <v>11997</v>
      </c>
      <c r="EM157" s="5"/>
      <c r="EN157" s="5" t="s">
        <v>11997</v>
      </c>
      <c r="EO157" s="5"/>
      <c r="EP157" s="5" t="s">
        <v>11998</v>
      </c>
      <c r="EQ157" s="5"/>
      <c r="ER157" s="5" t="s">
        <v>11997</v>
      </c>
      <c r="ES157" s="5"/>
      <c r="ET157" s="5" t="s">
        <v>11972</v>
      </c>
      <c r="EU157" s="5"/>
      <c r="EV157" s="5"/>
      <c r="EW157" s="5"/>
      <c r="EX157" s="5"/>
      <c r="EY157" s="5" t="s">
        <v>7820</v>
      </c>
      <c r="EZ157" s="5"/>
      <c r="FA157" s="5" t="s">
        <v>1734</v>
      </c>
      <c r="FB157" s="5"/>
    </row>
    <row r="158" spans="1:158" ht="165.75">
      <c r="A158" s="5" t="s">
        <v>1736</v>
      </c>
      <c r="B158" s="5" t="s">
        <v>1737</v>
      </c>
      <c r="C158" s="5" t="s">
        <v>13759</v>
      </c>
      <c r="D158" s="5" t="s">
        <v>1664</v>
      </c>
      <c r="E158" s="5" t="s">
        <v>12011</v>
      </c>
      <c r="F158" s="5" t="s">
        <v>11994</v>
      </c>
      <c r="G158" s="5" t="s">
        <v>13760</v>
      </c>
      <c r="H158" s="5" t="s">
        <v>12530</v>
      </c>
      <c r="I158" s="5" t="s">
        <v>1607</v>
      </c>
      <c r="J158" s="5" t="s">
        <v>3510</v>
      </c>
      <c r="K158" s="5" t="s">
        <v>13761</v>
      </c>
      <c r="L158" s="5" t="s">
        <v>1744</v>
      </c>
      <c r="M158" s="5" t="s">
        <v>11952</v>
      </c>
      <c r="N158" s="5" t="s">
        <v>11952</v>
      </c>
      <c r="O158" s="5" t="s">
        <v>11952</v>
      </c>
      <c r="P158" s="5" t="s">
        <v>11952</v>
      </c>
      <c r="Q158" s="5" t="s">
        <v>11952</v>
      </c>
      <c r="R158" s="5" t="s">
        <v>1744</v>
      </c>
      <c r="S158" s="5" t="s">
        <v>11952</v>
      </c>
      <c r="T158" s="5" t="s">
        <v>121</v>
      </c>
      <c r="U158" s="5" t="s">
        <v>2854</v>
      </c>
      <c r="V158" s="5" t="s">
        <v>13762</v>
      </c>
      <c r="W158" s="5" t="s">
        <v>121</v>
      </c>
      <c r="X158" s="5" t="s">
        <v>13762</v>
      </c>
      <c r="Y158" s="5" t="s">
        <v>121</v>
      </c>
      <c r="Z158" s="5" t="s">
        <v>121</v>
      </c>
      <c r="AA158" s="5" t="s">
        <v>11981</v>
      </c>
      <c r="AB158" s="5" t="s">
        <v>155</v>
      </c>
      <c r="AC158" s="5" t="s">
        <v>1742</v>
      </c>
      <c r="AD158" s="5" t="s">
        <v>121</v>
      </c>
      <c r="AE158" s="5" t="s">
        <v>121</v>
      </c>
      <c r="AF158" s="5" t="s">
        <v>1742</v>
      </c>
      <c r="AG158" s="5" t="s">
        <v>121</v>
      </c>
      <c r="AH158" s="5" t="s">
        <v>121</v>
      </c>
      <c r="AI158" s="5" t="s">
        <v>121</v>
      </c>
      <c r="AJ158" s="5" t="s">
        <v>121</v>
      </c>
      <c r="AK158" s="5" t="s">
        <v>121</v>
      </c>
      <c r="AL158" s="5" t="s">
        <v>121</v>
      </c>
      <c r="AM158" s="5" t="s">
        <v>121</v>
      </c>
      <c r="AN158" s="5" t="s">
        <v>13201</v>
      </c>
      <c r="AO158" s="5" t="s">
        <v>121</v>
      </c>
      <c r="AP158" s="5" t="s">
        <v>121</v>
      </c>
      <c r="AQ158" s="5" t="s">
        <v>121</v>
      </c>
      <c r="AR158" s="5" t="s">
        <v>121</v>
      </c>
      <c r="AS158" s="5" t="s">
        <v>1618</v>
      </c>
      <c r="AT158" s="5" t="s">
        <v>121</v>
      </c>
      <c r="AU158" s="5" t="s">
        <v>1739</v>
      </c>
      <c r="AV158" s="5" t="s">
        <v>121</v>
      </c>
      <c r="AW158" s="5" t="s">
        <v>121</v>
      </c>
      <c r="AX158" s="5" t="s">
        <v>121</v>
      </c>
      <c r="AY158" s="5" t="s">
        <v>121</v>
      </c>
      <c r="AZ158" s="5" t="s">
        <v>121</v>
      </c>
      <c r="BA158" s="5" t="s">
        <v>121</v>
      </c>
      <c r="BB158" s="5" t="s">
        <v>3510</v>
      </c>
      <c r="BC158" s="5" t="s">
        <v>121</v>
      </c>
      <c r="BD158" s="5" t="s">
        <v>121</v>
      </c>
      <c r="BE158" s="5" t="s">
        <v>121</v>
      </c>
      <c r="BF158" s="5" t="s">
        <v>121</v>
      </c>
      <c r="BG158" s="5" t="s">
        <v>121</v>
      </c>
      <c r="BH158" s="5" t="s">
        <v>12721</v>
      </c>
      <c r="BI158" s="5" t="s">
        <v>121</v>
      </c>
      <c r="BJ158" s="5" t="s">
        <v>1740</v>
      </c>
      <c r="BK158" s="5" t="s">
        <v>121</v>
      </c>
      <c r="BL158" s="5" t="s">
        <v>1738</v>
      </c>
      <c r="BM158" s="5" t="s">
        <v>1738</v>
      </c>
      <c r="BN158" s="5" t="s">
        <v>1741</v>
      </c>
      <c r="BO158" s="5" t="s">
        <v>13380</v>
      </c>
      <c r="BP158" s="5" t="s">
        <v>121</v>
      </c>
      <c r="BQ158" s="5" t="s">
        <v>2854</v>
      </c>
      <c r="BR158" s="5" t="s">
        <v>2854</v>
      </c>
      <c r="BS158" s="5" t="s">
        <v>121</v>
      </c>
      <c r="BT158" s="5" t="s">
        <v>121</v>
      </c>
      <c r="BU158" s="5" t="s">
        <v>121</v>
      </c>
      <c r="BV158" s="5" t="s">
        <v>3510</v>
      </c>
      <c r="BW158" s="5" t="s">
        <v>3510</v>
      </c>
      <c r="BX158" s="5" t="s">
        <v>3510</v>
      </c>
      <c r="BY158" s="5" t="s">
        <v>13763</v>
      </c>
      <c r="BZ158" s="5" t="s">
        <v>13764</v>
      </c>
      <c r="CA158" s="5" t="s">
        <v>121</v>
      </c>
      <c r="CB158" s="5" t="s">
        <v>121</v>
      </c>
      <c r="CC158" s="5" t="s">
        <v>1738</v>
      </c>
      <c r="CD158" s="5" t="s">
        <v>13765</v>
      </c>
      <c r="CE158" s="5" t="s">
        <v>13765</v>
      </c>
      <c r="CF158" s="5" t="s">
        <v>11958</v>
      </c>
      <c r="CG158" s="5" t="s">
        <v>121</v>
      </c>
      <c r="CH158" s="5" t="s">
        <v>121</v>
      </c>
      <c r="CI158" s="5" t="s">
        <v>11959</v>
      </c>
      <c r="CJ158" s="5" t="s">
        <v>287</v>
      </c>
      <c r="CK158" s="5" t="s">
        <v>1731</v>
      </c>
      <c r="CL158" s="5" t="s">
        <v>2854</v>
      </c>
      <c r="CM158" s="5" t="s">
        <v>287</v>
      </c>
      <c r="CN158" s="5" t="s">
        <v>121</v>
      </c>
      <c r="CO158" s="5" t="s">
        <v>121</v>
      </c>
      <c r="CP158" s="5" t="s">
        <v>3510</v>
      </c>
      <c r="CQ158" s="5" t="s">
        <v>1743</v>
      </c>
      <c r="CR158" s="5" t="s">
        <v>12187</v>
      </c>
      <c r="CS158" s="5" t="s">
        <v>3510</v>
      </c>
      <c r="CT158" s="5" t="s">
        <v>3510</v>
      </c>
      <c r="CU158" s="5" t="s">
        <v>2854</v>
      </c>
      <c r="CV158" s="5" t="s">
        <v>13766</v>
      </c>
      <c r="CW158" s="5" t="s">
        <v>11952</v>
      </c>
      <c r="CX158" s="5" t="s">
        <v>13683</v>
      </c>
      <c r="CY158" s="5" t="s">
        <v>13767</v>
      </c>
      <c r="CZ158" s="5" t="s">
        <v>11989</v>
      </c>
      <c r="DA158" s="5" t="s">
        <v>11989</v>
      </c>
      <c r="DB158" s="5" t="s">
        <v>11963</v>
      </c>
      <c r="DC158" s="5" t="s">
        <v>13768</v>
      </c>
      <c r="DD158" s="5" t="s">
        <v>11963</v>
      </c>
      <c r="DE158" s="5" t="s">
        <v>13769</v>
      </c>
      <c r="DF158" s="5" t="s">
        <v>3510</v>
      </c>
      <c r="DG158" s="5" t="s">
        <v>12194</v>
      </c>
      <c r="DH158" s="5" t="s">
        <v>13770</v>
      </c>
      <c r="DI158" s="5" t="s">
        <v>11975</v>
      </c>
      <c r="DJ158" s="5" t="s">
        <v>11966</v>
      </c>
      <c r="DK158" s="5" t="s">
        <v>12176</v>
      </c>
      <c r="DL158" s="5">
        <v>4.5</v>
      </c>
      <c r="DM158" s="5">
        <v>3</v>
      </c>
      <c r="DN158" s="5">
        <v>3.5</v>
      </c>
      <c r="DO158" s="5">
        <v>2</v>
      </c>
      <c r="DP158" s="5">
        <v>2</v>
      </c>
      <c r="DQ158" s="5">
        <v>1</v>
      </c>
      <c r="DR158" s="5">
        <v>0</v>
      </c>
      <c r="DS158" s="5">
        <v>52.5</v>
      </c>
      <c r="DT158" s="5" t="s">
        <v>11968</v>
      </c>
      <c r="DU158" s="5" t="s">
        <v>12116</v>
      </c>
      <c r="DV158" s="5" t="s">
        <v>11970</v>
      </c>
      <c r="DW158" s="5"/>
      <c r="DX158" s="5">
        <v>16</v>
      </c>
      <c r="DY158" s="5"/>
      <c r="DZ158" s="5">
        <v>100</v>
      </c>
      <c r="EA158" s="5"/>
      <c r="EB158" s="5">
        <v>0.16</v>
      </c>
      <c r="EC158" s="5"/>
      <c r="ED158" s="5" t="s">
        <v>11971</v>
      </c>
      <c r="EE158" s="5"/>
      <c r="EF158" s="5" t="s">
        <v>11997</v>
      </c>
      <c r="EG158" s="5"/>
      <c r="EH158" s="5" t="s">
        <v>11997</v>
      </c>
      <c r="EI158" s="5"/>
      <c r="EJ158" s="5" t="s">
        <v>11997</v>
      </c>
      <c r="EK158" s="5"/>
      <c r="EL158" s="5" t="s">
        <v>11997</v>
      </c>
      <c r="EM158" s="5"/>
      <c r="EN158" s="5" t="s">
        <v>11997</v>
      </c>
      <c r="EO158" s="5"/>
      <c r="EP158" s="5" t="s">
        <v>11998</v>
      </c>
      <c r="EQ158" s="5"/>
      <c r="ER158" s="5" t="s">
        <v>11997</v>
      </c>
      <c r="ES158" s="5"/>
      <c r="ET158" s="5" t="s">
        <v>11972</v>
      </c>
      <c r="EU158" s="5"/>
      <c r="EV158" s="5"/>
      <c r="EW158" s="5"/>
      <c r="EX158" s="5"/>
      <c r="EY158" s="5" t="s">
        <v>7853</v>
      </c>
      <c r="EZ158" s="5"/>
      <c r="FA158" s="5" t="s">
        <v>1744</v>
      </c>
      <c r="FB158" s="5"/>
    </row>
    <row r="159" spans="1:158" ht="102">
      <c r="A159" s="5" t="s">
        <v>1746</v>
      </c>
      <c r="B159" s="5" t="s">
        <v>1747</v>
      </c>
      <c r="C159" s="5" t="s">
        <v>11952</v>
      </c>
      <c r="D159" s="5" t="s">
        <v>1601</v>
      </c>
      <c r="E159" s="5" t="s">
        <v>11953</v>
      </c>
      <c r="F159" s="5" t="s">
        <v>11954</v>
      </c>
      <c r="G159" s="5" t="s">
        <v>11955</v>
      </c>
      <c r="H159" s="5" t="s">
        <v>11235</v>
      </c>
      <c r="I159" s="5" t="s">
        <v>1607</v>
      </c>
      <c r="J159" s="5" t="s">
        <v>3510</v>
      </c>
      <c r="K159" s="5" t="s">
        <v>11956</v>
      </c>
      <c r="L159" s="5" t="s">
        <v>1754</v>
      </c>
      <c r="M159" s="5" t="s">
        <v>11952</v>
      </c>
      <c r="N159" s="5" t="s">
        <v>11952</v>
      </c>
      <c r="O159" s="5" t="s">
        <v>11952</v>
      </c>
      <c r="P159" s="5" t="s">
        <v>11952</v>
      </c>
      <c r="Q159" s="5" t="s">
        <v>11952</v>
      </c>
      <c r="R159" s="5" t="s">
        <v>1754</v>
      </c>
      <c r="S159" s="5" t="s">
        <v>11952</v>
      </c>
      <c r="T159" s="5" t="s">
        <v>121</v>
      </c>
      <c r="U159" s="5" t="s">
        <v>3510</v>
      </c>
      <c r="V159" s="5" t="s">
        <v>121</v>
      </c>
      <c r="W159" s="5" t="s">
        <v>121</v>
      </c>
      <c r="X159" s="5" t="s">
        <v>121</v>
      </c>
      <c r="Y159" s="5" t="s">
        <v>121</v>
      </c>
      <c r="Z159" s="5" t="s">
        <v>11952</v>
      </c>
      <c r="AA159" s="5" t="s">
        <v>11952</v>
      </c>
      <c r="AB159" s="5" t="s">
        <v>155</v>
      </c>
      <c r="AC159" s="5" t="s">
        <v>1751</v>
      </c>
      <c r="AD159" s="5" t="s">
        <v>121</v>
      </c>
      <c r="AE159" s="5" t="s">
        <v>121</v>
      </c>
      <c r="AF159" s="5" t="s">
        <v>1751</v>
      </c>
      <c r="AG159" s="5" t="s">
        <v>121</v>
      </c>
      <c r="AH159" s="5" t="s">
        <v>121</v>
      </c>
      <c r="AI159" s="5" t="s">
        <v>121</v>
      </c>
      <c r="AJ159" s="5" t="s">
        <v>121</v>
      </c>
      <c r="AK159" s="5" t="s">
        <v>121</v>
      </c>
      <c r="AL159" s="5" t="s">
        <v>121</v>
      </c>
      <c r="AM159" s="5" t="s">
        <v>121</v>
      </c>
      <c r="AN159" s="5" t="s">
        <v>121</v>
      </c>
      <c r="AO159" s="5" t="s">
        <v>121</v>
      </c>
      <c r="AP159" s="5" t="s">
        <v>12961</v>
      </c>
      <c r="AQ159" s="5" t="s">
        <v>121</v>
      </c>
      <c r="AR159" s="5" t="s">
        <v>13771</v>
      </c>
      <c r="AS159" s="5" t="s">
        <v>1752</v>
      </c>
      <c r="AT159" s="5" t="s">
        <v>121</v>
      </c>
      <c r="AU159" s="5" t="s">
        <v>121</v>
      </c>
      <c r="AV159" s="5" t="s">
        <v>121</v>
      </c>
      <c r="AW159" s="5" t="s">
        <v>121</v>
      </c>
      <c r="AX159" s="5" t="s">
        <v>121</v>
      </c>
      <c r="AY159" s="5" t="s">
        <v>121</v>
      </c>
      <c r="AZ159" s="5" t="s">
        <v>121</v>
      </c>
      <c r="BA159" s="5" t="s">
        <v>121</v>
      </c>
      <c r="BB159" s="5" t="s">
        <v>3510</v>
      </c>
      <c r="BC159" s="5" t="s">
        <v>121</v>
      </c>
      <c r="BD159" s="5" t="s">
        <v>121</v>
      </c>
      <c r="BE159" s="5" t="s">
        <v>121</v>
      </c>
      <c r="BF159" s="5" t="s">
        <v>13772</v>
      </c>
      <c r="BG159" s="5" t="s">
        <v>121</v>
      </c>
      <c r="BH159" s="5" t="s">
        <v>13773</v>
      </c>
      <c r="BI159" s="5" t="s">
        <v>121</v>
      </c>
      <c r="BJ159" s="5" t="s">
        <v>1749</v>
      </c>
      <c r="BK159" s="5" t="s">
        <v>121</v>
      </c>
      <c r="BL159" s="5" t="s">
        <v>405</v>
      </c>
      <c r="BM159" s="5" t="s">
        <v>405</v>
      </c>
      <c r="BN159" s="5" t="s">
        <v>1750</v>
      </c>
      <c r="BO159" s="5" t="s">
        <v>13187</v>
      </c>
      <c r="BP159" s="5" t="s">
        <v>121</v>
      </c>
      <c r="BQ159" s="5" t="s">
        <v>121</v>
      </c>
      <c r="BR159" s="5" t="s">
        <v>2854</v>
      </c>
      <c r="BS159" s="5" t="s">
        <v>2854</v>
      </c>
      <c r="BT159" s="5" t="s">
        <v>121</v>
      </c>
      <c r="BU159" s="5" t="s">
        <v>121</v>
      </c>
      <c r="BV159" s="5" t="s">
        <v>121</v>
      </c>
      <c r="BW159" s="5" t="s">
        <v>121</v>
      </c>
      <c r="BX159" s="5" t="s">
        <v>121</v>
      </c>
      <c r="BY159" s="5" t="s">
        <v>13774</v>
      </c>
      <c r="BZ159" s="5" t="s">
        <v>121</v>
      </c>
      <c r="CA159" s="5" t="s">
        <v>121</v>
      </c>
      <c r="CB159" s="5" t="s">
        <v>121</v>
      </c>
      <c r="CC159" s="5" t="s">
        <v>1748</v>
      </c>
      <c r="CD159" s="5" t="s">
        <v>121</v>
      </c>
      <c r="CE159" s="5" t="s">
        <v>121</v>
      </c>
      <c r="CF159" s="5" t="s">
        <v>11958</v>
      </c>
      <c r="CG159" s="5" t="s">
        <v>121</v>
      </c>
      <c r="CH159" s="5" t="s">
        <v>121</v>
      </c>
      <c r="CI159" s="5" t="s">
        <v>11959</v>
      </c>
      <c r="CJ159" s="5" t="s">
        <v>287</v>
      </c>
      <c r="CK159" s="5" t="s">
        <v>1640</v>
      </c>
      <c r="CL159" s="5" t="s">
        <v>2854</v>
      </c>
      <c r="CM159" s="5" t="s">
        <v>287</v>
      </c>
      <c r="CN159" s="5" t="s">
        <v>121</v>
      </c>
      <c r="CO159" s="5" t="s">
        <v>121</v>
      </c>
      <c r="CP159" s="5" t="s">
        <v>3510</v>
      </c>
      <c r="CQ159" s="5" t="s">
        <v>1753</v>
      </c>
      <c r="CR159" s="5" t="s">
        <v>11960</v>
      </c>
      <c r="CS159" s="5" t="s">
        <v>3510</v>
      </c>
      <c r="CT159" s="5" t="s">
        <v>3510</v>
      </c>
      <c r="CU159" s="5" t="s">
        <v>3510</v>
      </c>
      <c r="CV159" s="5" t="s">
        <v>11952</v>
      </c>
      <c r="CW159" s="5" t="s">
        <v>11952</v>
      </c>
      <c r="CX159" s="5" t="s">
        <v>13674</v>
      </c>
      <c r="CY159" s="5" t="s">
        <v>13775</v>
      </c>
      <c r="CZ159" s="5" t="s">
        <v>3510</v>
      </c>
      <c r="DA159" s="5" t="s">
        <v>11952</v>
      </c>
      <c r="DB159" s="5" t="s">
        <v>11963</v>
      </c>
      <c r="DC159" s="5" t="s">
        <v>11963</v>
      </c>
      <c r="DD159" s="5" t="s">
        <v>11963</v>
      </c>
      <c r="DE159" s="5" t="s">
        <v>11963</v>
      </c>
      <c r="DF159" s="5" t="s">
        <v>3510</v>
      </c>
      <c r="DG159" s="5" t="s">
        <v>11964</v>
      </c>
      <c r="DH159" s="5" t="s">
        <v>13776</v>
      </c>
      <c r="DI159" s="5" t="s">
        <v>11975</v>
      </c>
      <c r="DJ159" s="5" t="s">
        <v>11966</v>
      </c>
      <c r="DK159" s="5" t="s">
        <v>11967</v>
      </c>
      <c r="DL159" s="5">
        <v>5</v>
      </c>
      <c r="DM159" s="5">
        <v>4</v>
      </c>
      <c r="DN159" s="5">
        <v>3.5</v>
      </c>
      <c r="DO159" s="5">
        <v>2</v>
      </c>
      <c r="DP159" s="5">
        <v>3</v>
      </c>
      <c r="DQ159" s="5">
        <v>1</v>
      </c>
      <c r="DR159" s="5">
        <v>0</v>
      </c>
      <c r="DS159" s="5">
        <v>60.5</v>
      </c>
      <c r="DT159" s="5" t="s">
        <v>11968</v>
      </c>
      <c r="DU159" s="5" t="s">
        <v>11969</v>
      </c>
      <c r="DV159" s="5" t="s">
        <v>11970</v>
      </c>
      <c r="DW159" s="5"/>
      <c r="DX159" s="5">
        <v>24</v>
      </c>
      <c r="DY159" s="5"/>
      <c r="DZ159" s="5">
        <v>100</v>
      </c>
      <c r="EA159" s="5"/>
      <c r="EB159" s="5">
        <v>0.24</v>
      </c>
      <c r="EC159" s="5"/>
      <c r="ED159" s="5" t="s">
        <v>11971</v>
      </c>
      <c r="EE159" s="5"/>
      <c r="EF159" s="5" t="s">
        <v>11997</v>
      </c>
      <c r="EG159" s="5"/>
      <c r="EH159" s="5" t="s">
        <v>11997</v>
      </c>
      <c r="EI159" s="5"/>
      <c r="EJ159" s="5" t="s">
        <v>11997</v>
      </c>
      <c r="EK159" s="5"/>
      <c r="EL159" s="5" t="s">
        <v>11997</v>
      </c>
      <c r="EM159" s="5"/>
      <c r="EN159" s="5" t="s">
        <v>11997</v>
      </c>
      <c r="EO159" s="5"/>
      <c r="EP159" s="5" t="s">
        <v>11998</v>
      </c>
      <c r="EQ159" s="5"/>
      <c r="ER159" s="5" t="s">
        <v>11997</v>
      </c>
      <c r="ES159" s="5"/>
      <c r="ET159" s="5" t="s">
        <v>11972</v>
      </c>
      <c r="EU159" s="5"/>
      <c r="EV159" s="5"/>
      <c r="EW159" s="5"/>
      <c r="EX159" s="5"/>
      <c r="EY159" s="5" t="s">
        <v>7885</v>
      </c>
      <c r="EZ159" s="5"/>
      <c r="FA159" s="5" t="s">
        <v>1754</v>
      </c>
      <c r="FB159" s="5"/>
    </row>
    <row r="160" spans="1:158" ht="76.5">
      <c r="A160" s="5" t="s">
        <v>1756</v>
      </c>
      <c r="B160" s="5" t="s">
        <v>1757</v>
      </c>
      <c r="C160" s="5" t="s">
        <v>11952</v>
      </c>
      <c r="D160" s="5" t="s">
        <v>1601</v>
      </c>
      <c r="E160" s="5" t="s">
        <v>11953</v>
      </c>
      <c r="F160" s="5" t="s">
        <v>11954</v>
      </c>
      <c r="G160" s="5" t="s">
        <v>11955</v>
      </c>
      <c r="H160" s="5" t="s">
        <v>11239</v>
      </c>
      <c r="I160" s="5" t="s">
        <v>1607</v>
      </c>
      <c r="J160" s="5" t="s">
        <v>3510</v>
      </c>
      <c r="K160" s="5" t="s">
        <v>11956</v>
      </c>
      <c r="L160" s="5" t="s">
        <v>1765</v>
      </c>
      <c r="M160" s="5" t="s">
        <v>11952</v>
      </c>
      <c r="N160" s="5" t="s">
        <v>11952</v>
      </c>
      <c r="O160" s="5" t="s">
        <v>11952</v>
      </c>
      <c r="P160" s="5" t="s">
        <v>11952</v>
      </c>
      <c r="Q160" s="5" t="s">
        <v>11952</v>
      </c>
      <c r="R160" s="5" t="s">
        <v>1765</v>
      </c>
      <c r="S160" s="5" t="s">
        <v>11952</v>
      </c>
      <c r="T160" s="5" t="s">
        <v>121</v>
      </c>
      <c r="U160" s="5" t="s">
        <v>2854</v>
      </c>
      <c r="V160" s="5" t="s">
        <v>13777</v>
      </c>
      <c r="W160" s="5" t="s">
        <v>121</v>
      </c>
      <c r="X160" s="5" t="s">
        <v>13777</v>
      </c>
      <c r="Y160" s="5" t="s">
        <v>121</v>
      </c>
      <c r="Z160" s="5" t="s">
        <v>121</v>
      </c>
      <c r="AA160" s="5" t="s">
        <v>11981</v>
      </c>
      <c r="AB160" s="5" t="s">
        <v>155</v>
      </c>
      <c r="AC160" s="5" t="s">
        <v>1762</v>
      </c>
      <c r="AD160" s="5" t="s">
        <v>121</v>
      </c>
      <c r="AE160" s="5" t="s">
        <v>121</v>
      </c>
      <c r="AF160" s="5" t="s">
        <v>1762</v>
      </c>
      <c r="AG160" s="5" t="s">
        <v>121</v>
      </c>
      <c r="AH160" s="5" t="s">
        <v>121</v>
      </c>
      <c r="AI160" s="5" t="s">
        <v>121</v>
      </c>
      <c r="AJ160" s="5" t="s">
        <v>121</v>
      </c>
      <c r="AK160" s="5" t="s">
        <v>121</v>
      </c>
      <c r="AL160" s="5" t="s">
        <v>121</v>
      </c>
      <c r="AM160" s="5" t="s">
        <v>121</v>
      </c>
      <c r="AN160" s="5" t="s">
        <v>121</v>
      </c>
      <c r="AO160" s="5" t="s">
        <v>121</v>
      </c>
      <c r="AP160" s="5" t="s">
        <v>121</v>
      </c>
      <c r="AQ160" s="5" t="s">
        <v>121</v>
      </c>
      <c r="AR160" s="5" t="s">
        <v>121</v>
      </c>
      <c r="AS160" s="5" t="s">
        <v>1763</v>
      </c>
      <c r="AT160" s="5" t="s">
        <v>121</v>
      </c>
      <c r="AU160" s="5" t="s">
        <v>1759</v>
      </c>
      <c r="AV160" s="5" t="s">
        <v>12003</v>
      </c>
      <c r="AW160" s="5" t="s">
        <v>121</v>
      </c>
      <c r="AX160" s="5" t="s">
        <v>12159</v>
      </c>
      <c r="AY160" s="5" t="s">
        <v>121</v>
      </c>
      <c r="AZ160" s="5" t="s">
        <v>121</v>
      </c>
      <c r="BA160" s="5" t="s">
        <v>121</v>
      </c>
      <c r="BB160" s="5" t="s">
        <v>426</v>
      </c>
      <c r="BC160" s="5" t="s">
        <v>121</v>
      </c>
      <c r="BD160" s="5" t="s">
        <v>121</v>
      </c>
      <c r="BE160" s="5" t="s">
        <v>121</v>
      </c>
      <c r="BF160" s="5" t="s">
        <v>121</v>
      </c>
      <c r="BG160" s="5" t="s">
        <v>121</v>
      </c>
      <c r="BH160" s="5" t="s">
        <v>121</v>
      </c>
      <c r="BI160" s="5" t="s">
        <v>121</v>
      </c>
      <c r="BJ160" s="5" t="s">
        <v>1760</v>
      </c>
      <c r="BK160" s="5" t="s">
        <v>121</v>
      </c>
      <c r="BL160" s="5" t="s">
        <v>13778</v>
      </c>
      <c r="BM160" s="5" t="s">
        <v>13778</v>
      </c>
      <c r="BN160" s="5" t="s">
        <v>1761</v>
      </c>
      <c r="BO160" s="5" t="s">
        <v>121</v>
      </c>
      <c r="BP160" s="5" t="s">
        <v>2854</v>
      </c>
      <c r="BQ160" s="5" t="s">
        <v>121</v>
      </c>
      <c r="BR160" s="5" t="s">
        <v>121</v>
      </c>
      <c r="BS160" s="5" t="s">
        <v>121</v>
      </c>
      <c r="BT160" s="5" t="s">
        <v>121</v>
      </c>
      <c r="BU160" s="5" t="s">
        <v>2854</v>
      </c>
      <c r="BV160" s="5" t="s">
        <v>121</v>
      </c>
      <c r="BW160" s="5" t="s">
        <v>121</v>
      </c>
      <c r="BX160" s="5" t="s">
        <v>121</v>
      </c>
      <c r="BY160" s="5" t="s">
        <v>121</v>
      </c>
      <c r="BZ160" s="5" t="s">
        <v>121</v>
      </c>
      <c r="CA160" s="5" t="s">
        <v>121</v>
      </c>
      <c r="CB160" s="5" t="s">
        <v>121</v>
      </c>
      <c r="CC160" s="5" t="s">
        <v>1758</v>
      </c>
      <c r="CD160" s="5" t="s">
        <v>121</v>
      </c>
      <c r="CE160" s="5" t="s">
        <v>121</v>
      </c>
      <c r="CF160" s="5" t="s">
        <v>11958</v>
      </c>
      <c r="CG160" s="5" t="s">
        <v>121</v>
      </c>
      <c r="CH160" s="5" t="s">
        <v>121</v>
      </c>
      <c r="CI160" s="5" t="s">
        <v>11959</v>
      </c>
      <c r="CJ160" s="5" t="s">
        <v>124</v>
      </c>
      <c r="CK160" s="5" t="s">
        <v>121</v>
      </c>
      <c r="CL160" s="5" t="s">
        <v>3510</v>
      </c>
      <c r="CM160" s="5" t="s">
        <v>124</v>
      </c>
      <c r="CN160" s="5" t="s">
        <v>121</v>
      </c>
      <c r="CO160" s="5" t="s">
        <v>121</v>
      </c>
      <c r="CP160" s="5" t="s">
        <v>3510</v>
      </c>
      <c r="CQ160" s="5" t="s">
        <v>1764</v>
      </c>
      <c r="CR160" s="5" t="s">
        <v>11960</v>
      </c>
      <c r="CS160" s="5" t="s">
        <v>3510</v>
      </c>
      <c r="CT160" s="5" t="s">
        <v>3510</v>
      </c>
      <c r="CU160" s="5" t="s">
        <v>3510</v>
      </c>
      <c r="CV160" s="5" t="s">
        <v>11952</v>
      </c>
      <c r="CW160" s="5" t="s">
        <v>11952</v>
      </c>
      <c r="CX160" s="5" t="s">
        <v>13779</v>
      </c>
      <c r="CY160" s="5" t="s">
        <v>13780</v>
      </c>
      <c r="CZ160" s="5" t="s">
        <v>11952</v>
      </c>
      <c r="DA160" s="5" t="s">
        <v>11952</v>
      </c>
      <c r="DB160" s="5" t="s">
        <v>11963</v>
      </c>
      <c r="DC160" s="5" t="s">
        <v>11963</v>
      </c>
      <c r="DD160" s="5" t="s">
        <v>11963</v>
      </c>
      <c r="DE160" s="5" t="s">
        <v>11963</v>
      </c>
      <c r="DF160" s="5" t="s">
        <v>3510</v>
      </c>
      <c r="DG160" s="5" t="s">
        <v>11964</v>
      </c>
      <c r="DH160" s="5" t="s">
        <v>13781</v>
      </c>
      <c r="DI160" s="5" t="s">
        <v>11975</v>
      </c>
      <c r="DJ160" s="5" t="s">
        <v>11966</v>
      </c>
      <c r="DK160" s="5" t="s">
        <v>11967</v>
      </c>
      <c r="DL160" s="5">
        <v>5</v>
      </c>
      <c r="DM160" s="5">
        <v>1</v>
      </c>
      <c r="DN160" s="5">
        <v>1.5</v>
      </c>
      <c r="DO160" s="5">
        <v>2</v>
      </c>
      <c r="DP160" s="5">
        <v>1</v>
      </c>
      <c r="DQ160" s="5">
        <v>1</v>
      </c>
      <c r="DR160" s="5">
        <v>1.5</v>
      </c>
      <c r="DS160" s="5">
        <v>41.5</v>
      </c>
      <c r="DT160" s="5" t="s">
        <v>11968</v>
      </c>
      <c r="DU160" s="5" t="s">
        <v>11969</v>
      </c>
      <c r="DV160" s="5" t="s">
        <v>11970</v>
      </c>
      <c r="DW160" s="5"/>
      <c r="DX160" s="5">
        <v>8</v>
      </c>
      <c r="DY160" s="5"/>
      <c r="DZ160" s="5">
        <v>100</v>
      </c>
      <c r="EA160" s="5"/>
      <c r="EB160" s="5">
        <v>0.08</v>
      </c>
      <c r="EC160" s="5"/>
      <c r="ED160" s="5" t="s">
        <v>11971</v>
      </c>
      <c r="EE160" s="5"/>
      <c r="EF160" s="5" t="s">
        <v>11997</v>
      </c>
      <c r="EG160" s="5"/>
      <c r="EH160" s="5" t="s">
        <v>11997</v>
      </c>
      <c r="EI160" s="5"/>
      <c r="EJ160" s="5" t="s">
        <v>11997</v>
      </c>
      <c r="EK160" s="5"/>
      <c r="EL160" s="5" t="s">
        <v>11997</v>
      </c>
      <c r="EM160" s="5"/>
      <c r="EN160" s="5" t="s">
        <v>11997</v>
      </c>
      <c r="EO160" s="5"/>
      <c r="EP160" s="5" t="s">
        <v>11998</v>
      </c>
      <c r="EQ160" s="5"/>
      <c r="ER160" s="5" t="s">
        <v>11997</v>
      </c>
      <c r="ES160" s="5"/>
      <c r="ET160" s="5" t="s">
        <v>11972</v>
      </c>
      <c r="EU160" s="5"/>
      <c r="EV160" s="5"/>
      <c r="EW160" s="5"/>
      <c r="EX160" s="5"/>
      <c r="EY160" s="5" t="s">
        <v>7917</v>
      </c>
      <c r="EZ160" s="5"/>
      <c r="FA160" s="5" t="s">
        <v>1765</v>
      </c>
      <c r="FB160" s="5"/>
    </row>
    <row r="161" spans="1:158" ht="76.5">
      <c r="A161" s="5" t="s">
        <v>1767</v>
      </c>
      <c r="B161" s="5" t="s">
        <v>1768</v>
      </c>
      <c r="C161" s="5" t="s">
        <v>11952</v>
      </c>
      <c r="D161" s="5" t="s">
        <v>121</v>
      </c>
      <c r="E161" s="5" t="s">
        <v>11953</v>
      </c>
      <c r="F161" s="5" t="s">
        <v>11954</v>
      </c>
      <c r="G161" s="5" t="s">
        <v>11955</v>
      </c>
      <c r="H161" s="5" t="s">
        <v>11237</v>
      </c>
      <c r="I161" s="5" t="s">
        <v>1607</v>
      </c>
      <c r="J161" s="5" t="s">
        <v>3510</v>
      </c>
      <c r="K161" s="5" t="s">
        <v>11956</v>
      </c>
      <c r="L161" s="5" t="s">
        <v>1775</v>
      </c>
      <c r="M161" s="5" t="s">
        <v>11952</v>
      </c>
      <c r="N161" s="5" t="s">
        <v>11952</v>
      </c>
      <c r="O161" s="5" t="s">
        <v>11952</v>
      </c>
      <c r="P161" s="5" t="s">
        <v>11952</v>
      </c>
      <c r="Q161" s="5" t="s">
        <v>11952</v>
      </c>
      <c r="R161" s="5" t="s">
        <v>1775</v>
      </c>
      <c r="S161" s="5" t="s">
        <v>11952</v>
      </c>
      <c r="T161" s="5" t="s">
        <v>121</v>
      </c>
      <c r="U161" s="5" t="s">
        <v>3510</v>
      </c>
      <c r="V161" s="5" t="s">
        <v>121</v>
      </c>
      <c r="W161" s="5" t="s">
        <v>121</v>
      </c>
      <c r="X161" s="5" t="s">
        <v>121</v>
      </c>
      <c r="Y161" s="5" t="s">
        <v>121</v>
      </c>
      <c r="Z161" s="5" t="s">
        <v>11952</v>
      </c>
      <c r="AA161" s="5" t="s">
        <v>11952</v>
      </c>
      <c r="AB161" s="5" t="s">
        <v>155</v>
      </c>
      <c r="AC161" s="5" t="s">
        <v>1772</v>
      </c>
      <c r="AD161" s="5" t="s">
        <v>121</v>
      </c>
      <c r="AE161" s="5" t="s">
        <v>121</v>
      </c>
      <c r="AF161" s="5" t="s">
        <v>1772</v>
      </c>
      <c r="AG161" s="5" t="s">
        <v>121</v>
      </c>
      <c r="AH161" s="5" t="s">
        <v>121</v>
      </c>
      <c r="AI161" s="5" t="s">
        <v>121</v>
      </c>
      <c r="AJ161" s="5" t="s">
        <v>121</v>
      </c>
      <c r="AK161" s="5" t="s">
        <v>121</v>
      </c>
      <c r="AL161" s="5" t="s">
        <v>121</v>
      </c>
      <c r="AM161" s="5" t="s">
        <v>121</v>
      </c>
      <c r="AN161" s="5" t="s">
        <v>121</v>
      </c>
      <c r="AO161" s="5" t="s">
        <v>121</v>
      </c>
      <c r="AP161" s="5" t="s">
        <v>121</v>
      </c>
      <c r="AQ161" s="5" t="s">
        <v>121</v>
      </c>
      <c r="AR161" s="5" t="s">
        <v>121</v>
      </c>
      <c r="AS161" s="5" t="s">
        <v>1773</v>
      </c>
      <c r="AT161" s="5" t="s">
        <v>121</v>
      </c>
      <c r="AU161" s="5" t="s">
        <v>1769</v>
      </c>
      <c r="AV161" s="5" t="s">
        <v>121</v>
      </c>
      <c r="AW161" s="5" t="s">
        <v>121</v>
      </c>
      <c r="AX161" s="5" t="s">
        <v>121</v>
      </c>
      <c r="AY161" s="5" t="s">
        <v>121</v>
      </c>
      <c r="AZ161" s="5" t="s">
        <v>121</v>
      </c>
      <c r="BA161" s="5" t="s">
        <v>121</v>
      </c>
      <c r="BB161" s="5" t="s">
        <v>121</v>
      </c>
      <c r="BC161" s="5" t="s">
        <v>121</v>
      </c>
      <c r="BD161" s="5" t="s">
        <v>121</v>
      </c>
      <c r="BE161" s="5" t="s">
        <v>121</v>
      </c>
      <c r="BF161" s="5" t="s">
        <v>121</v>
      </c>
      <c r="BG161" s="5" t="s">
        <v>121</v>
      </c>
      <c r="BH161" s="5" t="s">
        <v>13782</v>
      </c>
      <c r="BI161" s="5" t="s">
        <v>121</v>
      </c>
      <c r="BJ161" s="5" t="s">
        <v>1770</v>
      </c>
      <c r="BK161" s="5" t="s">
        <v>121</v>
      </c>
      <c r="BL161" s="5" t="s">
        <v>332</v>
      </c>
      <c r="BM161" s="5" t="s">
        <v>332</v>
      </c>
      <c r="BN161" s="5" t="s">
        <v>1771</v>
      </c>
      <c r="BO161" s="5" t="s">
        <v>13783</v>
      </c>
      <c r="BP161" s="5" t="s">
        <v>121</v>
      </c>
      <c r="BQ161" s="5" t="s">
        <v>2854</v>
      </c>
      <c r="BR161" s="5" t="s">
        <v>121</v>
      </c>
      <c r="BS161" s="5" t="s">
        <v>121</v>
      </c>
      <c r="BT161" s="5" t="s">
        <v>121</v>
      </c>
      <c r="BU161" s="5" t="s">
        <v>121</v>
      </c>
      <c r="BV161" s="5" t="s">
        <v>3510</v>
      </c>
      <c r="BW161" s="5" t="s">
        <v>3510</v>
      </c>
      <c r="BX161" s="5" t="s">
        <v>3510</v>
      </c>
      <c r="BY161" s="5" t="s">
        <v>13784</v>
      </c>
      <c r="BZ161" s="5" t="s">
        <v>121</v>
      </c>
      <c r="CA161" s="5" t="s">
        <v>121</v>
      </c>
      <c r="CB161" s="5" t="s">
        <v>121</v>
      </c>
      <c r="CC161" s="5" t="s">
        <v>332</v>
      </c>
      <c r="CD161" s="5" t="s">
        <v>121</v>
      </c>
      <c r="CE161" s="5" t="s">
        <v>121</v>
      </c>
      <c r="CF161" s="5" t="s">
        <v>11958</v>
      </c>
      <c r="CG161" s="5" t="s">
        <v>121</v>
      </c>
      <c r="CH161" s="5" t="s">
        <v>121</v>
      </c>
      <c r="CI161" s="5" t="s">
        <v>11959</v>
      </c>
      <c r="CJ161" s="5" t="s">
        <v>287</v>
      </c>
      <c r="CK161" s="5" t="s">
        <v>121</v>
      </c>
      <c r="CL161" s="5" t="s">
        <v>2854</v>
      </c>
      <c r="CM161" s="5" t="s">
        <v>287</v>
      </c>
      <c r="CN161" s="5" t="s">
        <v>121</v>
      </c>
      <c r="CO161" s="5" t="s">
        <v>121</v>
      </c>
      <c r="CP161" s="5" t="s">
        <v>3510</v>
      </c>
      <c r="CQ161" s="5" t="s">
        <v>1774</v>
      </c>
      <c r="CR161" s="5" t="s">
        <v>11960</v>
      </c>
      <c r="CS161" s="5" t="s">
        <v>3510</v>
      </c>
      <c r="CT161" s="5" t="s">
        <v>3510</v>
      </c>
      <c r="CU161" s="5" t="s">
        <v>3510</v>
      </c>
      <c r="CV161" s="5" t="s">
        <v>11952</v>
      </c>
      <c r="CW161" s="5" t="s">
        <v>11952</v>
      </c>
      <c r="CX161" s="5" t="s">
        <v>13733</v>
      </c>
      <c r="CY161" s="5" t="s">
        <v>13785</v>
      </c>
      <c r="CZ161" s="5" t="s">
        <v>11952</v>
      </c>
      <c r="DA161" s="5" t="s">
        <v>3510</v>
      </c>
      <c r="DB161" s="5" t="s">
        <v>11963</v>
      </c>
      <c r="DC161" s="5" t="s">
        <v>11963</v>
      </c>
      <c r="DD161" s="5" t="s">
        <v>11963</v>
      </c>
      <c r="DE161" s="5" t="s">
        <v>11963</v>
      </c>
      <c r="DF161" s="5" t="s">
        <v>3510</v>
      </c>
      <c r="DG161" s="5" t="s">
        <v>11964</v>
      </c>
      <c r="DH161" s="5" t="s">
        <v>13786</v>
      </c>
      <c r="DI161" s="5" t="s">
        <v>11966</v>
      </c>
      <c r="DJ161" s="5" t="s">
        <v>11966</v>
      </c>
      <c r="DK161" s="5" t="s">
        <v>11967</v>
      </c>
      <c r="DL161" s="5">
        <v>4</v>
      </c>
      <c r="DM161" s="5">
        <v>3</v>
      </c>
      <c r="DN161" s="5">
        <v>3</v>
      </c>
      <c r="DO161" s="5">
        <v>3</v>
      </c>
      <c r="DP161" s="5">
        <v>2</v>
      </c>
      <c r="DQ161" s="5">
        <v>1</v>
      </c>
      <c r="DR161" s="5">
        <v>0</v>
      </c>
      <c r="DS161" s="5">
        <v>52</v>
      </c>
      <c r="DT161" s="5" t="s">
        <v>11968</v>
      </c>
      <c r="DU161" s="5" t="s">
        <v>11969</v>
      </c>
      <c r="DV161" s="5" t="s">
        <v>11970</v>
      </c>
      <c r="DW161" s="5"/>
      <c r="DX161" s="5">
        <v>12</v>
      </c>
      <c r="DY161" s="5"/>
      <c r="DZ161" s="5">
        <v>100</v>
      </c>
      <c r="EA161" s="5"/>
      <c r="EB161" s="5">
        <v>0.12</v>
      </c>
      <c r="EC161" s="5"/>
      <c r="ED161" s="5" t="s">
        <v>11971</v>
      </c>
      <c r="EE161" s="5"/>
      <c r="EF161" s="5" t="s">
        <v>11997</v>
      </c>
      <c r="EG161" s="5"/>
      <c r="EH161" s="5" t="s">
        <v>11997</v>
      </c>
      <c r="EI161" s="5"/>
      <c r="EJ161" s="5" t="s">
        <v>11997</v>
      </c>
      <c r="EK161" s="5"/>
      <c r="EL161" s="5" t="s">
        <v>11997</v>
      </c>
      <c r="EM161" s="5"/>
      <c r="EN161" s="5" t="s">
        <v>11997</v>
      </c>
      <c r="EO161" s="5"/>
      <c r="EP161" s="5" t="s">
        <v>11998</v>
      </c>
      <c r="EQ161" s="5"/>
      <c r="ER161" s="5" t="s">
        <v>11997</v>
      </c>
      <c r="ES161" s="5"/>
      <c r="ET161" s="5" t="s">
        <v>11972</v>
      </c>
      <c r="EU161" s="5"/>
      <c r="EV161" s="5"/>
      <c r="EW161" s="5"/>
      <c r="EX161" s="5"/>
      <c r="EY161" s="5" t="s">
        <v>7946</v>
      </c>
      <c r="EZ161" s="5"/>
      <c r="FA161" s="5" t="s">
        <v>1775</v>
      </c>
      <c r="FB161" s="5"/>
    </row>
    <row r="162" spans="1:158" ht="76.5">
      <c r="A162" s="5" t="s">
        <v>60</v>
      </c>
      <c r="B162" s="5" t="s">
        <v>61</v>
      </c>
      <c r="C162" s="5" t="s">
        <v>11952</v>
      </c>
      <c r="D162" s="5" t="s">
        <v>1601</v>
      </c>
      <c r="E162" s="5" t="s">
        <v>11953</v>
      </c>
      <c r="F162" s="5" t="s">
        <v>11954</v>
      </c>
      <c r="G162" s="5" t="s">
        <v>11955</v>
      </c>
      <c r="H162" s="5" t="s">
        <v>11235</v>
      </c>
      <c r="I162" s="5" t="s">
        <v>1607</v>
      </c>
      <c r="J162" s="5" t="s">
        <v>3510</v>
      </c>
      <c r="K162" s="5" t="s">
        <v>11956</v>
      </c>
      <c r="L162" s="5" t="s">
        <v>13787</v>
      </c>
      <c r="M162" s="5" t="s">
        <v>11952</v>
      </c>
      <c r="N162" s="5" t="s">
        <v>11952</v>
      </c>
      <c r="O162" s="5" t="s">
        <v>11952</v>
      </c>
      <c r="P162" s="5" t="s">
        <v>11952</v>
      </c>
      <c r="Q162" s="5" t="s">
        <v>11952</v>
      </c>
      <c r="R162" s="5" t="s">
        <v>13787</v>
      </c>
      <c r="S162" s="5" t="s">
        <v>11952</v>
      </c>
      <c r="T162" s="5" t="s">
        <v>121</v>
      </c>
      <c r="U162" s="5" t="s">
        <v>2854</v>
      </c>
      <c r="V162" s="5" t="s">
        <v>13788</v>
      </c>
      <c r="W162" s="5" t="s">
        <v>13789</v>
      </c>
      <c r="X162" s="5" t="s">
        <v>13790</v>
      </c>
      <c r="Y162" s="5" t="s">
        <v>121</v>
      </c>
      <c r="Z162" s="5" t="s">
        <v>2854</v>
      </c>
      <c r="AA162" s="5" t="s">
        <v>11981</v>
      </c>
      <c r="AB162" s="5" t="s">
        <v>121</v>
      </c>
      <c r="AC162" s="5" t="s">
        <v>121</v>
      </c>
      <c r="AD162" s="5" t="s">
        <v>121</v>
      </c>
      <c r="AE162" s="5" t="s">
        <v>121</v>
      </c>
      <c r="AF162" s="5" t="s">
        <v>121</v>
      </c>
      <c r="AG162" s="5" t="s">
        <v>121</v>
      </c>
      <c r="AH162" s="5" t="s">
        <v>121</v>
      </c>
      <c r="AI162" s="5" t="s">
        <v>121</v>
      </c>
      <c r="AJ162" s="5" t="s">
        <v>121</v>
      </c>
      <c r="AK162" s="5" t="s">
        <v>121</v>
      </c>
      <c r="AL162" s="5" t="s">
        <v>121</v>
      </c>
      <c r="AM162" s="5" t="s">
        <v>121</v>
      </c>
      <c r="AN162" s="5" t="s">
        <v>121</v>
      </c>
      <c r="AO162" s="5" t="s">
        <v>121</v>
      </c>
      <c r="AP162" s="5" t="s">
        <v>121</v>
      </c>
      <c r="AQ162" s="5" t="s">
        <v>121</v>
      </c>
      <c r="AR162" s="5" t="s">
        <v>121</v>
      </c>
      <c r="AS162" s="5" t="s">
        <v>121</v>
      </c>
      <c r="AT162" s="5" t="s">
        <v>121</v>
      </c>
      <c r="AU162" s="5" t="s">
        <v>13791</v>
      </c>
      <c r="AV162" s="5" t="s">
        <v>121</v>
      </c>
      <c r="AW162" s="5" t="s">
        <v>13791</v>
      </c>
      <c r="AX162" s="5" t="s">
        <v>121</v>
      </c>
      <c r="AY162" s="5" t="s">
        <v>121</v>
      </c>
      <c r="AZ162" s="5" t="s">
        <v>121</v>
      </c>
      <c r="BA162" s="5" t="s">
        <v>121</v>
      </c>
      <c r="BB162" s="5" t="s">
        <v>3510</v>
      </c>
      <c r="BC162" s="5" t="s">
        <v>121</v>
      </c>
      <c r="BD162" s="5" t="s">
        <v>12569</v>
      </c>
      <c r="BE162" s="5" t="s">
        <v>121</v>
      </c>
      <c r="BF162" s="5" t="s">
        <v>121</v>
      </c>
      <c r="BG162" s="5" t="s">
        <v>121</v>
      </c>
      <c r="BH162" s="5" t="s">
        <v>12721</v>
      </c>
      <c r="BI162" s="5" t="s">
        <v>121</v>
      </c>
      <c r="BJ162" s="5" t="s">
        <v>13792</v>
      </c>
      <c r="BK162" s="5" t="s">
        <v>121</v>
      </c>
      <c r="BL162" s="5" t="s">
        <v>794</v>
      </c>
      <c r="BM162" s="5" t="s">
        <v>794</v>
      </c>
      <c r="BN162" s="5" t="s">
        <v>121</v>
      </c>
      <c r="BO162" s="5" t="s">
        <v>121</v>
      </c>
      <c r="BP162" s="5" t="s">
        <v>121</v>
      </c>
      <c r="BQ162" s="5" t="s">
        <v>121</v>
      </c>
      <c r="BR162" s="5" t="s">
        <v>2854</v>
      </c>
      <c r="BS162" s="5" t="s">
        <v>121</v>
      </c>
      <c r="BT162" s="5" t="s">
        <v>121</v>
      </c>
      <c r="BU162" s="5" t="s">
        <v>121</v>
      </c>
      <c r="BV162" s="5" t="s">
        <v>121</v>
      </c>
      <c r="BW162" s="5" t="s">
        <v>121</v>
      </c>
      <c r="BX162" s="5" t="s">
        <v>121</v>
      </c>
      <c r="BY162" s="5" t="s">
        <v>13793</v>
      </c>
      <c r="BZ162" s="5" t="s">
        <v>121</v>
      </c>
      <c r="CA162" s="5" t="s">
        <v>121</v>
      </c>
      <c r="CB162" s="5" t="s">
        <v>121</v>
      </c>
      <c r="CC162" s="5" t="s">
        <v>13794</v>
      </c>
      <c r="CD162" s="5" t="s">
        <v>121</v>
      </c>
      <c r="CE162" s="5" t="s">
        <v>121</v>
      </c>
      <c r="CF162" s="5" t="s">
        <v>11958</v>
      </c>
      <c r="CG162" s="5" t="s">
        <v>121</v>
      </c>
      <c r="CH162" s="5" t="s">
        <v>121</v>
      </c>
      <c r="CI162" s="5" t="s">
        <v>12034</v>
      </c>
      <c r="CJ162" s="5" t="s">
        <v>287</v>
      </c>
      <c r="CK162" s="5" t="s">
        <v>1640</v>
      </c>
      <c r="CL162" s="5" t="s">
        <v>2854</v>
      </c>
      <c r="CM162" s="5" t="s">
        <v>287</v>
      </c>
      <c r="CN162" s="5" t="s">
        <v>121</v>
      </c>
      <c r="CO162" s="5" t="s">
        <v>121</v>
      </c>
      <c r="CP162" s="5" t="s">
        <v>3510</v>
      </c>
      <c r="CQ162" s="5" t="s">
        <v>13795</v>
      </c>
      <c r="CR162" s="5" t="s">
        <v>12187</v>
      </c>
      <c r="CS162" s="5" t="s">
        <v>3510</v>
      </c>
      <c r="CT162" s="5" t="s">
        <v>3510</v>
      </c>
      <c r="CU162" s="5" t="s">
        <v>2854</v>
      </c>
      <c r="CV162" s="5" t="s">
        <v>11952</v>
      </c>
      <c r="CW162" s="5" t="s">
        <v>13796</v>
      </c>
      <c r="CX162" s="5" t="s">
        <v>13674</v>
      </c>
      <c r="CY162" s="5" t="s">
        <v>13797</v>
      </c>
      <c r="CZ162" s="5" t="s">
        <v>3510</v>
      </c>
      <c r="DA162" s="5" t="s">
        <v>11952</v>
      </c>
      <c r="DB162" s="5" t="s">
        <v>11963</v>
      </c>
      <c r="DC162" s="5" t="s">
        <v>11963</v>
      </c>
      <c r="DD162" s="5" t="s">
        <v>11963</v>
      </c>
      <c r="DE162" s="5" t="s">
        <v>11963</v>
      </c>
      <c r="DF162" s="5" t="s">
        <v>3510</v>
      </c>
      <c r="DG162" s="5" t="s">
        <v>13798</v>
      </c>
      <c r="DH162" s="5" t="s">
        <v>13799</v>
      </c>
      <c r="DI162" s="5" t="s">
        <v>11966</v>
      </c>
      <c r="DJ162" s="5" t="s">
        <v>12044</v>
      </c>
      <c r="DK162" s="5" t="s">
        <v>11967</v>
      </c>
      <c r="DL162" s="5">
        <v>5</v>
      </c>
      <c r="DM162" s="5">
        <v>2</v>
      </c>
      <c r="DN162" s="5">
        <v>3</v>
      </c>
      <c r="DO162" s="5">
        <v>2</v>
      </c>
      <c r="DP162" s="5">
        <v>2</v>
      </c>
      <c r="DQ162" s="5">
        <v>4</v>
      </c>
      <c r="DR162" s="5">
        <v>0</v>
      </c>
      <c r="DS162" s="5">
        <v>55</v>
      </c>
      <c r="DT162" s="5" t="s">
        <v>11968</v>
      </c>
      <c r="DU162" s="5" t="s">
        <v>11969</v>
      </c>
      <c r="DV162" s="5" t="s">
        <v>11970</v>
      </c>
      <c r="DW162" s="5"/>
      <c r="DX162" s="5">
        <v>16</v>
      </c>
      <c r="DY162" s="5"/>
      <c r="DZ162" s="5">
        <v>100</v>
      </c>
      <c r="EA162" s="5"/>
      <c r="EB162" s="5">
        <v>0.16</v>
      </c>
      <c r="EC162" s="5"/>
      <c r="ED162" s="5" t="s">
        <v>11971</v>
      </c>
      <c r="EE162" s="5"/>
      <c r="EF162" s="5" t="s">
        <v>11997</v>
      </c>
      <c r="EG162" s="5"/>
      <c r="EH162" s="5" t="s">
        <v>11997</v>
      </c>
      <c r="EI162" s="5"/>
      <c r="EJ162" s="5" t="s">
        <v>11997</v>
      </c>
      <c r="EK162" s="5"/>
      <c r="EL162" s="5" t="s">
        <v>11997</v>
      </c>
      <c r="EM162" s="5"/>
      <c r="EN162" s="5" t="s">
        <v>11997</v>
      </c>
      <c r="EO162" s="5"/>
      <c r="EP162" s="5" t="s">
        <v>11998</v>
      </c>
      <c r="EQ162" s="5"/>
      <c r="ER162" s="5" t="s">
        <v>11997</v>
      </c>
      <c r="ES162" s="5"/>
      <c r="ET162" s="5" t="s">
        <v>11972</v>
      </c>
      <c r="EU162" s="5"/>
      <c r="EV162" s="5"/>
      <c r="EW162" s="5"/>
      <c r="EX162" s="5"/>
      <c r="EY162" s="5" t="s">
        <v>13800</v>
      </c>
      <c r="EZ162" s="5"/>
      <c r="FA162" s="5" t="s">
        <v>13787</v>
      </c>
      <c r="FB162" s="5"/>
    </row>
    <row r="163" spans="1:158" ht="89.25">
      <c r="A163" s="5" t="s">
        <v>1790</v>
      </c>
      <c r="B163" s="5" t="s">
        <v>1791</v>
      </c>
      <c r="C163" s="5" t="s">
        <v>11952</v>
      </c>
      <c r="D163" s="5" t="s">
        <v>121</v>
      </c>
      <c r="E163" s="5" t="s">
        <v>11953</v>
      </c>
      <c r="F163" s="5" t="s">
        <v>11954</v>
      </c>
      <c r="G163" s="5" t="s">
        <v>11955</v>
      </c>
      <c r="H163" s="5" t="s">
        <v>11237</v>
      </c>
      <c r="I163" s="5" t="s">
        <v>1607</v>
      </c>
      <c r="J163" s="5" t="s">
        <v>3510</v>
      </c>
      <c r="K163" s="5" t="s">
        <v>11956</v>
      </c>
      <c r="L163" s="5" t="s">
        <v>1798</v>
      </c>
      <c r="M163" s="5" t="s">
        <v>11952</v>
      </c>
      <c r="N163" s="5" t="s">
        <v>11952</v>
      </c>
      <c r="O163" s="5" t="s">
        <v>11952</v>
      </c>
      <c r="P163" s="5" t="s">
        <v>11952</v>
      </c>
      <c r="Q163" s="5" t="s">
        <v>11952</v>
      </c>
      <c r="R163" s="5" t="s">
        <v>1798</v>
      </c>
      <c r="S163" s="5" t="s">
        <v>11952</v>
      </c>
      <c r="T163" s="5" t="s">
        <v>121</v>
      </c>
      <c r="U163" s="5" t="s">
        <v>3510</v>
      </c>
      <c r="V163" s="5" t="s">
        <v>121</v>
      </c>
      <c r="W163" s="5" t="s">
        <v>121</v>
      </c>
      <c r="X163" s="5" t="s">
        <v>121</v>
      </c>
      <c r="Y163" s="5" t="s">
        <v>121</v>
      </c>
      <c r="Z163" s="5" t="s">
        <v>11952</v>
      </c>
      <c r="AA163" s="5" t="s">
        <v>11952</v>
      </c>
      <c r="AB163" s="5" t="s">
        <v>121</v>
      </c>
      <c r="AC163" s="5" t="s">
        <v>121</v>
      </c>
      <c r="AD163" s="5" t="s">
        <v>121</v>
      </c>
      <c r="AE163" s="5" t="s">
        <v>121</v>
      </c>
      <c r="AF163" s="5" t="s">
        <v>121</v>
      </c>
      <c r="AG163" s="5" t="s">
        <v>121</v>
      </c>
      <c r="AH163" s="5" t="s">
        <v>121</v>
      </c>
      <c r="AI163" s="5" t="s">
        <v>121</v>
      </c>
      <c r="AJ163" s="5" t="s">
        <v>121</v>
      </c>
      <c r="AK163" s="5" t="s">
        <v>121</v>
      </c>
      <c r="AL163" s="5" t="s">
        <v>121</v>
      </c>
      <c r="AM163" s="5" t="s">
        <v>121</v>
      </c>
      <c r="AN163" s="5" t="s">
        <v>13801</v>
      </c>
      <c r="AO163" s="5" t="s">
        <v>121</v>
      </c>
      <c r="AP163" s="5" t="s">
        <v>13802</v>
      </c>
      <c r="AQ163" s="5" t="s">
        <v>121</v>
      </c>
      <c r="AR163" s="5" t="s">
        <v>13803</v>
      </c>
      <c r="AS163" s="5" t="s">
        <v>1796</v>
      </c>
      <c r="AT163" s="5" t="s">
        <v>121</v>
      </c>
      <c r="AU163" s="5" t="s">
        <v>1793</v>
      </c>
      <c r="AV163" s="5" t="s">
        <v>121</v>
      </c>
      <c r="AW163" s="5" t="s">
        <v>1793</v>
      </c>
      <c r="AX163" s="5" t="s">
        <v>121</v>
      </c>
      <c r="AY163" s="5" t="s">
        <v>2854</v>
      </c>
      <c r="AZ163" s="5" t="s">
        <v>121</v>
      </c>
      <c r="BA163" s="5" t="s">
        <v>121</v>
      </c>
      <c r="BB163" s="5" t="s">
        <v>3510</v>
      </c>
      <c r="BC163" s="5" t="s">
        <v>121</v>
      </c>
      <c r="BD163" s="5" t="s">
        <v>121</v>
      </c>
      <c r="BE163" s="5" t="s">
        <v>121</v>
      </c>
      <c r="BF163" s="5" t="s">
        <v>12160</v>
      </c>
      <c r="BG163" s="5" t="s">
        <v>121</v>
      </c>
      <c r="BH163" s="5" t="s">
        <v>13804</v>
      </c>
      <c r="BI163" s="5" t="s">
        <v>121</v>
      </c>
      <c r="BJ163" s="5" t="s">
        <v>1794</v>
      </c>
      <c r="BK163" s="5" t="s">
        <v>121</v>
      </c>
      <c r="BL163" s="5" t="s">
        <v>332</v>
      </c>
      <c r="BM163" s="5" t="s">
        <v>332</v>
      </c>
      <c r="BN163" s="5" t="s">
        <v>1795</v>
      </c>
      <c r="BO163" s="5" t="s">
        <v>13805</v>
      </c>
      <c r="BP163" s="5" t="s">
        <v>2854</v>
      </c>
      <c r="BQ163" s="5" t="s">
        <v>2854</v>
      </c>
      <c r="BR163" s="5" t="s">
        <v>121</v>
      </c>
      <c r="BS163" s="5" t="s">
        <v>121</v>
      </c>
      <c r="BT163" s="5" t="s">
        <v>121</v>
      </c>
      <c r="BU163" s="5" t="s">
        <v>121</v>
      </c>
      <c r="BV163" s="5" t="s">
        <v>3510</v>
      </c>
      <c r="BW163" s="5" t="s">
        <v>3510</v>
      </c>
      <c r="BX163" s="5" t="s">
        <v>3510</v>
      </c>
      <c r="BY163" s="5" t="s">
        <v>13806</v>
      </c>
      <c r="BZ163" s="5" t="s">
        <v>13807</v>
      </c>
      <c r="CA163" s="5" t="s">
        <v>121</v>
      </c>
      <c r="CB163" s="5" t="s">
        <v>121</v>
      </c>
      <c r="CC163" s="5" t="s">
        <v>1792</v>
      </c>
      <c r="CD163" s="5" t="s">
        <v>121</v>
      </c>
      <c r="CE163" s="5" t="s">
        <v>121</v>
      </c>
      <c r="CF163" s="5" t="s">
        <v>11958</v>
      </c>
      <c r="CG163" s="5" t="s">
        <v>121</v>
      </c>
      <c r="CH163" s="5" t="s">
        <v>121</v>
      </c>
      <c r="CI163" s="5" t="s">
        <v>11959</v>
      </c>
      <c r="CJ163" s="5" t="s">
        <v>1061</v>
      </c>
      <c r="CK163" s="5" t="s">
        <v>121</v>
      </c>
      <c r="CL163" s="5" t="s">
        <v>121</v>
      </c>
      <c r="CM163" s="5" t="s">
        <v>1061</v>
      </c>
      <c r="CN163" s="5" t="s">
        <v>121</v>
      </c>
      <c r="CO163" s="5" t="s">
        <v>121</v>
      </c>
      <c r="CP163" s="5" t="s">
        <v>3510</v>
      </c>
      <c r="CQ163" s="5" t="s">
        <v>1797</v>
      </c>
      <c r="CR163" s="5" t="s">
        <v>11960</v>
      </c>
      <c r="CS163" s="5" t="s">
        <v>3510</v>
      </c>
      <c r="CT163" s="5" t="s">
        <v>3510</v>
      </c>
      <c r="CU163" s="5" t="s">
        <v>3510</v>
      </c>
      <c r="CV163" s="5" t="s">
        <v>11952</v>
      </c>
      <c r="CW163" s="5" t="s">
        <v>11952</v>
      </c>
      <c r="CX163" s="5" t="s">
        <v>13733</v>
      </c>
      <c r="CY163" s="5" t="s">
        <v>13808</v>
      </c>
      <c r="CZ163" s="5" t="s">
        <v>11952</v>
      </c>
      <c r="DA163" s="5" t="s">
        <v>3510</v>
      </c>
      <c r="DB163" s="5" t="s">
        <v>11963</v>
      </c>
      <c r="DC163" s="5" t="s">
        <v>11963</v>
      </c>
      <c r="DD163" s="5" t="s">
        <v>11963</v>
      </c>
      <c r="DE163" s="5" t="s">
        <v>11963</v>
      </c>
      <c r="DF163" s="5" t="s">
        <v>3510</v>
      </c>
      <c r="DG163" s="5" t="s">
        <v>11964</v>
      </c>
      <c r="DH163" s="5" t="s">
        <v>13809</v>
      </c>
      <c r="DI163" s="5" t="s">
        <v>11975</v>
      </c>
      <c r="DJ163" s="5" t="s">
        <v>11966</v>
      </c>
      <c r="DK163" s="5" t="s">
        <v>11967</v>
      </c>
      <c r="DL163" s="5">
        <v>2</v>
      </c>
      <c r="DM163" s="5">
        <v>4</v>
      </c>
      <c r="DN163" s="5">
        <v>3</v>
      </c>
      <c r="DO163" s="5">
        <v>2</v>
      </c>
      <c r="DP163" s="5">
        <v>5</v>
      </c>
      <c r="DQ163" s="5">
        <v>2</v>
      </c>
      <c r="DR163" s="5">
        <v>0</v>
      </c>
      <c r="DS163" s="5">
        <v>53</v>
      </c>
      <c r="DT163" s="5" t="s">
        <v>11968</v>
      </c>
      <c r="DU163" s="5" t="s">
        <v>11969</v>
      </c>
      <c r="DV163" s="5" t="s">
        <v>11970</v>
      </c>
      <c r="DW163" s="5"/>
      <c r="DX163" s="5">
        <v>16</v>
      </c>
      <c r="DY163" s="5"/>
      <c r="DZ163" s="5">
        <v>100</v>
      </c>
      <c r="EA163" s="5"/>
      <c r="EB163" s="5">
        <v>0.16</v>
      </c>
      <c r="EC163" s="5"/>
      <c r="ED163" s="5" t="s">
        <v>11971</v>
      </c>
      <c r="EE163" s="5"/>
      <c r="EF163" s="5" t="s">
        <v>11997</v>
      </c>
      <c r="EG163" s="5"/>
      <c r="EH163" s="5" t="s">
        <v>11997</v>
      </c>
      <c r="EI163" s="5"/>
      <c r="EJ163" s="5" t="s">
        <v>11997</v>
      </c>
      <c r="EK163" s="5"/>
      <c r="EL163" s="5" t="s">
        <v>11997</v>
      </c>
      <c r="EM163" s="5"/>
      <c r="EN163" s="5" t="s">
        <v>11997</v>
      </c>
      <c r="EO163" s="5"/>
      <c r="EP163" s="5" t="s">
        <v>11998</v>
      </c>
      <c r="EQ163" s="5"/>
      <c r="ER163" s="5" t="s">
        <v>11997</v>
      </c>
      <c r="ES163" s="5"/>
      <c r="ET163" s="5" t="s">
        <v>11972</v>
      </c>
      <c r="EU163" s="5"/>
      <c r="EV163" s="5"/>
      <c r="EW163" s="5"/>
      <c r="EX163" s="5"/>
      <c r="EY163" s="5" t="s">
        <v>8016</v>
      </c>
      <c r="EZ163" s="5"/>
      <c r="FA163" s="5" t="s">
        <v>1798</v>
      </c>
      <c r="FB163" s="5"/>
    </row>
    <row r="164" spans="1:158" ht="89.25">
      <c r="A164" s="5" t="s">
        <v>1800</v>
      </c>
      <c r="B164" s="5" t="s">
        <v>1801</v>
      </c>
      <c r="C164" s="5" t="s">
        <v>11952</v>
      </c>
      <c r="D164" s="5" t="s">
        <v>1601</v>
      </c>
      <c r="E164" s="5" t="s">
        <v>11953</v>
      </c>
      <c r="F164" s="5" t="s">
        <v>11954</v>
      </c>
      <c r="G164" s="5" t="s">
        <v>11955</v>
      </c>
      <c r="H164" s="5" t="s">
        <v>11235</v>
      </c>
      <c r="I164" s="5" t="s">
        <v>1607</v>
      </c>
      <c r="J164" s="5" t="s">
        <v>3510</v>
      </c>
      <c r="K164" s="5" t="s">
        <v>11956</v>
      </c>
      <c r="L164" s="5" t="s">
        <v>1806</v>
      </c>
      <c r="M164" s="5" t="s">
        <v>11952</v>
      </c>
      <c r="N164" s="5" t="s">
        <v>11952</v>
      </c>
      <c r="O164" s="5" t="s">
        <v>11952</v>
      </c>
      <c r="P164" s="5" t="s">
        <v>11952</v>
      </c>
      <c r="Q164" s="5" t="s">
        <v>11952</v>
      </c>
      <c r="R164" s="5" t="s">
        <v>1806</v>
      </c>
      <c r="S164" s="5" t="s">
        <v>11952</v>
      </c>
      <c r="T164" s="5" t="s">
        <v>121</v>
      </c>
      <c r="U164" s="5" t="s">
        <v>2854</v>
      </c>
      <c r="V164" s="5" t="s">
        <v>13810</v>
      </c>
      <c r="W164" s="5" t="s">
        <v>121</v>
      </c>
      <c r="X164" s="5" t="s">
        <v>13810</v>
      </c>
      <c r="Y164" s="5" t="s">
        <v>121</v>
      </c>
      <c r="Z164" s="5" t="s">
        <v>12276</v>
      </c>
      <c r="AA164" s="5" t="s">
        <v>11981</v>
      </c>
      <c r="AB164" s="5" t="s">
        <v>155</v>
      </c>
      <c r="AC164" s="5" t="s">
        <v>1528</v>
      </c>
      <c r="AD164" s="5" t="s">
        <v>121</v>
      </c>
      <c r="AE164" s="5" t="s">
        <v>121</v>
      </c>
      <c r="AF164" s="5" t="s">
        <v>1528</v>
      </c>
      <c r="AG164" s="5" t="s">
        <v>121</v>
      </c>
      <c r="AH164" s="5" t="s">
        <v>121</v>
      </c>
      <c r="AI164" s="5" t="s">
        <v>121</v>
      </c>
      <c r="AJ164" s="5" t="s">
        <v>121</v>
      </c>
      <c r="AK164" s="5" t="s">
        <v>121</v>
      </c>
      <c r="AL164" s="5" t="s">
        <v>121</v>
      </c>
      <c r="AM164" s="5" t="s">
        <v>121</v>
      </c>
      <c r="AN164" s="5" t="s">
        <v>13811</v>
      </c>
      <c r="AO164" s="5" t="s">
        <v>121</v>
      </c>
      <c r="AP164" s="5" t="s">
        <v>121</v>
      </c>
      <c r="AQ164" s="5" t="s">
        <v>121</v>
      </c>
      <c r="AR164" s="5" t="s">
        <v>121</v>
      </c>
      <c r="AS164" s="5" t="s">
        <v>121</v>
      </c>
      <c r="AT164" s="5" t="s">
        <v>121</v>
      </c>
      <c r="AU164" s="5" t="s">
        <v>1803</v>
      </c>
      <c r="AV164" s="5" t="s">
        <v>121</v>
      </c>
      <c r="AW164" s="5" t="s">
        <v>1803</v>
      </c>
      <c r="AX164" s="5" t="s">
        <v>121</v>
      </c>
      <c r="AY164" s="5" t="s">
        <v>121</v>
      </c>
      <c r="AZ164" s="5" t="s">
        <v>121</v>
      </c>
      <c r="BA164" s="5" t="s">
        <v>121</v>
      </c>
      <c r="BB164" s="5" t="s">
        <v>3510</v>
      </c>
      <c r="BC164" s="5" t="s">
        <v>121</v>
      </c>
      <c r="BD164" s="5" t="s">
        <v>13812</v>
      </c>
      <c r="BE164" s="5" t="s">
        <v>121</v>
      </c>
      <c r="BF164" s="5" t="s">
        <v>121</v>
      </c>
      <c r="BG164" s="5" t="s">
        <v>121</v>
      </c>
      <c r="BH164" s="5" t="s">
        <v>12721</v>
      </c>
      <c r="BI164" s="5" t="s">
        <v>121</v>
      </c>
      <c r="BJ164" s="5" t="s">
        <v>1804</v>
      </c>
      <c r="BK164" s="5" t="s">
        <v>121</v>
      </c>
      <c r="BL164" s="5" t="s">
        <v>405</v>
      </c>
      <c r="BM164" s="5" t="s">
        <v>405</v>
      </c>
      <c r="BN164" s="5" t="s">
        <v>1730</v>
      </c>
      <c r="BO164" s="5" t="s">
        <v>13380</v>
      </c>
      <c r="BP164" s="5" t="s">
        <v>121</v>
      </c>
      <c r="BQ164" s="5" t="s">
        <v>121</v>
      </c>
      <c r="BR164" s="5" t="s">
        <v>2854</v>
      </c>
      <c r="BS164" s="5" t="s">
        <v>121</v>
      </c>
      <c r="BT164" s="5" t="s">
        <v>121</v>
      </c>
      <c r="BU164" s="5" t="s">
        <v>121</v>
      </c>
      <c r="BV164" s="5" t="s">
        <v>121</v>
      </c>
      <c r="BW164" s="5" t="s">
        <v>121</v>
      </c>
      <c r="BX164" s="5" t="s">
        <v>121</v>
      </c>
      <c r="BY164" s="5" t="s">
        <v>13813</v>
      </c>
      <c r="BZ164" s="5" t="s">
        <v>121</v>
      </c>
      <c r="CA164" s="5" t="s">
        <v>121</v>
      </c>
      <c r="CB164" s="5" t="s">
        <v>121</v>
      </c>
      <c r="CC164" s="5" t="s">
        <v>1802</v>
      </c>
      <c r="CD164" s="5" t="s">
        <v>121</v>
      </c>
      <c r="CE164" s="5" t="s">
        <v>121</v>
      </c>
      <c r="CF164" s="5" t="s">
        <v>11958</v>
      </c>
      <c r="CG164" s="5" t="s">
        <v>121</v>
      </c>
      <c r="CH164" s="5" t="s">
        <v>121</v>
      </c>
      <c r="CI164" s="5" t="s">
        <v>12034</v>
      </c>
      <c r="CJ164" s="5" t="s">
        <v>287</v>
      </c>
      <c r="CK164" s="5" t="s">
        <v>1640</v>
      </c>
      <c r="CL164" s="5" t="s">
        <v>2854</v>
      </c>
      <c r="CM164" s="5" t="s">
        <v>287</v>
      </c>
      <c r="CN164" s="5" t="s">
        <v>121</v>
      </c>
      <c r="CO164" s="5" t="s">
        <v>121</v>
      </c>
      <c r="CP164" s="5" t="s">
        <v>3510</v>
      </c>
      <c r="CQ164" s="5" t="s">
        <v>1805</v>
      </c>
      <c r="CR164" s="5" t="s">
        <v>11960</v>
      </c>
      <c r="CS164" s="5" t="s">
        <v>3510</v>
      </c>
      <c r="CT164" s="5" t="s">
        <v>3510</v>
      </c>
      <c r="CU164" s="5" t="s">
        <v>3510</v>
      </c>
      <c r="CV164" s="5" t="s">
        <v>11952</v>
      </c>
      <c r="CW164" s="5" t="s">
        <v>11952</v>
      </c>
      <c r="CX164" s="5" t="s">
        <v>13674</v>
      </c>
      <c r="CY164" s="5" t="s">
        <v>13814</v>
      </c>
      <c r="CZ164" s="5" t="s">
        <v>3510</v>
      </c>
      <c r="DA164" s="5" t="s">
        <v>11952</v>
      </c>
      <c r="DB164" s="5" t="s">
        <v>11963</v>
      </c>
      <c r="DC164" s="5" t="s">
        <v>11963</v>
      </c>
      <c r="DD164" s="5" t="s">
        <v>11963</v>
      </c>
      <c r="DE164" s="5" t="s">
        <v>11963</v>
      </c>
      <c r="DF164" s="5" t="s">
        <v>3510</v>
      </c>
      <c r="DG164" s="5" t="s">
        <v>11964</v>
      </c>
      <c r="DH164" s="5" t="s">
        <v>13815</v>
      </c>
      <c r="DI164" s="5" t="s">
        <v>11975</v>
      </c>
      <c r="DJ164" s="5" t="s">
        <v>11966</v>
      </c>
      <c r="DK164" s="5" t="s">
        <v>11967</v>
      </c>
      <c r="DL164" s="5">
        <v>5</v>
      </c>
      <c r="DM164" s="5">
        <v>4</v>
      </c>
      <c r="DN164" s="5">
        <v>4</v>
      </c>
      <c r="DO164" s="5">
        <v>2</v>
      </c>
      <c r="DP164" s="5">
        <v>2</v>
      </c>
      <c r="DQ164" s="5">
        <v>4</v>
      </c>
      <c r="DR164" s="5">
        <v>0</v>
      </c>
      <c r="DS164" s="5">
        <v>66</v>
      </c>
      <c r="DT164" s="5" t="s">
        <v>11968</v>
      </c>
      <c r="DU164" s="5" t="s">
        <v>11969</v>
      </c>
      <c r="DV164" s="5" t="s">
        <v>11970</v>
      </c>
      <c r="DW164" s="5"/>
      <c r="DX164" s="5">
        <v>18</v>
      </c>
      <c r="DY164" s="5"/>
      <c r="DZ164" s="5">
        <v>100</v>
      </c>
      <c r="EA164" s="5"/>
      <c r="EB164" s="5">
        <v>0.18</v>
      </c>
      <c r="EC164" s="5"/>
      <c r="ED164" s="5" t="s">
        <v>11971</v>
      </c>
      <c r="EE164" s="5"/>
      <c r="EF164" s="5" t="s">
        <v>11997</v>
      </c>
      <c r="EG164" s="5"/>
      <c r="EH164" s="5" t="s">
        <v>11997</v>
      </c>
      <c r="EI164" s="5"/>
      <c r="EJ164" s="5" t="s">
        <v>11997</v>
      </c>
      <c r="EK164" s="5"/>
      <c r="EL164" s="5" t="s">
        <v>11997</v>
      </c>
      <c r="EM164" s="5"/>
      <c r="EN164" s="5" t="s">
        <v>11997</v>
      </c>
      <c r="EO164" s="5"/>
      <c r="EP164" s="5" t="s">
        <v>11998</v>
      </c>
      <c r="EQ164" s="5"/>
      <c r="ER164" s="5" t="s">
        <v>11997</v>
      </c>
      <c r="ES164" s="5"/>
      <c r="ET164" s="5" t="s">
        <v>11972</v>
      </c>
      <c r="EU164" s="5"/>
      <c r="EV164" s="5"/>
      <c r="EW164" s="5"/>
      <c r="EX164" s="5"/>
      <c r="EY164" s="5" t="s">
        <v>8049</v>
      </c>
      <c r="EZ164" s="5"/>
      <c r="FA164" s="5" t="s">
        <v>1806</v>
      </c>
      <c r="FB164" s="5"/>
    </row>
    <row r="165" spans="1:158" ht="306">
      <c r="A165" s="5" t="s">
        <v>67</v>
      </c>
      <c r="B165" s="5" t="s">
        <v>1808</v>
      </c>
      <c r="C165" s="5" t="s">
        <v>11952</v>
      </c>
      <c r="D165" s="5" t="s">
        <v>1664</v>
      </c>
      <c r="E165" s="5" t="s">
        <v>12011</v>
      </c>
      <c r="F165" s="5" t="s">
        <v>11994</v>
      </c>
      <c r="G165" s="5" t="s">
        <v>13816</v>
      </c>
      <c r="H165" s="5" t="s">
        <v>12530</v>
      </c>
      <c r="I165" s="5" t="s">
        <v>1607</v>
      </c>
      <c r="J165" s="5" t="s">
        <v>3510</v>
      </c>
      <c r="K165" s="5" t="s">
        <v>13678</v>
      </c>
      <c r="L165" s="5" t="s">
        <v>13817</v>
      </c>
      <c r="M165" s="5" t="s">
        <v>11952</v>
      </c>
      <c r="N165" s="5" t="s">
        <v>11952</v>
      </c>
      <c r="O165" s="5" t="s">
        <v>11952</v>
      </c>
      <c r="P165" s="5" t="s">
        <v>11952</v>
      </c>
      <c r="Q165" s="5" t="s">
        <v>11952</v>
      </c>
      <c r="R165" s="5" t="s">
        <v>13817</v>
      </c>
      <c r="S165" s="5" t="s">
        <v>11952</v>
      </c>
      <c r="T165" s="5" t="s">
        <v>13818</v>
      </c>
      <c r="U165" s="5" t="s">
        <v>2854</v>
      </c>
      <c r="V165" s="5" t="s">
        <v>13819</v>
      </c>
      <c r="W165" s="5" t="s">
        <v>13820</v>
      </c>
      <c r="X165" s="5" t="s">
        <v>13821</v>
      </c>
      <c r="Y165" s="5" t="s">
        <v>121</v>
      </c>
      <c r="Z165" s="5" t="s">
        <v>2854</v>
      </c>
      <c r="AA165" s="5" t="s">
        <v>11981</v>
      </c>
      <c r="AB165" s="5" t="s">
        <v>121</v>
      </c>
      <c r="AC165" s="5" t="s">
        <v>121</v>
      </c>
      <c r="AD165" s="5" t="s">
        <v>121</v>
      </c>
      <c r="AE165" s="5" t="s">
        <v>121</v>
      </c>
      <c r="AF165" s="5" t="s">
        <v>121</v>
      </c>
      <c r="AG165" s="5" t="s">
        <v>121</v>
      </c>
      <c r="AH165" s="5" t="s">
        <v>121</v>
      </c>
      <c r="AI165" s="5" t="s">
        <v>121</v>
      </c>
      <c r="AJ165" s="5" t="s">
        <v>121</v>
      </c>
      <c r="AK165" s="5" t="s">
        <v>121</v>
      </c>
      <c r="AL165" s="5" t="s">
        <v>121</v>
      </c>
      <c r="AM165" s="5" t="s">
        <v>121</v>
      </c>
      <c r="AN165" s="5" t="s">
        <v>121</v>
      </c>
      <c r="AO165" s="5" t="s">
        <v>121</v>
      </c>
      <c r="AP165" s="5" t="s">
        <v>1814</v>
      </c>
      <c r="AQ165" s="5" t="s">
        <v>121</v>
      </c>
      <c r="AR165" s="5" t="s">
        <v>121</v>
      </c>
      <c r="AS165" s="5" t="s">
        <v>13822</v>
      </c>
      <c r="AT165" s="5" t="s">
        <v>121</v>
      </c>
      <c r="AU165" s="5" t="s">
        <v>13823</v>
      </c>
      <c r="AV165" s="5" t="s">
        <v>12003</v>
      </c>
      <c r="AW165" s="5" t="s">
        <v>13823</v>
      </c>
      <c r="AX165" s="5" t="s">
        <v>12159</v>
      </c>
      <c r="AY165" s="5" t="s">
        <v>2854</v>
      </c>
      <c r="AZ165" s="5" t="s">
        <v>121</v>
      </c>
      <c r="BA165" s="5" t="s">
        <v>121</v>
      </c>
      <c r="BB165" s="5" t="s">
        <v>3510</v>
      </c>
      <c r="BC165" s="5" t="s">
        <v>2854</v>
      </c>
      <c r="BD165" s="5" t="s">
        <v>13824</v>
      </c>
      <c r="BE165" s="5" t="s">
        <v>121</v>
      </c>
      <c r="BF165" s="5" t="s">
        <v>121</v>
      </c>
      <c r="BG165" s="5" t="s">
        <v>121</v>
      </c>
      <c r="BH165" s="5" t="s">
        <v>13825</v>
      </c>
      <c r="BI165" s="5" t="s">
        <v>13825</v>
      </c>
      <c r="BJ165" s="5" t="s">
        <v>13826</v>
      </c>
      <c r="BK165" s="5" t="s">
        <v>121</v>
      </c>
      <c r="BL165" s="5" t="s">
        <v>13827</v>
      </c>
      <c r="BM165" s="5" t="s">
        <v>13827</v>
      </c>
      <c r="BN165" s="5" t="s">
        <v>13828</v>
      </c>
      <c r="BO165" s="5" t="s">
        <v>121</v>
      </c>
      <c r="BP165" s="5" t="s">
        <v>2854</v>
      </c>
      <c r="BQ165" s="5" t="s">
        <v>121</v>
      </c>
      <c r="BR165" s="5" t="s">
        <v>121</v>
      </c>
      <c r="BS165" s="5" t="s">
        <v>121</v>
      </c>
      <c r="BT165" s="5" t="s">
        <v>121</v>
      </c>
      <c r="BU165" s="5" t="s">
        <v>121</v>
      </c>
      <c r="BV165" s="5" t="s">
        <v>3510</v>
      </c>
      <c r="BW165" s="5" t="s">
        <v>3510</v>
      </c>
      <c r="BX165" s="5" t="s">
        <v>3510</v>
      </c>
      <c r="BY165" s="5" t="s">
        <v>13829</v>
      </c>
      <c r="BZ165" s="5" t="s">
        <v>13830</v>
      </c>
      <c r="CA165" s="5" t="s">
        <v>121</v>
      </c>
      <c r="CB165" s="5" t="s">
        <v>121</v>
      </c>
      <c r="CC165" s="5" t="s">
        <v>13831</v>
      </c>
      <c r="CD165" s="5" t="s">
        <v>121</v>
      </c>
      <c r="CE165" s="5" t="s">
        <v>121</v>
      </c>
      <c r="CF165" s="5" t="s">
        <v>11958</v>
      </c>
      <c r="CG165" s="5" t="s">
        <v>121</v>
      </c>
      <c r="CH165" s="5" t="s">
        <v>121</v>
      </c>
      <c r="CI165" s="5" t="s">
        <v>12034</v>
      </c>
      <c r="CJ165" s="5" t="s">
        <v>287</v>
      </c>
      <c r="CK165" s="5" t="s">
        <v>13832</v>
      </c>
      <c r="CL165" s="5" t="s">
        <v>2854</v>
      </c>
      <c r="CM165" s="5" t="s">
        <v>287</v>
      </c>
      <c r="CN165" s="5" t="s">
        <v>121</v>
      </c>
      <c r="CO165" s="5" t="s">
        <v>121</v>
      </c>
      <c r="CP165" s="5" t="s">
        <v>3510</v>
      </c>
      <c r="CQ165" s="5" t="s">
        <v>13833</v>
      </c>
      <c r="CR165" s="5" t="s">
        <v>11960</v>
      </c>
      <c r="CS165" s="5" t="s">
        <v>3510</v>
      </c>
      <c r="CT165" s="5" t="s">
        <v>3510</v>
      </c>
      <c r="CU165" s="5" t="s">
        <v>3510</v>
      </c>
      <c r="CV165" s="5" t="s">
        <v>11952</v>
      </c>
      <c r="CW165" s="5" t="s">
        <v>11952</v>
      </c>
      <c r="CX165" s="5" t="s">
        <v>13683</v>
      </c>
      <c r="CY165" s="5" t="s">
        <v>13834</v>
      </c>
      <c r="CZ165" s="5" t="s">
        <v>11989</v>
      </c>
      <c r="DA165" s="5" t="s">
        <v>11989</v>
      </c>
      <c r="DB165" s="5" t="s">
        <v>11963</v>
      </c>
      <c r="DC165" s="5" t="s">
        <v>13835</v>
      </c>
      <c r="DD165" s="5" t="s">
        <v>11963</v>
      </c>
      <c r="DE165" s="5" t="s">
        <v>13836</v>
      </c>
      <c r="DF165" s="5" t="s">
        <v>3510</v>
      </c>
      <c r="DG165" s="5" t="s">
        <v>13837</v>
      </c>
      <c r="DH165" s="5" t="s">
        <v>13838</v>
      </c>
      <c r="DI165" s="5" t="s">
        <v>11975</v>
      </c>
      <c r="DJ165" s="5" t="s">
        <v>11966</v>
      </c>
      <c r="DK165" s="5" t="s">
        <v>12176</v>
      </c>
      <c r="DL165" s="5">
        <v>3.5</v>
      </c>
      <c r="DM165" s="5">
        <v>3.5</v>
      </c>
      <c r="DN165" s="5">
        <v>4.8</v>
      </c>
      <c r="DO165" s="5">
        <v>4</v>
      </c>
      <c r="DP165" s="5">
        <v>4.5</v>
      </c>
      <c r="DQ165" s="5">
        <v>5</v>
      </c>
      <c r="DR165" s="5">
        <v>0.5</v>
      </c>
      <c r="DS165" s="5">
        <v>74.400000000000006</v>
      </c>
      <c r="DT165" s="5" t="s">
        <v>11968</v>
      </c>
      <c r="DU165" s="5" t="s">
        <v>12116</v>
      </c>
      <c r="DV165" s="5" t="s">
        <v>11970</v>
      </c>
      <c r="DW165" s="5"/>
      <c r="DX165" s="5">
        <v>35</v>
      </c>
      <c r="DY165" s="5"/>
      <c r="DZ165" s="5">
        <v>100</v>
      </c>
      <c r="EA165" s="5"/>
      <c r="EB165" s="5">
        <v>0.35</v>
      </c>
      <c r="EC165" s="5"/>
      <c r="ED165" s="5" t="s">
        <v>11971</v>
      </c>
      <c r="EE165" s="5"/>
      <c r="EF165" s="5" t="s">
        <v>11997</v>
      </c>
      <c r="EG165" s="5"/>
      <c r="EH165" s="5" t="s">
        <v>11997</v>
      </c>
      <c r="EI165" s="5"/>
      <c r="EJ165" s="5" t="s">
        <v>11997</v>
      </c>
      <c r="EK165" s="5"/>
      <c r="EL165" s="5" t="s">
        <v>11997</v>
      </c>
      <c r="EM165" s="5"/>
      <c r="EN165" s="5" t="s">
        <v>11997</v>
      </c>
      <c r="EO165" s="5"/>
      <c r="EP165" s="5" t="s">
        <v>11998</v>
      </c>
      <c r="EQ165" s="5"/>
      <c r="ER165" s="5" t="s">
        <v>11997</v>
      </c>
      <c r="ES165" s="5"/>
      <c r="ET165" s="5" t="s">
        <v>11972</v>
      </c>
      <c r="EU165" s="5"/>
      <c r="EV165" s="5"/>
      <c r="EW165" s="5"/>
      <c r="EX165" s="5"/>
      <c r="EY165" s="5" t="s">
        <v>13839</v>
      </c>
      <c r="EZ165" s="5"/>
      <c r="FA165" s="5" t="s">
        <v>1818</v>
      </c>
      <c r="FB165" s="5"/>
    </row>
    <row r="166" spans="1:158" ht="76.5">
      <c r="A166" s="5" t="s">
        <v>1821</v>
      </c>
      <c r="B166" s="5" t="s">
        <v>1822</v>
      </c>
      <c r="C166" s="5" t="s">
        <v>11952</v>
      </c>
      <c r="D166" s="5" t="s">
        <v>1823</v>
      </c>
      <c r="E166" s="5" t="s">
        <v>11953</v>
      </c>
      <c r="F166" s="5" t="s">
        <v>11954</v>
      </c>
      <c r="G166" s="5" t="s">
        <v>11955</v>
      </c>
      <c r="H166" s="5" t="s">
        <v>11235</v>
      </c>
      <c r="I166" s="5" t="s">
        <v>1607</v>
      </c>
      <c r="J166" s="5" t="s">
        <v>3510</v>
      </c>
      <c r="K166" s="5" t="s">
        <v>11956</v>
      </c>
      <c r="L166" s="5" t="s">
        <v>1829</v>
      </c>
      <c r="M166" s="5" t="s">
        <v>11952</v>
      </c>
      <c r="N166" s="5" t="s">
        <v>11952</v>
      </c>
      <c r="O166" s="5" t="s">
        <v>11952</v>
      </c>
      <c r="P166" s="5" t="s">
        <v>11952</v>
      </c>
      <c r="Q166" s="5" t="s">
        <v>11952</v>
      </c>
      <c r="R166" s="5" t="s">
        <v>1829</v>
      </c>
      <c r="S166" s="5" t="s">
        <v>11952</v>
      </c>
      <c r="T166" s="5" t="s">
        <v>121</v>
      </c>
      <c r="U166" s="5" t="s">
        <v>2854</v>
      </c>
      <c r="V166" s="5" t="s">
        <v>13840</v>
      </c>
      <c r="W166" s="5" t="s">
        <v>13841</v>
      </c>
      <c r="X166" s="5" t="s">
        <v>13840</v>
      </c>
      <c r="Y166" s="5" t="s">
        <v>121</v>
      </c>
      <c r="Z166" s="5" t="s">
        <v>2854</v>
      </c>
      <c r="AA166" s="5" t="s">
        <v>11981</v>
      </c>
      <c r="AB166" s="5" t="s">
        <v>155</v>
      </c>
      <c r="AC166" s="5" t="s">
        <v>1826</v>
      </c>
      <c r="AD166" s="5" t="s">
        <v>121</v>
      </c>
      <c r="AE166" s="5" t="s">
        <v>121</v>
      </c>
      <c r="AF166" s="5" t="s">
        <v>1826</v>
      </c>
      <c r="AG166" s="5" t="s">
        <v>13842</v>
      </c>
      <c r="AH166" s="5" t="s">
        <v>121</v>
      </c>
      <c r="AI166" s="5" t="s">
        <v>121</v>
      </c>
      <c r="AJ166" s="5" t="s">
        <v>121</v>
      </c>
      <c r="AK166" s="5" t="s">
        <v>121</v>
      </c>
      <c r="AL166" s="5" t="s">
        <v>121</v>
      </c>
      <c r="AM166" s="5" t="s">
        <v>121</v>
      </c>
      <c r="AN166" s="5" t="s">
        <v>121</v>
      </c>
      <c r="AO166" s="5" t="s">
        <v>121</v>
      </c>
      <c r="AP166" s="5" t="s">
        <v>1827</v>
      </c>
      <c r="AQ166" s="5" t="s">
        <v>121</v>
      </c>
      <c r="AR166" s="5" t="s">
        <v>121</v>
      </c>
      <c r="AS166" s="5" t="s">
        <v>1827</v>
      </c>
      <c r="AT166" s="5" t="s">
        <v>121</v>
      </c>
      <c r="AU166" s="5" t="s">
        <v>121</v>
      </c>
      <c r="AV166" s="5" t="s">
        <v>121</v>
      </c>
      <c r="AW166" s="5" t="s">
        <v>121</v>
      </c>
      <c r="AX166" s="5" t="s">
        <v>121</v>
      </c>
      <c r="AY166" s="5" t="s">
        <v>121</v>
      </c>
      <c r="AZ166" s="5" t="s">
        <v>121</v>
      </c>
      <c r="BA166" s="5" t="s">
        <v>121</v>
      </c>
      <c r="BB166" s="5" t="s">
        <v>121</v>
      </c>
      <c r="BC166" s="5" t="s">
        <v>121</v>
      </c>
      <c r="BD166" s="5" t="s">
        <v>121</v>
      </c>
      <c r="BE166" s="5" t="s">
        <v>121</v>
      </c>
      <c r="BF166" s="5" t="s">
        <v>121</v>
      </c>
      <c r="BG166" s="5" t="s">
        <v>121</v>
      </c>
      <c r="BH166" s="5" t="s">
        <v>13843</v>
      </c>
      <c r="BI166" s="5" t="s">
        <v>121</v>
      </c>
      <c r="BJ166" s="5" t="s">
        <v>1825</v>
      </c>
      <c r="BK166" s="5" t="s">
        <v>121</v>
      </c>
      <c r="BL166" s="5" t="s">
        <v>332</v>
      </c>
      <c r="BM166" s="5" t="s">
        <v>332</v>
      </c>
      <c r="BN166" s="5" t="s">
        <v>121</v>
      </c>
      <c r="BO166" s="5" t="s">
        <v>121</v>
      </c>
      <c r="BP166" s="5" t="s">
        <v>121</v>
      </c>
      <c r="BQ166" s="5" t="s">
        <v>2854</v>
      </c>
      <c r="BR166" s="5" t="s">
        <v>121</v>
      </c>
      <c r="BS166" s="5" t="s">
        <v>121</v>
      </c>
      <c r="BT166" s="5" t="s">
        <v>121</v>
      </c>
      <c r="BU166" s="5" t="s">
        <v>121</v>
      </c>
      <c r="BV166" s="5" t="s">
        <v>121</v>
      </c>
      <c r="BW166" s="5" t="s">
        <v>121</v>
      </c>
      <c r="BX166" s="5" t="s">
        <v>121</v>
      </c>
      <c r="BY166" s="5" t="s">
        <v>121</v>
      </c>
      <c r="BZ166" s="5" t="s">
        <v>121</v>
      </c>
      <c r="CA166" s="5" t="s">
        <v>121</v>
      </c>
      <c r="CB166" s="5" t="s">
        <v>121</v>
      </c>
      <c r="CC166" s="5" t="s">
        <v>1824</v>
      </c>
      <c r="CD166" s="5" t="s">
        <v>121</v>
      </c>
      <c r="CE166" s="5" t="s">
        <v>121</v>
      </c>
      <c r="CF166" s="5" t="s">
        <v>11958</v>
      </c>
      <c r="CG166" s="5" t="s">
        <v>121</v>
      </c>
      <c r="CH166" s="5" t="s">
        <v>121</v>
      </c>
      <c r="CI166" s="5" t="s">
        <v>12034</v>
      </c>
      <c r="CJ166" s="5" t="s">
        <v>287</v>
      </c>
      <c r="CK166" s="5" t="s">
        <v>1640</v>
      </c>
      <c r="CL166" s="5" t="s">
        <v>2854</v>
      </c>
      <c r="CM166" s="5" t="s">
        <v>287</v>
      </c>
      <c r="CN166" s="5" t="s">
        <v>121</v>
      </c>
      <c r="CO166" s="5" t="s">
        <v>121</v>
      </c>
      <c r="CP166" s="5" t="s">
        <v>3510</v>
      </c>
      <c r="CQ166" s="5" t="s">
        <v>1828</v>
      </c>
      <c r="CR166" s="5" t="s">
        <v>11960</v>
      </c>
      <c r="CS166" s="5" t="s">
        <v>3510</v>
      </c>
      <c r="CT166" s="5" t="s">
        <v>3510</v>
      </c>
      <c r="CU166" s="5" t="s">
        <v>3510</v>
      </c>
      <c r="CV166" s="5" t="s">
        <v>11952</v>
      </c>
      <c r="CW166" s="5" t="s">
        <v>11952</v>
      </c>
      <c r="CX166" s="5" t="s">
        <v>13674</v>
      </c>
      <c r="CY166" s="5" t="s">
        <v>13844</v>
      </c>
      <c r="CZ166" s="5" t="s">
        <v>3510</v>
      </c>
      <c r="DA166" s="5" t="s">
        <v>11952</v>
      </c>
      <c r="DB166" s="5" t="s">
        <v>11963</v>
      </c>
      <c r="DC166" s="5" t="s">
        <v>11963</v>
      </c>
      <c r="DD166" s="5" t="s">
        <v>11963</v>
      </c>
      <c r="DE166" s="5" t="s">
        <v>11963</v>
      </c>
      <c r="DF166" s="5" t="s">
        <v>3510</v>
      </c>
      <c r="DG166" s="5" t="s">
        <v>11964</v>
      </c>
      <c r="DH166" s="5" t="s">
        <v>13845</v>
      </c>
      <c r="DI166" s="5" t="s">
        <v>11975</v>
      </c>
      <c r="DJ166" s="5" t="s">
        <v>11966</v>
      </c>
      <c r="DK166" s="5" t="s">
        <v>11967</v>
      </c>
      <c r="DL166" s="5">
        <v>5</v>
      </c>
      <c r="DM166" s="5">
        <v>4</v>
      </c>
      <c r="DN166" s="5">
        <v>3</v>
      </c>
      <c r="DO166" s="5">
        <v>4</v>
      </c>
      <c r="DP166" s="5">
        <v>4</v>
      </c>
      <c r="DQ166" s="5">
        <v>2</v>
      </c>
      <c r="DR166" s="5">
        <v>0</v>
      </c>
      <c r="DS166" s="5">
        <v>69</v>
      </c>
      <c r="DT166" s="5" t="s">
        <v>11968</v>
      </c>
      <c r="DU166" s="5" t="s">
        <v>11969</v>
      </c>
      <c r="DV166" s="5" t="s">
        <v>11970</v>
      </c>
      <c r="DW166" s="5"/>
      <c r="DX166" s="5">
        <v>16</v>
      </c>
      <c r="DY166" s="5"/>
      <c r="DZ166" s="5">
        <v>100</v>
      </c>
      <c r="EA166" s="5"/>
      <c r="EB166" s="5">
        <v>0.16</v>
      </c>
      <c r="EC166" s="5"/>
      <c r="ED166" s="5" t="s">
        <v>11971</v>
      </c>
      <c r="EE166" s="5"/>
      <c r="EF166" s="5" t="s">
        <v>11997</v>
      </c>
      <c r="EG166" s="5"/>
      <c r="EH166" s="5" t="s">
        <v>11997</v>
      </c>
      <c r="EI166" s="5"/>
      <c r="EJ166" s="5" t="s">
        <v>11997</v>
      </c>
      <c r="EK166" s="5"/>
      <c r="EL166" s="5" t="s">
        <v>11997</v>
      </c>
      <c r="EM166" s="5"/>
      <c r="EN166" s="5" t="s">
        <v>11997</v>
      </c>
      <c r="EO166" s="5"/>
      <c r="EP166" s="5" t="s">
        <v>11998</v>
      </c>
      <c r="EQ166" s="5"/>
      <c r="ER166" s="5" t="s">
        <v>11997</v>
      </c>
      <c r="ES166" s="5"/>
      <c r="ET166" s="5" t="s">
        <v>11972</v>
      </c>
      <c r="EU166" s="5"/>
      <c r="EV166" s="5"/>
      <c r="EW166" s="5"/>
      <c r="EX166" s="5"/>
      <c r="EY166" s="5" t="s">
        <v>8124</v>
      </c>
      <c r="EZ166" s="5"/>
      <c r="FA166" s="5" t="s">
        <v>1829</v>
      </c>
      <c r="FB166" s="5"/>
    </row>
    <row r="167" spans="1:158" ht="89.25">
      <c r="A167" s="5" t="s">
        <v>1831</v>
      </c>
      <c r="B167" s="5" t="s">
        <v>1832</v>
      </c>
      <c r="C167" s="5" t="s">
        <v>11952</v>
      </c>
      <c r="D167" s="5" t="s">
        <v>1601</v>
      </c>
      <c r="E167" s="5" t="s">
        <v>12810</v>
      </c>
      <c r="F167" s="5" t="s">
        <v>11994</v>
      </c>
      <c r="G167" s="5" t="s">
        <v>13846</v>
      </c>
      <c r="H167" s="5" t="s">
        <v>11235</v>
      </c>
      <c r="I167" s="5" t="s">
        <v>1607</v>
      </c>
      <c r="J167" s="5" t="s">
        <v>3510</v>
      </c>
      <c r="K167" s="5" t="s">
        <v>13847</v>
      </c>
      <c r="L167" s="5" t="s">
        <v>1835</v>
      </c>
      <c r="M167" s="5" t="s">
        <v>11952</v>
      </c>
      <c r="N167" s="5" t="s">
        <v>11952</v>
      </c>
      <c r="O167" s="5" t="s">
        <v>11952</v>
      </c>
      <c r="P167" s="5" t="s">
        <v>11952</v>
      </c>
      <c r="Q167" s="5" t="s">
        <v>11952</v>
      </c>
      <c r="R167" s="5" t="s">
        <v>1835</v>
      </c>
      <c r="S167" s="5" t="s">
        <v>11952</v>
      </c>
      <c r="T167" s="5" t="s">
        <v>121</v>
      </c>
      <c r="U167" s="5" t="s">
        <v>3510</v>
      </c>
      <c r="V167" s="5" t="s">
        <v>121</v>
      </c>
      <c r="W167" s="5" t="s">
        <v>121</v>
      </c>
      <c r="X167" s="5" t="s">
        <v>121</v>
      </c>
      <c r="Y167" s="5" t="s">
        <v>121</v>
      </c>
      <c r="Z167" s="5" t="s">
        <v>11952</v>
      </c>
      <c r="AA167" s="5" t="s">
        <v>11952</v>
      </c>
      <c r="AB167" s="5" t="s">
        <v>121</v>
      </c>
      <c r="AC167" s="5" t="s">
        <v>121</v>
      </c>
      <c r="AD167" s="5" t="s">
        <v>121</v>
      </c>
      <c r="AE167" s="5" t="s">
        <v>121</v>
      </c>
      <c r="AF167" s="5" t="s">
        <v>121</v>
      </c>
      <c r="AG167" s="5" t="s">
        <v>121</v>
      </c>
      <c r="AH167" s="5" t="s">
        <v>121</v>
      </c>
      <c r="AI167" s="5" t="s">
        <v>121</v>
      </c>
      <c r="AJ167" s="5" t="s">
        <v>121</v>
      </c>
      <c r="AK167" s="5" t="s">
        <v>121</v>
      </c>
      <c r="AL167" s="5" t="s">
        <v>121</v>
      </c>
      <c r="AM167" s="5" t="s">
        <v>121</v>
      </c>
      <c r="AN167" s="5" t="s">
        <v>121</v>
      </c>
      <c r="AO167" s="5" t="s">
        <v>121</v>
      </c>
      <c r="AP167" s="5" t="s">
        <v>121</v>
      </c>
      <c r="AQ167" s="5" t="s">
        <v>121</v>
      </c>
      <c r="AR167" s="5" t="s">
        <v>121</v>
      </c>
      <c r="AS167" s="5" t="s">
        <v>121</v>
      </c>
      <c r="AT167" s="5" t="s">
        <v>121</v>
      </c>
      <c r="AU167" s="5" t="s">
        <v>121</v>
      </c>
      <c r="AV167" s="5" t="s">
        <v>121</v>
      </c>
      <c r="AW167" s="5" t="s">
        <v>121</v>
      </c>
      <c r="AX167" s="5" t="s">
        <v>121</v>
      </c>
      <c r="AY167" s="5" t="s">
        <v>121</v>
      </c>
      <c r="AZ167" s="5" t="s">
        <v>121</v>
      </c>
      <c r="BA167" s="5" t="s">
        <v>121</v>
      </c>
      <c r="BB167" s="5" t="s">
        <v>121</v>
      </c>
      <c r="BC167" s="5" t="s">
        <v>121</v>
      </c>
      <c r="BD167" s="5" t="s">
        <v>121</v>
      </c>
      <c r="BE167" s="5" t="s">
        <v>121</v>
      </c>
      <c r="BF167" s="5" t="s">
        <v>121</v>
      </c>
      <c r="BG167" s="5" t="s">
        <v>121</v>
      </c>
      <c r="BH167" s="5" t="s">
        <v>13848</v>
      </c>
      <c r="BI167" s="5" t="s">
        <v>121</v>
      </c>
      <c r="BJ167" s="5" t="s">
        <v>1833</v>
      </c>
      <c r="BK167" s="5" t="s">
        <v>121</v>
      </c>
      <c r="BL167" s="5" t="s">
        <v>332</v>
      </c>
      <c r="BM167" s="5" t="s">
        <v>332</v>
      </c>
      <c r="BN167" s="5" t="s">
        <v>121</v>
      </c>
      <c r="BO167" s="5" t="s">
        <v>121</v>
      </c>
      <c r="BP167" s="5" t="s">
        <v>2854</v>
      </c>
      <c r="BQ167" s="5" t="s">
        <v>2854</v>
      </c>
      <c r="BR167" s="5" t="s">
        <v>121</v>
      </c>
      <c r="BS167" s="5" t="s">
        <v>121</v>
      </c>
      <c r="BT167" s="5" t="s">
        <v>121</v>
      </c>
      <c r="BU167" s="5" t="s">
        <v>2854</v>
      </c>
      <c r="BV167" s="5" t="s">
        <v>121</v>
      </c>
      <c r="BW167" s="5" t="s">
        <v>121</v>
      </c>
      <c r="BX167" s="5" t="s">
        <v>121</v>
      </c>
      <c r="BY167" s="5" t="s">
        <v>13849</v>
      </c>
      <c r="BZ167" s="5" t="s">
        <v>121</v>
      </c>
      <c r="CA167" s="5" t="s">
        <v>121</v>
      </c>
      <c r="CB167" s="5" t="s">
        <v>121</v>
      </c>
      <c r="CC167" s="5" t="s">
        <v>1612</v>
      </c>
      <c r="CD167" s="5" t="s">
        <v>121</v>
      </c>
      <c r="CE167" s="5" t="s">
        <v>121</v>
      </c>
      <c r="CF167" s="5" t="s">
        <v>11958</v>
      </c>
      <c r="CG167" s="5" t="s">
        <v>121</v>
      </c>
      <c r="CH167" s="5" t="s">
        <v>121</v>
      </c>
      <c r="CI167" s="5" t="s">
        <v>11959</v>
      </c>
      <c r="CJ167" s="5" t="s">
        <v>287</v>
      </c>
      <c r="CK167" s="5" t="s">
        <v>1060</v>
      </c>
      <c r="CL167" s="5" t="s">
        <v>2854</v>
      </c>
      <c r="CM167" s="5" t="s">
        <v>287</v>
      </c>
      <c r="CN167" s="5" t="s">
        <v>121</v>
      </c>
      <c r="CO167" s="5" t="s">
        <v>121</v>
      </c>
      <c r="CP167" s="5" t="s">
        <v>3510</v>
      </c>
      <c r="CQ167" s="5" t="s">
        <v>1834</v>
      </c>
      <c r="CR167" s="5" t="s">
        <v>12187</v>
      </c>
      <c r="CS167" s="5" t="s">
        <v>3510</v>
      </c>
      <c r="CT167" s="5" t="s">
        <v>3510</v>
      </c>
      <c r="CU167" s="5" t="s">
        <v>2854</v>
      </c>
      <c r="CV167" s="5" t="s">
        <v>33</v>
      </c>
      <c r="CW167" s="5" t="s">
        <v>33</v>
      </c>
      <c r="CX167" s="5" t="s">
        <v>13674</v>
      </c>
      <c r="CY167" s="5" t="s">
        <v>13850</v>
      </c>
      <c r="CZ167" s="5" t="s">
        <v>3510</v>
      </c>
      <c r="DA167" s="5" t="s">
        <v>11952</v>
      </c>
      <c r="DB167" s="5" t="s">
        <v>11963</v>
      </c>
      <c r="DC167" s="5" t="s">
        <v>11963</v>
      </c>
      <c r="DD167" s="5" t="s">
        <v>11963</v>
      </c>
      <c r="DE167" s="5" t="s">
        <v>11963</v>
      </c>
      <c r="DF167" s="5" t="s">
        <v>3510</v>
      </c>
      <c r="DG167" s="5" t="s">
        <v>11964</v>
      </c>
      <c r="DH167" s="5" t="s">
        <v>13851</v>
      </c>
      <c r="DI167" s="5" t="s">
        <v>11975</v>
      </c>
      <c r="DJ167" s="5" t="s">
        <v>12044</v>
      </c>
      <c r="DK167" s="5" t="s">
        <v>13852</v>
      </c>
      <c r="DL167" s="5">
        <v>4</v>
      </c>
      <c r="DM167" s="5">
        <v>4</v>
      </c>
      <c r="DN167" s="5">
        <v>3</v>
      </c>
      <c r="DO167" s="5">
        <v>4</v>
      </c>
      <c r="DP167" s="5">
        <v>3</v>
      </c>
      <c r="DQ167" s="5">
        <v>1</v>
      </c>
      <c r="DR167" s="5">
        <v>1.5</v>
      </c>
      <c r="DS167" s="5">
        <v>64</v>
      </c>
      <c r="DT167" s="5" t="s">
        <v>11968</v>
      </c>
      <c r="DU167" s="5" t="s">
        <v>11969</v>
      </c>
      <c r="DV167" s="5" t="s">
        <v>11970</v>
      </c>
      <c r="DW167" s="5"/>
      <c r="DX167" s="5">
        <v>20</v>
      </c>
      <c r="DY167" s="5"/>
      <c r="DZ167" s="5">
        <v>100</v>
      </c>
      <c r="EA167" s="5"/>
      <c r="EB167" s="5">
        <v>0.2</v>
      </c>
      <c r="EC167" s="5"/>
      <c r="ED167" s="5" t="s">
        <v>11971</v>
      </c>
      <c r="EE167" s="5"/>
      <c r="EF167" s="5" t="s">
        <v>11997</v>
      </c>
      <c r="EG167" s="5"/>
      <c r="EH167" s="5" t="s">
        <v>11997</v>
      </c>
      <c r="EI167" s="5"/>
      <c r="EJ167" s="5" t="s">
        <v>11997</v>
      </c>
      <c r="EK167" s="5"/>
      <c r="EL167" s="5" t="s">
        <v>11997</v>
      </c>
      <c r="EM167" s="5"/>
      <c r="EN167" s="5" t="s">
        <v>11997</v>
      </c>
      <c r="EO167" s="5"/>
      <c r="EP167" s="5" t="s">
        <v>11998</v>
      </c>
      <c r="EQ167" s="5"/>
      <c r="ER167" s="5" t="s">
        <v>11997</v>
      </c>
      <c r="ES167" s="5"/>
      <c r="ET167" s="5" t="s">
        <v>11972</v>
      </c>
      <c r="EU167" s="5"/>
      <c r="EV167" s="5"/>
      <c r="EW167" s="5"/>
      <c r="EX167" s="5"/>
      <c r="EY167" s="5" t="s">
        <v>8153</v>
      </c>
      <c r="EZ167" s="5"/>
      <c r="FA167" s="5" t="s">
        <v>1835</v>
      </c>
      <c r="FB167" s="5"/>
    </row>
    <row r="168" spans="1:158" ht="76.5">
      <c r="A168" s="5" t="s">
        <v>1837</v>
      </c>
      <c r="B168" s="5" t="s">
        <v>1838</v>
      </c>
      <c r="C168" s="5" t="s">
        <v>11952</v>
      </c>
      <c r="D168" s="5" t="s">
        <v>1823</v>
      </c>
      <c r="E168" s="5" t="s">
        <v>11953</v>
      </c>
      <c r="F168" s="5" t="s">
        <v>11954</v>
      </c>
      <c r="G168" s="5" t="s">
        <v>11955</v>
      </c>
      <c r="H168" s="5" t="s">
        <v>11235</v>
      </c>
      <c r="I168" s="5" t="s">
        <v>1607</v>
      </c>
      <c r="J168" s="5" t="s">
        <v>3510</v>
      </c>
      <c r="K168" s="5" t="s">
        <v>11956</v>
      </c>
      <c r="L168" s="5" t="s">
        <v>1842</v>
      </c>
      <c r="M168" s="5" t="s">
        <v>11952</v>
      </c>
      <c r="N168" s="5" t="s">
        <v>11952</v>
      </c>
      <c r="O168" s="5" t="s">
        <v>11952</v>
      </c>
      <c r="P168" s="5" t="s">
        <v>11952</v>
      </c>
      <c r="Q168" s="5" t="s">
        <v>11952</v>
      </c>
      <c r="R168" s="5" t="s">
        <v>1842</v>
      </c>
      <c r="S168" s="5" t="s">
        <v>11952</v>
      </c>
      <c r="T168" s="5" t="s">
        <v>121</v>
      </c>
      <c r="U168" s="5" t="s">
        <v>3510</v>
      </c>
      <c r="V168" s="5" t="s">
        <v>121</v>
      </c>
      <c r="W168" s="5" t="s">
        <v>121</v>
      </c>
      <c r="X168" s="5" t="s">
        <v>121</v>
      </c>
      <c r="Y168" s="5" t="s">
        <v>121</v>
      </c>
      <c r="Z168" s="5" t="s">
        <v>11952</v>
      </c>
      <c r="AA168" s="5" t="s">
        <v>11952</v>
      </c>
      <c r="AB168" s="5" t="s">
        <v>121</v>
      </c>
      <c r="AC168" s="5" t="s">
        <v>121</v>
      </c>
      <c r="AD168" s="5" t="s">
        <v>121</v>
      </c>
      <c r="AE168" s="5" t="s">
        <v>121</v>
      </c>
      <c r="AF168" s="5" t="s">
        <v>121</v>
      </c>
      <c r="AG168" s="5" t="s">
        <v>121</v>
      </c>
      <c r="AH168" s="5" t="s">
        <v>121</v>
      </c>
      <c r="AI168" s="5" t="s">
        <v>121</v>
      </c>
      <c r="AJ168" s="5" t="s">
        <v>121</v>
      </c>
      <c r="AK168" s="5" t="s">
        <v>121</v>
      </c>
      <c r="AL168" s="5" t="s">
        <v>121</v>
      </c>
      <c r="AM168" s="5" t="s">
        <v>121</v>
      </c>
      <c r="AN168" s="5" t="s">
        <v>121</v>
      </c>
      <c r="AO168" s="5" t="s">
        <v>121</v>
      </c>
      <c r="AP168" s="5" t="s">
        <v>121</v>
      </c>
      <c r="AQ168" s="5" t="s">
        <v>121</v>
      </c>
      <c r="AR168" s="5" t="s">
        <v>121</v>
      </c>
      <c r="AS168" s="5" t="s">
        <v>121</v>
      </c>
      <c r="AT168" s="5" t="s">
        <v>121</v>
      </c>
      <c r="AU168" s="5" t="s">
        <v>121</v>
      </c>
      <c r="AV168" s="5" t="s">
        <v>121</v>
      </c>
      <c r="AW168" s="5" t="s">
        <v>121</v>
      </c>
      <c r="AX168" s="5" t="s">
        <v>121</v>
      </c>
      <c r="AY168" s="5" t="s">
        <v>121</v>
      </c>
      <c r="AZ168" s="5" t="s">
        <v>121</v>
      </c>
      <c r="BA168" s="5" t="s">
        <v>121</v>
      </c>
      <c r="BB168" s="5" t="s">
        <v>3510</v>
      </c>
      <c r="BC168" s="5" t="s">
        <v>121</v>
      </c>
      <c r="BD168" s="5" t="s">
        <v>121</v>
      </c>
      <c r="BE168" s="5" t="s">
        <v>121</v>
      </c>
      <c r="BF168" s="5" t="s">
        <v>121</v>
      </c>
      <c r="BG168" s="5" t="s">
        <v>121</v>
      </c>
      <c r="BH168" s="5" t="s">
        <v>12815</v>
      </c>
      <c r="BI168" s="5" t="s">
        <v>121</v>
      </c>
      <c r="BJ168" s="5" t="s">
        <v>1840</v>
      </c>
      <c r="BK168" s="5" t="s">
        <v>121</v>
      </c>
      <c r="BL168" s="5" t="s">
        <v>1273</v>
      </c>
      <c r="BM168" s="5" t="s">
        <v>1273</v>
      </c>
      <c r="BN168" s="5" t="s">
        <v>121</v>
      </c>
      <c r="BO168" s="5" t="s">
        <v>121</v>
      </c>
      <c r="BP168" s="5" t="s">
        <v>121</v>
      </c>
      <c r="BQ168" s="5" t="s">
        <v>121</v>
      </c>
      <c r="BR168" s="5" t="s">
        <v>2854</v>
      </c>
      <c r="BS168" s="5" t="s">
        <v>121</v>
      </c>
      <c r="BT168" s="5" t="s">
        <v>121</v>
      </c>
      <c r="BU168" s="5" t="s">
        <v>121</v>
      </c>
      <c r="BV168" s="5" t="s">
        <v>121</v>
      </c>
      <c r="BW168" s="5" t="s">
        <v>121</v>
      </c>
      <c r="BX168" s="5" t="s">
        <v>121</v>
      </c>
      <c r="BY168" s="5" t="s">
        <v>121</v>
      </c>
      <c r="BZ168" s="5" t="s">
        <v>121</v>
      </c>
      <c r="CA168" s="5" t="s">
        <v>121</v>
      </c>
      <c r="CB168" s="5" t="s">
        <v>121</v>
      </c>
      <c r="CC168" s="5" t="s">
        <v>1839</v>
      </c>
      <c r="CD168" s="5" t="s">
        <v>121</v>
      </c>
      <c r="CE168" s="5" t="s">
        <v>121</v>
      </c>
      <c r="CF168" s="5" t="s">
        <v>11958</v>
      </c>
      <c r="CG168" s="5" t="s">
        <v>121</v>
      </c>
      <c r="CH168" s="5" t="s">
        <v>121</v>
      </c>
      <c r="CI168" s="5" t="s">
        <v>11959</v>
      </c>
      <c r="CJ168" s="5" t="s">
        <v>287</v>
      </c>
      <c r="CK168" s="5" t="s">
        <v>1722</v>
      </c>
      <c r="CL168" s="5" t="s">
        <v>2854</v>
      </c>
      <c r="CM168" s="5" t="s">
        <v>287</v>
      </c>
      <c r="CN168" s="5" t="s">
        <v>121</v>
      </c>
      <c r="CO168" s="5" t="s">
        <v>121</v>
      </c>
      <c r="CP168" s="5" t="s">
        <v>3510</v>
      </c>
      <c r="CQ168" s="5" t="s">
        <v>1841</v>
      </c>
      <c r="CR168" s="5" t="s">
        <v>11960</v>
      </c>
      <c r="CS168" s="5" t="s">
        <v>3510</v>
      </c>
      <c r="CT168" s="5" t="s">
        <v>3510</v>
      </c>
      <c r="CU168" s="5" t="s">
        <v>3510</v>
      </c>
      <c r="CV168" s="5" t="s">
        <v>11952</v>
      </c>
      <c r="CW168" s="5" t="s">
        <v>11952</v>
      </c>
      <c r="CX168" s="5" t="s">
        <v>13674</v>
      </c>
      <c r="CY168" s="5" t="s">
        <v>13853</v>
      </c>
      <c r="CZ168" s="5" t="s">
        <v>3510</v>
      </c>
      <c r="DA168" s="5" t="s">
        <v>11952</v>
      </c>
      <c r="DB168" s="5" t="s">
        <v>11963</v>
      </c>
      <c r="DC168" s="5" t="s">
        <v>11963</v>
      </c>
      <c r="DD168" s="5" t="s">
        <v>11963</v>
      </c>
      <c r="DE168" s="5" t="s">
        <v>11963</v>
      </c>
      <c r="DF168" s="5" t="s">
        <v>3510</v>
      </c>
      <c r="DG168" s="5" t="s">
        <v>11964</v>
      </c>
      <c r="DH168" s="5" t="s">
        <v>13854</v>
      </c>
      <c r="DI168" s="5" t="s">
        <v>11966</v>
      </c>
      <c r="DJ168" s="5" t="s">
        <v>11966</v>
      </c>
      <c r="DK168" s="5" t="s">
        <v>11967</v>
      </c>
      <c r="DL168" s="5">
        <v>5</v>
      </c>
      <c r="DM168" s="5">
        <v>3</v>
      </c>
      <c r="DN168" s="5">
        <v>2.5</v>
      </c>
      <c r="DO168" s="5">
        <v>1</v>
      </c>
      <c r="DP168" s="5">
        <v>2</v>
      </c>
      <c r="DQ168" s="5">
        <v>1</v>
      </c>
      <c r="DR168" s="5">
        <v>0</v>
      </c>
      <c r="DS168" s="5">
        <v>48.5</v>
      </c>
      <c r="DT168" s="5" t="s">
        <v>11968</v>
      </c>
      <c r="DU168" s="5" t="s">
        <v>11969</v>
      </c>
      <c r="DV168" s="5" t="s">
        <v>11970</v>
      </c>
      <c r="DW168" s="5"/>
      <c r="DX168" s="5">
        <v>10</v>
      </c>
      <c r="DY168" s="5"/>
      <c r="DZ168" s="5">
        <v>100</v>
      </c>
      <c r="EA168" s="5"/>
      <c r="EB168" s="5">
        <v>0.1</v>
      </c>
      <c r="EC168" s="5"/>
      <c r="ED168" s="5" t="s">
        <v>11971</v>
      </c>
      <c r="EE168" s="5"/>
      <c r="EF168" s="5" t="s">
        <v>11997</v>
      </c>
      <c r="EG168" s="5"/>
      <c r="EH168" s="5" t="s">
        <v>11997</v>
      </c>
      <c r="EI168" s="5"/>
      <c r="EJ168" s="5" t="s">
        <v>11997</v>
      </c>
      <c r="EK168" s="5"/>
      <c r="EL168" s="5" t="s">
        <v>11997</v>
      </c>
      <c r="EM168" s="5"/>
      <c r="EN168" s="5" t="s">
        <v>11997</v>
      </c>
      <c r="EO168" s="5"/>
      <c r="EP168" s="5" t="s">
        <v>11998</v>
      </c>
      <c r="EQ168" s="5"/>
      <c r="ER168" s="5" t="s">
        <v>11997</v>
      </c>
      <c r="ES168" s="5"/>
      <c r="ET168" s="5" t="s">
        <v>11972</v>
      </c>
      <c r="EU168" s="5"/>
      <c r="EV168" s="5"/>
      <c r="EW168" s="5"/>
      <c r="EX168" s="5"/>
      <c r="EY168" s="5" t="s">
        <v>8181</v>
      </c>
      <c r="EZ168" s="5"/>
      <c r="FA168" s="5" t="s">
        <v>1842</v>
      </c>
      <c r="FB168" s="5"/>
    </row>
    <row r="169" spans="1:158" ht="76.5">
      <c r="A169" s="5" t="s">
        <v>1844</v>
      </c>
      <c r="B169" s="5" t="s">
        <v>1845</v>
      </c>
      <c r="C169" s="5" t="s">
        <v>11952</v>
      </c>
      <c r="D169" s="5" t="s">
        <v>121</v>
      </c>
      <c r="E169" s="5" t="s">
        <v>11953</v>
      </c>
      <c r="F169" s="5" t="s">
        <v>11954</v>
      </c>
      <c r="G169" s="5" t="s">
        <v>11955</v>
      </c>
      <c r="H169" s="5" t="s">
        <v>11237</v>
      </c>
      <c r="I169" s="5" t="s">
        <v>1607</v>
      </c>
      <c r="J169" s="5" t="s">
        <v>3510</v>
      </c>
      <c r="K169" s="5" t="s">
        <v>11956</v>
      </c>
      <c r="L169" s="5" t="s">
        <v>1853</v>
      </c>
      <c r="M169" s="5" t="s">
        <v>11952</v>
      </c>
      <c r="N169" s="5" t="s">
        <v>11952</v>
      </c>
      <c r="O169" s="5" t="s">
        <v>11952</v>
      </c>
      <c r="P169" s="5" t="s">
        <v>11952</v>
      </c>
      <c r="Q169" s="5" t="s">
        <v>11952</v>
      </c>
      <c r="R169" s="5" t="s">
        <v>1853</v>
      </c>
      <c r="S169" s="5" t="s">
        <v>11952</v>
      </c>
      <c r="T169" s="5" t="s">
        <v>121</v>
      </c>
      <c r="U169" s="5" t="s">
        <v>3510</v>
      </c>
      <c r="V169" s="5" t="s">
        <v>121</v>
      </c>
      <c r="W169" s="5" t="s">
        <v>121</v>
      </c>
      <c r="X169" s="5" t="s">
        <v>121</v>
      </c>
      <c r="Y169" s="5" t="s">
        <v>121</v>
      </c>
      <c r="Z169" s="5" t="s">
        <v>11952</v>
      </c>
      <c r="AA169" s="5" t="s">
        <v>11952</v>
      </c>
      <c r="AB169" s="5" t="s">
        <v>155</v>
      </c>
      <c r="AC169" s="5" t="s">
        <v>1850</v>
      </c>
      <c r="AD169" s="5" t="s">
        <v>121</v>
      </c>
      <c r="AE169" s="5" t="s">
        <v>121</v>
      </c>
      <c r="AF169" s="5" t="s">
        <v>1850</v>
      </c>
      <c r="AG169" s="5" t="s">
        <v>121</v>
      </c>
      <c r="AH169" s="5" t="s">
        <v>121</v>
      </c>
      <c r="AI169" s="5" t="s">
        <v>121</v>
      </c>
      <c r="AJ169" s="5" t="s">
        <v>121</v>
      </c>
      <c r="AK169" s="5" t="s">
        <v>121</v>
      </c>
      <c r="AL169" s="5" t="s">
        <v>121</v>
      </c>
      <c r="AM169" s="5" t="s">
        <v>121</v>
      </c>
      <c r="AN169" s="5" t="s">
        <v>13855</v>
      </c>
      <c r="AO169" s="5" t="s">
        <v>121</v>
      </c>
      <c r="AP169" s="5" t="s">
        <v>121</v>
      </c>
      <c r="AQ169" s="5" t="s">
        <v>121</v>
      </c>
      <c r="AR169" s="5" t="s">
        <v>121</v>
      </c>
      <c r="AS169" s="5" t="s">
        <v>1851</v>
      </c>
      <c r="AT169" s="5" t="s">
        <v>121</v>
      </c>
      <c r="AU169" s="5" t="s">
        <v>1846</v>
      </c>
      <c r="AV169" s="5" t="s">
        <v>121</v>
      </c>
      <c r="AW169" s="5" t="s">
        <v>121</v>
      </c>
      <c r="AX169" s="5" t="s">
        <v>121</v>
      </c>
      <c r="AY169" s="5" t="s">
        <v>2854</v>
      </c>
      <c r="AZ169" s="5" t="s">
        <v>121</v>
      </c>
      <c r="BA169" s="5" t="s">
        <v>121</v>
      </c>
      <c r="BB169" s="5" t="s">
        <v>3510</v>
      </c>
      <c r="BC169" s="5" t="s">
        <v>121</v>
      </c>
      <c r="BD169" s="5" t="s">
        <v>121</v>
      </c>
      <c r="BE169" s="5" t="s">
        <v>121</v>
      </c>
      <c r="BF169" s="5" t="s">
        <v>121</v>
      </c>
      <c r="BG169" s="5" t="s">
        <v>121</v>
      </c>
      <c r="BH169" s="5" t="s">
        <v>13856</v>
      </c>
      <c r="BI169" s="5" t="s">
        <v>121</v>
      </c>
      <c r="BJ169" s="5" t="s">
        <v>1847</v>
      </c>
      <c r="BK169" s="5" t="s">
        <v>121</v>
      </c>
      <c r="BL169" s="5" t="s">
        <v>332</v>
      </c>
      <c r="BM169" s="5" t="s">
        <v>332</v>
      </c>
      <c r="BN169" s="5" t="s">
        <v>1848</v>
      </c>
      <c r="BO169" s="5" t="s">
        <v>1474</v>
      </c>
      <c r="BP169" s="5" t="s">
        <v>2854</v>
      </c>
      <c r="BQ169" s="5" t="s">
        <v>2854</v>
      </c>
      <c r="BR169" s="5" t="s">
        <v>121</v>
      </c>
      <c r="BS169" s="5" t="s">
        <v>121</v>
      </c>
      <c r="BT169" s="5" t="s">
        <v>121</v>
      </c>
      <c r="BU169" s="5" t="s">
        <v>121</v>
      </c>
      <c r="BV169" s="5" t="s">
        <v>3510</v>
      </c>
      <c r="BW169" s="5" t="s">
        <v>3510</v>
      </c>
      <c r="BX169" s="5" t="s">
        <v>3510</v>
      </c>
      <c r="BY169" s="5" t="s">
        <v>12520</v>
      </c>
      <c r="BZ169" s="5" t="s">
        <v>13857</v>
      </c>
      <c r="CA169" s="5" t="s">
        <v>121</v>
      </c>
      <c r="CB169" s="5" t="s">
        <v>121</v>
      </c>
      <c r="CC169" s="5" t="s">
        <v>1792</v>
      </c>
      <c r="CD169" s="5" t="s">
        <v>121</v>
      </c>
      <c r="CE169" s="5" t="s">
        <v>121</v>
      </c>
      <c r="CF169" s="5" t="s">
        <v>11958</v>
      </c>
      <c r="CG169" s="5" t="s">
        <v>121</v>
      </c>
      <c r="CH169" s="5" t="s">
        <v>121</v>
      </c>
      <c r="CI169" s="5" t="s">
        <v>12034</v>
      </c>
      <c r="CJ169" s="5" t="s">
        <v>287</v>
      </c>
      <c r="CK169" s="5" t="s">
        <v>1849</v>
      </c>
      <c r="CL169" s="5" t="s">
        <v>2854</v>
      </c>
      <c r="CM169" s="5" t="s">
        <v>287</v>
      </c>
      <c r="CN169" s="5" t="s">
        <v>121</v>
      </c>
      <c r="CO169" s="5" t="s">
        <v>121</v>
      </c>
      <c r="CP169" s="5" t="s">
        <v>3510</v>
      </c>
      <c r="CQ169" s="5" t="s">
        <v>1852</v>
      </c>
      <c r="CR169" s="5" t="s">
        <v>11960</v>
      </c>
      <c r="CS169" s="5" t="s">
        <v>3510</v>
      </c>
      <c r="CT169" s="5" t="s">
        <v>3510</v>
      </c>
      <c r="CU169" s="5" t="s">
        <v>3510</v>
      </c>
      <c r="CV169" s="5" t="s">
        <v>11952</v>
      </c>
      <c r="CW169" s="5" t="s">
        <v>11952</v>
      </c>
      <c r="CX169" s="5" t="s">
        <v>13733</v>
      </c>
      <c r="CY169" s="5" t="s">
        <v>13858</v>
      </c>
      <c r="CZ169" s="5" t="s">
        <v>11952</v>
      </c>
      <c r="DA169" s="5" t="s">
        <v>3510</v>
      </c>
      <c r="DB169" s="5" t="s">
        <v>11963</v>
      </c>
      <c r="DC169" s="5" t="s">
        <v>11963</v>
      </c>
      <c r="DD169" s="5" t="s">
        <v>11963</v>
      </c>
      <c r="DE169" s="5" t="s">
        <v>11963</v>
      </c>
      <c r="DF169" s="5" t="s">
        <v>3510</v>
      </c>
      <c r="DG169" s="5" t="s">
        <v>11964</v>
      </c>
      <c r="DH169" s="5" t="s">
        <v>13859</v>
      </c>
      <c r="DI169" s="5" t="s">
        <v>11994</v>
      </c>
      <c r="DJ169" s="5" t="s">
        <v>11966</v>
      </c>
      <c r="DK169" s="5" t="s">
        <v>11967</v>
      </c>
      <c r="DL169" s="5">
        <v>4</v>
      </c>
      <c r="DM169" s="5">
        <v>4</v>
      </c>
      <c r="DN169" s="5">
        <v>4</v>
      </c>
      <c r="DO169" s="5">
        <v>4</v>
      </c>
      <c r="DP169" s="5">
        <v>3</v>
      </c>
      <c r="DQ169" s="5">
        <v>2</v>
      </c>
      <c r="DR169" s="5">
        <v>0</v>
      </c>
      <c r="DS169" s="5">
        <v>66</v>
      </c>
      <c r="DT169" s="5" t="s">
        <v>11968</v>
      </c>
      <c r="DU169" s="5" t="s">
        <v>11969</v>
      </c>
      <c r="DV169" s="5" t="s">
        <v>11970</v>
      </c>
      <c r="DW169" s="5"/>
      <c r="DX169" s="5">
        <v>14</v>
      </c>
      <c r="DY169" s="5"/>
      <c r="DZ169" s="5">
        <v>100</v>
      </c>
      <c r="EA169" s="5"/>
      <c r="EB169" s="5">
        <v>0.14000000000000001</v>
      </c>
      <c r="EC169" s="5"/>
      <c r="ED169" s="5" t="s">
        <v>11971</v>
      </c>
      <c r="EE169" s="5"/>
      <c r="EF169" s="5" t="s">
        <v>11997</v>
      </c>
      <c r="EG169" s="5"/>
      <c r="EH169" s="5" t="s">
        <v>11997</v>
      </c>
      <c r="EI169" s="5"/>
      <c r="EJ169" s="5" t="s">
        <v>11997</v>
      </c>
      <c r="EK169" s="5"/>
      <c r="EL169" s="5" t="s">
        <v>11997</v>
      </c>
      <c r="EM169" s="5"/>
      <c r="EN169" s="5" t="s">
        <v>11997</v>
      </c>
      <c r="EO169" s="5"/>
      <c r="EP169" s="5" t="s">
        <v>11998</v>
      </c>
      <c r="EQ169" s="5"/>
      <c r="ER169" s="5" t="s">
        <v>11997</v>
      </c>
      <c r="ES169" s="5"/>
      <c r="ET169" s="5" t="s">
        <v>11972</v>
      </c>
      <c r="EU169" s="5"/>
      <c r="EV169" s="5"/>
      <c r="EW169" s="5"/>
      <c r="EX169" s="5"/>
      <c r="EY169" s="5" t="s">
        <v>8206</v>
      </c>
      <c r="EZ169" s="5"/>
      <c r="FA169" s="5" t="s">
        <v>1853</v>
      </c>
      <c r="FB169" s="5"/>
    </row>
    <row r="170" spans="1:158" ht="76.5">
      <c r="A170" s="5" t="s">
        <v>1855</v>
      </c>
      <c r="B170" s="5" t="s">
        <v>1856</v>
      </c>
      <c r="C170" s="5" t="s">
        <v>11952</v>
      </c>
      <c r="D170" s="5" t="s">
        <v>1601</v>
      </c>
      <c r="E170" s="5" t="s">
        <v>11953</v>
      </c>
      <c r="F170" s="5" t="s">
        <v>11954</v>
      </c>
      <c r="G170" s="5" t="s">
        <v>11955</v>
      </c>
      <c r="H170" s="5" t="s">
        <v>11235</v>
      </c>
      <c r="I170" s="5" t="s">
        <v>1607</v>
      </c>
      <c r="J170" s="5" t="s">
        <v>3510</v>
      </c>
      <c r="K170" s="5" t="s">
        <v>11956</v>
      </c>
      <c r="L170" s="5" t="s">
        <v>1858</v>
      </c>
      <c r="M170" s="5" t="s">
        <v>11952</v>
      </c>
      <c r="N170" s="5" t="s">
        <v>11952</v>
      </c>
      <c r="O170" s="5" t="s">
        <v>11952</v>
      </c>
      <c r="P170" s="5" t="s">
        <v>11952</v>
      </c>
      <c r="Q170" s="5" t="s">
        <v>11952</v>
      </c>
      <c r="R170" s="5" t="s">
        <v>1858</v>
      </c>
      <c r="S170" s="5" t="s">
        <v>11952</v>
      </c>
      <c r="T170" s="5" t="s">
        <v>121</v>
      </c>
      <c r="U170" s="5" t="s">
        <v>3510</v>
      </c>
      <c r="V170" s="5" t="s">
        <v>121</v>
      </c>
      <c r="W170" s="5" t="s">
        <v>121</v>
      </c>
      <c r="X170" s="5" t="s">
        <v>121</v>
      </c>
      <c r="Y170" s="5" t="s">
        <v>121</v>
      </c>
      <c r="Z170" s="5" t="s">
        <v>11952</v>
      </c>
      <c r="AA170" s="5" t="s">
        <v>11952</v>
      </c>
      <c r="AB170" s="5" t="s">
        <v>121</v>
      </c>
      <c r="AC170" s="5" t="s">
        <v>121</v>
      </c>
      <c r="AD170" s="5" t="s">
        <v>121</v>
      </c>
      <c r="AE170" s="5" t="s">
        <v>121</v>
      </c>
      <c r="AF170" s="5" t="s">
        <v>121</v>
      </c>
      <c r="AG170" s="5" t="s">
        <v>121</v>
      </c>
      <c r="AH170" s="5" t="s">
        <v>121</v>
      </c>
      <c r="AI170" s="5" t="s">
        <v>121</v>
      </c>
      <c r="AJ170" s="5" t="s">
        <v>121</v>
      </c>
      <c r="AK170" s="5" t="s">
        <v>121</v>
      </c>
      <c r="AL170" s="5" t="s">
        <v>121</v>
      </c>
      <c r="AM170" s="5" t="s">
        <v>121</v>
      </c>
      <c r="AN170" s="5" t="s">
        <v>121</v>
      </c>
      <c r="AO170" s="5" t="s">
        <v>121</v>
      </c>
      <c r="AP170" s="5" t="s">
        <v>121</v>
      </c>
      <c r="AQ170" s="5" t="s">
        <v>121</v>
      </c>
      <c r="AR170" s="5" t="s">
        <v>121</v>
      </c>
      <c r="AS170" s="5" t="s">
        <v>121</v>
      </c>
      <c r="AT170" s="5" t="s">
        <v>121</v>
      </c>
      <c r="AU170" s="5" t="s">
        <v>121</v>
      </c>
      <c r="AV170" s="5" t="s">
        <v>121</v>
      </c>
      <c r="AW170" s="5" t="s">
        <v>121</v>
      </c>
      <c r="AX170" s="5" t="s">
        <v>121</v>
      </c>
      <c r="AY170" s="5" t="s">
        <v>121</v>
      </c>
      <c r="AZ170" s="5" t="s">
        <v>121</v>
      </c>
      <c r="BA170" s="5" t="s">
        <v>121</v>
      </c>
      <c r="BB170" s="5" t="s">
        <v>121</v>
      </c>
      <c r="BC170" s="5" t="s">
        <v>121</v>
      </c>
      <c r="BD170" s="5" t="s">
        <v>121</v>
      </c>
      <c r="BE170" s="5" t="s">
        <v>121</v>
      </c>
      <c r="BF170" s="5" t="s">
        <v>121</v>
      </c>
      <c r="BG170" s="5" t="s">
        <v>121</v>
      </c>
      <c r="BH170" s="5" t="s">
        <v>121</v>
      </c>
      <c r="BI170" s="5" t="s">
        <v>121</v>
      </c>
      <c r="BJ170" s="5" t="s">
        <v>121</v>
      </c>
      <c r="BK170" s="5" t="s">
        <v>121</v>
      </c>
      <c r="BL170" s="5" t="s">
        <v>1693</v>
      </c>
      <c r="BM170" s="5" t="s">
        <v>1693</v>
      </c>
      <c r="BN170" s="5" t="s">
        <v>121</v>
      </c>
      <c r="BO170" s="5" t="s">
        <v>121</v>
      </c>
      <c r="BP170" s="5" t="s">
        <v>2854</v>
      </c>
      <c r="BQ170" s="5" t="s">
        <v>121</v>
      </c>
      <c r="BR170" s="5" t="s">
        <v>121</v>
      </c>
      <c r="BS170" s="5" t="s">
        <v>121</v>
      </c>
      <c r="BT170" s="5" t="s">
        <v>121</v>
      </c>
      <c r="BU170" s="5" t="s">
        <v>121</v>
      </c>
      <c r="BV170" s="5" t="s">
        <v>121</v>
      </c>
      <c r="BW170" s="5" t="s">
        <v>121</v>
      </c>
      <c r="BX170" s="5" t="s">
        <v>121</v>
      </c>
      <c r="BY170" s="5" t="s">
        <v>121</v>
      </c>
      <c r="BZ170" s="5" t="s">
        <v>121</v>
      </c>
      <c r="CA170" s="5" t="s">
        <v>121</v>
      </c>
      <c r="CB170" s="5" t="s">
        <v>121</v>
      </c>
      <c r="CC170" s="5" t="s">
        <v>1693</v>
      </c>
      <c r="CD170" s="5" t="s">
        <v>121</v>
      </c>
      <c r="CE170" s="5" t="s">
        <v>121</v>
      </c>
      <c r="CF170" s="5" t="s">
        <v>11958</v>
      </c>
      <c r="CG170" s="5" t="s">
        <v>121</v>
      </c>
      <c r="CH170" s="5" t="s">
        <v>121</v>
      </c>
      <c r="CI170" s="5" t="s">
        <v>11972</v>
      </c>
      <c r="CJ170" s="5" t="s">
        <v>287</v>
      </c>
      <c r="CK170" s="5" t="s">
        <v>1604</v>
      </c>
      <c r="CL170" s="5" t="s">
        <v>2854</v>
      </c>
      <c r="CM170" s="5" t="s">
        <v>287</v>
      </c>
      <c r="CN170" s="5" t="s">
        <v>121</v>
      </c>
      <c r="CO170" s="5" t="s">
        <v>121</v>
      </c>
      <c r="CP170" s="5" t="s">
        <v>3510</v>
      </c>
      <c r="CQ170" s="5" t="s">
        <v>1857</v>
      </c>
      <c r="CR170" s="5" t="s">
        <v>11960</v>
      </c>
      <c r="CS170" s="5" t="s">
        <v>3510</v>
      </c>
      <c r="CT170" s="5" t="s">
        <v>3510</v>
      </c>
      <c r="CU170" s="5" t="s">
        <v>3510</v>
      </c>
      <c r="CV170" s="5" t="s">
        <v>11952</v>
      </c>
      <c r="CW170" s="5" t="s">
        <v>11952</v>
      </c>
      <c r="CX170" s="5" t="s">
        <v>13674</v>
      </c>
      <c r="CY170" s="5" t="s">
        <v>13860</v>
      </c>
      <c r="CZ170" s="5" t="s">
        <v>3510</v>
      </c>
      <c r="DA170" s="5" t="s">
        <v>11952</v>
      </c>
      <c r="DB170" s="5" t="s">
        <v>11963</v>
      </c>
      <c r="DC170" s="5" t="s">
        <v>11963</v>
      </c>
      <c r="DD170" s="5" t="s">
        <v>11963</v>
      </c>
      <c r="DE170" s="5" t="s">
        <v>11963</v>
      </c>
      <c r="DF170" s="5" t="s">
        <v>3510</v>
      </c>
      <c r="DG170" s="5" t="s">
        <v>11964</v>
      </c>
      <c r="DH170" s="5" t="s">
        <v>13861</v>
      </c>
      <c r="DI170" s="5" t="s">
        <v>11966</v>
      </c>
      <c r="DJ170" s="5" t="s">
        <v>11994</v>
      </c>
      <c r="DK170" s="5" t="s">
        <v>12201</v>
      </c>
      <c r="DL170" s="5">
        <v>4</v>
      </c>
      <c r="DM170" s="5">
        <v>0</v>
      </c>
      <c r="DN170" s="5">
        <v>0</v>
      </c>
      <c r="DO170" s="5">
        <v>3</v>
      </c>
      <c r="DP170" s="5">
        <v>0</v>
      </c>
      <c r="DQ170" s="5">
        <v>0</v>
      </c>
      <c r="DR170" s="5">
        <v>0</v>
      </c>
      <c r="DS170" s="5">
        <v>25</v>
      </c>
      <c r="DT170" s="5" t="s">
        <v>11968</v>
      </c>
      <c r="DU170" s="5" t="s">
        <v>11969</v>
      </c>
      <c r="DV170" s="5" t="s">
        <v>11970</v>
      </c>
      <c r="DW170" s="5"/>
      <c r="DX170" s="5">
        <v>6</v>
      </c>
      <c r="DY170" s="5"/>
      <c r="DZ170" s="5">
        <v>100</v>
      </c>
      <c r="EA170" s="5"/>
      <c r="EB170" s="5">
        <v>0.06</v>
      </c>
      <c r="EC170" s="5"/>
      <c r="ED170" s="5" t="s">
        <v>11971</v>
      </c>
      <c r="EE170" s="5"/>
      <c r="EF170" s="5" t="s">
        <v>11997</v>
      </c>
      <c r="EG170" s="5"/>
      <c r="EH170" s="5" t="s">
        <v>11997</v>
      </c>
      <c r="EI170" s="5"/>
      <c r="EJ170" s="5" t="s">
        <v>11997</v>
      </c>
      <c r="EK170" s="5"/>
      <c r="EL170" s="5" t="s">
        <v>11997</v>
      </c>
      <c r="EM170" s="5"/>
      <c r="EN170" s="5" t="s">
        <v>11997</v>
      </c>
      <c r="EO170" s="5"/>
      <c r="EP170" s="5" t="s">
        <v>11998</v>
      </c>
      <c r="EQ170" s="5"/>
      <c r="ER170" s="5" t="s">
        <v>11997</v>
      </c>
      <c r="ES170" s="5"/>
      <c r="ET170" s="5" t="s">
        <v>11972</v>
      </c>
      <c r="EU170" s="5"/>
      <c r="EV170" s="5"/>
      <c r="EW170" s="5"/>
      <c r="EX170" s="5"/>
      <c r="EY170" s="5" t="s">
        <v>8238</v>
      </c>
      <c r="EZ170" s="5"/>
      <c r="FA170" s="5" t="s">
        <v>1858</v>
      </c>
      <c r="FB170" s="5"/>
    </row>
    <row r="171" spans="1:158" ht="89.25">
      <c r="A171" s="5" t="s">
        <v>1860</v>
      </c>
      <c r="B171" s="5" t="s">
        <v>1861</v>
      </c>
      <c r="C171" s="5" t="s">
        <v>11952</v>
      </c>
      <c r="D171" s="5" t="s">
        <v>1601</v>
      </c>
      <c r="E171" s="5" t="s">
        <v>11953</v>
      </c>
      <c r="F171" s="5" t="s">
        <v>11954</v>
      </c>
      <c r="G171" s="5" t="s">
        <v>11955</v>
      </c>
      <c r="H171" s="5" t="s">
        <v>11235</v>
      </c>
      <c r="I171" s="5" t="s">
        <v>1607</v>
      </c>
      <c r="J171" s="5" t="s">
        <v>3510</v>
      </c>
      <c r="K171" s="5" t="s">
        <v>11956</v>
      </c>
      <c r="L171" s="5" t="s">
        <v>1866</v>
      </c>
      <c r="M171" s="5" t="s">
        <v>11952</v>
      </c>
      <c r="N171" s="5" t="s">
        <v>11952</v>
      </c>
      <c r="O171" s="5" t="s">
        <v>11952</v>
      </c>
      <c r="P171" s="5" t="s">
        <v>11952</v>
      </c>
      <c r="Q171" s="5" t="s">
        <v>11952</v>
      </c>
      <c r="R171" s="5" t="s">
        <v>1866</v>
      </c>
      <c r="S171" s="5" t="s">
        <v>11952</v>
      </c>
      <c r="T171" s="5" t="s">
        <v>121</v>
      </c>
      <c r="U171" s="5" t="s">
        <v>3510</v>
      </c>
      <c r="V171" s="5" t="s">
        <v>121</v>
      </c>
      <c r="W171" s="5" t="s">
        <v>121</v>
      </c>
      <c r="X171" s="5" t="s">
        <v>121</v>
      </c>
      <c r="Y171" s="5" t="s">
        <v>121</v>
      </c>
      <c r="Z171" s="5" t="s">
        <v>11952</v>
      </c>
      <c r="AA171" s="5" t="s">
        <v>11952</v>
      </c>
      <c r="AB171" s="5" t="s">
        <v>121</v>
      </c>
      <c r="AC171" s="5" t="s">
        <v>121</v>
      </c>
      <c r="AD171" s="5" t="s">
        <v>121</v>
      </c>
      <c r="AE171" s="5" t="s">
        <v>121</v>
      </c>
      <c r="AF171" s="5" t="s">
        <v>121</v>
      </c>
      <c r="AG171" s="5" t="s">
        <v>121</v>
      </c>
      <c r="AH171" s="5" t="s">
        <v>121</v>
      </c>
      <c r="AI171" s="5" t="s">
        <v>121</v>
      </c>
      <c r="AJ171" s="5" t="s">
        <v>121</v>
      </c>
      <c r="AK171" s="5" t="s">
        <v>121</v>
      </c>
      <c r="AL171" s="5" t="s">
        <v>121</v>
      </c>
      <c r="AM171" s="5" t="s">
        <v>121</v>
      </c>
      <c r="AN171" s="5" t="s">
        <v>121</v>
      </c>
      <c r="AO171" s="5" t="s">
        <v>121</v>
      </c>
      <c r="AP171" s="5" t="s">
        <v>121</v>
      </c>
      <c r="AQ171" s="5" t="s">
        <v>121</v>
      </c>
      <c r="AR171" s="5" t="s">
        <v>121</v>
      </c>
      <c r="AS171" s="5" t="s">
        <v>121</v>
      </c>
      <c r="AT171" s="5" t="s">
        <v>121</v>
      </c>
      <c r="AU171" s="5" t="s">
        <v>1863</v>
      </c>
      <c r="AV171" s="5" t="s">
        <v>121</v>
      </c>
      <c r="AW171" s="5" t="s">
        <v>1863</v>
      </c>
      <c r="AX171" s="5" t="s">
        <v>121</v>
      </c>
      <c r="AY171" s="5" t="s">
        <v>2854</v>
      </c>
      <c r="AZ171" s="5" t="s">
        <v>121</v>
      </c>
      <c r="BA171" s="5" t="s">
        <v>121</v>
      </c>
      <c r="BB171" s="5" t="s">
        <v>3510</v>
      </c>
      <c r="BC171" s="5" t="s">
        <v>121</v>
      </c>
      <c r="BD171" s="5" t="s">
        <v>121</v>
      </c>
      <c r="BE171" s="5" t="s">
        <v>121</v>
      </c>
      <c r="BF171" s="5" t="s">
        <v>121</v>
      </c>
      <c r="BG171" s="5" t="s">
        <v>121</v>
      </c>
      <c r="BH171" s="5" t="s">
        <v>12815</v>
      </c>
      <c r="BI171" s="5" t="s">
        <v>121</v>
      </c>
      <c r="BJ171" s="5" t="s">
        <v>1864</v>
      </c>
      <c r="BK171" s="5" t="s">
        <v>121</v>
      </c>
      <c r="BL171" s="5" t="s">
        <v>121</v>
      </c>
      <c r="BM171" s="5" t="s">
        <v>121</v>
      </c>
      <c r="BN171" s="5" t="s">
        <v>121</v>
      </c>
      <c r="BO171" s="5" t="s">
        <v>121</v>
      </c>
      <c r="BP171" s="5" t="s">
        <v>121</v>
      </c>
      <c r="BQ171" s="5" t="s">
        <v>121</v>
      </c>
      <c r="BR171" s="5" t="s">
        <v>121</v>
      </c>
      <c r="BS171" s="5" t="s">
        <v>121</v>
      </c>
      <c r="BT171" s="5" t="s">
        <v>121</v>
      </c>
      <c r="BU171" s="5" t="s">
        <v>121</v>
      </c>
      <c r="BV171" s="5" t="s">
        <v>121</v>
      </c>
      <c r="BW171" s="5" t="s">
        <v>121</v>
      </c>
      <c r="BX171" s="5" t="s">
        <v>121</v>
      </c>
      <c r="BY171" s="5" t="s">
        <v>121</v>
      </c>
      <c r="BZ171" s="5" t="s">
        <v>121</v>
      </c>
      <c r="CA171" s="5" t="s">
        <v>121</v>
      </c>
      <c r="CB171" s="5" t="s">
        <v>121</v>
      </c>
      <c r="CC171" s="5" t="s">
        <v>1862</v>
      </c>
      <c r="CD171" s="5" t="s">
        <v>121</v>
      </c>
      <c r="CE171" s="5" t="s">
        <v>121</v>
      </c>
      <c r="CF171" s="5" t="s">
        <v>11958</v>
      </c>
      <c r="CG171" s="5" t="s">
        <v>121</v>
      </c>
      <c r="CH171" s="5" t="s">
        <v>121</v>
      </c>
      <c r="CI171" s="5" t="s">
        <v>11959</v>
      </c>
      <c r="CJ171" s="5" t="s">
        <v>287</v>
      </c>
      <c r="CK171" s="5" t="s">
        <v>1640</v>
      </c>
      <c r="CL171" s="5" t="s">
        <v>2854</v>
      </c>
      <c r="CM171" s="5" t="s">
        <v>287</v>
      </c>
      <c r="CN171" s="5" t="s">
        <v>121</v>
      </c>
      <c r="CO171" s="5" t="s">
        <v>121</v>
      </c>
      <c r="CP171" s="5" t="s">
        <v>3510</v>
      </c>
      <c r="CQ171" s="5" t="s">
        <v>1865</v>
      </c>
      <c r="CR171" s="5" t="s">
        <v>11960</v>
      </c>
      <c r="CS171" s="5" t="s">
        <v>3510</v>
      </c>
      <c r="CT171" s="5" t="s">
        <v>3510</v>
      </c>
      <c r="CU171" s="5" t="s">
        <v>3510</v>
      </c>
      <c r="CV171" s="5" t="s">
        <v>11952</v>
      </c>
      <c r="CW171" s="5" t="s">
        <v>11952</v>
      </c>
      <c r="CX171" s="5" t="s">
        <v>13674</v>
      </c>
      <c r="CY171" s="5" t="s">
        <v>13862</v>
      </c>
      <c r="CZ171" s="5" t="s">
        <v>3510</v>
      </c>
      <c r="DA171" s="5" t="s">
        <v>11952</v>
      </c>
      <c r="DB171" s="5" t="s">
        <v>11963</v>
      </c>
      <c r="DC171" s="5" t="s">
        <v>11963</v>
      </c>
      <c r="DD171" s="5" t="s">
        <v>11963</v>
      </c>
      <c r="DE171" s="5" t="s">
        <v>11963</v>
      </c>
      <c r="DF171" s="5" t="s">
        <v>3510</v>
      </c>
      <c r="DG171" s="5" t="s">
        <v>11964</v>
      </c>
      <c r="DH171" s="5" t="s">
        <v>13863</v>
      </c>
      <c r="DI171" s="5" t="s">
        <v>11966</v>
      </c>
      <c r="DJ171" s="5" t="s">
        <v>11966</v>
      </c>
      <c r="DK171" s="5" t="s">
        <v>11967</v>
      </c>
      <c r="DL171" s="5">
        <v>5</v>
      </c>
      <c r="DM171" s="5">
        <v>2</v>
      </c>
      <c r="DN171" s="5">
        <v>2</v>
      </c>
      <c r="DO171" s="5">
        <v>2</v>
      </c>
      <c r="DP171" s="5">
        <v>2</v>
      </c>
      <c r="DQ171" s="5">
        <v>1</v>
      </c>
      <c r="DR171" s="5">
        <v>0</v>
      </c>
      <c r="DS171" s="5">
        <v>46</v>
      </c>
      <c r="DT171" s="5" t="s">
        <v>11968</v>
      </c>
      <c r="DU171" s="5" t="s">
        <v>11969</v>
      </c>
      <c r="DV171" s="5" t="s">
        <v>11970</v>
      </c>
      <c r="DW171" s="5"/>
      <c r="DX171" s="5">
        <v>14</v>
      </c>
      <c r="DY171" s="5"/>
      <c r="DZ171" s="5">
        <v>100</v>
      </c>
      <c r="EA171" s="5"/>
      <c r="EB171" s="5">
        <v>0.14000000000000001</v>
      </c>
      <c r="EC171" s="5"/>
      <c r="ED171" s="5" t="s">
        <v>11971</v>
      </c>
      <c r="EE171" s="5"/>
      <c r="EF171" s="5" t="s">
        <v>11997</v>
      </c>
      <c r="EG171" s="5"/>
      <c r="EH171" s="5" t="s">
        <v>11997</v>
      </c>
      <c r="EI171" s="5"/>
      <c r="EJ171" s="5" t="s">
        <v>11997</v>
      </c>
      <c r="EK171" s="5"/>
      <c r="EL171" s="5" t="s">
        <v>11997</v>
      </c>
      <c r="EM171" s="5"/>
      <c r="EN171" s="5" t="s">
        <v>11997</v>
      </c>
      <c r="EO171" s="5"/>
      <c r="EP171" s="5" t="s">
        <v>11998</v>
      </c>
      <c r="EQ171" s="5"/>
      <c r="ER171" s="5" t="s">
        <v>11997</v>
      </c>
      <c r="ES171" s="5"/>
      <c r="ET171" s="5" t="s">
        <v>11972</v>
      </c>
      <c r="EU171" s="5"/>
      <c r="EV171" s="5"/>
      <c r="EW171" s="5"/>
      <c r="EX171" s="5"/>
      <c r="EY171" s="5" t="s">
        <v>8261</v>
      </c>
      <c r="EZ171" s="5"/>
      <c r="FA171" s="5" t="s">
        <v>1866</v>
      </c>
      <c r="FB171" s="5"/>
    </row>
    <row r="172" spans="1:158" ht="102">
      <c r="A172" s="5" t="s">
        <v>1868</v>
      </c>
      <c r="B172" s="5" t="s">
        <v>1869</v>
      </c>
      <c r="C172" s="5" t="s">
        <v>11952</v>
      </c>
      <c r="D172" s="5" t="s">
        <v>1664</v>
      </c>
      <c r="E172" s="5" t="s">
        <v>11953</v>
      </c>
      <c r="F172" s="5" t="s">
        <v>11954</v>
      </c>
      <c r="G172" s="5" t="s">
        <v>11955</v>
      </c>
      <c r="H172" s="5" t="s">
        <v>11235</v>
      </c>
      <c r="I172" s="5" t="s">
        <v>1607</v>
      </c>
      <c r="J172" s="5" t="s">
        <v>3510</v>
      </c>
      <c r="K172" s="5" t="s">
        <v>11956</v>
      </c>
      <c r="L172" s="5" t="s">
        <v>1875</v>
      </c>
      <c r="M172" s="5" t="s">
        <v>11952</v>
      </c>
      <c r="N172" s="5" t="s">
        <v>11952</v>
      </c>
      <c r="O172" s="5" t="s">
        <v>11952</v>
      </c>
      <c r="P172" s="5" t="s">
        <v>11952</v>
      </c>
      <c r="Q172" s="5" t="s">
        <v>11952</v>
      </c>
      <c r="R172" s="5" t="s">
        <v>1875</v>
      </c>
      <c r="S172" s="5" t="s">
        <v>11952</v>
      </c>
      <c r="T172" s="5" t="s">
        <v>121</v>
      </c>
      <c r="U172" s="5" t="s">
        <v>2854</v>
      </c>
      <c r="V172" s="5" t="s">
        <v>13864</v>
      </c>
      <c r="W172" s="5" t="s">
        <v>121</v>
      </c>
      <c r="X172" s="5" t="s">
        <v>13864</v>
      </c>
      <c r="Y172" s="5" t="s">
        <v>121</v>
      </c>
      <c r="Z172" s="5" t="s">
        <v>121</v>
      </c>
      <c r="AA172" s="5" t="s">
        <v>11981</v>
      </c>
      <c r="AB172" s="5" t="s">
        <v>121</v>
      </c>
      <c r="AC172" s="5" t="s">
        <v>121</v>
      </c>
      <c r="AD172" s="5" t="s">
        <v>121</v>
      </c>
      <c r="AE172" s="5" t="s">
        <v>121</v>
      </c>
      <c r="AF172" s="5" t="s">
        <v>121</v>
      </c>
      <c r="AG172" s="5" t="s">
        <v>121</v>
      </c>
      <c r="AH172" s="5" t="s">
        <v>121</v>
      </c>
      <c r="AI172" s="5" t="s">
        <v>121</v>
      </c>
      <c r="AJ172" s="5" t="s">
        <v>121</v>
      </c>
      <c r="AK172" s="5" t="s">
        <v>121</v>
      </c>
      <c r="AL172" s="5" t="s">
        <v>121</v>
      </c>
      <c r="AM172" s="5" t="s">
        <v>121</v>
      </c>
      <c r="AN172" s="5" t="s">
        <v>121</v>
      </c>
      <c r="AO172" s="5" t="s">
        <v>121</v>
      </c>
      <c r="AP172" s="5" t="s">
        <v>1873</v>
      </c>
      <c r="AQ172" s="5" t="s">
        <v>121</v>
      </c>
      <c r="AR172" s="5" t="s">
        <v>121</v>
      </c>
      <c r="AS172" s="5" t="s">
        <v>1873</v>
      </c>
      <c r="AT172" s="5" t="s">
        <v>121</v>
      </c>
      <c r="AU172" s="5" t="s">
        <v>1870</v>
      </c>
      <c r="AV172" s="5" t="s">
        <v>12003</v>
      </c>
      <c r="AW172" s="5" t="s">
        <v>1870</v>
      </c>
      <c r="AX172" s="5" t="s">
        <v>12159</v>
      </c>
      <c r="AY172" s="5" t="s">
        <v>121</v>
      </c>
      <c r="AZ172" s="5" t="s">
        <v>121</v>
      </c>
      <c r="BA172" s="5" t="s">
        <v>121</v>
      </c>
      <c r="BB172" s="5" t="s">
        <v>3510</v>
      </c>
      <c r="BC172" s="5" t="s">
        <v>121</v>
      </c>
      <c r="BD172" s="5" t="s">
        <v>121</v>
      </c>
      <c r="BE172" s="5" t="s">
        <v>121</v>
      </c>
      <c r="BF172" s="5" t="s">
        <v>121</v>
      </c>
      <c r="BG172" s="5" t="s">
        <v>121</v>
      </c>
      <c r="BH172" s="5" t="s">
        <v>12721</v>
      </c>
      <c r="BI172" s="5" t="s">
        <v>121</v>
      </c>
      <c r="BJ172" s="5" t="s">
        <v>1871</v>
      </c>
      <c r="BK172" s="5" t="s">
        <v>121</v>
      </c>
      <c r="BL172" s="5" t="s">
        <v>332</v>
      </c>
      <c r="BM172" s="5" t="s">
        <v>332</v>
      </c>
      <c r="BN172" s="5" t="s">
        <v>1872</v>
      </c>
      <c r="BO172" s="5" t="s">
        <v>121</v>
      </c>
      <c r="BP172" s="5" t="s">
        <v>121</v>
      </c>
      <c r="BQ172" s="5" t="s">
        <v>2854</v>
      </c>
      <c r="BR172" s="5" t="s">
        <v>121</v>
      </c>
      <c r="BS172" s="5" t="s">
        <v>121</v>
      </c>
      <c r="BT172" s="5" t="s">
        <v>121</v>
      </c>
      <c r="BU172" s="5" t="s">
        <v>121</v>
      </c>
      <c r="BV172" s="5" t="s">
        <v>121</v>
      </c>
      <c r="BW172" s="5" t="s">
        <v>121</v>
      </c>
      <c r="BX172" s="5" t="s">
        <v>121</v>
      </c>
      <c r="BY172" s="5" t="s">
        <v>121</v>
      </c>
      <c r="BZ172" s="5" t="s">
        <v>121</v>
      </c>
      <c r="CA172" s="5" t="s">
        <v>121</v>
      </c>
      <c r="CB172" s="5" t="s">
        <v>121</v>
      </c>
      <c r="CC172" s="5" t="s">
        <v>332</v>
      </c>
      <c r="CD172" s="5" t="s">
        <v>121</v>
      </c>
      <c r="CE172" s="5" t="s">
        <v>121</v>
      </c>
      <c r="CF172" s="5" t="s">
        <v>11958</v>
      </c>
      <c r="CG172" s="5" t="s">
        <v>121</v>
      </c>
      <c r="CH172" s="5" t="s">
        <v>121</v>
      </c>
      <c r="CI172" s="5" t="s">
        <v>12034</v>
      </c>
      <c r="CJ172" s="5" t="s">
        <v>287</v>
      </c>
      <c r="CK172" s="5" t="s">
        <v>1657</v>
      </c>
      <c r="CL172" s="5" t="s">
        <v>2854</v>
      </c>
      <c r="CM172" s="5" t="s">
        <v>287</v>
      </c>
      <c r="CN172" s="5" t="s">
        <v>121</v>
      </c>
      <c r="CO172" s="5" t="s">
        <v>121</v>
      </c>
      <c r="CP172" s="5" t="s">
        <v>3510</v>
      </c>
      <c r="CQ172" s="5" t="s">
        <v>1874</v>
      </c>
      <c r="CR172" s="5" t="s">
        <v>11960</v>
      </c>
      <c r="CS172" s="5" t="s">
        <v>3510</v>
      </c>
      <c r="CT172" s="5" t="s">
        <v>3510</v>
      </c>
      <c r="CU172" s="5" t="s">
        <v>3510</v>
      </c>
      <c r="CV172" s="5" t="s">
        <v>11952</v>
      </c>
      <c r="CW172" s="5" t="s">
        <v>13865</v>
      </c>
      <c r="CX172" s="5" t="s">
        <v>13674</v>
      </c>
      <c r="CY172" s="5" t="s">
        <v>13866</v>
      </c>
      <c r="CZ172" s="5" t="s">
        <v>3510</v>
      </c>
      <c r="DA172" s="5" t="s">
        <v>11952</v>
      </c>
      <c r="DB172" s="5" t="s">
        <v>11963</v>
      </c>
      <c r="DC172" s="5" t="s">
        <v>11963</v>
      </c>
      <c r="DD172" s="5" t="s">
        <v>11963</v>
      </c>
      <c r="DE172" s="5" t="s">
        <v>11963</v>
      </c>
      <c r="DF172" s="5" t="s">
        <v>3510</v>
      </c>
      <c r="DG172" s="5" t="s">
        <v>13867</v>
      </c>
      <c r="DH172" s="5" t="s">
        <v>13868</v>
      </c>
      <c r="DI172" s="5" t="s">
        <v>11975</v>
      </c>
      <c r="DJ172" s="5" t="s">
        <v>12044</v>
      </c>
      <c r="DK172" s="5" t="s">
        <v>11967</v>
      </c>
      <c r="DL172" s="5">
        <v>5</v>
      </c>
      <c r="DM172" s="5">
        <v>3</v>
      </c>
      <c r="DN172" s="5">
        <v>3</v>
      </c>
      <c r="DO172" s="5">
        <v>4</v>
      </c>
      <c r="DP172" s="5">
        <v>2</v>
      </c>
      <c r="DQ172" s="5">
        <v>1</v>
      </c>
      <c r="DR172" s="5">
        <v>0</v>
      </c>
      <c r="DS172" s="5">
        <v>59</v>
      </c>
      <c r="DT172" s="5" t="s">
        <v>11968</v>
      </c>
      <c r="DU172" s="5" t="s">
        <v>11969</v>
      </c>
      <c r="DV172" s="5" t="s">
        <v>11970</v>
      </c>
      <c r="DW172" s="5"/>
      <c r="DX172" s="5">
        <v>16</v>
      </c>
      <c r="DY172" s="5"/>
      <c r="DZ172" s="5">
        <v>100</v>
      </c>
      <c r="EA172" s="5"/>
      <c r="EB172" s="5">
        <v>0.16</v>
      </c>
      <c r="EC172" s="5"/>
      <c r="ED172" s="5" t="s">
        <v>11971</v>
      </c>
      <c r="EE172" s="5"/>
      <c r="EF172" s="5" t="s">
        <v>11997</v>
      </c>
      <c r="EG172" s="5"/>
      <c r="EH172" s="5" t="s">
        <v>11997</v>
      </c>
      <c r="EI172" s="5"/>
      <c r="EJ172" s="5" t="s">
        <v>11997</v>
      </c>
      <c r="EK172" s="5"/>
      <c r="EL172" s="5" t="s">
        <v>11997</v>
      </c>
      <c r="EM172" s="5"/>
      <c r="EN172" s="5" t="s">
        <v>11997</v>
      </c>
      <c r="EO172" s="5"/>
      <c r="EP172" s="5" t="s">
        <v>11998</v>
      </c>
      <c r="EQ172" s="5"/>
      <c r="ER172" s="5" t="s">
        <v>11997</v>
      </c>
      <c r="ES172" s="5"/>
      <c r="ET172" s="5" t="s">
        <v>11972</v>
      </c>
      <c r="EU172" s="5"/>
      <c r="EV172" s="5"/>
      <c r="EW172" s="5"/>
      <c r="EX172" s="5"/>
      <c r="EY172" s="5" t="s">
        <v>8289</v>
      </c>
      <c r="EZ172" s="5"/>
      <c r="FA172" s="5" t="s">
        <v>1875</v>
      </c>
      <c r="FB172" s="5"/>
    </row>
    <row r="173" spans="1:158" ht="89.25">
      <c r="A173" s="5" t="s">
        <v>1877</v>
      </c>
      <c r="B173" s="5" t="s">
        <v>1878</v>
      </c>
      <c r="C173" s="5" t="s">
        <v>11952</v>
      </c>
      <c r="D173" s="5" t="s">
        <v>121</v>
      </c>
      <c r="E173" s="5" t="s">
        <v>11953</v>
      </c>
      <c r="F173" s="5" t="s">
        <v>11954</v>
      </c>
      <c r="G173" s="5" t="s">
        <v>11955</v>
      </c>
      <c r="H173" s="5" t="s">
        <v>11237</v>
      </c>
      <c r="I173" s="5" t="s">
        <v>1607</v>
      </c>
      <c r="J173" s="5" t="s">
        <v>3510</v>
      </c>
      <c r="K173" s="5" t="s">
        <v>11956</v>
      </c>
      <c r="L173" s="5" t="s">
        <v>1886</v>
      </c>
      <c r="M173" s="5" t="s">
        <v>11952</v>
      </c>
      <c r="N173" s="5" t="s">
        <v>11952</v>
      </c>
      <c r="O173" s="5" t="s">
        <v>11952</v>
      </c>
      <c r="P173" s="5" t="s">
        <v>11952</v>
      </c>
      <c r="Q173" s="5" t="s">
        <v>11952</v>
      </c>
      <c r="R173" s="5" t="s">
        <v>1886</v>
      </c>
      <c r="S173" s="5" t="s">
        <v>11952</v>
      </c>
      <c r="T173" s="5" t="s">
        <v>121</v>
      </c>
      <c r="U173" s="5" t="s">
        <v>3510</v>
      </c>
      <c r="V173" s="5" t="s">
        <v>121</v>
      </c>
      <c r="W173" s="5" t="s">
        <v>121</v>
      </c>
      <c r="X173" s="5" t="s">
        <v>121</v>
      </c>
      <c r="Y173" s="5" t="s">
        <v>121</v>
      </c>
      <c r="Z173" s="5" t="s">
        <v>11952</v>
      </c>
      <c r="AA173" s="5" t="s">
        <v>11952</v>
      </c>
      <c r="AB173" s="5" t="s">
        <v>121</v>
      </c>
      <c r="AC173" s="5" t="s">
        <v>121</v>
      </c>
      <c r="AD173" s="5" t="s">
        <v>121</v>
      </c>
      <c r="AE173" s="5" t="s">
        <v>121</v>
      </c>
      <c r="AF173" s="5" t="s">
        <v>121</v>
      </c>
      <c r="AG173" s="5" t="s">
        <v>121</v>
      </c>
      <c r="AH173" s="5" t="s">
        <v>121</v>
      </c>
      <c r="AI173" s="5" t="s">
        <v>121</v>
      </c>
      <c r="AJ173" s="5" t="s">
        <v>121</v>
      </c>
      <c r="AK173" s="5" t="s">
        <v>121</v>
      </c>
      <c r="AL173" s="5" t="s">
        <v>121</v>
      </c>
      <c r="AM173" s="5" t="s">
        <v>121</v>
      </c>
      <c r="AN173" s="5" t="s">
        <v>121</v>
      </c>
      <c r="AO173" s="5" t="s">
        <v>121</v>
      </c>
      <c r="AP173" s="5" t="s">
        <v>121</v>
      </c>
      <c r="AQ173" s="5" t="s">
        <v>121</v>
      </c>
      <c r="AR173" s="5" t="s">
        <v>121</v>
      </c>
      <c r="AS173" s="5" t="s">
        <v>1884</v>
      </c>
      <c r="AT173" s="5" t="s">
        <v>121</v>
      </c>
      <c r="AU173" s="5" t="s">
        <v>1880</v>
      </c>
      <c r="AV173" s="5" t="s">
        <v>12003</v>
      </c>
      <c r="AW173" s="5" t="s">
        <v>1880</v>
      </c>
      <c r="AX173" s="5" t="s">
        <v>12159</v>
      </c>
      <c r="AY173" s="5" t="s">
        <v>2854</v>
      </c>
      <c r="AZ173" s="5" t="s">
        <v>121</v>
      </c>
      <c r="BA173" s="5" t="s">
        <v>121</v>
      </c>
      <c r="BB173" s="5" t="s">
        <v>3510</v>
      </c>
      <c r="BC173" s="5" t="s">
        <v>2854</v>
      </c>
      <c r="BD173" s="5" t="s">
        <v>13824</v>
      </c>
      <c r="BE173" s="5" t="s">
        <v>121</v>
      </c>
      <c r="BF173" s="5" t="s">
        <v>121</v>
      </c>
      <c r="BG173" s="5" t="s">
        <v>121</v>
      </c>
      <c r="BH173" s="5" t="s">
        <v>13869</v>
      </c>
      <c r="BI173" s="5" t="s">
        <v>121</v>
      </c>
      <c r="BJ173" s="5" t="s">
        <v>1881</v>
      </c>
      <c r="BK173" s="5" t="s">
        <v>121</v>
      </c>
      <c r="BL173" s="5" t="s">
        <v>13870</v>
      </c>
      <c r="BM173" s="5" t="s">
        <v>13870</v>
      </c>
      <c r="BN173" s="5" t="s">
        <v>1882</v>
      </c>
      <c r="BO173" s="5" t="s">
        <v>121</v>
      </c>
      <c r="BP173" s="5" t="s">
        <v>2854</v>
      </c>
      <c r="BQ173" s="5" t="s">
        <v>121</v>
      </c>
      <c r="BR173" s="5" t="s">
        <v>121</v>
      </c>
      <c r="BS173" s="5" t="s">
        <v>121</v>
      </c>
      <c r="BT173" s="5" t="s">
        <v>121</v>
      </c>
      <c r="BU173" s="5" t="s">
        <v>2854</v>
      </c>
      <c r="BV173" s="5" t="s">
        <v>3510</v>
      </c>
      <c r="BW173" s="5" t="s">
        <v>3510</v>
      </c>
      <c r="BX173" s="5" t="s">
        <v>3510</v>
      </c>
      <c r="BY173" s="5" t="s">
        <v>13871</v>
      </c>
      <c r="BZ173" s="5" t="s">
        <v>13872</v>
      </c>
      <c r="CA173" s="5" t="s">
        <v>121</v>
      </c>
      <c r="CB173" s="5" t="s">
        <v>121</v>
      </c>
      <c r="CC173" s="5" t="s">
        <v>1879</v>
      </c>
      <c r="CD173" s="5" t="s">
        <v>121</v>
      </c>
      <c r="CE173" s="5" t="s">
        <v>121</v>
      </c>
      <c r="CF173" s="5" t="s">
        <v>11958</v>
      </c>
      <c r="CG173" s="5" t="s">
        <v>121</v>
      </c>
      <c r="CH173" s="5" t="s">
        <v>121</v>
      </c>
      <c r="CI173" s="5" t="s">
        <v>12034</v>
      </c>
      <c r="CJ173" s="5" t="s">
        <v>287</v>
      </c>
      <c r="CK173" s="5" t="s">
        <v>1883</v>
      </c>
      <c r="CL173" s="5" t="s">
        <v>2854</v>
      </c>
      <c r="CM173" s="5" t="s">
        <v>287</v>
      </c>
      <c r="CN173" s="5" t="s">
        <v>121</v>
      </c>
      <c r="CO173" s="5" t="s">
        <v>121</v>
      </c>
      <c r="CP173" s="5" t="s">
        <v>3510</v>
      </c>
      <c r="CQ173" s="5" t="s">
        <v>1885</v>
      </c>
      <c r="CR173" s="5" t="s">
        <v>11960</v>
      </c>
      <c r="CS173" s="5" t="s">
        <v>3510</v>
      </c>
      <c r="CT173" s="5" t="s">
        <v>3510</v>
      </c>
      <c r="CU173" s="5" t="s">
        <v>3510</v>
      </c>
      <c r="CV173" s="5" t="s">
        <v>11952</v>
      </c>
      <c r="CW173" s="5" t="s">
        <v>11952</v>
      </c>
      <c r="CX173" s="5" t="s">
        <v>13733</v>
      </c>
      <c r="CY173" s="5" t="s">
        <v>13873</v>
      </c>
      <c r="CZ173" s="5" t="s">
        <v>11952</v>
      </c>
      <c r="DA173" s="5" t="s">
        <v>3510</v>
      </c>
      <c r="DB173" s="5" t="s">
        <v>11963</v>
      </c>
      <c r="DC173" s="5" t="s">
        <v>11963</v>
      </c>
      <c r="DD173" s="5" t="s">
        <v>11963</v>
      </c>
      <c r="DE173" s="5" t="s">
        <v>11963</v>
      </c>
      <c r="DF173" s="5" t="s">
        <v>3510</v>
      </c>
      <c r="DG173" s="5" t="s">
        <v>11964</v>
      </c>
      <c r="DH173" s="5" t="s">
        <v>13874</v>
      </c>
      <c r="DI173" s="5" t="s">
        <v>11994</v>
      </c>
      <c r="DJ173" s="5" t="s">
        <v>11966</v>
      </c>
      <c r="DK173" s="5" t="s">
        <v>11967</v>
      </c>
      <c r="DL173" s="5">
        <v>4</v>
      </c>
      <c r="DM173" s="5">
        <v>4</v>
      </c>
      <c r="DN173" s="5">
        <v>5</v>
      </c>
      <c r="DO173" s="5">
        <v>2</v>
      </c>
      <c r="DP173" s="5">
        <v>3</v>
      </c>
      <c r="DQ173" s="5">
        <v>5</v>
      </c>
      <c r="DR173" s="5">
        <v>2</v>
      </c>
      <c r="DS173" s="5">
        <v>73</v>
      </c>
      <c r="DT173" s="5" t="s">
        <v>11968</v>
      </c>
      <c r="DU173" s="5" t="s">
        <v>11969</v>
      </c>
      <c r="DV173" s="5" t="s">
        <v>11970</v>
      </c>
      <c r="DW173" s="5"/>
      <c r="DX173" s="5">
        <v>14</v>
      </c>
      <c r="DY173" s="5"/>
      <c r="DZ173" s="5">
        <v>100</v>
      </c>
      <c r="EA173" s="5"/>
      <c r="EB173" s="5">
        <v>0.14000000000000001</v>
      </c>
      <c r="EC173" s="5"/>
      <c r="ED173" s="5" t="s">
        <v>11971</v>
      </c>
      <c r="EE173" s="5"/>
      <c r="EF173" s="5" t="s">
        <v>11997</v>
      </c>
      <c r="EG173" s="5"/>
      <c r="EH173" s="5" t="s">
        <v>11997</v>
      </c>
      <c r="EI173" s="5"/>
      <c r="EJ173" s="5" t="s">
        <v>11997</v>
      </c>
      <c r="EK173" s="5"/>
      <c r="EL173" s="5" t="s">
        <v>11997</v>
      </c>
      <c r="EM173" s="5"/>
      <c r="EN173" s="5" t="s">
        <v>11997</v>
      </c>
      <c r="EO173" s="5"/>
      <c r="EP173" s="5" t="s">
        <v>11998</v>
      </c>
      <c r="EQ173" s="5"/>
      <c r="ER173" s="5" t="s">
        <v>11997</v>
      </c>
      <c r="ES173" s="5"/>
      <c r="ET173" s="5" t="s">
        <v>11972</v>
      </c>
      <c r="EU173" s="5"/>
      <c r="EV173" s="5"/>
      <c r="EW173" s="5"/>
      <c r="EX173" s="5"/>
      <c r="EY173" s="5" t="s">
        <v>8319</v>
      </c>
      <c r="EZ173" s="5"/>
      <c r="FA173" s="5" t="s">
        <v>1886</v>
      </c>
      <c r="FB173" s="5"/>
    </row>
    <row r="174" spans="1:158" ht="89.25">
      <c r="A174" s="5" t="s">
        <v>1888</v>
      </c>
      <c r="B174" s="5" t="s">
        <v>1889</v>
      </c>
      <c r="C174" s="5" t="s">
        <v>11952</v>
      </c>
      <c r="D174" s="5" t="s">
        <v>1601</v>
      </c>
      <c r="E174" s="5" t="s">
        <v>11953</v>
      </c>
      <c r="F174" s="5" t="s">
        <v>11954</v>
      </c>
      <c r="G174" s="5" t="s">
        <v>11955</v>
      </c>
      <c r="H174" s="5" t="s">
        <v>11235</v>
      </c>
      <c r="I174" s="5" t="s">
        <v>1607</v>
      </c>
      <c r="J174" s="5" t="s">
        <v>3510</v>
      </c>
      <c r="K174" s="5" t="s">
        <v>11956</v>
      </c>
      <c r="L174" s="5" t="s">
        <v>1893</v>
      </c>
      <c r="M174" s="5" t="s">
        <v>11952</v>
      </c>
      <c r="N174" s="5" t="s">
        <v>11952</v>
      </c>
      <c r="O174" s="5" t="s">
        <v>11952</v>
      </c>
      <c r="P174" s="5" t="s">
        <v>11952</v>
      </c>
      <c r="Q174" s="5" t="s">
        <v>11952</v>
      </c>
      <c r="R174" s="5" t="s">
        <v>1893</v>
      </c>
      <c r="S174" s="5" t="s">
        <v>11952</v>
      </c>
      <c r="T174" s="5" t="s">
        <v>121</v>
      </c>
      <c r="U174" s="5" t="s">
        <v>3510</v>
      </c>
      <c r="V174" s="5" t="s">
        <v>121</v>
      </c>
      <c r="W174" s="5" t="s">
        <v>121</v>
      </c>
      <c r="X174" s="5" t="s">
        <v>121</v>
      </c>
      <c r="Y174" s="5" t="s">
        <v>121</v>
      </c>
      <c r="Z174" s="5" t="s">
        <v>11952</v>
      </c>
      <c r="AA174" s="5" t="s">
        <v>11952</v>
      </c>
      <c r="AB174" s="5" t="s">
        <v>121</v>
      </c>
      <c r="AC174" s="5" t="s">
        <v>121</v>
      </c>
      <c r="AD174" s="5" t="s">
        <v>121</v>
      </c>
      <c r="AE174" s="5" t="s">
        <v>121</v>
      </c>
      <c r="AF174" s="5" t="s">
        <v>121</v>
      </c>
      <c r="AG174" s="5" t="s">
        <v>121</v>
      </c>
      <c r="AH174" s="5" t="s">
        <v>121</v>
      </c>
      <c r="AI174" s="5" t="s">
        <v>121</v>
      </c>
      <c r="AJ174" s="5" t="s">
        <v>121</v>
      </c>
      <c r="AK174" s="5" t="s">
        <v>121</v>
      </c>
      <c r="AL174" s="5" t="s">
        <v>121</v>
      </c>
      <c r="AM174" s="5" t="s">
        <v>121</v>
      </c>
      <c r="AN174" s="5" t="s">
        <v>121</v>
      </c>
      <c r="AO174" s="5" t="s">
        <v>121</v>
      </c>
      <c r="AP174" s="5" t="s">
        <v>12460</v>
      </c>
      <c r="AQ174" s="5" t="s">
        <v>121</v>
      </c>
      <c r="AR174" s="5" t="s">
        <v>13875</v>
      </c>
      <c r="AS174" s="5" t="s">
        <v>1891</v>
      </c>
      <c r="AT174" s="5" t="s">
        <v>121</v>
      </c>
      <c r="AU174" s="5" t="s">
        <v>121</v>
      </c>
      <c r="AV174" s="5" t="s">
        <v>121</v>
      </c>
      <c r="AW174" s="5" t="s">
        <v>121</v>
      </c>
      <c r="AX174" s="5" t="s">
        <v>121</v>
      </c>
      <c r="AY174" s="5" t="s">
        <v>121</v>
      </c>
      <c r="AZ174" s="5" t="s">
        <v>121</v>
      </c>
      <c r="BA174" s="5" t="s">
        <v>121</v>
      </c>
      <c r="BB174" s="5" t="s">
        <v>3510</v>
      </c>
      <c r="BC174" s="5" t="s">
        <v>121</v>
      </c>
      <c r="BD174" s="5" t="s">
        <v>121</v>
      </c>
      <c r="BE174" s="5" t="s">
        <v>121</v>
      </c>
      <c r="BF174" s="5" t="s">
        <v>121</v>
      </c>
      <c r="BG174" s="5" t="s">
        <v>121</v>
      </c>
      <c r="BH174" s="5" t="s">
        <v>121</v>
      </c>
      <c r="BI174" s="5" t="s">
        <v>121</v>
      </c>
      <c r="BJ174" s="5" t="s">
        <v>1890</v>
      </c>
      <c r="BK174" s="5" t="s">
        <v>121</v>
      </c>
      <c r="BL174" s="5" t="s">
        <v>1693</v>
      </c>
      <c r="BM174" s="5" t="s">
        <v>1693</v>
      </c>
      <c r="BN174" s="5" t="s">
        <v>121</v>
      </c>
      <c r="BO174" s="5" t="s">
        <v>121</v>
      </c>
      <c r="BP174" s="5" t="s">
        <v>2854</v>
      </c>
      <c r="BQ174" s="5" t="s">
        <v>121</v>
      </c>
      <c r="BR174" s="5" t="s">
        <v>121</v>
      </c>
      <c r="BS174" s="5" t="s">
        <v>121</v>
      </c>
      <c r="BT174" s="5" t="s">
        <v>121</v>
      </c>
      <c r="BU174" s="5" t="s">
        <v>121</v>
      </c>
      <c r="BV174" s="5" t="s">
        <v>121</v>
      </c>
      <c r="BW174" s="5" t="s">
        <v>121</v>
      </c>
      <c r="BX174" s="5" t="s">
        <v>121</v>
      </c>
      <c r="BY174" s="5" t="s">
        <v>121</v>
      </c>
      <c r="BZ174" s="5" t="s">
        <v>121</v>
      </c>
      <c r="CA174" s="5" t="s">
        <v>121</v>
      </c>
      <c r="CB174" s="5" t="s">
        <v>121</v>
      </c>
      <c r="CC174" s="5" t="s">
        <v>1693</v>
      </c>
      <c r="CD174" s="5" t="s">
        <v>121</v>
      </c>
      <c r="CE174" s="5" t="s">
        <v>121</v>
      </c>
      <c r="CF174" s="5" t="s">
        <v>11958</v>
      </c>
      <c r="CG174" s="5" t="s">
        <v>121</v>
      </c>
      <c r="CH174" s="5" t="s">
        <v>121</v>
      </c>
      <c r="CI174" s="5" t="s">
        <v>11959</v>
      </c>
      <c r="CJ174" s="5" t="s">
        <v>287</v>
      </c>
      <c r="CK174" s="5" t="s">
        <v>1657</v>
      </c>
      <c r="CL174" s="5" t="s">
        <v>2854</v>
      </c>
      <c r="CM174" s="5" t="s">
        <v>287</v>
      </c>
      <c r="CN174" s="5" t="s">
        <v>121</v>
      </c>
      <c r="CO174" s="5" t="s">
        <v>121</v>
      </c>
      <c r="CP174" s="5" t="s">
        <v>3510</v>
      </c>
      <c r="CQ174" s="5" t="s">
        <v>1892</v>
      </c>
      <c r="CR174" s="5" t="s">
        <v>11960</v>
      </c>
      <c r="CS174" s="5" t="s">
        <v>3510</v>
      </c>
      <c r="CT174" s="5" t="s">
        <v>3510</v>
      </c>
      <c r="CU174" s="5" t="s">
        <v>3510</v>
      </c>
      <c r="CV174" s="5" t="s">
        <v>11952</v>
      </c>
      <c r="CW174" s="5" t="s">
        <v>11952</v>
      </c>
      <c r="CX174" s="5" t="s">
        <v>13674</v>
      </c>
      <c r="CY174" s="5" t="s">
        <v>13876</v>
      </c>
      <c r="CZ174" s="5" t="s">
        <v>3510</v>
      </c>
      <c r="DA174" s="5" t="s">
        <v>11952</v>
      </c>
      <c r="DB174" s="5" t="s">
        <v>11963</v>
      </c>
      <c r="DC174" s="5" t="s">
        <v>11963</v>
      </c>
      <c r="DD174" s="5" t="s">
        <v>11963</v>
      </c>
      <c r="DE174" s="5" t="s">
        <v>11963</v>
      </c>
      <c r="DF174" s="5" t="s">
        <v>3510</v>
      </c>
      <c r="DG174" s="5" t="s">
        <v>11964</v>
      </c>
      <c r="DH174" s="5" t="s">
        <v>13877</v>
      </c>
      <c r="DI174" s="5" t="s">
        <v>11966</v>
      </c>
      <c r="DJ174" s="5" t="s">
        <v>11966</v>
      </c>
      <c r="DK174" s="5" t="s">
        <v>11967</v>
      </c>
      <c r="DL174" s="5">
        <v>5</v>
      </c>
      <c r="DM174" s="5">
        <v>2</v>
      </c>
      <c r="DN174" s="5">
        <v>2</v>
      </c>
      <c r="DO174" s="5">
        <v>3</v>
      </c>
      <c r="DP174" s="5">
        <v>2</v>
      </c>
      <c r="DQ174" s="5">
        <v>1</v>
      </c>
      <c r="DR174" s="5">
        <v>0</v>
      </c>
      <c r="DS174" s="5">
        <v>49</v>
      </c>
      <c r="DT174" s="5" t="s">
        <v>11968</v>
      </c>
      <c r="DU174" s="5" t="s">
        <v>11969</v>
      </c>
      <c r="DV174" s="5" t="s">
        <v>11970</v>
      </c>
      <c r="DW174" s="5"/>
      <c r="DX174" s="5">
        <v>12</v>
      </c>
      <c r="DY174" s="5"/>
      <c r="DZ174" s="5">
        <v>100</v>
      </c>
      <c r="EA174" s="5"/>
      <c r="EB174" s="5">
        <v>0.12</v>
      </c>
      <c r="EC174" s="5"/>
      <c r="ED174" s="5" t="s">
        <v>11971</v>
      </c>
      <c r="EE174" s="5"/>
      <c r="EF174" s="5" t="s">
        <v>11997</v>
      </c>
      <c r="EG174" s="5"/>
      <c r="EH174" s="5" t="s">
        <v>11997</v>
      </c>
      <c r="EI174" s="5"/>
      <c r="EJ174" s="5" t="s">
        <v>11997</v>
      </c>
      <c r="EK174" s="5"/>
      <c r="EL174" s="5" t="s">
        <v>11997</v>
      </c>
      <c r="EM174" s="5"/>
      <c r="EN174" s="5" t="s">
        <v>11997</v>
      </c>
      <c r="EO174" s="5"/>
      <c r="EP174" s="5" t="s">
        <v>11998</v>
      </c>
      <c r="EQ174" s="5"/>
      <c r="ER174" s="5" t="s">
        <v>11997</v>
      </c>
      <c r="ES174" s="5"/>
      <c r="ET174" s="5" t="s">
        <v>11972</v>
      </c>
      <c r="EU174" s="5"/>
      <c r="EV174" s="5"/>
      <c r="EW174" s="5"/>
      <c r="EX174" s="5"/>
      <c r="EY174" s="5" t="s">
        <v>8351</v>
      </c>
      <c r="EZ174" s="5"/>
      <c r="FA174" s="5" t="s">
        <v>1893</v>
      </c>
      <c r="FB174" s="5"/>
    </row>
    <row r="175" spans="1:158" ht="140.25">
      <c r="A175" s="5" t="s">
        <v>1895</v>
      </c>
      <c r="B175" s="5" t="s">
        <v>1896</v>
      </c>
      <c r="C175" s="5" t="s">
        <v>11952</v>
      </c>
      <c r="D175" s="5" t="s">
        <v>1601</v>
      </c>
      <c r="E175" s="5" t="s">
        <v>11953</v>
      </c>
      <c r="F175" s="5" t="s">
        <v>11954</v>
      </c>
      <c r="G175" s="5" t="s">
        <v>11955</v>
      </c>
      <c r="H175" s="5" t="s">
        <v>11235</v>
      </c>
      <c r="I175" s="5" t="s">
        <v>1607</v>
      </c>
      <c r="J175" s="5" t="s">
        <v>3510</v>
      </c>
      <c r="K175" s="5" t="s">
        <v>11956</v>
      </c>
      <c r="L175" s="5" t="s">
        <v>1903</v>
      </c>
      <c r="M175" s="5" t="s">
        <v>11952</v>
      </c>
      <c r="N175" s="5" t="s">
        <v>11952</v>
      </c>
      <c r="O175" s="5" t="s">
        <v>11952</v>
      </c>
      <c r="P175" s="5" t="s">
        <v>11952</v>
      </c>
      <c r="Q175" s="5" t="s">
        <v>11952</v>
      </c>
      <c r="R175" s="5" t="s">
        <v>1903</v>
      </c>
      <c r="S175" s="5" t="s">
        <v>11952</v>
      </c>
      <c r="T175" s="5" t="s">
        <v>121</v>
      </c>
      <c r="U175" s="5" t="s">
        <v>3510</v>
      </c>
      <c r="V175" s="5" t="s">
        <v>121</v>
      </c>
      <c r="W175" s="5" t="s">
        <v>121</v>
      </c>
      <c r="X175" s="5" t="s">
        <v>121</v>
      </c>
      <c r="Y175" s="5" t="s">
        <v>121</v>
      </c>
      <c r="Z175" s="5" t="s">
        <v>11952</v>
      </c>
      <c r="AA175" s="5" t="s">
        <v>11952</v>
      </c>
      <c r="AB175" s="5" t="s">
        <v>155</v>
      </c>
      <c r="AC175" s="5" t="s">
        <v>1900</v>
      </c>
      <c r="AD175" s="5" t="s">
        <v>121</v>
      </c>
      <c r="AE175" s="5" t="s">
        <v>121</v>
      </c>
      <c r="AF175" s="5" t="s">
        <v>1900</v>
      </c>
      <c r="AG175" s="5" t="s">
        <v>121</v>
      </c>
      <c r="AH175" s="5" t="s">
        <v>121</v>
      </c>
      <c r="AI175" s="5" t="s">
        <v>121</v>
      </c>
      <c r="AJ175" s="5" t="s">
        <v>121</v>
      </c>
      <c r="AK175" s="5" t="s">
        <v>121</v>
      </c>
      <c r="AL175" s="5" t="s">
        <v>121</v>
      </c>
      <c r="AM175" s="5" t="s">
        <v>121</v>
      </c>
      <c r="AN175" s="5" t="s">
        <v>13878</v>
      </c>
      <c r="AO175" s="5" t="s">
        <v>121</v>
      </c>
      <c r="AP175" s="5" t="s">
        <v>121</v>
      </c>
      <c r="AQ175" s="5" t="s">
        <v>121</v>
      </c>
      <c r="AR175" s="5" t="s">
        <v>121</v>
      </c>
      <c r="AS175" s="5" t="s">
        <v>1901</v>
      </c>
      <c r="AT175" s="5" t="s">
        <v>121</v>
      </c>
      <c r="AU175" s="5" t="s">
        <v>1898</v>
      </c>
      <c r="AV175" s="5" t="s">
        <v>121</v>
      </c>
      <c r="AW175" s="5" t="s">
        <v>1898</v>
      </c>
      <c r="AX175" s="5" t="s">
        <v>121</v>
      </c>
      <c r="AY175" s="5" t="s">
        <v>2854</v>
      </c>
      <c r="AZ175" s="5" t="s">
        <v>121</v>
      </c>
      <c r="BA175" s="5" t="s">
        <v>121</v>
      </c>
      <c r="BB175" s="5" t="s">
        <v>3510</v>
      </c>
      <c r="BC175" s="5" t="s">
        <v>121</v>
      </c>
      <c r="BD175" s="5" t="s">
        <v>121</v>
      </c>
      <c r="BE175" s="5" t="s">
        <v>121</v>
      </c>
      <c r="BF175" s="5" t="s">
        <v>13879</v>
      </c>
      <c r="BG175" s="5" t="s">
        <v>121</v>
      </c>
      <c r="BH175" s="5" t="s">
        <v>13804</v>
      </c>
      <c r="BI175" s="5" t="s">
        <v>121</v>
      </c>
      <c r="BJ175" s="5" t="s">
        <v>1899</v>
      </c>
      <c r="BK175" s="5" t="s">
        <v>121</v>
      </c>
      <c r="BL175" s="5" t="s">
        <v>332</v>
      </c>
      <c r="BM175" s="5" t="s">
        <v>332</v>
      </c>
      <c r="BN175" s="5" t="s">
        <v>121</v>
      </c>
      <c r="BO175" s="5" t="s">
        <v>121</v>
      </c>
      <c r="BP175" s="5" t="s">
        <v>121</v>
      </c>
      <c r="BQ175" s="5" t="s">
        <v>2854</v>
      </c>
      <c r="BR175" s="5" t="s">
        <v>121</v>
      </c>
      <c r="BS175" s="5" t="s">
        <v>121</v>
      </c>
      <c r="BT175" s="5" t="s">
        <v>121</v>
      </c>
      <c r="BU175" s="5" t="s">
        <v>121</v>
      </c>
      <c r="BV175" s="5" t="s">
        <v>121</v>
      </c>
      <c r="BW175" s="5" t="s">
        <v>121</v>
      </c>
      <c r="BX175" s="5" t="s">
        <v>121</v>
      </c>
      <c r="BY175" s="5" t="s">
        <v>12520</v>
      </c>
      <c r="BZ175" s="5" t="s">
        <v>121</v>
      </c>
      <c r="CA175" s="5" t="s">
        <v>121</v>
      </c>
      <c r="CB175" s="5" t="s">
        <v>121</v>
      </c>
      <c r="CC175" s="5" t="s">
        <v>1897</v>
      </c>
      <c r="CD175" s="5" t="s">
        <v>121</v>
      </c>
      <c r="CE175" s="5" t="s">
        <v>121</v>
      </c>
      <c r="CF175" s="5" t="s">
        <v>11958</v>
      </c>
      <c r="CG175" s="5" t="s">
        <v>121</v>
      </c>
      <c r="CH175" s="5" t="s">
        <v>121</v>
      </c>
      <c r="CI175" s="5" t="s">
        <v>11972</v>
      </c>
      <c r="CJ175" s="5" t="s">
        <v>287</v>
      </c>
      <c r="CK175" s="5" t="s">
        <v>1657</v>
      </c>
      <c r="CL175" s="5" t="s">
        <v>2854</v>
      </c>
      <c r="CM175" s="5" t="s">
        <v>287</v>
      </c>
      <c r="CN175" s="5" t="s">
        <v>121</v>
      </c>
      <c r="CO175" s="5" t="s">
        <v>121</v>
      </c>
      <c r="CP175" s="5" t="s">
        <v>3510</v>
      </c>
      <c r="CQ175" s="5" t="s">
        <v>1902</v>
      </c>
      <c r="CR175" s="5" t="s">
        <v>11960</v>
      </c>
      <c r="CS175" s="5" t="s">
        <v>3510</v>
      </c>
      <c r="CT175" s="5" t="s">
        <v>3510</v>
      </c>
      <c r="CU175" s="5" t="s">
        <v>3510</v>
      </c>
      <c r="CV175" s="5" t="s">
        <v>11952</v>
      </c>
      <c r="CW175" s="5" t="s">
        <v>13880</v>
      </c>
      <c r="CX175" s="5" t="s">
        <v>13674</v>
      </c>
      <c r="CY175" s="5" t="s">
        <v>13881</v>
      </c>
      <c r="CZ175" s="5" t="s">
        <v>3510</v>
      </c>
      <c r="DA175" s="5" t="s">
        <v>11952</v>
      </c>
      <c r="DB175" s="5" t="s">
        <v>11963</v>
      </c>
      <c r="DC175" s="5" t="s">
        <v>11963</v>
      </c>
      <c r="DD175" s="5" t="s">
        <v>11963</v>
      </c>
      <c r="DE175" s="5" t="s">
        <v>11963</v>
      </c>
      <c r="DF175" s="5" t="s">
        <v>3510</v>
      </c>
      <c r="DG175" s="5" t="s">
        <v>13882</v>
      </c>
      <c r="DH175" s="5" t="s">
        <v>13883</v>
      </c>
      <c r="DI175" s="5" t="s">
        <v>11966</v>
      </c>
      <c r="DJ175" s="5" t="s">
        <v>11994</v>
      </c>
      <c r="DK175" s="5" t="s">
        <v>13884</v>
      </c>
      <c r="DL175" s="5">
        <v>5</v>
      </c>
      <c r="DM175" s="5">
        <v>3</v>
      </c>
      <c r="DN175" s="5">
        <v>2</v>
      </c>
      <c r="DO175" s="5">
        <v>4</v>
      </c>
      <c r="DP175" s="5">
        <v>3</v>
      </c>
      <c r="DQ175" s="5">
        <v>1</v>
      </c>
      <c r="DR175" s="5">
        <v>1</v>
      </c>
      <c r="DS175" s="5">
        <v>60</v>
      </c>
      <c r="DT175" s="5" t="s">
        <v>11968</v>
      </c>
      <c r="DU175" s="5" t="s">
        <v>11969</v>
      </c>
      <c r="DV175" s="5" t="s">
        <v>11970</v>
      </c>
      <c r="DW175" s="5"/>
      <c r="DX175" s="5">
        <v>16</v>
      </c>
      <c r="DY175" s="5"/>
      <c r="DZ175" s="5">
        <v>100</v>
      </c>
      <c r="EA175" s="5"/>
      <c r="EB175" s="5">
        <v>0.16</v>
      </c>
      <c r="EC175" s="5"/>
      <c r="ED175" s="5" t="s">
        <v>11971</v>
      </c>
      <c r="EE175" s="5"/>
      <c r="EF175" s="5" t="s">
        <v>11997</v>
      </c>
      <c r="EG175" s="5"/>
      <c r="EH175" s="5" t="s">
        <v>11997</v>
      </c>
      <c r="EI175" s="5"/>
      <c r="EJ175" s="5" t="s">
        <v>11997</v>
      </c>
      <c r="EK175" s="5"/>
      <c r="EL175" s="5" t="s">
        <v>11997</v>
      </c>
      <c r="EM175" s="5"/>
      <c r="EN175" s="5" t="s">
        <v>11997</v>
      </c>
      <c r="EO175" s="5"/>
      <c r="EP175" s="5" t="s">
        <v>11998</v>
      </c>
      <c r="EQ175" s="5"/>
      <c r="ER175" s="5" t="s">
        <v>11997</v>
      </c>
      <c r="ES175" s="5"/>
      <c r="ET175" s="5" t="s">
        <v>11972</v>
      </c>
      <c r="EU175" s="5"/>
      <c r="EV175" s="5"/>
      <c r="EW175" s="5"/>
      <c r="EX175" s="5"/>
      <c r="EY175" s="5" t="s">
        <v>8378</v>
      </c>
      <c r="EZ175" s="5"/>
      <c r="FA175" s="5" t="s">
        <v>1903</v>
      </c>
      <c r="FB175" s="5"/>
    </row>
    <row r="176" spans="1:158" ht="89.25">
      <c r="A176" s="5" t="s">
        <v>1905</v>
      </c>
      <c r="B176" s="5" t="s">
        <v>1906</v>
      </c>
      <c r="C176" s="5" t="s">
        <v>11952</v>
      </c>
      <c r="D176" s="5" t="s">
        <v>1601</v>
      </c>
      <c r="E176" s="5" t="s">
        <v>11953</v>
      </c>
      <c r="F176" s="5" t="s">
        <v>11954</v>
      </c>
      <c r="G176" s="5" t="s">
        <v>11955</v>
      </c>
      <c r="H176" s="5" t="s">
        <v>11235</v>
      </c>
      <c r="I176" s="5" t="s">
        <v>1607</v>
      </c>
      <c r="J176" s="5" t="s">
        <v>3510</v>
      </c>
      <c r="K176" s="5" t="s">
        <v>11956</v>
      </c>
      <c r="L176" s="5" t="s">
        <v>1911</v>
      </c>
      <c r="M176" s="5" t="s">
        <v>11952</v>
      </c>
      <c r="N176" s="5" t="s">
        <v>11952</v>
      </c>
      <c r="O176" s="5" t="s">
        <v>11952</v>
      </c>
      <c r="P176" s="5" t="s">
        <v>11952</v>
      </c>
      <c r="Q176" s="5" t="s">
        <v>11952</v>
      </c>
      <c r="R176" s="5" t="s">
        <v>1911</v>
      </c>
      <c r="S176" s="5" t="s">
        <v>11952</v>
      </c>
      <c r="T176" s="5" t="s">
        <v>121</v>
      </c>
      <c r="U176" s="5" t="s">
        <v>3510</v>
      </c>
      <c r="V176" s="5" t="s">
        <v>121</v>
      </c>
      <c r="W176" s="5" t="s">
        <v>121</v>
      </c>
      <c r="X176" s="5" t="s">
        <v>121</v>
      </c>
      <c r="Y176" s="5" t="s">
        <v>121</v>
      </c>
      <c r="Z176" s="5" t="s">
        <v>11952</v>
      </c>
      <c r="AA176" s="5" t="s">
        <v>11952</v>
      </c>
      <c r="AB176" s="5" t="s">
        <v>121</v>
      </c>
      <c r="AC176" s="5" t="s">
        <v>121</v>
      </c>
      <c r="AD176" s="5" t="s">
        <v>121</v>
      </c>
      <c r="AE176" s="5" t="s">
        <v>121</v>
      </c>
      <c r="AF176" s="5" t="s">
        <v>121</v>
      </c>
      <c r="AG176" s="5" t="s">
        <v>121</v>
      </c>
      <c r="AH176" s="5" t="s">
        <v>121</v>
      </c>
      <c r="AI176" s="5" t="s">
        <v>121</v>
      </c>
      <c r="AJ176" s="5" t="s">
        <v>121</v>
      </c>
      <c r="AK176" s="5" t="s">
        <v>121</v>
      </c>
      <c r="AL176" s="5" t="s">
        <v>121</v>
      </c>
      <c r="AM176" s="5" t="s">
        <v>121</v>
      </c>
      <c r="AN176" s="5" t="s">
        <v>13885</v>
      </c>
      <c r="AO176" s="5" t="s">
        <v>121</v>
      </c>
      <c r="AP176" s="5" t="s">
        <v>121</v>
      </c>
      <c r="AQ176" s="5" t="s">
        <v>121</v>
      </c>
      <c r="AR176" s="5" t="s">
        <v>121</v>
      </c>
      <c r="AS176" s="5" t="s">
        <v>121</v>
      </c>
      <c r="AT176" s="5" t="s">
        <v>121</v>
      </c>
      <c r="AU176" s="5" t="s">
        <v>1908</v>
      </c>
      <c r="AV176" s="5" t="s">
        <v>121</v>
      </c>
      <c r="AW176" s="5" t="s">
        <v>121</v>
      </c>
      <c r="AX176" s="5" t="s">
        <v>121</v>
      </c>
      <c r="AY176" s="5" t="s">
        <v>121</v>
      </c>
      <c r="AZ176" s="5" t="s">
        <v>121</v>
      </c>
      <c r="BA176" s="5" t="s">
        <v>121</v>
      </c>
      <c r="BB176" s="5" t="s">
        <v>3510</v>
      </c>
      <c r="BC176" s="5" t="s">
        <v>3510</v>
      </c>
      <c r="BD176" s="5" t="s">
        <v>121</v>
      </c>
      <c r="BE176" s="5" t="s">
        <v>121</v>
      </c>
      <c r="BF176" s="5" t="s">
        <v>121</v>
      </c>
      <c r="BG176" s="5" t="s">
        <v>121</v>
      </c>
      <c r="BH176" s="5" t="s">
        <v>12721</v>
      </c>
      <c r="BI176" s="5" t="s">
        <v>121</v>
      </c>
      <c r="BJ176" s="5" t="s">
        <v>1909</v>
      </c>
      <c r="BK176" s="5" t="s">
        <v>121</v>
      </c>
      <c r="BL176" s="5" t="s">
        <v>1693</v>
      </c>
      <c r="BM176" s="5" t="s">
        <v>1693</v>
      </c>
      <c r="BN176" s="5" t="s">
        <v>1713</v>
      </c>
      <c r="BO176" s="5" t="s">
        <v>121</v>
      </c>
      <c r="BP176" s="5" t="s">
        <v>2854</v>
      </c>
      <c r="BQ176" s="5" t="s">
        <v>121</v>
      </c>
      <c r="BR176" s="5" t="s">
        <v>121</v>
      </c>
      <c r="BS176" s="5" t="s">
        <v>121</v>
      </c>
      <c r="BT176" s="5" t="s">
        <v>121</v>
      </c>
      <c r="BU176" s="5" t="s">
        <v>121</v>
      </c>
      <c r="BV176" s="5" t="s">
        <v>3510</v>
      </c>
      <c r="BW176" s="5" t="s">
        <v>3510</v>
      </c>
      <c r="BX176" s="5" t="s">
        <v>3510</v>
      </c>
      <c r="BY176" s="5" t="s">
        <v>13886</v>
      </c>
      <c r="BZ176" s="5" t="s">
        <v>13887</v>
      </c>
      <c r="CA176" s="5" t="s">
        <v>121</v>
      </c>
      <c r="CB176" s="5" t="s">
        <v>121</v>
      </c>
      <c r="CC176" s="5" t="s">
        <v>1907</v>
      </c>
      <c r="CD176" s="5" t="s">
        <v>121</v>
      </c>
      <c r="CE176" s="5" t="s">
        <v>121</v>
      </c>
      <c r="CF176" s="5" t="s">
        <v>11958</v>
      </c>
      <c r="CG176" s="5" t="s">
        <v>121</v>
      </c>
      <c r="CH176" s="5" t="s">
        <v>121</v>
      </c>
      <c r="CI176" s="5" t="s">
        <v>11959</v>
      </c>
      <c r="CJ176" s="5" t="s">
        <v>287</v>
      </c>
      <c r="CK176" s="5" t="s">
        <v>1731</v>
      </c>
      <c r="CL176" s="5" t="s">
        <v>2854</v>
      </c>
      <c r="CM176" s="5" t="s">
        <v>287</v>
      </c>
      <c r="CN176" s="5" t="s">
        <v>121</v>
      </c>
      <c r="CO176" s="5" t="s">
        <v>121</v>
      </c>
      <c r="CP176" s="5" t="s">
        <v>3510</v>
      </c>
      <c r="CQ176" s="5" t="s">
        <v>1910</v>
      </c>
      <c r="CR176" s="5" t="s">
        <v>12118</v>
      </c>
      <c r="CS176" s="5" t="s">
        <v>3510</v>
      </c>
      <c r="CT176" s="5" t="s">
        <v>3510</v>
      </c>
      <c r="CU176" s="5" t="s">
        <v>2854</v>
      </c>
      <c r="CV176" s="5" t="s">
        <v>13888</v>
      </c>
      <c r="CW176" s="5" t="s">
        <v>11952</v>
      </c>
      <c r="CX176" s="5" t="s">
        <v>13674</v>
      </c>
      <c r="CY176" s="5" t="s">
        <v>13889</v>
      </c>
      <c r="CZ176" s="5" t="s">
        <v>3510</v>
      </c>
      <c r="DA176" s="5" t="s">
        <v>11952</v>
      </c>
      <c r="DB176" s="5" t="s">
        <v>11963</v>
      </c>
      <c r="DC176" s="5" t="s">
        <v>11963</v>
      </c>
      <c r="DD176" s="5" t="s">
        <v>11963</v>
      </c>
      <c r="DE176" s="5" t="s">
        <v>11963</v>
      </c>
      <c r="DF176" s="5" t="s">
        <v>3510</v>
      </c>
      <c r="DG176" s="5" t="s">
        <v>11964</v>
      </c>
      <c r="DH176" s="5" t="s">
        <v>13890</v>
      </c>
      <c r="DI176" s="5" t="s">
        <v>11975</v>
      </c>
      <c r="DJ176" s="5" t="s">
        <v>11966</v>
      </c>
      <c r="DK176" s="5" t="s">
        <v>11967</v>
      </c>
      <c r="DL176" s="5">
        <v>5</v>
      </c>
      <c r="DM176" s="5">
        <v>2</v>
      </c>
      <c r="DN176" s="5">
        <v>2.5</v>
      </c>
      <c r="DO176" s="5">
        <v>2</v>
      </c>
      <c r="DP176" s="5">
        <v>3</v>
      </c>
      <c r="DQ176" s="5">
        <v>1</v>
      </c>
      <c r="DR176" s="5">
        <v>0</v>
      </c>
      <c r="DS176" s="5">
        <v>49.5</v>
      </c>
      <c r="DT176" s="5" t="s">
        <v>11968</v>
      </c>
      <c r="DU176" s="5" t="s">
        <v>11969</v>
      </c>
      <c r="DV176" s="5" t="s">
        <v>11970</v>
      </c>
      <c r="DW176" s="5"/>
      <c r="DX176" s="5">
        <v>16</v>
      </c>
      <c r="DY176" s="5"/>
      <c r="DZ176" s="5">
        <v>100</v>
      </c>
      <c r="EA176" s="5"/>
      <c r="EB176" s="5">
        <v>0.16</v>
      </c>
      <c r="EC176" s="5"/>
      <c r="ED176" s="5" t="s">
        <v>11971</v>
      </c>
      <c r="EE176" s="5"/>
      <c r="EF176" s="5" t="s">
        <v>11997</v>
      </c>
      <c r="EG176" s="5"/>
      <c r="EH176" s="5" t="s">
        <v>11997</v>
      </c>
      <c r="EI176" s="5"/>
      <c r="EJ176" s="5" t="s">
        <v>11997</v>
      </c>
      <c r="EK176" s="5"/>
      <c r="EL176" s="5" t="s">
        <v>11997</v>
      </c>
      <c r="EM176" s="5"/>
      <c r="EN176" s="5" t="s">
        <v>11997</v>
      </c>
      <c r="EO176" s="5"/>
      <c r="EP176" s="5" t="s">
        <v>11998</v>
      </c>
      <c r="EQ176" s="5"/>
      <c r="ER176" s="5" t="s">
        <v>11997</v>
      </c>
      <c r="ES176" s="5"/>
      <c r="ET176" s="5" t="s">
        <v>11972</v>
      </c>
      <c r="EU176" s="5"/>
      <c r="EV176" s="5"/>
      <c r="EW176" s="5"/>
      <c r="EX176" s="5"/>
      <c r="EY176" s="5" t="s">
        <v>8411</v>
      </c>
      <c r="EZ176" s="5"/>
      <c r="FA176" s="5" t="s">
        <v>1911</v>
      </c>
      <c r="FB176" s="5"/>
    </row>
    <row r="177" spans="1:158" ht="89.25">
      <c r="A177" s="5" t="s">
        <v>1913</v>
      </c>
      <c r="B177" s="5" t="s">
        <v>1914</v>
      </c>
      <c r="C177" s="5" t="s">
        <v>11952</v>
      </c>
      <c r="D177" s="5" t="s">
        <v>1601</v>
      </c>
      <c r="E177" s="5" t="s">
        <v>11953</v>
      </c>
      <c r="F177" s="5" t="s">
        <v>11954</v>
      </c>
      <c r="G177" s="5" t="s">
        <v>11955</v>
      </c>
      <c r="H177" s="5" t="s">
        <v>11235</v>
      </c>
      <c r="I177" s="5" t="s">
        <v>1607</v>
      </c>
      <c r="J177" s="5" t="s">
        <v>3510</v>
      </c>
      <c r="K177" s="5" t="s">
        <v>11956</v>
      </c>
      <c r="L177" s="5" t="s">
        <v>1920</v>
      </c>
      <c r="M177" s="5" t="s">
        <v>11952</v>
      </c>
      <c r="N177" s="5" t="s">
        <v>11952</v>
      </c>
      <c r="O177" s="5" t="s">
        <v>11952</v>
      </c>
      <c r="P177" s="5" t="s">
        <v>11952</v>
      </c>
      <c r="Q177" s="5" t="s">
        <v>11952</v>
      </c>
      <c r="R177" s="5" t="s">
        <v>1920</v>
      </c>
      <c r="S177" s="5" t="s">
        <v>11952</v>
      </c>
      <c r="T177" s="5" t="s">
        <v>121</v>
      </c>
      <c r="U177" s="5" t="s">
        <v>3510</v>
      </c>
      <c r="V177" s="5" t="s">
        <v>121</v>
      </c>
      <c r="W177" s="5" t="s">
        <v>121</v>
      </c>
      <c r="X177" s="5" t="s">
        <v>121</v>
      </c>
      <c r="Y177" s="5" t="s">
        <v>121</v>
      </c>
      <c r="Z177" s="5" t="s">
        <v>11952</v>
      </c>
      <c r="AA177" s="5" t="s">
        <v>11952</v>
      </c>
      <c r="AB177" s="5" t="s">
        <v>121</v>
      </c>
      <c r="AC177" s="5" t="s">
        <v>121</v>
      </c>
      <c r="AD177" s="5" t="s">
        <v>121</v>
      </c>
      <c r="AE177" s="5" t="s">
        <v>121</v>
      </c>
      <c r="AF177" s="5" t="s">
        <v>121</v>
      </c>
      <c r="AG177" s="5" t="s">
        <v>121</v>
      </c>
      <c r="AH177" s="5" t="s">
        <v>121</v>
      </c>
      <c r="AI177" s="5" t="s">
        <v>121</v>
      </c>
      <c r="AJ177" s="5" t="s">
        <v>121</v>
      </c>
      <c r="AK177" s="5" t="s">
        <v>121</v>
      </c>
      <c r="AL177" s="5" t="s">
        <v>121</v>
      </c>
      <c r="AM177" s="5" t="s">
        <v>121</v>
      </c>
      <c r="AN177" s="5" t="s">
        <v>121</v>
      </c>
      <c r="AO177" s="5" t="s">
        <v>121</v>
      </c>
      <c r="AP177" s="5" t="s">
        <v>121</v>
      </c>
      <c r="AQ177" s="5" t="s">
        <v>121</v>
      </c>
      <c r="AR177" s="5" t="s">
        <v>121</v>
      </c>
      <c r="AS177" s="5" t="s">
        <v>1918</v>
      </c>
      <c r="AT177" s="5" t="s">
        <v>121</v>
      </c>
      <c r="AU177" s="5" t="s">
        <v>121</v>
      </c>
      <c r="AV177" s="5" t="s">
        <v>121</v>
      </c>
      <c r="AW177" s="5" t="s">
        <v>121</v>
      </c>
      <c r="AX177" s="5" t="s">
        <v>121</v>
      </c>
      <c r="AY177" s="5" t="s">
        <v>121</v>
      </c>
      <c r="AZ177" s="5" t="s">
        <v>121</v>
      </c>
      <c r="BA177" s="5" t="s">
        <v>121</v>
      </c>
      <c r="BB177" s="5" t="s">
        <v>3510</v>
      </c>
      <c r="BC177" s="5" t="s">
        <v>121</v>
      </c>
      <c r="BD177" s="5" t="s">
        <v>121</v>
      </c>
      <c r="BE177" s="5" t="s">
        <v>121</v>
      </c>
      <c r="BF177" s="5" t="s">
        <v>121</v>
      </c>
      <c r="BG177" s="5" t="s">
        <v>121</v>
      </c>
      <c r="BH177" s="5" t="s">
        <v>12815</v>
      </c>
      <c r="BI177" s="5" t="s">
        <v>121</v>
      </c>
      <c r="BJ177" s="5" t="s">
        <v>1916</v>
      </c>
      <c r="BK177" s="5" t="s">
        <v>121</v>
      </c>
      <c r="BL177" s="5" t="s">
        <v>332</v>
      </c>
      <c r="BM177" s="5" t="s">
        <v>332</v>
      </c>
      <c r="BN177" s="5" t="s">
        <v>1917</v>
      </c>
      <c r="BO177" s="5" t="s">
        <v>13380</v>
      </c>
      <c r="BP177" s="5" t="s">
        <v>121</v>
      </c>
      <c r="BQ177" s="5" t="s">
        <v>2854</v>
      </c>
      <c r="BR177" s="5" t="s">
        <v>121</v>
      </c>
      <c r="BS177" s="5" t="s">
        <v>121</v>
      </c>
      <c r="BT177" s="5" t="s">
        <v>121</v>
      </c>
      <c r="BU177" s="5" t="s">
        <v>121</v>
      </c>
      <c r="BV177" s="5" t="s">
        <v>121</v>
      </c>
      <c r="BW177" s="5" t="s">
        <v>121</v>
      </c>
      <c r="BX177" s="5" t="s">
        <v>121</v>
      </c>
      <c r="BY177" s="5" t="s">
        <v>121</v>
      </c>
      <c r="BZ177" s="5" t="s">
        <v>121</v>
      </c>
      <c r="CA177" s="5" t="s">
        <v>121</v>
      </c>
      <c r="CB177" s="5" t="s">
        <v>121</v>
      </c>
      <c r="CC177" s="5" t="s">
        <v>1915</v>
      </c>
      <c r="CD177" s="5" t="s">
        <v>121</v>
      </c>
      <c r="CE177" s="5" t="s">
        <v>121</v>
      </c>
      <c r="CF177" s="5" t="s">
        <v>11958</v>
      </c>
      <c r="CG177" s="5" t="s">
        <v>121</v>
      </c>
      <c r="CH177" s="5" t="s">
        <v>121</v>
      </c>
      <c r="CI177" s="5" t="s">
        <v>11959</v>
      </c>
      <c r="CJ177" s="5" t="s">
        <v>287</v>
      </c>
      <c r="CK177" s="5" t="s">
        <v>1640</v>
      </c>
      <c r="CL177" s="5" t="s">
        <v>2854</v>
      </c>
      <c r="CM177" s="5" t="s">
        <v>287</v>
      </c>
      <c r="CN177" s="5" t="s">
        <v>121</v>
      </c>
      <c r="CO177" s="5" t="s">
        <v>121</v>
      </c>
      <c r="CP177" s="5" t="s">
        <v>3510</v>
      </c>
      <c r="CQ177" s="5" t="s">
        <v>1919</v>
      </c>
      <c r="CR177" s="5" t="s">
        <v>11960</v>
      </c>
      <c r="CS177" s="5" t="s">
        <v>3510</v>
      </c>
      <c r="CT177" s="5" t="s">
        <v>3510</v>
      </c>
      <c r="CU177" s="5" t="s">
        <v>3510</v>
      </c>
      <c r="CV177" s="5" t="s">
        <v>11952</v>
      </c>
      <c r="CW177" s="5" t="s">
        <v>11952</v>
      </c>
      <c r="CX177" s="5" t="s">
        <v>13674</v>
      </c>
      <c r="CY177" s="5" t="s">
        <v>13891</v>
      </c>
      <c r="CZ177" s="5" t="s">
        <v>3510</v>
      </c>
      <c r="DA177" s="5" t="s">
        <v>11952</v>
      </c>
      <c r="DB177" s="5" t="s">
        <v>11963</v>
      </c>
      <c r="DC177" s="5" t="s">
        <v>11963</v>
      </c>
      <c r="DD177" s="5" t="s">
        <v>11963</v>
      </c>
      <c r="DE177" s="5" t="s">
        <v>11963</v>
      </c>
      <c r="DF177" s="5" t="s">
        <v>3510</v>
      </c>
      <c r="DG177" s="5" t="s">
        <v>11964</v>
      </c>
      <c r="DH177" s="5" t="s">
        <v>13892</v>
      </c>
      <c r="DI177" s="5" t="s">
        <v>11966</v>
      </c>
      <c r="DJ177" s="5" t="s">
        <v>11966</v>
      </c>
      <c r="DK177" s="5" t="s">
        <v>11967</v>
      </c>
      <c r="DL177" s="5">
        <v>5</v>
      </c>
      <c r="DM177" s="5">
        <v>3</v>
      </c>
      <c r="DN177" s="5">
        <v>2</v>
      </c>
      <c r="DO177" s="5">
        <v>2</v>
      </c>
      <c r="DP177" s="5">
        <v>2</v>
      </c>
      <c r="DQ177" s="5">
        <v>1</v>
      </c>
      <c r="DR177" s="5">
        <v>0</v>
      </c>
      <c r="DS177" s="5">
        <v>50</v>
      </c>
      <c r="DT177" s="5" t="s">
        <v>11968</v>
      </c>
      <c r="DU177" s="5" t="s">
        <v>11969</v>
      </c>
      <c r="DV177" s="5" t="s">
        <v>11970</v>
      </c>
      <c r="DW177" s="5"/>
      <c r="DX177" s="5">
        <v>14</v>
      </c>
      <c r="DY177" s="5"/>
      <c r="DZ177" s="5">
        <v>100</v>
      </c>
      <c r="EA177" s="5"/>
      <c r="EB177" s="5">
        <v>0.14000000000000001</v>
      </c>
      <c r="EC177" s="5"/>
      <c r="ED177" s="5" t="s">
        <v>11971</v>
      </c>
      <c r="EE177" s="5"/>
      <c r="EF177" s="5" t="s">
        <v>11997</v>
      </c>
      <c r="EG177" s="5"/>
      <c r="EH177" s="5" t="s">
        <v>11997</v>
      </c>
      <c r="EI177" s="5"/>
      <c r="EJ177" s="5" t="s">
        <v>11997</v>
      </c>
      <c r="EK177" s="5"/>
      <c r="EL177" s="5" t="s">
        <v>11997</v>
      </c>
      <c r="EM177" s="5"/>
      <c r="EN177" s="5" t="s">
        <v>11997</v>
      </c>
      <c r="EO177" s="5"/>
      <c r="EP177" s="5" t="s">
        <v>11998</v>
      </c>
      <c r="EQ177" s="5"/>
      <c r="ER177" s="5" t="s">
        <v>11997</v>
      </c>
      <c r="ES177" s="5"/>
      <c r="ET177" s="5" t="s">
        <v>11972</v>
      </c>
      <c r="EU177" s="5"/>
      <c r="EV177" s="5"/>
      <c r="EW177" s="5"/>
      <c r="EX177" s="5"/>
      <c r="EY177" s="5" t="s">
        <v>8442</v>
      </c>
      <c r="EZ177" s="5"/>
      <c r="FA177" s="5" t="s">
        <v>1920</v>
      </c>
      <c r="FB177" s="5"/>
    </row>
    <row r="178" spans="1:158" ht="102">
      <c r="A178" s="5" t="s">
        <v>1922</v>
      </c>
      <c r="B178" s="5" t="s">
        <v>1923</v>
      </c>
      <c r="C178" s="5" t="s">
        <v>11952</v>
      </c>
      <c r="D178" s="5" t="s">
        <v>1601</v>
      </c>
      <c r="E178" s="5" t="s">
        <v>11953</v>
      </c>
      <c r="F178" s="5" t="s">
        <v>11954</v>
      </c>
      <c r="G178" s="5" t="s">
        <v>11955</v>
      </c>
      <c r="H178" s="5" t="s">
        <v>11235</v>
      </c>
      <c r="I178" s="5" t="s">
        <v>1607</v>
      </c>
      <c r="J178" s="5" t="s">
        <v>3510</v>
      </c>
      <c r="K178" s="5" t="s">
        <v>11956</v>
      </c>
      <c r="L178" s="5" t="s">
        <v>1928</v>
      </c>
      <c r="M178" s="5" t="s">
        <v>11952</v>
      </c>
      <c r="N178" s="5" t="s">
        <v>11952</v>
      </c>
      <c r="O178" s="5" t="s">
        <v>11952</v>
      </c>
      <c r="P178" s="5" t="s">
        <v>11952</v>
      </c>
      <c r="Q178" s="5" t="s">
        <v>11952</v>
      </c>
      <c r="R178" s="5" t="s">
        <v>1928</v>
      </c>
      <c r="S178" s="5" t="s">
        <v>11952</v>
      </c>
      <c r="T178" s="5" t="s">
        <v>121</v>
      </c>
      <c r="U178" s="5" t="s">
        <v>3510</v>
      </c>
      <c r="V178" s="5" t="s">
        <v>121</v>
      </c>
      <c r="W178" s="5" t="s">
        <v>121</v>
      </c>
      <c r="X178" s="5" t="s">
        <v>121</v>
      </c>
      <c r="Y178" s="5" t="s">
        <v>121</v>
      </c>
      <c r="Z178" s="5" t="s">
        <v>11952</v>
      </c>
      <c r="AA178" s="5" t="s">
        <v>11952</v>
      </c>
      <c r="AB178" s="5" t="s">
        <v>121</v>
      </c>
      <c r="AC178" s="5" t="s">
        <v>121</v>
      </c>
      <c r="AD178" s="5" t="s">
        <v>121</v>
      </c>
      <c r="AE178" s="5" t="s">
        <v>121</v>
      </c>
      <c r="AF178" s="5" t="s">
        <v>121</v>
      </c>
      <c r="AG178" s="5" t="s">
        <v>121</v>
      </c>
      <c r="AH178" s="5" t="s">
        <v>121</v>
      </c>
      <c r="AI178" s="5" t="s">
        <v>121</v>
      </c>
      <c r="AJ178" s="5" t="s">
        <v>121</v>
      </c>
      <c r="AK178" s="5" t="s">
        <v>121</v>
      </c>
      <c r="AL178" s="5" t="s">
        <v>121</v>
      </c>
      <c r="AM178" s="5" t="s">
        <v>121</v>
      </c>
      <c r="AN178" s="5" t="s">
        <v>121</v>
      </c>
      <c r="AO178" s="5" t="s">
        <v>121</v>
      </c>
      <c r="AP178" s="5" t="s">
        <v>13523</v>
      </c>
      <c r="AQ178" s="5" t="s">
        <v>121</v>
      </c>
      <c r="AR178" s="5" t="s">
        <v>13893</v>
      </c>
      <c r="AS178" s="5" t="s">
        <v>1926</v>
      </c>
      <c r="AT178" s="5" t="s">
        <v>121</v>
      </c>
      <c r="AU178" s="5" t="s">
        <v>1924</v>
      </c>
      <c r="AV178" s="5" t="s">
        <v>12003</v>
      </c>
      <c r="AW178" s="5" t="s">
        <v>1924</v>
      </c>
      <c r="AX178" s="5" t="s">
        <v>12159</v>
      </c>
      <c r="AY178" s="5" t="s">
        <v>2854</v>
      </c>
      <c r="AZ178" s="5" t="s">
        <v>121</v>
      </c>
      <c r="BA178" s="5" t="s">
        <v>121</v>
      </c>
      <c r="BB178" s="5" t="s">
        <v>3510</v>
      </c>
      <c r="BC178" s="5" t="s">
        <v>121</v>
      </c>
      <c r="BD178" s="5" t="s">
        <v>121</v>
      </c>
      <c r="BE178" s="5" t="s">
        <v>121</v>
      </c>
      <c r="BF178" s="5" t="s">
        <v>121</v>
      </c>
      <c r="BG178" s="5" t="s">
        <v>121</v>
      </c>
      <c r="BH178" s="5" t="s">
        <v>13894</v>
      </c>
      <c r="BI178" s="5" t="s">
        <v>121</v>
      </c>
      <c r="BJ178" s="5" t="s">
        <v>1925</v>
      </c>
      <c r="BK178" s="5" t="s">
        <v>121</v>
      </c>
      <c r="BL178" s="5" t="s">
        <v>332</v>
      </c>
      <c r="BM178" s="5" t="s">
        <v>332</v>
      </c>
      <c r="BN178" s="5" t="s">
        <v>465</v>
      </c>
      <c r="BO178" s="5" t="s">
        <v>12219</v>
      </c>
      <c r="BP178" s="5" t="s">
        <v>2854</v>
      </c>
      <c r="BQ178" s="5" t="s">
        <v>2854</v>
      </c>
      <c r="BR178" s="5" t="s">
        <v>121</v>
      </c>
      <c r="BS178" s="5" t="s">
        <v>121</v>
      </c>
      <c r="BT178" s="5" t="s">
        <v>121</v>
      </c>
      <c r="BU178" s="5" t="s">
        <v>2854</v>
      </c>
      <c r="BV178" s="5" t="s">
        <v>121</v>
      </c>
      <c r="BW178" s="5" t="s">
        <v>121</v>
      </c>
      <c r="BX178" s="5" t="s">
        <v>121</v>
      </c>
      <c r="BY178" s="5" t="s">
        <v>13895</v>
      </c>
      <c r="BZ178" s="5" t="s">
        <v>121</v>
      </c>
      <c r="CA178" s="5" t="s">
        <v>121</v>
      </c>
      <c r="CB178" s="5" t="s">
        <v>121</v>
      </c>
      <c r="CC178" s="5" t="s">
        <v>1612</v>
      </c>
      <c r="CD178" s="5" t="s">
        <v>121</v>
      </c>
      <c r="CE178" s="5" t="s">
        <v>121</v>
      </c>
      <c r="CF178" s="5" t="s">
        <v>11958</v>
      </c>
      <c r="CG178" s="5" t="s">
        <v>121</v>
      </c>
      <c r="CH178" s="5" t="s">
        <v>121</v>
      </c>
      <c r="CI178" s="5" t="s">
        <v>11959</v>
      </c>
      <c r="CJ178" s="5" t="s">
        <v>287</v>
      </c>
      <c r="CK178" s="5" t="s">
        <v>1624</v>
      </c>
      <c r="CL178" s="5" t="s">
        <v>2854</v>
      </c>
      <c r="CM178" s="5" t="s">
        <v>287</v>
      </c>
      <c r="CN178" s="5" t="s">
        <v>121</v>
      </c>
      <c r="CO178" s="5" t="s">
        <v>121</v>
      </c>
      <c r="CP178" s="5" t="s">
        <v>3510</v>
      </c>
      <c r="CQ178" s="5" t="s">
        <v>1927</v>
      </c>
      <c r="CR178" s="5" t="s">
        <v>11960</v>
      </c>
      <c r="CS178" s="5" t="s">
        <v>3510</v>
      </c>
      <c r="CT178" s="5" t="s">
        <v>3510</v>
      </c>
      <c r="CU178" s="5" t="s">
        <v>3510</v>
      </c>
      <c r="CV178" s="5" t="s">
        <v>11952</v>
      </c>
      <c r="CW178" s="5" t="s">
        <v>11952</v>
      </c>
      <c r="CX178" s="5" t="s">
        <v>13674</v>
      </c>
      <c r="CY178" s="5" t="s">
        <v>13896</v>
      </c>
      <c r="CZ178" s="5" t="s">
        <v>3510</v>
      </c>
      <c r="DA178" s="5" t="s">
        <v>11952</v>
      </c>
      <c r="DB178" s="5" t="s">
        <v>11963</v>
      </c>
      <c r="DC178" s="5" t="s">
        <v>11963</v>
      </c>
      <c r="DD178" s="5" t="s">
        <v>11963</v>
      </c>
      <c r="DE178" s="5" t="s">
        <v>11963</v>
      </c>
      <c r="DF178" s="5" t="s">
        <v>3510</v>
      </c>
      <c r="DG178" s="5" t="s">
        <v>11964</v>
      </c>
      <c r="DH178" s="5" t="s">
        <v>13897</v>
      </c>
      <c r="DI178" s="5" t="s">
        <v>11966</v>
      </c>
      <c r="DJ178" s="5" t="s">
        <v>11966</v>
      </c>
      <c r="DK178" s="5" t="s">
        <v>11967</v>
      </c>
      <c r="DL178" s="5">
        <v>3</v>
      </c>
      <c r="DM178" s="5">
        <v>3</v>
      </c>
      <c r="DN178" s="5">
        <v>2.5</v>
      </c>
      <c r="DO178" s="5">
        <v>1</v>
      </c>
      <c r="DP178" s="5">
        <v>2</v>
      </c>
      <c r="DQ178" s="5">
        <v>1</v>
      </c>
      <c r="DR178" s="5">
        <v>1.5</v>
      </c>
      <c r="DS178" s="5">
        <v>43.5</v>
      </c>
      <c r="DT178" s="5" t="s">
        <v>11968</v>
      </c>
      <c r="DU178" s="5" t="s">
        <v>11969</v>
      </c>
      <c r="DV178" s="5" t="s">
        <v>11970</v>
      </c>
      <c r="DW178" s="5"/>
      <c r="DX178" s="5">
        <v>23</v>
      </c>
      <c r="DY178" s="5"/>
      <c r="DZ178" s="5">
        <v>100</v>
      </c>
      <c r="EA178" s="5"/>
      <c r="EB178" s="5">
        <v>0.23</v>
      </c>
      <c r="EC178" s="5"/>
      <c r="ED178" s="5" t="s">
        <v>11971</v>
      </c>
      <c r="EE178" s="5"/>
      <c r="EF178" s="5" t="s">
        <v>11997</v>
      </c>
      <c r="EG178" s="5"/>
      <c r="EH178" s="5" t="s">
        <v>11997</v>
      </c>
      <c r="EI178" s="5"/>
      <c r="EJ178" s="5" t="s">
        <v>11997</v>
      </c>
      <c r="EK178" s="5"/>
      <c r="EL178" s="5" t="s">
        <v>11997</v>
      </c>
      <c r="EM178" s="5"/>
      <c r="EN178" s="5" t="s">
        <v>11997</v>
      </c>
      <c r="EO178" s="5"/>
      <c r="EP178" s="5" t="s">
        <v>11998</v>
      </c>
      <c r="EQ178" s="5"/>
      <c r="ER178" s="5" t="s">
        <v>11997</v>
      </c>
      <c r="ES178" s="5"/>
      <c r="ET178" s="5" t="s">
        <v>11972</v>
      </c>
      <c r="EU178" s="5"/>
      <c r="EV178" s="5"/>
      <c r="EW178" s="5"/>
      <c r="EX178" s="5"/>
      <c r="EY178" s="5" t="s">
        <v>8470</v>
      </c>
      <c r="EZ178" s="5"/>
      <c r="FA178" s="5" t="s">
        <v>1928</v>
      </c>
      <c r="FB178" s="5"/>
    </row>
    <row r="179" spans="1:158" ht="89.25">
      <c r="A179" s="5" t="s">
        <v>1930</v>
      </c>
      <c r="B179" s="5" t="s">
        <v>1931</v>
      </c>
      <c r="C179" s="5" t="s">
        <v>11952</v>
      </c>
      <c r="D179" s="5" t="s">
        <v>1601</v>
      </c>
      <c r="E179" s="5" t="s">
        <v>11953</v>
      </c>
      <c r="F179" s="5" t="s">
        <v>11954</v>
      </c>
      <c r="G179" s="5" t="s">
        <v>11955</v>
      </c>
      <c r="H179" s="5" t="s">
        <v>11235</v>
      </c>
      <c r="I179" s="5" t="s">
        <v>1607</v>
      </c>
      <c r="J179" s="5" t="s">
        <v>3510</v>
      </c>
      <c r="K179" s="5" t="s">
        <v>11956</v>
      </c>
      <c r="L179" s="5" t="s">
        <v>1939</v>
      </c>
      <c r="M179" s="5" t="s">
        <v>11952</v>
      </c>
      <c r="N179" s="5" t="s">
        <v>11952</v>
      </c>
      <c r="O179" s="5" t="s">
        <v>11952</v>
      </c>
      <c r="P179" s="5" t="s">
        <v>11952</v>
      </c>
      <c r="Q179" s="5" t="s">
        <v>11952</v>
      </c>
      <c r="R179" s="5" t="s">
        <v>1939</v>
      </c>
      <c r="S179" s="5" t="s">
        <v>11952</v>
      </c>
      <c r="T179" s="5" t="s">
        <v>121</v>
      </c>
      <c r="U179" s="5" t="s">
        <v>3510</v>
      </c>
      <c r="V179" s="5" t="s">
        <v>121</v>
      </c>
      <c r="W179" s="5" t="s">
        <v>121</v>
      </c>
      <c r="X179" s="5" t="s">
        <v>121</v>
      </c>
      <c r="Y179" s="5" t="s">
        <v>121</v>
      </c>
      <c r="Z179" s="5" t="s">
        <v>11952</v>
      </c>
      <c r="AA179" s="5" t="s">
        <v>11952</v>
      </c>
      <c r="AB179" s="5" t="s">
        <v>155</v>
      </c>
      <c r="AC179" s="5" t="s">
        <v>1936</v>
      </c>
      <c r="AD179" s="5" t="s">
        <v>121</v>
      </c>
      <c r="AE179" s="5" t="s">
        <v>121</v>
      </c>
      <c r="AF179" s="5" t="s">
        <v>1936</v>
      </c>
      <c r="AG179" s="5" t="s">
        <v>121</v>
      </c>
      <c r="AH179" s="5" t="s">
        <v>121</v>
      </c>
      <c r="AI179" s="5" t="s">
        <v>121</v>
      </c>
      <c r="AJ179" s="5" t="s">
        <v>121</v>
      </c>
      <c r="AK179" s="5" t="s">
        <v>121</v>
      </c>
      <c r="AL179" s="5" t="s">
        <v>121</v>
      </c>
      <c r="AM179" s="5" t="s">
        <v>121</v>
      </c>
      <c r="AN179" s="5" t="s">
        <v>13811</v>
      </c>
      <c r="AO179" s="5" t="s">
        <v>121</v>
      </c>
      <c r="AP179" s="5" t="s">
        <v>2302</v>
      </c>
      <c r="AQ179" s="5" t="s">
        <v>121</v>
      </c>
      <c r="AR179" s="5" t="s">
        <v>13898</v>
      </c>
      <c r="AS179" s="5" t="s">
        <v>1937</v>
      </c>
      <c r="AT179" s="5" t="s">
        <v>13899</v>
      </c>
      <c r="AU179" s="5" t="s">
        <v>1933</v>
      </c>
      <c r="AV179" s="5" t="s">
        <v>121</v>
      </c>
      <c r="AW179" s="5" t="s">
        <v>1933</v>
      </c>
      <c r="AX179" s="5" t="s">
        <v>12159</v>
      </c>
      <c r="AY179" s="5" t="s">
        <v>121</v>
      </c>
      <c r="AZ179" s="5" t="s">
        <v>121</v>
      </c>
      <c r="BA179" s="5" t="s">
        <v>121</v>
      </c>
      <c r="BB179" s="5" t="s">
        <v>3510</v>
      </c>
      <c r="BC179" s="5" t="s">
        <v>121</v>
      </c>
      <c r="BD179" s="5" t="s">
        <v>121</v>
      </c>
      <c r="BE179" s="5" t="s">
        <v>121</v>
      </c>
      <c r="BF179" s="5" t="s">
        <v>13900</v>
      </c>
      <c r="BG179" s="5" t="s">
        <v>121</v>
      </c>
      <c r="BH179" s="5" t="s">
        <v>13901</v>
      </c>
      <c r="BI179" s="5" t="s">
        <v>121</v>
      </c>
      <c r="BJ179" s="5" t="s">
        <v>1934</v>
      </c>
      <c r="BK179" s="5" t="s">
        <v>121</v>
      </c>
      <c r="BL179" s="5" t="s">
        <v>1273</v>
      </c>
      <c r="BM179" s="5" t="s">
        <v>1273</v>
      </c>
      <c r="BN179" s="5" t="s">
        <v>1935</v>
      </c>
      <c r="BO179" s="5" t="s">
        <v>11984</v>
      </c>
      <c r="BP179" s="5" t="s">
        <v>121</v>
      </c>
      <c r="BQ179" s="5" t="s">
        <v>121</v>
      </c>
      <c r="BR179" s="5" t="s">
        <v>2854</v>
      </c>
      <c r="BS179" s="5" t="s">
        <v>121</v>
      </c>
      <c r="BT179" s="5" t="s">
        <v>121</v>
      </c>
      <c r="BU179" s="5" t="s">
        <v>121</v>
      </c>
      <c r="BV179" s="5" t="s">
        <v>121</v>
      </c>
      <c r="BW179" s="5" t="s">
        <v>121</v>
      </c>
      <c r="BX179" s="5" t="s">
        <v>121</v>
      </c>
      <c r="BY179" s="5" t="s">
        <v>13902</v>
      </c>
      <c r="BZ179" s="5" t="s">
        <v>13903</v>
      </c>
      <c r="CA179" s="5" t="s">
        <v>121</v>
      </c>
      <c r="CB179" s="5" t="s">
        <v>121</v>
      </c>
      <c r="CC179" s="5" t="s">
        <v>1932</v>
      </c>
      <c r="CD179" s="5" t="s">
        <v>121</v>
      </c>
      <c r="CE179" s="5" t="s">
        <v>121</v>
      </c>
      <c r="CF179" s="5" t="s">
        <v>11958</v>
      </c>
      <c r="CG179" s="5" t="s">
        <v>121</v>
      </c>
      <c r="CH179" s="5" t="s">
        <v>121</v>
      </c>
      <c r="CI179" s="5" t="s">
        <v>12034</v>
      </c>
      <c r="CJ179" s="5" t="s">
        <v>287</v>
      </c>
      <c r="CK179" s="5" t="s">
        <v>1060</v>
      </c>
      <c r="CL179" s="5" t="s">
        <v>2854</v>
      </c>
      <c r="CM179" s="5" t="s">
        <v>287</v>
      </c>
      <c r="CN179" s="5" t="s">
        <v>121</v>
      </c>
      <c r="CO179" s="5" t="s">
        <v>121</v>
      </c>
      <c r="CP179" s="5" t="s">
        <v>3510</v>
      </c>
      <c r="CQ179" s="5" t="s">
        <v>1938</v>
      </c>
      <c r="CR179" s="5" t="s">
        <v>11960</v>
      </c>
      <c r="CS179" s="5" t="s">
        <v>3510</v>
      </c>
      <c r="CT179" s="5" t="s">
        <v>3510</v>
      </c>
      <c r="CU179" s="5" t="s">
        <v>3510</v>
      </c>
      <c r="CV179" s="5" t="s">
        <v>11952</v>
      </c>
      <c r="CW179" s="5" t="s">
        <v>11952</v>
      </c>
      <c r="CX179" s="5" t="s">
        <v>13674</v>
      </c>
      <c r="CY179" s="5" t="s">
        <v>13904</v>
      </c>
      <c r="CZ179" s="5" t="s">
        <v>3510</v>
      </c>
      <c r="DA179" s="5" t="s">
        <v>11952</v>
      </c>
      <c r="DB179" s="5" t="s">
        <v>11963</v>
      </c>
      <c r="DC179" s="5" t="s">
        <v>11963</v>
      </c>
      <c r="DD179" s="5" t="s">
        <v>11963</v>
      </c>
      <c r="DE179" s="5" t="s">
        <v>11963</v>
      </c>
      <c r="DF179" s="5" t="s">
        <v>3510</v>
      </c>
      <c r="DG179" s="5" t="s">
        <v>11964</v>
      </c>
      <c r="DH179" s="5" t="s">
        <v>13905</v>
      </c>
      <c r="DI179" s="5" t="s">
        <v>11994</v>
      </c>
      <c r="DJ179" s="5" t="s">
        <v>11966</v>
      </c>
      <c r="DK179" s="5" t="s">
        <v>11967</v>
      </c>
      <c r="DL179" s="5">
        <v>4</v>
      </c>
      <c r="DM179" s="5">
        <v>5</v>
      </c>
      <c r="DN179" s="5">
        <v>5</v>
      </c>
      <c r="DO179" s="5">
        <v>2</v>
      </c>
      <c r="DP179" s="5">
        <v>2</v>
      </c>
      <c r="DQ179" s="5">
        <v>2</v>
      </c>
      <c r="DR179" s="5">
        <v>0</v>
      </c>
      <c r="DS179" s="5">
        <v>65</v>
      </c>
      <c r="DT179" s="5" t="s">
        <v>11968</v>
      </c>
      <c r="DU179" s="5" t="s">
        <v>11969</v>
      </c>
      <c r="DV179" s="5" t="s">
        <v>11970</v>
      </c>
      <c r="DW179" s="5"/>
      <c r="DX179" s="5">
        <v>28</v>
      </c>
      <c r="DY179" s="5"/>
      <c r="DZ179" s="5">
        <v>100</v>
      </c>
      <c r="EA179" s="5"/>
      <c r="EB179" s="5">
        <v>0.28000000000000003</v>
      </c>
      <c r="EC179" s="5"/>
      <c r="ED179" s="5" t="s">
        <v>11971</v>
      </c>
      <c r="EE179" s="5"/>
      <c r="EF179" s="5" t="s">
        <v>11997</v>
      </c>
      <c r="EG179" s="5"/>
      <c r="EH179" s="5" t="s">
        <v>11997</v>
      </c>
      <c r="EI179" s="5"/>
      <c r="EJ179" s="5" t="s">
        <v>11997</v>
      </c>
      <c r="EK179" s="5"/>
      <c r="EL179" s="5" t="s">
        <v>11997</v>
      </c>
      <c r="EM179" s="5"/>
      <c r="EN179" s="5" t="s">
        <v>11997</v>
      </c>
      <c r="EO179" s="5"/>
      <c r="EP179" s="5" t="s">
        <v>11998</v>
      </c>
      <c r="EQ179" s="5"/>
      <c r="ER179" s="5" t="s">
        <v>11997</v>
      </c>
      <c r="ES179" s="5"/>
      <c r="ET179" s="5" t="s">
        <v>11972</v>
      </c>
      <c r="EU179" s="5"/>
      <c r="EV179" s="5"/>
      <c r="EW179" s="5"/>
      <c r="EX179" s="5"/>
      <c r="EY179" s="5" t="s">
        <v>8500</v>
      </c>
      <c r="EZ179" s="5"/>
      <c r="FA179" s="5" t="s">
        <v>1939</v>
      </c>
      <c r="FB179" s="5"/>
    </row>
    <row r="180" spans="1:158" ht="255">
      <c r="A180" s="5" t="s">
        <v>1941</v>
      </c>
      <c r="B180" s="5" t="s">
        <v>1942</v>
      </c>
      <c r="C180" s="5" t="s">
        <v>13906</v>
      </c>
      <c r="D180" s="5" t="s">
        <v>1601</v>
      </c>
      <c r="E180" s="5" t="s">
        <v>12011</v>
      </c>
      <c r="F180" s="5" t="s">
        <v>11994</v>
      </c>
      <c r="G180" s="5" t="s">
        <v>13907</v>
      </c>
      <c r="H180" s="5" t="s">
        <v>12787</v>
      </c>
      <c r="I180" s="5" t="s">
        <v>1607</v>
      </c>
      <c r="J180" s="5" t="s">
        <v>3510</v>
      </c>
      <c r="K180" s="5" t="s">
        <v>13678</v>
      </c>
      <c r="L180" s="5" t="s">
        <v>13908</v>
      </c>
      <c r="M180" s="5" t="s">
        <v>11952</v>
      </c>
      <c r="N180" s="5" t="s">
        <v>11952</v>
      </c>
      <c r="O180" s="5" t="s">
        <v>11952</v>
      </c>
      <c r="P180" s="5" t="s">
        <v>11952</v>
      </c>
      <c r="Q180" s="5" t="s">
        <v>13908</v>
      </c>
      <c r="R180" s="5" t="s">
        <v>1952</v>
      </c>
      <c r="S180" s="5" t="s">
        <v>11952</v>
      </c>
      <c r="T180" s="5" t="s">
        <v>121</v>
      </c>
      <c r="U180" s="5" t="s">
        <v>2854</v>
      </c>
      <c r="V180" s="5" t="s">
        <v>13908</v>
      </c>
      <c r="W180" s="5" t="s">
        <v>121</v>
      </c>
      <c r="X180" s="5" t="s">
        <v>13908</v>
      </c>
      <c r="Y180" s="5" t="s">
        <v>121</v>
      </c>
      <c r="Z180" s="5" t="s">
        <v>121</v>
      </c>
      <c r="AA180" s="5" t="s">
        <v>11981</v>
      </c>
      <c r="AB180" s="5" t="s">
        <v>155</v>
      </c>
      <c r="AC180" s="5" t="s">
        <v>1949</v>
      </c>
      <c r="AD180" s="5" t="s">
        <v>121</v>
      </c>
      <c r="AE180" s="5" t="s">
        <v>121</v>
      </c>
      <c r="AF180" s="5" t="s">
        <v>1949</v>
      </c>
      <c r="AG180" s="5" t="s">
        <v>121</v>
      </c>
      <c r="AH180" s="5" t="s">
        <v>121</v>
      </c>
      <c r="AI180" s="5" t="s">
        <v>121</v>
      </c>
      <c r="AJ180" s="5" t="s">
        <v>121</v>
      </c>
      <c r="AK180" s="5" t="s">
        <v>121</v>
      </c>
      <c r="AL180" s="5" t="s">
        <v>121</v>
      </c>
      <c r="AM180" s="5" t="s">
        <v>121</v>
      </c>
      <c r="AN180" s="5" t="s">
        <v>121</v>
      </c>
      <c r="AO180" s="5" t="s">
        <v>121</v>
      </c>
      <c r="AP180" s="5" t="s">
        <v>2302</v>
      </c>
      <c r="AQ180" s="5" t="s">
        <v>121</v>
      </c>
      <c r="AR180" s="5" t="s">
        <v>121</v>
      </c>
      <c r="AS180" s="5" t="s">
        <v>1950</v>
      </c>
      <c r="AT180" s="5" t="s">
        <v>121</v>
      </c>
      <c r="AU180" s="5" t="s">
        <v>1944</v>
      </c>
      <c r="AV180" s="5" t="s">
        <v>121</v>
      </c>
      <c r="AW180" s="5" t="s">
        <v>121</v>
      </c>
      <c r="AX180" s="5" t="s">
        <v>121</v>
      </c>
      <c r="AY180" s="5" t="s">
        <v>121</v>
      </c>
      <c r="AZ180" s="5" t="s">
        <v>2854</v>
      </c>
      <c r="BA180" s="5" t="s">
        <v>121</v>
      </c>
      <c r="BB180" s="5" t="s">
        <v>3510</v>
      </c>
      <c r="BC180" s="5" t="s">
        <v>121</v>
      </c>
      <c r="BD180" s="5" t="s">
        <v>121</v>
      </c>
      <c r="BE180" s="5" t="s">
        <v>121</v>
      </c>
      <c r="BF180" s="5" t="s">
        <v>121</v>
      </c>
      <c r="BG180" s="5" t="s">
        <v>121</v>
      </c>
      <c r="BH180" s="5" t="s">
        <v>13909</v>
      </c>
      <c r="BI180" s="5" t="s">
        <v>121</v>
      </c>
      <c r="BJ180" s="5" t="s">
        <v>1945</v>
      </c>
      <c r="BK180" s="5" t="s">
        <v>121</v>
      </c>
      <c r="BL180" s="5" t="s">
        <v>13910</v>
      </c>
      <c r="BM180" s="5" t="s">
        <v>13910</v>
      </c>
      <c r="BN180" s="5" t="s">
        <v>1946</v>
      </c>
      <c r="BO180" s="5" t="s">
        <v>12709</v>
      </c>
      <c r="BP180" s="5" t="s">
        <v>121</v>
      </c>
      <c r="BQ180" s="5" t="s">
        <v>2854</v>
      </c>
      <c r="BR180" s="5" t="s">
        <v>2854</v>
      </c>
      <c r="BS180" s="5" t="s">
        <v>121</v>
      </c>
      <c r="BT180" s="5" t="s">
        <v>121</v>
      </c>
      <c r="BU180" s="5" t="s">
        <v>121</v>
      </c>
      <c r="BV180" s="5" t="s">
        <v>3510</v>
      </c>
      <c r="BW180" s="5" t="s">
        <v>3510</v>
      </c>
      <c r="BX180" s="5" t="s">
        <v>3510</v>
      </c>
      <c r="BY180" s="5" t="s">
        <v>13911</v>
      </c>
      <c r="BZ180" s="5" t="s">
        <v>121</v>
      </c>
      <c r="CA180" s="5" t="s">
        <v>121</v>
      </c>
      <c r="CB180" s="5" t="s">
        <v>121</v>
      </c>
      <c r="CC180" s="5" t="s">
        <v>1943</v>
      </c>
      <c r="CD180" s="5" t="s">
        <v>121</v>
      </c>
      <c r="CE180" s="5" t="s">
        <v>121</v>
      </c>
      <c r="CF180" s="5" t="s">
        <v>11958</v>
      </c>
      <c r="CG180" s="5" t="s">
        <v>121</v>
      </c>
      <c r="CH180" s="5" t="s">
        <v>121</v>
      </c>
      <c r="CI180" s="5" t="s">
        <v>13595</v>
      </c>
      <c r="CJ180" s="5" t="s">
        <v>1948</v>
      </c>
      <c r="CK180" s="5" t="s">
        <v>1947</v>
      </c>
      <c r="CL180" s="5" t="s">
        <v>2854</v>
      </c>
      <c r="CM180" s="5" t="s">
        <v>1948</v>
      </c>
      <c r="CN180" s="5" t="s">
        <v>121</v>
      </c>
      <c r="CO180" s="5" t="s">
        <v>121</v>
      </c>
      <c r="CP180" s="5" t="s">
        <v>3510</v>
      </c>
      <c r="CQ180" s="5" t="s">
        <v>1951</v>
      </c>
      <c r="CR180" s="5" t="s">
        <v>12187</v>
      </c>
      <c r="CS180" s="5" t="s">
        <v>3510</v>
      </c>
      <c r="CT180" s="5" t="s">
        <v>3510</v>
      </c>
      <c r="CU180" s="5" t="s">
        <v>2854</v>
      </c>
      <c r="CV180" s="5" t="s">
        <v>54</v>
      </c>
      <c r="CW180" s="5" t="s">
        <v>54</v>
      </c>
      <c r="CX180" s="5" t="s">
        <v>13912</v>
      </c>
      <c r="CY180" s="5" t="s">
        <v>13913</v>
      </c>
      <c r="CZ180" s="5" t="s">
        <v>11989</v>
      </c>
      <c r="DA180" s="5" t="s">
        <v>11989</v>
      </c>
      <c r="DB180" s="5" t="s">
        <v>11963</v>
      </c>
      <c r="DC180" s="5" t="s">
        <v>13914</v>
      </c>
      <c r="DD180" s="5" t="s">
        <v>11963</v>
      </c>
      <c r="DE180" s="5" t="s">
        <v>13915</v>
      </c>
      <c r="DF180" s="5" t="s">
        <v>2854</v>
      </c>
      <c r="DG180" s="5" t="s">
        <v>13916</v>
      </c>
      <c r="DH180" s="5" t="s">
        <v>13917</v>
      </c>
      <c r="DI180" s="5" t="s">
        <v>11975</v>
      </c>
      <c r="DJ180" s="5" t="s">
        <v>12044</v>
      </c>
      <c r="DK180" s="5" t="s">
        <v>13918</v>
      </c>
      <c r="DL180" s="5">
        <v>4.7</v>
      </c>
      <c r="DM180" s="5">
        <v>3.3</v>
      </c>
      <c r="DN180" s="5">
        <v>3.7</v>
      </c>
      <c r="DO180" s="5">
        <v>3.3</v>
      </c>
      <c r="DP180" s="5">
        <v>2.2999999999999998</v>
      </c>
      <c r="DQ180" s="5">
        <v>1.3</v>
      </c>
      <c r="DR180" s="5">
        <v>0</v>
      </c>
      <c r="DS180" s="5">
        <v>60.2</v>
      </c>
      <c r="DT180" s="5" t="s">
        <v>11968</v>
      </c>
      <c r="DU180" s="5" t="s">
        <v>11996</v>
      </c>
      <c r="DV180" s="5" t="s">
        <v>11970</v>
      </c>
      <c r="DW180" s="5"/>
      <c r="DX180" s="5">
        <v>12</v>
      </c>
      <c r="DY180" s="5"/>
      <c r="DZ180" s="5">
        <v>100</v>
      </c>
      <c r="EA180" s="5"/>
      <c r="EB180" s="5">
        <v>0.12</v>
      </c>
      <c r="EC180" s="5"/>
      <c r="ED180" s="5" t="s">
        <v>11971</v>
      </c>
      <c r="EE180" s="5"/>
      <c r="EF180" s="5" t="s">
        <v>11997</v>
      </c>
      <c r="EG180" s="5"/>
      <c r="EH180" s="5" t="s">
        <v>11997</v>
      </c>
      <c r="EI180" s="5"/>
      <c r="EJ180" s="5" t="s">
        <v>11997</v>
      </c>
      <c r="EK180" s="5"/>
      <c r="EL180" s="5" t="s">
        <v>11997</v>
      </c>
      <c r="EM180" s="5"/>
      <c r="EN180" s="5" t="s">
        <v>11997</v>
      </c>
      <c r="EO180" s="5"/>
      <c r="EP180" s="5" t="s">
        <v>11998</v>
      </c>
      <c r="EQ180" s="5"/>
      <c r="ER180" s="5" t="s">
        <v>11997</v>
      </c>
      <c r="ES180" s="5"/>
      <c r="ET180" s="5" t="s">
        <v>11972</v>
      </c>
      <c r="EU180" s="5"/>
      <c r="EV180" s="5"/>
      <c r="EW180" s="5"/>
      <c r="EX180" s="5"/>
      <c r="EY180" s="5" t="s">
        <v>8533</v>
      </c>
      <c r="EZ180" s="5"/>
      <c r="FA180" s="5" t="s">
        <v>1952</v>
      </c>
      <c r="FB180" s="5"/>
    </row>
    <row r="181" spans="1:158" ht="89.25">
      <c r="A181" s="5" t="s">
        <v>1954</v>
      </c>
      <c r="B181" s="5" t="s">
        <v>11535</v>
      </c>
      <c r="C181" s="5" t="s">
        <v>11952</v>
      </c>
      <c r="D181" s="5" t="s">
        <v>1601</v>
      </c>
      <c r="E181" s="5" t="s">
        <v>11953</v>
      </c>
      <c r="F181" s="5" t="s">
        <v>11954</v>
      </c>
      <c r="G181" s="5" t="s">
        <v>11955</v>
      </c>
      <c r="H181" s="5" t="s">
        <v>11235</v>
      </c>
      <c r="I181" s="5" t="s">
        <v>1607</v>
      </c>
      <c r="J181" s="5" t="s">
        <v>3510</v>
      </c>
      <c r="K181" s="5" t="s">
        <v>11956</v>
      </c>
      <c r="L181" s="5" t="s">
        <v>1969</v>
      </c>
      <c r="M181" s="5" t="s">
        <v>11952</v>
      </c>
      <c r="N181" s="5" t="s">
        <v>11952</v>
      </c>
      <c r="O181" s="5" t="s">
        <v>11952</v>
      </c>
      <c r="P181" s="5" t="s">
        <v>11952</v>
      </c>
      <c r="Q181" s="5" t="s">
        <v>11952</v>
      </c>
      <c r="R181" s="5" t="s">
        <v>1969</v>
      </c>
      <c r="S181" s="5" t="s">
        <v>11952</v>
      </c>
      <c r="T181" s="5" t="s">
        <v>121</v>
      </c>
      <c r="U181" s="5" t="s">
        <v>3510</v>
      </c>
      <c r="V181" s="5" t="s">
        <v>121</v>
      </c>
      <c r="W181" s="5" t="s">
        <v>121</v>
      </c>
      <c r="X181" s="5" t="s">
        <v>121</v>
      </c>
      <c r="Y181" s="5" t="s">
        <v>121</v>
      </c>
      <c r="Z181" s="5" t="s">
        <v>11952</v>
      </c>
      <c r="AA181" s="5" t="s">
        <v>11952</v>
      </c>
      <c r="AB181" s="5" t="s">
        <v>121</v>
      </c>
      <c r="AC181" s="5" t="s">
        <v>121</v>
      </c>
      <c r="AD181" s="5" t="s">
        <v>121</v>
      </c>
      <c r="AE181" s="5" t="s">
        <v>121</v>
      </c>
      <c r="AF181" s="5" t="s">
        <v>121</v>
      </c>
      <c r="AG181" s="5" t="s">
        <v>13919</v>
      </c>
      <c r="AH181" s="5" t="s">
        <v>121</v>
      </c>
      <c r="AI181" s="5" t="s">
        <v>121</v>
      </c>
      <c r="AJ181" s="5" t="s">
        <v>121</v>
      </c>
      <c r="AK181" s="5" t="s">
        <v>121</v>
      </c>
      <c r="AL181" s="5" t="s">
        <v>121</v>
      </c>
      <c r="AM181" s="5" t="s">
        <v>121</v>
      </c>
      <c r="AN181" s="5" t="s">
        <v>13014</v>
      </c>
      <c r="AO181" s="5" t="s">
        <v>121</v>
      </c>
      <c r="AP181" s="5" t="s">
        <v>121</v>
      </c>
      <c r="AQ181" s="5" t="s">
        <v>121</v>
      </c>
      <c r="AR181" s="5" t="s">
        <v>121</v>
      </c>
      <c r="AS181" s="5" t="s">
        <v>13920</v>
      </c>
      <c r="AT181" s="5" t="s">
        <v>121</v>
      </c>
      <c r="AU181" s="5" t="s">
        <v>13921</v>
      </c>
      <c r="AV181" s="5" t="s">
        <v>12003</v>
      </c>
      <c r="AW181" s="5" t="s">
        <v>13921</v>
      </c>
      <c r="AX181" s="5" t="s">
        <v>12159</v>
      </c>
      <c r="AY181" s="5" t="s">
        <v>121</v>
      </c>
      <c r="AZ181" s="5" t="s">
        <v>121</v>
      </c>
      <c r="BA181" s="5" t="s">
        <v>121</v>
      </c>
      <c r="BB181" s="5" t="s">
        <v>426</v>
      </c>
      <c r="BC181" s="5" t="s">
        <v>121</v>
      </c>
      <c r="BD181" s="5" t="s">
        <v>12569</v>
      </c>
      <c r="BE181" s="5" t="s">
        <v>13922</v>
      </c>
      <c r="BF181" s="5" t="s">
        <v>13923</v>
      </c>
      <c r="BG181" s="5" t="s">
        <v>121</v>
      </c>
      <c r="BH181" s="5" t="s">
        <v>121</v>
      </c>
      <c r="BI181" s="5" t="s">
        <v>121</v>
      </c>
      <c r="BJ181" s="5" t="s">
        <v>13924</v>
      </c>
      <c r="BK181" s="5" t="s">
        <v>121</v>
      </c>
      <c r="BL181" s="5" t="s">
        <v>1693</v>
      </c>
      <c r="BM181" s="5" t="s">
        <v>1693</v>
      </c>
      <c r="BN181" s="5" t="s">
        <v>121</v>
      </c>
      <c r="BO181" s="5" t="s">
        <v>121</v>
      </c>
      <c r="BP181" s="5" t="s">
        <v>2854</v>
      </c>
      <c r="BQ181" s="5" t="s">
        <v>121</v>
      </c>
      <c r="BR181" s="5" t="s">
        <v>121</v>
      </c>
      <c r="BS181" s="5" t="s">
        <v>121</v>
      </c>
      <c r="BT181" s="5" t="s">
        <v>121</v>
      </c>
      <c r="BU181" s="5" t="s">
        <v>121</v>
      </c>
      <c r="BV181" s="5" t="s">
        <v>121</v>
      </c>
      <c r="BW181" s="5" t="s">
        <v>121</v>
      </c>
      <c r="BX181" s="5" t="s">
        <v>121</v>
      </c>
      <c r="BY181" s="5" t="s">
        <v>13925</v>
      </c>
      <c r="BZ181" s="5" t="s">
        <v>121</v>
      </c>
      <c r="CA181" s="5" t="s">
        <v>121</v>
      </c>
      <c r="CB181" s="5" t="s">
        <v>121</v>
      </c>
      <c r="CC181" s="5" t="s">
        <v>13926</v>
      </c>
      <c r="CD181" s="5" t="s">
        <v>121</v>
      </c>
      <c r="CE181" s="5" t="s">
        <v>121</v>
      </c>
      <c r="CF181" s="5" t="s">
        <v>11958</v>
      </c>
      <c r="CG181" s="5" t="s">
        <v>121</v>
      </c>
      <c r="CH181" s="5" t="s">
        <v>121</v>
      </c>
      <c r="CI181" s="5" t="s">
        <v>12034</v>
      </c>
      <c r="CJ181" s="5" t="s">
        <v>287</v>
      </c>
      <c r="CK181" s="5" t="s">
        <v>1198</v>
      </c>
      <c r="CL181" s="5" t="s">
        <v>2854</v>
      </c>
      <c r="CM181" s="5" t="s">
        <v>287</v>
      </c>
      <c r="CN181" s="5" t="s">
        <v>121</v>
      </c>
      <c r="CO181" s="5" t="s">
        <v>121</v>
      </c>
      <c r="CP181" s="5" t="s">
        <v>3510</v>
      </c>
      <c r="CQ181" s="5" t="s">
        <v>13927</v>
      </c>
      <c r="CR181" s="5" t="s">
        <v>11960</v>
      </c>
      <c r="CS181" s="5" t="s">
        <v>3510</v>
      </c>
      <c r="CT181" s="5" t="s">
        <v>3510</v>
      </c>
      <c r="CU181" s="5" t="s">
        <v>3510</v>
      </c>
      <c r="CV181" s="5" t="s">
        <v>11952</v>
      </c>
      <c r="CW181" s="5" t="s">
        <v>11952</v>
      </c>
      <c r="CX181" s="5" t="s">
        <v>13674</v>
      </c>
      <c r="CY181" s="5" t="s">
        <v>13928</v>
      </c>
      <c r="CZ181" s="5" t="s">
        <v>3510</v>
      </c>
      <c r="DA181" s="5" t="s">
        <v>11952</v>
      </c>
      <c r="DB181" s="5" t="s">
        <v>11963</v>
      </c>
      <c r="DC181" s="5" t="s">
        <v>11963</v>
      </c>
      <c r="DD181" s="5" t="s">
        <v>11963</v>
      </c>
      <c r="DE181" s="5" t="s">
        <v>11963</v>
      </c>
      <c r="DF181" s="5" t="s">
        <v>3510</v>
      </c>
      <c r="DG181" s="5" t="s">
        <v>11964</v>
      </c>
      <c r="DH181" s="5" t="s">
        <v>13929</v>
      </c>
      <c r="DI181" s="5" t="s">
        <v>11975</v>
      </c>
      <c r="DJ181" s="5" t="s">
        <v>11966</v>
      </c>
      <c r="DK181" s="5" t="s">
        <v>11967</v>
      </c>
      <c r="DL181" s="5">
        <v>5</v>
      </c>
      <c r="DM181" s="5">
        <v>3</v>
      </c>
      <c r="DN181" s="5">
        <v>3</v>
      </c>
      <c r="DO181" s="5">
        <v>4</v>
      </c>
      <c r="DP181" s="5">
        <v>5</v>
      </c>
      <c r="DQ181" s="5">
        <v>3</v>
      </c>
      <c r="DR181" s="5">
        <v>0</v>
      </c>
      <c r="DS181" s="5">
        <v>69</v>
      </c>
      <c r="DT181" s="5" t="s">
        <v>11968</v>
      </c>
      <c r="DU181" s="5" t="s">
        <v>11969</v>
      </c>
      <c r="DV181" s="5" t="s">
        <v>11970</v>
      </c>
      <c r="DW181" s="5"/>
      <c r="DX181" s="5">
        <v>26</v>
      </c>
      <c r="DY181" s="5"/>
      <c r="DZ181" s="5">
        <v>100</v>
      </c>
      <c r="EA181" s="5"/>
      <c r="EB181" s="5">
        <v>0.26</v>
      </c>
      <c r="EC181" s="5"/>
      <c r="ED181" s="5" t="s">
        <v>11971</v>
      </c>
      <c r="EE181" s="5"/>
      <c r="EF181" s="5" t="s">
        <v>11997</v>
      </c>
      <c r="EG181" s="5"/>
      <c r="EH181" s="5" t="s">
        <v>11997</v>
      </c>
      <c r="EI181" s="5"/>
      <c r="EJ181" s="5" t="s">
        <v>11997</v>
      </c>
      <c r="EK181" s="5"/>
      <c r="EL181" s="5" t="s">
        <v>11997</v>
      </c>
      <c r="EM181" s="5"/>
      <c r="EN181" s="5" t="s">
        <v>11997</v>
      </c>
      <c r="EO181" s="5"/>
      <c r="EP181" s="5" t="s">
        <v>11998</v>
      </c>
      <c r="EQ181" s="5"/>
      <c r="ER181" s="5" t="s">
        <v>11997</v>
      </c>
      <c r="ES181" s="5"/>
      <c r="ET181" s="5" t="s">
        <v>11972</v>
      </c>
      <c r="EU181" s="5"/>
      <c r="EV181" s="5"/>
      <c r="EW181" s="5"/>
      <c r="EX181" s="5"/>
      <c r="EY181" s="5" t="s">
        <v>13930</v>
      </c>
      <c r="EZ181" s="5"/>
      <c r="FA181" s="5" t="s">
        <v>1969</v>
      </c>
      <c r="FB181" s="5"/>
    </row>
    <row r="182" spans="1:158" ht="63.75">
      <c r="A182" s="5" t="s">
        <v>1971</v>
      </c>
      <c r="B182" s="5" t="s">
        <v>1972</v>
      </c>
      <c r="C182" s="5" t="s">
        <v>11952</v>
      </c>
      <c r="D182" s="5" t="s">
        <v>1973</v>
      </c>
      <c r="E182" s="5" t="s">
        <v>11953</v>
      </c>
      <c r="F182" s="5" t="s">
        <v>11954</v>
      </c>
      <c r="G182" s="5" t="s">
        <v>11955</v>
      </c>
      <c r="H182" s="5" t="s">
        <v>11238</v>
      </c>
      <c r="I182" s="5" t="s">
        <v>13931</v>
      </c>
      <c r="J182" s="5" t="s">
        <v>3510</v>
      </c>
      <c r="K182" s="5" t="s">
        <v>11956</v>
      </c>
      <c r="L182" s="5" t="s">
        <v>1979</v>
      </c>
      <c r="M182" s="5" t="s">
        <v>11952</v>
      </c>
      <c r="N182" s="5" t="s">
        <v>11952</v>
      </c>
      <c r="O182" s="5" t="s">
        <v>11952</v>
      </c>
      <c r="P182" s="5" t="s">
        <v>11952</v>
      </c>
      <c r="Q182" s="5" t="s">
        <v>11952</v>
      </c>
      <c r="R182" s="5" t="s">
        <v>11952</v>
      </c>
      <c r="S182" s="5" t="s">
        <v>1979</v>
      </c>
      <c r="T182" s="5" t="s">
        <v>121</v>
      </c>
      <c r="U182" s="5" t="s">
        <v>2854</v>
      </c>
      <c r="V182" s="5" t="s">
        <v>1979</v>
      </c>
      <c r="W182" s="5" t="s">
        <v>121</v>
      </c>
      <c r="X182" s="5" t="s">
        <v>1979</v>
      </c>
      <c r="Y182" s="5" t="s">
        <v>121</v>
      </c>
      <c r="Z182" s="5" t="s">
        <v>121</v>
      </c>
      <c r="AA182" s="5" t="s">
        <v>11981</v>
      </c>
      <c r="AB182" s="5" t="s">
        <v>155</v>
      </c>
      <c r="AC182" s="5" t="s">
        <v>1977</v>
      </c>
      <c r="AD182" s="5" t="s">
        <v>121</v>
      </c>
      <c r="AE182" s="5" t="s">
        <v>121</v>
      </c>
      <c r="AF182" s="5" t="s">
        <v>1977</v>
      </c>
      <c r="AG182" s="5" t="s">
        <v>121</v>
      </c>
      <c r="AH182" s="5" t="s">
        <v>121</v>
      </c>
      <c r="AI182" s="5" t="s">
        <v>121</v>
      </c>
      <c r="AJ182" s="5" t="s">
        <v>121</v>
      </c>
      <c r="AK182" s="5" t="s">
        <v>121</v>
      </c>
      <c r="AL182" s="5" t="s">
        <v>121</v>
      </c>
      <c r="AM182" s="5" t="s">
        <v>121</v>
      </c>
      <c r="AN182" s="5" t="s">
        <v>121</v>
      </c>
      <c r="AO182" s="5" t="s">
        <v>121</v>
      </c>
      <c r="AP182" s="5" t="s">
        <v>121</v>
      </c>
      <c r="AQ182" s="5" t="s">
        <v>121</v>
      </c>
      <c r="AR182" s="5" t="s">
        <v>121</v>
      </c>
      <c r="AS182" s="5" t="s">
        <v>428</v>
      </c>
      <c r="AT182" s="5" t="s">
        <v>121</v>
      </c>
      <c r="AU182" s="5" t="s">
        <v>1975</v>
      </c>
      <c r="AV182" s="5" t="s">
        <v>121</v>
      </c>
      <c r="AW182" s="5" t="s">
        <v>121</v>
      </c>
      <c r="AX182" s="5" t="s">
        <v>121</v>
      </c>
      <c r="AY182" s="5" t="s">
        <v>121</v>
      </c>
      <c r="AZ182" s="5" t="s">
        <v>121</v>
      </c>
      <c r="BA182" s="5" t="s">
        <v>121</v>
      </c>
      <c r="BB182" s="5" t="s">
        <v>121</v>
      </c>
      <c r="BC182" s="5" t="s">
        <v>121</v>
      </c>
      <c r="BD182" s="5" t="s">
        <v>121</v>
      </c>
      <c r="BE182" s="5" t="s">
        <v>121</v>
      </c>
      <c r="BF182" s="5" t="s">
        <v>121</v>
      </c>
      <c r="BG182" s="5" t="s">
        <v>121</v>
      </c>
      <c r="BH182" s="5" t="s">
        <v>12376</v>
      </c>
      <c r="BI182" s="5" t="s">
        <v>121</v>
      </c>
      <c r="BJ182" s="5" t="s">
        <v>1976</v>
      </c>
      <c r="BK182" s="5" t="s">
        <v>121</v>
      </c>
      <c r="BL182" s="5" t="s">
        <v>13932</v>
      </c>
      <c r="BM182" s="5" t="s">
        <v>13932</v>
      </c>
      <c r="BN182" s="5" t="s">
        <v>121</v>
      </c>
      <c r="BO182" s="5" t="s">
        <v>121</v>
      </c>
      <c r="BP182" s="5" t="s">
        <v>121</v>
      </c>
      <c r="BQ182" s="5" t="s">
        <v>121</v>
      </c>
      <c r="BR182" s="5" t="s">
        <v>2854</v>
      </c>
      <c r="BS182" s="5" t="s">
        <v>121</v>
      </c>
      <c r="BT182" s="5" t="s">
        <v>121</v>
      </c>
      <c r="BU182" s="5" t="s">
        <v>121</v>
      </c>
      <c r="BV182" s="5" t="s">
        <v>121</v>
      </c>
      <c r="BW182" s="5" t="s">
        <v>121</v>
      </c>
      <c r="BX182" s="5" t="s">
        <v>121</v>
      </c>
      <c r="BY182" s="5" t="s">
        <v>13933</v>
      </c>
      <c r="BZ182" s="5" t="s">
        <v>121</v>
      </c>
      <c r="CA182" s="5" t="s">
        <v>121</v>
      </c>
      <c r="CB182" s="5" t="s">
        <v>121</v>
      </c>
      <c r="CC182" s="5" t="s">
        <v>1974</v>
      </c>
      <c r="CD182" s="5" t="s">
        <v>121</v>
      </c>
      <c r="CE182" s="5" t="s">
        <v>121</v>
      </c>
      <c r="CF182" s="5" t="s">
        <v>11958</v>
      </c>
      <c r="CG182" s="5" t="s">
        <v>121</v>
      </c>
      <c r="CH182" s="5" t="s">
        <v>121</v>
      </c>
      <c r="CI182" s="5" t="s">
        <v>11959</v>
      </c>
      <c r="CJ182" s="5" t="s">
        <v>124</v>
      </c>
      <c r="CK182" s="5" t="s">
        <v>121</v>
      </c>
      <c r="CL182" s="5" t="s">
        <v>3510</v>
      </c>
      <c r="CM182" s="5" t="s">
        <v>124</v>
      </c>
      <c r="CN182" s="5" t="s">
        <v>121</v>
      </c>
      <c r="CO182" s="5" t="s">
        <v>121</v>
      </c>
      <c r="CP182" s="5" t="s">
        <v>3510</v>
      </c>
      <c r="CQ182" s="5" t="s">
        <v>1978</v>
      </c>
      <c r="CR182" s="5" t="s">
        <v>11960</v>
      </c>
      <c r="CS182" s="5" t="s">
        <v>3510</v>
      </c>
      <c r="CT182" s="5" t="s">
        <v>3510</v>
      </c>
      <c r="CU182" s="5" t="s">
        <v>3510</v>
      </c>
      <c r="CV182" s="5" t="s">
        <v>11952</v>
      </c>
      <c r="CW182" s="5" t="s">
        <v>11952</v>
      </c>
      <c r="CX182" s="5" t="s">
        <v>12086</v>
      </c>
      <c r="CY182" s="5" t="s">
        <v>13934</v>
      </c>
      <c r="CZ182" s="5" t="s">
        <v>11952</v>
      </c>
      <c r="DA182" s="5" t="s">
        <v>11952</v>
      </c>
      <c r="DB182" s="5" t="s">
        <v>11963</v>
      </c>
      <c r="DC182" s="5" t="s">
        <v>11963</v>
      </c>
      <c r="DD182" s="5" t="s">
        <v>11963</v>
      </c>
      <c r="DE182" s="5" t="s">
        <v>11963</v>
      </c>
      <c r="DF182" s="5" t="s">
        <v>3510</v>
      </c>
      <c r="DG182" s="5" t="s">
        <v>13935</v>
      </c>
      <c r="DH182" s="5" t="s">
        <v>13936</v>
      </c>
      <c r="DI182" s="5" t="s">
        <v>11975</v>
      </c>
      <c r="DJ182" s="5" t="s">
        <v>11966</v>
      </c>
      <c r="DK182" s="5" t="s">
        <v>11967</v>
      </c>
      <c r="DL182" s="5">
        <v>3</v>
      </c>
      <c r="DM182" s="5">
        <v>3</v>
      </c>
      <c r="DN182" s="5">
        <v>2.5</v>
      </c>
      <c r="DO182" s="5">
        <v>1</v>
      </c>
      <c r="DP182" s="5">
        <v>2</v>
      </c>
      <c r="DQ182" s="5">
        <v>2</v>
      </c>
      <c r="DR182" s="5">
        <v>0</v>
      </c>
      <c r="DS182" s="5">
        <v>42.5</v>
      </c>
      <c r="DT182" s="5" t="s">
        <v>11968</v>
      </c>
      <c r="DU182" s="5" t="s">
        <v>11969</v>
      </c>
      <c r="DV182" s="5" t="s">
        <v>12667</v>
      </c>
      <c r="DW182" s="5"/>
      <c r="DX182" s="5"/>
      <c r="DY182" s="5"/>
      <c r="DZ182" s="5">
        <v>100</v>
      </c>
      <c r="EA182" s="5"/>
      <c r="EB182" s="5"/>
      <c r="EC182" s="5"/>
      <c r="ED182" s="5" t="s">
        <v>11971</v>
      </c>
      <c r="EE182" s="5"/>
      <c r="EF182" s="5" t="s">
        <v>11997</v>
      </c>
      <c r="EG182" s="5"/>
      <c r="EH182" s="5" t="s">
        <v>11997</v>
      </c>
      <c r="EI182" s="5"/>
      <c r="EJ182" s="5" t="s">
        <v>11997</v>
      </c>
      <c r="EK182" s="5"/>
      <c r="EL182" s="5" t="s">
        <v>11997</v>
      </c>
      <c r="EM182" s="5"/>
      <c r="EN182" s="5" t="s">
        <v>11997</v>
      </c>
      <c r="EO182" s="5"/>
      <c r="EP182" s="5" t="s">
        <v>11998</v>
      </c>
      <c r="EQ182" s="5"/>
      <c r="ER182" s="5" t="s">
        <v>11997</v>
      </c>
      <c r="ES182" s="5"/>
      <c r="ET182" s="5" t="s">
        <v>11972</v>
      </c>
      <c r="EU182" s="5"/>
      <c r="EV182" s="5"/>
      <c r="EW182" s="5"/>
      <c r="EX182" s="5"/>
      <c r="EY182" s="5" t="s">
        <v>8615</v>
      </c>
      <c r="EZ182" s="5"/>
      <c r="FA182" s="5" t="s">
        <v>1979</v>
      </c>
      <c r="FB182" s="5"/>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7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14" customWidth="1"/>
    <col min="2" max="2" width="60" customWidth="1"/>
    <col min="3" max="23" width="38" customWidth="1"/>
  </cols>
  <sheetData>
    <row r="1" spans="1:23" ht="12" customHeight="1">
      <c r="A1" s="1"/>
      <c r="B1" s="1"/>
      <c r="C1" s="1"/>
      <c r="D1" s="1"/>
      <c r="E1" s="1"/>
      <c r="F1" s="1"/>
      <c r="G1" s="1"/>
      <c r="H1" s="1"/>
      <c r="I1" s="1"/>
      <c r="J1" s="1"/>
      <c r="K1" s="1"/>
      <c r="L1" s="1"/>
      <c r="M1" s="1"/>
      <c r="N1" s="1"/>
      <c r="O1" s="1"/>
      <c r="P1" s="1"/>
      <c r="Q1" s="1"/>
      <c r="R1" s="1"/>
      <c r="S1" s="1"/>
      <c r="T1" s="1"/>
      <c r="U1" s="1"/>
      <c r="V1" s="1"/>
      <c r="W1" s="1"/>
    </row>
    <row r="2" spans="1:23" ht="24" customHeight="1">
      <c r="A2" s="2" t="s">
        <v>13937</v>
      </c>
      <c r="B2" s="1"/>
      <c r="C2" s="1"/>
      <c r="D2" s="1"/>
      <c r="E2" s="1"/>
      <c r="F2" s="1"/>
      <c r="G2" s="1"/>
      <c r="H2" s="1"/>
      <c r="I2" s="1"/>
      <c r="J2" s="1"/>
      <c r="K2" s="1"/>
      <c r="L2" s="1"/>
      <c r="M2" s="1"/>
      <c r="N2" s="1"/>
      <c r="O2" s="1"/>
      <c r="P2" s="1"/>
      <c r="Q2" s="1"/>
      <c r="R2" s="1"/>
      <c r="S2" s="1"/>
      <c r="T2" s="1"/>
      <c r="U2" s="1"/>
      <c r="V2" s="1"/>
      <c r="W2" s="1"/>
    </row>
    <row r="3" spans="1:23" ht="21" customHeight="1">
      <c r="A3" s="3" t="s">
        <v>13938</v>
      </c>
      <c r="B3" s="1"/>
      <c r="C3" s="1"/>
      <c r="D3" s="1"/>
      <c r="E3" s="1"/>
      <c r="F3" s="1"/>
      <c r="G3" s="1"/>
      <c r="H3" s="1"/>
      <c r="I3" s="1"/>
      <c r="J3" s="1"/>
      <c r="K3" s="1"/>
      <c r="L3" s="1"/>
      <c r="M3" s="1"/>
      <c r="N3" s="1"/>
      <c r="O3" s="1"/>
      <c r="P3" s="1"/>
      <c r="Q3" s="1"/>
      <c r="R3" s="1"/>
      <c r="S3" s="1"/>
      <c r="T3" s="1"/>
      <c r="U3" s="1"/>
      <c r="V3" s="1"/>
      <c r="W3" s="1"/>
    </row>
    <row r="4" spans="1:23" ht="9.9499999999999993" customHeight="1">
      <c r="A4" s="1"/>
      <c r="B4" s="1"/>
      <c r="C4" s="1"/>
      <c r="D4" s="1"/>
      <c r="E4" s="1"/>
      <c r="F4" s="1"/>
      <c r="G4" s="1"/>
      <c r="H4" s="1"/>
      <c r="I4" s="1"/>
      <c r="J4" s="1"/>
      <c r="K4" s="1"/>
      <c r="L4" s="1"/>
      <c r="M4" s="1"/>
      <c r="N4" s="1"/>
      <c r="O4" s="1"/>
      <c r="P4" s="1"/>
      <c r="Q4" s="1"/>
      <c r="R4" s="1"/>
      <c r="S4" s="1"/>
      <c r="T4" s="1"/>
      <c r="U4" s="1"/>
      <c r="V4" s="1"/>
      <c r="W4" s="1"/>
    </row>
    <row r="5" spans="1:23" ht="42.95" customHeight="1">
      <c r="A5" s="4" t="s">
        <v>13939</v>
      </c>
      <c r="B5" s="4" t="s">
        <v>13940</v>
      </c>
      <c r="C5" s="4" t="s">
        <v>13941</v>
      </c>
      <c r="D5" s="4" t="s">
        <v>13942</v>
      </c>
      <c r="E5" s="4" t="s">
        <v>97</v>
      </c>
      <c r="F5" s="4" t="s">
        <v>13943</v>
      </c>
      <c r="G5" s="4" t="s">
        <v>13944</v>
      </c>
      <c r="H5" s="4" t="s">
        <v>11749</v>
      </c>
      <c r="I5" s="4" t="s">
        <v>13945</v>
      </c>
      <c r="J5" s="4" t="s">
        <v>13946</v>
      </c>
      <c r="K5" s="4" t="s">
        <v>104</v>
      </c>
      <c r="L5" s="4" t="s">
        <v>13947</v>
      </c>
      <c r="M5" s="4" t="s">
        <v>13948</v>
      </c>
      <c r="N5" s="4" t="s">
        <v>103</v>
      </c>
      <c r="O5" s="4" t="s">
        <v>13949</v>
      </c>
      <c r="P5" s="4" t="s">
        <v>13950</v>
      </c>
      <c r="Q5" s="4" t="s">
        <v>13951</v>
      </c>
      <c r="R5" s="4" t="s">
        <v>13952</v>
      </c>
      <c r="S5" s="4" t="s">
        <v>13953</v>
      </c>
      <c r="T5" s="4" t="s">
        <v>93</v>
      </c>
      <c r="U5" s="4" t="s">
        <v>13954</v>
      </c>
      <c r="V5" s="4" t="s">
        <v>13955</v>
      </c>
      <c r="W5" s="4" t="s">
        <v>13956</v>
      </c>
    </row>
    <row r="6" spans="1:23" ht="63.75">
      <c r="A6" s="5" t="s">
        <v>1992</v>
      </c>
      <c r="B6" s="5" t="s">
        <v>1982</v>
      </c>
      <c r="C6" s="5" t="s">
        <v>168</v>
      </c>
      <c r="D6" s="5" t="s">
        <v>985</v>
      </c>
      <c r="E6" s="5" t="s">
        <v>1984</v>
      </c>
      <c r="F6" s="5" t="s">
        <v>1812</v>
      </c>
      <c r="G6" s="5" t="s">
        <v>13957</v>
      </c>
      <c r="H6" s="5" t="s">
        <v>1985</v>
      </c>
      <c r="I6" s="5" t="s">
        <v>13958</v>
      </c>
      <c r="J6" s="5" t="s">
        <v>13959</v>
      </c>
      <c r="K6" s="5" t="s">
        <v>1990</v>
      </c>
      <c r="L6" s="5">
        <v>2026</v>
      </c>
      <c r="M6" s="5" t="s">
        <v>1988</v>
      </c>
      <c r="N6" s="5" t="s">
        <v>1989</v>
      </c>
      <c r="O6" s="5" t="s">
        <v>1986</v>
      </c>
      <c r="P6" s="5" t="s">
        <v>1987</v>
      </c>
      <c r="Q6" s="5" t="s">
        <v>13960</v>
      </c>
      <c r="R6" s="5" t="s">
        <v>1991</v>
      </c>
      <c r="S6" s="5" t="s">
        <v>13953</v>
      </c>
      <c r="T6" s="5" t="s">
        <v>13961</v>
      </c>
      <c r="U6" s="5" t="s">
        <v>13962</v>
      </c>
      <c r="V6" s="5" t="s">
        <v>1995</v>
      </c>
      <c r="W6" s="5" t="s">
        <v>1995</v>
      </c>
    </row>
    <row r="7" spans="1:23" ht="102">
      <c r="A7" s="5" t="s">
        <v>2007</v>
      </c>
      <c r="B7" s="5" t="s">
        <v>1998</v>
      </c>
      <c r="C7" s="5" t="s">
        <v>168</v>
      </c>
      <c r="D7" s="5" t="s">
        <v>169</v>
      </c>
      <c r="E7" s="5" t="s">
        <v>568</v>
      </c>
      <c r="F7" s="5" t="s">
        <v>174</v>
      </c>
      <c r="G7" s="5" t="s">
        <v>13957</v>
      </c>
      <c r="H7" s="5" t="s">
        <v>2000</v>
      </c>
      <c r="I7" s="5" t="s">
        <v>13963</v>
      </c>
      <c r="J7" s="5" t="s">
        <v>13964</v>
      </c>
      <c r="K7" s="5" t="s">
        <v>2005</v>
      </c>
      <c r="L7" s="5">
        <v>2025</v>
      </c>
      <c r="M7" s="5" t="s">
        <v>2003</v>
      </c>
      <c r="N7" s="5" t="s">
        <v>2004</v>
      </c>
      <c r="O7" s="5" t="s">
        <v>2001</v>
      </c>
      <c r="P7" s="5" t="s">
        <v>2002</v>
      </c>
      <c r="Q7" s="5" t="s">
        <v>13965</v>
      </c>
      <c r="R7" s="5" t="s">
        <v>2006</v>
      </c>
      <c r="S7" s="5" t="s">
        <v>13953</v>
      </c>
      <c r="T7" s="5" t="s">
        <v>13961</v>
      </c>
      <c r="U7" s="5" t="s">
        <v>13962</v>
      </c>
      <c r="V7" s="5" t="s">
        <v>2008</v>
      </c>
      <c r="W7" s="5" t="s">
        <v>2009</v>
      </c>
    </row>
    <row r="8" spans="1:23" ht="51">
      <c r="A8" s="5" t="s">
        <v>11543</v>
      </c>
      <c r="B8" s="5" t="s">
        <v>68</v>
      </c>
      <c r="C8" s="5" t="s">
        <v>168</v>
      </c>
      <c r="D8" s="5" t="s">
        <v>985</v>
      </c>
      <c r="E8" s="5" t="s">
        <v>170</v>
      </c>
      <c r="F8" s="5" t="s">
        <v>1812</v>
      </c>
      <c r="G8" s="5" t="s">
        <v>13957</v>
      </c>
      <c r="H8" s="5" t="s">
        <v>1809</v>
      </c>
      <c r="I8" s="5" t="s">
        <v>13966</v>
      </c>
      <c r="J8" s="5" t="s">
        <v>13967</v>
      </c>
      <c r="K8" s="5" t="s">
        <v>1815</v>
      </c>
      <c r="L8" s="5">
        <v>2020</v>
      </c>
      <c r="M8" s="5" t="s">
        <v>1813</v>
      </c>
      <c r="N8" s="5" t="s">
        <v>1814</v>
      </c>
      <c r="O8" s="5" t="s">
        <v>1810</v>
      </c>
      <c r="P8" s="5" t="s">
        <v>1811</v>
      </c>
      <c r="Q8" s="5" t="s">
        <v>13968</v>
      </c>
      <c r="R8" s="5" t="s">
        <v>1816</v>
      </c>
      <c r="S8" s="5" t="s">
        <v>13953</v>
      </c>
      <c r="T8" s="5" t="s">
        <v>13961</v>
      </c>
      <c r="U8" s="5" t="s">
        <v>13962</v>
      </c>
      <c r="V8" s="5" t="s">
        <v>13817</v>
      </c>
      <c r="W8" s="5" t="s">
        <v>1818</v>
      </c>
    </row>
    <row r="9" spans="1:23" ht="63.75">
      <c r="A9" s="5" t="s">
        <v>11547</v>
      </c>
      <c r="B9" s="5" t="s">
        <v>11548</v>
      </c>
      <c r="C9" s="5" t="s">
        <v>168</v>
      </c>
      <c r="D9" s="5" t="s">
        <v>169</v>
      </c>
      <c r="E9" s="5" t="s">
        <v>568</v>
      </c>
      <c r="F9" s="5" t="s">
        <v>174</v>
      </c>
      <c r="G9" s="5" t="s">
        <v>13957</v>
      </c>
      <c r="H9" s="5" t="s">
        <v>1207</v>
      </c>
      <c r="I9" s="5" t="s">
        <v>13969</v>
      </c>
      <c r="J9" s="5" t="s">
        <v>13970</v>
      </c>
      <c r="K9" s="5" t="s">
        <v>2145</v>
      </c>
      <c r="L9" s="5" t="s">
        <v>13971</v>
      </c>
      <c r="M9" s="5" t="s">
        <v>1210</v>
      </c>
      <c r="N9" s="5" t="s">
        <v>1211</v>
      </c>
      <c r="O9" s="5" t="s">
        <v>1208</v>
      </c>
      <c r="P9" s="5" t="s">
        <v>13972</v>
      </c>
      <c r="Q9" s="5" t="s">
        <v>13973</v>
      </c>
      <c r="R9" s="5" t="s">
        <v>1213</v>
      </c>
      <c r="S9" s="5" t="s">
        <v>13953</v>
      </c>
      <c r="T9" s="5" t="s">
        <v>13961</v>
      </c>
      <c r="U9" s="5" t="s">
        <v>13962</v>
      </c>
      <c r="V9" s="5" t="s">
        <v>1219</v>
      </c>
      <c r="W9" s="5" t="s">
        <v>1218</v>
      </c>
    </row>
    <row r="10" spans="1:23" ht="76.5">
      <c r="A10" s="5" t="s">
        <v>2021</v>
      </c>
      <c r="B10" s="5" t="s">
        <v>2012</v>
      </c>
      <c r="C10" s="5" t="s">
        <v>1957</v>
      </c>
      <c r="D10" s="5" t="s">
        <v>985</v>
      </c>
      <c r="E10" s="5" t="s">
        <v>568</v>
      </c>
      <c r="F10" s="5" t="s">
        <v>174</v>
      </c>
      <c r="G10" s="5" t="s">
        <v>13957</v>
      </c>
      <c r="H10" s="5" t="s">
        <v>2014</v>
      </c>
      <c r="I10" s="5" t="s">
        <v>13974</v>
      </c>
      <c r="J10" s="5" t="s">
        <v>13975</v>
      </c>
      <c r="K10" s="5" t="s">
        <v>2019</v>
      </c>
      <c r="L10" s="5">
        <v>2026</v>
      </c>
      <c r="M10" s="5" t="s">
        <v>2017</v>
      </c>
      <c r="N10" s="5" t="s">
        <v>2018</v>
      </c>
      <c r="O10" s="5" t="s">
        <v>2015</v>
      </c>
      <c r="P10" s="5" t="s">
        <v>2016</v>
      </c>
      <c r="Q10" s="5" t="s">
        <v>13976</v>
      </c>
      <c r="R10" s="5" t="s">
        <v>2020</v>
      </c>
      <c r="S10" s="5" t="s">
        <v>13953</v>
      </c>
      <c r="T10" s="5" t="s">
        <v>13961</v>
      </c>
      <c r="U10" s="5" t="s">
        <v>13962</v>
      </c>
      <c r="V10" s="5" t="s">
        <v>2022</v>
      </c>
      <c r="W10" s="5" t="s">
        <v>2023</v>
      </c>
    </row>
    <row r="11" spans="1:23" ht="38.25">
      <c r="A11" s="5" t="s">
        <v>11552</v>
      </c>
      <c r="B11" s="5" t="s">
        <v>11553</v>
      </c>
      <c r="C11" s="5" t="s">
        <v>168</v>
      </c>
      <c r="D11" s="5" t="s">
        <v>169</v>
      </c>
      <c r="E11" s="5" t="s">
        <v>568</v>
      </c>
      <c r="F11" s="5" t="s">
        <v>174</v>
      </c>
      <c r="G11" s="5" t="s">
        <v>13957</v>
      </c>
      <c r="H11" s="5" t="s">
        <v>569</v>
      </c>
      <c r="I11" s="5" t="s">
        <v>13977</v>
      </c>
      <c r="J11" s="5" t="s">
        <v>13978</v>
      </c>
      <c r="K11" s="5" t="s">
        <v>574</v>
      </c>
      <c r="L11" s="5" t="s">
        <v>13979</v>
      </c>
      <c r="M11" s="5" t="s">
        <v>572</v>
      </c>
      <c r="N11" s="5" t="s">
        <v>573</v>
      </c>
      <c r="O11" s="5" t="s">
        <v>570</v>
      </c>
      <c r="P11" s="5" t="s">
        <v>571</v>
      </c>
      <c r="Q11" s="5" t="s">
        <v>13980</v>
      </c>
      <c r="R11" s="5" t="s">
        <v>575</v>
      </c>
      <c r="S11" s="5" t="s">
        <v>13953</v>
      </c>
      <c r="T11" s="5" t="s">
        <v>13961</v>
      </c>
      <c r="U11" s="5" t="s">
        <v>13962</v>
      </c>
      <c r="V11" s="5" t="s">
        <v>579</v>
      </c>
      <c r="W11" s="5" t="s">
        <v>579</v>
      </c>
    </row>
    <row r="12" spans="1:23" ht="63.75">
      <c r="A12" s="5" t="s">
        <v>2035</v>
      </c>
      <c r="B12" s="5" t="s">
        <v>2026</v>
      </c>
      <c r="C12" s="5" t="s">
        <v>168</v>
      </c>
      <c r="D12" s="5" t="s">
        <v>985</v>
      </c>
      <c r="E12" s="5" t="s">
        <v>568</v>
      </c>
      <c r="F12" s="5" t="s">
        <v>174</v>
      </c>
      <c r="G12" s="5" t="s">
        <v>13957</v>
      </c>
      <c r="H12" s="5" t="s">
        <v>2028</v>
      </c>
      <c r="I12" s="5" t="s">
        <v>13981</v>
      </c>
      <c r="J12" s="5" t="s">
        <v>13982</v>
      </c>
      <c r="K12" s="5" t="s">
        <v>2033</v>
      </c>
      <c r="L12" s="5" t="s">
        <v>13983</v>
      </c>
      <c r="M12" s="5" t="s">
        <v>2031</v>
      </c>
      <c r="N12" s="5" t="s">
        <v>2032</v>
      </c>
      <c r="O12" s="5" t="s">
        <v>2029</v>
      </c>
      <c r="P12" s="5" t="s">
        <v>2030</v>
      </c>
      <c r="Q12" s="5" t="s">
        <v>13984</v>
      </c>
      <c r="R12" s="5" t="s">
        <v>2034</v>
      </c>
      <c r="S12" s="5" t="s">
        <v>13953</v>
      </c>
      <c r="T12" s="5" t="s">
        <v>13961</v>
      </c>
      <c r="U12" s="5" t="s">
        <v>13962</v>
      </c>
      <c r="V12" s="5" t="s">
        <v>2037</v>
      </c>
      <c r="W12" s="5" t="s">
        <v>2038</v>
      </c>
    </row>
    <row r="13" spans="1:23" ht="38.25">
      <c r="A13" s="5" t="s">
        <v>11558</v>
      </c>
      <c r="B13" s="5" t="s">
        <v>11559</v>
      </c>
      <c r="C13" s="5" t="s">
        <v>168</v>
      </c>
      <c r="D13" s="5" t="s">
        <v>169</v>
      </c>
      <c r="E13" s="5" t="s">
        <v>170</v>
      </c>
      <c r="F13" s="5" t="s">
        <v>476</v>
      </c>
      <c r="G13" s="5" t="s">
        <v>13957</v>
      </c>
      <c r="H13" s="5" t="s">
        <v>473</v>
      </c>
      <c r="I13" s="5" t="s">
        <v>13985</v>
      </c>
      <c r="J13" s="5" t="s">
        <v>13986</v>
      </c>
      <c r="K13" s="5" t="s">
        <v>479</v>
      </c>
      <c r="L13" s="5" t="s">
        <v>13987</v>
      </c>
      <c r="M13" s="5" t="s">
        <v>477</v>
      </c>
      <c r="N13" s="5" t="s">
        <v>478</v>
      </c>
      <c r="O13" s="5" t="s">
        <v>474</v>
      </c>
      <c r="P13" s="5" t="s">
        <v>475</v>
      </c>
      <c r="Q13" s="5" t="s">
        <v>13988</v>
      </c>
      <c r="R13" s="5" t="s">
        <v>480</v>
      </c>
      <c r="S13" s="5" t="s">
        <v>13953</v>
      </c>
      <c r="T13" s="5" t="s">
        <v>13961</v>
      </c>
      <c r="U13" s="5" t="s">
        <v>13962</v>
      </c>
      <c r="V13" s="5" t="s">
        <v>482</v>
      </c>
      <c r="W13" s="5" t="s">
        <v>3912</v>
      </c>
    </row>
    <row r="14" spans="1:23" ht="38.25">
      <c r="A14" s="5" t="s">
        <v>2050</v>
      </c>
      <c r="B14" s="5" t="s">
        <v>2041</v>
      </c>
      <c r="C14" s="5" t="s">
        <v>168</v>
      </c>
      <c r="D14" s="5" t="s">
        <v>985</v>
      </c>
      <c r="E14" s="5" t="s">
        <v>568</v>
      </c>
      <c r="F14" s="5" t="s">
        <v>174</v>
      </c>
      <c r="G14" s="5" t="s">
        <v>13957</v>
      </c>
      <c r="H14" s="5" t="s">
        <v>2043</v>
      </c>
      <c r="I14" s="5" t="s">
        <v>13989</v>
      </c>
      <c r="J14" s="5" t="s">
        <v>13990</v>
      </c>
      <c r="K14" s="5" t="s">
        <v>2048</v>
      </c>
      <c r="L14" s="5" t="s">
        <v>13991</v>
      </c>
      <c r="M14" s="5" t="s">
        <v>2046</v>
      </c>
      <c r="N14" s="5" t="s">
        <v>2047</v>
      </c>
      <c r="O14" s="5" t="s">
        <v>2044</v>
      </c>
      <c r="P14" s="5" t="s">
        <v>2045</v>
      </c>
      <c r="Q14" s="5" t="s">
        <v>13992</v>
      </c>
      <c r="R14" s="5" t="s">
        <v>2049</v>
      </c>
      <c r="S14" s="5" t="s">
        <v>13953</v>
      </c>
      <c r="T14" s="5" t="s">
        <v>13961</v>
      </c>
      <c r="U14" s="5" t="s">
        <v>13962</v>
      </c>
      <c r="V14" s="5" t="s">
        <v>2051</v>
      </c>
      <c r="W14" s="5" t="s">
        <v>2051</v>
      </c>
    </row>
    <row r="15" spans="1:23" ht="63.75">
      <c r="A15" s="5" t="s">
        <v>2062</v>
      </c>
      <c r="B15" s="5" t="s">
        <v>2053</v>
      </c>
      <c r="C15" s="5" t="s">
        <v>1957</v>
      </c>
      <c r="D15" s="5" t="s">
        <v>2054</v>
      </c>
      <c r="E15" s="5" t="s">
        <v>2055</v>
      </c>
      <c r="F15" s="5" t="s">
        <v>174</v>
      </c>
      <c r="G15" s="5" t="s">
        <v>13957</v>
      </c>
      <c r="H15" s="5" t="s">
        <v>2056</v>
      </c>
      <c r="I15" s="5" t="s">
        <v>13993</v>
      </c>
      <c r="J15" s="5" t="s">
        <v>13994</v>
      </c>
      <c r="K15" s="5" t="s">
        <v>2060</v>
      </c>
      <c r="L15" s="5" t="s">
        <v>13995</v>
      </c>
      <c r="M15" s="5" t="s">
        <v>2058</v>
      </c>
      <c r="N15" s="5" t="s">
        <v>2059</v>
      </c>
      <c r="O15" s="5" t="s">
        <v>2057</v>
      </c>
      <c r="P15" s="5" t="s">
        <v>1198</v>
      </c>
      <c r="Q15" s="5" t="s">
        <v>13996</v>
      </c>
      <c r="R15" s="5" t="s">
        <v>2061</v>
      </c>
      <c r="S15" s="5" t="s">
        <v>13953</v>
      </c>
      <c r="T15" s="5" t="s">
        <v>13961</v>
      </c>
      <c r="U15" s="5" t="s">
        <v>13962</v>
      </c>
      <c r="V15" s="5" t="s">
        <v>8899</v>
      </c>
      <c r="W15" s="5" t="s">
        <v>8886</v>
      </c>
    </row>
    <row r="16" spans="1:23" ht="89.25">
      <c r="A16" s="5" t="s">
        <v>2076</v>
      </c>
      <c r="B16" s="5" t="s">
        <v>2067</v>
      </c>
      <c r="C16" s="5" t="s">
        <v>1957</v>
      </c>
      <c r="D16" s="5" t="s">
        <v>2054</v>
      </c>
      <c r="E16" s="5" t="s">
        <v>568</v>
      </c>
      <c r="F16" s="5" t="s">
        <v>476</v>
      </c>
      <c r="G16" s="5" t="s">
        <v>13957</v>
      </c>
      <c r="H16" s="5" t="s">
        <v>2069</v>
      </c>
      <c r="I16" s="5" t="s">
        <v>13997</v>
      </c>
      <c r="J16" s="5" t="s">
        <v>13998</v>
      </c>
      <c r="K16" s="5" t="s">
        <v>2074</v>
      </c>
      <c r="L16" s="5">
        <v>2020</v>
      </c>
      <c r="M16" s="5" t="s">
        <v>2072</v>
      </c>
      <c r="N16" s="5" t="s">
        <v>2073</v>
      </c>
      <c r="O16" s="5" t="s">
        <v>2070</v>
      </c>
      <c r="P16" s="5" t="s">
        <v>2071</v>
      </c>
      <c r="Q16" s="5" t="s">
        <v>13999</v>
      </c>
      <c r="R16" s="5" t="s">
        <v>2075</v>
      </c>
      <c r="S16" s="5" t="s">
        <v>13953</v>
      </c>
      <c r="T16" s="5" t="s">
        <v>13961</v>
      </c>
      <c r="U16" s="5" t="s">
        <v>13962</v>
      </c>
      <c r="V16" s="5" t="s">
        <v>2077</v>
      </c>
      <c r="W16" s="5" t="s">
        <v>2078</v>
      </c>
    </row>
    <row r="17" spans="1:23" ht="63.75">
      <c r="A17" s="5" t="s">
        <v>2090</v>
      </c>
      <c r="B17" s="5" t="s">
        <v>2081</v>
      </c>
      <c r="C17" s="5" t="s">
        <v>1957</v>
      </c>
      <c r="D17" s="5" t="s">
        <v>169</v>
      </c>
      <c r="E17" s="5" t="s">
        <v>2083</v>
      </c>
      <c r="F17" s="5" t="s">
        <v>174</v>
      </c>
      <c r="G17" s="5" t="s">
        <v>13957</v>
      </c>
      <c r="H17" s="5" t="s">
        <v>2084</v>
      </c>
      <c r="I17" s="5" t="s">
        <v>14000</v>
      </c>
      <c r="J17" s="5" t="s">
        <v>14001</v>
      </c>
      <c r="K17" s="5" t="s">
        <v>2088</v>
      </c>
      <c r="L17" s="5">
        <v>2022</v>
      </c>
      <c r="M17" s="5" t="s">
        <v>2086</v>
      </c>
      <c r="N17" s="5" t="s">
        <v>2087</v>
      </c>
      <c r="O17" s="5" t="s">
        <v>2085</v>
      </c>
      <c r="P17" s="5" t="s">
        <v>1060</v>
      </c>
      <c r="Q17" s="5" t="s">
        <v>14002</v>
      </c>
      <c r="R17" s="5" t="s">
        <v>2089</v>
      </c>
      <c r="S17" s="5" t="s">
        <v>13953</v>
      </c>
      <c r="T17" s="5" t="s">
        <v>13961</v>
      </c>
      <c r="U17" s="5" t="s">
        <v>13962</v>
      </c>
      <c r="V17" s="5" t="s">
        <v>2092</v>
      </c>
      <c r="W17" s="5" t="s">
        <v>2093</v>
      </c>
    </row>
    <row r="18" spans="1:23" ht="38.25">
      <c r="A18" s="5" t="s">
        <v>2104</v>
      </c>
      <c r="B18" s="5" t="s">
        <v>2096</v>
      </c>
      <c r="C18" s="5" t="s">
        <v>1957</v>
      </c>
      <c r="D18" s="5" t="s">
        <v>169</v>
      </c>
      <c r="E18" s="5" t="s">
        <v>568</v>
      </c>
      <c r="F18" s="5" t="s">
        <v>174</v>
      </c>
      <c r="G18" s="5" t="s">
        <v>13957</v>
      </c>
      <c r="H18" s="5" t="s">
        <v>2098</v>
      </c>
      <c r="I18" s="5" t="s">
        <v>14003</v>
      </c>
      <c r="J18" s="5" t="s">
        <v>14004</v>
      </c>
      <c r="K18" s="5" t="s">
        <v>2102</v>
      </c>
      <c r="L18" s="5">
        <v>2023</v>
      </c>
      <c r="M18" s="5" t="s">
        <v>2100</v>
      </c>
      <c r="N18" s="5" t="s">
        <v>2101</v>
      </c>
      <c r="O18" s="5" t="s">
        <v>2099</v>
      </c>
      <c r="P18" s="5" t="s">
        <v>1060</v>
      </c>
      <c r="Q18" s="5" t="s">
        <v>14005</v>
      </c>
      <c r="R18" s="5" t="s">
        <v>2103</v>
      </c>
      <c r="S18" s="5" t="s">
        <v>13953</v>
      </c>
      <c r="T18" s="5" t="s">
        <v>13961</v>
      </c>
      <c r="U18" s="5" t="s">
        <v>13962</v>
      </c>
      <c r="V18" s="5" t="s">
        <v>2105</v>
      </c>
      <c r="W18" s="5" t="s">
        <v>2105</v>
      </c>
    </row>
    <row r="19" spans="1:23" ht="51">
      <c r="A19" s="5" t="s">
        <v>2118</v>
      </c>
      <c r="B19" s="5" t="s">
        <v>2108</v>
      </c>
      <c r="C19" s="5" t="s">
        <v>1957</v>
      </c>
      <c r="D19" s="5" t="s">
        <v>985</v>
      </c>
      <c r="E19" s="5" t="s">
        <v>2110</v>
      </c>
      <c r="F19" s="5" t="s">
        <v>476</v>
      </c>
      <c r="G19" s="5" t="s">
        <v>13957</v>
      </c>
      <c r="H19" s="5" t="s">
        <v>2111</v>
      </c>
      <c r="I19" s="5" t="s">
        <v>14006</v>
      </c>
      <c r="J19" s="5" t="s">
        <v>14007</v>
      </c>
      <c r="K19" s="5" t="s">
        <v>2116</v>
      </c>
      <c r="L19" s="5" t="s">
        <v>14008</v>
      </c>
      <c r="M19" s="5" t="s">
        <v>2114</v>
      </c>
      <c r="N19" s="5" t="s">
        <v>2115</v>
      </c>
      <c r="O19" s="5" t="s">
        <v>2112</v>
      </c>
      <c r="P19" s="5" t="s">
        <v>2113</v>
      </c>
      <c r="Q19" s="5" t="s">
        <v>14009</v>
      </c>
      <c r="R19" s="5" t="s">
        <v>2117</v>
      </c>
      <c r="S19" s="5" t="s">
        <v>13953</v>
      </c>
      <c r="T19" s="5" t="s">
        <v>13961</v>
      </c>
      <c r="U19" s="5" t="s">
        <v>13962</v>
      </c>
      <c r="V19" s="5" t="s">
        <v>2119</v>
      </c>
      <c r="W19" s="5" t="s">
        <v>2120</v>
      </c>
    </row>
    <row r="20" spans="1:23" ht="51">
      <c r="A20" s="5" t="s">
        <v>2132</v>
      </c>
      <c r="B20" s="5" t="s">
        <v>2123</v>
      </c>
      <c r="C20" s="5" t="s">
        <v>168</v>
      </c>
      <c r="D20" s="5" t="s">
        <v>985</v>
      </c>
      <c r="E20" s="5" t="s">
        <v>170</v>
      </c>
      <c r="F20" s="5" t="s">
        <v>1961</v>
      </c>
      <c r="G20" s="5" t="s">
        <v>13957</v>
      </c>
      <c r="H20" s="5" t="s">
        <v>2125</v>
      </c>
      <c r="I20" s="5" t="s">
        <v>14010</v>
      </c>
      <c r="J20" s="5" t="s">
        <v>14011</v>
      </c>
      <c r="K20" s="5" t="s">
        <v>2130</v>
      </c>
      <c r="L20" s="5">
        <v>2026</v>
      </c>
      <c r="M20" s="5" t="s">
        <v>2128</v>
      </c>
      <c r="N20" s="5" t="s">
        <v>2129</v>
      </c>
      <c r="O20" s="5" t="s">
        <v>2126</v>
      </c>
      <c r="P20" s="5" t="s">
        <v>2127</v>
      </c>
      <c r="Q20" s="5" t="s">
        <v>14012</v>
      </c>
      <c r="R20" s="5" t="s">
        <v>2131</v>
      </c>
      <c r="S20" s="5" t="s">
        <v>13953</v>
      </c>
      <c r="T20" s="5" t="s">
        <v>13961</v>
      </c>
      <c r="U20" s="5" t="s">
        <v>13962</v>
      </c>
      <c r="V20" s="5" t="s">
        <v>2133</v>
      </c>
      <c r="W20" s="5" t="s">
        <v>2134</v>
      </c>
    </row>
    <row r="21" spans="1:23" ht="38.25">
      <c r="A21" s="5" t="s">
        <v>2147</v>
      </c>
      <c r="B21" s="5" t="s">
        <v>2137</v>
      </c>
      <c r="C21" s="5" t="s">
        <v>2139</v>
      </c>
      <c r="D21" s="5" t="s">
        <v>985</v>
      </c>
      <c r="E21" s="5" t="s">
        <v>568</v>
      </c>
      <c r="F21" s="5" t="s">
        <v>174</v>
      </c>
      <c r="G21" s="5" t="s">
        <v>13957</v>
      </c>
      <c r="H21" s="5" t="s">
        <v>2140</v>
      </c>
      <c r="I21" s="5" t="s">
        <v>14013</v>
      </c>
      <c r="J21" s="5" t="s">
        <v>14014</v>
      </c>
      <c r="K21" s="5" t="s">
        <v>2145</v>
      </c>
      <c r="L21" s="5" t="s">
        <v>14015</v>
      </c>
      <c r="M21" s="5" t="s">
        <v>2143</v>
      </c>
      <c r="N21" s="5" t="s">
        <v>2144</v>
      </c>
      <c r="O21" s="5" t="s">
        <v>2141</v>
      </c>
      <c r="P21" s="5" t="s">
        <v>2142</v>
      </c>
      <c r="Q21" s="5" t="s">
        <v>14016</v>
      </c>
      <c r="R21" s="5" t="s">
        <v>2146</v>
      </c>
      <c r="S21" s="5" t="s">
        <v>13953</v>
      </c>
      <c r="T21" s="5" t="s">
        <v>13961</v>
      </c>
      <c r="U21" s="5" t="s">
        <v>13962</v>
      </c>
      <c r="V21" s="5" t="s">
        <v>1219</v>
      </c>
      <c r="W21" s="5" t="s">
        <v>2149</v>
      </c>
    </row>
    <row r="22" spans="1:23" ht="76.5">
      <c r="A22" s="5" t="s">
        <v>2161</v>
      </c>
      <c r="B22" s="5" t="s">
        <v>2152</v>
      </c>
      <c r="C22" s="5" t="s">
        <v>168</v>
      </c>
      <c r="D22" s="5" t="s">
        <v>169</v>
      </c>
      <c r="E22" s="5" t="s">
        <v>170</v>
      </c>
      <c r="F22" s="5" t="s">
        <v>1961</v>
      </c>
      <c r="G22" s="5" t="s">
        <v>13957</v>
      </c>
      <c r="H22" s="5" t="s">
        <v>2154</v>
      </c>
      <c r="I22" s="5" t="s">
        <v>14017</v>
      </c>
      <c r="J22" s="5" t="s">
        <v>14018</v>
      </c>
      <c r="K22" s="5" t="s">
        <v>2159</v>
      </c>
      <c r="L22" s="5">
        <v>2026</v>
      </c>
      <c r="M22" s="5" t="s">
        <v>2157</v>
      </c>
      <c r="N22" s="5" t="s">
        <v>2158</v>
      </c>
      <c r="O22" s="5" t="s">
        <v>2155</v>
      </c>
      <c r="P22" s="5" t="s">
        <v>2156</v>
      </c>
      <c r="Q22" s="5" t="s">
        <v>14019</v>
      </c>
      <c r="R22" s="5" t="s">
        <v>2160</v>
      </c>
      <c r="S22" s="5" t="s">
        <v>13953</v>
      </c>
      <c r="T22" s="5" t="s">
        <v>13961</v>
      </c>
      <c r="U22" s="5" t="s">
        <v>13962</v>
      </c>
      <c r="V22" s="5" t="s">
        <v>2162</v>
      </c>
      <c r="W22" s="5" t="s">
        <v>2163</v>
      </c>
    </row>
    <row r="23" spans="1:23" ht="51">
      <c r="A23" s="5" t="s">
        <v>11573</v>
      </c>
      <c r="B23" s="5" t="s">
        <v>11574</v>
      </c>
      <c r="C23" s="5" t="s">
        <v>168</v>
      </c>
      <c r="D23" s="5" t="s">
        <v>169</v>
      </c>
      <c r="E23" s="5" t="s">
        <v>170</v>
      </c>
      <c r="F23" s="5" t="s">
        <v>174</v>
      </c>
      <c r="G23" s="5" t="s">
        <v>13957</v>
      </c>
      <c r="H23" s="5" t="s">
        <v>14020</v>
      </c>
      <c r="I23" s="5" t="s">
        <v>14021</v>
      </c>
      <c r="J23" s="5" t="s">
        <v>14022</v>
      </c>
      <c r="K23" s="5" t="s">
        <v>901</v>
      </c>
      <c r="L23" s="5" t="s">
        <v>14023</v>
      </c>
      <c r="M23" s="5" t="s">
        <v>899</v>
      </c>
      <c r="N23" s="5" t="s">
        <v>900</v>
      </c>
      <c r="O23" s="5" t="s">
        <v>898</v>
      </c>
      <c r="P23" s="5" t="s">
        <v>14024</v>
      </c>
      <c r="Q23" s="5" t="s">
        <v>14025</v>
      </c>
      <c r="R23" s="5" t="s">
        <v>902</v>
      </c>
      <c r="S23" s="5" t="s">
        <v>13953</v>
      </c>
      <c r="T23" s="5" t="s">
        <v>13961</v>
      </c>
      <c r="U23" s="5" t="s">
        <v>13962</v>
      </c>
      <c r="V23" s="5" t="s">
        <v>907</v>
      </c>
      <c r="W23" s="5" t="s">
        <v>907</v>
      </c>
    </row>
    <row r="24" spans="1:23" ht="51">
      <c r="A24" s="5" t="s">
        <v>11577</v>
      </c>
      <c r="B24" s="5" t="s">
        <v>11578</v>
      </c>
      <c r="C24" s="5" t="s">
        <v>168</v>
      </c>
      <c r="D24" s="5" t="s">
        <v>169</v>
      </c>
      <c r="E24" s="5" t="s">
        <v>170</v>
      </c>
      <c r="F24" s="5" t="s">
        <v>174</v>
      </c>
      <c r="G24" s="5" t="s">
        <v>13957</v>
      </c>
      <c r="H24" s="5" t="s">
        <v>509</v>
      </c>
      <c r="I24" s="5" t="s">
        <v>14026</v>
      </c>
      <c r="J24" s="5" t="s">
        <v>14027</v>
      </c>
      <c r="K24" s="5" t="s">
        <v>514</v>
      </c>
      <c r="L24" s="5" t="s">
        <v>14028</v>
      </c>
      <c r="M24" s="5" t="s">
        <v>512</v>
      </c>
      <c r="N24" s="5" t="s">
        <v>513</v>
      </c>
      <c r="O24" s="5" t="s">
        <v>510</v>
      </c>
      <c r="P24" s="5" t="s">
        <v>511</v>
      </c>
      <c r="Q24" s="5" t="s">
        <v>14029</v>
      </c>
      <c r="R24" s="5" t="s">
        <v>515</v>
      </c>
      <c r="S24" s="5" t="s">
        <v>13953</v>
      </c>
      <c r="T24" s="5" t="s">
        <v>13961</v>
      </c>
      <c r="U24" s="5" t="s">
        <v>13962</v>
      </c>
      <c r="V24" s="5" t="s">
        <v>543</v>
      </c>
      <c r="W24" s="5" t="s">
        <v>520</v>
      </c>
    </row>
    <row r="25" spans="1:23" ht="38.25">
      <c r="A25" s="5" t="s">
        <v>2177</v>
      </c>
      <c r="B25" s="5" t="s">
        <v>2166</v>
      </c>
      <c r="C25" s="5" t="s">
        <v>2168</v>
      </c>
      <c r="D25" s="5" t="s">
        <v>985</v>
      </c>
      <c r="E25" s="5" t="s">
        <v>2169</v>
      </c>
      <c r="F25" s="5" t="s">
        <v>174</v>
      </c>
      <c r="G25" s="5" t="s">
        <v>13957</v>
      </c>
      <c r="H25" s="5" t="s">
        <v>2170</v>
      </c>
      <c r="I25" s="5" t="s">
        <v>14030</v>
      </c>
      <c r="J25" s="5" t="s">
        <v>14031</v>
      </c>
      <c r="K25" s="5" t="s">
        <v>2175</v>
      </c>
      <c r="L25" s="5">
        <v>2020</v>
      </c>
      <c r="M25" s="5" t="s">
        <v>2173</v>
      </c>
      <c r="N25" s="5" t="s">
        <v>2174</v>
      </c>
      <c r="O25" s="5" t="s">
        <v>2171</v>
      </c>
      <c r="P25" s="5" t="s">
        <v>2172</v>
      </c>
      <c r="Q25" s="5" t="s">
        <v>14032</v>
      </c>
      <c r="R25" s="5" t="s">
        <v>2176</v>
      </c>
      <c r="S25" s="5" t="s">
        <v>13953</v>
      </c>
      <c r="T25" s="5" t="s">
        <v>13961</v>
      </c>
      <c r="U25" s="5" t="s">
        <v>13962</v>
      </c>
      <c r="V25" s="5" t="s">
        <v>2178</v>
      </c>
      <c r="W25" s="5" t="s">
        <v>2179</v>
      </c>
    </row>
    <row r="26" spans="1:23" ht="38.25">
      <c r="A26" s="5" t="s">
        <v>2191</v>
      </c>
      <c r="B26" s="5" t="s">
        <v>2182</v>
      </c>
      <c r="C26" s="5" t="s">
        <v>2168</v>
      </c>
      <c r="D26" s="5" t="s">
        <v>985</v>
      </c>
      <c r="E26" s="5" t="s">
        <v>568</v>
      </c>
      <c r="F26" s="5" t="s">
        <v>476</v>
      </c>
      <c r="G26" s="5" t="s">
        <v>13957</v>
      </c>
      <c r="H26" s="5" t="s">
        <v>2184</v>
      </c>
      <c r="I26" s="5" t="s">
        <v>14033</v>
      </c>
      <c r="J26" s="5" t="s">
        <v>14034</v>
      </c>
      <c r="K26" s="5" t="s">
        <v>2189</v>
      </c>
      <c r="L26" s="5">
        <v>2026</v>
      </c>
      <c r="M26" s="5" t="s">
        <v>2187</v>
      </c>
      <c r="N26" s="5" t="s">
        <v>2188</v>
      </c>
      <c r="O26" s="5" t="s">
        <v>2185</v>
      </c>
      <c r="P26" s="5" t="s">
        <v>2186</v>
      </c>
      <c r="Q26" s="5" t="s">
        <v>14035</v>
      </c>
      <c r="R26" s="5" t="s">
        <v>2190</v>
      </c>
      <c r="S26" s="5" t="s">
        <v>13953</v>
      </c>
      <c r="T26" s="5" t="s">
        <v>13961</v>
      </c>
      <c r="U26" s="5" t="s">
        <v>13962</v>
      </c>
      <c r="V26" s="5" t="s">
        <v>2192</v>
      </c>
      <c r="W26" s="5" t="s">
        <v>2193</v>
      </c>
    </row>
    <row r="27" spans="1:23" ht="38.25">
      <c r="A27" s="5" t="s">
        <v>11583</v>
      </c>
      <c r="B27" s="5" t="s">
        <v>1955</v>
      </c>
      <c r="C27" s="5" t="s">
        <v>1957</v>
      </c>
      <c r="D27" s="5" t="s">
        <v>985</v>
      </c>
      <c r="E27" s="5" t="s">
        <v>170</v>
      </c>
      <c r="F27" s="5" t="s">
        <v>1961</v>
      </c>
      <c r="G27" s="5" t="s">
        <v>13957</v>
      </c>
      <c r="H27" s="5" t="s">
        <v>14036</v>
      </c>
      <c r="I27" s="5" t="s">
        <v>14037</v>
      </c>
      <c r="J27" s="5" t="s">
        <v>14038</v>
      </c>
      <c r="K27" s="5" t="s">
        <v>1964</v>
      </c>
      <c r="L27" s="5" t="s">
        <v>14039</v>
      </c>
      <c r="M27" s="5" t="s">
        <v>1962</v>
      </c>
      <c r="N27" s="5" t="s">
        <v>1963</v>
      </c>
      <c r="O27" s="5" t="s">
        <v>1959</v>
      </c>
      <c r="P27" s="5" t="s">
        <v>14040</v>
      </c>
      <c r="Q27" s="5" t="s">
        <v>14041</v>
      </c>
      <c r="R27" s="5" t="s">
        <v>1965</v>
      </c>
      <c r="S27" s="5" t="s">
        <v>13953</v>
      </c>
      <c r="T27" s="5" t="s">
        <v>13961</v>
      </c>
      <c r="U27" s="5" t="s">
        <v>13962</v>
      </c>
      <c r="V27" s="5" t="s">
        <v>14042</v>
      </c>
      <c r="W27" s="5" t="s">
        <v>8566</v>
      </c>
    </row>
    <row r="28" spans="1:23" ht="38.25">
      <c r="A28" s="5" t="s">
        <v>11586</v>
      </c>
      <c r="B28" s="5" t="s">
        <v>11587</v>
      </c>
      <c r="C28" s="5" t="s">
        <v>168</v>
      </c>
      <c r="D28" s="5" t="s">
        <v>169</v>
      </c>
      <c r="E28" s="5" t="s">
        <v>170</v>
      </c>
      <c r="F28" s="5" t="s">
        <v>174</v>
      </c>
      <c r="G28" s="5" t="s">
        <v>14043</v>
      </c>
      <c r="H28" s="5" t="s">
        <v>171</v>
      </c>
      <c r="I28" s="5" t="s">
        <v>14044</v>
      </c>
      <c r="J28" s="5" t="s">
        <v>14045</v>
      </c>
      <c r="K28" s="5" t="s">
        <v>177</v>
      </c>
      <c r="L28" s="5" t="s">
        <v>14046</v>
      </c>
      <c r="M28" s="5" t="s">
        <v>175</v>
      </c>
      <c r="N28" s="5" t="s">
        <v>176</v>
      </c>
      <c r="O28" s="5" t="s">
        <v>172</v>
      </c>
      <c r="P28" s="5" t="s">
        <v>14047</v>
      </c>
      <c r="Q28" s="5" t="s">
        <v>14048</v>
      </c>
      <c r="R28" s="5" t="s">
        <v>178</v>
      </c>
      <c r="S28" s="5" t="s">
        <v>13953</v>
      </c>
      <c r="T28" s="5" t="s">
        <v>13961</v>
      </c>
      <c r="U28" s="5" t="s">
        <v>13962</v>
      </c>
      <c r="V28" s="5" t="s">
        <v>184</v>
      </c>
      <c r="W28" s="5" t="s">
        <v>2988</v>
      </c>
    </row>
    <row r="29" spans="1:23" ht="38.25">
      <c r="A29" s="5" t="s">
        <v>11590</v>
      </c>
      <c r="B29" s="5" t="s">
        <v>303</v>
      </c>
      <c r="C29" s="5" t="s">
        <v>168</v>
      </c>
      <c r="D29" s="5" t="s">
        <v>169</v>
      </c>
      <c r="E29" s="5" t="s">
        <v>305</v>
      </c>
      <c r="F29" s="5" t="s">
        <v>174</v>
      </c>
      <c r="G29" s="5" t="s">
        <v>14043</v>
      </c>
      <c r="H29" s="5" t="s">
        <v>306</v>
      </c>
      <c r="I29" s="5" t="s">
        <v>14049</v>
      </c>
      <c r="J29" s="5" t="s">
        <v>14050</v>
      </c>
      <c r="K29" s="5" t="s">
        <v>311</v>
      </c>
      <c r="L29" s="5">
        <v>2020</v>
      </c>
      <c r="M29" s="5" t="s">
        <v>309</v>
      </c>
      <c r="N29" s="5" t="s">
        <v>310</v>
      </c>
      <c r="O29" s="5" t="s">
        <v>307</v>
      </c>
      <c r="P29" s="5" t="s">
        <v>308</v>
      </c>
      <c r="Q29" s="5" t="s">
        <v>14051</v>
      </c>
      <c r="R29" s="5" t="s">
        <v>312</v>
      </c>
      <c r="S29" s="5" t="s">
        <v>13953</v>
      </c>
      <c r="T29" s="5" t="s">
        <v>13961</v>
      </c>
      <c r="U29" s="5" t="s">
        <v>13962</v>
      </c>
      <c r="V29" s="5" t="s">
        <v>315</v>
      </c>
      <c r="W29" s="5" t="s">
        <v>3422</v>
      </c>
    </row>
    <row r="30" spans="1:23" ht="89.25">
      <c r="A30" s="5" t="s">
        <v>2205</v>
      </c>
      <c r="B30" s="5" t="s">
        <v>2196</v>
      </c>
      <c r="C30" s="5" t="s">
        <v>168</v>
      </c>
      <c r="D30" s="5" t="s">
        <v>169</v>
      </c>
      <c r="E30" s="5" t="s">
        <v>170</v>
      </c>
      <c r="F30" s="5" t="s">
        <v>476</v>
      </c>
      <c r="G30" s="5" t="s">
        <v>14043</v>
      </c>
      <c r="H30" s="5" t="s">
        <v>2198</v>
      </c>
      <c r="I30" s="5" t="s">
        <v>14052</v>
      </c>
      <c r="J30" s="5" t="s">
        <v>14053</v>
      </c>
      <c r="K30" s="5" t="s">
        <v>2203</v>
      </c>
      <c r="L30" s="5">
        <v>2021</v>
      </c>
      <c r="M30" s="5" t="s">
        <v>2201</v>
      </c>
      <c r="N30" s="5" t="s">
        <v>2202</v>
      </c>
      <c r="O30" s="5" t="s">
        <v>2199</v>
      </c>
      <c r="P30" s="5" t="s">
        <v>2200</v>
      </c>
      <c r="Q30" s="5" t="s">
        <v>14054</v>
      </c>
      <c r="R30" s="5" t="s">
        <v>2204</v>
      </c>
      <c r="S30" s="5" t="s">
        <v>13953</v>
      </c>
      <c r="T30" s="5" t="s">
        <v>13961</v>
      </c>
      <c r="U30" s="5" t="s">
        <v>13962</v>
      </c>
      <c r="V30" s="5" t="s">
        <v>2207</v>
      </c>
      <c r="W30" s="5" t="s">
        <v>2208</v>
      </c>
    </row>
    <row r="31" spans="1:23" ht="89.25">
      <c r="A31" s="5" t="s">
        <v>2220</v>
      </c>
      <c r="B31" s="5" t="s">
        <v>2211</v>
      </c>
      <c r="C31" s="5" t="s">
        <v>168</v>
      </c>
      <c r="D31" s="5" t="s">
        <v>169</v>
      </c>
      <c r="E31" s="5" t="s">
        <v>170</v>
      </c>
      <c r="F31" s="5" t="s">
        <v>476</v>
      </c>
      <c r="G31" s="5" t="s">
        <v>14043</v>
      </c>
      <c r="H31" s="5" t="s">
        <v>2213</v>
      </c>
      <c r="I31" s="5" t="s">
        <v>14055</v>
      </c>
      <c r="J31" s="5" t="s">
        <v>14056</v>
      </c>
      <c r="K31" s="5" t="s">
        <v>2218</v>
      </c>
      <c r="L31" s="5" t="s">
        <v>14057</v>
      </c>
      <c r="M31" s="5" t="s">
        <v>2216</v>
      </c>
      <c r="N31" s="5" t="s">
        <v>2217</v>
      </c>
      <c r="O31" s="5" t="s">
        <v>2214</v>
      </c>
      <c r="P31" s="5" t="s">
        <v>2215</v>
      </c>
      <c r="Q31" s="5" t="s">
        <v>14058</v>
      </c>
      <c r="R31" s="5" t="s">
        <v>2219</v>
      </c>
      <c r="S31" s="5" t="s">
        <v>13953</v>
      </c>
      <c r="T31" s="5" t="s">
        <v>13961</v>
      </c>
      <c r="U31" s="5" t="s">
        <v>13962</v>
      </c>
      <c r="V31" s="5" t="s">
        <v>2208</v>
      </c>
      <c r="W31" s="5" t="s">
        <v>2221</v>
      </c>
    </row>
    <row r="32" spans="1:23" ht="76.5">
      <c r="A32" s="5" t="s">
        <v>2234</v>
      </c>
      <c r="B32" s="5" t="s">
        <v>2224</v>
      </c>
      <c r="C32" s="5" t="s">
        <v>168</v>
      </c>
      <c r="D32" s="5" t="s">
        <v>169</v>
      </c>
      <c r="E32" s="5" t="s">
        <v>2226</v>
      </c>
      <c r="F32" s="5" t="s">
        <v>1812</v>
      </c>
      <c r="G32" s="5" t="s">
        <v>14043</v>
      </c>
      <c r="H32" s="5" t="s">
        <v>2227</v>
      </c>
      <c r="I32" s="5" t="s">
        <v>14059</v>
      </c>
      <c r="J32" s="5" t="s">
        <v>14060</v>
      </c>
      <c r="K32" s="5" t="s">
        <v>2232</v>
      </c>
      <c r="L32" s="5" t="s">
        <v>14061</v>
      </c>
      <c r="M32" s="5" t="s">
        <v>2230</v>
      </c>
      <c r="N32" s="5" t="s">
        <v>2231</v>
      </c>
      <c r="O32" s="5" t="s">
        <v>2228</v>
      </c>
      <c r="P32" s="5" t="s">
        <v>2229</v>
      </c>
      <c r="Q32" s="5" t="s">
        <v>14062</v>
      </c>
      <c r="R32" s="5" t="s">
        <v>2233</v>
      </c>
      <c r="S32" s="5" t="s">
        <v>13953</v>
      </c>
      <c r="T32" s="5" t="s">
        <v>13961</v>
      </c>
      <c r="U32" s="5" t="s">
        <v>13962</v>
      </c>
      <c r="V32" s="5" t="s">
        <v>2235</v>
      </c>
      <c r="W32" s="5" t="s">
        <v>2236</v>
      </c>
    </row>
    <row r="33" spans="1:23" ht="63.75">
      <c r="A33" s="5" t="s">
        <v>11597</v>
      </c>
      <c r="B33" s="5" t="s">
        <v>40</v>
      </c>
      <c r="C33" s="5" t="s">
        <v>168</v>
      </c>
      <c r="D33" s="5" t="s">
        <v>169</v>
      </c>
      <c r="E33" s="5" t="s">
        <v>170</v>
      </c>
      <c r="F33" s="5" t="s">
        <v>174</v>
      </c>
      <c r="G33" s="5" t="s">
        <v>14043</v>
      </c>
      <c r="H33" s="5" t="s">
        <v>1159</v>
      </c>
      <c r="I33" s="5" t="s">
        <v>14063</v>
      </c>
      <c r="J33" s="5" t="s">
        <v>14064</v>
      </c>
      <c r="K33" s="5" t="s">
        <v>1163</v>
      </c>
      <c r="L33" s="5">
        <v>2026</v>
      </c>
      <c r="M33" s="5" t="s">
        <v>1161</v>
      </c>
      <c r="N33" s="5" t="s">
        <v>1162</v>
      </c>
      <c r="O33" s="5" t="s">
        <v>1160</v>
      </c>
      <c r="P33" s="5" t="s">
        <v>1060</v>
      </c>
      <c r="Q33" s="5" t="s">
        <v>14065</v>
      </c>
      <c r="R33" s="5" t="s">
        <v>1164</v>
      </c>
      <c r="S33" s="5" t="s">
        <v>13953</v>
      </c>
      <c r="T33" s="5" t="s">
        <v>13961</v>
      </c>
      <c r="U33" s="5" t="s">
        <v>13962</v>
      </c>
      <c r="V33" s="5" t="s">
        <v>1166</v>
      </c>
      <c r="W33" s="5" t="s">
        <v>1167</v>
      </c>
    </row>
    <row r="34" spans="1:23" ht="38.25">
      <c r="A34" s="5" t="s">
        <v>11599</v>
      </c>
      <c r="B34" s="5" t="s">
        <v>11600</v>
      </c>
      <c r="C34" s="5" t="s">
        <v>168</v>
      </c>
      <c r="D34" s="5" t="s">
        <v>169</v>
      </c>
      <c r="E34" s="5" t="s">
        <v>305</v>
      </c>
      <c r="F34" s="5" t="s">
        <v>439</v>
      </c>
      <c r="G34" s="5" t="s">
        <v>14043</v>
      </c>
      <c r="H34" s="5" t="s">
        <v>436</v>
      </c>
      <c r="I34" s="5" t="s">
        <v>14066</v>
      </c>
      <c r="J34" s="5" t="s">
        <v>14067</v>
      </c>
      <c r="K34" s="5" t="s">
        <v>442</v>
      </c>
      <c r="L34" s="5" t="s">
        <v>14068</v>
      </c>
      <c r="M34" s="5" t="s">
        <v>440</v>
      </c>
      <c r="N34" s="5" t="s">
        <v>441</v>
      </c>
      <c r="O34" s="5" t="s">
        <v>437</v>
      </c>
      <c r="P34" s="5" t="s">
        <v>438</v>
      </c>
      <c r="Q34" s="5" t="s">
        <v>14069</v>
      </c>
      <c r="R34" s="5" t="s">
        <v>443</v>
      </c>
      <c r="S34" s="5" t="s">
        <v>13953</v>
      </c>
      <c r="T34" s="5" t="s">
        <v>13961</v>
      </c>
      <c r="U34" s="5" t="s">
        <v>13962</v>
      </c>
      <c r="V34" s="5" t="s">
        <v>446</v>
      </c>
      <c r="W34" s="5" t="s">
        <v>446</v>
      </c>
    </row>
    <row r="35" spans="1:23" ht="51">
      <c r="A35" s="5" t="s">
        <v>11603</v>
      </c>
      <c r="B35" s="5" t="s">
        <v>11604</v>
      </c>
      <c r="C35" s="5" t="s">
        <v>168</v>
      </c>
      <c r="D35" s="5" t="s">
        <v>827</v>
      </c>
      <c r="E35" s="5" t="s">
        <v>305</v>
      </c>
      <c r="F35" s="5" t="s">
        <v>174</v>
      </c>
      <c r="G35" s="5" t="s">
        <v>14043</v>
      </c>
      <c r="H35" s="5" t="s">
        <v>972</v>
      </c>
      <c r="I35" s="5" t="s">
        <v>14070</v>
      </c>
      <c r="J35" s="5" t="s">
        <v>14071</v>
      </c>
      <c r="K35" s="5" t="s">
        <v>977</v>
      </c>
      <c r="L35" s="5" t="s">
        <v>14072</v>
      </c>
      <c r="M35" s="5" t="s">
        <v>975</v>
      </c>
      <c r="N35" s="5" t="s">
        <v>976</v>
      </c>
      <c r="O35" s="5" t="s">
        <v>973</v>
      </c>
      <c r="P35" s="5" t="s">
        <v>974</v>
      </c>
      <c r="Q35" s="5" t="s">
        <v>14073</v>
      </c>
      <c r="R35" s="5" t="s">
        <v>978</v>
      </c>
      <c r="S35" s="5" t="s">
        <v>13953</v>
      </c>
      <c r="T35" s="5" t="s">
        <v>13961</v>
      </c>
      <c r="U35" s="5" t="s">
        <v>13962</v>
      </c>
      <c r="V35" s="5" t="s">
        <v>14074</v>
      </c>
      <c r="W35" s="5" t="s">
        <v>5482</v>
      </c>
    </row>
    <row r="36" spans="1:23" ht="51">
      <c r="A36" s="5" t="s">
        <v>11607</v>
      </c>
      <c r="B36" s="5" t="s">
        <v>983</v>
      </c>
      <c r="C36" s="5" t="s">
        <v>168</v>
      </c>
      <c r="D36" s="5" t="s">
        <v>985</v>
      </c>
      <c r="E36" s="5" t="s">
        <v>305</v>
      </c>
      <c r="F36" s="5" t="s">
        <v>174</v>
      </c>
      <c r="G36" s="5" t="s">
        <v>14043</v>
      </c>
      <c r="H36" s="5" t="s">
        <v>986</v>
      </c>
      <c r="I36" s="5" t="s">
        <v>14075</v>
      </c>
      <c r="J36" s="5" t="s">
        <v>14076</v>
      </c>
      <c r="K36" s="5" t="s">
        <v>990</v>
      </c>
      <c r="L36" s="5" t="s">
        <v>14077</v>
      </c>
      <c r="M36" s="5" t="s">
        <v>988</v>
      </c>
      <c r="N36" s="5" t="s">
        <v>989</v>
      </c>
      <c r="O36" s="5" t="s">
        <v>987</v>
      </c>
      <c r="P36" s="5" t="s">
        <v>241</v>
      </c>
      <c r="Q36" s="5" t="s">
        <v>14078</v>
      </c>
      <c r="R36" s="5" t="s">
        <v>991</v>
      </c>
      <c r="S36" s="5" t="s">
        <v>13953</v>
      </c>
      <c r="T36" s="5" t="s">
        <v>13961</v>
      </c>
      <c r="U36" s="5" t="s">
        <v>13962</v>
      </c>
      <c r="V36" s="5" t="s">
        <v>993</v>
      </c>
      <c r="W36" s="5" t="s">
        <v>5529</v>
      </c>
    </row>
    <row r="37" spans="1:23" ht="51">
      <c r="A37" s="5" t="s">
        <v>11610</v>
      </c>
      <c r="B37" s="5" t="s">
        <v>61</v>
      </c>
      <c r="C37" s="5" t="s">
        <v>168</v>
      </c>
      <c r="D37" s="5" t="s">
        <v>169</v>
      </c>
      <c r="E37" s="5" t="s">
        <v>305</v>
      </c>
      <c r="F37" s="5" t="s">
        <v>174</v>
      </c>
      <c r="G37" s="5" t="s">
        <v>14043</v>
      </c>
      <c r="H37" s="5" t="s">
        <v>1777</v>
      </c>
      <c r="I37" s="5" t="s">
        <v>14079</v>
      </c>
      <c r="J37" s="5" t="s">
        <v>14080</v>
      </c>
      <c r="K37" s="5" t="s">
        <v>1782</v>
      </c>
      <c r="L37" s="5">
        <v>2020</v>
      </c>
      <c r="M37" s="5" t="s">
        <v>1780</v>
      </c>
      <c r="N37" s="5" t="s">
        <v>1781</v>
      </c>
      <c r="O37" s="5" t="s">
        <v>1778</v>
      </c>
      <c r="P37" s="5" t="s">
        <v>1779</v>
      </c>
      <c r="Q37" s="5" t="s">
        <v>14081</v>
      </c>
      <c r="R37" s="5" t="s">
        <v>1783</v>
      </c>
      <c r="S37" s="5" t="s">
        <v>13953</v>
      </c>
      <c r="T37" s="5" t="s">
        <v>13961</v>
      </c>
      <c r="U37" s="5" t="s">
        <v>13962</v>
      </c>
      <c r="V37" s="5" t="s">
        <v>1787</v>
      </c>
      <c r="W37" s="5" t="s">
        <v>14082</v>
      </c>
    </row>
    <row r="38" spans="1:23" ht="51">
      <c r="A38" s="5" t="s">
        <v>2248</v>
      </c>
      <c r="B38" s="5" t="s">
        <v>2239</v>
      </c>
      <c r="C38" s="5" t="s">
        <v>168</v>
      </c>
      <c r="D38" s="5" t="s">
        <v>169</v>
      </c>
      <c r="E38" s="5" t="s">
        <v>2226</v>
      </c>
      <c r="F38" s="5" t="s">
        <v>174</v>
      </c>
      <c r="G38" s="5" t="s">
        <v>14043</v>
      </c>
      <c r="H38" s="5" t="s">
        <v>2241</v>
      </c>
      <c r="I38" s="5" t="s">
        <v>14083</v>
      </c>
      <c r="J38" s="5" t="s">
        <v>14084</v>
      </c>
      <c r="K38" s="5" t="s">
        <v>2246</v>
      </c>
      <c r="L38" s="5" t="s">
        <v>14085</v>
      </c>
      <c r="M38" s="5" t="s">
        <v>2244</v>
      </c>
      <c r="N38" s="5" t="s">
        <v>2245</v>
      </c>
      <c r="O38" s="5" t="s">
        <v>2242</v>
      </c>
      <c r="P38" s="5" t="s">
        <v>2243</v>
      </c>
      <c r="Q38" s="5" t="s">
        <v>14086</v>
      </c>
      <c r="R38" s="5" t="s">
        <v>2247</v>
      </c>
      <c r="S38" s="5" t="s">
        <v>13953</v>
      </c>
      <c r="T38" s="5" t="s">
        <v>13961</v>
      </c>
      <c r="U38" s="5" t="s">
        <v>13962</v>
      </c>
      <c r="V38" s="5" t="s">
        <v>2249</v>
      </c>
      <c r="W38" s="5" t="s">
        <v>2250</v>
      </c>
    </row>
    <row r="39" spans="1:23" ht="51">
      <c r="A39" s="5" t="s">
        <v>11614</v>
      </c>
      <c r="B39" s="5" t="s">
        <v>11615</v>
      </c>
      <c r="C39" s="5" t="s">
        <v>168</v>
      </c>
      <c r="D39" s="5" t="s">
        <v>827</v>
      </c>
      <c r="E39" s="5" t="s">
        <v>305</v>
      </c>
      <c r="F39" s="5" t="s">
        <v>174</v>
      </c>
      <c r="G39" s="5" t="s">
        <v>14043</v>
      </c>
      <c r="H39" s="5" t="s">
        <v>828</v>
      </c>
      <c r="I39" s="5" t="s">
        <v>14087</v>
      </c>
      <c r="J39" s="5" t="s">
        <v>14088</v>
      </c>
      <c r="K39" s="5" t="s">
        <v>832</v>
      </c>
      <c r="L39" s="5" t="s">
        <v>14072</v>
      </c>
      <c r="M39" s="5" t="s">
        <v>830</v>
      </c>
      <c r="N39" s="5" t="s">
        <v>831</v>
      </c>
      <c r="O39" s="5" t="s">
        <v>829</v>
      </c>
      <c r="P39" s="5" t="s">
        <v>241</v>
      </c>
      <c r="Q39" s="5" t="s">
        <v>14089</v>
      </c>
      <c r="R39" s="5" t="s">
        <v>833</v>
      </c>
      <c r="S39" s="5" t="s">
        <v>13953</v>
      </c>
      <c r="T39" s="5" t="s">
        <v>13961</v>
      </c>
      <c r="U39" s="5" t="s">
        <v>13962</v>
      </c>
      <c r="V39" s="5" t="s">
        <v>835</v>
      </c>
      <c r="W39" s="5" t="s">
        <v>5013</v>
      </c>
    </row>
    <row r="40" spans="1:23" ht="51">
      <c r="A40" s="5" t="s">
        <v>2263</v>
      </c>
      <c r="B40" s="5" t="s">
        <v>2253</v>
      </c>
      <c r="C40" s="5" t="s">
        <v>2255</v>
      </c>
      <c r="D40" s="5" t="s">
        <v>985</v>
      </c>
      <c r="E40" s="5" t="s">
        <v>2055</v>
      </c>
      <c r="F40" s="5" t="s">
        <v>174</v>
      </c>
      <c r="G40" s="5" t="s">
        <v>14090</v>
      </c>
      <c r="H40" s="5" t="s">
        <v>2256</v>
      </c>
      <c r="I40" s="5" t="s">
        <v>14091</v>
      </c>
      <c r="J40" s="5" t="s">
        <v>14092</v>
      </c>
      <c r="K40" s="5" t="s">
        <v>2261</v>
      </c>
      <c r="L40" s="5" t="s">
        <v>14093</v>
      </c>
      <c r="M40" s="5" t="s">
        <v>2259</v>
      </c>
      <c r="N40" s="5" t="s">
        <v>2260</v>
      </c>
      <c r="O40" s="5" t="s">
        <v>2257</v>
      </c>
      <c r="P40" s="5" t="s">
        <v>2258</v>
      </c>
      <c r="Q40" s="5" t="s">
        <v>14094</v>
      </c>
      <c r="R40" s="5" t="s">
        <v>2262</v>
      </c>
      <c r="S40" s="5" t="s">
        <v>13953</v>
      </c>
      <c r="T40" s="5" t="s">
        <v>13961</v>
      </c>
      <c r="U40" s="5" t="s">
        <v>13962</v>
      </c>
      <c r="V40" s="5" t="s">
        <v>2264</v>
      </c>
      <c r="W40" s="5" t="s">
        <v>2265</v>
      </c>
    </row>
    <row r="41" spans="1:23" ht="38.25">
      <c r="A41" s="5" t="s">
        <v>2277</v>
      </c>
      <c r="B41" s="5" t="s">
        <v>2268</v>
      </c>
      <c r="C41" s="5" t="s">
        <v>2255</v>
      </c>
      <c r="D41" s="5" t="s">
        <v>169</v>
      </c>
      <c r="E41" s="5" t="s">
        <v>2055</v>
      </c>
      <c r="F41" s="5" t="s">
        <v>1812</v>
      </c>
      <c r="G41" s="5" t="s">
        <v>14090</v>
      </c>
      <c r="H41" s="5" t="s">
        <v>2270</v>
      </c>
      <c r="I41" s="5" t="s">
        <v>14095</v>
      </c>
      <c r="J41" s="5" t="s">
        <v>14096</v>
      </c>
      <c r="K41" s="5" t="s">
        <v>2275</v>
      </c>
      <c r="L41" s="5" t="s">
        <v>14097</v>
      </c>
      <c r="M41" s="5" t="s">
        <v>2273</v>
      </c>
      <c r="N41" s="5" t="s">
        <v>2274</v>
      </c>
      <c r="O41" s="5" t="s">
        <v>2271</v>
      </c>
      <c r="P41" s="5" t="s">
        <v>2272</v>
      </c>
      <c r="Q41" s="5" t="s">
        <v>14098</v>
      </c>
      <c r="R41" s="5" t="s">
        <v>2276</v>
      </c>
      <c r="S41" s="5" t="s">
        <v>13953</v>
      </c>
      <c r="T41" s="5" t="s">
        <v>13961</v>
      </c>
      <c r="U41" s="5" t="s">
        <v>13962</v>
      </c>
      <c r="V41" s="5" t="s">
        <v>2278</v>
      </c>
      <c r="W41" s="5" t="s">
        <v>2279</v>
      </c>
    </row>
    <row r="42" spans="1:23" ht="25.5">
      <c r="A42" s="5" t="s">
        <v>2291</v>
      </c>
      <c r="B42" s="5" t="s">
        <v>2282</v>
      </c>
      <c r="C42" s="5" t="s">
        <v>2255</v>
      </c>
      <c r="D42" s="5" t="s">
        <v>985</v>
      </c>
      <c r="E42" s="5" t="s">
        <v>2055</v>
      </c>
      <c r="F42" s="5" t="s">
        <v>174</v>
      </c>
      <c r="G42" s="5" t="s">
        <v>14090</v>
      </c>
      <c r="H42" s="5" t="s">
        <v>2284</v>
      </c>
      <c r="I42" s="5" t="s">
        <v>14099</v>
      </c>
      <c r="J42" s="5" t="s">
        <v>14100</v>
      </c>
      <c r="K42" s="5" t="s">
        <v>2289</v>
      </c>
      <c r="L42" s="5" t="s">
        <v>14101</v>
      </c>
      <c r="M42" s="5" t="s">
        <v>2287</v>
      </c>
      <c r="N42" s="5" t="s">
        <v>2288</v>
      </c>
      <c r="O42" s="5" t="s">
        <v>2285</v>
      </c>
      <c r="P42" s="5" t="s">
        <v>2286</v>
      </c>
      <c r="Q42" s="5" t="s">
        <v>14102</v>
      </c>
      <c r="R42" s="5" t="s">
        <v>2290</v>
      </c>
      <c r="S42" s="5" t="s">
        <v>13953</v>
      </c>
      <c r="T42" s="5" t="s">
        <v>13961</v>
      </c>
      <c r="U42" s="5" t="s">
        <v>13962</v>
      </c>
      <c r="V42" s="5" t="s">
        <v>2292</v>
      </c>
      <c r="W42" s="5" t="s">
        <v>2293</v>
      </c>
    </row>
    <row r="43" spans="1:23" ht="38.25">
      <c r="A43" s="5" t="s">
        <v>2305</v>
      </c>
      <c r="B43" s="5" t="s">
        <v>2296</v>
      </c>
      <c r="C43" s="5" t="s">
        <v>2255</v>
      </c>
      <c r="D43" s="5" t="s">
        <v>985</v>
      </c>
      <c r="E43" s="5" t="s">
        <v>2055</v>
      </c>
      <c r="F43" s="5" t="s">
        <v>174</v>
      </c>
      <c r="G43" s="5" t="s">
        <v>14090</v>
      </c>
      <c r="H43" s="5" t="s">
        <v>2298</v>
      </c>
      <c r="I43" s="5" t="s">
        <v>14103</v>
      </c>
      <c r="J43" s="5" t="s">
        <v>14104</v>
      </c>
      <c r="K43" s="5" t="s">
        <v>2303</v>
      </c>
      <c r="L43" s="5">
        <v>2018</v>
      </c>
      <c r="M43" s="5" t="s">
        <v>2301</v>
      </c>
      <c r="N43" s="5" t="s">
        <v>2302</v>
      </c>
      <c r="O43" s="5" t="s">
        <v>2299</v>
      </c>
      <c r="P43" s="5" t="s">
        <v>2300</v>
      </c>
      <c r="Q43" s="5" t="s">
        <v>14105</v>
      </c>
      <c r="R43" s="5" t="s">
        <v>2304</v>
      </c>
      <c r="S43" s="5" t="s">
        <v>13953</v>
      </c>
      <c r="T43" s="5" t="s">
        <v>13961</v>
      </c>
      <c r="U43" s="5" t="s">
        <v>13962</v>
      </c>
      <c r="V43" s="5" t="s">
        <v>2306</v>
      </c>
      <c r="W43" s="5" t="s">
        <v>2307</v>
      </c>
    </row>
    <row r="44" spans="1:23" ht="38.25">
      <c r="A44" s="5" t="s">
        <v>2319</v>
      </c>
      <c r="B44" s="5" t="s">
        <v>2310</v>
      </c>
      <c r="C44" s="5" t="s">
        <v>2255</v>
      </c>
      <c r="D44" s="5" t="s">
        <v>985</v>
      </c>
      <c r="E44" s="5" t="s">
        <v>2055</v>
      </c>
      <c r="F44" s="5" t="s">
        <v>174</v>
      </c>
      <c r="G44" s="5" t="s">
        <v>14090</v>
      </c>
      <c r="H44" s="5" t="s">
        <v>2312</v>
      </c>
      <c r="I44" s="5" t="s">
        <v>14106</v>
      </c>
      <c r="J44" s="5" t="s">
        <v>14107</v>
      </c>
      <c r="K44" s="5" t="s">
        <v>2317</v>
      </c>
      <c r="L44" s="5">
        <v>2019</v>
      </c>
      <c r="M44" s="5" t="s">
        <v>2315</v>
      </c>
      <c r="N44" s="5" t="s">
        <v>2316</v>
      </c>
      <c r="O44" s="5" t="s">
        <v>2313</v>
      </c>
      <c r="P44" s="5" t="s">
        <v>2314</v>
      </c>
      <c r="Q44" s="5" t="s">
        <v>14108</v>
      </c>
      <c r="R44" s="5" t="s">
        <v>2318</v>
      </c>
      <c r="S44" s="5" t="s">
        <v>13953</v>
      </c>
      <c r="T44" s="5" t="s">
        <v>13961</v>
      </c>
      <c r="U44" s="5" t="s">
        <v>13962</v>
      </c>
      <c r="V44" s="5" t="s">
        <v>2321</v>
      </c>
      <c r="W44" s="5" t="s">
        <v>2321</v>
      </c>
    </row>
    <row r="45" spans="1:23" ht="63.75">
      <c r="A45" s="5" t="s">
        <v>2331</v>
      </c>
      <c r="B45" s="5" t="s">
        <v>2324</v>
      </c>
      <c r="C45" s="5" t="s">
        <v>2255</v>
      </c>
      <c r="D45" s="5" t="s">
        <v>985</v>
      </c>
      <c r="E45" s="5" t="s">
        <v>2055</v>
      </c>
      <c r="F45" s="5" t="s">
        <v>174</v>
      </c>
      <c r="G45" s="5" t="s">
        <v>14090</v>
      </c>
      <c r="H45" s="5" t="s">
        <v>2326</v>
      </c>
      <c r="I45" s="5" t="s">
        <v>14109</v>
      </c>
      <c r="J45" s="5" t="s">
        <v>14110</v>
      </c>
      <c r="K45" s="5" t="s">
        <v>2317</v>
      </c>
      <c r="L45" s="5">
        <v>2023</v>
      </c>
      <c r="M45" s="5" t="s">
        <v>2328</v>
      </c>
      <c r="N45" s="5" t="s">
        <v>2329</v>
      </c>
      <c r="O45" s="5" t="s">
        <v>2327</v>
      </c>
      <c r="P45" s="5" t="s">
        <v>1060</v>
      </c>
      <c r="Q45" s="5" t="s">
        <v>14111</v>
      </c>
      <c r="R45" s="5" t="s">
        <v>2330</v>
      </c>
      <c r="S45" s="5" t="s">
        <v>13953</v>
      </c>
      <c r="T45" s="5" t="s">
        <v>13961</v>
      </c>
      <c r="U45" s="5" t="s">
        <v>13962</v>
      </c>
      <c r="V45" s="5" t="s">
        <v>2332</v>
      </c>
      <c r="W45" s="5" t="s">
        <v>2332</v>
      </c>
    </row>
    <row r="46" spans="1:23" ht="38.25">
      <c r="A46" s="5" t="s">
        <v>2342</v>
      </c>
      <c r="B46" s="5" t="s">
        <v>2335</v>
      </c>
      <c r="C46" s="5" t="s">
        <v>2255</v>
      </c>
      <c r="D46" s="5" t="s">
        <v>985</v>
      </c>
      <c r="E46" s="5" t="s">
        <v>2055</v>
      </c>
      <c r="F46" s="5" t="s">
        <v>174</v>
      </c>
      <c r="G46" s="5" t="s">
        <v>14090</v>
      </c>
      <c r="H46" s="5" t="s">
        <v>2337</v>
      </c>
      <c r="I46" s="5" t="s">
        <v>14112</v>
      </c>
      <c r="J46" s="5" t="s">
        <v>14110</v>
      </c>
      <c r="K46" s="5" t="s">
        <v>2317</v>
      </c>
      <c r="L46" s="5">
        <v>2022</v>
      </c>
      <c r="M46" s="5" t="s">
        <v>2339</v>
      </c>
      <c r="N46" s="5" t="s">
        <v>2340</v>
      </c>
      <c r="O46" s="5" t="s">
        <v>2338</v>
      </c>
      <c r="P46" s="5" t="s">
        <v>2314</v>
      </c>
      <c r="Q46" s="5" t="s">
        <v>14113</v>
      </c>
      <c r="R46" s="5" t="s">
        <v>2341</v>
      </c>
      <c r="S46" s="5" t="s">
        <v>13953</v>
      </c>
      <c r="T46" s="5" t="s">
        <v>13961</v>
      </c>
      <c r="U46" s="5" t="s">
        <v>13962</v>
      </c>
      <c r="V46" s="5" t="s">
        <v>2332</v>
      </c>
      <c r="W46" s="5" t="s">
        <v>2343</v>
      </c>
    </row>
    <row r="47" spans="1:23" ht="38.25">
      <c r="A47" s="5" t="s">
        <v>2355</v>
      </c>
      <c r="B47" s="5" t="s">
        <v>2346</v>
      </c>
      <c r="C47" s="5" t="s">
        <v>2255</v>
      </c>
      <c r="D47" s="5" t="s">
        <v>985</v>
      </c>
      <c r="E47" s="5" t="s">
        <v>2055</v>
      </c>
      <c r="F47" s="5" t="s">
        <v>174</v>
      </c>
      <c r="G47" s="5" t="s">
        <v>14090</v>
      </c>
      <c r="H47" s="5" t="s">
        <v>2348</v>
      </c>
      <c r="I47" s="5" t="s">
        <v>14114</v>
      </c>
      <c r="J47" s="5" t="s">
        <v>14115</v>
      </c>
      <c r="K47" s="5" t="s">
        <v>2353</v>
      </c>
      <c r="L47" s="5" t="s">
        <v>14116</v>
      </c>
      <c r="M47" s="5" t="s">
        <v>2351</v>
      </c>
      <c r="N47" s="5" t="s">
        <v>2352</v>
      </c>
      <c r="O47" s="5" t="s">
        <v>2349</v>
      </c>
      <c r="P47" s="5" t="s">
        <v>2350</v>
      </c>
      <c r="Q47" s="5" t="s">
        <v>14117</v>
      </c>
      <c r="R47" s="5" t="s">
        <v>2354</v>
      </c>
      <c r="S47" s="5" t="s">
        <v>13953</v>
      </c>
      <c r="T47" s="5" t="s">
        <v>13961</v>
      </c>
      <c r="U47" s="5" t="s">
        <v>13962</v>
      </c>
      <c r="V47" s="5" t="s">
        <v>2356</v>
      </c>
      <c r="W47" s="5" t="s">
        <v>2357</v>
      </c>
    </row>
    <row r="48" spans="1:23" ht="38.25">
      <c r="A48" s="5" t="s">
        <v>2368</v>
      </c>
      <c r="B48" s="5" t="s">
        <v>2360</v>
      </c>
      <c r="C48" s="5" t="s">
        <v>2255</v>
      </c>
      <c r="D48" s="5" t="s">
        <v>985</v>
      </c>
      <c r="E48" s="5" t="s">
        <v>170</v>
      </c>
      <c r="F48" s="5" t="s">
        <v>1961</v>
      </c>
      <c r="G48" s="5" t="s">
        <v>14090</v>
      </c>
      <c r="H48" s="5" t="s">
        <v>2362</v>
      </c>
      <c r="I48" s="5" t="s">
        <v>14118</v>
      </c>
      <c r="J48" s="5" t="s">
        <v>14119</v>
      </c>
      <c r="K48" s="5" t="s">
        <v>2366</v>
      </c>
      <c r="L48" s="5" t="s">
        <v>14120</v>
      </c>
      <c r="M48" s="5" t="s">
        <v>2365</v>
      </c>
      <c r="N48" s="5" t="s">
        <v>1350</v>
      </c>
      <c r="O48" s="5" t="s">
        <v>2363</v>
      </c>
      <c r="P48" s="5" t="s">
        <v>2364</v>
      </c>
      <c r="Q48" s="5" t="s">
        <v>14121</v>
      </c>
      <c r="R48" s="5" t="s">
        <v>2367</v>
      </c>
      <c r="S48" s="5" t="s">
        <v>13953</v>
      </c>
      <c r="T48" s="5" t="s">
        <v>13961</v>
      </c>
      <c r="U48" s="5" t="s">
        <v>13962</v>
      </c>
      <c r="V48" s="5" t="s">
        <v>2369</v>
      </c>
      <c r="W48" s="5" t="s">
        <v>2370</v>
      </c>
    </row>
    <row r="49" spans="1:23" ht="63.75">
      <c r="A49" s="5" t="s">
        <v>2382</v>
      </c>
      <c r="B49" s="5" t="s">
        <v>2373</v>
      </c>
      <c r="C49" s="5" t="s">
        <v>2255</v>
      </c>
      <c r="D49" s="5" t="s">
        <v>985</v>
      </c>
      <c r="E49" s="5" t="s">
        <v>2055</v>
      </c>
      <c r="F49" s="5" t="s">
        <v>476</v>
      </c>
      <c r="G49" s="5" t="s">
        <v>14090</v>
      </c>
      <c r="H49" s="5" t="s">
        <v>2375</v>
      </c>
      <c r="I49" s="5" t="s">
        <v>14122</v>
      </c>
      <c r="J49" s="5" t="s">
        <v>14123</v>
      </c>
      <c r="K49" s="5" t="s">
        <v>2380</v>
      </c>
      <c r="L49" s="5" t="s">
        <v>14124</v>
      </c>
      <c r="M49" s="5" t="s">
        <v>2378</v>
      </c>
      <c r="N49" s="5" t="s">
        <v>2379</v>
      </c>
      <c r="O49" s="5" t="s">
        <v>2376</v>
      </c>
      <c r="P49" s="5" t="s">
        <v>2377</v>
      </c>
      <c r="Q49" s="5" t="s">
        <v>14125</v>
      </c>
      <c r="R49" s="5" t="s">
        <v>2381</v>
      </c>
      <c r="S49" s="5" t="s">
        <v>13953</v>
      </c>
      <c r="T49" s="5" t="s">
        <v>13961</v>
      </c>
      <c r="U49" s="5" t="s">
        <v>13962</v>
      </c>
      <c r="V49" s="5" t="s">
        <v>2383</v>
      </c>
      <c r="W49" s="5" t="s">
        <v>2384</v>
      </c>
    </row>
    <row r="50" spans="1:23" ht="63.75">
      <c r="A50" s="5" t="s">
        <v>2396</v>
      </c>
      <c r="B50" s="5" t="s">
        <v>2387</v>
      </c>
      <c r="C50" s="5" t="s">
        <v>2255</v>
      </c>
      <c r="D50" s="5" t="s">
        <v>985</v>
      </c>
      <c r="E50" s="5" t="s">
        <v>2055</v>
      </c>
      <c r="F50" s="5" t="s">
        <v>174</v>
      </c>
      <c r="G50" s="5" t="s">
        <v>14090</v>
      </c>
      <c r="H50" s="5" t="s">
        <v>2389</v>
      </c>
      <c r="I50" s="5" t="s">
        <v>14126</v>
      </c>
      <c r="J50" s="5" t="s">
        <v>14127</v>
      </c>
      <c r="K50" s="5" t="s">
        <v>2394</v>
      </c>
      <c r="L50" s="5" t="s">
        <v>14128</v>
      </c>
      <c r="M50" s="5" t="s">
        <v>2392</v>
      </c>
      <c r="N50" s="5" t="s">
        <v>2393</v>
      </c>
      <c r="O50" s="5" t="s">
        <v>2390</v>
      </c>
      <c r="P50" s="5" t="s">
        <v>2391</v>
      </c>
      <c r="Q50" s="5" t="s">
        <v>14129</v>
      </c>
      <c r="R50" s="5" t="s">
        <v>2395</v>
      </c>
      <c r="S50" s="5" t="s">
        <v>13953</v>
      </c>
      <c r="T50" s="5" t="s">
        <v>13961</v>
      </c>
      <c r="U50" s="5" t="s">
        <v>13962</v>
      </c>
      <c r="V50" s="5" t="s">
        <v>2397</v>
      </c>
      <c r="W50" s="5" t="s">
        <v>2398</v>
      </c>
    </row>
    <row r="51" spans="1:23" ht="38.25">
      <c r="A51" s="5" t="s">
        <v>2410</v>
      </c>
      <c r="B51" s="5" t="s">
        <v>2401</v>
      </c>
      <c r="C51" s="5" t="s">
        <v>2255</v>
      </c>
      <c r="D51" s="5" t="s">
        <v>985</v>
      </c>
      <c r="E51" s="5" t="s">
        <v>170</v>
      </c>
      <c r="F51" s="5" t="s">
        <v>1812</v>
      </c>
      <c r="G51" s="5" t="s">
        <v>14090</v>
      </c>
      <c r="H51" s="5" t="s">
        <v>2403</v>
      </c>
      <c r="I51" s="5" t="s">
        <v>14130</v>
      </c>
      <c r="J51" s="5" t="s">
        <v>14131</v>
      </c>
      <c r="K51" s="5" t="s">
        <v>2408</v>
      </c>
      <c r="L51" s="5">
        <v>2016</v>
      </c>
      <c r="M51" s="5" t="s">
        <v>2406</v>
      </c>
      <c r="N51" s="5" t="s">
        <v>2407</v>
      </c>
      <c r="O51" s="5" t="s">
        <v>2404</v>
      </c>
      <c r="P51" s="5" t="s">
        <v>2405</v>
      </c>
      <c r="Q51" s="5" t="s">
        <v>14132</v>
      </c>
      <c r="R51" s="5" t="s">
        <v>2409</v>
      </c>
      <c r="S51" s="5" t="s">
        <v>13953</v>
      </c>
      <c r="T51" s="5" t="s">
        <v>13961</v>
      </c>
      <c r="U51" s="5" t="s">
        <v>13962</v>
      </c>
      <c r="V51" s="5" t="s">
        <v>2411</v>
      </c>
      <c r="W51" s="5" t="s">
        <v>2411</v>
      </c>
    </row>
    <row r="52" spans="1:23" ht="38.25">
      <c r="A52" s="5" t="s">
        <v>2423</v>
      </c>
      <c r="B52" s="5" t="s">
        <v>2414</v>
      </c>
      <c r="C52" s="5" t="s">
        <v>2255</v>
      </c>
      <c r="D52" s="5" t="s">
        <v>169</v>
      </c>
      <c r="E52" s="5" t="s">
        <v>2055</v>
      </c>
      <c r="F52" s="5" t="s">
        <v>174</v>
      </c>
      <c r="G52" s="5" t="s">
        <v>14090</v>
      </c>
      <c r="H52" s="5" t="s">
        <v>2416</v>
      </c>
      <c r="I52" s="5" t="s">
        <v>14133</v>
      </c>
      <c r="J52" s="5" t="s">
        <v>14134</v>
      </c>
      <c r="K52" s="5" t="s">
        <v>2421</v>
      </c>
      <c r="L52" s="5">
        <v>2020</v>
      </c>
      <c r="M52" s="5" t="s">
        <v>2419</v>
      </c>
      <c r="N52" s="5" t="s">
        <v>2420</v>
      </c>
      <c r="O52" s="5" t="s">
        <v>2417</v>
      </c>
      <c r="P52" s="5" t="s">
        <v>2418</v>
      </c>
      <c r="Q52" s="5" t="s">
        <v>14135</v>
      </c>
      <c r="R52" s="5" t="s">
        <v>2422</v>
      </c>
      <c r="S52" s="5" t="s">
        <v>13953</v>
      </c>
      <c r="T52" s="5" t="s">
        <v>13961</v>
      </c>
      <c r="U52" s="5" t="s">
        <v>13962</v>
      </c>
      <c r="V52" s="5" t="s">
        <v>2424</v>
      </c>
      <c r="W52" s="5" t="s">
        <v>2424</v>
      </c>
    </row>
    <row r="53" spans="1:23" ht="51">
      <c r="A53" s="5" t="s">
        <v>2436</v>
      </c>
      <c r="B53" s="5" t="s">
        <v>2427</v>
      </c>
      <c r="C53" s="5" t="s">
        <v>2255</v>
      </c>
      <c r="D53" s="5" t="s">
        <v>985</v>
      </c>
      <c r="E53" s="5" t="s">
        <v>2055</v>
      </c>
      <c r="F53" s="5" t="s">
        <v>174</v>
      </c>
      <c r="G53" s="5" t="s">
        <v>14090</v>
      </c>
      <c r="H53" s="5" t="s">
        <v>2429</v>
      </c>
      <c r="I53" s="5" t="s">
        <v>14136</v>
      </c>
      <c r="J53" s="5" t="s">
        <v>14137</v>
      </c>
      <c r="K53" s="5" t="s">
        <v>2434</v>
      </c>
      <c r="L53" s="5">
        <v>2018</v>
      </c>
      <c r="M53" s="5" t="s">
        <v>2432</v>
      </c>
      <c r="N53" s="5" t="s">
        <v>2433</v>
      </c>
      <c r="O53" s="5" t="s">
        <v>2430</v>
      </c>
      <c r="P53" s="5" t="s">
        <v>2431</v>
      </c>
      <c r="Q53" s="5" t="s">
        <v>14138</v>
      </c>
      <c r="R53" s="5" t="s">
        <v>2435</v>
      </c>
      <c r="S53" s="5" t="s">
        <v>13953</v>
      </c>
      <c r="T53" s="5" t="s">
        <v>13961</v>
      </c>
      <c r="U53" s="5" t="s">
        <v>13962</v>
      </c>
      <c r="V53" s="5" t="s">
        <v>2437</v>
      </c>
      <c r="W53" s="5" t="s">
        <v>2437</v>
      </c>
    </row>
    <row r="54" spans="1:23" ht="38.25">
      <c r="A54" s="5" t="s">
        <v>2448</v>
      </c>
      <c r="B54" s="5" t="s">
        <v>2440</v>
      </c>
      <c r="C54" s="5" t="s">
        <v>2255</v>
      </c>
      <c r="D54" s="5" t="s">
        <v>985</v>
      </c>
      <c r="E54" s="5" t="s">
        <v>170</v>
      </c>
      <c r="F54" s="5" t="s">
        <v>1961</v>
      </c>
      <c r="G54" s="5" t="s">
        <v>14090</v>
      </c>
      <c r="H54" s="5" t="s">
        <v>2442</v>
      </c>
      <c r="I54" s="5" t="s">
        <v>14139</v>
      </c>
      <c r="J54" s="5" t="s">
        <v>14140</v>
      </c>
      <c r="K54" s="5" t="s">
        <v>2446</v>
      </c>
      <c r="L54" s="5">
        <v>2019</v>
      </c>
      <c r="M54" s="5" t="s">
        <v>2445</v>
      </c>
      <c r="N54" s="5" t="s">
        <v>2302</v>
      </c>
      <c r="O54" s="5" t="s">
        <v>2443</v>
      </c>
      <c r="P54" s="5" t="s">
        <v>2444</v>
      </c>
      <c r="Q54" s="5" t="s">
        <v>14141</v>
      </c>
      <c r="R54" s="5" t="s">
        <v>2447</v>
      </c>
      <c r="S54" s="5" t="s">
        <v>13953</v>
      </c>
      <c r="T54" s="5" t="s">
        <v>13961</v>
      </c>
      <c r="U54" s="5" t="s">
        <v>13962</v>
      </c>
      <c r="V54" s="5" t="s">
        <v>2449</v>
      </c>
      <c r="W54" s="5" t="s">
        <v>2449</v>
      </c>
    </row>
    <row r="55" spans="1:23" ht="38.25">
      <c r="A55" s="5" t="s">
        <v>2461</v>
      </c>
      <c r="B55" s="5" t="s">
        <v>2452</v>
      </c>
      <c r="C55" s="5" t="s">
        <v>2255</v>
      </c>
      <c r="D55" s="5" t="s">
        <v>985</v>
      </c>
      <c r="E55" s="5" t="s">
        <v>170</v>
      </c>
      <c r="F55" s="5" t="s">
        <v>174</v>
      </c>
      <c r="G55" s="5" t="s">
        <v>14090</v>
      </c>
      <c r="H55" s="5" t="s">
        <v>2454</v>
      </c>
      <c r="I55" s="5" t="s">
        <v>14142</v>
      </c>
      <c r="J55" s="5" t="s">
        <v>14143</v>
      </c>
      <c r="K55" s="5" t="s">
        <v>2459</v>
      </c>
      <c r="L55" s="5" t="s">
        <v>14144</v>
      </c>
      <c r="M55" s="5" t="s">
        <v>2457</v>
      </c>
      <c r="N55" s="5" t="s">
        <v>2458</v>
      </c>
      <c r="O55" s="5" t="s">
        <v>2455</v>
      </c>
      <c r="P55" s="5" t="s">
        <v>2456</v>
      </c>
      <c r="Q55" s="5" t="s">
        <v>14145</v>
      </c>
      <c r="R55" s="5" t="s">
        <v>2460</v>
      </c>
      <c r="S55" s="5" t="s">
        <v>13953</v>
      </c>
      <c r="T55" s="5" t="s">
        <v>13961</v>
      </c>
      <c r="U55" s="5" t="s">
        <v>13962</v>
      </c>
      <c r="V55" s="5" t="s">
        <v>2462</v>
      </c>
      <c r="W55" s="5" t="s">
        <v>2463</v>
      </c>
    </row>
    <row r="56" spans="1:23" ht="38.25">
      <c r="A56" s="5" t="s">
        <v>2475</v>
      </c>
      <c r="B56" s="5" t="s">
        <v>2466</v>
      </c>
      <c r="C56" s="5" t="s">
        <v>2255</v>
      </c>
      <c r="D56" s="5" t="s">
        <v>169</v>
      </c>
      <c r="E56" s="5" t="s">
        <v>170</v>
      </c>
      <c r="F56" s="5" t="s">
        <v>1812</v>
      </c>
      <c r="G56" s="5" t="s">
        <v>14090</v>
      </c>
      <c r="H56" s="5" t="s">
        <v>2468</v>
      </c>
      <c r="I56" s="5" t="s">
        <v>14146</v>
      </c>
      <c r="J56" s="5" t="s">
        <v>14147</v>
      </c>
      <c r="K56" s="5" t="s">
        <v>2473</v>
      </c>
      <c r="L56" s="5" t="s">
        <v>14148</v>
      </c>
      <c r="M56" s="5" t="s">
        <v>2471</v>
      </c>
      <c r="N56" s="5" t="s">
        <v>2472</v>
      </c>
      <c r="O56" s="5" t="s">
        <v>2469</v>
      </c>
      <c r="P56" s="5" t="s">
        <v>2470</v>
      </c>
      <c r="Q56" s="5" t="s">
        <v>14149</v>
      </c>
      <c r="R56" s="5" t="s">
        <v>2474</v>
      </c>
      <c r="S56" s="5" t="s">
        <v>13953</v>
      </c>
      <c r="T56" s="5" t="s">
        <v>13961</v>
      </c>
      <c r="U56" s="5" t="s">
        <v>13962</v>
      </c>
      <c r="V56" s="5" t="s">
        <v>2476</v>
      </c>
      <c r="W56" s="5" t="s">
        <v>2476</v>
      </c>
    </row>
    <row r="57" spans="1:23" ht="38.25">
      <c r="A57" s="5" t="s">
        <v>2488</v>
      </c>
      <c r="B57" s="5" t="s">
        <v>2479</v>
      </c>
      <c r="C57" s="5" t="s">
        <v>2255</v>
      </c>
      <c r="D57" s="5" t="s">
        <v>985</v>
      </c>
      <c r="E57" s="5" t="s">
        <v>2055</v>
      </c>
      <c r="F57" s="5" t="s">
        <v>1812</v>
      </c>
      <c r="G57" s="5" t="s">
        <v>14090</v>
      </c>
      <c r="H57" s="5" t="s">
        <v>2481</v>
      </c>
      <c r="I57" s="5" t="s">
        <v>14150</v>
      </c>
      <c r="J57" s="5" t="s">
        <v>14151</v>
      </c>
      <c r="K57" s="5" t="s">
        <v>2486</v>
      </c>
      <c r="L57" s="5">
        <v>2012</v>
      </c>
      <c r="M57" s="5" t="s">
        <v>2484</v>
      </c>
      <c r="N57" s="5" t="s">
        <v>2485</v>
      </c>
      <c r="O57" s="5" t="s">
        <v>2482</v>
      </c>
      <c r="P57" s="5" t="s">
        <v>2483</v>
      </c>
      <c r="Q57" s="5" t="s">
        <v>14152</v>
      </c>
      <c r="R57" s="5" t="s">
        <v>2487</v>
      </c>
      <c r="S57" s="5" t="s">
        <v>13953</v>
      </c>
      <c r="T57" s="5" t="s">
        <v>13961</v>
      </c>
      <c r="U57" s="5" t="s">
        <v>13962</v>
      </c>
      <c r="V57" s="5" t="s">
        <v>2490</v>
      </c>
      <c r="W57" s="5" t="s">
        <v>2490</v>
      </c>
    </row>
    <row r="58" spans="1:23" ht="38.25">
      <c r="A58" s="5" t="s">
        <v>2501</v>
      </c>
      <c r="B58" s="5" t="s">
        <v>2493</v>
      </c>
      <c r="C58" s="5" t="s">
        <v>2255</v>
      </c>
      <c r="D58" s="5" t="s">
        <v>985</v>
      </c>
      <c r="E58" s="5" t="s">
        <v>2055</v>
      </c>
      <c r="F58" s="5" t="s">
        <v>1812</v>
      </c>
      <c r="G58" s="5" t="s">
        <v>14090</v>
      </c>
      <c r="H58" s="5" t="s">
        <v>2495</v>
      </c>
      <c r="I58" s="5" t="s">
        <v>14153</v>
      </c>
      <c r="J58" s="5" t="s">
        <v>14154</v>
      </c>
      <c r="K58" s="5" t="s">
        <v>2499</v>
      </c>
      <c r="L58" s="5" t="s">
        <v>14155</v>
      </c>
      <c r="M58" s="5" t="s">
        <v>2497</v>
      </c>
      <c r="N58" s="5" t="s">
        <v>2498</v>
      </c>
      <c r="O58" s="5" t="s">
        <v>2496</v>
      </c>
      <c r="P58" s="5" t="s">
        <v>2172</v>
      </c>
      <c r="Q58" s="5" t="s">
        <v>14156</v>
      </c>
      <c r="R58" s="5" t="s">
        <v>2500</v>
      </c>
      <c r="S58" s="5" t="s">
        <v>13953</v>
      </c>
      <c r="T58" s="5" t="s">
        <v>13961</v>
      </c>
      <c r="U58" s="5" t="s">
        <v>13962</v>
      </c>
      <c r="V58" s="5" t="s">
        <v>2502</v>
      </c>
      <c r="W58" s="5" t="s">
        <v>2502</v>
      </c>
    </row>
    <row r="59" spans="1:23" ht="51">
      <c r="A59" s="5" t="s">
        <v>2513</v>
      </c>
      <c r="B59" s="5" t="s">
        <v>2505</v>
      </c>
      <c r="C59" s="5" t="s">
        <v>2255</v>
      </c>
      <c r="D59" s="5" t="s">
        <v>985</v>
      </c>
      <c r="E59" s="5" t="s">
        <v>2083</v>
      </c>
      <c r="F59" s="5" t="s">
        <v>174</v>
      </c>
      <c r="G59" s="5" t="s">
        <v>14090</v>
      </c>
      <c r="H59" s="5" t="s">
        <v>2507</v>
      </c>
      <c r="I59" s="5" t="s">
        <v>14157</v>
      </c>
      <c r="J59" s="5" t="s">
        <v>14158</v>
      </c>
      <c r="K59" s="5" t="s">
        <v>2511</v>
      </c>
      <c r="L59" s="5">
        <v>2024</v>
      </c>
      <c r="M59" s="5" t="s">
        <v>2509</v>
      </c>
      <c r="N59" s="5" t="s">
        <v>2510</v>
      </c>
      <c r="O59" s="5" t="s">
        <v>2508</v>
      </c>
      <c r="P59" s="5" t="s">
        <v>1060</v>
      </c>
      <c r="Q59" s="5" t="s">
        <v>14159</v>
      </c>
      <c r="R59" s="5" t="s">
        <v>2512</v>
      </c>
      <c r="S59" s="5" t="s">
        <v>13953</v>
      </c>
      <c r="T59" s="5" t="s">
        <v>13961</v>
      </c>
      <c r="U59" s="5" t="s">
        <v>13962</v>
      </c>
      <c r="V59" s="5" t="s">
        <v>2514</v>
      </c>
      <c r="W59" s="5" t="s">
        <v>2515</v>
      </c>
    </row>
    <row r="60" spans="1:23" ht="38.25">
      <c r="A60" s="5" t="s">
        <v>2526</v>
      </c>
      <c r="B60" s="5" t="s">
        <v>2518</v>
      </c>
      <c r="C60" s="5" t="s">
        <v>2255</v>
      </c>
      <c r="D60" s="5" t="s">
        <v>985</v>
      </c>
      <c r="E60" s="5" t="s">
        <v>1984</v>
      </c>
      <c r="F60" s="5" t="s">
        <v>1812</v>
      </c>
      <c r="G60" s="5" t="s">
        <v>14090</v>
      </c>
      <c r="H60" s="5" t="s">
        <v>2520</v>
      </c>
      <c r="I60" s="5" t="s">
        <v>14160</v>
      </c>
      <c r="J60" s="5" t="s">
        <v>14161</v>
      </c>
      <c r="K60" s="5" t="s">
        <v>2524</v>
      </c>
      <c r="L60" s="5">
        <v>2026</v>
      </c>
      <c r="M60" s="5" t="s">
        <v>2522</v>
      </c>
      <c r="N60" s="5" t="s">
        <v>2523</v>
      </c>
      <c r="O60" s="5" t="s">
        <v>2521</v>
      </c>
      <c r="P60" s="5" t="s">
        <v>1987</v>
      </c>
      <c r="Q60" s="5" t="s">
        <v>14162</v>
      </c>
      <c r="R60" s="5" t="s">
        <v>2525</v>
      </c>
      <c r="S60" s="5" t="s">
        <v>13953</v>
      </c>
      <c r="T60" s="5" t="s">
        <v>13961</v>
      </c>
      <c r="U60" s="5" t="s">
        <v>13962</v>
      </c>
      <c r="V60" s="5" t="s">
        <v>2527</v>
      </c>
      <c r="W60" s="5" t="s">
        <v>2527</v>
      </c>
    </row>
    <row r="61" spans="1:23" ht="51">
      <c r="A61" s="5" t="s">
        <v>2538</v>
      </c>
      <c r="B61" s="5" t="s">
        <v>2530</v>
      </c>
      <c r="C61" s="5" t="s">
        <v>2255</v>
      </c>
      <c r="D61" s="5" t="s">
        <v>985</v>
      </c>
      <c r="E61" s="5" t="s">
        <v>1984</v>
      </c>
      <c r="F61" s="5" t="s">
        <v>1812</v>
      </c>
      <c r="G61" s="5" t="s">
        <v>14090</v>
      </c>
      <c r="H61" s="5" t="s">
        <v>2532</v>
      </c>
      <c r="I61" s="5" t="s">
        <v>14163</v>
      </c>
      <c r="J61" s="5" t="s">
        <v>14164</v>
      </c>
      <c r="K61" s="5" t="s">
        <v>2536</v>
      </c>
      <c r="L61" s="5">
        <v>2026</v>
      </c>
      <c r="M61" s="5" t="s">
        <v>2534</v>
      </c>
      <c r="N61" s="5" t="s">
        <v>2535</v>
      </c>
      <c r="O61" s="5" t="s">
        <v>2533</v>
      </c>
      <c r="P61" s="5" t="s">
        <v>1987</v>
      </c>
      <c r="Q61" s="5" t="s">
        <v>14165</v>
      </c>
      <c r="R61" s="5" t="s">
        <v>2537</v>
      </c>
      <c r="S61" s="5" t="s">
        <v>13953</v>
      </c>
      <c r="T61" s="5" t="s">
        <v>13961</v>
      </c>
      <c r="U61" s="5" t="s">
        <v>13962</v>
      </c>
      <c r="V61" s="5" t="s">
        <v>2539</v>
      </c>
      <c r="W61" s="5" t="s">
        <v>2540</v>
      </c>
    </row>
    <row r="62" spans="1:23" ht="51">
      <c r="A62" s="5" t="s">
        <v>2552</v>
      </c>
      <c r="B62" s="5" t="s">
        <v>2543</v>
      </c>
      <c r="C62" s="5" t="s">
        <v>2255</v>
      </c>
      <c r="D62" s="5" t="s">
        <v>985</v>
      </c>
      <c r="E62" s="5" t="s">
        <v>2055</v>
      </c>
      <c r="F62" s="5" t="s">
        <v>1812</v>
      </c>
      <c r="G62" s="5" t="s">
        <v>14090</v>
      </c>
      <c r="H62" s="5" t="s">
        <v>2545</v>
      </c>
      <c r="I62" s="5" t="s">
        <v>14166</v>
      </c>
      <c r="J62" s="5" t="s">
        <v>14167</v>
      </c>
      <c r="K62" s="5" t="s">
        <v>2550</v>
      </c>
      <c r="L62" s="5">
        <v>2020</v>
      </c>
      <c r="M62" s="5" t="s">
        <v>2548</v>
      </c>
      <c r="N62" s="5" t="s">
        <v>2549</v>
      </c>
      <c r="O62" s="5" t="s">
        <v>2546</v>
      </c>
      <c r="P62" s="5" t="s">
        <v>2547</v>
      </c>
      <c r="Q62" s="5" t="s">
        <v>14168</v>
      </c>
      <c r="R62" s="5" t="s">
        <v>2551</v>
      </c>
      <c r="S62" s="5" t="s">
        <v>13953</v>
      </c>
      <c r="T62" s="5" t="s">
        <v>13961</v>
      </c>
      <c r="U62" s="5" t="s">
        <v>13962</v>
      </c>
      <c r="V62" s="5" t="s">
        <v>2554</v>
      </c>
      <c r="W62" s="5" t="s">
        <v>2555</v>
      </c>
    </row>
    <row r="63" spans="1:23" ht="38.25">
      <c r="A63" s="5" t="s">
        <v>2565</v>
      </c>
      <c r="B63" s="5" t="s">
        <v>2558</v>
      </c>
      <c r="C63" s="5" t="s">
        <v>2255</v>
      </c>
      <c r="D63" s="5" t="s">
        <v>985</v>
      </c>
      <c r="E63" s="5" t="s">
        <v>2055</v>
      </c>
      <c r="F63" s="5" t="s">
        <v>1812</v>
      </c>
      <c r="G63" s="5" t="s">
        <v>14090</v>
      </c>
      <c r="H63" s="5" t="s">
        <v>2560</v>
      </c>
      <c r="I63" s="5" t="s">
        <v>14169</v>
      </c>
      <c r="J63" s="5" t="s">
        <v>14170</v>
      </c>
      <c r="K63" s="5" t="s">
        <v>2550</v>
      </c>
      <c r="L63" s="5" t="s">
        <v>14171</v>
      </c>
      <c r="M63" s="5" t="s">
        <v>2562</v>
      </c>
      <c r="N63" s="5" t="s">
        <v>2563</v>
      </c>
      <c r="O63" s="5" t="s">
        <v>2561</v>
      </c>
      <c r="P63" s="5" t="s">
        <v>2547</v>
      </c>
      <c r="Q63" s="5" t="s">
        <v>14172</v>
      </c>
      <c r="R63" s="5" t="s">
        <v>2564</v>
      </c>
      <c r="S63" s="5" t="s">
        <v>13953</v>
      </c>
      <c r="T63" s="5" t="s">
        <v>13961</v>
      </c>
      <c r="U63" s="5" t="s">
        <v>13962</v>
      </c>
      <c r="V63" s="5" t="s">
        <v>2566</v>
      </c>
      <c r="W63" s="5" t="s">
        <v>2555</v>
      </c>
    </row>
    <row r="64" spans="1:23" ht="51">
      <c r="A64" s="5" t="s">
        <v>2576</v>
      </c>
      <c r="B64" s="5" t="s">
        <v>2569</v>
      </c>
      <c r="C64" s="5" t="s">
        <v>2255</v>
      </c>
      <c r="D64" s="5" t="s">
        <v>985</v>
      </c>
      <c r="E64" s="5" t="s">
        <v>2055</v>
      </c>
      <c r="F64" s="5" t="s">
        <v>1812</v>
      </c>
      <c r="G64" s="5" t="s">
        <v>14090</v>
      </c>
      <c r="H64" s="5" t="s">
        <v>2571</v>
      </c>
      <c r="I64" s="5" t="s">
        <v>14173</v>
      </c>
      <c r="J64" s="5" t="s">
        <v>14174</v>
      </c>
      <c r="K64" s="5" t="s">
        <v>2574</v>
      </c>
      <c r="L64" s="5">
        <v>2019</v>
      </c>
      <c r="M64" s="5" t="s">
        <v>2573</v>
      </c>
      <c r="N64" s="5" t="s">
        <v>2549</v>
      </c>
      <c r="O64" s="5" t="s">
        <v>2572</v>
      </c>
      <c r="P64" s="5" t="s">
        <v>2547</v>
      </c>
      <c r="Q64" s="5" t="s">
        <v>14175</v>
      </c>
      <c r="R64" s="5" t="s">
        <v>2575</v>
      </c>
      <c r="S64" s="5" t="s">
        <v>13953</v>
      </c>
      <c r="T64" s="5" t="s">
        <v>13961</v>
      </c>
      <c r="U64" s="5" t="s">
        <v>13962</v>
      </c>
      <c r="V64" s="5" t="s">
        <v>2577</v>
      </c>
      <c r="W64" s="5" t="s">
        <v>2578</v>
      </c>
    </row>
    <row r="65" spans="1:23" ht="63.75">
      <c r="A65" s="5" t="s">
        <v>2590</v>
      </c>
      <c r="B65" s="5" t="s">
        <v>2581</v>
      </c>
      <c r="C65" s="5" t="s">
        <v>2255</v>
      </c>
      <c r="D65" s="5" t="s">
        <v>985</v>
      </c>
      <c r="E65" s="5" t="s">
        <v>2055</v>
      </c>
      <c r="F65" s="5" t="s">
        <v>1812</v>
      </c>
      <c r="G65" s="5" t="s">
        <v>14090</v>
      </c>
      <c r="H65" s="5" t="s">
        <v>2583</v>
      </c>
      <c r="I65" s="5" t="s">
        <v>14176</v>
      </c>
      <c r="J65" s="5" t="s">
        <v>14177</v>
      </c>
      <c r="K65" s="5" t="s">
        <v>2588</v>
      </c>
      <c r="L65" s="5" t="s">
        <v>14178</v>
      </c>
      <c r="M65" s="5" t="s">
        <v>2586</v>
      </c>
      <c r="N65" s="5" t="s">
        <v>2587</v>
      </c>
      <c r="O65" s="5" t="s">
        <v>2584</v>
      </c>
      <c r="P65" s="5" t="s">
        <v>2585</v>
      </c>
      <c r="Q65" s="5" t="s">
        <v>14179</v>
      </c>
      <c r="R65" s="5" t="s">
        <v>2589</v>
      </c>
      <c r="S65" s="5" t="s">
        <v>13953</v>
      </c>
      <c r="T65" s="5" t="s">
        <v>13961</v>
      </c>
      <c r="U65" s="5" t="s">
        <v>13962</v>
      </c>
      <c r="V65" s="5" t="s">
        <v>2591</v>
      </c>
      <c r="W65" s="5" t="s">
        <v>2591</v>
      </c>
    </row>
    <row r="66" spans="1:23" ht="38.25">
      <c r="A66" s="5" t="s">
        <v>2603</v>
      </c>
      <c r="B66" s="5" t="s">
        <v>2594</v>
      </c>
      <c r="C66" s="5" t="s">
        <v>2255</v>
      </c>
      <c r="D66" s="5" t="s">
        <v>985</v>
      </c>
      <c r="E66" s="5" t="s">
        <v>2055</v>
      </c>
      <c r="F66" s="5" t="s">
        <v>174</v>
      </c>
      <c r="G66" s="5" t="s">
        <v>14090</v>
      </c>
      <c r="H66" s="5" t="s">
        <v>2596</v>
      </c>
      <c r="I66" s="5" t="s">
        <v>14180</v>
      </c>
      <c r="J66" s="5" t="s">
        <v>14181</v>
      </c>
      <c r="K66" s="5" t="s">
        <v>2601</v>
      </c>
      <c r="L66" s="5">
        <v>2021</v>
      </c>
      <c r="M66" s="5" t="s">
        <v>2599</v>
      </c>
      <c r="N66" s="5" t="s">
        <v>2600</v>
      </c>
      <c r="O66" s="5" t="s">
        <v>2597</v>
      </c>
      <c r="P66" s="5" t="s">
        <v>2598</v>
      </c>
      <c r="Q66" s="5" t="s">
        <v>14182</v>
      </c>
      <c r="R66" s="5" t="s">
        <v>2602</v>
      </c>
      <c r="S66" s="5" t="s">
        <v>13953</v>
      </c>
      <c r="T66" s="5" t="s">
        <v>13961</v>
      </c>
      <c r="U66" s="5" t="s">
        <v>13962</v>
      </c>
      <c r="V66" s="5" t="s">
        <v>2604</v>
      </c>
      <c r="W66" s="5" t="s">
        <v>2605</v>
      </c>
    </row>
    <row r="67" spans="1:23" ht="63.75">
      <c r="A67" s="5" t="s">
        <v>2619</v>
      </c>
      <c r="B67" s="5" t="s">
        <v>2608</v>
      </c>
      <c r="C67" s="5" t="s">
        <v>2255</v>
      </c>
      <c r="D67" s="5" t="s">
        <v>985</v>
      </c>
      <c r="E67" s="5" t="s">
        <v>2610</v>
      </c>
      <c r="F67" s="5" t="s">
        <v>2614</v>
      </c>
      <c r="G67" s="5" t="s">
        <v>14090</v>
      </c>
      <c r="H67" s="5" t="s">
        <v>2611</v>
      </c>
      <c r="I67" s="5" t="s">
        <v>14183</v>
      </c>
      <c r="J67" s="5" t="s">
        <v>14184</v>
      </c>
      <c r="K67" s="5" t="s">
        <v>2617</v>
      </c>
      <c r="L67" s="5">
        <v>2024</v>
      </c>
      <c r="M67" s="5" t="s">
        <v>2615</v>
      </c>
      <c r="N67" s="5" t="s">
        <v>2616</v>
      </c>
      <c r="O67" s="5" t="s">
        <v>2612</v>
      </c>
      <c r="P67" s="5" t="s">
        <v>2613</v>
      </c>
      <c r="Q67" s="5" t="s">
        <v>14185</v>
      </c>
      <c r="R67" s="5" t="s">
        <v>2618</v>
      </c>
      <c r="S67" s="5" t="s">
        <v>13953</v>
      </c>
      <c r="T67" s="5" t="s">
        <v>13961</v>
      </c>
      <c r="U67" s="5" t="s">
        <v>13962</v>
      </c>
      <c r="V67" s="5" t="s">
        <v>2620</v>
      </c>
      <c r="W67" s="5" t="s">
        <v>2620</v>
      </c>
    </row>
    <row r="68" spans="1:23" ht="63.75">
      <c r="A68" s="5" t="s">
        <v>2632</v>
      </c>
      <c r="B68" s="5" t="s">
        <v>2623</v>
      </c>
      <c r="C68" s="5" t="s">
        <v>2255</v>
      </c>
      <c r="D68" s="5" t="s">
        <v>985</v>
      </c>
      <c r="E68" s="5" t="s">
        <v>2055</v>
      </c>
      <c r="F68" s="5" t="s">
        <v>476</v>
      </c>
      <c r="G68" s="5" t="s">
        <v>14090</v>
      </c>
      <c r="H68" s="5" t="s">
        <v>2625</v>
      </c>
      <c r="I68" s="5" t="s">
        <v>14186</v>
      </c>
      <c r="J68" s="5" t="s">
        <v>14187</v>
      </c>
      <c r="K68" s="5" t="s">
        <v>2630</v>
      </c>
      <c r="L68" s="5" t="s">
        <v>14188</v>
      </c>
      <c r="M68" s="5" t="s">
        <v>2628</v>
      </c>
      <c r="N68" s="5" t="s">
        <v>2629</v>
      </c>
      <c r="O68" s="5" t="s">
        <v>2626</v>
      </c>
      <c r="P68" s="5" t="s">
        <v>2627</v>
      </c>
      <c r="Q68" s="5" t="s">
        <v>14189</v>
      </c>
      <c r="R68" s="5" t="s">
        <v>2631</v>
      </c>
      <c r="S68" s="5" t="s">
        <v>13953</v>
      </c>
      <c r="T68" s="5" t="s">
        <v>13961</v>
      </c>
      <c r="U68" s="5" t="s">
        <v>13962</v>
      </c>
      <c r="V68" s="5" t="s">
        <v>2633</v>
      </c>
      <c r="W68" s="5" t="s">
        <v>2634</v>
      </c>
    </row>
    <row r="69" spans="1:23" ht="38.25">
      <c r="A69" s="5" t="s">
        <v>2646</v>
      </c>
      <c r="B69" s="5" t="s">
        <v>2637</v>
      </c>
      <c r="C69" s="5" t="s">
        <v>2255</v>
      </c>
      <c r="D69" s="5" t="s">
        <v>985</v>
      </c>
      <c r="E69" s="5" t="s">
        <v>2055</v>
      </c>
      <c r="F69" s="5" t="s">
        <v>1961</v>
      </c>
      <c r="G69" s="5" t="s">
        <v>14090</v>
      </c>
      <c r="H69" s="5" t="s">
        <v>2639</v>
      </c>
      <c r="I69" s="5" t="s">
        <v>14190</v>
      </c>
      <c r="J69" s="5" t="s">
        <v>14191</v>
      </c>
      <c r="K69" s="5" t="s">
        <v>2644</v>
      </c>
      <c r="L69" s="5" t="s">
        <v>14192</v>
      </c>
      <c r="M69" s="5" t="s">
        <v>2642</v>
      </c>
      <c r="N69" s="5" t="s">
        <v>2643</v>
      </c>
      <c r="O69" s="5" t="s">
        <v>2640</v>
      </c>
      <c r="P69" s="5" t="s">
        <v>2641</v>
      </c>
      <c r="Q69" s="5" t="s">
        <v>14193</v>
      </c>
      <c r="R69" s="5" t="s">
        <v>2645</v>
      </c>
      <c r="S69" s="5" t="s">
        <v>13953</v>
      </c>
      <c r="T69" s="5" t="s">
        <v>13961</v>
      </c>
      <c r="U69" s="5" t="s">
        <v>13962</v>
      </c>
      <c r="V69" s="5" t="s">
        <v>2647</v>
      </c>
      <c r="W69" s="5" t="s">
        <v>2648</v>
      </c>
    </row>
    <row r="70" spans="1:23" ht="51">
      <c r="A70" s="5" t="s">
        <v>2659</v>
      </c>
      <c r="B70" s="5" t="s">
        <v>2651</v>
      </c>
      <c r="C70" s="5" t="s">
        <v>2255</v>
      </c>
      <c r="D70" s="5" t="s">
        <v>985</v>
      </c>
      <c r="E70" s="5" t="s">
        <v>2055</v>
      </c>
      <c r="F70" s="5" t="s">
        <v>1812</v>
      </c>
      <c r="G70" s="5" t="s">
        <v>14090</v>
      </c>
      <c r="H70" s="5" t="s">
        <v>2653</v>
      </c>
      <c r="I70" s="5" t="s">
        <v>14194</v>
      </c>
      <c r="J70" s="5" t="s">
        <v>14195</v>
      </c>
      <c r="K70" s="5" t="s">
        <v>2657</v>
      </c>
      <c r="L70" s="5" t="s">
        <v>14046</v>
      </c>
      <c r="M70" s="5" t="s">
        <v>2655</v>
      </c>
      <c r="N70" s="5" t="s">
        <v>2656</v>
      </c>
      <c r="O70" s="5" t="s">
        <v>2654</v>
      </c>
      <c r="P70" s="5" t="s">
        <v>1060</v>
      </c>
      <c r="Q70" s="5" t="s">
        <v>14196</v>
      </c>
      <c r="R70" s="5" t="s">
        <v>2658</v>
      </c>
      <c r="S70" s="5" t="s">
        <v>13953</v>
      </c>
      <c r="T70" s="5" t="s">
        <v>13961</v>
      </c>
      <c r="U70" s="5" t="s">
        <v>13962</v>
      </c>
      <c r="V70" s="5" t="s">
        <v>2660</v>
      </c>
      <c r="W70" s="5" t="s">
        <v>2661</v>
      </c>
    </row>
    <row r="71" spans="1:23" ht="38.25">
      <c r="A71" s="5" t="s">
        <v>2673</v>
      </c>
      <c r="B71" s="5" t="s">
        <v>2664</v>
      </c>
      <c r="C71" s="5" t="s">
        <v>2255</v>
      </c>
      <c r="D71" s="5" t="s">
        <v>985</v>
      </c>
      <c r="E71" s="5" t="s">
        <v>2083</v>
      </c>
      <c r="F71" s="5" t="s">
        <v>174</v>
      </c>
      <c r="G71" s="5" t="s">
        <v>14090</v>
      </c>
      <c r="H71" s="5" t="s">
        <v>2666</v>
      </c>
      <c r="I71" s="5" t="s">
        <v>14197</v>
      </c>
      <c r="J71" s="5" t="s">
        <v>14198</v>
      </c>
      <c r="K71" s="5" t="s">
        <v>2671</v>
      </c>
      <c r="L71" s="5">
        <v>2026</v>
      </c>
      <c r="M71" s="5" t="s">
        <v>2669</v>
      </c>
      <c r="N71" s="5" t="s">
        <v>2670</v>
      </c>
      <c r="O71" s="5" t="s">
        <v>2667</v>
      </c>
      <c r="P71" s="5" t="s">
        <v>2668</v>
      </c>
      <c r="Q71" s="5" t="s">
        <v>14199</v>
      </c>
      <c r="R71" s="5" t="s">
        <v>2672</v>
      </c>
      <c r="S71" s="5" t="s">
        <v>13953</v>
      </c>
      <c r="T71" s="5" t="s">
        <v>13961</v>
      </c>
      <c r="U71" s="5" t="s">
        <v>13962</v>
      </c>
      <c r="V71" s="5" t="s">
        <v>2674</v>
      </c>
      <c r="W71" s="5" t="s">
        <v>2674</v>
      </c>
    </row>
    <row r="72" spans="1:23" ht="51">
      <c r="A72" s="5" t="s">
        <v>2686</v>
      </c>
      <c r="B72" s="5" t="s">
        <v>2677</v>
      </c>
      <c r="C72" s="5" t="s">
        <v>2255</v>
      </c>
      <c r="D72" s="5" t="s">
        <v>985</v>
      </c>
      <c r="E72" s="5" t="s">
        <v>568</v>
      </c>
      <c r="F72" s="5" t="s">
        <v>174</v>
      </c>
      <c r="G72" s="5" t="s">
        <v>14090</v>
      </c>
      <c r="H72" s="5" t="s">
        <v>2679</v>
      </c>
      <c r="I72" s="5" t="s">
        <v>14200</v>
      </c>
      <c r="J72" s="5" t="s">
        <v>14201</v>
      </c>
      <c r="K72" s="5" t="s">
        <v>2684</v>
      </c>
      <c r="L72" s="5">
        <v>2017</v>
      </c>
      <c r="M72" s="5" t="s">
        <v>2682</v>
      </c>
      <c r="N72" s="5" t="s">
        <v>2683</v>
      </c>
      <c r="O72" s="5" t="s">
        <v>2680</v>
      </c>
      <c r="P72" s="5" t="s">
        <v>2681</v>
      </c>
      <c r="Q72" s="5" t="s">
        <v>14202</v>
      </c>
      <c r="R72" s="5" t="s">
        <v>2685</v>
      </c>
      <c r="S72" s="5" t="s">
        <v>13953</v>
      </c>
      <c r="T72" s="5" t="s">
        <v>13961</v>
      </c>
      <c r="U72" s="5" t="s">
        <v>13962</v>
      </c>
      <c r="V72" s="5" t="s">
        <v>2687</v>
      </c>
      <c r="W72" s="5" t="s">
        <v>2688</v>
      </c>
    </row>
    <row r="73" spans="1:23" ht="51">
      <c r="A73" s="5" t="s">
        <v>2700</v>
      </c>
      <c r="B73" s="5" t="s">
        <v>2691</v>
      </c>
      <c r="C73" s="5" t="s">
        <v>2255</v>
      </c>
      <c r="D73" s="5" t="s">
        <v>985</v>
      </c>
      <c r="E73" s="5" t="s">
        <v>2055</v>
      </c>
      <c r="F73" s="5" t="s">
        <v>1812</v>
      </c>
      <c r="G73" s="5" t="s">
        <v>14090</v>
      </c>
      <c r="H73" s="5" t="s">
        <v>2693</v>
      </c>
      <c r="I73" s="5" t="s">
        <v>14203</v>
      </c>
      <c r="J73" s="5" t="s">
        <v>14204</v>
      </c>
      <c r="K73" s="5" t="s">
        <v>2698</v>
      </c>
      <c r="L73" s="5">
        <v>2025</v>
      </c>
      <c r="M73" s="5" t="s">
        <v>2696</v>
      </c>
      <c r="N73" s="5" t="s">
        <v>2697</v>
      </c>
      <c r="O73" s="5" t="s">
        <v>2694</v>
      </c>
      <c r="P73" s="5" t="s">
        <v>2695</v>
      </c>
      <c r="Q73" s="5" t="s">
        <v>14205</v>
      </c>
      <c r="R73" s="5" t="s">
        <v>2699</v>
      </c>
      <c r="S73" s="5" t="s">
        <v>13953</v>
      </c>
      <c r="T73" s="5" t="s">
        <v>13961</v>
      </c>
      <c r="U73" s="5" t="s">
        <v>13962</v>
      </c>
      <c r="V73" s="5" t="s">
        <v>2702</v>
      </c>
      <c r="W73" s="5" t="s">
        <v>2703</v>
      </c>
    </row>
    <row r="74" spans="1:23" ht="51">
      <c r="A74" s="5" t="s">
        <v>2714</v>
      </c>
      <c r="B74" s="5" t="s">
        <v>2706</v>
      </c>
      <c r="C74" s="5" t="s">
        <v>2255</v>
      </c>
      <c r="D74" s="5" t="s">
        <v>985</v>
      </c>
      <c r="E74" s="5" t="s">
        <v>2055</v>
      </c>
      <c r="F74" s="5" t="s">
        <v>1812</v>
      </c>
      <c r="G74" s="5" t="s">
        <v>14090</v>
      </c>
      <c r="H74" s="5" t="s">
        <v>2708</v>
      </c>
      <c r="I74" s="5" t="s">
        <v>14206</v>
      </c>
      <c r="J74" s="5" t="s">
        <v>14207</v>
      </c>
      <c r="K74" s="5" t="s">
        <v>2698</v>
      </c>
      <c r="L74" s="5" t="s">
        <v>14208</v>
      </c>
      <c r="M74" s="5" t="s">
        <v>2711</v>
      </c>
      <c r="N74" s="5" t="s">
        <v>2712</v>
      </c>
      <c r="O74" s="5" t="s">
        <v>2709</v>
      </c>
      <c r="P74" s="5" t="s">
        <v>2710</v>
      </c>
      <c r="Q74" s="5" t="s">
        <v>14209</v>
      </c>
      <c r="R74" s="5" t="s">
        <v>2713</v>
      </c>
      <c r="S74" s="5" t="s">
        <v>13953</v>
      </c>
      <c r="T74" s="5" t="s">
        <v>13961</v>
      </c>
      <c r="U74" s="5" t="s">
        <v>13962</v>
      </c>
      <c r="V74" s="5" t="s">
        <v>2702</v>
      </c>
      <c r="W74" s="5" t="s">
        <v>2715</v>
      </c>
    </row>
    <row r="75" spans="1:23" ht="25.5">
      <c r="A75" s="5" t="s">
        <v>2729</v>
      </c>
      <c r="B75" s="5" t="s">
        <v>2718</v>
      </c>
      <c r="C75" s="5" t="s">
        <v>2255</v>
      </c>
      <c r="D75" s="5" t="s">
        <v>2720</v>
      </c>
      <c r="E75" s="5" t="s">
        <v>2721</v>
      </c>
      <c r="F75" s="5" t="s">
        <v>174</v>
      </c>
      <c r="G75" s="5" t="s">
        <v>14210</v>
      </c>
      <c r="H75" s="5" t="s">
        <v>2722</v>
      </c>
      <c r="I75" s="5" t="s">
        <v>14211</v>
      </c>
      <c r="J75" s="5" t="s">
        <v>14212</v>
      </c>
      <c r="K75" s="5" t="s">
        <v>2727</v>
      </c>
      <c r="L75" s="5">
        <v>2025</v>
      </c>
      <c r="M75" s="5" t="s">
        <v>2725</v>
      </c>
      <c r="N75" s="5" t="s">
        <v>2726</v>
      </c>
      <c r="O75" s="5" t="s">
        <v>2723</v>
      </c>
      <c r="P75" s="5" t="s">
        <v>2724</v>
      </c>
      <c r="Q75" s="5" t="s">
        <v>14213</v>
      </c>
      <c r="R75" s="5" t="s">
        <v>2728</v>
      </c>
      <c r="S75" s="5" t="s">
        <v>13953</v>
      </c>
      <c r="T75" s="5" t="s">
        <v>13961</v>
      </c>
      <c r="U75" s="5" t="s">
        <v>13962</v>
      </c>
      <c r="V75" s="5" t="s">
        <v>2730</v>
      </c>
      <c r="W75" s="5" t="s">
        <v>2731</v>
      </c>
    </row>
    <row r="76" spans="1:23" ht="38.25">
      <c r="A76" s="5" t="s">
        <v>2743</v>
      </c>
      <c r="B76" s="5" t="s">
        <v>2734</v>
      </c>
      <c r="C76" s="5" t="s">
        <v>2139</v>
      </c>
      <c r="D76" s="5" t="s">
        <v>2736</v>
      </c>
      <c r="E76" s="5" t="s">
        <v>568</v>
      </c>
      <c r="F76" s="5" t="s">
        <v>174</v>
      </c>
      <c r="G76" s="5" t="s">
        <v>14214</v>
      </c>
      <c r="H76" s="5" t="s">
        <v>2737</v>
      </c>
      <c r="I76" s="5" t="s">
        <v>14215</v>
      </c>
      <c r="J76" s="5" t="s">
        <v>14216</v>
      </c>
      <c r="K76" s="5" t="s">
        <v>2145</v>
      </c>
      <c r="L76" s="5">
        <v>2024</v>
      </c>
      <c r="M76" s="5" t="s">
        <v>2740</v>
      </c>
      <c r="N76" s="5" t="s">
        <v>2741</v>
      </c>
      <c r="O76" s="5" t="s">
        <v>2738</v>
      </c>
      <c r="P76" s="5" t="s">
        <v>2739</v>
      </c>
      <c r="Q76" s="5" t="s">
        <v>14217</v>
      </c>
      <c r="R76" s="5" t="s">
        <v>2742</v>
      </c>
      <c r="S76" s="5" t="s">
        <v>13953</v>
      </c>
      <c r="T76" s="5" t="s">
        <v>13961</v>
      </c>
      <c r="U76" s="5" t="s">
        <v>13962</v>
      </c>
      <c r="V76" s="5" t="s">
        <v>1219</v>
      </c>
      <c r="W76" s="5" t="s">
        <v>2744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495A5"/>
  </sheetPr>
  <dimension ref="A1:B23"/>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4.25"/>
  <cols>
    <col min="1" max="1" width="29" customWidth="1"/>
    <col min="2" max="2" width="145" customWidth="1"/>
  </cols>
  <sheetData>
    <row r="1" spans="1:2" ht="12" customHeight="1">
      <c r="A1" s="1"/>
      <c r="B1" s="1"/>
    </row>
    <row r="2" spans="1:2" ht="24" customHeight="1">
      <c r="A2" s="2" t="s">
        <v>14218</v>
      </c>
      <c r="B2" s="1"/>
    </row>
    <row r="3" spans="1:2" ht="21" customHeight="1">
      <c r="A3" s="3" t="s">
        <v>14219</v>
      </c>
      <c r="B3" s="1"/>
    </row>
    <row r="4" spans="1:2" ht="9.9499999999999993" customHeight="1">
      <c r="A4" s="1"/>
      <c r="B4" s="1"/>
    </row>
    <row r="5" spans="1:2" ht="42.95" customHeight="1">
      <c r="A5" s="4" t="s">
        <v>14220</v>
      </c>
      <c r="B5" s="4" t="s">
        <v>14221</v>
      </c>
    </row>
    <row r="6" spans="1:2">
      <c r="A6" s="5" t="s">
        <v>2773</v>
      </c>
      <c r="B6" s="5" t="s">
        <v>14222</v>
      </c>
    </row>
    <row r="7" spans="1:2" ht="25.5">
      <c r="A7" s="5" t="s">
        <v>14223</v>
      </c>
      <c r="B7" s="5" t="s">
        <v>14224</v>
      </c>
    </row>
    <row r="8" spans="1:2" ht="25.5">
      <c r="A8" s="5" t="s">
        <v>14225</v>
      </c>
      <c r="B8" s="5" t="s">
        <v>14226</v>
      </c>
    </row>
    <row r="9" spans="1:2" ht="25.5">
      <c r="A9" s="5" t="s">
        <v>14227</v>
      </c>
      <c r="B9" s="5" t="s">
        <v>14228</v>
      </c>
    </row>
    <row r="10" spans="1:2" ht="38.25">
      <c r="A10" s="5" t="s">
        <v>14229</v>
      </c>
      <c r="B10" s="5" t="s">
        <v>14230</v>
      </c>
    </row>
    <row r="11" spans="1:2" ht="25.5">
      <c r="A11" s="5" t="s">
        <v>14231</v>
      </c>
      <c r="B11" s="5" t="s">
        <v>14232</v>
      </c>
    </row>
    <row r="12" spans="1:2" ht="25.5">
      <c r="A12" s="5" t="s">
        <v>14233</v>
      </c>
      <c r="B12" s="5" t="s">
        <v>14234</v>
      </c>
    </row>
    <row r="13" spans="1:2" ht="25.5">
      <c r="A13" s="5" t="s">
        <v>14235</v>
      </c>
      <c r="B13" s="5" t="s">
        <v>14236</v>
      </c>
    </row>
    <row r="14" spans="1:2" ht="38.25">
      <c r="A14" s="5" t="s">
        <v>14237</v>
      </c>
      <c r="B14" s="5" t="s">
        <v>14238</v>
      </c>
    </row>
    <row r="15" spans="1:2" ht="25.5">
      <c r="A15" s="5" t="s">
        <v>14239</v>
      </c>
      <c r="B15" s="5" t="s">
        <v>14240</v>
      </c>
    </row>
    <row r="16" spans="1:2" ht="25.5">
      <c r="A16" s="5" t="s">
        <v>14241</v>
      </c>
      <c r="B16" s="5" t="s">
        <v>14242</v>
      </c>
    </row>
    <row r="17" spans="1:2" ht="38.25">
      <c r="A17" s="5" t="s">
        <v>14243</v>
      </c>
      <c r="B17" s="5" t="s">
        <v>14244</v>
      </c>
    </row>
    <row r="18" spans="1:2" ht="38.25">
      <c r="A18" s="5" t="s">
        <v>14245</v>
      </c>
      <c r="B18" s="5" t="s">
        <v>14246</v>
      </c>
    </row>
    <row r="19" spans="1:2" ht="38.25">
      <c r="A19" s="5" t="s">
        <v>14247</v>
      </c>
      <c r="B19" s="5" t="s">
        <v>14248</v>
      </c>
    </row>
    <row r="20" spans="1:2" ht="25.5">
      <c r="A20" s="5" t="s">
        <v>14249</v>
      </c>
      <c r="B20" s="5" t="s">
        <v>14250</v>
      </c>
    </row>
    <row r="21" spans="1:2" ht="25.5">
      <c r="A21" s="5" t="s">
        <v>14251</v>
      </c>
      <c r="B21" s="5" t="s">
        <v>14252</v>
      </c>
    </row>
    <row r="22" spans="1:2" ht="25.5">
      <c r="A22" s="5" t="s">
        <v>14253</v>
      </c>
      <c r="B22" s="5" t="s">
        <v>14254</v>
      </c>
    </row>
    <row r="23" spans="1:2">
      <c r="A23" s="5" t="s">
        <v>11270</v>
      </c>
      <c r="B23" s="5" t="s">
        <v>14255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Top10_Review</vt:lpstr>
      <vt:lpstr>All_Datasets</vt:lpstr>
      <vt:lpstr>MCDM_Settings</vt:lpstr>
      <vt:lpstr>Manual_Review</vt:lpstr>
      <vt:lpstr>MCDM_Grades</vt:lpstr>
      <vt:lpstr>MCDM_Checks</vt:lpstr>
      <vt:lpstr>Platform_Summary</vt:lpstr>
      <vt:lpstr>AI_Tool_Summary</vt:lpstr>
      <vt:lpstr>Platform_Unique</vt:lpstr>
      <vt:lpstr>MCDM_Rubric</vt:lpstr>
      <vt:lpstr>Merge_Log</vt:lpstr>
      <vt:lpstr>Relationships</vt:lpstr>
      <vt:lpstr>Vehicle_Coverage</vt:lpstr>
      <vt:lpstr>Source_v3</vt:lpstr>
      <vt:lpstr>Source_AV</vt:lpstr>
      <vt:lpstr>MCDM_Method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Tianzhi He</cp:lastModifiedBy>
  <dcterms:created xsi:type="dcterms:W3CDTF">2026-10-12T05:28:52Z</dcterms:created>
  <dcterms:modified xsi:type="dcterms:W3CDTF">2026-10-12T05:28:53Z</dcterms:modified>
</cp:coreProperties>
</file>